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manzat/Downloads/"/>
    </mc:Choice>
  </mc:AlternateContent>
  <xr:revisionPtr revIDLastSave="0" documentId="13_ncr:1_{AFFB41BA-A458-CA4F-A1AC-8457BF5EB5EF}" xr6:coauthVersionLast="47" xr6:coauthVersionMax="47" xr10:uidLastSave="{00000000-0000-0000-0000-000000000000}"/>
  <bookViews>
    <workbookView xWindow="0" yWindow="500" windowWidth="45360" windowHeight="26000" tabRatio="500" activeTab="3" xr2:uid="{00000000-000D-0000-FFFF-FFFF00000000}"/>
  </bookViews>
  <sheets>
    <sheet name="Dashboard" sheetId="1" r:id="rId1"/>
    <sheet name="Avancement" sheetId="2" r:id="rId2"/>
    <sheet name="Capacités" sheetId="3" r:id="rId3"/>
    <sheet name="Extinction IKS" sheetId="4" r:id="rId4"/>
    <sheet name="Synthèse" sheetId="5" r:id="rId5"/>
    <sheet name="Mode d'emploi" sheetId="6" r:id="rId6"/>
    <sheet name="Applications" sheetId="7" r:id="rId7"/>
    <sheet name="Dynatrace" sheetId="8" r:id="rId8"/>
    <sheet name="Clusters" sheetId="9" r:id="rId9"/>
    <sheet name="Paramètres &amp; ABS" sheetId="10" r:id="rId10"/>
    <sheet name="Calculs" sheetId="11" state="hidden" r:id="rId11"/>
  </sheets>
  <definedNames>
    <definedName name="av_bas" localSheetId="1">OFFSET(Avancement!$AW$63,0,0,MAX(1,p_horizon),1)</definedName>
    <definedName name="av_dec" localSheetId="1">OFFSET(Avancement!$AX$63,0,0,MAX(1,p_horizon),1)</definedName>
    <definedName name="av_dom_0" localSheetId="1">OFFSET(Avancement!$L$34,0,0,MAX(1,COUNTA(TblDomaines[Domaine])),1)</definedName>
    <definedName name="av_dom_1" localSheetId="1">OFFSET(Avancement!$M$34,0,0,MAX(1,COUNTA(TblDomaines[Domaine])),1)</definedName>
    <definedName name="av_dom_2" localSheetId="1">OFFSET(Avancement!$N$34,0,0,MAX(1,COUNTA(TblDomaines[Domaine])),1)</definedName>
    <definedName name="av_dom_3" localSheetId="1">OFFSET(Avancement!$O$34,0,0,MAX(1,COUNTA(TblDomaines[Domaine])),1)</definedName>
    <definedName name="av_dom_nom" localSheetId="1">OFFSET(Avancement!$K$34,0,0,MAX(1,COUNTA(TblDomaines[Domaine])),1)</definedName>
    <definedName name="av_domc">Avancement!$AE$4</definedName>
    <definedName name="av_env">Avancement!$C$4</definedName>
    <definedName name="av_envc">Avancement!$AD$4</definedName>
    <definedName name="av_m" localSheetId="1">OFFSET(Avancement!$AV$63,0,0,MAX(1,p_horizon),1)</definedName>
    <definedName name="av_mois">Avancement!$AG$4</definedName>
    <definedName name="av_pct" localSheetId="1">OFFSET(Avancement!$AZ$63,0,0,MAX(1,p_horizon),1)</definedName>
    <definedName name="av_tr_0" localSheetId="1">OFFSET(Avancement!$D$34,0,0,MAX(1,COUNTA(TblTribes[Tribe])),1)</definedName>
    <definedName name="av_tr_1" localSheetId="1">OFFSET(Avancement!$E$34,0,0,MAX(1,COUNTA(TblTribes[Tribe])),1)</definedName>
    <definedName name="av_tr_2" localSheetId="1">OFFSET(Avancement!$F$34,0,0,MAX(1,COUNTA(TblTribes[Tribe])),1)</definedName>
    <definedName name="av_tr_3" localSheetId="1">OFFSET(Avancement!$G$34,0,0,MAX(1,COUNTA(TblTribes[Tribe])),1)</definedName>
    <definedName name="av_tr_nom" localSheetId="1">OFFSET(Avancement!$B$34,0,0,MAX(1,COUNTA(TblTribes[Tribe])),1)</definedName>
    <definedName name="av_tric">Avancement!$AF$4</definedName>
    <definedName name="ca_envc">Capacités!$AD$4</definedName>
    <definedName name="ca_mesure">Capacités!$F$4</definedName>
    <definedName name="ca_mois">Capacités!$AE$4</definedName>
    <definedName name="ch_cout_iks" localSheetId="4">OFFSET(Synthèse!$I$23,0,0,p_horizon,1)</definedName>
    <definedName name="ch_cout_roks" localSheetId="4">OFFSET(Synthèse!$J$23,0,0,p_horizon,1)</definedName>
    <definedName name="ch_cpu_iks" localSheetId="4">OFFSET(Synthèse!$C$23,0,0,p_horizon,1)</definedName>
    <definedName name="ch_cpu_roks" localSheetId="4">OFFSET(Synthèse!$D$23,0,0,p_horizon,1)</definedName>
    <definedName name="ch_dr_cumul" localSheetId="4">OFFSET(Synthèse!$M$23,0,0,p_horizon,1)</definedName>
    <definedName name="ch_dr_mois" localSheetId="4">OFFSET(Synthèse!$L$23,0,0,p_horizon,1)</definedName>
    <definedName name="ch_mois" localSheetId="4">OFFSET(Synthèse!$B$23,0,0,p_horizon,1)</definedName>
    <definedName name="ch_ram_iks" localSheetId="4">OFFSET(Synthèse!$E$23,0,0,p_horizon,1)</definedName>
    <definedName name="ch_ram_roks" localSheetId="4">OFFSET(Synthèse!$F$23,0,0,p_horizon,1)</definedName>
    <definedName name="ch_sel_dr" localSheetId="4">OFFSET(Synthèse!$W$23,0,0,p_horizon,1)</definedName>
    <definedName name="ch_sel_iks" localSheetId="4">OFFSET(Synthèse!$U$23,0,0,p_horizon,1)</definedName>
    <definedName name="ch_sel_roks" localSheetId="4">OFFSET(Synthèse!$V$23,0,0,p_horizon,1)</definedName>
    <definedName name="ch_sel_total" localSheetId="4">OFFSET(Synthèse!$X$23,0,0,p_horizon,1)</definedName>
    <definedName name="cp_ci" localSheetId="2">OFFSET(Capacités!$C$70,0,0,MAX(1,p_horizon),1)</definedName>
    <definedName name="cp_cr" localSheetId="2">OFFSET(Capacités!$D$70,0,0,MAX(1,p_horizon),1)</definedName>
    <definedName name="cp_m" localSheetId="2">OFFSET(Capacités!$B$70,0,0,MAX(1,p_horizon),1)</definedName>
    <definedName name="cp_ri" localSheetId="2">OFFSET(Capacités!$E$70,0,0,MAX(1,p_horizon),1)</definedName>
    <definedName name="cp_rr" localSheetId="2">OFFSET(Capacités!$F$70,0,0,MAX(1,p_horizon),1)</definedName>
    <definedName name="cp_wi" localSheetId="2">OFFSET(Capacités!$G$70,0,0,MAX(1,p_horizon),1)</definedName>
    <definedName name="cp_wr" localSheetId="2">OFFSET(Capacités!$H$70,0,0,MAX(1,p_horizon),1)</definedName>
    <definedName name="dom_iks" localSheetId="0">OFFSET(Dashboard!$J$63,0,0,MAX(1,COUNTA(TblDomaines[Domaine])),1)</definedName>
    <definedName name="dom_nom" localSheetId="0">OFFSET(Dashboard!$I$63,0,0,MAX(1,COUNTA(TblDomaines[Domaine])),1)</definedName>
    <definedName name="dom_roks" localSheetId="0">OFFSET(Dashboard!$K$63,0,0,MAX(1,COUNTA(TblDomaines[Domaine])),1)</definedName>
    <definedName name="ex_cl" localSheetId="3">OFFSET('Extinction IKS'!$Q$32,0,0,MAX(1,p_horizon),1)</definedName>
    <definedName name="ex_cost" localSheetId="3">OFFSET('Extinction IKS'!$O$32,0,0,MAX(1,p_horizon),1)</definedName>
    <definedName name="ex_dep" localSheetId="3">OFFSET('Extinction IKS'!$P$32,0,0,MAX(1,p_horizon),1)</definedName>
    <definedName name="ex_domc">'Extinction IKS'!$AE$4</definedName>
    <definedName name="ex_envc">'Extinction IKS'!$AD$4</definedName>
    <definedName name="ex_m" localSheetId="3">OFFSET('Extinction IKS'!$N$32,0,0,MAX(1,p_horizon),1)</definedName>
    <definedName name="ex_mois">'Extinction IKS'!$AG$4</definedName>
    <definedName name="ex_res" localSheetId="3">OFFSET('Extinction IKS'!$R$32,0,0,MAX(1,p_horizon),1)</definedName>
    <definedName name="ex_tric">'Extinction IKS'!$AF$4</definedName>
    <definedName name="p_debut">'Paramètres &amp; ABS'!$C$4</definedName>
    <definedName name="p_env">Dashboard!$C$8</definedName>
    <definedName name="p_envcrit">Dashboard!$D$8</definedName>
    <definedName name="p_facteur">'Paramètres &amp; ABS'!$C$11</definedName>
    <definedName name="p_fermauto">'Paramètres &amp; ABS'!$C$18</definedName>
    <definedName name="p_fin">'Paramètres &amp; ABS'!$C$6</definedName>
    <definedName name="p_horizon">'Paramètres &amp; ABS'!$C$5</definedName>
    <definedName name="p_iks_cpu">'Paramètres &amp; ABS'!$C$12</definedName>
    <definedName name="p_iks_ram">'Paramètres &amp; ABS'!$C$13</definedName>
    <definedName name="p_margeCPU">'Paramètres &amp; ABS'!$C$7</definedName>
    <definedName name="p_margeRAM">'Paramètres &amp; ABS'!$C$8</definedName>
    <definedName name="p_maxworkers">'Paramètres &amp; ABS'!$C$16</definedName>
    <definedName name="p_mode">'Paramètres &amp; ABS'!$C$9</definedName>
    <definedName name="p_periodicite">'Paramètres &amp; ABS'!$C$10</definedName>
    <definedName name="p_poidsram">'Paramètres &amp; ABS'!$C$17</definedName>
    <definedName name="p_roks_cpu">'Paramètres &amp; ABS'!$C$14</definedName>
    <definedName name="p_roks_ram">'Paramètres &amp; ABS'!$C$15</definedName>
    <definedName name="p_seuil_cpu_dedie">'Paramètres &amp; ABS'!$S$4</definedName>
    <definedName name="p_seuil_ram_dedie">'Paramètres &amp; ABS'!$S$5</definedName>
    <definedName name="TblClusters_Cluster">Clusters!$B$6:$B$45</definedName>
    <definedName name="tr_iks" localSheetId="0">OFFSET(Dashboard!$D$63,0,0,MAX(1,COUNTA(TblTribes[Tribe])),1)</definedName>
    <definedName name="tr_nom" localSheetId="0">OFFSET(Dashboard!$B$63,0,0,MAX(1,COUNTA(TblTribes[Tribe])),1)</definedName>
    <definedName name="tr_roks" localSheetId="0">OFFSET(Dashboard!$E$63,0,0,MAX(1,COUNTA(TblTribes[Tribe])),1)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45" i="11" l="1"/>
  <c r="B1445" i="11"/>
  <c r="C1444" i="11"/>
  <c r="B1444" i="11"/>
  <c r="C1443" i="11"/>
  <c r="B1443" i="11"/>
  <c r="C1442" i="11"/>
  <c r="B1442" i="11"/>
  <c r="C1441" i="11"/>
  <c r="B1441" i="11"/>
  <c r="C1440" i="11"/>
  <c r="B1440" i="11"/>
  <c r="C1439" i="11"/>
  <c r="B1439" i="11"/>
  <c r="C1438" i="11"/>
  <c r="B1438" i="11"/>
  <c r="C1437" i="11"/>
  <c r="B1437" i="11"/>
  <c r="C1436" i="11"/>
  <c r="B1436" i="11"/>
  <c r="C1435" i="11"/>
  <c r="B1435" i="11"/>
  <c r="C1434" i="11"/>
  <c r="B1434" i="11"/>
  <c r="C1433" i="11"/>
  <c r="B1433" i="11"/>
  <c r="C1432" i="11"/>
  <c r="B1432" i="11"/>
  <c r="C1431" i="11"/>
  <c r="B1431" i="11"/>
  <c r="C1430" i="11"/>
  <c r="B1430" i="11"/>
  <c r="C1429" i="11"/>
  <c r="B1429" i="11"/>
  <c r="C1428" i="11"/>
  <c r="B1428" i="11"/>
  <c r="C1427" i="11"/>
  <c r="B1427" i="11"/>
  <c r="C1426" i="11"/>
  <c r="B1426" i="11"/>
  <c r="C1425" i="11"/>
  <c r="B1425" i="11"/>
  <c r="C1424" i="11"/>
  <c r="B1424" i="11"/>
  <c r="C1423" i="11"/>
  <c r="B1423" i="11"/>
  <c r="C1422" i="11"/>
  <c r="B1422" i="11"/>
  <c r="C1421" i="11"/>
  <c r="B1421" i="11"/>
  <c r="C1420" i="11"/>
  <c r="B1420" i="11"/>
  <c r="C1419" i="11"/>
  <c r="B1419" i="11"/>
  <c r="C1418" i="11"/>
  <c r="B1418" i="11"/>
  <c r="C1417" i="11"/>
  <c r="B1417" i="11"/>
  <c r="C1416" i="11"/>
  <c r="B1416" i="11"/>
  <c r="C1415" i="11"/>
  <c r="B1415" i="11"/>
  <c r="C1414" i="11"/>
  <c r="B1414" i="11"/>
  <c r="C1413" i="11"/>
  <c r="B1413" i="11"/>
  <c r="C1412" i="11"/>
  <c r="B1412" i="11"/>
  <c r="C1411" i="11"/>
  <c r="B1411" i="11"/>
  <c r="C1410" i="11"/>
  <c r="B1410" i="11"/>
  <c r="C1409" i="11"/>
  <c r="B1409" i="11"/>
  <c r="C1408" i="11"/>
  <c r="B1408" i="11"/>
  <c r="C1407" i="11"/>
  <c r="B1407" i="11"/>
  <c r="C1406" i="11"/>
  <c r="B1406" i="11"/>
  <c r="C1405" i="11"/>
  <c r="B1405" i="11"/>
  <c r="C1404" i="11"/>
  <c r="B1404" i="11"/>
  <c r="C1403" i="11"/>
  <c r="B1403" i="11"/>
  <c r="C1402" i="11"/>
  <c r="B1402" i="11"/>
  <c r="C1401" i="11"/>
  <c r="B1401" i="11"/>
  <c r="C1400" i="11"/>
  <c r="B1400" i="11"/>
  <c r="C1399" i="11"/>
  <c r="B1399" i="11"/>
  <c r="C1398" i="11"/>
  <c r="B1398" i="11"/>
  <c r="C1397" i="11"/>
  <c r="B1397" i="11"/>
  <c r="C1396" i="11"/>
  <c r="B1396" i="11"/>
  <c r="C1395" i="11"/>
  <c r="B1395" i="11"/>
  <c r="C1394" i="11"/>
  <c r="B1394" i="11"/>
  <c r="C1393" i="11"/>
  <c r="B1393" i="11"/>
  <c r="C1392" i="11"/>
  <c r="B1392" i="11"/>
  <c r="C1391" i="11"/>
  <c r="B1391" i="11"/>
  <c r="C1390" i="11"/>
  <c r="B1390" i="11"/>
  <c r="C1389" i="11"/>
  <c r="B1389" i="11"/>
  <c r="C1388" i="11"/>
  <c r="B1388" i="11"/>
  <c r="C1387" i="11"/>
  <c r="B1387" i="11"/>
  <c r="C1386" i="11"/>
  <c r="B1386" i="11"/>
  <c r="C1385" i="11"/>
  <c r="B1385" i="11"/>
  <c r="C1384" i="11"/>
  <c r="B1384" i="11"/>
  <c r="C1383" i="11"/>
  <c r="B1383" i="11"/>
  <c r="C1382" i="11"/>
  <c r="B1382" i="11"/>
  <c r="C1381" i="11"/>
  <c r="B1381" i="11"/>
  <c r="C1380" i="11"/>
  <c r="B1380" i="11"/>
  <c r="C1379" i="11"/>
  <c r="B1379" i="11"/>
  <c r="C1378" i="11"/>
  <c r="B1378" i="11"/>
  <c r="C1377" i="11"/>
  <c r="B1377" i="11"/>
  <c r="C1376" i="11"/>
  <c r="B1376" i="11"/>
  <c r="C1375" i="11"/>
  <c r="B1375" i="11"/>
  <c r="C1374" i="11"/>
  <c r="B1374" i="11"/>
  <c r="C1373" i="11"/>
  <c r="B1373" i="11"/>
  <c r="C1372" i="11"/>
  <c r="B1372" i="11"/>
  <c r="C1371" i="11"/>
  <c r="B1371" i="11"/>
  <c r="C1370" i="11"/>
  <c r="B1370" i="11"/>
  <c r="C1369" i="11"/>
  <c r="B1369" i="11"/>
  <c r="C1368" i="11"/>
  <c r="B1368" i="11"/>
  <c r="C1367" i="11"/>
  <c r="B1367" i="11"/>
  <c r="C1366" i="11"/>
  <c r="B1366" i="11"/>
  <c r="C1365" i="11"/>
  <c r="B1365" i="11"/>
  <c r="C1364" i="11"/>
  <c r="B1364" i="11"/>
  <c r="C1363" i="11"/>
  <c r="B1363" i="11"/>
  <c r="C1362" i="11"/>
  <c r="B1362" i="11"/>
  <c r="C1361" i="11"/>
  <c r="B1361" i="11"/>
  <c r="C1360" i="11"/>
  <c r="B1360" i="11"/>
  <c r="C1359" i="11"/>
  <c r="B1359" i="11"/>
  <c r="C1358" i="11"/>
  <c r="B1358" i="11"/>
  <c r="C1357" i="11"/>
  <c r="B1357" i="11"/>
  <c r="C1356" i="11"/>
  <c r="B1356" i="11"/>
  <c r="C1355" i="11"/>
  <c r="B1355" i="11"/>
  <c r="C1354" i="11"/>
  <c r="B1354" i="11"/>
  <c r="C1353" i="11"/>
  <c r="B1353" i="11"/>
  <c r="C1352" i="11"/>
  <c r="B1352" i="11"/>
  <c r="C1351" i="11"/>
  <c r="B1351" i="11"/>
  <c r="C1350" i="11"/>
  <c r="B1350" i="11"/>
  <c r="C1349" i="11"/>
  <c r="B1349" i="11"/>
  <c r="C1348" i="11"/>
  <c r="B1348" i="11"/>
  <c r="C1347" i="11"/>
  <c r="B1347" i="11"/>
  <c r="C1346" i="11"/>
  <c r="B1346" i="11"/>
  <c r="C1345" i="11"/>
  <c r="B1345" i="11"/>
  <c r="C1344" i="11"/>
  <c r="B1344" i="11"/>
  <c r="C1343" i="11"/>
  <c r="B1343" i="11"/>
  <c r="C1342" i="11"/>
  <c r="B1342" i="11"/>
  <c r="C1341" i="11"/>
  <c r="B1341" i="11"/>
  <c r="C1340" i="11"/>
  <c r="B1340" i="11"/>
  <c r="C1339" i="11"/>
  <c r="B1339" i="11"/>
  <c r="C1338" i="11"/>
  <c r="B1338" i="11"/>
  <c r="C1337" i="11"/>
  <c r="B1337" i="11"/>
  <c r="C1336" i="11"/>
  <c r="B1336" i="11"/>
  <c r="C1335" i="11"/>
  <c r="B1335" i="11"/>
  <c r="C1334" i="11"/>
  <c r="B1334" i="11"/>
  <c r="C1333" i="11"/>
  <c r="B1333" i="11"/>
  <c r="C1332" i="11"/>
  <c r="B1332" i="11"/>
  <c r="C1331" i="11"/>
  <c r="B1331" i="11"/>
  <c r="C1330" i="11"/>
  <c r="B1330" i="11"/>
  <c r="C1329" i="11"/>
  <c r="B1329" i="11"/>
  <c r="C1328" i="11"/>
  <c r="B1328" i="11"/>
  <c r="C1327" i="11"/>
  <c r="B1327" i="11"/>
  <c r="C1326" i="11"/>
  <c r="B1326" i="11"/>
  <c r="C1325" i="11"/>
  <c r="B1325" i="11"/>
  <c r="C1324" i="11"/>
  <c r="B1324" i="11"/>
  <c r="C1323" i="11"/>
  <c r="B1323" i="11"/>
  <c r="C1322" i="11"/>
  <c r="B1322" i="11"/>
  <c r="C1321" i="11"/>
  <c r="B1321" i="11"/>
  <c r="C1320" i="11"/>
  <c r="B1320" i="11"/>
  <c r="C1319" i="11"/>
  <c r="B1319" i="11"/>
  <c r="C1318" i="11"/>
  <c r="B1318" i="11"/>
  <c r="C1317" i="11"/>
  <c r="B1317" i="11"/>
  <c r="C1316" i="11"/>
  <c r="B1316" i="11"/>
  <c r="C1315" i="11"/>
  <c r="B1315" i="11"/>
  <c r="C1314" i="11"/>
  <c r="B1314" i="11"/>
  <c r="C1313" i="11"/>
  <c r="B1313" i="11"/>
  <c r="C1312" i="11"/>
  <c r="B1312" i="11"/>
  <c r="C1311" i="11"/>
  <c r="B1311" i="11"/>
  <c r="C1310" i="11"/>
  <c r="B1310" i="11"/>
  <c r="C1309" i="11"/>
  <c r="B1309" i="11"/>
  <c r="C1308" i="11"/>
  <c r="B1308" i="11"/>
  <c r="C1307" i="11"/>
  <c r="B1307" i="11"/>
  <c r="C1306" i="11"/>
  <c r="B1306" i="11"/>
  <c r="C1305" i="11"/>
  <c r="B1305" i="11"/>
  <c r="C1304" i="11"/>
  <c r="B1304" i="11"/>
  <c r="C1303" i="11"/>
  <c r="B1303" i="11"/>
  <c r="C1302" i="11"/>
  <c r="B1302" i="11"/>
  <c r="C1301" i="11"/>
  <c r="B1301" i="11"/>
  <c r="C1300" i="11"/>
  <c r="B1300" i="11"/>
  <c r="C1299" i="11"/>
  <c r="B1299" i="11"/>
  <c r="C1298" i="11"/>
  <c r="B1298" i="11"/>
  <c r="C1297" i="11"/>
  <c r="B1297" i="11"/>
  <c r="C1296" i="11"/>
  <c r="B1296" i="11"/>
  <c r="C1295" i="11"/>
  <c r="B1295" i="11"/>
  <c r="C1294" i="11"/>
  <c r="B1294" i="11"/>
  <c r="C1293" i="11"/>
  <c r="B1293" i="11"/>
  <c r="C1292" i="11"/>
  <c r="B1292" i="11"/>
  <c r="C1291" i="11"/>
  <c r="B1291" i="11"/>
  <c r="C1290" i="11"/>
  <c r="B1290" i="11"/>
  <c r="C1289" i="11"/>
  <c r="B1289" i="11"/>
  <c r="C1288" i="11"/>
  <c r="B1288" i="11"/>
  <c r="C1287" i="11"/>
  <c r="B1287" i="11"/>
  <c r="C1286" i="11"/>
  <c r="B1286" i="11"/>
  <c r="C1285" i="11"/>
  <c r="B1285" i="11"/>
  <c r="C1284" i="11"/>
  <c r="B1284" i="11"/>
  <c r="C1283" i="11"/>
  <c r="B1283" i="11"/>
  <c r="C1282" i="11"/>
  <c r="B1282" i="11"/>
  <c r="C1281" i="11"/>
  <c r="B1281" i="11"/>
  <c r="C1280" i="11"/>
  <c r="B1280" i="11"/>
  <c r="C1279" i="11"/>
  <c r="B1279" i="11"/>
  <c r="C1278" i="11"/>
  <c r="B1278" i="11"/>
  <c r="C1277" i="11"/>
  <c r="B1277" i="11"/>
  <c r="C1276" i="11"/>
  <c r="B1276" i="11"/>
  <c r="C1275" i="11"/>
  <c r="B1275" i="11"/>
  <c r="C1274" i="11"/>
  <c r="B1274" i="11"/>
  <c r="C1273" i="11"/>
  <c r="B1273" i="11"/>
  <c r="C1272" i="11"/>
  <c r="B1272" i="11"/>
  <c r="C1271" i="11"/>
  <c r="B1271" i="11"/>
  <c r="C1270" i="11"/>
  <c r="B1270" i="11"/>
  <c r="C1269" i="11"/>
  <c r="B1269" i="11"/>
  <c r="C1268" i="11"/>
  <c r="B1268" i="11"/>
  <c r="C1267" i="11"/>
  <c r="B1267" i="11"/>
  <c r="C1266" i="11"/>
  <c r="B1266" i="11"/>
  <c r="C1265" i="11"/>
  <c r="B1265" i="11"/>
  <c r="C1264" i="11"/>
  <c r="B1264" i="11"/>
  <c r="C1263" i="11"/>
  <c r="B1263" i="11"/>
  <c r="C1262" i="11"/>
  <c r="B1262" i="11"/>
  <c r="C1261" i="11"/>
  <c r="B1261" i="11"/>
  <c r="C1260" i="11"/>
  <c r="B1260" i="11"/>
  <c r="C1259" i="11"/>
  <c r="B1259" i="11"/>
  <c r="C1258" i="11"/>
  <c r="B1258" i="11"/>
  <c r="C1257" i="11"/>
  <c r="B1257" i="11"/>
  <c r="C1256" i="11"/>
  <c r="B1256" i="11"/>
  <c r="C1255" i="11"/>
  <c r="B1255" i="11"/>
  <c r="C1254" i="11"/>
  <c r="B1254" i="11"/>
  <c r="C1253" i="11"/>
  <c r="B1253" i="11"/>
  <c r="C1252" i="11"/>
  <c r="B1252" i="11"/>
  <c r="C1251" i="11"/>
  <c r="B1251" i="11"/>
  <c r="C1250" i="11"/>
  <c r="B1250" i="11"/>
  <c r="C1249" i="11"/>
  <c r="B1249" i="11"/>
  <c r="C1248" i="11"/>
  <c r="B1248" i="11"/>
  <c r="C1247" i="11"/>
  <c r="B1247" i="11"/>
  <c r="C1246" i="11"/>
  <c r="B1246" i="11"/>
  <c r="C1245" i="11"/>
  <c r="B1245" i="11"/>
  <c r="C1244" i="11"/>
  <c r="B1244" i="11"/>
  <c r="C1243" i="11"/>
  <c r="B1243" i="11"/>
  <c r="C1242" i="11"/>
  <c r="B1242" i="11"/>
  <c r="C1241" i="11"/>
  <c r="B1241" i="11"/>
  <c r="C1240" i="11"/>
  <c r="B1240" i="11"/>
  <c r="C1239" i="11"/>
  <c r="B1239" i="11"/>
  <c r="C1238" i="11"/>
  <c r="B1238" i="11"/>
  <c r="C1237" i="11"/>
  <c r="B1237" i="11"/>
  <c r="C1236" i="11"/>
  <c r="B1236" i="11"/>
  <c r="C1235" i="11"/>
  <c r="B1235" i="11"/>
  <c r="C1234" i="11"/>
  <c r="B1234" i="11"/>
  <c r="C1233" i="11"/>
  <c r="B1233" i="11"/>
  <c r="C1232" i="11"/>
  <c r="B1232" i="11"/>
  <c r="C1231" i="11"/>
  <c r="B1231" i="11"/>
  <c r="C1230" i="11"/>
  <c r="B1230" i="11"/>
  <c r="C1229" i="11"/>
  <c r="B1229" i="11"/>
  <c r="C1228" i="11"/>
  <c r="B1228" i="11"/>
  <c r="C1227" i="11"/>
  <c r="B1227" i="11"/>
  <c r="C1226" i="11"/>
  <c r="B1226" i="11"/>
  <c r="C1225" i="11"/>
  <c r="B1225" i="11"/>
  <c r="C1224" i="11"/>
  <c r="B1224" i="11"/>
  <c r="C1223" i="11"/>
  <c r="B1223" i="11"/>
  <c r="C1222" i="11"/>
  <c r="B1222" i="11"/>
  <c r="C1221" i="11"/>
  <c r="B1221" i="11"/>
  <c r="C1220" i="11"/>
  <c r="B1220" i="11"/>
  <c r="C1219" i="11"/>
  <c r="B1219" i="11"/>
  <c r="C1218" i="11"/>
  <c r="B1218" i="11"/>
  <c r="C1217" i="11"/>
  <c r="B1217" i="11"/>
  <c r="C1216" i="11"/>
  <c r="B1216" i="11"/>
  <c r="C1215" i="11"/>
  <c r="B1215" i="11"/>
  <c r="C1214" i="11"/>
  <c r="B1214" i="11"/>
  <c r="C1213" i="11"/>
  <c r="B1213" i="11"/>
  <c r="C1212" i="11"/>
  <c r="B1212" i="11"/>
  <c r="C1211" i="11"/>
  <c r="B1211" i="11"/>
  <c r="C1210" i="11"/>
  <c r="B1210" i="11"/>
  <c r="C1209" i="11"/>
  <c r="B1209" i="11"/>
  <c r="C1208" i="11"/>
  <c r="B1208" i="11"/>
  <c r="C1207" i="11"/>
  <c r="B1207" i="11"/>
  <c r="C1206" i="11"/>
  <c r="B1206" i="11"/>
  <c r="C1205" i="11"/>
  <c r="B1205" i="11"/>
  <c r="C1204" i="11"/>
  <c r="B1204" i="11"/>
  <c r="C1203" i="11"/>
  <c r="B1203" i="11"/>
  <c r="C1202" i="11"/>
  <c r="B1202" i="11"/>
  <c r="C1201" i="11"/>
  <c r="B1201" i="11"/>
  <c r="C1200" i="11"/>
  <c r="B1200" i="11"/>
  <c r="C1199" i="11"/>
  <c r="B1199" i="11"/>
  <c r="C1198" i="11"/>
  <c r="B1198" i="11"/>
  <c r="C1197" i="11"/>
  <c r="B1197" i="11"/>
  <c r="C1196" i="11"/>
  <c r="B1196" i="11"/>
  <c r="C1195" i="11"/>
  <c r="B1195" i="11"/>
  <c r="C1194" i="11"/>
  <c r="B1194" i="11"/>
  <c r="C1193" i="11"/>
  <c r="B1193" i="11"/>
  <c r="C1192" i="11"/>
  <c r="B1192" i="11"/>
  <c r="C1191" i="11"/>
  <c r="B1191" i="11"/>
  <c r="C1190" i="11"/>
  <c r="B1190" i="11"/>
  <c r="C1189" i="11"/>
  <c r="B1189" i="11"/>
  <c r="C1188" i="11"/>
  <c r="B1188" i="11"/>
  <c r="C1187" i="11"/>
  <c r="B1187" i="11"/>
  <c r="C1186" i="11"/>
  <c r="B1186" i="11"/>
  <c r="C1185" i="11"/>
  <c r="B1185" i="11"/>
  <c r="C1184" i="11"/>
  <c r="B1184" i="11"/>
  <c r="C1183" i="11"/>
  <c r="B1183" i="11"/>
  <c r="C1182" i="11"/>
  <c r="B1182" i="11"/>
  <c r="C1181" i="11"/>
  <c r="B1181" i="11"/>
  <c r="C1180" i="11"/>
  <c r="B1180" i="11"/>
  <c r="C1179" i="11"/>
  <c r="B1179" i="11"/>
  <c r="C1178" i="11"/>
  <c r="B1178" i="11"/>
  <c r="C1177" i="11"/>
  <c r="B1177" i="11"/>
  <c r="C1176" i="11"/>
  <c r="B1176" i="11"/>
  <c r="C1175" i="11"/>
  <c r="B1175" i="11"/>
  <c r="C1174" i="11"/>
  <c r="B1174" i="11"/>
  <c r="C1173" i="11"/>
  <c r="B1173" i="11"/>
  <c r="C1172" i="11"/>
  <c r="B1172" i="11"/>
  <c r="C1171" i="11"/>
  <c r="B1171" i="11"/>
  <c r="C1170" i="11"/>
  <c r="B1170" i="11"/>
  <c r="C1169" i="11"/>
  <c r="B1169" i="11"/>
  <c r="C1168" i="11"/>
  <c r="B1168" i="11"/>
  <c r="C1167" i="11"/>
  <c r="B1167" i="11"/>
  <c r="C1166" i="11"/>
  <c r="B1166" i="11"/>
  <c r="C1165" i="11"/>
  <c r="B1165" i="11"/>
  <c r="C1164" i="11"/>
  <c r="B1164" i="11"/>
  <c r="C1163" i="11"/>
  <c r="B1163" i="11"/>
  <c r="C1162" i="11"/>
  <c r="B1162" i="11"/>
  <c r="C1161" i="11"/>
  <c r="B1161" i="11"/>
  <c r="C1160" i="11"/>
  <c r="B1160" i="11"/>
  <c r="C1159" i="11"/>
  <c r="B1159" i="11"/>
  <c r="C1158" i="11"/>
  <c r="B1158" i="11"/>
  <c r="C1157" i="11"/>
  <c r="B1157" i="11"/>
  <c r="C1156" i="11"/>
  <c r="B1156" i="11"/>
  <c r="C1155" i="11"/>
  <c r="B1155" i="11"/>
  <c r="C1154" i="11"/>
  <c r="B1154" i="11"/>
  <c r="C1153" i="11"/>
  <c r="B1153" i="11"/>
  <c r="C1152" i="11"/>
  <c r="B1152" i="11"/>
  <c r="C1151" i="11"/>
  <c r="B1151" i="11"/>
  <c r="C1150" i="11"/>
  <c r="B1150" i="11"/>
  <c r="C1149" i="11"/>
  <c r="B1149" i="11"/>
  <c r="C1148" i="11"/>
  <c r="B1148" i="11"/>
  <c r="C1147" i="11"/>
  <c r="B1147" i="11"/>
  <c r="C1146" i="11"/>
  <c r="B1146" i="11"/>
  <c r="C1145" i="11"/>
  <c r="B1145" i="11"/>
  <c r="C1144" i="11"/>
  <c r="B1144" i="11"/>
  <c r="C1143" i="11"/>
  <c r="B1143" i="11"/>
  <c r="C1142" i="11"/>
  <c r="B1142" i="11"/>
  <c r="C1141" i="11"/>
  <c r="B1141" i="11"/>
  <c r="C1140" i="11"/>
  <c r="B1140" i="11"/>
  <c r="C1139" i="11"/>
  <c r="B1139" i="11"/>
  <c r="C1138" i="11"/>
  <c r="B1138" i="11"/>
  <c r="C1137" i="11"/>
  <c r="B1137" i="11"/>
  <c r="C1136" i="11"/>
  <c r="B1136" i="11"/>
  <c r="C1135" i="11"/>
  <c r="B1135" i="11"/>
  <c r="C1134" i="11"/>
  <c r="B1134" i="11"/>
  <c r="C1133" i="11"/>
  <c r="B1133" i="11"/>
  <c r="C1132" i="11"/>
  <c r="B1132" i="11"/>
  <c r="C1131" i="11"/>
  <c r="B1131" i="11"/>
  <c r="C1130" i="11"/>
  <c r="B1130" i="11"/>
  <c r="C1129" i="11"/>
  <c r="B1129" i="11"/>
  <c r="C1128" i="11"/>
  <c r="B1128" i="11"/>
  <c r="C1127" i="11"/>
  <c r="B1127" i="11"/>
  <c r="C1126" i="11"/>
  <c r="B1126" i="11"/>
  <c r="C1125" i="11"/>
  <c r="B1125" i="11"/>
  <c r="C1124" i="11"/>
  <c r="B1124" i="11"/>
  <c r="C1123" i="11"/>
  <c r="B1123" i="11"/>
  <c r="C1122" i="11"/>
  <c r="B1122" i="11"/>
  <c r="C1121" i="11"/>
  <c r="B1121" i="11"/>
  <c r="C1120" i="11"/>
  <c r="B1120" i="11"/>
  <c r="C1119" i="11"/>
  <c r="B1119" i="11"/>
  <c r="C1118" i="11"/>
  <c r="B1118" i="11"/>
  <c r="C1117" i="11"/>
  <c r="B1117" i="11"/>
  <c r="C1116" i="11"/>
  <c r="B1116" i="11"/>
  <c r="C1115" i="11"/>
  <c r="B1115" i="11"/>
  <c r="C1114" i="11"/>
  <c r="B1114" i="11"/>
  <c r="C1113" i="11"/>
  <c r="B1113" i="11"/>
  <c r="C1112" i="11"/>
  <c r="B1112" i="11"/>
  <c r="C1111" i="11"/>
  <c r="B1111" i="11"/>
  <c r="C1110" i="11"/>
  <c r="B1110" i="11"/>
  <c r="C1109" i="11"/>
  <c r="B1109" i="11"/>
  <c r="C1108" i="11"/>
  <c r="B1108" i="11"/>
  <c r="C1107" i="11"/>
  <c r="B1107" i="11"/>
  <c r="C1106" i="11"/>
  <c r="B1106" i="11"/>
  <c r="C1105" i="11"/>
  <c r="B1105" i="11"/>
  <c r="C1104" i="11"/>
  <c r="B1104" i="11"/>
  <c r="C1103" i="11"/>
  <c r="B1103" i="11"/>
  <c r="C1102" i="11"/>
  <c r="B1102" i="11"/>
  <c r="C1101" i="11"/>
  <c r="B1101" i="11"/>
  <c r="C1100" i="11"/>
  <c r="B1100" i="11"/>
  <c r="C1099" i="11"/>
  <c r="B1099" i="11"/>
  <c r="C1098" i="11"/>
  <c r="B1098" i="11"/>
  <c r="C1097" i="11"/>
  <c r="B1097" i="11"/>
  <c r="C1096" i="11"/>
  <c r="B1096" i="11"/>
  <c r="C1095" i="11"/>
  <c r="B1095" i="11"/>
  <c r="C1094" i="11"/>
  <c r="B1094" i="11"/>
  <c r="C1093" i="11"/>
  <c r="B1093" i="11"/>
  <c r="C1092" i="11"/>
  <c r="B1092" i="11"/>
  <c r="C1091" i="11"/>
  <c r="B1091" i="11"/>
  <c r="C1090" i="11"/>
  <c r="B1090" i="11"/>
  <c r="C1089" i="11"/>
  <c r="B1089" i="11"/>
  <c r="C1088" i="11"/>
  <c r="B1088" i="11"/>
  <c r="C1087" i="11"/>
  <c r="B1087" i="11"/>
  <c r="C1086" i="11"/>
  <c r="B1086" i="11"/>
  <c r="C1085" i="11"/>
  <c r="B1085" i="11"/>
  <c r="C1084" i="11"/>
  <c r="B1084" i="11"/>
  <c r="C1083" i="11"/>
  <c r="B1083" i="11"/>
  <c r="C1082" i="11"/>
  <c r="B1082" i="11"/>
  <c r="C1081" i="11"/>
  <c r="B1081" i="11"/>
  <c r="C1080" i="11"/>
  <c r="B1080" i="11"/>
  <c r="C1079" i="11"/>
  <c r="B1079" i="11"/>
  <c r="C1078" i="11"/>
  <c r="B1078" i="11"/>
  <c r="C1077" i="11"/>
  <c r="B1077" i="11"/>
  <c r="C1076" i="11"/>
  <c r="B1076" i="11"/>
  <c r="C1075" i="11"/>
  <c r="B1075" i="11"/>
  <c r="C1074" i="11"/>
  <c r="B1074" i="11"/>
  <c r="C1073" i="11"/>
  <c r="B1073" i="11"/>
  <c r="C1072" i="11"/>
  <c r="B1072" i="11"/>
  <c r="C1071" i="11"/>
  <c r="B1071" i="11"/>
  <c r="C1070" i="11"/>
  <c r="B1070" i="11"/>
  <c r="C1069" i="11"/>
  <c r="B1069" i="11"/>
  <c r="C1068" i="11"/>
  <c r="B1068" i="11"/>
  <c r="C1067" i="11"/>
  <c r="B1067" i="11"/>
  <c r="C1066" i="11"/>
  <c r="B1066" i="11"/>
  <c r="C1065" i="11"/>
  <c r="B1065" i="11"/>
  <c r="C1064" i="11"/>
  <c r="B1064" i="11"/>
  <c r="C1063" i="11"/>
  <c r="B1063" i="11"/>
  <c r="C1062" i="11"/>
  <c r="B1062" i="11"/>
  <c r="C1061" i="11"/>
  <c r="B1061" i="11"/>
  <c r="C1060" i="11"/>
  <c r="B1060" i="11"/>
  <c r="C1059" i="11"/>
  <c r="B1059" i="11"/>
  <c r="C1058" i="11"/>
  <c r="B1058" i="11"/>
  <c r="C1057" i="11"/>
  <c r="B1057" i="11"/>
  <c r="C1056" i="11"/>
  <c r="B1056" i="11"/>
  <c r="C1055" i="11"/>
  <c r="B1055" i="11"/>
  <c r="C1054" i="11"/>
  <c r="B1054" i="11"/>
  <c r="C1053" i="11"/>
  <c r="B1053" i="11"/>
  <c r="C1052" i="11"/>
  <c r="B1052" i="11"/>
  <c r="C1051" i="11"/>
  <c r="B1051" i="11"/>
  <c r="C1050" i="11"/>
  <c r="B1050" i="11"/>
  <c r="C1049" i="11"/>
  <c r="B1049" i="11"/>
  <c r="C1048" i="11"/>
  <c r="B1048" i="11"/>
  <c r="C1047" i="11"/>
  <c r="B1047" i="11"/>
  <c r="C1046" i="11"/>
  <c r="B1046" i="11"/>
  <c r="C1045" i="11"/>
  <c r="B1045" i="11"/>
  <c r="C1044" i="11"/>
  <c r="B1044" i="11"/>
  <c r="C1043" i="11"/>
  <c r="B1043" i="11"/>
  <c r="C1042" i="11"/>
  <c r="B1042" i="11"/>
  <c r="C1041" i="11"/>
  <c r="B1041" i="11"/>
  <c r="C1040" i="11"/>
  <c r="B1040" i="11"/>
  <c r="C1039" i="11"/>
  <c r="B1039" i="11"/>
  <c r="C1038" i="11"/>
  <c r="B1038" i="11"/>
  <c r="C1037" i="11"/>
  <c r="B1037" i="11"/>
  <c r="C1036" i="11"/>
  <c r="B1036" i="11"/>
  <c r="C1035" i="11"/>
  <c r="B1035" i="11"/>
  <c r="C1034" i="11"/>
  <c r="B1034" i="11"/>
  <c r="C1033" i="11"/>
  <c r="B1033" i="11"/>
  <c r="C1032" i="11"/>
  <c r="B1032" i="11"/>
  <c r="C1031" i="11"/>
  <c r="B1031" i="11"/>
  <c r="C1030" i="11"/>
  <c r="B1030" i="11"/>
  <c r="C1029" i="11"/>
  <c r="B1029" i="11"/>
  <c r="C1028" i="11"/>
  <c r="B1028" i="11"/>
  <c r="C1027" i="11"/>
  <c r="B1027" i="11"/>
  <c r="C1026" i="11"/>
  <c r="B1026" i="11"/>
  <c r="C1025" i="11"/>
  <c r="B1025" i="11"/>
  <c r="C1024" i="11"/>
  <c r="B1024" i="11"/>
  <c r="C1023" i="11"/>
  <c r="B1023" i="11"/>
  <c r="C1022" i="11"/>
  <c r="B1022" i="11"/>
  <c r="C1021" i="11"/>
  <c r="B1021" i="11"/>
  <c r="C1020" i="11"/>
  <c r="B1020" i="11"/>
  <c r="C1019" i="11"/>
  <c r="B1019" i="11"/>
  <c r="C1018" i="11"/>
  <c r="B1018" i="11"/>
  <c r="C1017" i="11"/>
  <c r="B1017" i="11"/>
  <c r="C1016" i="11"/>
  <c r="B1016" i="11"/>
  <c r="C1015" i="11"/>
  <c r="B1015" i="11"/>
  <c r="C1014" i="11"/>
  <c r="B1014" i="11"/>
  <c r="C1013" i="11"/>
  <c r="B1013" i="11"/>
  <c r="C1012" i="11"/>
  <c r="B1012" i="11"/>
  <c r="C1011" i="11"/>
  <c r="B1011" i="11"/>
  <c r="C1010" i="11"/>
  <c r="B1010" i="11"/>
  <c r="C1009" i="11"/>
  <c r="B1009" i="11"/>
  <c r="C1008" i="11"/>
  <c r="B1008" i="11"/>
  <c r="C1007" i="11"/>
  <c r="B1007" i="11"/>
  <c r="C1006" i="11"/>
  <c r="B1006" i="11"/>
  <c r="C1005" i="11"/>
  <c r="B1005" i="11"/>
  <c r="C1004" i="11"/>
  <c r="B1004" i="11"/>
  <c r="C1003" i="11"/>
  <c r="B1003" i="11"/>
  <c r="C1002" i="11"/>
  <c r="B1002" i="11"/>
  <c r="C1001" i="11"/>
  <c r="B1001" i="11"/>
  <c r="C1000" i="11"/>
  <c r="B1000" i="11"/>
  <c r="C999" i="11"/>
  <c r="B999" i="11"/>
  <c r="C998" i="11"/>
  <c r="B998" i="11"/>
  <c r="C997" i="11"/>
  <c r="B997" i="11"/>
  <c r="C996" i="11"/>
  <c r="B996" i="11"/>
  <c r="C995" i="11"/>
  <c r="B995" i="11"/>
  <c r="C994" i="11"/>
  <c r="B994" i="11"/>
  <c r="C993" i="11"/>
  <c r="B993" i="11"/>
  <c r="C992" i="11"/>
  <c r="B992" i="11"/>
  <c r="C991" i="11"/>
  <c r="B991" i="11"/>
  <c r="C990" i="11"/>
  <c r="B990" i="11"/>
  <c r="C989" i="11"/>
  <c r="B989" i="11"/>
  <c r="C988" i="11"/>
  <c r="B988" i="11"/>
  <c r="C987" i="11"/>
  <c r="B987" i="11"/>
  <c r="C986" i="11"/>
  <c r="B986" i="11"/>
  <c r="C985" i="11"/>
  <c r="B985" i="11"/>
  <c r="C984" i="11"/>
  <c r="B984" i="11"/>
  <c r="C983" i="11"/>
  <c r="B983" i="11"/>
  <c r="C982" i="11"/>
  <c r="B982" i="11"/>
  <c r="C981" i="11"/>
  <c r="B981" i="11"/>
  <c r="C980" i="11"/>
  <c r="B980" i="11"/>
  <c r="C979" i="11"/>
  <c r="B979" i="11"/>
  <c r="C978" i="11"/>
  <c r="B978" i="11"/>
  <c r="C977" i="11"/>
  <c r="B977" i="11"/>
  <c r="C976" i="11"/>
  <c r="B976" i="11"/>
  <c r="C975" i="11"/>
  <c r="B975" i="11"/>
  <c r="C974" i="11"/>
  <c r="B974" i="11"/>
  <c r="C973" i="11"/>
  <c r="B973" i="11"/>
  <c r="C972" i="11"/>
  <c r="B972" i="11"/>
  <c r="C971" i="11"/>
  <c r="B971" i="11"/>
  <c r="C970" i="11"/>
  <c r="B970" i="11"/>
  <c r="C969" i="11"/>
  <c r="B969" i="11"/>
  <c r="C968" i="11"/>
  <c r="B968" i="11"/>
  <c r="C967" i="11"/>
  <c r="B967" i="11"/>
  <c r="C966" i="11"/>
  <c r="B966" i="11"/>
  <c r="C965" i="11"/>
  <c r="B965" i="11"/>
  <c r="C964" i="11"/>
  <c r="B964" i="11"/>
  <c r="C963" i="11"/>
  <c r="B963" i="11"/>
  <c r="C962" i="11"/>
  <c r="B962" i="11"/>
  <c r="C961" i="11"/>
  <c r="B961" i="11"/>
  <c r="C960" i="11"/>
  <c r="B960" i="11"/>
  <c r="C959" i="11"/>
  <c r="B959" i="11"/>
  <c r="C958" i="11"/>
  <c r="B958" i="11"/>
  <c r="C957" i="11"/>
  <c r="B957" i="11"/>
  <c r="C956" i="11"/>
  <c r="B956" i="11"/>
  <c r="C955" i="11"/>
  <c r="B955" i="11"/>
  <c r="C954" i="11"/>
  <c r="B954" i="11"/>
  <c r="C953" i="11"/>
  <c r="B953" i="11"/>
  <c r="C952" i="11"/>
  <c r="B952" i="11"/>
  <c r="C951" i="11"/>
  <c r="B951" i="11"/>
  <c r="C950" i="11"/>
  <c r="B950" i="11"/>
  <c r="C949" i="11"/>
  <c r="B949" i="11"/>
  <c r="C948" i="11"/>
  <c r="B948" i="11"/>
  <c r="C947" i="11"/>
  <c r="B947" i="11"/>
  <c r="C946" i="11"/>
  <c r="B946" i="11"/>
  <c r="C945" i="11"/>
  <c r="B945" i="11"/>
  <c r="C944" i="11"/>
  <c r="B944" i="11"/>
  <c r="C943" i="11"/>
  <c r="B943" i="11"/>
  <c r="C942" i="11"/>
  <c r="B942" i="11"/>
  <c r="C941" i="11"/>
  <c r="B941" i="11"/>
  <c r="C940" i="11"/>
  <c r="B940" i="11"/>
  <c r="C939" i="11"/>
  <c r="B939" i="11"/>
  <c r="C938" i="11"/>
  <c r="B938" i="11"/>
  <c r="C937" i="11"/>
  <c r="B937" i="11"/>
  <c r="C936" i="11"/>
  <c r="B936" i="11"/>
  <c r="C935" i="11"/>
  <c r="B935" i="11"/>
  <c r="C934" i="11"/>
  <c r="B934" i="11"/>
  <c r="C933" i="11"/>
  <c r="B933" i="11"/>
  <c r="C932" i="11"/>
  <c r="B932" i="11"/>
  <c r="C931" i="11"/>
  <c r="B931" i="11"/>
  <c r="C930" i="11"/>
  <c r="B930" i="11"/>
  <c r="C929" i="11"/>
  <c r="B929" i="11"/>
  <c r="C928" i="11"/>
  <c r="B928" i="11"/>
  <c r="C927" i="11"/>
  <c r="B927" i="11"/>
  <c r="C926" i="11"/>
  <c r="B926" i="11"/>
  <c r="C925" i="11"/>
  <c r="B925" i="11"/>
  <c r="C924" i="11"/>
  <c r="B924" i="11"/>
  <c r="C923" i="11"/>
  <c r="B923" i="11"/>
  <c r="C922" i="11"/>
  <c r="B922" i="11"/>
  <c r="C921" i="11"/>
  <c r="B921" i="11"/>
  <c r="C920" i="11"/>
  <c r="B920" i="11"/>
  <c r="C919" i="11"/>
  <c r="B919" i="11"/>
  <c r="C918" i="11"/>
  <c r="B918" i="11"/>
  <c r="C917" i="11"/>
  <c r="B917" i="11"/>
  <c r="C916" i="11"/>
  <c r="B916" i="11"/>
  <c r="C915" i="11"/>
  <c r="B915" i="11"/>
  <c r="C914" i="11"/>
  <c r="B914" i="11"/>
  <c r="C913" i="11"/>
  <c r="B913" i="11"/>
  <c r="C912" i="11"/>
  <c r="B912" i="11"/>
  <c r="C911" i="11"/>
  <c r="B911" i="11"/>
  <c r="C910" i="11"/>
  <c r="B910" i="11"/>
  <c r="C909" i="11"/>
  <c r="B909" i="11"/>
  <c r="C908" i="11"/>
  <c r="B908" i="11"/>
  <c r="C907" i="11"/>
  <c r="B907" i="11"/>
  <c r="C906" i="11"/>
  <c r="B906" i="11"/>
  <c r="C905" i="11"/>
  <c r="B905" i="11"/>
  <c r="C904" i="11"/>
  <c r="B904" i="11"/>
  <c r="C903" i="11"/>
  <c r="B903" i="11"/>
  <c r="C902" i="11"/>
  <c r="B902" i="11"/>
  <c r="C901" i="11"/>
  <c r="B901" i="11"/>
  <c r="C900" i="11"/>
  <c r="B900" i="11"/>
  <c r="C899" i="11"/>
  <c r="B899" i="11"/>
  <c r="C898" i="11"/>
  <c r="B898" i="11"/>
  <c r="C897" i="11"/>
  <c r="B897" i="11"/>
  <c r="C896" i="11"/>
  <c r="B896" i="11"/>
  <c r="C895" i="11"/>
  <c r="B895" i="11"/>
  <c r="C894" i="11"/>
  <c r="B894" i="11"/>
  <c r="C893" i="11"/>
  <c r="B893" i="11"/>
  <c r="C892" i="11"/>
  <c r="B892" i="11"/>
  <c r="C891" i="11"/>
  <c r="B891" i="11"/>
  <c r="C890" i="11"/>
  <c r="B890" i="11"/>
  <c r="C889" i="11"/>
  <c r="B889" i="11"/>
  <c r="C888" i="11"/>
  <c r="B888" i="11"/>
  <c r="C887" i="11"/>
  <c r="B887" i="11"/>
  <c r="C886" i="11"/>
  <c r="B886" i="11"/>
  <c r="C885" i="11"/>
  <c r="B885" i="11"/>
  <c r="C884" i="11"/>
  <c r="B884" i="11"/>
  <c r="C883" i="11"/>
  <c r="B883" i="11"/>
  <c r="C882" i="11"/>
  <c r="B882" i="11"/>
  <c r="C881" i="11"/>
  <c r="B881" i="11"/>
  <c r="C880" i="11"/>
  <c r="B880" i="11"/>
  <c r="C879" i="11"/>
  <c r="B879" i="11"/>
  <c r="C878" i="11"/>
  <c r="B878" i="11"/>
  <c r="C877" i="11"/>
  <c r="B877" i="11"/>
  <c r="C876" i="11"/>
  <c r="B876" i="11"/>
  <c r="C875" i="11"/>
  <c r="B875" i="11"/>
  <c r="C874" i="11"/>
  <c r="B874" i="11"/>
  <c r="C873" i="11"/>
  <c r="B873" i="11"/>
  <c r="C872" i="11"/>
  <c r="B872" i="11"/>
  <c r="C871" i="11"/>
  <c r="B871" i="11"/>
  <c r="C870" i="11"/>
  <c r="B870" i="11"/>
  <c r="C869" i="11"/>
  <c r="B869" i="11"/>
  <c r="C868" i="11"/>
  <c r="B868" i="11"/>
  <c r="C867" i="11"/>
  <c r="B867" i="11"/>
  <c r="C866" i="11"/>
  <c r="B866" i="11"/>
  <c r="C865" i="11"/>
  <c r="B865" i="11"/>
  <c r="C864" i="11"/>
  <c r="B864" i="11"/>
  <c r="C863" i="11"/>
  <c r="B863" i="11"/>
  <c r="C862" i="11"/>
  <c r="B862" i="11"/>
  <c r="C861" i="11"/>
  <c r="B861" i="11"/>
  <c r="C860" i="11"/>
  <c r="B860" i="11"/>
  <c r="C859" i="11"/>
  <c r="B859" i="11"/>
  <c r="C858" i="11"/>
  <c r="B858" i="11"/>
  <c r="C857" i="11"/>
  <c r="B857" i="11"/>
  <c r="C856" i="11"/>
  <c r="B856" i="11"/>
  <c r="C855" i="11"/>
  <c r="B855" i="11"/>
  <c r="C854" i="11"/>
  <c r="B854" i="11"/>
  <c r="C853" i="11"/>
  <c r="B853" i="11"/>
  <c r="C852" i="11"/>
  <c r="B852" i="11"/>
  <c r="C851" i="11"/>
  <c r="B851" i="11"/>
  <c r="C850" i="11"/>
  <c r="B850" i="11"/>
  <c r="C849" i="11"/>
  <c r="B849" i="11"/>
  <c r="C848" i="11"/>
  <c r="B848" i="11"/>
  <c r="C847" i="11"/>
  <c r="B847" i="11"/>
  <c r="C846" i="11"/>
  <c r="B846" i="11"/>
  <c r="C845" i="11"/>
  <c r="B845" i="11"/>
  <c r="C844" i="11"/>
  <c r="B844" i="11"/>
  <c r="C843" i="11"/>
  <c r="B843" i="11"/>
  <c r="C842" i="11"/>
  <c r="B842" i="11"/>
  <c r="C841" i="11"/>
  <c r="B841" i="11"/>
  <c r="C840" i="11"/>
  <c r="B840" i="11"/>
  <c r="C839" i="11"/>
  <c r="B839" i="11"/>
  <c r="C838" i="11"/>
  <c r="B838" i="11"/>
  <c r="C837" i="11"/>
  <c r="B837" i="11"/>
  <c r="C836" i="11"/>
  <c r="B836" i="11"/>
  <c r="C835" i="11"/>
  <c r="B835" i="11"/>
  <c r="C834" i="11"/>
  <c r="B834" i="11"/>
  <c r="C833" i="11"/>
  <c r="B833" i="11"/>
  <c r="C832" i="11"/>
  <c r="B832" i="11"/>
  <c r="C831" i="11"/>
  <c r="B831" i="11"/>
  <c r="C830" i="11"/>
  <c r="B830" i="11"/>
  <c r="C829" i="11"/>
  <c r="B829" i="11"/>
  <c r="C828" i="11"/>
  <c r="B828" i="11"/>
  <c r="C827" i="11"/>
  <c r="B827" i="11"/>
  <c r="C826" i="11"/>
  <c r="B826" i="11"/>
  <c r="C825" i="11"/>
  <c r="B825" i="11"/>
  <c r="C824" i="11"/>
  <c r="B824" i="11"/>
  <c r="C823" i="11"/>
  <c r="B823" i="11"/>
  <c r="C822" i="11"/>
  <c r="B822" i="11"/>
  <c r="C821" i="11"/>
  <c r="B821" i="11"/>
  <c r="C820" i="11"/>
  <c r="B820" i="11"/>
  <c r="C819" i="11"/>
  <c r="B819" i="11"/>
  <c r="C818" i="11"/>
  <c r="B818" i="11"/>
  <c r="C817" i="11"/>
  <c r="B817" i="11"/>
  <c r="C816" i="11"/>
  <c r="B816" i="11"/>
  <c r="C815" i="11"/>
  <c r="B815" i="11"/>
  <c r="C814" i="11"/>
  <c r="B814" i="11"/>
  <c r="C813" i="11"/>
  <c r="B813" i="11"/>
  <c r="C812" i="11"/>
  <c r="B812" i="11"/>
  <c r="C811" i="11"/>
  <c r="B811" i="11"/>
  <c r="C810" i="11"/>
  <c r="B810" i="11"/>
  <c r="C809" i="11"/>
  <c r="B809" i="11"/>
  <c r="C808" i="11"/>
  <c r="B808" i="11"/>
  <c r="C807" i="11"/>
  <c r="B807" i="11"/>
  <c r="C806" i="11"/>
  <c r="B806" i="11"/>
  <c r="C805" i="11"/>
  <c r="B805" i="11"/>
  <c r="C804" i="11"/>
  <c r="B804" i="11"/>
  <c r="C803" i="11"/>
  <c r="B803" i="11"/>
  <c r="C802" i="11"/>
  <c r="B802" i="11"/>
  <c r="C801" i="11"/>
  <c r="B801" i="11"/>
  <c r="C800" i="11"/>
  <c r="B800" i="11"/>
  <c r="C799" i="11"/>
  <c r="B799" i="11"/>
  <c r="C798" i="11"/>
  <c r="B798" i="11"/>
  <c r="C797" i="11"/>
  <c r="B797" i="11"/>
  <c r="C796" i="11"/>
  <c r="B796" i="11"/>
  <c r="C795" i="11"/>
  <c r="B795" i="11"/>
  <c r="C794" i="11"/>
  <c r="B794" i="11"/>
  <c r="C793" i="11"/>
  <c r="B793" i="11"/>
  <c r="C792" i="11"/>
  <c r="B792" i="11"/>
  <c r="C791" i="11"/>
  <c r="B791" i="11"/>
  <c r="C790" i="11"/>
  <c r="B790" i="11"/>
  <c r="C789" i="11"/>
  <c r="B789" i="11"/>
  <c r="C788" i="11"/>
  <c r="B788" i="11"/>
  <c r="C787" i="11"/>
  <c r="B787" i="11"/>
  <c r="C786" i="11"/>
  <c r="B786" i="11"/>
  <c r="C785" i="11"/>
  <c r="B785" i="11"/>
  <c r="C784" i="11"/>
  <c r="B784" i="11"/>
  <c r="C783" i="11"/>
  <c r="B783" i="11"/>
  <c r="C782" i="11"/>
  <c r="B782" i="11"/>
  <c r="C781" i="11"/>
  <c r="B781" i="11"/>
  <c r="C780" i="11"/>
  <c r="B780" i="11"/>
  <c r="C779" i="11"/>
  <c r="B779" i="11"/>
  <c r="C778" i="11"/>
  <c r="B778" i="11"/>
  <c r="C777" i="11"/>
  <c r="B777" i="11"/>
  <c r="C776" i="11"/>
  <c r="B776" i="11"/>
  <c r="C775" i="11"/>
  <c r="B775" i="11"/>
  <c r="C774" i="11"/>
  <c r="B774" i="11"/>
  <c r="C773" i="11"/>
  <c r="B773" i="11"/>
  <c r="C772" i="11"/>
  <c r="B772" i="11"/>
  <c r="C771" i="11"/>
  <c r="B771" i="11"/>
  <c r="C770" i="11"/>
  <c r="B770" i="11"/>
  <c r="C769" i="11"/>
  <c r="B769" i="11"/>
  <c r="C768" i="11"/>
  <c r="B768" i="11"/>
  <c r="C767" i="11"/>
  <c r="B767" i="11"/>
  <c r="C766" i="11"/>
  <c r="B766" i="11"/>
  <c r="C765" i="11"/>
  <c r="B765" i="11"/>
  <c r="C764" i="11"/>
  <c r="B764" i="11"/>
  <c r="C763" i="11"/>
  <c r="B763" i="11"/>
  <c r="C762" i="11"/>
  <c r="B762" i="11"/>
  <c r="C761" i="11"/>
  <c r="B761" i="11"/>
  <c r="C760" i="11"/>
  <c r="B760" i="11"/>
  <c r="C759" i="11"/>
  <c r="B759" i="11"/>
  <c r="C758" i="11"/>
  <c r="B758" i="11"/>
  <c r="C757" i="11"/>
  <c r="B757" i="11"/>
  <c r="C756" i="11"/>
  <c r="B756" i="11"/>
  <c r="C755" i="11"/>
  <c r="B755" i="11"/>
  <c r="C754" i="11"/>
  <c r="B754" i="11"/>
  <c r="C753" i="11"/>
  <c r="B753" i="11"/>
  <c r="C752" i="11"/>
  <c r="B752" i="11"/>
  <c r="C751" i="11"/>
  <c r="B751" i="11"/>
  <c r="C750" i="11"/>
  <c r="B750" i="11"/>
  <c r="C749" i="11"/>
  <c r="B749" i="11"/>
  <c r="C748" i="11"/>
  <c r="B748" i="11"/>
  <c r="C747" i="11"/>
  <c r="B747" i="11"/>
  <c r="C746" i="11"/>
  <c r="B746" i="11"/>
  <c r="C745" i="11"/>
  <c r="B745" i="11"/>
  <c r="C744" i="11"/>
  <c r="B744" i="11"/>
  <c r="C743" i="11"/>
  <c r="B743" i="11"/>
  <c r="C742" i="11"/>
  <c r="B742" i="11"/>
  <c r="C741" i="11"/>
  <c r="B741" i="11"/>
  <c r="C740" i="11"/>
  <c r="B740" i="11"/>
  <c r="C739" i="11"/>
  <c r="B739" i="11"/>
  <c r="C738" i="11"/>
  <c r="B738" i="11"/>
  <c r="C737" i="11"/>
  <c r="B737" i="11"/>
  <c r="C736" i="11"/>
  <c r="B736" i="11"/>
  <c r="C735" i="11"/>
  <c r="B735" i="11"/>
  <c r="C734" i="11"/>
  <c r="B734" i="11"/>
  <c r="C733" i="11"/>
  <c r="B733" i="11"/>
  <c r="C732" i="11"/>
  <c r="B732" i="11"/>
  <c r="C731" i="11"/>
  <c r="B731" i="11"/>
  <c r="C730" i="11"/>
  <c r="B730" i="11"/>
  <c r="C729" i="11"/>
  <c r="B729" i="11"/>
  <c r="C728" i="11"/>
  <c r="B728" i="11"/>
  <c r="C727" i="11"/>
  <c r="B727" i="11"/>
  <c r="C726" i="11"/>
  <c r="B726" i="11"/>
  <c r="C725" i="11"/>
  <c r="B725" i="11"/>
  <c r="C724" i="11"/>
  <c r="B724" i="11"/>
  <c r="C723" i="11"/>
  <c r="B723" i="11"/>
  <c r="C722" i="11"/>
  <c r="B722" i="11"/>
  <c r="C721" i="11"/>
  <c r="B721" i="11"/>
  <c r="C720" i="11"/>
  <c r="B720" i="11"/>
  <c r="C719" i="11"/>
  <c r="B719" i="11"/>
  <c r="C718" i="11"/>
  <c r="B718" i="11"/>
  <c r="C717" i="11"/>
  <c r="B717" i="11"/>
  <c r="C716" i="11"/>
  <c r="B716" i="11"/>
  <c r="C715" i="11"/>
  <c r="B715" i="11"/>
  <c r="C714" i="11"/>
  <c r="B714" i="11"/>
  <c r="C713" i="11"/>
  <c r="B713" i="11"/>
  <c r="C712" i="11"/>
  <c r="B712" i="11"/>
  <c r="C711" i="11"/>
  <c r="B711" i="11"/>
  <c r="C710" i="11"/>
  <c r="B710" i="11"/>
  <c r="C709" i="11"/>
  <c r="B709" i="11"/>
  <c r="C708" i="11"/>
  <c r="B708" i="11"/>
  <c r="C707" i="11"/>
  <c r="B707" i="11"/>
  <c r="C706" i="11"/>
  <c r="B706" i="11"/>
  <c r="C705" i="11"/>
  <c r="B705" i="11"/>
  <c r="C704" i="11"/>
  <c r="B704" i="11"/>
  <c r="C703" i="11"/>
  <c r="B703" i="11"/>
  <c r="C702" i="11"/>
  <c r="B702" i="11"/>
  <c r="C701" i="11"/>
  <c r="B701" i="11"/>
  <c r="C700" i="11"/>
  <c r="B700" i="11"/>
  <c r="C699" i="11"/>
  <c r="B699" i="11"/>
  <c r="C698" i="11"/>
  <c r="B698" i="11"/>
  <c r="C697" i="11"/>
  <c r="B697" i="11"/>
  <c r="C696" i="11"/>
  <c r="B696" i="11"/>
  <c r="C695" i="11"/>
  <c r="B695" i="11"/>
  <c r="C694" i="11"/>
  <c r="B694" i="11"/>
  <c r="C693" i="11"/>
  <c r="B693" i="11"/>
  <c r="C692" i="11"/>
  <c r="B692" i="11"/>
  <c r="C691" i="11"/>
  <c r="B691" i="11"/>
  <c r="C690" i="11"/>
  <c r="B690" i="11"/>
  <c r="C689" i="11"/>
  <c r="B689" i="11"/>
  <c r="C688" i="11"/>
  <c r="B688" i="11"/>
  <c r="C687" i="11"/>
  <c r="B687" i="11"/>
  <c r="C686" i="11"/>
  <c r="B686" i="11"/>
  <c r="C685" i="11"/>
  <c r="B685" i="11"/>
  <c r="C684" i="11"/>
  <c r="B684" i="11"/>
  <c r="C683" i="11"/>
  <c r="B683" i="11"/>
  <c r="C682" i="11"/>
  <c r="B682" i="11"/>
  <c r="C681" i="11"/>
  <c r="B681" i="11"/>
  <c r="C680" i="11"/>
  <c r="B680" i="11"/>
  <c r="C679" i="11"/>
  <c r="B679" i="11"/>
  <c r="C678" i="11"/>
  <c r="B678" i="11"/>
  <c r="C677" i="11"/>
  <c r="B677" i="11"/>
  <c r="C676" i="11"/>
  <c r="B676" i="11"/>
  <c r="C675" i="11"/>
  <c r="B675" i="11"/>
  <c r="C674" i="11"/>
  <c r="B674" i="11"/>
  <c r="C673" i="11"/>
  <c r="B673" i="11"/>
  <c r="C672" i="11"/>
  <c r="B672" i="11"/>
  <c r="C671" i="11"/>
  <c r="B671" i="11"/>
  <c r="C670" i="11"/>
  <c r="B670" i="11"/>
  <c r="C669" i="11"/>
  <c r="B669" i="11"/>
  <c r="C668" i="11"/>
  <c r="B668" i="11"/>
  <c r="C667" i="11"/>
  <c r="B667" i="11"/>
  <c r="C666" i="11"/>
  <c r="B666" i="11"/>
  <c r="C665" i="11"/>
  <c r="B665" i="11"/>
  <c r="C664" i="11"/>
  <c r="B664" i="11"/>
  <c r="C663" i="11"/>
  <c r="B663" i="11"/>
  <c r="C662" i="11"/>
  <c r="B662" i="11"/>
  <c r="C661" i="11"/>
  <c r="B661" i="11"/>
  <c r="C660" i="11"/>
  <c r="B660" i="11"/>
  <c r="C659" i="11"/>
  <c r="B659" i="11"/>
  <c r="C658" i="11"/>
  <c r="B658" i="11"/>
  <c r="C657" i="11"/>
  <c r="B657" i="11"/>
  <c r="C656" i="11"/>
  <c r="B656" i="11"/>
  <c r="C655" i="11"/>
  <c r="B655" i="11"/>
  <c r="C654" i="11"/>
  <c r="B654" i="11"/>
  <c r="C653" i="11"/>
  <c r="B653" i="11"/>
  <c r="C652" i="11"/>
  <c r="B652" i="11"/>
  <c r="C651" i="11"/>
  <c r="B651" i="11"/>
  <c r="C650" i="11"/>
  <c r="B650" i="11"/>
  <c r="C649" i="11"/>
  <c r="B649" i="11"/>
  <c r="C648" i="11"/>
  <c r="B648" i="11"/>
  <c r="C647" i="11"/>
  <c r="B647" i="11"/>
  <c r="C646" i="11"/>
  <c r="B646" i="11"/>
  <c r="C645" i="11"/>
  <c r="B645" i="11"/>
  <c r="C644" i="11"/>
  <c r="B644" i="11"/>
  <c r="C643" i="11"/>
  <c r="B643" i="11"/>
  <c r="C642" i="11"/>
  <c r="B642" i="11"/>
  <c r="C641" i="11"/>
  <c r="B641" i="11"/>
  <c r="C640" i="11"/>
  <c r="B640" i="11"/>
  <c r="C639" i="11"/>
  <c r="B639" i="11"/>
  <c r="C638" i="11"/>
  <c r="B638" i="11"/>
  <c r="C637" i="11"/>
  <c r="B637" i="11"/>
  <c r="C636" i="11"/>
  <c r="B636" i="11"/>
  <c r="C635" i="11"/>
  <c r="B635" i="11"/>
  <c r="C634" i="11"/>
  <c r="B634" i="11"/>
  <c r="C633" i="11"/>
  <c r="B633" i="11"/>
  <c r="C632" i="11"/>
  <c r="B632" i="11"/>
  <c r="C631" i="11"/>
  <c r="B631" i="11"/>
  <c r="C630" i="11"/>
  <c r="B630" i="11"/>
  <c r="C629" i="11"/>
  <c r="B629" i="11"/>
  <c r="C628" i="11"/>
  <c r="B628" i="11"/>
  <c r="C627" i="11"/>
  <c r="B627" i="11"/>
  <c r="C626" i="11"/>
  <c r="B626" i="11"/>
  <c r="C625" i="11"/>
  <c r="B625" i="11"/>
  <c r="C624" i="11"/>
  <c r="B624" i="11"/>
  <c r="C623" i="11"/>
  <c r="B623" i="11"/>
  <c r="C622" i="11"/>
  <c r="B622" i="11"/>
  <c r="C621" i="11"/>
  <c r="B621" i="11"/>
  <c r="C620" i="11"/>
  <c r="B620" i="11"/>
  <c r="C619" i="11"/>
  <c r="B619" i="11"/>
  <c r="C618" i="11"/>
  <c r="B618" i="11"/>
  <c r="C617" i="11"/>
  <c r="B617" i="11"/>
  <c r="C616" i="11"/>
  <c r="B616" i="11"/>
  <c r="C615" i="11"/>
  <c r="B615" i="11"/>
  <c r="C614" i="11"/>
  <c r="B614" i="11"/>
  <c r="C613" i="11"/>
  <c r="B613" i="11"/>
  <c r="C612" i="11"/>
  <c r="B612" i="11"/>
  <c r="C611" i="11"/>
  <c r="B611" i="11"/>
  <c r="C610" i="11"/>
  <c r="B610" i="11"/>
  <c r="C609" i="11"/>
  <c r="B609" i="11"/>
  <c r="C608" i="11"/>
  <c r="B608" i="11"/>
  <c r="C607" i="11"/>
  <c r="B607" i="11"/>
  <c r="C606" i="11"/>
  <c r="B606" i="11"/>
  <c r="C605" i="11"/>
  <c r="B605" i="11"/>
  <c r="C604" i="11"/>
  <c r="B604" i="11"/>
  <c r="C603" i="11"/>
  <c r="B603" i="11"/>
  <c r="C602" i="11"/>
  <c r="B602" i="11"/>
  <c r="C601" i="11"/>
  <c r="B601" i="11"/>
  <c r="C600" i="11"/>
  <c r="B600" i="11"/>
  <c r="C599" i="11"/>
  <c r="B599" i="11"/>
  <c r="C598" i="11"/>
  <c r="B598" i="11"/>
  <c r="C597" i="11"/>
  <c r="B597" i="11"/>
  <c r="C596" i="11"/>
  <c r="B596" i="11"/>
  <c r="C595" i="11"/>
  <c r="B595" i="11"/>
  <c r="C594" i="11"/>
  <c r="B594" i="11"/>
  <c r="C593" i="11"/>
  <c r="B593" i="11"/>
  <c r="C592" i="11"/>
  <c r="B592" i="11"/>
  <c r="C591" i="11"/>
  <c r="B591" i="11"/>
  <c r="C590" i="11"/>
  <c r="B590" i="11"/>
  <c r="C589" i="11"/>
  <c r="B589" i="11"/>
  <c r="C588" i="11"/>
  <c r="B588" i="11"/>
  <c r="C587" i="11"/>
  <c r="B587" i="11"/>
  <c r="C586" i="11"/>
  <c r="B586" i="11"/>
  <c r="C585" i="11"/>
  <c r="B585" i="11"/>
  <c r="C584" i="11"/>
  <c r="B584" i="11"/>
  <c r="C583" i="11"/>
  <c r="B583" i="11"/>
  <c r="C582" i="11"/>
  <c r="B582" i="11"/>
  <c r="C581" i="11"/>
  <c r="B581" i="11"/>
  <c r="C580" i="11"/>
  <c r="B580" i="11"/>
  <c r="C579" i="11"/>
  <c r="B579" i="11"/>
  <c r="C578" i="11"/>
  <c r="B578" i="11"/>
  <c r="C577" i="11"/>
  <c r="B577" i="11"/>
  <c r="C576" i="11"/>
  <c r="B576" i="11"/>
  <c r="C575" i="11"/>
  <c r="B575" i="11"/>
  <c r="C574" i="11"/>
  <c r="B574" i="11"/>
  <c r="C573" i="11"/>
  <c r="B573" i="11"/>
  <c r="C572" i="11"/>
  <c r="B572" i="11"/>
  <c r="C571" i="11"/>
  <c r="B571" i="11"/>
  <c r="C570" i="11"/>
  <c r="B570" i="11"/>
  <c r="C569" i="11"/>
  <c r="B569" i="11"/>
  <c r="C568" i="11"/>
  <c r="B568" i="11"/>
  <c r="C567" i="11"/>
  <c r="B567" i="11"/>
  <c r="C566" i="11"/>
  <c r="B566" i="11"/>
  <c r="C565" i="11"/>
  <c r="B565" i="11"/>
  <c r="C564" i="11"/>
  <c r="B564" i="11"/>
  <c r="C563" i="11"/>
  <c r="B563" i="11"/>
  <c r="C562" i="11"/>
  <c r="B562" i="11"/>
  <c r="C561" i="11"/>
  <c r="B561" i="11"/>
  <c r="C560" i="11"/>
  <c r="B560" i="11"/>
  <c r="C559" i="11"/>
  <c r="B559" i="11"/>
  <c r="C558" i="11"/>
  <c r="B558" i="11"/>
  <c r="C557" i="11"/>
  <c r="B557" i="11"/>
  <c r="C556" i="11"/>
  <c r="B556" i="11"/>
  <c r="C555" i="11"/>
  <c r="B555" i="11"/>
  <c r="C554" i="11"/>
  <c r="B554" i="11"/>
  <c r="C553" i="11"/>
  <c r="B553" i="11"/>
  <c r="C552" i="11"/>
  <c r="B552" i="11"/>
  <c r="C551" i="11"/>
  <c r="B551" i="11"/>
  <c r="C550" i="11"/>
  <c r="B550" i="11"/>
  <c r="C549" i="11"/>
  <c r="B549" i="11"/>
  <c r="C548" i="11"/>
  <c r="B548" i="11"/>
  <c r="C547" i="11"/>
  <c r="B547" i="11"/>
  <c r="C546" i="11"/>
  <c r="B546" i="11"/>
  <c r="C545" i="11"/>
  <c r="B545" i="11"/>
  <c r="C544" i="11"/>
  <c r="B544" i="11"/>
  <c r="C543" i="11"/>
  <c r="B543" i="11"/>
  <c r="C542" i="11"/>
  <c r="B542" i="11"/>
  <c r="C541" i="11"/>
  <c r="B541" i="11"/>
  <c r="C540" i="11"/>
  <c r="B540" i="11"/>
  <c r="C539" i="11"/>
  <c r="B539" i="11"/>
  <c r="C538" i="11"/>
  <c r="B538" i="11"/>
  <c r="C537" i="11"/>
  <c r="B537" i="11"/>
  <c r="C536" i="11"/>
  <c r="B536" i="11"/>
  <c r="C535" i="11"/>
  <c r="B535" i="11"/>
  <c r="C534" i="11"/>
  <c r="B534" i="11"/>
  <c r="C533" i="11"/>
  <c r="B533" i="11"/>
  <c r="C532" i="11"/>
  <c r="B532" i="11"/>
  <c r="C531" i="11"/>
  <c r="B531" i="11"/>
  <c r="C530" i="11"/>
  <c r="B530" i="11"/>
  <c r="C529" i="11"/>
  <c r="B529" i="11"/>
  <c r="C528" i="11"/>
  <c r="B528" i="11"/>
  <c r="C527" i="11"/>
  <c r="B527" i="11"/>
  <c r="C526" i="11"/>
  <c r="B526" i="11"/>
  <c r="C525" i="11"/>
  <c r="B525" i="11"/>
  <c r="C524" i="11"/>
  <c r="B524" i="11"/>
  <c r="C523" i="11"/>
  <c r="B523" i="11"/>
  <c r="C522" i="11"/>
  <c r="B522" i="11"/>
  <c r="C521" i="11"/>
  <c r="B521" i="11"/>
  <c r="C520" i="11"/>
  <c r="B520" i="11"/>
  <c r="C519" i="11"/>
  <c r="B519" i="11"/>
  <c r="C518" i="11"/>
  <c r="B518" i="11"/>
  <c r="C517" i="11"/>
  <c r="B517" i="11"/>
  <c r="C516" i="11"/>
  <c r="B516" i="11"/>
  <c r="C515" i="11"/>
  <c r="B515" i="11"/>
  <c r="C514" i="11"/>
  <c r="B514" i="11"/>
  <c r="C513" i="11"/>
  <c r="B513" i="11"/>
  <c r="C512" i="11"/>
  <c r="B512" i="11"/>
  <c r="C511" i="11"/>
  <c r="B511" i="11"/>
  <c r="C510" i="11"/>
  <c r="B510" i="11"/>
  <c r="C509" i="11"/>
  <c r="B509" i="11"/>
  <c r="C508" i="11"/>
  <c r="B508" i="11"/>
  <c r="C507" i="11"/>
  <c r="B507" i="11"/>
  <c r="C506" i="11"/>
  <c r="B506" i="11"/>
  <c r="C505" i="11"/>
  <c r="B505" i="11"/>
  <c r="C504" i="11"/>
  <c r="B504" i="11"/>
  <c r="C503" i="11"/>
  <c r="B503" i="11"/>
  <c r="C502" i="11"/>
  <c r="B502" i="11"/>
  <c r="C501" i="11"/>
  <c r="B501" i="11"/>
  <c r="C500" i="11"/>
  <c r="B500" i="11"/>
  <c r="C499" i="11"/>
  <c r="B499" i="11"/>
  <c r="C498" i="11"/>
  <c r="B498" i="11"/>
  <c r="C497" i="11"/>
  <c r="B497" i="11"/>
  <c r="C496" i="11"/>
  <c r="B496" i="11"/>
  <c r="C495" i="11"/>
  <c r="B495" i="11"/>
  <c r="C494" i="11"/>
  <c r="B494" i="11"/>
  <c r="C493" i="11"/>
  <c r="B493" i="11"/>
  <c r="C492" i="11"/>
  <c r="B492" i="11"/>
  <c r="C491" i="11"/>
  <c r="B491" i="11"/>
  <c r="C490" i="11"/>
  <c r="B490" i="11"/>
  <c r="C489" i="11"/>
  <c r="B489" i="11"/>
  <c r="C488" i="11"/>
  <c r="B488" i="11"/>
  <c r="C487" i="11"/>
  <c r="B487" i="11"/>
  <c r="C486" i="11"/>
  <c r="B486" i="11"/>
  <c r="C485" i="11"/>
  <c r="B485" i="11"/>
  <c r="C484" i="11"/>
  <c r="B484" i="11"/>
  <c r="C483" i="11"/>
  <c r="B483" i="11"/>
  <c r="C482" i="11"/>
  <c r="B482" i="11"/>
  <c r="C481" i="11"/>
  <c r="B481" i="11"/>
  <c r="C480" i="11"/>
  <c r="B480" i="11"/>
  <c r="C479" i="11"/>
  <c r="B479" i="11"/>
  <c r="C478" i="11"/>
  <c r="B478" i="11"/>
  <c r="C477" i="11"/>
  <c r="B477" i="11"/>
  <c r="C476" i="11"/>
  <c r="B476" i="11"/>
  <c r="C475" i="11"/>
  <c r="B475" i="11"/>
  <c r="C474" i="11"/>
  <c r="B474" i="11"/>
  <c r="C473" i="11"/>
  <c r="B473" i="11"/>
  <c r="C472" i="11"/>
  <c r="B472" i="11"/>
  <c r="C471" i="11"/>
  <c r="B471" i="11"/>
  <c r="C470" i="11"/>
  <c r="B470" i="11"/>
  <c r="C469" i="11"/>
  <c r="B469" i="11"/>
  <c r="C468" i="11"/>
  <c r="B468" i="11"/>
  <c r="C467" i="11"/>
  <c r="B467" i="11"/>
  <c r="C466" i="11"/>
  <c r="B466" i="11"/>
  <c r="C465" i="11"/>
  <c r="B465" i="11"/>
  <c r="C464" i="11"/>
  <c r="B464" i="11"/>
  <c r="C463" i="11"/>
  <c r="B463" i="11"/>
  <c r="C462" i="11"/>
  <c r="B462" i="11"/>
  <c r="C461" i="11"/>
  <c r="B461" i="11"/>
  <c r="C460" i="11"/>
  <c r="B460" i="11"/>
  <c r="C459" i="11"/>
  <c r="B459" i="11"/>
  <c r="C458" i="11"/>
  <c r="B458" i="11"/>
  <c r="C457" i="11"/>
  <c r="B457" i="11"/>
  <c r="C456" i="11"/>
  <c r="B456" i="11"/>
  <c r="C455" i="11"/>
  <c r="B455" i="11"/>
  <c r="C454" i="11"/>
  <c r="B454" i="11"/>
  <c r="C453" i="11"/>
  <c r="B453" i="11"/>
  <c r="C452" i="11"/>
  <c r="B452" i="11"/>
  <c r="C451" i="11"/>
  <c r="B451" i="11"/>
  <c r="C450" i="11"/>
  <c r="B450" i="11"/>
  <c r="C449" i="11"/>
  <c r="B449" i="11"/>
  <c r="C448" i="11"/>
  <c r="B448" i="11"/>
  <c r="C447" i="11"/>
  <c r="B447" i="11"/>
  <c r="C446" i="11"/>
  <c r="B446" i="11"/>
  <c r="C445" i="11"/>
  <c r="B445" i="11"/>
  <c r="C444" i="11"/>
  <c r="B444" i="11"/>
  <c r="C443" i="11"/>
  <c r="B443" i="11"/>
  <c r="C442" i="11"/>
  <c r="B442" i="11"/>
  <c r="C441" i="11"/>
  <c r="B441" i="11"/>
  <c r="C440" i="11"/>
  <c r="B440" i="11"/>
  <c r="C439" i="11"/>
  <c r="B439" i="11"/>
  <c r="C438" i="11"/>
  <c r="B438" i="11"/>
  <c r="C437" i="11"/>
  <c r="B437" i="11"/>
  <c r="C436" i="11"/>
  <c r="B436" i="11"/>
  <c r="C435" i="11"/>
  <c r="B435" i="11"/>
  <c r="C434" i="11"/>
  <c r="B434" i="11"/>
  <c r="C433" i="11"/>
  <c r="B433" i="11"/>
  <c r="C432" i="11"/>
  <c r="B432" i="11"/>
  <c r="C431" i="11"/>
  <c r="B431" i="11"/>
  <c r="C430" i="11"/>
  <c r="B430" i="11"/>
  <c r="C429" i="11"/>
  <c r="B429" i="11"/>
  <c r="C428" i="11"/>
  <c r="B428" i="11"/>
  <c r="C427" i="11"/>
  <c r="B427" i="11"/>
  <c r="C426" i="11"/>
  <c r="B426" i="11"/>
  <c r="C425" i="11"/>
  <c r="B425" i="11"/>
  <c r="C424" i="11"/>
  <c r="B424" i="11"/>
  <c r="C423" i="11"/>
  <c r="B423" i="11"/>
  <c r="C422" i="11"/>
  <c r="B422" i="11"/>
  <c r="C421" i="11"/>
  <c r="B421" i="11"/>
  <c r="C420" i="11"/>
  <c r="B420" i="11"/>
  <c r="C419" i="11"/>
  <c r="B419" i="11"/>
  <c r="C418" i="11"/>
  <c r="B418" i="11"/>
  <c r="C417" i="11"/>
  <c r="B417" i="11"/>
  <c r="C416" i="11"/>
  <c r="B416" i="11"/>
  <c r="C415" i="11"/>
  <c r="B415" i="11"/>
  <c r="C414" i="11"/>
  <c r="B414" i="11"/>
  <c r="C413" i="11"/>
  <c r="B413" i="11"/>
  <c r="C412" i="11"/>
  <c r="B412" i="11"/>
  <c r="C411" i="11"/>
  <c r="B411" i="11"/>
  <c r="C410" i="11"/>
  <c r="B410" i="11"/>
  <c r="C409" i="11"/>
  <c r="B409" i="11"/>
  <c r="C408" i="11"/>
  <c r="B408" i="11"/>
  <c r="C407" i="11"/>
  <c r="B407" i="11"/>
  <c r="C406" i="11"/>
  <c r="B406" i="11"/>
  <c r="C405" i="11"/>
  <c r="B405" i="11"/>
  <c r="C404" i="11"/>
  <c r="B404" i="11"/>
  <c r="C403" i="11"/>
  <c r="B403" i="11"/>
  <c r="C402" i="11"/>
  <c r="B402" i="11"/>
  <c r="C401" i="11"/>
  <c r="B401" i="11"/>
  <c r="C400" i="11"/>
  <c r="B400" i="11"/>
  <c r="C399" i="11"/>
  <c r="B399" i="11"/>
  <c r="C398" i="11"/>
  <c r="B398" i="11"/>
  <c r="C397" i="11"/>
  <c r="B397" i="11"/>
  <c r="C396" i="11"/>
  <c r="B396" i="11"/>
  <c r="C395" i="11"/>
  <c r="B395" i="11"/>
  <c r="C394" i="11"/>
  <c r="B394" i="11"/>
  <c r="C393" i="11"/>
  <c r="B393" i="11"/>
  <c r="C392" i="11"/>
  <c r="B392" i="11"/>
  <c r="C391" i="11"/>
  <c r="B391" i="11"/>
  <c r="C390" i="11"/>
  <c r="B390" i="11"/>
  <c r="C389" i="11"/>
  <c r="B389" i="11"/>
  <c r="C388" i="11"/>
  <c r="B388" i="11"/>
  <c r="C387" i="11"/>
  <c r="B387" i="11"/>
  <c r="C386" i="11"/>
  <c r="B386" i="11"/>
  <c r="C385" i="11"/>
  <c r="B385" i="11"/>
  <c r="C384" i="11"/>
  <c r="B384" i="11"/>
  <c r="C383" i="11"/>
  <c r="B383" i="11"/>
  <c r="C382" i="11"/>
  <c r="B382" i="11"/>
  <c r="C381" i="11"/>
  <c r="B381" i="11"/>
  <c r="C380" i="11"/>
  <c r="B380" i="11"/>
  <c r="C379" i="11"/>
  <c r="B379" i="11"/>
  <c r="C378" i="11"/>
  <c r="B378" i="11"/>
  <c r="C377" i="11"/>
  <c r="B377" i="11"/>
  <c r="C376" i="11"/>
  <c r="B376" i="11"/>
  <c r="C375" i="11"/>
  <c r="B375" i="11"/>
  <c r="C374" i="11"/>
  <c r="B374" i="11"/>
  <c r="C373" i="11"/>
  <c r="B373" i="11"/>
  <c r="C372" i="11"/>
  <c r="B372" i="11"/>
  <c r="C371" i="11"/>
  <c r="B371" i="11"/>
  <c r="C370" i="11"/>
  <c r="B370" i="11"/>
  <c r="C369" i="11"/>
  <c r="B369" i="11"/>
  <c r="C368" i="11"/>
  <c r="B368" i="11"/>
  <c r="C367" i="11"/>
  <c r="B367" i="11"/>
  <c r="C366" i="11"/>
  <c r="B366" i="11"/>
  <c r="C365" i="11"/>
  <c r="B365" i="11"/>
  <c r="C364" i="11"/>
  <c r="B364" i="11"/>
  <c r="C363" i="11"/>
  <c r="B363" i="11"/>
  <c r="C362" i="11"/>
  <c r="B362" i="11"/>
  <c r="C361" i="11"/>
  <c r="B361" i="11"/>
  <c r="C360" i="11"/>
  <c r="B360" i="11"/>
  <c r="C359" i="11"/>
  <c r="B359" i="11"/>
  <c r="C358" i="11"/>
  <c r="B358" i="11"/>
  <c r="C357" i="11"/>
  <c r="B357" i="11"/>
  <c r="C356" i="11"/>
  <c r="B356" i="11"/>
  <c r="C355" i="11"/>
  <c r="B355" i="11"/>
  <c r="C354" i="11"/>
  <c r="B354" i="11"/>
  <c r="C353" i="11"/>
  <c r="B353" i="11"/>
  <c r="C352" i="11"/>
  <c r="B352" i="11"/>
  <c r="C351" i="11"/>
  <c r="B351" i="11"/>
  <c r="C350" i="11"/>
  <c r="B350" i="11"/>
  <c r="C349" i="11"/>
  <c r="B349" i="11"/>
  <c r="C348" i="11"/>
  <c r="B348" i="11"/>
  <c r="C347" i="11"/>
  <c r="B347" i="11"/>
  <c r="C346" i="11"/>
  <c r="B346" i="11"/>
  <c r="C345" i="11"/>
  <c r="B345" i="11"/>
  <c r="C344" i="11"/>
  <c r="B344" i="11"/>
  <c r="C343" i="11"/>
  <c r="B343" i="11"/>
  <c r="C342" i="11"/>
  <c r="B342" i="11"/>
  <c r="C341" i="11"/>
  <c r="B341" i="11"/>
  <c r="C340" i="11"/>
  <c r="B340" i="11"/>
  <c r="C339" i="11"/>
  <c r="B339" i="11"/>
  <c r="C338" i="11"/>
  <c r="B338" i="11"/>
  <c r="C337" i="11"/>
  <c r="B337" i="11"/>
  <c r="C336" i="11"/>
  <c r="B336" i="11"/>
  <c r="C335" i="11"/>
  <c r="B335" i="11"/>
  <c r="C334" i="11"/>
  <c r="B334" i="11"/>
  <c r="C333" i="11"/>
  <c r="B333" i="11"/>
  <c r="C332" i="11"/>
  <c r="B332" i="11"/>
  <c r="C331" i="11"/>
  <c r="B331" i="11"/>
  <c r="C330" i="11"/>
  <c r="B330" i="11"/>
  <c r="C329" i="11"/>
  <c r="B329" i="11"/>
  <c r="C328" i="11"/>
  <c r="B328" i="11"/>
  <c r="C327" i="11"/>
  <c r="B327" i="11"/>
  <c r="C326" i="11"/>
  <c r="B326" i="11"/>
  <c r="C325" i="11"/>
  <c r="B325" i="11"/>
  <c r="C324" i="11"/>
  <c r="B324" i="11"/>
  <c r="C323" i="11"/>
  <c r="B323" i="11"/>
  <c r="C322" i="11"/>
  <c r="B322" i="11"/>
  <c r="C321" i="11"/>
  <c r="B321" i="11"/>
  <c r="C320" i="11"/>
  <c r="B320" i="11"/>
  <c r="C319" i="11"/>
  <c r="B319" i="11"/>
  <c r="C318" i="11"/>
  <c r="B318" i="11"/>
  <c r="C317" i="11"/>
  <c r="B317" i="11"/>
  <c r="C316" i="11"/>
  <c r="B316" i="11"/>
  <c r="C315" i="11"/>
  <c r="B315" i="11"/>
  <c r="C314" i="11"/>
  <c r="B314" i="11"/>
  <c r="C313" i="11"/>
  <c r="B313" i="11"/>
  <c r="C312" i="11"/>
  <c r="B312" i="11"/>
  <c r="C311" i="11"/>
  <c r="B311" i="11"/>
  <c r="C310" i="11"/>
  <c r="B310" i="11"/>
  <c r="C309" i="11"/>
  <c r="B309" i="11"/>
  <c r="C308" i="11"/>
  <c r="B308" i="11"/>
  <c r="C307" i="11"/>
  <c r="B307" i="11"/>
  <c r="C306" i="11"/>
  <c r="B306" i="11"/>
  <c r="C305" i="11"/>
  <c r="B305" i="11"/>
  <c r="C304" i="11"/>
  <c r="B304" i="11"/>
  <c r="C303" i="11"/>
  <c r="B303" i="11"/>
  <c r="C302" i="11"/>
  <c r="B302" i="11"/>
  <c r="C301" i="11"/>
  <c r="B301" i="11"/>
  <c r="C300" i="11"/>
  <c r="B300" i="11"/>
  <c r="C299" i="11"/>
  <c r="B299" i="11"/>
  <c r="C298" i="11"/>
  <c r="B298" i="11"/>
  <c r="C297" i="11"/>
  <c r="B297" i="11"/>
  <c r="C296" i="11"/>
  <c r="B296" i="11"/>
  <c r="C295" i="11"/>
  <c r="B295" i="11"/>
  <c r="C294" i="11"/>
  <c r="B294" i="11"/>
  <c r="C293" i="11"/>
  <c r="B293" i="11"/>
  <c r="C292" i="11"/>
  <c r="B292" i="11"/>
  <c r="C291" i="11"/>
  <c r="B291" i="11"/>
  <c r="C290" i="11"/>
  <c r="B290" i="11"/>
  <c r="C289" i="11"/>
  <c r="B289" i="11"/>
  <c r="C288" i="11"/>
  <c r="B288" i="11"/>
  <c r="C287" i="11"/>
  <c r="B287" i="11"/>
  <c r="C286" i="11"/>
  <c r="B286" i="11"/>
  <c r="C285" i="11"/>
  <c r="B285" i="11"/>
  <c r="C284" i="11"/>
  <c r="B284" i="11"/>
  <c r="C283" i="11"/>
  <c r="B283" i="11"/>
  <c r="C282" i="11"/>
  <c r="B282" i="11"/>
  <c r="C281" i="11"/>
  <c r="B281" i="11"/>
  <c r="C280" i="11"/>
  <c r="B280" i="11"/>
  <c r="C279" i="11"/>
  <c r="B279" i="11"/>
  <c r="C278" i="11"/>
  <c r="B278" i="11"/>
  <c r="C277" i="11"/>
  <c r="B277" i="11"/>
  <c r="C276" i="11"/>
  <c r="B276" i="11"/>
  <c r="C275" i="11"/>
  <c r="B275" i="11"/>
  <c r="C274" i="11"/>
  <c r="B274" i="11"/>
  <c r="C273" i="11"/>
  <c r="B273" i="11"/>
  <c r="C272" i="11"/>
  <c r="B272" i="11"/>
  <c r="C271" i="11"/>
  <c r="B271" i="11"/>
  <c r="C270" i="11"/>
  <c r="B270" i="11"/>
  <c r="C269" i="11"/>
  <c r="B269" i="11"/>
  <c r="C268" i="11"/>
  <c r="B268" i="11"/>
  <c r="C267" i="11"/>
  <c r="B267" i="11"/>
  <c r="C266" i="11"/>
  <c r="B266" i="11"/>
  <c r="C265" i="11"/>
  <c r="B265" i="11"/>
  <c r="C264" i="11"/>
  <c r="B264" i="11"/>
  <c r="C263" i="11"/>
  <c r="B263" i="11"/>
  <c r="C262" i="11"/>
  <c r="B262" i="11"/>
  <c r="C261" i="11"/>
  <c r="B261" i="11"/>
  <c r="C260" i="11"/>
  <c r="B260" i="11"/>
  <c r="C259" i="11"/>
  <c r="B259" i="11"/>
  <c r="C258" i="11"/>
  <c r="B258" i="11"/>
  <c r="C257" i="11"/>
  <c r="B257" i="11"/>
  <c r="C256" i="11"/>
  <c r="B256" i="11"/>
  <c r="C255" i="11"/>
  <c r="B255" i="11"/>
  <c r="C254" i="11"/>
  <c r="B254" i="11"/>
  <c r="C253" i="11"/>
  <c r="B253" i="11"/>
  <c r="C252" i="11"/>
  <c r="B252" i="11"/>
  <c r="C251" i="11"/>
  <c r="B251" i="11"/>
  <c r="C250" i="11"/>
  <c r="B250" i="11"/>
  <c r="C249" i="11"/>
  <c r="B249" i="11"/>
  <c r="C248" i="11"/>
  <c r="B248" i="11"/>
  <c r="C247" i="11"/>
  <c r="B247" i="11"/>
  <c r="C246" i="11"/>
  <c r="B246" i="11"/>
  <c r="C245" i="11"/>
  <c r="B245" i="11"/>
  <c r="C244" i="11"/>
  <c r="B244" i="11"/>
  <c r="C243" i="11"/>
  <c r="B243" i="11"/>
  <c r="C242" i="11"/>
  <c r="B242" i="11"/>
  <c r="C241" i="11"/>
  <c r="B241" i="11"/>
  <c r="C240" i="11"/>
  <c r="B240" i="11"/>
  <c r="C239" i="11"/>
  <c r="B239" i="11"/>
  <c r="C238" i="11"/>
  <c r="B238" i="11"/>
  <c r="C237" i="11"/>
  <c r="B237" i="11"/>
  <c r="C236" i="11"/>
  <c r="B236" i="11"/>
  <c r="C235" i="11"/>
  <c r="B235" i="11"/>
  <c r="C234" i="11"/>
  <c r="B234" i="11"/>
  <c r="C233" i="11"/>
  <c r="B233" i="11"/>
  <c r="C232" i="11"/>
  <c r="B232" i="11"/>
  <c r="C231" i="11"/>
  <c r="B231" i="11"/>
  <c r="C230" i="11"/>
  <c r="B230" i="11"/>
  <c r="C229" i="11"/>
  <c r="B229" i="11"/>
  <c r="C228" i="11"/>
  <c r="B228" i="11"/>
  <c r="C227" i="11"/>
  <c r="B227" i="11"/>
  <c r="C226" i="11"/>
  <c r="B226" i="11"/>
  <c r="C225" i="11"/>
  <c r="B225" i="11"/>
  <c r="C224" i="11"/>
  <c r="B224" i="11"/>
  <c r="C223" i="11"/>
  <c r="B223" i="11"/>
  <c r="C222" i="11"/>
  <c r="B222" i="11"/>
  <c r="C221" i="11"/>
  <c r="B221" i="11"/>
  <c r="C220" i="11"/>
  <c r="B220" i="11"/>
  <c r="C219" i="11"/>
  <c r="B219" i="11"/>
  <c r="C218" i="11"/>
  <c r="B218" i="11"/>
  <c r="C217" i="11"/>
  <c r="B217" i="11"/>
  <c r="C216" i="11"/>
  <c r="B216" i="11"/>
  <c r="C215" i="11"/>
  <c r="B215" i="11"/>
  <c r="C214" i="11"/>
  <c r="B214" i="11"/>
  <c r="C213" i="11"/>
  <c r="B213" i="11"/>
  <c r="C212" i="11"/>
  <c r="B212" i="11"/>
  <c r="C211" i="11"/>
  <c r="B211" i="11"/>
  <c r="C210" i="11"/>
  <c r="B210" i="11"/>
  <c r="C209" i="11"/>
  <c r="B209" i="11"/>
  <c r="C208" i="11"/>
  <c r="B208" i="11"/>
  <c r="C207" i="11"/>
  <c r="B207" i="11"/>
  <c r="C206" i="11"/>
  <c r="B206" i="11"/>
  <c r="C205" i="11"/>
  <c r="B205" i="11"/>
  <c r="C204" i="11"/>
  <c r="B204" i="11"/>
  <c r="C203" i="11"/>
  <c r="B203" i="11"/>
  <c r="C202" i="11"/>
  <c r="B202" i="11"/>
  <c r="C201" i="11"/>
  <c r="B201" i="11"/>
  <c r="C200" i="11"/>
  <c r="B200" i="11"/>
  <c r="C199" i="11"/>
  <c r="B199" i="11"/>
  <c r="C198" i="11"/>
  <c r="B198" i="11"/>
  <c r="C197" i="11"/>
  <c r="B197" i="11"/>
  <c r="C196" i="11"/>
  <c r="B196" i="11"/>
  <c r="C195" i="11"/>
  <c r="B195" i="11"/>
  <c r="C194" i="11"/>
  <c r="B194" i="11"/>
  <c r="C193" i="11"/>
  <c r="B193" i="11"/>
  <c r="C192" i="11"/>
  <c r="B192" i="11"/>
  <c r="C191" i="11"/>
  <c r="B191" i="11"/>
  <c r="C190" i="11"/>
  <c r="B190" i="11"/>
  <c r="C189" i="11"/>
  <c r="B189" i="11"/>
  <c r="C188" i="11"/>
  <c r="B188" i="11"/>
  <c r="C187" i="11"/>
  <c r="B187" i="11"/>
  <c r="C186" i="11"/>
  <c r="B186" i="11"/>
  <c r="C185" i="11"/>
  <c r="B185" i="11"/>
  <c r="C184" i="11"/>
  <c r="B184" i="11"/>
  <c r="C183" i="11"/>
  <c r="B183" i="11"/>
  <c r="C182" i="11"/>
  <c r="B182" i="11"/>
  <c r="C181" i="11"/>
  <c r="B181" i="11"/>
  <c r="C180" i="11"/>
  <c r="B180" i="11"/>
  <c r="C179" i="11"/>
  <c r="B179" i="11"/>
  <c r="C178" i="11"/>
  <c r="B178" i="11"/>
  <c r="C177" i="11"/>
  <c r="B177" i="11"/>
  <c r="C176" i="11"/>
  <c r="B176" i="11"/>
  <c r="C175" i="11"/>
  <c r="B175" i="11"/>
  <c r="C174" i="11"/>
  <c r="B174" i="11"/>
  <c r="C173" i="11"/>
  <c r="B173" i="11"/>
  <c r="C172" i="11"/>
  <c r="B172" i="11"/>
  <c r="C171" i="11"/>
  <c r="B171" i="11"/>
  <c r="C170" i="11"/>
  <c r="B170" i="11"/>
  <c r="C169" i="11"/>
  <c r="B169" i="11"/>
  <c r="C168" i="11"/>
  <c r="B168" i="11"/>
  <c r="C167" i="11"/>
  <c r="B167" i="11"/>
  <c r="C166" i="11"/>
  <c r="B166" i="11"/>
  <c r="C165" i="11"/>
  <c r="B165" i="11"/>
  <c r="C164" i="11"/>
  <c r="B164" i="11"/>
  <c r="C163" i="11"/>
  <c r="B163" i="11"/>
  <c r="C162" i="11"/>
  <c r="B162" i="11"/>
  <c r="C161" i="11"/>
  <c r="B161" i="11"/>
  <c r="C160" i="11"/>
  <c r="B160" i="11"/>
  <c r="C159" i="11"/>
  <c r="B159" i="11"/>
  <c r="C158" i="11"/>
  <c r="B158" i="11"/>
  <c r="C157" i="11"/>
  <c r="B157" i="11"/>
  <c r="C156" i="11"/>
  <c r="B156" i="11"/>
  <c r="C155" i="11"/>
  <c r="B155" i="11"/>
  <c r="C154" i="11"/>
  <c r="B154" i="11"/>
  <c r="C153" i="11"/>
  <c r="B153" i="11"/>
  <c r="C152" i="11"/>
  <c r="B152" i="11"/>
  <c r="C151" i="11"/>
  <c r="B151" i="11"/>
  <c r="C150" i="11"/>
  <c r="B150" i="11"/>
  <c r="C149" i="11"/>
  <c r="B149" i="11"/>
  <c r="C148" i="11"/>
  <c r="B148" i="11"/>
  <c r="C147" i="11"/>
  <c r="B147" i="11"/>
  <c r="C146" i="11"/>
  <c r="B146" i="11"/>
  <c r="C145" i="11"/>
  <c r="B145" i="11"/>
  <c r="C144" i="11"/>
  <c r="B144" i="11"/>
  <c r="C143" i="11"/>
  <c r="B143" i="11"/>
  <c r="C142" i="11"/>
  <c r="B142" i="11"/>
  <c r="C141" i="11"/>
  <c r="B141" i="11"/>
  <c r="C140" i="11"/>
  <c r="B140" i="11"/>
  <c r="C139" i="11"/>
  <c r="B139" i="11"/>
  <c r="C138" i="11"/>
  <c r="B138" i="11"/>
  <c r="C137" i="11"/>
  <c r="B137" i="11"/>
  <c r="C136" i="11"/>
  <c r="B136" i="11"/>
  <c r="C135" i="11"/>
  <c r="B135" i="11"/>
  <c r="C134" i="11"/>
  <c r="B134" i="11"/>
  <c r="C133" i="11"/>
  <c r="B133" i="11"/>
  <c r="C132" i="11"/>
  <c r="B132" i="11"/>
  <c r="C131" i="11"/>
  <c r="B131" i="11"/>
  <c r="C130" i="11"/>
  <c r="B130" i="11"/>
  <c r="C129" i="11"/>
  <c r="B129" i="11"/>
  <c r="C128" i="11"/>
  <c r="B128" i="11"/>
  <c r="C127" i="11"/>
  <c r="B127" i="11"/>
  <c r="C126" i="11"/>
  <c r="B126" i="11"/>
  <c r="C125" i="11"/>
  <c r="B125" i="11"/>
  <c r="C124" i="11"/>
  <c r="B124" i="11"/>
  <c r="C123" i="11"/>
  <c r="B123" i="11"/>
  <c r="C122" i="11"/>
  <c r="B122" i="11"/>
  <c r="C121" i="11"/>
  <c r="B121" i="11"/>
  <c r="C120" i="11"/>
  <c r="B120" i="11"/>
  <c r="C119" i="11"/>
  <c r="B119" i="11"/>
  <c r="C118" i="11"/>
  <c r="B118" i="11"/>
  <c r="C117" i="11"/>
  <c r="B117" i="11"/>
  <c r="C116" i="11"/>
  <c r="B116" i="11"/>
  <c r="C115" i="11"/>
  <c r="B115" i="11"/>
  <c r="C114" i="11"/>
  <c r="B114" i="11"/>
  <c r="C113" i="11"/>
  <c r="B113" i="11"/>
  <c r="C112" i="11"/>
  <c r="B112" i="11"/>
  <c r="C111" i="11"/>
  <c r="B111" i="11"/>
  <c r="C110" i="11"/>
  <c r="B110" i="11"/>
  <c r="C109" i="11"/>
  <c r="B109" i="11"/>
  <c r="C108" i="11"/>
  <c r="B108" i="11"/>
  <c r="C107" i="11"/>
  <c r="B107" i="11"/>
  <c r="C106" i="11"/>
  <c r="B106" i="11"/>
  <c r="C105" i="11"/>
  <c r="B105" i="11"/>
  <c r="C104" i="11"/>
  <c r="B104" i="11"/>
  <c r="C103" i="11"/>
  <c r="B103" i="11"/>
  <c r="C102" i="11"/>
  <c r="B102" i="11"/>
  <c r="C101" i="11"/>
  <c r="B101" i="11"/>
  <c r="C100" i="11"/>
  <c r="B100" i="11"/>
  <c r="C99" i="11"/>
  <c r="B99" i="11"/>
  <c r="C98" i="11"/>
  <c r="B98" i="11"/>
  <c r="C97" i="11"/>
  <c r="B97" i="11"/>
  <c r="C96" i="11"/>
  <c r="B96" i="11"/>
  <c r="C95" i="11"/>
  <c r="B95" i="11"/>
  <c r="C94" i="11"/>
  <c r="B94" i="11"/>
  <c r="C93" i="11"/>
  <c r="B93" i="11"/>
  <c r="C92" i="11"/>
  <c r="B92" i="11"/>
  <c r="C91" i="11"/>
  <c r="B91" i="11"/>
  <c r="C90" i="11"/>
  <c r="B90" i="11"/>
  <c r="C89" i="11"/>
  <c r="B89" i="11"/>
  <c r="C88" i="11"/>
  <c r="B88" i="11"/>
  <c r="C87" i="11"/>
  <c r="B87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C78" i="11"/>
  <c r="B78" i="11"/>
  <c r="C77" i="11"/>
  <c r="B77" i="11"/>
  <c r="C76" i="11"/>
  <c r="B76" i="11"/>
  <c r="C75" i="11"/>
  <c r="B75" i="11"/>
  <c r="C74" i="11"/>
  <c r="B74" i="11"/>
  <c r="C73" i="11"/>
  <c r="B73" i="11"/>
  <c r="C72" i="11"/>
  <c r="B72" i="11"/>
  <c r="C71" i="11"/>
  <c r="B71" i="11"/>
  <c r="C70" i="11"/>
  <c r="B70" i="11"/>
  <c r="C69" i="11"/>
  <c r="B69" i="11"/>
  <c r="C68" i="11"/>
  <c r="B68" i="11"/>
  <c r="C67" i="11"/>
  <c r="B67" i="11"/>
  <c r="C66" i="11"/>
  <c r="B66" i="11"/>
  <c r="C65" i="11"/>
  <c r="B65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C58" i="11"/>
  <c r="B58" i="11"/>
  <c r="C57" i="11"/>
  <c r="B57" i="11"/>
  <c r="C56" i="11"/>
  <c r="B56" i="11"/>
  <c r="C55" i="11"/>
  <c r="B55" i="11"/>
  <c r="C54" i="11"/>
  <c r="B54" i="11"/>
  <c r="C53" i="11"/>
  <c r="B53" i="11"/>
  <c r="C52" i="11"/>
  <c r="B52" i="11"/>
  <c r="C51" i="11"/>
  <c r="B51" i="11"/>
  <c r="C50" i="1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O41" i="10"/>
  <c r="P40" i="10"/>
  <c r="O40" i="10"/>
  <c r="P39" i="10"/>
  <c r="O39" i="10"/>
  <c r="P38" i="10"/>
  <c r="O38" i="10"/>
  <c r="P37" i="10"/>
  <c r="O37" i="10"/>
  <c r="P36" i="10"/>
  <c r="O36" i="10"/>
  <c r="P35" i="10"/>
  <c r="O35" i="10"/>
  <c r="P34" i="10"/>
  <c r="O34" i="10"/>
  <c r="P33" i="10"/>
  <c r="O33" i="10"/>
  <c r="P32" i="10"/>
  <c r="O32" i="10"/>
  <c r="P31" i="10"/>
  <c r="O31" i="10"/>
  <c r="P30" i="10"/>
  <c r="O30" i="10"/>
  <c r="P29" i="10"/>
  <c r="O29" i="10"/>
  <c r="P28" i="10"/>
  <c r="O28" i="10"/>
  <c r="P27" i="10"/>
  <c r="O27" i="10"/>
  <c r="P26" i="10"/>
  <c r="O26" i="10"/>
  <c r="P25" i="10"/>
  <c r="O25" i="10"/>
  <c r="P24" i="10"/>
  <c r="O24" i="10"/>
  <c r="P23" i="10"/>
  <c r="O23" i="10"/>
  <c r="P22" i="10"/>
  <c r="O22" i="10"/>
  <c r="E18" i="10"/>
  <c r="E17" i="10"/>
  <c r="E16" i="10"/>
  <c r="E15" i="10"/>
  <c r="E14" i="10"/>
  <c r="E13" i="10"/>
  <c r="E12" i="10"/>
  <c r="C11" i="10"/>
  <c r="E10" i="10"/>
  <c r="E9" i="10"/>
  <c r="E8" i="10"/>
  <c r="E7" i="10"/>
  <c r="C6" i="10"/>
  <c r="E5" i="10"/>
  <c r="E4" i="10"/>
  <c r="X45" i="9"/>
  <c r="W45" i="9"/>
  <c r="V45" i="9"/>
  <c r="S45" i="9"/>
  <c r="Q45" i="9"/>
  <c r="O45" i="9"/>
  <c r="K45" i="9"/>
  <c r="I45" i="9"/>
  <c r="N45" i="9" s="1"/>
  <c r="H45" i="9"/>
  <c r="M45" i="9" s="1"/>
  <c r="X44" i="9"/>
  <c r="W44" i="9"/>
  <c r="V44" i="9"/>
  <c r="S44" i="9"/>
  <c r="Q44" i="9"/>
  <c r="O44" i="9"/>
  <c r="K44" i="9"/>
  <c r="I44" i="9"/>
  <c r="N44" i="9" s="1"/>
  <c r="H44" i="9"/>
  <c r="X43" i="9"/>
  <c r="W43" i="9"/>
  <c r="V43" i="9"/>
  <c r="S43" i="9"/>
  <c r="Q43" i="9"/>
  <c r="O43" i="9"/>
  <c r="M43" i="9"/>
  <c r="I43" i="9"/>
  <c r="K43" i="9" s="1"/>
  <c r="H43" i="9"/>
  <c r="J43" i="9" s="1"/>
  <c r="X42" i="9"/>
  <c r="W42" i="9"/>
  <c r="V42" i="9"/>
  <c r="S42" i="9"/>
  <c r="Q42" i="9"/>
  <c r="O42" i="9"/>
  <c r="N42" i="9"/>
  <c r="M42" i="9"/>
  <c r="K42" i="9"/>
  <c r="J42" i="9"/>
  <c r="I42" i="9"/>
  <c r="H42" i="9"/>
  <c r="X41" i="9"/>
  <c r="W41" i="9"/>
  <c r="V41" i="9"/>
  <c r="S41" i="9"/>
  <c r="Q41" i="9"/>
  <c r="O41" i="9"/>
  <c r="N41" i="9"/>
  <c r="K41" i="9"/>
  <c r="J41" i="9"/>
  <c r="I41" i="9"/>
  <c r="H41" i="9"/>
  <c r="M41" i="9" s="1"/>
  <c r="X40" i="9"/>
  <c r="W40" i="9"/>
  <c r="V40" i="9"/>
  <c r="S40" i="9"/>
  <c r="Q40" i="9"/>
  <c r="O40" i="9"/>
  <c r="K40" i="9"/>
  <c r="I40" i="9"/>
  <c r="N40" i="9" s="1"/>
  <c r="H40" i="9"/>
  <c r="X39" i="9"/>
  <c r="W39" i="9"/>
  <c r="V39" i="9"/>
  <c r="S39" i="9"/>
  <c r="Q39" i="9"/>
  <c r="O39" i="9"/>
  <c r="N39" i="9"/>
  <c r="M39" i="9"/>
  <c r="I39" i="9"/>
  <c r="K39" i="9" s="1"/>
  <c r="H39" i="9"/>
  <c r="J39" i="9" s="1"/>
  <c r="X38" i="9"/>
  <c r="W38" i="9"/>
  <c r="V38" i="9"/>
  <c r="S38" i="9"/>
  <c r="Q38" i="9"/>
  <c r="O38" i="9"/>
  <c r="N38" i="9"/>
  <c r="M38" i="9"/>
  <c r="K38" i="9"/>
  <c r="J38" i="9"/>
  <c r="I38" i="9"/>
  <c r="H38" i="9"/>
  <c r="X37" i="9"/>
  <c r="W37" i="9"/>
  <c r="V37" i="9"/>
  <c r="S37" i="9"/>
  <c r="Q37" i="9"/>
  <c r="O37" i="9"/>
  <c r="J37" i="9"/>
  <c r="I37" i="9"/>
  <c r="N37" i="9" s="1"/>
  <c r="H37" i="9"/>
  <c r="M37" i="9" s="1"/>
  <c r="X36" i="9"/>
  <c r="W36" i="9"/>
  <c r="V36" i="9"/>
  <c r="S36" i="9"/>
  <c r="Q36" i="9"/>
  <c r="O36" i="9"/>
  <c r="I36" i="9"/>
  <c r="N36" i="9" s="1"/>
  <c r="H36" i="9"/>
  <c r="S35" i="9"/>
  <c r="Q35" i="9"/>
  <c r="O35" i="9"/>
  <c r="M35" i="9"/>
  <c r="I35" i="9"/>
  <c r="K35" i="9" s="1"/>
  <c r="W35" i="9" s="1"/>
  <c r="H35" i="9"/>
  <c r="J35" i="9" s="1"/>
  <c r="W34" i="9"/>
  <c r="V34" i="9"/>
  <c r="X34" i="9" s="1"/>
  <c r="S34" i="9"/>
  <c r="O34" i="9"/>
  <c r="M34" i="9"/>
  <c r="K34" i="9"/>
  <c r="J34" i="9"/>
  <c r="I34" i="9"/>
  <c r="N34" i="9" s="1"/>
  <c r="H34" i="9"/>
  <c r="S33" i="9"/>
  <c r="O33" i="9"/>
  <c r="N33" i="9"/>
  <c r="J33" i="9"/>
  <c r="I33" i="9"/>
  <c r="K33" i="9" s="1"/>
  <c r="W33" i="9" s="1"/>
  <c r="H33" i="9"/>
  <c r="M33" i="9" s="1"/>
  <c r="S32" i="9"/>
  <c r="O32" i="9"/>
  <c r="K32" i="9"/>
  <c r="W32" i="9" s="1"/>
  <c r="I32" i="9"/>
  <c r="N32" i="9" s="1"/>
  <c r="H32" i="9"/>
  <c r="M32" i="9" s="1"/>
  <c r="S31" i="9"/>
  <c r="O31" i="9"/>
  <c r="M31" i="9"/>
  <c r="I31" i="9"/>
  <c r="N31" i="9" s="1"/>
  <c r="H31" i="9"/>
  <c r="J31" i="9" s="1"/>
  <c r="W30" i="9"/>
  <c r="S30" i="9"/>
  <c r="O30" i="9"/>
  <c r="M30" i="9"/>
  <c r="K30" i="9"/>
  <c r="J30" i="9"/>
  <c r="I30" i="9"/>
  <c r="N30" i="9" s="1"/>
  <c r="H30" i="9"/>
  <c r="S29" i="9"/>
  <c r="O29" i="9"/>
  <c r="N29" i="9"/>
  <c r="J29" i="9"/>
  <c r="I29" i="9"/>
  <c r="K29" i="9" s="1"/>
  <c r="W29" i="9" s="1"/>
  <c r="H29" i="9"/>
  <c r="M29" i="9" s="1"/>
  <c r="S28" i="9"/>
  <c r="O28" i="9"/>
  <c r="K28" i="9"/>
  <c r="W28" i="9" s="1"/>
  <c r="I28" i="9"/>
  <c r="N28" i="9" s="1"/>
  <c r="H28" i="9"/>
  <c r="M28" i="9" s="1"/>
  <c r="O27" i="9"/>
  <c r="I27" i="9"/>
  <c r="N27" i="9" s="1"/>
  <c r="H27" i="9"/>
  <c r="J27" i="9" s="1"/>
  <c r="W26" i="9"/>
  <c r="S26" i="9"/>
  <c r="Q26" i="9"/>
  <c r="O26" i="9"/>
  <c r="N26" i="9"/>
  <c r="M26" i="9"/>
  <c r="K26" i="9"/>
  <c r="J26" i="9"/>
  <c r="I26" i="9"/>
  <c r="H26" i="9"/>
  <c r="W25" i="9"/>
  <c r="S25" i="9"/>
  <c r="Q25" i="9"/>
  <c r="O25" i="9"/>
  <c r="N25" i="9"/>
  <c r="M25" i="9"/>
  <c r="K25" i="9"/>
  <c r="J25" i="9"/>
  <c r="I25" i="9"/>
  <c r="H25" i="9"/>
  <c r="S24" i="9"/>
  <c r="Q24" i="9"/>
  <c r="O24" i="9"/>
  <c r="K24" i="9"/>
  <c r="W24" i="9" s="1"/>
  <c r="I24" i="9"/>
  <c r="N24" i="9" s="1"/>
  <c r="H24" i="9"/>
  <c r="M24" i="9" s="1"/>
  <c r="S23" i="9"/>
  <c r="O23" i="9"/>
  <c r="I23" i="9"/>
  <c r="N23" i="9" s="1"/>
  <c r="H23" i="9"/>
  <c r="J23" i="9" s="1"/>
  <c r="W22" i="9"/>
  <c r="S22" i="9"/>
  <c r="Q22" i="9"/>
  <c r="O22" i="9"/>
  <c r="N22" i="9"/>
  <c r="M22" i="9"/>
  <c r="K22" i="9"/>
  <c r="J22" i="9"/>
  <c r="I22" i="9"/>
  <c r="H22" i="9"/>
  <c r="S21" i="9"/>
  <c r="Q21" i="9"/>
  <c r="O21" i="9"/>
  <c r="N21" i="9"/>
  <c r="M21" i="9"/>
  <c r="K21" i="9"/>
  <c r="W21" i="9" s="1"/>
  <c r="J21" i="9"/>
  <c r="I21" i="9"/>
  <c r="H21" i="9"/>
  <c r="S20" i="9"/>
  <c r="Q20" i="9"/>
  <c r="O20" i="9"/>
  <c r="K20" i="9"/>
  <c r="W20" i="9" s="1"/>
  <c r="I20" i="9"/>
  <c r="N20" i="9" s="1"/>
  <c r="H20" i="9"/>
  <c r="S19" i="9"/>
  <c r="Q19" i="9"/>
  <c r="O19" i="9"/>
  <c r="I19" i="9"/>
  <c r="N19" i="9" s="1"/>
  <c r="H19" i="9"/>
  <c r="J19" i="9" s="1"/>
  <c r="W18" i="9"/>
  <c r="X18" i="9" s="1"/>
  <c r="V18" i="9"/>
  <c r="S18" i="9"/>
  <c r="Q18" i="9"/>
  <c r="O18" i="9"/>
  <c r="N18" i="9"/>
  <c r="M18" i="9"/>
  <c r="K18" i="9"/>
  <c r="J18" i="9"/>
  <c r="I18" i="9"/>
  <c r="H18" i="9"/>
  <c r="W17" i="9"/>
  <c r="S17" i="9"/>
  <c r="O17" i="9"/>
  <c r="N17" i="9"/>
  <c r="M17" i="9"/>
  <c r="K17" i="9"/>
  <c r="J17" i="9"/>
  <c r="I17" i="9"/>
  <c r="H17" i="9"/>
  <c r="S16" i="9"/>
  <c r="O16" i="9"/>
  <c r="K16" i="9"/>
  <c r="W16" i="9" s="1"/>
  <c r="I16" i="9"/>
  <c r="N16" i="9" s="1"/>
  <c r="H16" i="9"/>
  <c r="S15" i="9"/>
  <c r="O15" i="9"/>
  <c r="M15" i="9"/>
  <c r="I15" i="9"/>
  <c r="N15" i="9" s="1"/>
  <c r="H15" i="9"/>
  <c r="J15" i="9" s="1"/>
  <c r="W14" i="9"/>
  <c r="S14" i="9"/>
  <c r="Q14" i="9"/>
  <c r="O14" i="9"/>
  <c r="N14" i="9"/>
  <c r="M14" i="9"/>
  <c r="K14" i="9"/>
  <c r="J14" i="9"/>
  <c r="I14" i="9"/>
  <c r="H14" i="9"/>
  <c r="W13" i="9"/>
  <c r="S13" i="9"/>
  <c r="O13" i="9"/>
  <c r="N13" i="9"/>
  <c r="K13" i="9"/>
  <c r="J13" i="9"/>
  <c r="I13" i="9"/>
  <c r="H13" i="9"/>
  <c r="M13" i="9" s="1"/>
  <c r="S12" i="9"/>
  <c r="Q12" i="9"/>
  <c r="O12" i="9"/>
  <c r="K12" i="9"/>
  <c r="W12" i="9" s="1"/>
  <c r="I12" i="9"/>
  <c r="N12" i="9" s="1"/>
  <c r="H12" i="9"/>
  <c r="S11" i="9"/>
  <c r="O11" i="9"/>
  <c r="M11" i="9"/>
  <c r="I11" i="9"/>
  <c r="N11" i="9" s="1"/>
  <c r="H11" i="9"/>
  <c r="J11" i="9" s="1"/>
  <c r="W10" i="9"/>
  <c r="S10" i="9"/>
  <c r="O10" i="9"/>
  <c r="N10" i="9"/>
  <c r="M10" i="9"/>
  <c r="K10" i="9"/>
  <c r="J10" i="9"/>
  <c r="I10" i="9"/>
  <c r="H10" i="9"/>
  <c r="W9" i="9"/>
  <c r="S9" i="9"/>
  <c r="O9" i="9"/>
  <c r="N9" i="9"/>
  <c r="M9" i="9"/>
  <c r="K9" i="9"/>
  <c r="J9" i="9"/>
  <c r="I9" i="9"/>
  <c r="H9" i="9"/>
  <c r="S8" i="9"/>
  <c r="O8" i="9"/>
  <c r="K8" i="9"/>
  <c r="W8" i="9" s="1"/>
  <c r="I8" i="9"/>
  <c r="N8" i="9" s="1"/>
  <c r="H8" i="9"/>
  <c r="S7" i="9"/>
  <c r="O7" i="9"/>
  <c r="I7" i="9"/>
  <c r="H7" i="9"/>
  <c r="J7" i="9" s="1"/>
  <c r="V7" i="9" s="1"/>
  <c r="S6" i="9"/>
  <c r="O6" i="9"/>
  <c r="N6" i="9"/>
  <c r="M6" i="9"/>
  <c r="K6" i="9"/>
  <c r="J6" i="9"/>
  <c r="I6" i="9"/>
  <c r="H6" i="9"/>
  <c r="L305" i="8"/>
  <c r="K305" i="8"/>
  <c r="J305" i="8"/>
  <c r="L304" i="8"/>
  <c r="K304" i="8"/>
  <c r="J304" i="8"/>
  <c r="L303" i="8"/>
  <c r="K303" i="8"/>
  <c r="J303" i="8"/>
  <c r="L302" i="8"/>
  <c r="K302" i="8"/>
  <c r="J302" i="8"/>
  <c r="L301" i="8"/>
  <c r="K301" i="8"/>
  <c r="J301" i="8"/>
  <c r="L300" i="8"/>
  <c r="K300" i="8"/>
  <c r="J300" i="8"/>
  <c r="L299" i="8"/>
  <c r="K299" i="8"/>
  <c r="J299" i="8"/>
  <c r="L298" i="8"/>
  <c r="K298" i="8"/>
  <c r="J298" i="8"/>
  <c r="L297" i="8"/>
  <c r="K297" i="8"/>
  <c r="J297" i="8"/>
  <c r="L296" i="8"/>
  <c r="K296" i="8"/>
  <c r="J296" i="8"/>
  <c r="L295" i="8"/>
  <c r="K295" i="8"/>
  <c r="J295" i="8"/>
  <c r="L294" i="8"/>
  <c r="K294" i="8"/>
  <c r="J294" i="8"/>
  <c r="L293" i="8"/>
  <c r="K293" i="8"/>
  <c r="J293" i="8"/>
  <c r="L292" i="8"/>
  <c r="K292" i="8"/>
  <c r="J292" i="8"/>
  <c r="L291" i="8"/>
  <c r="K291" i="8"/>
  <c r="J291" i="8"/>
  <c r="L290" i="8"/>
  <c r="K290" i="8"/>
  <c r="J290" i="8"/>
  <c r="L289" i="8"/>
  <c r="K289" i="8"/>
  <c r="J289" i="8"/>
  <c r="L288" i="8"/>
  <c r="K288" i="8"/>
  <c r="J288" i="8"/>
  <c r="L287" i="8"/>
  <c r="K287" i="8"/>
  <c r="J287" i="8"/>
  <c r="L286" i="8"/>
  <c r="K286" i="8"/>
  <c r="J286" i="8"/>
  <c r="L285" i="8"/>
  <c r="K285" i="8"/>
  <c r="J285" i="8"/>
  <c r="L284" i="8"/>
  <c r="K284" i="8"/>
  <c r="J284" i="8"/>
  <c r="L283" i="8"/>
  <c r="K283" i="8"/>
  <c r="J283" i="8"/>
  <c r="L282" i="8"/>
  <c r="K282" i="8"/>
  <c r="J282" i="8"/>
  <c r="L281" i="8"/>
  <c r="K281" i="8"/>
  <c r="J281" i="8"/>
  <c r="L280" i="8"/>
  <c r="K280" i="8"/>
  <c r="J280" i="8"/>
  <c r="L279" i="8"/>
  <c r="K279" i="8"/>
  <c r="J279" i="8"/>
  <c r="L278" i="8"/>
  <c r="K278" i="8"/>
  <c r="J278" i="8"/>
  <c r="L277" i="8"/>
  <c r="K277" i="8"/>
  <c r="J277" i="8"/>
  <c r="L276" i="8"/>
  <c r="K276" i="8"/>
  <c r="J276" i="8"/>
  <c r="L275" i="8"/>
  <c r="K275" i="8"/>
  <c r="J275" i="8"/>
  <c r="L274" i="8"/>
  <c r="K274" i="8"/>
  <c r="J274" i="8"/>
  <c r="L273" i="8"/>
  <c r="K273" i="8"/>
  <c r="J273" i="8"/>
  <c r="L272" i="8"/>
  <c r="K272" i="8"/>
  <c r="J272" i="8"/>
  <c r="L271" i="8"/>
  <c r="K271" i="8"/>
  <c r="J271" i="8"/>
  <c r="L270" i="8"/>
  <c r="K270" i="8"/>
  <c r="J270" i="8"/>
  <c r="L269" i="8"/>
  <c r="K269" i="8"/>
  <c r="J269" i="8"/>
  <c r="L268" i="8"/>
  <c r="K268" i="8"/>
  <c r="J268" i="8"/>
  <c r="L267" i="8"/>
  <c r="K267" i="8"/>
  <c r="J267" i="8"/>
  <c r="L266" i="8"/>
  <c r="K266" i="8"/>
  <c r="J266" i="8"/>
  <c r="L265" i="8"/>
  <c r="K265" i="8"/>
  <c r="J265" i="8"/>
  <c r="L264" i="8"/>
  <c r="K264" i="8"/>
  <c r="J264" i="8"/>
  <c r="L263" i="8"/>
  <c r="K263" i="8"/>
  <c r="J263" i="8"/>
  <c r="L262" i="8"/>
  <c r="K262" i="8"/>
  <c r="J262" i="8"/>
  <c r="L261" i="8"/>
  <c r="K261" i="8"/>
  <c r="J261" i="8"/>
  <c r="L260" i="8"/>
  <c r="K260" i="8"/>
  <c r="J260" i="8"/>
  <c r="L259" i="8"/>
  <c r="K259" i="8"/>
  <c r="J259" i="8"/>
  <c r="L258" i="8"/>
  <c r="K258" i="8"/>
  <c r="J258" i="8"/>
  <c r="L257" i="8"/>
  <c r="K257" i="8"/>
  <c r="J257" i="8"/>
  <c r="L256" i="8"/>
  <c r="K256" i="8"/>
  <c r="J256" i="8"/>
  <c r="L255" i="8"/>
  <c r="K255" i="8"/>
  <c r="J255" i="8"/>
  <c r="L254" i="8"/>
  <c r="K254" i="8"/>
  <c r="J254" i="8"/>
  <c r="L253" i="8"/>
  <c r="K253" i="8"/>
  <c r="J253" i="8"/>
  <c r="L252" i="8"/>
  <c r="K252" i="8"/>
  <c r="J252" i="8"/>
  <c r="L251" i="8"/>
  <c r="K251" i="8"/>
  <c r="J251" i="8"/>
  <c r="L250" i="8"/>
  <c r="K250" i="8"/>
  <c r="J250" i="8"/>
  <c r="L249" i="8"/>
  <c r="K249" i="8"/>
  <c r="J249" i="8"/>
  <c r="L248" i="8"/>
  <c r="K248" i="8"/>
  <c r="J248" i="8"/>
  <c r="L247" i="8"/>
  <c r="K247" i="8"/>
  <c r="J247" i="8"/>
  <c r="L246" i="8"/>
  <c r="K246" i="8"/>
  <c r="J246" i="8"/>
  <c r="L245" i="8"/>
  <c r="K245" i="8"/>
  <c r="J245" i="8"/>
  <c r="L244" i="8"/>
  <c r="K244" i="8"/>
  <c r="J244" i="8"/>
  <c r="L243" i="8"/>
  <c r="K243" i="8"/>
  <c r="J243" i="8"/>
  <c r="L242" i="8"/>
  <c r="K242" i="8"/>
  <c r="J242" i="8"/>
  <c r="L241" i="8"/>
  <c r="K241" i="8"/>
  <c r="J241" i="8"/>
  <c r="L240" i="8"/>
  <c r="K240" i="8"/>
  <c r="J240" i="8"/>
  <c r="L239" i="8"/>
  <c r="K239" i="8"/>
  <c r="J239" i="8"/>
  <c r="L238" i="8"/>
  <c r="K238" i="8"/>
  <c r="J238" i="8"/>
  <c r="L237" i="8"/>
  <c r="K237" i="8"/>
  <c r="J237" i="8"/>
  <c r="L236" i="8"/>
  <c r="K236" i="8"/>
  <c r="J236" i="8"/>
  <c r="L235" i="8"/>
  <c r="K235" i="8"/>
  <c r="J235" i="8"/>
  <c r="L234" i="8"/>
  <c r="K234" i="8"/>
  <c r="J234" i="8"/>
  <c r="L233" i="8"/>
  <c r="K233" i="8"/>
  <c r="J233" i="8"/>
  <c r="L232" i="8"/>
  <c r="K232" i="8"/>
  <c r="J232" i="8"/>
  <c r="L231" i="8"/>
  <c r="K231" i="8"/>
  <c r="J231" i="8"/>
  <c r="L230" i="8"/>
  <c r="K230" i="8"/>
  <c r="J230" i="8"/>
  <c r="L229" i="8"/>
  <c r="K229" i="8"/>
  <c r="J229" i="8"/>
  <c r="L228" i="8"/>
  <c r="K228" i="8"/>
  <c r="J228" i="8"/>
  <c r="L227" i="8"/>
  <c r="K227" i="8"/>
  <c r="J227" i="8"/>
  <c r="L226" i="8"/>
  <c r="K226" i="8"/>
  <c r="J226" i="8"/>
  <c r="L225" i="8"/>
  <c r="K225" i="8"/>
  <c r="J225" i="8"/>
  <c r="L224" i="8"/>
  <c r="K224" i="8"/>
  <c r="J224" i="8"/>
  <c r="L223" i="8"/>
  <c r="K223" i="8"/>
  <c r="J223" i="8"/>
  <c r="L222" i="8"/>
  <c r="K222" i="8"/>
  <c r="J222" i="8"/>
  <c r="L221" i="8"/>
  <c r="K221" i="8"/>
  <c r="J221" i="8"/>
  <c r="L220" i="8"/>
  <c r="K220" i="8"/>
  <c r="J220" i="8"/>
  <c r="L219" i="8"/>
  <c r="K219" i="8"/>
  <c r="J219" i="8"/>
  <c r="L218" i="8"/>
  <c r="K218" i="8"/>
  <c r="J218" i="8"/>
  <c r="L217" i="8"/>
  <c r="K217" i="8"/>
  <c r="J217" i="8"/>
  <c r="L216" i="8"/>
  <c r="K216" i="8"/>
  <c r="J216" i="8"/>
  <c r="L215" i="8"/>
  <c r="K215" i="8"/>
  <c r="J215" i="8"/>
  <c r="L214" i="8"/>
  <c r="K214" i="8"/>
  <c r="J214" i="8"/>
  <c r="L213" i="8"/>
  <c r="K213" i="8"/>
  <c r="J213" i="8"/>
  <c r="L212" i="8"/>
  <c r="K212" i="8"/>
  <c r="J212" i="8"/>
  <c r="L211" i="8"/>
  <c r="K211" i="8"/>
  <c r="J211" i="8"/>
  <c r="L210" i="8"/>
  <c r="K210" i="8"/>
  <c r="J210" i="8"/>
  <c r="L209" i="8"/>
  <c r="K209" i="8"/>
  <c r="J209" i="8"/>
  <c r="L208" i="8"/>
  <c r="K208" i="8"/>
  <c r="J208" i="8"/>
  <c r="L207" i="8"/>
  <c r="K207" i="8"/>
  <c r="J207" i="8"/>
  <c r="L206" i="8"/>
  <c r="K206" i="8"/>
  <c r="J206" i="8"/>
  <c r="L205" i="8"/>
  <c r="K205" i="8"/>
  <c r="J205" i="8"/>
  <c r="L204" i="8"/>
  <c r="K204" i="8"/>
  <c r="J204" i="8"/>
  <c r="L203" i="8"/>
  <c r="K203" i="8"/>
  <c r="J203" i="8"/>
  <c r="L202" i="8"/>
  <c r="K202" i="8"/>
  <c r="J202" i="8"/>
  <c r="L201" i="8"/>
  <c r="K201" i="8"/>
  <c r="J201" i="8"/>
  <c r="L200" i="8"/>
  <c r="K200" i="8"/>
  <c r="J200" i="8"/>
  <c r="L199" i="8"/>
  <c r="K199" i="8"/>
  <c r="J199" i="8"/>
  <c r="L198" i="8"/>
  <c r="K198" i="8"/>
  <c r="J198" i="8"/>
  <c r="L197" i="8"/>
  <c r="K197" i="8"/>
  <c r="J197" i="8"/>
  <c r="L196" i="8"/>
  <c r="K196" i="8"/>
  <c r="J196" i="8"/>
  <c r="L195" i="8"/>
  <c r="K195" i="8"/>
  <c r="J195" i="8"/>
  <c r="L194" i="8"/>
  <c r="K194" i="8"/>
  <c r="J194" i="8"/>
  <c r="L193" i="8"/>
  <c r="K193" i="8"/>
  <c r="J193" i="8"/>
  <c r="L192" i="8"/>
  <c r="K192" i="8"/>
  <c r="J192" i="8"/>
  <c r="L191" i="8"/>
  <c r="K191" i="8"/>
  <c r="J191" i="8"/>
  <c r="L190" i="8"/>
  <c r="K190" i="8"/>
  <c r="J190" i="8"/>
  <c r="L189" i="8"/>
  <c r="K189" i="8"/>
  <c r="J189" i="8"/>
  <c r="L188" i="8"/>
  <c r="K188" i="8"/>
  <c r="J188" i="8"/>
  <c r="L187" i="8"/>
  <c r="K187" i="8"/>
  <c r="J187" i="8"/>
  <c r="L186" i="8"/>
  <c r="K186" i="8"/>
  <c r="J186" i="8"/>
  <c r="L185" i="8"/>
  <c r="K185" i="8"/>
  <c r="J185" i="8"/>
  <c r="L184" i="8"/>
  <c r="K184" i="8"/>
  <c r="J184" i="8"/>
  <c r="L183" i="8"/>
  <c r="K183" i="8"/>
  <c r="J183" i="8"/>
  <c r="L182" i="8"/>
  <c r="K182" i="8"/>
  <c r="J182" i="8"/>
  <c r="L181" i="8"/>
  <c r="K181" i="8"/>
  <c r="J181" i="8"/>
  <c r="L180" i="8"/>
  <c r="K180" i="8"/>
  <c r="J180" i="8"/>
  <c r="L179" i="8"/>
  <c r="K179" i="8"/>
  <c r="J179" i="8"/>
  <c r="L178" i="8"/>
  <c r="K178" i="8"/>
  <c r="J178" i="8"/>
  <c r="L177" i="8"/>
  <c r="K177" i="8"/>
  <c r="J177" i="8"/>
  <c r="L176" i="8"/>
  <c r="K176" i="8"/>
  <c r="J176" i="8"/>
  <c r="L175" i="8"/>
  <c r="K175" i="8"/>
  <c r="J175" i="8"/>
  <c r="L174" i="8"/>
  <c r="K174" i="8"/>
  <c r="J174" i="8"/>
  <c r="L173" i="8"/>
  <c r="K173" i="8"/>
  <c r="J173" i="8"/>
  <c r="L172" i="8"/>
  <c r="K172" i="8"/>
  <c r="J172" i="8"/>
  <c r="L171" i="8"/>
  <c r="K171" i="8"/>
  <c r="J171" i="8"/>
  <c r="L170" i="8"/>
  <c r="K170" i="8"/>
  <c r="J170" i="8"/>
  <c r="L169" i="8"/>
  <c r="K169" i="8"/>
  <c r="J169" i="8"/>
  <c r="L168" i="8"/>
  <c r="K168" i="8"/>
  <c r="J168" i="8"/>
  <c r="L167" i="8"/>
  <c r="K167" i="8"/>
  <c r="J167" i="8"/>
  <c r="L166" i="8"/>
  <c r="K166" i="8"/>
  <c r="J166" i="8"/>
  <c r="L165" i="8"/>
  <c r="K165" i="8"/>
  <c r="J165" i="8"/>
  <c r="L164" i="8"/>
  <c r="K164" i="8"/>
  <c r="J164" i="8"/>
  <c r="L163" i="8"/>
  <c r="K163" i="8"/>
  <c r="J163" i="8"/>
  <c r="L162" i="8"/>
  <c r="K162" i="8"/>
  <c r="J162" i="8"/>
  <c r="L161" i="8"/>
  <c r="K161" i="8"/>
  <c r="J161" i="8"/>
  <c r="L160" i="8"/>
  <c r="K160" i="8"/>
  <c r="J160" i="8"/>
  <c r="L159" i="8"/>
  <c r="K159" i="8"/>
  <c r="J159" i="8"/>
  <c r="L158" i="8"/>
  <c r="K158" i="8"/>
  <c r="J158" i="8"/>
  <c r="L157" i="8"/>
  <c r="K157" i="8"/>
  <c r="J157" i="8"/>
  <c r="L156" i="8"/>
  <c r="K156" i="8"/>
  <c r="J156" i="8"/>
  <c r="L155" i="8"/>
  <c r="K155" i="8"/>
  <c r="J155" i="8"/>
  <c r="L154" i="8"/>
  <c r="K154" i="8"/>
  <c r="J154" i="8"/>
  <c r="L153" i="8"/>
  <c r="K153" i="8"/>
  <c r="J153" i="8"/>
  <c r="L152" i="8"/>
  <c r="K152" i="8"/>
  <c r="J152" i="8"/>
  <c r="L151" i="8"/>
  <c r="K151" i="8"/>
  <c r="J151" i="8"/>
  <c r="L150" i="8"/>
  <c r="K150" i="8"/>
  <c r="J150" i="8"/>
  <c r="L149" i="8"/>
  <c r="K149" i="8"/>
  <c r="J149" i="8"/>
  <c r="L148" i="8"/>
  <c r="K148" i="8"/>
  <c r="J148" i="8"/>
  <c r="L147" i="8"/>
  <c r="K147" i="8"/>
  <c r="J147" i="8"/>
  <c r="L146" i="8"/>
  <c r="K146" i="8"/>
  <c r="J146" i="8"/>
  <c r="L145" i="8"/>
  <c r="K145" i="8"/>
  <c r="J145" i="8"/>
  <c r="L144" i="8"/>
  <c r="K144" i="8"/>
  <c r="J144" i="8"/>
  <c r="L143" i="8"/>
  <c r="K143" i="8"/>
  <c r="J143" i="8"/>
  <c r="L142" i="8"/>
  <c r="K142" i="8"/>
  <c r="J142" i="8"/>
  <c r="L141" i="8"/>
  <c r="K141" i="8"/>
  <c r="J141" i="8"/>
  <c r="L140" i="8"/>
  <c r="K140" i="8"/>
  <c r="J140" i="8"/>
  <c r="L139" i="8"/>
  <c r="K139" i="8"/>
  <c r="J139" i="8"/>
  <c r="L138" i="8"/>
  <c r="K138" i="8"/>
  <c r="J138" i="8"/>
  <c r="L137" i="8"/>
  <c r="K137" i="8"/>
  <c r="J137" i="8"/>
  <c r="L136" i="8"/>
  <c r="K136" i="8"/>
  <c r="J136" i="8"/>
  <c r="L135" i="8"/>
  <c r="K135" i="8"/>
  <c r="J135" i="8"/>
  <c r="L134" i="8"/>
  <c r="K134" i="8"/>
  <c r="J134" i="8"/>
  <c r="L133" i="8"/>
  <c r="K133" i="8"/>
  <c r="J133" i="8"/>
  <c r="L132" i="8"/>
  <c r="K132" i="8"/>
  <c r="J132" i="8"/>
  <c r="L131" i="8"/>
  <c r="K131" i="8"/>
  <c r="J131" i="8"/>
  <c r="L130" i="8"/>
  <c r="K130" i="8"/>
  <c r="J130" i="8"/>
  <c r="L129" i="8"/>
  <c r="K129" i="8"/>
  <c r="J129" i="8"/>
  <c r="L128" i="8"/>
  <c r="K128" i="8"/>
  <c r="J128" i="8"/>
  <c r="L127" i="8"/>
  <c r="K127" i="8"/>
  <c r="J127" i="8"/>
  <c r="L126" i="8"/>
  <c r="K126" i="8"/>
  <c r="J126" i="8"/>
  <c r="L125" i="8"/>
  <c r="K125" i="8"/>
  <c r="J125" i="8"/>
  <c r="L124" i="8"/>
  <c r="K124" i="8"/>
  <c r="J124" i="8"/>
  <c r="L123" i="8"/>
  <c r="K123" i="8"/>
  <c r="J123" i="8"/>
  <c r="L122" i="8"/>
  <c r="K122" i="8"/>
  <c r="J122" i="8"/>
  <c r="L121" i="8"/>
  <c r="K121" i="8"/>
  <c r="J121" i="8"/>
  <c r="L120" i="8"/>
  <c r="K120" i="8"/>
  <c r="J120" i="8"/>
  <c r="L119" i="8"/>
  <c r="K119" i="8"/>
  <c r="J119" i="8"/>
  <c r="L118" i="8"/>
  <c r="K118" i="8"/>
  <c r="J118" i="8"/>
  <c r="L117" i="8"/>
  <c r="K117" i="8"/>
  <c r="J117" i="8"/>
  <c r="L116" i="8"/>
  <c r="K116" i="8"/>
  <c r="J116" i="8"/>
  <c r="L115" i="8"/>
  <c r="K115" i="8"/>
  <c r="J115" i="8"/>
  <c r="L114" i="8"/>
  <c r="K114" i="8"/>
  <c r="J114" i="8"/>
  <c r="L113" i="8"/>
  <c r="K113" i="8"/>
  <c r="J113" i="8"/>
  <c r="L112" i="8"/>
  <c r="K112" i="8"/>
  <c r="J112" i="8"/>
  <c r="L111" i="8"/>
  <c r="K111" i="8"/>
  <c r="J111" i="8"/>
  <c r="L110" i="8"/>
  <c r="K110" i="8"/>
  <c r="J110" i="8"/>
  <c r="L109" i="8"/>
  <c r="K109" i="8"/>
  <c r="J109" i="8"/>
  <c r="L108" i="8"/>
  <c r="K108" i="8"/>
  <c r="J108" i="8"/>
  <c r="L107" i="8"/>
  <c r="K107" i="8"/>
  <c r="J107" i="8"/>
  <c r="L106" i="8"/>
  <c r="K106" i="8"/>
  <c r="J106" i="8"/>
  <c r="L105" i="8"/>
  <c r="K105" i="8"/>
  <c r="J105" i="8"/>
  <c r="L104" i="8"/>
  <c r="K104" i="8"/>
  <c r="J104" i="8"/>
  <c r="L103" i="8"/>
  <c r="K103" i="8"/>
  <c r="J103" i="8"/>
  <c r="L102" i="8"/>
  <c r="K102" i="8"/>
  <c r="J102" i="8"/>
  <c r="L101" i="8"/>
  <c r="K101" i="8"/>
  <c r="J101" i="8"/>
  <c r="L100" i="8"/>
  <c r="K100" i="8"/>
  <c r="J100" i="8"/>
  <c r="L99" i="8"/>
  <c r="K99" i="8"/>
  <c r="J99" i="8"/>
  <c r="L98" i="8"/>
  <c r="K98" i="8"/>
  <c r="J98" i="8"/>
  <c r="L97" i="8"/>
  <c r="K97" i="8"/>
  <c r="J97" i="8"/>
  <c r="L96" i="8"/>
  <c r="K96" i="8"/>
  <c r="J96" i="8"/>
  <c r="L95" i="8"/>
  <c r="K95" i="8"/>
  <c r="J95" i="8"/>
  <c r="L94" i="8"/>
  <c r="K94" i="8"/>
  <c r="J94" i="8"/>
  <c r="L93" i="8"/>
  <c r="K93" i="8"/>
  <c r="J93" i="8"/>
  <c r="L92" i="8"/>
  <c r="K92" i="8"/>
  <c r="J92" i="8"/>
  <c r="L91" i="8"/>
  <c r="K91" i="8"/>
  <c r="J91" i="8"/>
  <c r="L90" i="8"/>
  <c r="K90" i="8"/>
  <c r="J90" i="8"/>
  <c r="L89" i="8"/>
  <c r="K89" i="8"/>
  <c r="J89" i="8"/>
  <c r="L88" i="8"/>
  <c r="K88" i="8"/>
  <c r="J88" i="8"/>
  <c r="L87" i="8"/>
  <c r="K87" i="8"/>
  <c r="J87" i="8"/>
  <c r="L86" i="8"/>
  <c r="K86" i="8"/>
  <c r="J86" i="8"/>
  <c r="L85" i="8"/>
  <c r="K85" i="8"/>
  <c r="J85" i="8"/>
  <c r="L84" i="8"/>
  <c r="K84" i="8"/>
  <c r="J84" i="8"/>
  <c r="L83" i="8"/>
  <c r="K83" i="8"/>
  <c r="J83" i="8"/>
  <c r="L82" i="8"/>
  <c r="K82" i="8"/>
  <c r="J82" i="8"/>
  <c r="L81" i="8"/>
  <c r="K81" i="8"/>
  <c r="J81" i="8"/>
  <c r="L80" i="8"/>
  <c r="K80" i="8"/>
  <c r="J80" i="8"/>
  <c r="L79" i="8"/>
  <c r="K79" i="8"/>
  <c r="J79" i="8"/>
  <c r="L78" i="8"/>
  <c r="K78" i="8"/>
  <c r="J78" i="8"/>
  <c r="L77" i="8"/>
  <c r="K77" i="8"/>
  <c r="J77" i="8"/>
  <c r="L76" i="8"/>
  <c r="K76" i="8"/>
  <c r="J76" i="8"/>
  <c r="L75" i="8"/>
  <c r="K75" i="8"/>
  <c r="J75" i="8"/>
  <c r="L74" i="8"/>
  <c r="K74" i="8"/>
  <c r="J74" i="8"/>
  <c r="L73" i="8"/>
  <c r="K73" i="8"/>
  <c r="J73" i="8"/>
  <c r="L72" i="8"/>
  <c r="K72" i="8"/>
  <c r="J72" i="8"/>
  <c r="L71" i="8"/>
  <c r="K71" i="8"/>
  <c r="J71" i="8"/>
  <c r="L70" i="8"/>
  <c r="K70" i="8"/>
  <c r="J70" i="8"/>
  <c r="L69" i="8"/>
  <c r="K69" i="8"/>
  <c r="J69" i="8"/>
  <c r="L68" i="8"/>
  <c r="K68" i="8"/>
  <c r="J68" i="8"/>
  <c r="L67" i="8"/>
  <c r="K67" i="8"/>
  <c r="J67" i="8"/>
  <c r="L66" i="8"/>
  <c r="K66" i="8"/>
  <c r="J66" i="8"/>
  <c r="L65" i="8"/>
  <c r="K65" i="8"/>
  <c r="J65" i="8"/>
  <c r="L64" i="8"/>
  <c r="K64" i="8"/>
  <c r="J64" i="8"/>
  <c r="L63" i="8"/>
  <c r="K63" i="8"/>
  <c r="J63" i="8"/>
  <c r="L62" i="8"/>
  <c r="K62" i="8"/>
  <c r="J62" i="8"/>
  <c r="L61" i="8"/>
  <c r="K61" i="8"/>
  <c r="J61" i="8"/>
  <c r="L60" i="8"/>
  <c r="K60" i="8"/>
  <c r="J60" i="8"/>
  <c r="L59" i="8"/>
  <c r="K59" i="8"/>
  <c r="J59" i="8"/>
  <c r="L58" i="8"/>
  <c r="K58" i="8"/>
  <c r="J58" i="8"/>
  <c r="L57" i="8"/>
  <c r="K57" i="8"/>
  <c r="J57" i="8"/>
  <c r="L56" i="8"/>
  <c r="K56" i="8"/>
  <c r="J56" i="8"/>
  <c r="L55" i="8"/>
  <c r="K55" i="8"/>
  <c r="J55" i="8"/>
  <c r="L54" i="8"/>
  <c r="K54" i="8"/>
  <c r="J54" i="8"/>
  <c r="L53" i="8"/>
  <c r="K53" i="8"/>
  <c r="J53" i="8"/>
  <c r="L52" i="8"/>
  <c r="K52" i="8"/>
  <c r="J52" i="8"/>
  <c r="L51" i="8"/>
  <c r="K51" i="8"/>
  <c r="J51" i="8"/>
  <c r="L50" i="8"/>
  <c r="K50" i="8"/>
  <c r="J50" i="8"/>
  <c r="L49" i="8"/>
  <c r="K49" i="8"/>
  <c r="J49" i="8"/>
  <c r="L48" i="8"/>
  <c r="K48" i="8"/>
  <c r="J48" i="8"/>
  <c r="L47" i="8"/>
  <c r="K47" i="8"/>
  <c r="J47" i="8"/>
  <c r="L46" i="8"/>
  <c r="K46" i="8"/>
  <c r="J46" i="8"/>
  <c r="L45" i="8"/>
  <c r="K45" i="8"/>
  <c r="J45" i="8"/>
  <c r="L44" i="8"/>
  <c r="K44" i="8"/>
  <c r="J44" i="8"/>
  <c r="L43" i="8"/>
  <c r="K43" i="8"/>
  <c r="J43" i="8"/>
  <c r="L42" i="8"/>
  <c r="K42" i="8"/>
  <c r="J42" i="8"/>
  <c r="L41" i="8"/>
  <c r="K41" i="8"/>
  <c r="J41" i="8"/>
  <c r="L40" i="8"/>
  <c r="K40" i="8"/>
  <c r="J40" i="8"/>
  <c r="L39" i="8"/>
  <c r="K39" i="8"/>
  <c r="J39" i="8"/>
  <c r="L38" i="8"/>
  <c r="K38" i="8"/>
  <c r="J38" i="8"/>
  <c r="L37" i="8"/>
  <c r="K37" i="8"/>
  <c r="J37" i="8"/>
  <c r="L36" i="8"/>
  <c r="K36" i="8"/>
  <c r="J36" i="8"/>
  <c r="L35" i="8"/>
  <c r="K35" i="8"/>
  <c r="J35" i="8"/>
  <c r="L34" i="8"/>
  <c r="K34" i="8"/>
  <c r="J34" i="8"/>
  <c r="L33" i="8"/>
  <c r="K33" i="8"/>
  <c r="J33" i="8"/>
  <c r="L32" i="8"/>
  <c r="K32" i="8"/>
  <c r="J32" i="8"/>
  <c r="L31" i="8"/>
  <c r="K31" i="8"/>
  <c r="J31" i="8"/>
  <c r="L30" i="8"/>
  <c r="K30" i="8"/>
  <c r="J30" i="8"/>
  <c r="L29" i="8"/>
  <c r="K29" i="8"/>
  <c r="J29" i="8"/>
  <c r="L28" i="8"/>
  <c r="K28" i="8"/>
  <c r="J28" i="8"/>
  <c r="L27" i="8"/>
  <c r="K27" i="8"/>
  <c r="J27" i="8"/>
  <c r="L26" i="8"/>
  <c r="K26" i="8"/>
  <c r="J26" i="8"/>
  <c r="L25" i="8"/>
  <c r="K25" i="8"/>
  <c r="J25" i="8"/>
  <c r="L24" i="8"/>
  <c r="K24" i="8"/>
  <c r="J24" i="8"/>
  <c r="L23" i="8"/>
  <c r="K23" i="8"/>
  <c r="J23" i="8"/>
  <c r="L22" i="8"/>
  <c r="K22" i="8"/>
  <c r="J22" i="8"/>
  <c r="L21" i="8"/>
  <c r="K21" i="8"/>
  <c r="J21" i="8"/>
  <c r="L20" i="8"/>
  <c r="K20" i="8"/>
  <c r="J20" i="8"/>
  <c r="L19" i="8"/>
  <c r="K19" i="8"/>
  <c r="J19" i="8"/>
  <c r="L18" i="8"/>
  <c r="K18" i="8"/>
  <c r="J18" i="8"/>
  <c r="L17" i="8"/>
  <c r="K17" i="8"/>
  <c r="J17" i="8"/>
  <c r="L16" i="8"/>
  <c r="K16" i="8"/>
  <c r="J16" i="8"/>
  <c r="L15" i="8"/>
  <c r="K15" i="8"/>
  <c r="J15" i="8"/>
  <c r="L14" i="8"/>
  <c r="K14" i="8"/>
  <c r="J14" i="8"/>
  <c r="L9" i="8" s="1"/>
  <c r="L13" i="8"/>
  <c r="K13" i="8"/>
  <c r="J13" i="8"/>
  <c r="L12" i="8"/>
  <c r="K12" i="8"/>
  <c r="J12" i="8"/>
  <c r="L11" i="8"/>
  <c r="K11" i="8"/>
  <c r="J11" i="8"/>
  <c r="K10" i="8"/>
  <c r="J10" i="8"/>
  <c r="K9" i="8"/>
  <c r="J9" i="8"/>
  <c r="L8" i="8"/>
  <c r="K8" i="8"/>
  <c r="J8" i="8"/>
  <c r="K7" i="8"/>
  <c r="J7" i="8"/>
  <c r="K6" i="8"/>
  <c r="J6" i="8"/>
  <c r="AM305" i="7"/>
  <c r="AL305" i="7"/>
  <c r="AK305" i="7"/>
  <c r="AG305" i="7"/>
  <c r="AF305" i="7"/>
  <c r="AE305" i="7"/>
  <c r="AD305" i="7"/>
  <c r="AC305" i="7"/>
  <c r="AB305" i="7"/>
  <c r="AA305" i="7"/>
  <c r="Z305" i="7"/>
  <c r="Y305" i="7"/>
  <c r="S305" i="7"/>
  <c r="AJ305" i="7" s="1"/>
  <c r="R305" i="7"/>
  <c r="Q305" i="7"/>
  <c r="T305" i="7" s="1"/>
  <c r="P305" i="7"/>
  <c r="N305" i="7"/>
  <c r="AM304" i="7"/>
  <c r="AL304" i="7"/>
  <c r="AK304" i="7"/>
  <c r="AG304" i="7"/>
  <c r="AF304" i="7"/>
  <c r="AE304" i="7"/>
  <c r="AD304" i="7"/>
  <c r="AB304" i="7"/>
  <c r="AA304" i="7"/>
  <c r="AC304" i="7" s="1"/>
  <c r="Y304" i="7"/>
  <c r="R304" i="7"/>
  <c r="Q304" i="7"/>
  <c r="P304" i="7"/>
  <c r="S304" i="7" s="1"/>
  <c r="N304" i="7"/>
  <c r="AM303" i="7"/>
  <c r="AL303" i="7"/>
  <c r="AK303" i="7"/>
  <c r="AG303" i="7"/>
  <c r="AF303" i="7"/>
  <c r="AE303" i="7"/>
  <c r="AD303" i="7"/>
  <c r="AC303" i="7"/>
  <c r="AB303" i="7"/>
  <c r="AA303" i="7"/>
  <c r="Z303" i="7"/>
  <c r="Y303" i="7"/>
  <c r="S303" i="7"/>
  <c r="R303" i="7"/>
  <c r="Q303" i="7"/>
  <c r="T303" i="7" s="1"/>
  <c r="AJ303" i="7" s="1"/>
  <c r="P303" i="7"/>
  <c r="N303" i="7"/>
  <c r="AM302" i="7"/>
  <c r="AL302" i="7"/>
  <c r="AK302" i="7"/>
  <c r="AG302" i="7"/>
  <c r="AF302" i="7"/>
  <c r="AE302" i="7"/>
  <c r="AD302" i="7"/>
  <c r="AB302" i="7"/>
  <c r="AA302" i="7"/>
  <c r="AC302" i="7" s="1"/>
  <c r="Y302" i="7"/>
  <c r="R302" i="7"/>
  <c r="Q302" i="7"/>
  <c r="P302" i="7"/>
  <c r="S302" i="7" s="1"/>
  <c r="N302" i="7"/>
  <c r="AM301" i="7"/>
  <c r="AL301" i="7"/>
  <c r="AK301" i="7"/>
  <c r="AG301" i="7"/>
  <c r="AF301" i="7"/>
  <c r="AE301" i="7"/>
  <c r="AD301" i="7"/>
  <c r="AC301" i="7"/>
  <c r="AB301" i="7"/>
  <c r="AA301" i="7"/>
  <c r="Z301" i="7"/>
  <c r="Y301" i="7"/>
  <c r="S301" i="7"/>
  <c r="AJ301" i="7" s="1"/>
  <c r="R301" i="7"/>
  <c r="Q301" i="7"/>
  <c r="T301" i="7" s="1"/>
  <c r="P301" i="7"/>
  <c r="N301" i="7"/>
  <c r="AM300" i="7"/>
  <c r="AL300" i="7"/>
  <c r="AK300" i="7"/>
  <c r="AG300" i="7"/>
  <c r="AF300" i="7"/>
  <c r="AE300" i="7"/>
  <c r="AD300" i="7"/>
  <c r="AB300" i="7"/>
  <c r="AA300" i="7"/>
  <c r="AC300" i="7" s="1"/>
  <c r="Y300" i="7"/>
  <c r="R300" i="7"/>
  <c r="Q300" i="7"/>
  <c r="P300" i="7"/>
  <c r="S300" i="7" s="1"/>
  <c r="N300" i="7"/>
  <c r="AM299" i="7"/>
  <c r="AL299" i="7"/>
  <c r="AK299" i="7"/>
  <c r="AJ299" i="7"/>
  <c r="AG299" i="7"/>
  <c r="AF299" i="7"/>
  <c r="AE299" i="7"/>
  <c r="AD299" i="7"/>
  <c r="AC299" i="7"/>
  <c r="AB299" i="7"/>
  <c r="AA299" i="7"/>
  <c r="Z299" i="7"/>
  <c r="Y299" i="7"/>
  <c r="S299" i="7"/>
  <c r="R299" i="7"/>
  <c r="Q299" i="7"/>
  <c r="T299" i="7" s="1"/>
  <c r="P299" i="7"/>
  <c r="N299" i="7"/>
  <c r="AM298" i="7"/>
  <c r="AL298" i="7"/>
  <c r="AK298" i="7"/>
  <c r="AG298" i="7"/>
  <c r="AF298" i="7"/>
  <c r="AE298" i="7"/>
  <c r="AD298" i="7"/>
  <c r="AC298" i="7"/>
  <c r="AB298" i="7"/>
  <c r="AA298" i="7"/>
  <c r="Y298" i="7"/>
  <c r="R298" i="7"/>
  <c r="Q298" i="7"/>
  <c r="P298" i="7"/>
  <c r="S298" i="7" s="1"/>
  <c r="N298" i="7"/>
  <c r="AM297" i="7"/>
  <c r="AL297" i="7"/>
  <c r="AK297" i="7"/>
  <c r="AG297" i="7"/>
  <c r="AF297" i="7"/>
  <c r="AE297" i="7"/>
  <c r="AD297" i="7"/>
  <c r="AC297" i="7"/>
  <c r="AB297" i="7"/>
  <c r="AA297" i="7"/>
  <c r="Z297" i="7"/>
  <c r="Y297" i="7"/>
  <c r="S297" i="7"/>
  <c r="AJ297" i="7" s="1"/>
  <c r="R297" i="7"/>
  <c r="Q297" i="7"/>
  <c r="T297" i="7" s="1"/>
  <c r="P297" i="7"/>
  <c r="N297" i="7"/>
  <c r="AM296" i="7"/>
  <c r="AL296" i="7"/>
  <c r="AK296" i="7"/>
  <c r="AG296" i="7"/>
  <c r="AF296" i="7"/>
  <c r="AE296" i="7"/>
  <c r="AD296" i="7"/>
  <c r="AB296" i="7"/>
  <c r="AA296" i="7"/>
  <c r="AC296" i="7" s="1"/>
  <c r="Y296" i="7"/>
  <c r="R296" i="7"/>
  <c r="Q296" i="7"/>
  <c r="P296" i="7"/>
  <c r="S296" i="7" s="1"/>
  <c r="N296" i="7"/>
  <c r="AM295" i="7"/>
  <c r="AL295" i="7"/>
  <c r="AK295" i="7"/>
  <c r="AG295" i="7"/>
  <c r="AF295" i="7"/>
  <c r="AE295" i="7"/>
  <c r="AD295" i="7"/>
  <c r="AC295" i="7"/>
  <c r="AB295" i="7"/>
  <c r="AA295" i="7"/>
  <c r="Z295" i="7"/>
  <c r="Y295" i="7"/>
  <c r="S295" i="7"/>
  <c r="R295" i="7"/>
  <c r="Q295" i="7"/>
  <c r="T295" i="7" s="1"/>
  <c r="AJ295" i="7" s="1"/>
  <c r="P295" i="7"/>
  <c r="N295" i="7"/>
  <c r="AM294" i="7"/>
  <c r="AL294" i="7"/>
  <c r="AK294" i="7"/>
  <c r="AG294" i="7"/>
  <c r="AF294" i="7"/>
  <c r="AE294" i="7"/>
  <c r="AD294" i="7"/>
  <c r="AB294" i="7"/>
  <c r="AA294" i="7"/>
  <c r="AC294" i="7" s="1"/>
  <c r="Y294" i="7"/>
  <c r="R294" i="7"/>
  <c r="Q294" i="7"/>
  <c r="P294" i="7"/>
  <c r="S294" i="7" s="1"/>
  <c r="N294" i="7"/>
  <c r="AM293" i="7"/>
  <c r="AL293" i="7"/>
  <c r="AK293" i="7"/>
  <c r="AG293" i="7"/>
  <c r="AF293" i="7"/>
  <c r="AE293" i="7"/>
  <c r="AD293" i="7"/>
  <c r="AC293" i="7"/>
  <c r="AB293" i="7"/>
  <c r="AA293" i="7"/>
  <c r="Z293" i="7"/>
  <c r="Y293" i="7"/>
  <c r="S293" i="7"/>
  <c r="AJ293" i="7" s="1"/>
  <c r="R293" i="7"/>
  <c r="Q293" i="7"/>
  <c r="T293" i="7" s="1"/>
  <c r="P293" i="7"/>
  <c r="N293" i="7"/>
  <c r="AM292" i="7"/>
  <c r="AL292" i="7"/>
  <c r="AK292" i="7"/>
  <c r="AG292" i="7"/>
  <c r="AF292" i="7"/>
  <c r="AE292" i="7"/>
  <c r="AD292" i="7"/>
  <c r="AB292" i="7"/>
  <c r="AA292" i="7"/>
  <c r="AC292" i="7" s="1"/>
  <c r="Y292" i="7"/>
  <c r="R292" i="7"/>
  <c r="Q292" i="7"/>
  <c r="P292" i="7"/>
  <c r="S292" i="7" s="1"/>
  <c r="N292" i="7"/>
  <c r="AM291" i="7"/>
  <c r="AL291" i="7"/>
  <c r="AK291" i="7"/>
  <c r="AJ291" i="7"/>
  <c r="AG291" i="7"/>
  <c r="AF291" i="7"/>
  <c r="AE291" i="7"/>
  <c r="AD291" i="7"/>
  <c r="AC291" i="7"/>
  <c r="AB291" i="7"/>
  <c r="AA291" i="7"/>
  <c r="Z291" i="7"/>
  <c r="Y291" i="7"/>
  <c r="S291" i="7"/>
  <c r="R291" i="7"/>
  <c r="Q291" i="7"/>
  <c r="T291" i="7" s="1"/>
  <c r="P291" i="7"/>
  <c r="N291" i="7"/>
  <c r="AM290" i="7"/>
  <c r="AL290" i="7"/>
  <c r="AK290" i="7"/>
  <c r="AG290" i="7"/>
  <c r="AF290" i="7"/>
  <c r="AE290" i="7"/>
  <c r="AD290" i="7"/>
  <c r="AC290" i="7"/>
  <c r="AB290" i="7"/>
  <c r="AA290" i="7"/>
  <c r="Y290" i="7"/>
  <c r="R290" i="7"/>
  <c r="Q290" i="7"/>
  <c r="P290" i="7"/>
  <c r="S290" i="7" s="1"/>
  <c r="N290" i="7"/>
  <c r="AM289" i="7"/>
  <c r="AL289" i="7"/>
  <c r="AK289" i="7"/>
  <c r="AG289" i="7"/>
  <c r="AF289" i="7"/>
  <c r="AE289" i="7"/>
  <c r="AD289" i="7"/>
  <c r="AC289" i="7"/>
  <c r="AB289" i="7"/>
  <c r="AA289" i="7"/>
  <c r="Y289" i="7"/>
  <c r="S289" i="7"/>
  <c r="AJ289" i="7" s="1"/>
  <c r="R289" i="7"/>
  <c r="Q289" i="7"/>
  <c r="T289" i="7" s="1"/>
  <c r="P289" i="7"/>
  <c r="N289" i="7"/>
  <c r="AM288" i="7"/>
  <c r="AL288" i="7"/>
  <c r="AK288" i="7"/>
  <c r="AG288" i="7"/>
  <c r="AF288" i="7"/>
  <c r="AE288" i="7"/>
  <c r="AD288" i="7"/>
  <c r="AB288" i="7"/>
  <c r="AA288" i="7"/>
  <c r="AC288" i="7" s="1"/>
  <c r="Y288" i="7"/>
  <c r="R288" i="7"/>
  <c r="Q288" i="7"/>
  <c r="P288" i="7"/>
  <c r="S288" i="7" s="1"/>
  <c r="N288" i="7"/>
  <c r="AM287" i="7"/>
  <c r="AL287" i="7"/>
  <c r="AK287" i="7"/>
  <c r="AG287" i="7"/>
  <c r="AF287" i="7"/>
  <c r="AE287" i="7"/>
  <c r="AD287" i="7"/>
  <c r="AC287" i="7"/>
  <c r="AB287" i="7"/>
  <c r="AA287" i="7"/>
  <c r="Y287" i="7"/>
  <c r="S287" i="7"/>
  <c r="R287" i="7"/>
  <c r="Q287" i="7"/>
  <c r="T287" i="7" s="1"/>
  <c r="AJ287" i="7" s="1"/>
  <c r="P287" i="7"/>
  <c r="N287" i="7"/>
  <c r="AM286" i="7"/>
  <c r="AL286" i="7"/>
  <c r="AK286" i="7"/>
  <c r="AG286" i="7"/>
  <c r="AF286" i="7"/>
  <c r="AE286" i="7"/>
  <c r="AD286" i="7"/>
  <c r="AB286" i="7"/>
  <c r="AA286" i="7"/>
  <c r="AC286" i="7" s="1"/>
  <c r="Y286" i="7"/>
  <c r="R286" i="7"/>
  <c r="Q286" i="7"/>
  <c r="P286" i="7"/>
  <c r="S286" i="7" s="1"/>
  <c r="N286" i="7"/>
  <c r="AM285" i="7"/>
  <c r="AL285" i="7"/>
  <c r="AK285" i="7"/>
  <c r="AG285" i="7"/>
  <c r="AF285" i="7"/>
  <c r="AE285" i="7"/>
  <c r="AD285" i="7"/>
  <c r="AC285" i="7"/>
  <c r="AB285" i="7"/>
  <c r="AA285" i="7"/>
  <c r="Z285" i="7"/>
  <c r="Y285" i="7"/>
  <c r="S285" i="7"/>
  <c r="AJ285" i="7" s="1"/>
  <c r="R285" i="7"/>
  <c r="Q285" i="7"/>
  <c r="T285" i="7" s="1"/>
  <c r="P285" i="7"/>
  <c r="N285" i="7"/>
  <c r="AM284" i="7"/>
  <c r="AL284" i="7"/>
  <c r="AK284" i="7"/>
  <c r="AG284" i="7"/>
  <c r="AF284" i="7"/>
  <c r="AE284" i="7"/>
  <c r="AD284" i="7"/>
  <c r="AB284" i="7"/>
  <c r="AA284" i="7"/>
  <c r="AC284" i="7" s="1"/>
  <c r="Y284" i="7"/>
  <c r="R284" i="7"/>
  <c r="Q284" i="7"/>
  <c r="P284" i="7"/>
  <c r="S284" i="7" s="1"/>
  <c r="N284" i="7"/>
  <c r="AM283" i="7"/>
  <c r="AL283" i="7"/>
  <c r="AK283" i="7"/>
  <c r="AJ283" i="7"/>
  <c r="AG283" i="7"/>
  <c r="AF283" i="7"/>
  <c r="AE283" i="7"/>
  <c r="AD283" i="7"/>
  <c r="AC283" i="7"/>
  <c r="AB283" i="7"/>
  <c r="AA283" i="7"/>
  <c r="Z283" i="7"/>
  <c r="Y283" i="7"/>
  <c r="S283" i="7"/>
  <c r="R283" i="7"/>
  <c r="Q283" i="7"/>
  <c r="T283" i="7" s="1"/>
  <c r="P283" i="7"/>
  <c r="N283" i="7"/>
  <c r="AM282" i="7"/>
  <c r="AL282" i="7"/>
  <c r="AK282" i="7"/>
  <c r="AG282" i="7"/>
  <c r="AF282" i="7"/>
  <c r="AE282" i="7"/>
  <c r="AD282" i="7"/>
  <c r="AC282" i="7"/>
  <c r="AB282" i="7"/>
  <c r="AA282" i="7"/>
  <c r="Y282" i="7"/>
  <c r="R282" i="7"/>
  <c r="Q282" i="7"/>
  <c r="P282" i="7"/>
  <c r="S282" i="7" s="1"/>
  <c r="N282" i="7"/>
  <c r="AM281" i="7"/>
  <c r="AL281" i="7"/>
  <c r="AK281" i="7"/>
  <c r="AG281" i="7"/>
  <c r="AF281" i="7"/>
  <c r="AE281" i="7"/>
  <c r="AD281" i="7"/>
  <c r="AC281" i="7"/>
  <c r="AB281" i="7"/>
  <c r="AA281" i="7"/>
  <c r="Y281" i="7"/>
  <c r="S281" i="7"/>
  <c r="AJ281" i="7" s="1"/>
  <c r="R281" i="7"/>
  <c r="Q281" i="7"/>
  <c r="T281" i="7" s="1"/>
  <c r="P281" i="7"/>
  <c r="N281" i="7"/>
  <c r="AM280" i="7"/>
  <c r="AL280" i="7"/>
  <c r="AK280" i="7"/>
  <c r="AG280" i="7"/>
  <c r="AF280" i="7"/>
  <c r="AE280" i="7"/>
  <c r="AD280" i="7"/>
  <c r="AB280" i="7"/>
  <c r="AA280" i="7"/>
  <c r="AC280" i="7" s="1"/>
  <c r="Y280" i="7"/>
  <c r="R280" i="7"/>
  <c r="Q280" i="7"/>
  <c r="P280" i="7"/>
  <c r="S280" i="7" s="1"/>
  <c r="N280" i="7"/>
  <c r="AM279" i="7"/>
  <c r="AL279" i="7"/>
  <c r="AK279" i="7"/>
  <c r="AG279" i="7"/>
  <c r="AF279" i="7"/>
  <c r="AE279" i="7"/>
  <c r="AD279" i="7"/>
  <c r="AC279" i="7"/>
  <c r="AB279" i="7"/>
  <c r="AA279" i="7"/>
  <c r="Y279" i="7"/>
  <c r="S279" i="7"/>
  <c r="R279" i="7"/>
  <c r="Q279" i="7"/>
  <c r="T279" i="7" s="1"/>
  <c r="AJ279" i="7" s="1"/>
  <c r="P279" i="7"/>
  <c r="N279" i="7"/>
  <c r="AM278" i="7"/>
  <c r="AL278" i="7"/>
  <c r="AK278" i="7"/>
  <c r="AG278" i="7"/>
  <c r="AF278" i="7"/>
  <c r="AE278" i="7"/>
  <c r="AD278" i="7"/>
  <c r="AB278" i="7"/>
  <c r="AA278" i="7"/>
  <c r="AC278" i="7" s="1"/>
  <c r="Y278" i="7"/>
  <c r="R278" i="7"/>
  <c r="Q278" i="7"/>
  <c r="P278" i="7"/>
  <c r="S278" i="7" s="1"/>
  <c r="N278" i="7"/>
  <c r="AM277" i="7"/>
  <c r="AL277" i="7"/>
  <c r="AK277" i="7"/>
  <c r="AG277" i="7"/>
  <c r="AF277" i="7"/>
  <c r="AE277" i="7"/>
  <c r="AD277" i="7"/>
  <c r="AC277" i="7"/>
  <c r="AB277" i="7"/>
  <c r="AA277" i="7"/>
  <c r="Z277" i="7"/>
  <c r="Y277" i="7"/>
  <c r="S277" i="7"/>
  <c r="AJ277" i="7" s="1"/>
  <c r="R277" i="7"/>
  <c r="Q277" i="7"/>
  <c r="T277" i="7" s="1"/>
  <c r="P277" i="7"/>
  <c r="N277" i="7"/>
  <c r="AM276" i="7"/>
  <c r="AL276" i="7"/>
  <c r="AK276" i="7"/>
  <c r="AG276" i="7"/>
  <c r="AF276" i="7"/>
  <c r="AE276" i="7"/>
  <c r="AD276" i="7"/>
  <c r="AB276" i="7"/>
  <c r="AA276" i="7"/>
  <c r="AC276" i="7" s="1"/>
  <c r="Y276" i="7"/>
  <c r="R276" i="7"/>
  <c r="Q276" i="7"/>
  <c r="P276" i="7"/>
  <c r="S276" i="7" s="1"/>
  <c r="N276" i="7"/>
  <c r="AM275" i="7"/>
  <c r="AL275" i="7"/>
  <c r="AK275" i="7"/>
  <c r="AJ275" i="7"/>
  <c r="AG275" i="7"/>
  <c r="AF275" i="7"/>
  <c r="AE275" i="7"/>
  <c r="AD275" i="7"/>
  <c r="AC275" i="7"/>
  <c r="AB275" i="7"/>
  <c r="AA275" i="7"/>
  <c r="Z275" i="7"/>
  <c r="Y275" i="7"/>
  <c r="S275" i="7"/>
  <c r="R275" i="7"/>
  <c r="Q275" i="7"/>
  <c r="T275" i="7" s="1"/>
  <c r="P275" i="7"/>
  <c r="N275" i="7"/>
  <c r="AM274" i="7"/>
  <c r="AL274" i="7"/>
  <c r="AK274" i="7"/>
  <c r="AG274" i="7"/>
  <c r="AF274" i="7"/>
  <c r="AE274" i="7"/>
  <c r="AD274" i="7"/>
  <c r="AC274" i="7"/>
  <c r="AB274" i="7"/>
  <c r="AA274" i="7"/>
  <c r="Y274" i="7"/>
  <c r="R274" i="7"/>
  <c r="Q274" i="7"/>
  <c r="P274" i="7"/>
  <c r="S274" i="7" s="1"/>
  <c r="N274" i="7"/>
  <c r="AM273" i="7"/>
  <c r="AL273" i="7"/>
  <c r="AK273" i="7"/>
  <c r="AG273" i="7"/>
  <c r="AF273" i="7"/>
  <c r="AE273" i="7"/>
  <c r="AD273" i="7"/>
  <c r="AC273" i="7"/>
  <c r="AB273" i="7"/>
  <c r="AA273" i="7"/>
  <c r="Y273" i="7"/>
  <c r="S273" i="7"/>
  <c r="AJ273" i="7" s="1"/>
  <c r="R273" i="7"/>
  <c r="Q273" i="7"/>
  <c r="T273" i="7" s="1"/>
  <c r="P273" i="7"/>
  <c r="N273" i="7"/>
  <c r="AM272" i="7"/>
  <c r="AL272" i="7"/>
  <c r="AK272" i="7"/>
  <c r="AG272" i="7"/>
  <c r="AF272" i="7"/>
  <c r="AE272" i="7"/>
  <c r="AD272" i="7"/>
  <c r="AB272" i="7"/>
  <c r="AA272" i="7"/>
  <c r="AC272" i="7" s="1"/>
  <c r="Y272" i="7"/>
  <c r="R272" i="7"/>
  <c r="Q272" i="7"/>
  <c r="P272" i="7"/>
  <c r="S272" i="7" s="1"/>
  <c r="N272" i="7"/>
  <c r="AM271" i="7"/>
  <c r="AL271" i="7"/>
  <c r="AK271" i="7"/>
  <c r="AG271" i="7"/>
  <c r="AF271" i="7"/>
  <c r="AE271" i="7"/>
  <c r="AD271" i="7"/>
  <c r="AC271" i="7"/>
  <c r="AB271" i="7"/>
  <c r="AA271" i="7"/>
  <c r="Y271" i="7"/>
  <c r="S271" i="7"/>
  <c r="R271" i="7"/>
  <c r="Q271" i="7"/>
  <c r="T271" i="7" s="1"/>
  <c r="AJ271" i="7" s="1"/>
  <c r="P271" i="7"/>
  <c r="N271" i="7"/>
  <c r="AM270" i="7"/>
  <c r="AL270" i="7"/>
  <c r="AK270" i="7"/>
  <c r="AG270" i="7"/>
  <c r="AF270" i="7"/>
  <c r="AE270" i="7"/>
  <c r="AD270" i="7"/>
  <c r="AB270" i="7"/>
  <c r="AA270" i="7"/>
  <c r="AC270" i="7" s="1"/>
  <c r="Y270" i="7"/>
  <c r="R270" i="7"/>
  <c r="Q270" i="7"/>
  <c r="P270" i="7"/>
  <c r="S270" i="7" s="1"/>
  <c r="N270" i="7"/>
  <c r="AM269" i="7"/>
  <c r="AL269" i="7"/>
  <c r="AK269" i="7"/>
  <c r="AG269" i="7"/>
  <c r="AF269" i="7"/>
  <c r="AE269" i="7"/>
  <c r="AD269" i="7"/>
  <c r="AC269" i="7"/>
  <c r="AB269" i="7"/>
  <c r="AA269" i="7"/>
  <c r="Z269" i="7"/>
  <c r="Y269" i="7"/>
  <c r="S269" i="7"/>
  <c r="AJ269" i="7" s="1"/>
  <c r="R269" i="7"/>
  <c r="Q269" i="7"/>
  <c r="T269" i="7" s="1"/>
  <c r="P269" i="7"/>
  <c r="N269" i="7"/>
  <c r="AM268" i="7"/>
  <c r="AL268" i="7"/>
  <c r="AK268" i="7"/>
  <c r="AG268" i="7"/>
  <c r="AF268" i="7"/>
  <c r="AE268" i="7"/>
  <c r="AD268" i="7"/>
  <c r="AB268" i="7"/>
  <c r="AA268" i="7"/>
  <c r="AC268" i="7" s="1"/>
  <c r="Y268" i="7"/>
  <c r="R268" i="7"/>
  <c r="Q268" i="7"/>
  <c r="P268" i="7"/>
  <c r="S268" i="7" s="1"/>
  <c r="N268" i="7"/>
  <c r="AM267" i="7"/>
  <c r="AL267" i="7"/>
  <c r="AK267" i="7"/>
  <c r="AJ267" i="7"/>
  <c r="AG267" i="7"/>
  <c r="AF267" i="7"/>
  <c r="AE267" i="7"/>
  <c r="AD267" i="7"/>
  <c r="AC267" i="7"/>
  <c r="AB267" i="7"/>
  <c r="AA267" i="7"/>
  <c r="Z267" i="7"/>
  <c r="Y267" i="7"/>
  <c r="S267" i="7"/>
  <c r="R267" i="7"/>
  <c r="Q267" i="7"/>
  <c r="T267" i="7" s="1"/>
  <c r="P267" i="7"/>
  <c r="N267" i="7"/>
  <c r="AM266" i="7"/>
  <c r="AL266" i="7"/>
  <c r="AK266" i="7"/>
  <c r="AG266" i="7"/>
  <c r="AF266" i="7"/>
  <c r="AE266" i="7"/>
  <c r="AD266" i="7"/>
  <c r="AC266" i="7"/>
  <c r="AB266" i="7"/>
  <c r="AA266" i="7"/>
  <c r="Y266" i="7"/>
  <c r="R266" i="7"/>
  <c r="Q266" i="7"/>
  <c r="P266" i="7"/>
  <c r="S266" i="7" s="1"/>
  <c r="N266" i="7"/>
  <c r="AM265" i="7"/>
  <c r="AL265" i="7"/>
  <c r="AK265" i="7"/>
  <c r="AG265" i="7"/>
  <c r="AF265" i="7"/>
  <c r="AE265" i="7"/>
  <c r="AD265" i="7"/>
  <c r="AC265" i="7"/>
  <c r="AB265" i="7"/>
  <c r="AA265" i="7"/>
  <c r="Y265" i="7"/>
  <c r="S265" i="7"/>
  <c r="AJ265" i="7" s="1"/>
  <c r="R265" i="7"/>
  <c r="Q265" i="7"/>
  <c r="T265" i="7" s="1"/>
  <c r="P265" i="7"/>
  <c r="N265" i="7"/>
  <c r="AM264" i="7"/>
  <c r="AL264" i="7"/>
  <c r="AK264" i="7"/>
  <c r="AG264" i="7"/>
  <c r="AF264" i="7"/>
  <c r="AE264" i="7"/>
  <c r="AD264" i="7"/>
  <c r="AB264" i="7"/>
  <c r="AA264" i="7"/>
  <c r="AC264" i="7" s="1"/>
  <c r="Y264" i="7"/>
  <c r="R264" i="7"/>
  <c r="Q264" i="7"/>
  <c r="P264" i="7"/>
  <c r="S264" i="7" s="1"/>
  <c r="N264" i="7"/>
  <c r="AM263" i="7"/>
  <c r="AL263" i="7"/>
  <c r="AK263" i="7"/>
  <c r="AG263" i="7"/>
  <c r="AF263" i="7"/>
  <c r="AE263" i="7"/>
  <c r="AD263" i="7"/>
  <c r="AC263" i="7"/>
  <c r="AB263" i="7"/>
  <c r="AA263" i="7"/>
  <c r="Y263" i="7"/>
  <c r="S263" i="7"/>
  <c r="R263" i="7"/>
  <c r="Q263" i="7"/>
  <c r="T263" i="7" s="1"/>
  <c r="AJ263" i="7" s="1"/>
  <c r="P263" i="7"/>
  <c r="N263" i="7"/>
  <c r="AM262" i="7"/>
  <c r="AL262" i="7"/>
  <c r="AK262" i="7"/>
  <c r="AG262" i="7"/>
  <c r="AF262" i="7"/>
  <c r="AE262" i="7"/>
  <c r="AD262" i="7"/>
  <c r="AB262" i="7"/>
  <c r="AA262" i="7"/>
  <c r="AC262" i="7" s="1"/>
  <c r="Y262" i="7"/>
  <c r="R262" i="7"/>
  <c r="Q262" i="7"/>
  <c r="P262" i="7"/>
  <c r="S262" i="7" s="1"/>
  <c r="N262" i="7"/>
  <c r="AM261" i="7"/>
  <c r="AL261" i="7"/>
  <c r="AK261" i="7"/>
  <c r="AG261" i="7"/>
  <c r="AF261" i="7"/>
  <c r="AE261" i="7"/>
  <c r="AD261" i="7"/>
  <c r="AC261" i="7"/>
  <c r="AB261" i="7"/>
  <c r="AA261" i="7"/>
  <c r="Z261" i="7"/>
  <c r="Y261" i="7"/>
  <c r="S261" i="7"/>
  <c r="AJ261" i="7" s="1"/>
  <c r="R261" i="7"/>
  <c r="Q261" i="7"/>
  <c r="T261" i="7" s="1"/>
  <c r="P261" i="7"/>
  <c r="N261" i="7"/>
  <c r="AM260" i="7"/>
  <c r="AL260" i="7"/>
  <c r="AK260" i="7"/>
  <c r="AG260" i="7"/>
  <c r="AF260" i="7"/>
  <c r="AE260" i="7"/>
  <c r="AD260" i="7"/>
  <c r="AB260" i="7"/>
  <c r="AA260" i="7"/>
  <c r="AC260" i="7" s="1"/>
  <c r="Y260" i="7"/>
  <c r="R260" i="7"/>
  <c r="Q260" i="7"/>
  <c r="P260" i="7"/>
  <c r="S260" i="7" s="1"/>
  <c r="N260" i="7"/>
  <c r="AM259" i="7"/>
  <c r="AL259" i="7"/>
  <c r="AK259" i="7"/>
  <c r="AJ259" i="7"/>
  <c r="AG259" i="7"/>
  <c r="AF259" i="7"/>
  <c r="AE259" i="7"/>
  <c r="AD259" i="7"/>
  <c r="AC259" i="7"/>
  <c r="AB259" i="7"/>
  <c r="AA259" i="7"/>
  <c r="Z259" i="7"/>
  <c r="Y259" i="7"/>
  <c r="S259" i="7"/>
  <c r="R259" i="7"/>
  <c r="Q259" i="7"/>
  <c r="T259" i="7" s="1"/>
  <c r="P259" i="7"/>
  <c r="N259" i="7"/>
  <c r="AM258" i="7"/>
  <c r="AL258" i="7"/>
  <c r="AK258" i="7"/>
  <c r="AG258" i="7"/>
  <c r="AF258" i="7"/>
  <c r="AE258" i="7"/>
  <c r="AD258" i="7"/>
  <c r="AC258" i="7"/>
  <c r="AB258" i="7"/>
  <c r="AA258" i="7"/>
  <c r="Y258" i="7"/>
  <c r="R258" i="7"/>
  <c r="Q258" i="7"/>
  <c r="P258" i="7"/>
  <c r="S258" i="7" s="1"/>
  <c r="N258" i="7"/>
  <c r="AM257" i="7"/>
  <c r="AL257" i="7"/>
  <c r="AK257" i="7"/>
  <c r="AG257" i="7"/>
  <c r="AF257" i="7"/>
  <c r="AE257" i="7"/>
  <c r="AD257" i="7"/>
  <c r="AC257" i="7"/>
  <c r="AB257" i="7"/>
  <c r="AA257" i="7"/>
  <c r="Y257" i="7"/>
  <c r="S257" i="7"/>
  <c r="AJ257" i="7" s="1"/>
  <c r="R257" i="7"/>
  <c r="Q257" i="7"/>
  <c r="T257" i="7" s="1"/>
  <c r="P257" i="7"/>
  <c r="N257" i="7"/>
  <c r="AM256" i="7"/>
  <c r="AL256" i="7"/>
  <c r="AK256" i="7"/>
  <c r="AG256" i="7"/>
  <c r="AF256" i="7"/>
  <c r="AE256" i="7"/>
  <c r="AD256" i="7"/>
  <c r="AB256" i="7"/>
  <c r="AA256" i="7"/>
  <c r="AC256" i="7" s="1"/>
  <c r="Y256" i="7"/>
  <c r="R256" i="7"/>
  <c r="Q256" i="7"/>
  <c r="P256" i="7"/>
  <c r="S256" i="7" s="1"/>
  <c r="N256" i="7"/>
  <c r="AM255" i="7"/>
  <c r="AL255" i="7"/>
  <c r="AK255" i="7"/>
  <c r="AG255" i="7"/>
  <c r="AF255" i="7"/>
  <c r="AE255" i="7"/>
  <c r="AD255" i="7"/>
  <c r="AC255" i="7"/>
  <c r="AB255" i="7"/>
  <c r="AA255" i="7"/>
  <c r="Y255" i="7"/>
  <c r="S255" i="7"/>
  <c r="R255" i="7"/>
  <c r="Q255" i="7"/>
  <c r="T255" i="7" s="1"/>
  <c r="AJ255" i="7" s="1"/>
  <c r="P255" i="7"/>
  <c r="N255" i="7"/>
  <c r="AM254" i="7"/>
  <c r="AL254" i="7"/>
  <c r="AK254" i="7"/>
  <c r="AG254" i="7"/>
  <c r="AF254" i="7"/>
  <c r="AE254" i="7"/>
  <c r="AD254" i="7"/>
  <c r="AB254" i="7"/>
  <c r="AA254" i="7"/>
  <c r="AC254" i="7" s="1"/>
  <c r="Y254" i="7"/>
  <c r="R254" i="7"/>
  <c r="Q254" i="7"/>
  <c r="P254" i="7"/>
  <c r="S254" i="7" s="1"/>
  <c r="N254" i="7"/>
  <c r="AM253" i="7"/>
  <c r="AL253" i="7"/>
  <c r="AK253" i="7"/>
  <c r="AG253" i="7"/>
  <c r="AF253" i="7"/>
  <c r="AE253" i="7"/>
  <c r="AD253" i="7"/>
  <c r="AC253" i="7"/>
  <c r="AB253" i="7"/>
  <c r="AA253" i="7"/>
  <c r="Z253" i="7"/>
  <c r="Y253" i="7"/>
  <c r="S253" i="7"/>
  <c r="AJ253" i="7" s="1"/>
  <c r="R253" i="7"/>
  <c r="Q253" i="7"/>
  <c r="T253" i="7" s="1"/>
  <c r="P253" i="7"/>
  <c r="N253" i="7"/>
  <c r="AM252" i="7"/>
  <c r="AL252" i="7"/>
  <c r="AK252" i="7"/>
  <c r="AG252" i="7"/>
  <c r="AF252" i="7"/>
  <c r="AE252" i="7"/>
  <c r="AD252" i="7"/>
  <c r="AB252" i="7"/>
  <c r="AA252" i="7"/>
  <c r="AC252" i="7" s="1"/>
  <c r="Y252" i="7"/>
  <c r="R252" i="7"/>
  <c r="Q252" i="7"/>
  <c r="P252" i="7"/>
  <c r="S252" i="7" s="1"/>
  <c r="N252" i="7"/>
  <c r="AM251" i="7"/>
  <c r="AL251" i="7"/>
  <c r="AK251" i="7"/>
  <c r="AJ251" i="7"/>
  <c r="AG251" i="7"/>
  <c r="AF251" i="7"/>
  <c r="AE251" i="7"/>
  <c r="AD251" i="7"/>
  <c r="AC251" i="7"/>
  <c r="AB251" i="7"/>
  <c r="AA251" i="7"/>
  <c r="Z251" i="7"/>
  <c r="Y251" i="7"/>
  <c r="S251" i="7"/>
  <c r="R251" i="7"/>
  <c r="Q251" i="7"/>
  <c r="T251" i="7" s="1"/>
  <c r="P251" i="7"/>
  <c r="N251" i="7"/>
  <c r="AM250" i="7"/>
  <c r="AL250" i="7"/>
  <c r="AK250" i="7"/>
  <c r="AG250" i="7"/>
  <c r="AF250" i="7"/>
  <c r="AE250" i="7"/>
  <c r="AD250" i="7"/>
  <c r="AC250" i="7"/>
  <c r="AB250" i="7"/>
  <c r="AA250" i="7"/>
  <c r="Y250" i="7"/>
  <c r="R250" i="7"/>
  <c r="Q250" i="7"/>
  <c r="P250" i="7"/>
  <c r="S250" i="7" s="1"/>
  <c r="N250" i="7"/>
  <c r="AM249" i="7"/>
  <c r="AL249" i="7"/>
  <c r="AK249" i="7"/>
  <c r="AG249" i="7"/>
  <c r="AF249" i="7"/>
  <c r="AE249" i="7"/>
  <c r="AD249" i="7"/>
  <c r="AC249" i="7"/>
  <c r="AB249" i="7"/>
  <c r="AA249" i="7"/>
  <c r="Y249" i="7"/>
  <c r="S249" i="7"/>
  <c r="AJ249" i="7" s="1"/>
  <c r="R249" i="7"/>
  <c r="Q249" i="7"/>
  <c r="T249" i="7" s="1"/>
  <c r="P249" i="7"/>
  <c r="N249" i="7"/>
  <c r="AM248" i="7"/>
  <c r="AL248" i="7"/>
  <c r="AK248" i="7"/>
  <c r="AG248" i="7"/>
  <c r="AF248" i="7"/>
  <c r="AE248" i="7"/>
  <c r="AD248" i="7"/>
  <c r="AB248" i="7"/>
  <c r="AA248" i="7"/>
  <c r="AC248" i="7" s="1"/>
  <c r="Y248" i="7"/>
  <c r="R248" i="7"/>
  <c r="Q248" i="7"/>
  <c r="P248" i="7"/>
  <c r="S248" i="7" s="1"/>
  <c r="N248" i="7"/>
  <c r="AM247" i="7"/>
  <c r="AL247" i="7"/>
  <c r="AK247" i="7"/>
  <c r="AG247" i="7"/>
  <c r="AF247" i="7"/>
  <c r="AE247" i="7"/>
  <c r="AD247" i="7"/>
  <c r="AC247" i="7"/>
  <c r="AB247" i="7"/>
  <c r="AA247" i="7"/>
  <c r="Y247" i="7"/>
  <c r="S247" i="7"/>
  <c r="R247" i="7"/>
  <c r="Q247" i="7"/>
  <c r="T247" i="7" s="1"/>
  <c r="AJ247" i="7" s="1"/>
  <c r="P247" i="7"/>
  <c r="N247" i="7"/>
  <c r="AM246" i="7"/>
  <c r="AL246" i="7"/>
  <c r="AK246" i="7"/>
  <c r="AG246" i="7"/>
  <c r="AF246" i="7"/>
  <c r="AE246" i="7"/>
  <c r="AD246" i="7"/>
  <c r="AB246" i="7"/>
  <c r="AA246" i="7"/>
  <c r="AC246" i="7" s="1"/>
  <c r="Y246" i="7"/>
  <c r="R246" i="7"/>
  <c r="Q246" i="7"/>
  <c r="P246" i="7"/>
  <c r="S246" i="7" s="1"/>
  <c r="N246" i="7"/>
  <c r="AM245" i="7"/>
  <c r="AL245" i="7"/>
  <c r="AK245" i="7"/>
  <c r="AG245" i="7"/>
  <c r="AF245" i="7"/>
  <c r="AE245" i="7"/>
  <c r="AD245" i="7"/>
  <c r="AC245" i="7"/>
  <c r="AB245" i="7"/>
  <c r="AA245" i="7"/>
  <c r="Z245" i="7"/>
  <c r="Y245" i="7"/>
  <c r="S245" i="7"/>
  <c r="AJ245" i="7" s="1"/>
  <c r="R245" i="7"/>
  <c r="Q245" i="7"/>
  <c r="T245" i="7" s="1"/>
  <c r="P245" i="7"/>
  <c r="N245" i="7"/>
  <c r="AM244" i="7"/>
  <c r="AL244" i="7"/>
  <c r="AK244" i="7"/>
  <c r="AG244" i="7"/>
  <c r="AF244" i="7"/>
  <c r="AE244" i="7"/>
  <c r="AD244" i="7"/>
  <c r="AB244" i="7"/>
  <c r="AA244" i="7"/>
  <c r="AC244" i="7" s="1"/>
  <c r="Y244" i="7"/>
  <c r="R244" i="7"/>
  <c r="Q244" i="7"/>
  <c r="P244" i="7"/>
  <c r="S244" i="7" s="1"/>
  <c r="N244" i="7"/>
  <c r="AM243" i="7"/>
  <c r="AL243" i="7"/>
  <c r="AK243" i="7"/>
  <c r="AJ243" i="7"/>
  <c r="AG243" i="7"/>
  <c r="AF243" i="7"/>
  <c r="AE243" i="7"/>
  <c r="AD243" i="7"/>
  <c r="AC243" i="7"/>
  <c r="AB243" i="7"/>
  <c r="AA243" i="7"/>
  <c r="Z243" i="7"/>
  <c r="Y243" i="7"/>
  <c r="S243" i="7"/>
  <c r="R243" i="7"/>
  <c r="Q243" i="7"/>
  <c r="T243" i="7" s="1"/>
  <c r="P243" i="7"/>
  <c r="N243" i="7"/>
  <c r="AM242" i="7"/>
  <c r="AL242" i="7"/>
  <c r="AK242" i="7"/>
  <c r="AG242" i="7"/>
  <c r="AF242" i="7"/>
  <c r="AE242" i="7"/>
  <c r="AD242" i="7"/>
  <c r="AC242" i="7"/>
  <c r="AB242" i="7"/>
  <c r="AA242" i="7"/>
  <c r="Y242" i="7"/>
  <c r="R242" i="7"/>
  <c r="Q242" i="7"/>
  <c r="P242" i="7"/>
  <c r="S242" i="7" s="1"/>
  <c r="N242" i="7"/>
  <c r="AM241" i="7"/>
  <c r="AL241" i="7"/>
  <c r="AK241" i="7"/>
  <c r="AG241" i="7"/>
  <c r="AF241" i="7"/>
  <c r="AE241" i="7"/>
  <c r="AD241" i="7"/>
  <c r="AC241" i="7"/>
  <c r="AB241" i="7"/>
  <c r="AA241" i="7"/>
  <c r="Y241" i="7"/>
  <c r="S241" i="7"/>
  <c r="AJ241" i="7" s="1"/>
  <c r="R241" i="7"/>
  <c r="Q241" i="7"/>
  <c r="T241" i="7" s="1"/>
  <c r="P241" i="7"/>
  <c r="N241" i="7"/>
  <c r="AM240" i="7"/>
  <c r="AL240" i="7"/>
  <c r="AK240" i="7"/>
  <c r="AG240" i="7"/>
  <c r="AF240" i="7"/>
  <c r="AE240" i="7"/>
  <c r="AD240" i="7"/>
  <c r="AB240" i="7"/>
  <c r="AA240" i="7"/>
  <c r="AC240" i="7" s="1"/>
  <c r="Y240" i="7"/>
  <c r="R240" i="7"/>
  <c r="Q240" i="7"/>
  <c r="P240" i="7"/>
  <c r="S240" i="7" s="1"/>
  <c r="N240" i="7"/>
  <c r="AM239" i="7"/>
  <c r="AL239" i="7"/>
  <c r="AK239" i="7"/>
  <c r="AG239" i="7"/>
  <c r="AF239" i="7"/>
  <c r="AE239" i="7"/>
  <c r="AD239" i="7"/>
  <c r="AC239" i="7"/>
  <c r="AB239" i="7"/>
  <c r="AA239" i="7"/>
  <c r="Y239" i="7"/>
  <c r="S239" i="7"/>
  <c r="R239" i="7"/>
  <c r="Q239" i="7"/>
  <c r="T239" i="7" s="1"/>
  <c r="AJ239" i="7" s="1"/>
  <c r="P239" i="7"/>
  <c r="N239" i="7"/>
  <c r="AM238" i="7"/>
  <c r="AL238" i="7"/>
  <c r="AK238" i="7"/>
  <c r="AG238" i="7"/>
  <c r="AF238" i="7"/>
  <c r="AE238" i="7"/>
  <c r="AD238" i="7"/>
  <c r="AB238" i="7"/>
  <c r="AA238" i="7"/>
  <c r="AC238" i="7" s="1"/>
  <c r="Y238" i="7"/>
  <c r="R238" i="7"/>
  <c r="Q238" i="7"/>
  <c r="P238" i="7"/>
  <c r="S238" i="7" s="1"/>
  <c r="N238" i="7"/>
  <c r="AM237" i="7"/>
  <c r="AL237" i="7"/>
  <c r="AK237" i="7"/>
  <c r="AG237" i="7"/>
  <c r="AF237" i="7"/>
  <c r="AE237" i="7"/>
  <c r="AD237" i="7"/>
  <c r="AC237" i="7"/>
  <c r="AB237" i="7"/>
  <c r="AA237" i="7"/>
  <c r="Z237" i="7"/>
  <c r="Y237" i="7"/>
  <c r="S237" i="7"/>
  <c r="AJ237" i="7" s="1"/>
  <c r="R237" i="7"/>
  <c r="Q237" i="7"/>
  <c r="T237" i="7" s="1"/>
  <c r="P237" i="7"/>
  <c r="N237" i="7"/>
  <c r="AM236" i="7"/>
  <c r="AL236" i="7"/>
  <c r="AK236" i="7"/>
  <c r="AG236" i="7"/>
  <c r="AF236" i="7"/>
  <c r="AE236" i="7"/>
  <c r="AD236" i="7"/>
  <c r="AC236" i="7"/>
  <c r="AB236" i="7"/>
  <c r="AA236" i="7"/>
  <c r="Y236" i="7"/>
  <c r="R236" i="7"/>
  <c r="Q236" i="7"/>
  <c r="P236" i="7"/>
  <c r="S236" i="7" s="1"/>
  <c r="N236" i="7"/>
  <c r="AM235" i="7"/>
  <c r="AL235" i="7"/>
  <c r="AK235" i="7"/>
  <c r="AJ235" i="7"/>
  <c r="AG235" i="7"/>
  <c r="AF235" i="7"/>
  <c r="AE235" i="7"/>
  <c r="AD235" i="7"/>
  <c r="AC235" i="7"/>
  <c r="AB235" i="7"/>
  <c r="AA235" i="7"/>
  <c r="Z235" i="7"/>
  <c r="Y235" i="7"/>
  <c r="S235" i="7"/>
  <c r="R235" i="7"/>
  <c r="Q235" i="7"/>
  <c r="T235" i="7" s="1"/>
  <c r="P235" i="7"/>
  <c r="N235" i="7"/>
  <c r="AM234" i="7"/>
  <c r="AL234" i="7"/>
  <c r="AK234" i="7"/>
  <c r="AG234" i="7"/>
  <c r="AF234" i="7"/>
  <c r="AE234" i="7"/>
  <c r="AD234" i="7"/>
  <c r="AC234" i="7"/>
  <c r="AB234" i="7"/>
  <c r="AA234" i="7"/>
  <c r="Y234" i="7"/>
  <c r="R234" i="7"/>
  <c r="Q234" i="7"/>
  <c r="P234" i="7"/>
  <c r="S234" i="7" s="1"/>
  <c r="N234" i="7"/>
  <c r="AM233" i="7"/>
  <c r="AL233" i="7"/>
  <c r="AK233" i="7"/>
  <c r="AG233" i="7"/>
  <c r="AF233" i="7"/>
  <c r="AE233" i="7"/>
  <c r="AD233" i="7"/>
  <c r="AC233" i="7"/>
  <c r="AB233" i="7"/>
  <c r="AA233" i="7"/>
  <c r="Y233" i="7"/>
  <c r="S233" i="7"/>
  <c r="AJ233" i="7" s="1"/>
  <c r="R233" i="7"/>
  <c r="Q233" i="7"/>
  <c r="T233" i="7" s="1"/>
  <c r="P233" i="7"/>
  <c r="N233" i="7"/>
  <c r="AM232" i="7"/>
  <c r="AL232" i="7"/>
  <c r="AK232" i="7"/>
  <c r="AG232" i="7"/>
  <c r="AF232" i="7"/>
  <c r="AE232" i="7"/>
  <c r="AD232" i="7"/>
  <c r="AB232" i="7"/>
  <c r="AA232" i="7"/>
  <c r="AC232" i="7" s="1"/>
  <c r="Y232" i="7"/>
  <c r="R232" i="7"/>
  <c r="Q232" i="7"/>
  <c r="P232" i="7"/>
  <c r="S232" i="7" s="1"/>
  <c r="N232" i="7"/>
  <c r="AM231" i="7"/>
  <c r="AL231" i="7"/>
  <c r="AK231" i="7"/>
  <c r="AG231" i="7"/>
  <c r="AF231" i="7"/>
  <c r="AE231" i="7"/>
  <c r="AD231" i="7"/>
  <c r="AC231" i="7"/>
  <c r="AB231" i="7"/>
  <c r="AA231" i="7"/>
  <c r="Y231" i="7"/>
  <c r="S231" i="7"/>
  <c r="R231" i="7"/>
  <c r="Q231" i="7"/>
  <c r="T231" i="7" s="1"/>
  <c r="AJ231" i="7" s="1"/>
  <c r="P231" i="7"/>
  <c r="N231" i="7"/>
  <c r="AM230" i="7"/>
  <c r="AL230" i="7"/>
  <c r="AK230" i="7"/>
  <c r="AG230" i="7"/>
  <c r="AF230" i="7"/>
  <c r="AE230" i="7"/>
  <c r="AD230" i="7"/>
  <c r="AB230" i="7"/>
  <c r="AA230" i="7"/>
  <c r="AC230" i="7" s="1"/>
  <c r="Y230" i="7"/>
  <c r="R230" i="7"/>
  <c r="Q230" i="7"/>
  <c r="P230" i="7"/>
  <c r="S230" i="7" s="1"/>
  <c r="N230" i="7"/>
  <c r="AM229" i="7"/>
  <c r="AL229" i="7"/>
  <c r="AK229" i="7"/>
  <c r="AG229" i="7"/>
  <c r="AF229" i="7"/>
  <c r="AE229" i="7"/>
  <c r="AD229" i="7"/>
  <c r="AC229" i="7"/>
  <c r="AB229" i="7"/>
  <c r="AA229" i="7"/>
  <c r="Z229" i="7"/>
  <c r="Y229" i="7"/>
  <c r="S229" i="7"/>
  <c r="AJ229" i="7" s="1"/>
  <c r="R229" i="7"/>
  <c r="Q229" i="7"/>
  <c r="T229" i="7" s="1"/>
  <c r="P229" i="7"/>
  <c r="N229" i="7"/>
  <c r="AM228" i="7"/>
  <c r="AL228" i="7"/>
  <c r="AK228" i="7"/>
  <c r="AG228" i="7"/>
  <c r="AF228" i="7"/>
  <c r="AE228" i="7"/>
  <c r="AD228" i="7"/>
  <c r="AC228" i="7"/>
  <c r="AB228" i="7"/>
  <c r="AA228" i="7"/>
  <c r="Y228" i="7"/>
  <c r="R228" i="7"/>
  <c r="Q228" i="7"/>
  <c r="P228" i="7"/>
  <c r="S228" i="7" s="1"/>
  <c r="N228" i="7"/>
  <c r="AM227" i="7"/>
  <c r="AL227" i="7"/>
  <c r="AK227" i="7"/>
  <c r="AJ227" i="7"/>
  <c r="AG227" i="7"/>
  <c r="AF227" i="7"/>
  <c r="AE227" i="7"/>
  <c r="AD227" i="7"/>
  <c r="AC227" i="7"/>
  <c r="AB227" i="7"/>
  <c r="AA227" i="7"/>
  <c r="Z227" i="7"/>
  <c r="Y227" i="7"/>
  <c r="S227" i="7"/>
  <c r="R227" i="7"/>
  <c r="Q227" i="7"/>
  <c r="T227" i="7" s="1"/>
  <c r="P227" i="7"/>
  <c r="N227" i="7"/>
  <c r="AM226" i="7"/>
  <c r="AL226" i="7"/>
  <c r="AK226" i="7"/>
  <c r="AG226" i="7"/>
  <c r="AF226" i="7"/>
  <c r="AE226" i="7"/>
  <c r="AD226" i="7"/>
  <c r="AC226" i="7"/>
  <c r="AB226" i="7"/>
  <c r="AA226" i="7"/>
  <c r="Y226" i="7"/>
  <c r="R226" i="7"/>
  <c r="Q226" i="7"/>
  <c r="P226" i="7"/>
  <c r="S226" i="7" s="1"/>
  <c r="N226" i="7"/>
  <c r="AM225" i="7"/>
  <c r="AL225" i="7"/>
  <c r="AK225" i="7"/>
  <c r="AG225" i="7"/>
  <c r="AF225" i="7"/>
  <c r="AE225" i="7"/>
  <c r="AD225" i="7"/>
  <c r="AC225" i="7"/>
  <c r="AB225" i="7"/>
  <c r="AA225" i="7"/>
  <c r="Y225" i="7"/>
  <c r="S225" i="7"/>
  <c r="AJ225" i="7" s="1"/>
  <c r="R225" i="7"/>
  <c r="Q225" i="7"/>
  <c r="T225" i="7" s="1"/>
  <c r="P225" i="7"/>
  <c r="N225" i="7"/>
  <c r="AM224" i="7"/>
  <c r="AL224" i="7"/>
  <c r="AK224" i="7"/>
  <c r="AG224" i="7"/>
  <c r="AF224" i="7"/>
  <c r="AE224" i="7"/>
  <c r="AD224" i="7"/>
  <c r="AB224" i="7"/>
  <c r="AA224" i="7"/>
  <c r="AC224" i="7" s="1"/>
  <c r="Y224" i="7"/>
  <c r="R224" i="7"/>
  <c r="Q224" i="7"/>
  <c r="P224" i="7"/>
  <c r="S224" i="7" s="1"/>
  <c r="N224" i="7"/>
  <c r="AM223" i="7"/>
  <c r="AL223" i="7"/>
  <c r="AK223" i="7"/>
  <c r="AG223" i="7"/>
  <c r="AF223" i="7"/>
  <c r="AE223" i="7"/>
  <c r="AD223" i="7"/>
  <c r="AC223" i="7"/>
  <c r="AB223" i="7"/>
  <c r="AA223" i="7"/>
  <c r="Y223" i="7"/>
  <c r="S223" i="7"/>
  <c r="R223" i="7"/>
  <c r="Q223" i="7"/>
  <c r="T223" i="7" s="1"/>
  <c r="AJ223" i="7" s="1"/>
  <c r="P223" i="7"/>
  <c r="N223" i="7"/>
  <c r="AM222" i="7"/>
  <c r="AL222" i="7"/>
  <c r="AK222" i="7"/>
  <c r="AG222" i="7"/>
  <c r="AF222" i="7"/>
  <c r="AE222" i="7"/>
  <c r="AD222" i="7"/>
  <c r="AB222" i="7"/>
  <c r="AA222" i="7"/>
  <c r="AC222" i="7" s="1"/>
  <c r="Y222" i="7"/>
  <c r="R222" i="7"/>
  <c r="Q222" i="7"/>
  <c r="P222" i="7"/>
  <c r="S222" i="7" s="1"/>
  <c r="N222" i="7"/>
  <c r="AM221" i="7"/>
  <c r="AL221" i="7"/>
  <c r="AK221" i="7"/>
  <c r="AG221" i="7"/>
  <c r="AF221" i="7"/>
  <c r="AE221" i="7"/>
  <c r="AD221" i="7"/>
  <c r="AC221" i="7"/>
  <c r="AB221" i="7"/>
  <c r="AA221" i="7"/>
  <c r="Z221" i="7"/>
  <c r="Y221" i="7"/>
  <c r="S221" i="7"/>
  <c r="AJ221" i="7" s="1"/>
  <c r="R221" i="7"/>
  <c r="Q221" i="7"/>
  <c r="T221" i="7" s="1"/>
  <c r="P221" i="7"/>
  <c r="N221" i="7"/>
  <c r="AM220" i="7"/>
  <c r="AL220" i="7"/>
  <c r="AK220" i="7"/>
  <c r="AG220" i="7"/>
  <c r="AF220" i="7"/>
  <c r="AE220" i="7"/>
  <c r="AD220" i="7"/>
  <c r="AC220" i="7"/>
  <c r="AB220" i="7"/>
  <c r="AA220" i="7"/>
  <c r="Y220" i="7"/>
  <c r="R220" i="7"/>
  <c r="Q220" i="7"/>
  <c r="P220" i="7"/>
  <c r="S220" i="7" s="1"/>
  <c r="N220" i="7"/>
  <c r="AM219" i="7"/>
  <c r="AL219" i="7"/>
  <c r="AK219" i="7"/>
  <c r="AJ219" i="7"/>
  <c r="AG219" i="7"/>
  <c r="AF219" i="7"/>
  <c r="AE219" i="7"/>
  <c r="AD219" i="7"/>
  <c r="AC219" i="7"/>
  <c r="AB219" i="7"/>
  <c r="AA219" i="7"/>
  <c r="Z219" i="7"/>
  <c r="Y219" i="7"/>
  <c r="S219" i="7"/>
  <c r="R219" i="7"/>
  <c r="Q219" i="7"/>
  <c r="T219" i="7" s="1"/>
  <c r="P219" i="7"/>
  <c r="N219" i="7"/>
  <c r="AM218" i="7"/>
  <c r="AL218" i="7"/>
  <c r="AK218" i="7"/>
  <c r="AG218" i="7"/>
  <c r="AF218" i="7"/>
  <c r="AE218" i="7"/>
  <c r="AD218" i="7"/>
  <c r="AC218" i="7"/>
  <c r="AB218" i="7"/>
  <c r="AA218" i="7"/>
  <c r="Y218" i="7"/>
  <c r="R218" i="7"/>
  <c r="Q218" i="7"/>
  <c r="P218" i="7"/>
  <c r="S218" i="7" s="1"/>
  <c r="N218" i="7"/>
  <c r="AM217" i="7"/>
  <c r="AL217" i="7"/>
  <c r="AK217" i="7"/>
  <c r="AG217" i="7"/>
  <c r="AF217" i="7"/>
  <c r="AE217" i="7"/>
  <c r="AD217" i="7"/>
  <c r="AC217" i="7"/>
  <c r="AB217" i="7"/>
  <c r="AA217" i="7"/>
  <c r="Y217" i="7"/>
  <c r="S217" i="7"/>
  <c r="AJ217" i="7" s="1"/>
  <c r="R217" i="7"/>
  <c r="Q217" i="7"/>
  <c r="T217" i="7" s="1"/>
  <c r="P217" i="7"/>
  <c r="N217" i="7"/>
  <c r="AM216" i="7"/>
  <c r="AL216" i="7"/>
  <c r="AK216" i="7"/>
  <c r="AG216" i="7"/>
  <c r="AF216" i="7"/>
  <c r="AE216" i="7"/>
  <c r="AD216" i="7"/>
  <c r="AB216" i="7"/>
  <c r="AA216" i="7"/>
  <c r="AC216" i="7" s="1"/>
  <c r="Y216" i="7"/>
  <c r="R216" i="7"/>
  <c r="Q216" i="7"/>
  <c r="P216" i="7"/>
  <c r="S216" i="7" s="1"/>
  <c r="N216" i="7"/>
  <c r="AM215" i="7"/>
  <c r="AL215" i="7"/>
  <c r="AK215" i="7"/>
  <c r="AG215" i="7"/>
  <c r="AF215" i="7"/>
  <c r="AE215" i="7"/>
  <c r="AD215" i="7"/>
  <c r="AC215" i="7"/>
  <c r="AB215" i="7"/>
  <c r="AA215" i="7"/>
  <c r="Y215" i="7"/>
  <c r="S215" i="7"/>
  <c r="R215" i="7"/>
  <c r="Q215" i="7"/>
  <c r="T215" i="7" s="1"/>
  <c r="AJ215" i="7" s="1"/>
  <c r="P215" i="7"/>
  <c r="N215" i="7"/>
  <c r="AM214" i="7"/>
  <c r="AL214" i="7"/>
  <c r="AK214" i="7"/>
  <c r="AG214" i="7"/>
  <c r="AF214" i="7"/>
  <c r="AE214" i="7"/>
  <c r="AD214" i="7"/>
  <c r="AB214" i="7"/>
  <c r="AA214" i="7"/>
  <c r="AC214" i="7" s="1"/>
  <c r="Y214" i="7"/>
  <c r="R214" i="7"/>
  <c r="Q214" i="7"/>
  <c r="P214" i="7"/>
  <c r="S214" i="7" s="1"/>
  <c r="N214" i="7"/>
  <c r="AM213" i="7"/>
  <c r="AL213" i="7"/>
  <c r="AK213" i="7"/>
  <c r="AG213" i="7"/>
  <c r="AF213" i="7"/>
  <c r="AE213" i="7"/>
  <c r="AD213" i="7"/>
  <c r="AC213" i="7"/>
  <c r="AB213" i="7"/>
  <c r="AA213" i="7"/>
  <c r="Z213" i="7"/>
  <c r="Y213" i="7"/>
  <c r="S213" i="7"/>
  <c r="AJ213" i="7" s="1"/>
  <c r="R213" i="7"/>
  <c r="Q213" i="7"/>
  <c r="T213" i="7" s="1"/>
  <c r="P213" i="7"/>
  <c r="N213" i="7"/>
  <c r="AM212" i="7"/>
  <c r="AL212" i="7"/>
  <c r="AK212" i="7"/>
  <c r="AG212" i="7"/>
  <c r="AF212" i="7"/>
  <c r="AE212" i="7"/>
  <c r="AD212" i="7"/>
  <c r="AC212" i="7"/>
  <c r="AB212" i="7"/>
  <c r="AA212" i="7"/>
  <c r="Y212" i="7"/>
  <c r="R212" i="7"/>
  <c r="Q212" i="7"/>
  <c r="P212" i="7"/>
  <c r="S212" i="7" s="1"/>
  <c r="N212" i="7"/>
  <c r="AM211" i="7"/>
  <c r="AL211" i="7"/>
  <c r="AK211" i="7"/>
  <c r="AJ211" i="7"/>
  <c r="AG211" i="7"/>
  <c r="AF211" i="7"/>
  <c r="AE211" i="7"/>
  <c r="AD211" i="7"/>
  <c r="AC211" i="7"/>
  <c r="AB211" i="7"/>
  <c r="AA211" i="7"/>
  <c r="Z211" i="7"/>
  <c r="Y211" i="7"/>
  <c r="S211" i="7"/>
  <c r="R211" i="7"/>
  <c r="Q211" i="7"/>
  <c r="T211" i="7" s="1"/>
  <c r="P211" i="7"/>
  <c r="N211" i="7"/>
  <c r="AM210" i="7"/>
  <c r="AL210" i="7"/>
  <c r="AK210" i="7"/>
  <c r="AG210" i="7"/>
  <c r="AF210" i="7"/>
  <c r="AE210" i="7"/>
  <c r="AD210" i="7"/>
  <c r="AC210" i="7"/>
  <c r="AB210" i="7"/>
  <c r="AA210" i="7"/>
  <c r="R210" i="7"/>
  <c r="Q210" i="7"/>
  <c r="P210" i="7"/>
  <c r="S210" i="7" s="1"/>
  <c r="N210" i="7"/>
  <c r="AM209" i="7"/>
  <c r="AL209" i="7"/>
  <c r="AK209" i="7"/>
  <c r="AG209" i="7"/>
  <c r="AF209" i="7"/>
  <c r="AE209" i="7"/>
  <c r="AD209" i="7"/>
  <c r="AC209" i="7"/>
  <c r="AB209" i="7"/>
  <c r="AA209" i="7"/>
  <c r="Y209" i="7"/>
  <c r="S209" i="7"/>
  <c r="R209" i="7"/>
  <c r="Q209" i="7"/>
  <c r="Z209" i="7" s="1"/>
  <c r="P209" i="7"/>
  <c r="N209" i="7"/>
  <c r="AM208" i="7"/>
  <c r="AL208" i="7"/>
  <c r="AK208" i="7"/>
  <c r="AG208" i="7"/>
  <c r="AF208" i="7"/>
  <c r="AE208" i="7"/>
  <c r="AD208" i="7"/>
  <c r="AB208" i="7"/>
  <c r="AA208" i="7"/>
  <c r="AC208" i="7" s="1"/>
  <c r="Y208" i="7"/>
  <c r="R208" i="7"/>
  <c r="Q208" i="7"/>
  <c r="P208" i="7"/>
  <c r="S208" i="7" s="1"/>
  <c r="N208" i="7"/>
  <c r="AM207" i="7"/>
  <c r="AL207" i="7"/>
  <c r="AK207" i="7"/>
  <c r="AJ207" i="7"/>
  <c r="AG207" i="7"/>
  <c r="AF207" i="7"/>
  <c r="AE207" i="7"/>
  <c r="AD207" i="7"/>
  <c r="AC207" i="7"/>
  <c r="AB207" i="7"/>
  <c r="AA207" i="7"/>
  <c r="Z207" i="7"/>
  <c r="Y207" i="7"/>
  <c r="T207" i="7"/>
  <c r="S207" i="7"/>
  <c r="R207" i="7"/>
  <c r="Q207" i="7"/>
  <c r="P207" i="7"/>
  <c r="N207" i="7"/>
  <c r="AM206" i="7"/>
  <c r="AL206" i="7"/>
  <c r="AK206" i="7"/>
  <c r="AG206" i="7"/>
  <c r="AF206" i="7"/>
  <c r="AE206" i="7"/>
  <c r="AD206" i="7"/>
  <c r="AC206" i="7"/>
  <c r="AB206" i="7"/>
  <c r="AA206" i="7"/>
  <c r="Y206" i="7"/>
  <c r="R206" i="7"/>
  <c r="Q206" i="7"/>
  <c r="P206" i="7"/>
  <c r="S206" i="7" s="1"/>
  <c r="N206" i="7"/>
  <c r="AM205" i="7"/>
  <c r="AL205" i="7"/>
  <c r="AK205" i="7"/>
  <c r="AG205" i="7"/>
  <c r="AF205" i="7"/>
  <c r="AE205" i="7"/>
  <c r="AD205" i="7"/>
  <c r="AC205" i="7"/>
  <c r="AB205" i="7"/>
  <c r="AA205" i="7"/>
  <c r="Y205" i="7"/>
  <c r="S205" i="7"/>
  <c r="R205" i="7"/>
  <c r="Q205" i="7"/>
  <c r="Z205" i="7" s="1"/>
  <c r="P205" i="7"/>
  <c r="N205" i="7"/>
  <c r="AM204" i="7"/>
  <c r="AL204" i="7"/>
  <c r="AK204" i="7"/>
  <c r="AG204" i="7"/>
  <c r="AF204" i="7"/>
  <c r="AE204" i="7"/>
  <c r="AD204" i="7"/>
  <c r="AC204" i="7"/>
  <c r="AB204" i="7"/>
  <c r="AA204" i="7"/>
  <c r="Y204" i="7"/>
  <c r="R204" i="7"/>
  <c r="Q204" i="7"/>
  <c r="P204" i="7"/>
  <c r="S204" i="7" s="1"/>
  <c r="N204" i="7"/>
  <c r="AM203" i="7"/>
  <c r="AL203" i="7"/>
  <c r="AK203" i="7"/>
  <c r="AG203" i="7"/>
  <c r="AF203" i="7"/>
  <c r="AE203" i="7"/>
  <c r="AD203" i="7"/>
  <c r="AC203" i="7"/>
  <c r="AB203" i="7"/>
  <c r="AA203" i="7"/>
  <c r="Y203" i="7"/>
  <c r="T203" i="7"/>
  <c r="AJ203" i="7" s="1"/>
  <c r="S203" i="7"/>
  <c r="R203" i="7"/>
  <c r="Q203" i="7"/>
  <c r="Z203" i="7" s="1"/>
  <c r="P203" i="7"/>
  <c r="N203" i="7"/>
  <c r="AM202" i="7"/>
  <c r="AL202" i="7"/>
  <c r="AK202" i="7"/>
  <c r="AG202" i="7"/>
  <c r="AF202" i="7"/>
  <c r="AE202" i="7"/>
  <c r="AD202" i="7"/>
  <c r="AB202" i="7"/>
  <c r="AA202" i="7"/>
  <c r="AC202" i="7" s="1"/>
  <c r="Y202" i="7"/>
  <c r="R202" i="7"/>
  <c r="Q202" i="7"/>
  <c r="P202" i="7"/>
  <c r="S202" i="7" s="1"/>
  <c r="N202" i="7"/>
  <c r="AM201" i="7"/>
  <c r="AL201" i="7"/>
  <c r="AK201" i="7"/>
  <c r="AG201" i="7"/>
  <c r="AF201" i="7"/>
  <c r="AE201" i="7"/>
  <c r="AD201" i="7"/>
  <c r="AC201" i="7"/>
  <c r="AB201" i="7"/>
  <c r="AA201" i="7"/>
  <c r="Y201" i="7"/>
  <c r="T201" i="7"/>
  <c r="AJ201" i="7" s="1"/>
  <c r="S201" i="7"/>
  <c r="R201" i="7"/>
  <c r="Q201" i="7"/>
  <c r="Z201" i="7" s="1"/>
  <c r="P201" i="7"/>
  <c r="N201" i="7"/>
  <c r="AM200" i="7"/>
  <c r="AL200" i="7"/>
  <c r="AK200" i="7"/>
  <c r="AG200" i="7"/>
  <c r="AF200" i="7"/>
  <c r="AE200" i="7"/>
  <c r="AD200" i="7"/>
  <c r="AB200" i="7"/>
  <c r="AA200" i="7"/>
  <c r="AC200" i="7" s="1"/>
  <c r="R200" i="7"/>
  <c r="Q200" i="7"/>
  <c r="P200" i="7"/>
  <c r="S200" i="7" s="1"/>
  <c r="N200" i="7"/>
  <c r="AM199" i="7"/>
  <c r="AL199" i="7"/>
  <c r="AK199" i="7"/>
  <c r="AG199" i="7"/>
  <c r="AF199" i="7"/>
  <c r="AE199" i="7"/>
  <c r="AD199" i="7"/>
  <c r="AB199" i="7"/>
  <c r="AC199" i="7" s="1"/>
  <c r="AA199" i="7"/>
  <c r="T199" i="7"/>
  <c r="R199" i="7"/>
  <c r="Q199" i="7"/>
  <c r="Z199" i="7" s="1"/>
  <c r="P199" i="7"/>
  <c r="Y199" i="7" s="1"/>
  <c r="N199" i="7"/>
  <c r="AM198" i="7"/>
  <c r="AL198" i="7"/>
  <c r="AK198" i="7"/>
  <c r="AG198" i="7"/>
  <c r="AF198" i="7"/>
  <c r="AE198" i="7"/>
  <c r="AD198" i="7"/>
  <c r="AB198" i="7"/>
  <c r="AA198" i="7"/>
  <c r="AC198" i="7" s="1"/>
  <c r="T198" i="7"/>
  <c r="R198" i="7"/>
  <c r="Q198" i="7"/>
  <c r="Z198" i="7" s="1"/>
  <c r="P198" i="7"/>
  <c r="S198" i="7" s="1"/>
  <c r="N198" i="7"/>
  <c r="AM197" i="7"/>
  <c r="AL197" i="7"/>
  <c r="AK197" i="7"/>
  <c r="AJ197" i="7"/>
  <c r="AG197" i="7"/>
  <c r="AF197" i="7"/>
  <c r="AE197" i="7"/>
  <c r="AD197" i="7"/>
  <c r="AB197" i="7"/>
  <c r="AC197" i="7" s="1"/>
  <c r="AA197" i="7"/>
  <c r="Z197" i="7"/>
  <c r="T197" i="7"/>
  <c r="S197" i="7"/>
  <c r="R197" i="7"/>
  <c r="Q197" i="7"/>
  <c r="P197" i="7"/>
  <c r="Y197" i="7" s="1"/>
  <c r="N197" i="7"/>
  <c r="AM196" i="7"/>
  <c r="AL196" i="7"/>
  <c r="AK196" i="7"/>
  <c r="AG196" i="7"/>
  <c r="AF196" i="7"/>
  <c r="AE196" i="7"/>
  <c r="AD196" i="7"/>
  <c r="AC196" i="7"/>
  <c r="AB196" i="7"/>
  <c r="AA196" i="7"/>
  <c r="Y196" i="7"/>
  <c r="R196" i="7"/>
  <c r="Q196" i="7"/>
  <c r="Z196" i="7" s="1"/>
  <c r="P196" i="7"/>
  <c r="S196" i="7" s="1"/>
  <c r="N196" i="7"/>
  <c r="AM195" i="7"/>
  <c r="AL195" i="7"/>
  <c r="AK195" i="7"/>
  <c r="AG195" i="7"/>
  <c r="AF195" i="7"/>
  <c r="AE195" i="7"/>
  <c r="AD195" i="7"/>
  <c r="AB195" i="7"/>
  <c r="AC195" i="7" s="1"/>
  <c r="AA195" i="7"/>
  <c r="T195" i="7"/>
  <c r="R195" i="7"/>
  <c r="Q195" i="7"/>
  <c r="Z195" i="7" s="1"/>
  <c r="P195" i="7"/>
  <c r="Y195" i="7" s="1"/>
  <c r="N195" i="7"/>
  <c r="AM194" i="7"/>
  <c r="AL194" i="7"/>
  <c r="AK194" i="7"/>
  <c r="AG194" i="7"/>
  <c r="AF194" i="7"/>
  <c r="AE194" i="7"/>
  <c r="AD194" i="7"/>
  <c r="AB194" i="7"/>
  <c r="AA194" i="7"/>
  <c r="AC194" i="7" s="1"/>
  <c r="T194" i="7"/>
  <c r="R194" i="7"/>
  <c r="Q194" i="7"/>
  <c r="Z194" i="7" s="1"/>
  <c r="P194" i="7"/>
  <c r="S194" i="7" s="1"/>
  <c r="N194" i="7"/>
  <c r="AM193" i="7"/>
  <c r="AL193" i="7"/>
  <c r="AK193" i="7"/>
  <c r="AJ193" i="7"/>
  <c r="AG193" i="7"/>
  <c r="AF193" i="7"/>
  <c r="AE193" i="7"/>
  <c r="AD193" i="7"/>
  <c r="AB193" i="7"/>
  <c r="AC193" i="7" s="1"/>
  <c r="AA193" i="7"/>
  <c r="Z193" i="7"/>
  <c r="T193" i="7"/>
  <c r="S193" i="7"/>
  <c r="R193" i="7"/>
  <c r="Q193" i="7"/>
  <c r="P193" i="7"/>
  <c r="Y193" i="7" s="1"/>
  <c r="N193" i="7"/>
  <c r="AM192" i="7"/>
  <c r="AL192" i="7"/>
  <c r="AK192" i="7"/>
  <c r="AG192" i="7"/>
  <c r="AF192" i="7"/>
  <c r="AE192" i="7"/>
  <c r="AD192" i="7"/>
  <c r="AC192" i="7"/>
  <c r="AB192" i="7"/>
  <c r="AA192" i="7"/>
  <c r="Y192" i="7"/>
  <c r="R192" i="7"/>
  <c r="Q192" i="7"/>
  <c r="Z192" i="7" s="1"/>
  <c r="P192" i="7"/>
  <c r="S192" i="7" s="1"/>
  <c r="N192" i="7"/>
  <c r="AM191" i="7"/>
  <c r="AL191" i="7"/>
  <c r="AK191" i="7"/>
  <c r="AG191" i="7"/>
  <c r="AF191" i="7"/>
  <c r="AE191" i="7"/>
  <c r="AD191" i="7"/>
  <c r="AB191" i="7"/>
  <c r="AC191" i="7" s="1"/>
  <c r="AA191" i="7"/>
  <c r="T191" i="7"/>
  <c r="R191" i="7"/>
  <c r="Q191" i="7"/>
  <c r="Z191" i="7" s="1"/>
  <c r="P191" i="7"/>
  <c r="Y191" i="7" s="1"/>
  <c r="N191" i="7"/>
  <c r="AM190" i="7"/>
  <c r="AL190" i="7"/>
  <c r="AK190" i="7"/>
  <c r="AG190" i="7"/>
  <c r="AF190" i="7"/>
  <c r="AE190" i="7"/>
  <c r="AD190" i="7"/>
  <c r="AB190" i="7"/>
  <c r="AA190" i="7"/>
  <c r="AC190" i="7" s="1"/>
  <c r="T190" i="7"/>
  <c r="R190" i="7"/>
  <c r="Q190" i="7"/>
  <c r="Z190" i="7" s="1"/>
  <c r="P190" i="7"/>
  <c r="S190" i="7" s="1"/>
  <c r="N190" i="7"/>
  <c r="AM189" i="7"/>
  <c r="AL189" i="7"/>
  <c r="AK189" i="7"/>
  <c r="AJ189" i="7"/>
  <c r="AG189" i="7"/>
  <c r="AF189" i="7"/>
  <c r="AE189" i="7"/>
  <c r="AD189" i="7"/>
  <c r="AB189" i="7"/>
  <c r="AC189" i="7" s="1"/>
  <c r="AA189" i="7"/>
  <c r="Z189" i="7"/>
  <c r="T189" i="7"/>
  <c r="S189" i="7"/>
  <c r="R189" i="7"/>
  <c r="Q189" i="7"/>
  <c r="P189" i="7"/>
  <c r="Y189" i="7" s="1"/>
  <c r="N189" i="7"/>
  <c r="AM188" i="7"/>
  <c r="AL188" i="7"/>
  <c r="AK188" i="7"/>
  <c r="AG188" i="7"/>
  <c r="AF188" i="7"/>
  <c r="AE188" i="7"/>
  <c r="AD188" i="7"/>
  <c r="AC188" i="7"/>
  <c r="AB188" i="7"/>
  <c r="AA188" i="7"/>
  <c r="Y188" i="7"/>
  <c r="R188" i="7"/>
  <c r="Q188" i="7"/>
  <c r="Z188" i="7" s="1"/>
  <c r="P188" i="7"/>
  <c r="S188" i="7" s="1"/>
  <c r="N188" i="7"/>
  <c r="AM187" i="7"/>
  <c r="AL187" i="7"/>
  <c r="AK187" i="7"/>
  <c r="AG187" i="7"/>
  <c r="AF187" i="7"/>
  <c r="AE187" i="7"/>
  <c r="AD187" i="7"/>
  <c r="AB187" i="7"/>
  <c r="AC187" i="7" s="1"/>
  <c r="AA187" i="7"/>
  <c r="T187" i="7"/>
  <c r="R187" i="7"/>
  <c r="Q187" i="7"/>
  <c r="Z187" i="7" s="1"/>
  <c r="P187" i="7"/>
  <c r="Y187" i="7" s="1"/>
  <c r="N187" i="7"/>
  <c r="AM186" i="7"/>
  <c r="AL186" i="7"/>
  <c r="AK186" i="7"/>
  <c r="AG186" i="7"/>
  <c r="AF186" i="7"/>
  <c r="AE186" i="7"/>
  <c r="AD186" i="7"/>
  <c r="AB186" i="7"/>
  <c r="AA186" i="7"/>
  <c r="AC186" i="7" s="1"/>
  <c r="T186" i="7"/>
  <c r="R186" i="7"/>
  <c r="Q186" i="7"/>
  <c r="Z186" i="7" s="1"/>
  <c r="P186" i="7"/>
  <c r="S186" i="7" s="1"/>
  <c r="N186" i="7"/>
  <c r="AM185" i="7"/>
  <c r="AL185" i="7"/>
  <c r="AK185" i="7"/>
  <c r="AJ185" i="7"/>
  <c r="AG185" i="7"/>
  <c r="AF185" i="7"/>
  <c r="AE185" i="7"/>
  <c r="AD185" i="7"/>
  <c r="AB185" i="7"/>
  <c r="AC185" i="7" s="1"/>
  <c r="AA185" i="7"/>
  <c r="Z185" i="7"/>
  <c r="T185" i="7"/>
  <c r="S185" i="7"/>
  <c r="R185" i="7"/>
  <c r="Q185" i="7"/>
  <c r="P185" i="7"/>
  <c r="Y185" i="7" s="1"/>
  <c r="N185" i="7"/>
  <c r="AM184" i="7"/>
  <c r="AL184" i="7"/>
  <c r="AK184" i="7"/>
  <c r="AG184" i="7"/>
  <c r="AF184" i="7"/>
  <c r="AE184" i="7"/>
  <c r="AD184" i="7"/>
  <c r="AC184" i="7"/>
  <c r="AB184" i="7"/>
  <c r="AA184" i="7"/>
  <c r="Y184" i="7"/>
  <c r="R184" i="7"/>
  <c r="Q184" i="7"/>
  <c r="Z184" i="7" s="1"/>
  <c r="P184" i="7"/>
  <c r="S184" i="7" s="1"/>
  <c r="N184" i="7"/>
  <c r="AM183" i="7"/>
  <c r="AL183" i="7"/>
  <c r="AK183" i="7"/>
  <c r="AG183" i="7"/>
  <c r="AF183" i="7"/>
  <c r="AE183" i="7"/>
  <c r="AD183" i="7"/>
  <c r="AB183" i="7"/>
  <c r="AC183" i="7" s="1"/>
  <c r="AA183" i="7"/>
  <c r="T183" i="7"/>
  <c r="R183" i="7"/>
  <c r="Q183" i="7"/>
  <c r="Z183" i="7" s="1"/>
  <c r="P183" i="7"/>
  <c r="Y183" i="7" s="1"/>
  <c r="N183" i="7"/>
  <c r="AM182" i="7"/>
  <c r="AL182" i="7"/>
  <c r="AK182" i="7"/>
  <c r="AG182" i="7"/>
  <c r="AF182" i="7"/>
  <c r="AE182" i="7"/>
  <c r="AD182" i="7"/>
  <c r="AB182" i="7"/>
  <c r="AA182" i="7"/>
  <c r="AC182" i="7" s="1"/>
  <c r="T182" i="7"/>
  <c r="R182" i="7"/>
  <c r="Q182" i="7"/>
  <c r="Z182" i="7" s="1"/>
  <c r="P182" i="7"/>
  <c r="S182" i="7" s="1"/>
  <c r="N182" i="7"/>
  <c r="AM181" i="7"/>
  <c r="AL181" i="7"/>
  <c r="AK181" i="7"/>
  <c r="AJ181" i="7"/>
  <c r="AG181" i="7"/>
  <c r="AF181" i="7"/>
  <c r="AE181" i="7"/>
  <c r="AD181" i="7"/>
  <c r="AB181" i="7"/>
  <c r="AC181" i="7" s="1"/>
  <c r="AA181" i="7"/>
  <c r="Z181" i="7"/>
  <c r="T181" i="7"/>
  <c r="S181" i="7"/>
  <c r="R181" i="7"/>
  <c r="Q181" i="7"/>
  <c r="P181" i="7"/>
  <c r="Y181" i="7" s="1"/>
  <c r="N181" i="7"/>
  <c r="AM180" i="7"/>
  <c r="AL180" i="7"/>
  <c r="AK180" i="7"/>
  <c r="AG180" i="7"/>
  <c r="AF180" i="7"/>
  <c r="AE180" i="7"/>
  <c r="AD180" i="7"/>
  <c r="AC180" i="7"/>
  <c r="AB180" i="7"/>
  <c r="AA180" i="7"/>
  <c r="R180" i="7"/>
  <c r="Q180" i="7"/>
  <c r="Z180" i="7" s="1"/>
  <c r="P180" i="7"/>
  <c r="Y180" i="7" s="1"/>
  <c r="N180" i="7"/>
  <c r="AM179" i="7"/>
  <c r="AL179" i="7"/>
  <c r="AK179" i="7"/>
  <c r="AG179" i="7"/>
  <c r="AF179" i="7"/>
  <c r="AE179" i="7"/>
  <c r="AD179" i="7"/>
  <c r="AC179" i="7"/>
  <c r="AB179" i="7"/>
  <c r="AA179" i="7"/>
  <c r="S179" i="7"/>
  <c r="R179" i="7"/>
  <c r="Q179" i="7"/>
  <c r="Z179" i="7" s="1"/>
  <c r="P179" i="7"/>
  <c r="Y179" i="7" s="1"/>
  <c r="N179" i="7"/>
  <c r="AM178" i="7"/>
  <c r="AL178" i="7"/>
  <c r="AK178" i="7"/>
  <c r="AG178" i="7"/>
  <c r="AF178" i="7"/>
  <c r="AE178" i="7"/>
  <c r="AD178" i="7"/>
  <c r="AB178" i="7"/>
  <c r="AA178" i="7"/>
  <c r="AC178" i="7" s="1"/>
  <c r="Y178" i="7"/>
  <c r="T178" i="7"/>
  <c r="S178" i="7"/>
  <c r="AJ178" i="7" s="1"/>
  <c r="R178" i="7"/>
  <c r="Q178" i="7"/>
  <c r="Z178" i="7" s="1"/>
  <c r="P178" i="7"/>
  <c r="N178" i="7"/>
  <c r="AM177" i="7"/>
  <c r="AL177" i="7"/>
  <c r="AK177" i="7"/>
  <c r="AG177" i="7"/>
  <c r="AF177" i="7"/>
  <c r="AE177" i="7"/>
  <c r="AD177" i="7"/>
  <c r="AB177" i="7"/>
  <c r="AC177" i="7" s="1"/>
  <c r="AA177" i="7"/>
  <c r="Z177" i="7"/>
  <c r="R177" i="7"/>
  <c r="Q177" i="7"/>
  <c r="T177" i="7" s="1"/>
  <c r="P177" i="7"/>
  <c r="Y177" i="7" s="1"/>
  <c r="N177" i="7"/>
  <c r="AM176" i="7"/>
  <c r="AL176" i="7"/>
  <c r="AK176" i="7"/>
  <c r="AG176" i="7"/>
  <c r="AF176" i="7"/>
  <c r="AE176" i="7"/>
  <c r="AD176" i="7"/>
  <c r="AC176" i="7"/>
  <c r="AB176" i="7"/>
  <c r="AA176" i="7"/>
  <c r="T176" i="7"/>
  <c r="R176" i="7"/>
  <c r="Q176" i="7"/>
  <c r="Z176" i="7" s="1"/>
  <c r="P176" i="7"/>
  <c r="Y176" i="7" s="1"/>
  <c r="N176" i="7"/>
  <c r="AM175" i="7"/>
  <c r="AL175" i="7"/>
  <c r="AK175" i="7"/>
  <c r="AG175" i="7"/>
  <c r="AF175" i="7"/>
  <c r="AE175" i="7"/>
  <c r="AD175" i="7"/>
  <c r="AB175" i="7"/>
  <c r="AA175" i="7"/>
  <c r="AC175" i="7" s="1"/>
  <c r="Z175" i="7"/>
  <c r="Y175" i="7"/>
  <c r="T175" i="7"/>
  <c r="S175" i="7"/>
  <c r="AJ175" i="7" s="1"/>
  <c r="R175" i="7"/>
  <c r="Q175" i="7"/>
  <c r="P175" i="7"/>
  <c r="N175" i="7"/>
  <c r="AM174" i="7"/>
  <c r="AL174" i="7"/>
  <c r="AK174" i="7"/>
  <c r="AG174" i="7"/>
  <c r="AF174" i="7"/>
  <c r="AE174" i="7"/>
  <c r="AD174" i="7"/>
  <c r="AB174" i="7"/>
  <c r="AC174" i="7" s="1"/>
  <c r="AA174" i="7"/>
  <c r="Y174" i="7"/>
  <c r="T174" i="7"/>
  <c r="R174" i="7"/>
  <c r="Q174" i="7"/>
  <c r="Z174" i="7" s="1"/>
  <c r="P174" i="7"/>
  <c r="S174" i="7" s="1"/>
  <c r="AJ174" i="7" s="1"/>
  <c r="N174" i="7"/>
  <c r="AM173" i="7"/>
  <c r="AL173" i="7"/>
  <c r="AK173" i="7"/>
  <c r="AG173" i="7"/>
  <c r="AF173" i="7"/>
  <c r="AE173" i="7"/>
  <c r="AD173" i="7"/>
  <c r="AB173" i="7"/>
  <c r="AA173" i="7"/>
  <c r="AC173" i="7" s="1"/>
  <c r="T173" i="7"/>
  <c r="R173" i="7"/>
  <c r="Q173" i="7"/>
  <c r="Z173" i="7" s="1"/>
  <c r="P173" i="7"/>
  <c r="Y173" i="7" s="1"/>
  <c r="N173" i="7"/>
  <c r="AM172" i="7"/>
  <c r="AL172" i="7"/>
  <c r="AK172" i="7"/>
  <c r="AG172" i="7"/>
  <c r="AF172" i="7"/>
  <c r="AE172" i="7"/>
  <c r="AD172" i="7"/>
  <c r="AB172" i="7"/>
  <c r="AA172" i="7"/>
  <c r="AC172" i="7" s="1"/>
  <c r="Y172" i="7"/>
  <c r="T172" i="7"/>
  <c r="S172" i="7"/>
  <c r="R172" i="7"/>
  <c r="Q172" i="7"/>
  <c r="Z172" i="7" s="1"/>
  <c r="P172" i="7"/>
  <c r="N172" i="7"/>
  <c r="AM171" i="7"/>
  <c r="AL171" i="7"/>
  <c r="AK171" i="7"/>
  <c r="AG171" i="7"/>
  <c r="AF171" i="7"/>
  <c r="AE171" i="7"/>
  <c r="AD171" i="7"/>
  <c r="AB171" i="7"/>
  <c r="AA171" i="7"/>
  <c r="AC171" i="7" s="1"/>
  <c r="Y171" i="7"/>
  <c r="T171" i="7"/>
  <c r="R171" i="7"/>
  <c r="Q171" i="7"/>
  <c r="Z171" i="7" s="1"/>
  <c r="P171" i="7"/>
  <c r="S171" i="7" s="1"/>
  <c r="AJ171" i="7" s="1"/>
  <c r="N171" i="7"/>
  <c r="AM170" i="7"/>
  <c r="AL170" i="7"/>
  <c r="AK170" i="7"/>
  <c r="AG170" i="7"/>
  <c r="AF170" i="7"/>
  <c r="AE170" i="7"/>
  <c r="AD170" i="7"/>
  <c r="AB170" i="7"/>
  <c r="AA170" i="7"/>
  <c r="AC170" i="7" s="1"/>
  <c r="S170" i="7"/>
  <c r="R170" i="7"/>
  <c r="Q170" i="7"/>
  <c r="Z170" i="7" s="1"/>
  <c r="P170" i="7"/>
  <c r="Y170" i="7" s="1"/>
  <c r="N170" i="7"/>
  <c r="AM169" i="7"/>
  <c r="AL169" i="7"/>
  <c r="AK169" i="7"/>
  <c r="AG169" i="7"/>
  <c r="AF169" i="7"/>
  <c r="AE169" i="7"/>
  <c r="AD169" i="7"/>
  <c r="AC169" i="7"/>
  <c r="AB169" i="7"/>
  <c r="AA169" i="7"/>
  <c r="Y169" i="7"/>
  <c r="T169" i="7"/>
  <c r="AJ169" i="7" s="1"/>
  <c r="S169" i="7"/>
  <c r="R169" i="7"/>
  <c r="Q169" i="7"/>
  <c r="Z169" i="7" s="1"/>
  <c r="P169" i="7"/>
  <c r="N169" i="7"/>
  <c r="AM168" i="7"/>
  <c r="AL168" i="7"/>
  <c r="AK168" i="7"/>
  <c r="AG168" i="7"/>
  <c r="AF168" i="7"/>
  <c r="AE168" i="7"/>
  <c r="AD168" i="7"/>
  <c r="AB168" i="7"/>
  <c r="AA168" i="7"/>
  <c r="AC168" i="7" s="1"/>
  <c r="T168" i="7"/>
  <c r="S168" i="7"/>
  <c r="R168" i="7"/>
  <c r="Q168" i="7"/>
  <c r="Z168" i="7" s="1"/>
  <c r="P168" i="7"/>
  <c r="Y168" i="7" s="1"/>
  <c r="N168" i="7"/>
  <c r="AM167" i="7"/>
  <c r="AL167" i="7"/>
  <c r="AK167" i="7"/>
  <c r="AG167" i="7"/>
  <c r="AF167" i="7"/>
  <c r="AE167" i="7"/>
  <c r="AD167" i="7"/>
  <c r="AC167" i="7"/>
  <c r="AB167" i="7"/>
  <c r="AA167" i="7"/>
  <c r="S167" i="7"/>
  <c r="R167" i="7"/>
  <c r="Q167" i="7"/>
  <c r="Z167" i="7" s="1"/>
  <c r="P167" i="7"/>
  <c r="Y167" i="7" s="1"/>
  <c r="N167" i="7"/>
  <c r="AM166" i="7"/>
  <c r="AL166" i="7"/>
  <c r="AK166" i="7"/>
  <c r="AG166" i="7"/>
  <c r="AF166" i="7"/>
  <c r="AE166" i="7"/>
  <c r="AD166" i="7"/>
  <c r="AC166" i="7"/>
  <c r="AB166" i="7"/>
  <c r="AA166" i="7"/>
  <c r="S166" i="7"/>
  <c r="R166" i="7"/>
  <c r="Q166" i="7"/>
  <c r="Z166" i="7" s="1"/>
  <c r="P166" i="7"/>
  <c r="Y166" i="7" s="1"/>
  <c r="N166" i="7"/>
  <c r="AM165" i="7"/>
  <c r="AL165" i="7"/>
  <c r="AK165" i="7"/>
  <c r="AJ165" i="7"/>
  <c r="AG165" i="7"/>
  <c r="AF165" i="7"/>
  <c r="AE165" i="7"/>
  <c r="AD165" i="7"/>
  <c r="AB165" i="7"/>
  <c r="AA165" i="7"/>
  <c r="AC165" i="7" s="1"/>
  <c r="Z165" i="7"/>
  <c r="T165" i="7"/>
  <c r="S165" i="7"/>
  <c r="R165" i="7"/>
  <c r="Q165" i="7"/>
  <c r="P165" i="7"/>
  <c r="Y165" i="7" s="1"/>
  <c r="N165" i="7"/>
  <c r="AM164" i="7"/>
  <c r="AL164" i="7"/>
  <c r="AK164" i="7"/>
  <c r="AG164" i="7"/>
  <c r="AF164" i="7"/>
  <c r="AE164" i="7"/>
  <c r="AD164" i="7"/>
  <c r="AC164" i="7"/>
  <c r="AB164" i="7"/>
  <c r="AA164" i="7"/>
  <c r="R164" i="7"/>
  <c r="Q164" i="7"/>
  <c r="Z164" i="7" s="1"/>
  <c r="P164" i="7"/>
  <c r="Y164" i="7" s="1"/>
  <c r="N164" i="7"/>
  <c r="AM163" i="7"/>
  <c r="AL163" i="7"/>
  <c r="AK163" i="7"/>
  <c r="AG163" i="7"/>
  <c r="AF163" i="7"/>
  <c r="AE163" i="7"/>
  <c r="AD163" i="7"/>
  <c r="AC163" i="7"/>
  <c r="AB163" i="7"/>
  <c r="AA163" i="7"/>
  <c r="S163" i="7"/>
  <c r="R163" i="7"/>
  <c r="Q163" i="7"/>
  <c r="Z163" i="7" s="1"/>
  <c r="P163" i="7"/>
  <c r="Y163" i="7" s="1"/>
  <c r="N163" i="7"/>
  <c r="AM162" i="7"/>
  <c r="AL162" i="7"/>
  <c r="AK162" i="7"/>
  <c r="AG162" i="7"/>
  <c r="AF162" i="7"/>
  <c r="AE162" i="7"/>
  <c r="AD162" i="7"/>
  <c r="AB162" i="7"/>
  <c r="AA162" i="7"/>
  <c r="AC162" i="7" s="1"/>
  <c r="Y162" i="7"/>
  <c r="T162" i="7"/>
  <c r="S162" i="7"/>
  <c r="AJ162" i="7" s="1"/>
  <c r="R162" i="7"/>
  <c r="Q162" i="7"/>
  <c r="Z162" i="7" s="1"/>
  <c r="P162" i="7"/>
  <c r="N162" i="7"/>
  <c r="AM161" i="7"/>
  <c r="AL161" i="7"/>
  <c r="AK161" i="7"/>
  <c r="AG161" i="7"/>
  <c r="AF161" i="7"/>
  <c r="AE161" i="7"/>
  <c r="AD161" i="7"/>
  <c r="AB161" i="7"/>
  <c r="AC161" i="7" s="1"/>
  <c r="AA161" i="7"/>
  <c r="Z161" i="7"/>
  <c r="R161" i="7"/>
  <c r="Q161" i="7"/>
  <c r="T161" i="7" s="1"/>
  <c r="P161" i="7"/>
  <c r="Y161" i="7" s="1"/>
  <c r="N161" i="7"/>
  <c r="AM160" i="7"/>
  <c r="AL160" i="7"/>
  <c r="AK160" i="7"/>
  <c r="AG160" i="7"/>
  <c r="AF160" i="7"/>
  <c r="AE160" i="7"/>
  <c r="AD160" i="7"/>
  <c r="AC160" i="7"/>
  <c r="AB160" i="7"/>
  <c r="AA160" i="7"/>
  <c r="T160" i="7"/>
  <c r="R160" i="7"/>
  <c r="Q160" i="7"/>
  <c r="Z160" i="7" s="1"/>
  <c r="P160" i="7"/>
  <c r="Y160" i="7" s="1"/>
  <c r="N160" i="7"/>
  <c r="AM159" i="7"/>
  <c r="AL159" i="7"/>
  <c r="AK159" i="7"/>
  <c r="AG159" i="7"/>
  <c r="AF159" i="7"/>
  <c r="AE159" i="7"/>
  <c r="AD159" i="7"/>
  <c r="AB159" i="7"/>
  <c r="AA159" i="7"/>
  <c r="AC159" i="7" s="1"/>
  <c r="Z159" i="7"/>
  <c r="Y159" i="7"/>
  <c r="T159" i="7"/>
  <c r="S159" i="7"/>
  <c r="AJ159" i="7" s="1"/>
  <c r="R159" i="7"/>
  <c r="Q159" i="7"/>
  <c r="P159" i="7"/>
  <c r="N159" i="7"/>
  <c r="AM158" i="7"/>
  <c r="AL158" i="7"/>
  <c r="AK158" i="7"/>
  <c r="AG158" i="7"/>
  <c r="AF158" i="7"/>
  <c r="AE158" i="7"/>
  <c r="AD158" i="7"/>
  <c r="AB158" i="7"/>
  <c r="AC158" i="7" s="1"/>
  <c r="AA158" i="7"/>
  <c r="Y158" i="7"/>
  <c r="T158" i="7"/>
  <c r="R158" i="7"/>
  <c r="Q158" i="7"/>
  <c r="Z158" i="7" s="1"/>
  <c r="P158" i="7"/>
  <c r="S158" i="7" s="1"/>
  <c r="AJ158" i="7" s="1"/>
  <c r="N158" i="7"/>
  <c r="AM157" i="7"/>
  <c r="AL157" i="7"/>
  <c r="AK157" i="7"/>
  <c r="AG157" i="7"/>
  <c r="AF157" i="7"/>
  <c r="AE157" i="7"/>
  <c r="AD157" i="7"/>
  <c r="AB157" i="7"/>
  <c r="AA157" i="7"/>
  <c r="AC157" i="7" s="1"/>
  <c r="T157" i="7"/>
  <c r="R157" i="7"/>
  <c r="Q157" i="7"/>
  <c r="Z157" i="7" s="1"/>
  <c r="P157" i="7"/>
  <c r="Y157" i="7" s="1"/>
  <c r="N157" i="7"/>
  <c r="AM156" i="7"/>
  <c r="AL156" i="7"/>
  <c r="AK156" i="7"/>
  <c r="AG156" i="7"/>
  <c r="AF156" i="7"/>
  <c r="AE156" i="7"/>
  <c r="AD156" i="7"/>
  <c r="AB156" i="7"/>
  <c r="AA156" i="7"/>
  <c r="AC156" i="7" s="1"/>
  <c r="Y156" i="7"/>
  <c r="T156" i="7"/>
  <c r="S156" i="7"/>
  <c r="R156" i="7"/>
  <c r="Q156" i="7"/>
  <c r="Z156" i="7" s="1"/>
  <c r="P156" i="7"/>
  <c r="N156" i="7"/>
  <c r="AM155" i="7"/>
  <c r="AL155" i="7"/>
  <c r="AK155" i="7"/>
  <c r="AG155" i="7"/>
  <c r="AF155" i="7"/>
  <c r="AE155" i="7"/>
  <c r="AD155" i="7"/>
  <c r="AB155" i="7"/>
  <c r="AA155" i="7"/>
  <c r="AC155" i="7" s="1"/>
  <c r="Y155" i="7"/>
  <c r="T155" i="7"/>
  <c r="R155" i="7"/>
  <c r="Q155" i="7"/>
  <c r="Z155" i="7" s="1"/>
  <c r="P155" i="7"/>
  <c r="S155" i="7" s="1"/>
  <c r="AJ155" i="7" s="1"/>
  <c r="N155" i="7"/>
  <c r="AM154" i="7"/>
  <c r="AL154" i="7"/>
  <c r="AK154" i="7"/>
  <c r="AG154" i="7"/>
  <c r="AF154" i="7"/>
  <c r="AE154" i="7"/>
  <c r="AD154" i="7"/>
  <c r="AB154" i="7"/>
  <c r="AA154" i="7"/>
  <c r="AC154" i="7" s="1"/>
  <c r="S154" i="7"/>
  <c r="R154" i="7"/>
  <c r="Q154" i="7"/>
  <c r="Z154" i="7" s="1"/>
  <c r="P154" i="7"/>
  <c r="Y154" i="7" s="1"/>
  <c r="N154" i="7"/>
  <c r="AM153" i="7"/>
  <c r="AL153" i="7"/>
  <c r="AK153" i="7"/>
  <c r="AG153" i="7"/>
  <c r="AF153" i="7"/>
  <c r="AE153" i="7"/>
  <c r="AD153" i="7"/>
  <c r="AC153" i="7"/>
  <c r="AB153" i="7"/>
  <c r="AA153" i="7"/>
  <c r="Y153" i="7"/>
  <c r="T153" i="7"/>
  <c r="AJ153" i="7" s="1"/>
  <c r="S153" i="7"/>
  <c r="R153" i="7"/>
  <c r="Q153" i="7"/>
  <c r="Z153" i="7" s="1"/>
  <c r="P153" i="7"/>
  <c r="N153" i="7"/>
  <c r="AM152" i="7"/>
  <c r="AL152" i="7"/>
  <c r="AK152" i="7"/>
  <c r="AG152" i="7"/>
  <c r="AF152" i="7"/>
  <c r="AE152" i="7"/>
  <c r="AD152" i="7"/>
  <c r="AB152" i="7"/>
  <c r="AC152" i="7" s="1"/>
  <c r="AA152" i="7"/>
  <c r="Z152" i="7"/>
  <c r="R152" i="7"/>
  <c r="Q152" i="7"/>
  <c r="T152" i="7" s="1"/>
  <c r="P152" i="7"/>
  <c r="Y152" i="7" s="1"/>
  <c r="N152" i="7"/>
  <c r="AM151" i="7"/>
  <c r="AL151" i="7"/>
  <c r="AK151" i="7"/>
  <c r="AG151" i="7"/>
  <c r="AF151" i="7"/>
  <c r="AE151" i="7"/>
  <c r="AD151" i="7"/>
  <c r="AC151" i="7"/>
  <c r="AB151" i="7"/>
  <c r="AA151" i="7"/>
  <c r="Y151" i="7"/>
  <c r="T151" i="7"/>
  <c r="AJ151" i="7" s="1"/>
  <c r="S151" i="7"/>
  <c r="R151" i="7"/>
  <c r="Q151" i="7"/>
  <c r="Z151" i="7" s="1"/>
  <c r="P151" i="7"/>
  <c r="N151" i="7"/>
  <c r="AM150" i="7"/>
  <c r="AL150" i="7"/>
  <c r="AK150" i="7"/>
  <c r="AG150" i="7"/>
  <c r="AF150" i="7"/>
  <c r="AE150" i="7"/>
  <c r="AD150" i="7"/>
  <c r="AB150" i="7"/>
  <c r="AC150" i="7" s="1"/>
  <c r="AA150" i="7"/>
  <c r="Z150" i="7"/>
  <c r="R150" i="7"/>
  <c r="Q150" i="7"/>
  <c r="T150" i="7" s="1"/>
  <c r="P150" i="7"/>
  <c r="Y150" i="7" s="1"/>
  <c r="N150" i="7"/>
  <c r="AM149" i="7"/>
  <c r="AL149" i="7"/>
  <c r="AK149" i="7"/>
  <c r="AG149" i="7"/>
  <c r="AF149" i="7"/>
  <c r="AE149" i="7"/>
  <c r="AD149" i="7"/>
  <c r="AC149" i="7"/>
  <c r="AB149" i="7"/>
  <c r="AA149" i="7"/>
  <c r="Y149" i="7"/>
  <c r="T149" i="7"/>
  <c r="AJ149" i="7" s="1"/>
  <c r="S149" i="7"/>
  <c r="R149" i="7"/>
  <c r="Q149" i="7"/>
  <c r="Z149" i="7" s="1"/>
  <c r="P149" i="7"/>
  <c r="N149" i="7"/>
  <c r="AM148" i="7"/>
  <c r="AL148" i="7"/>
  <c r="AK148" i="7"/>
  <c r="AG148" i="7"/>
  <c r="AF148" i="7"/>
  <c r="AE148" i="7"/>
  <c r="AD148" i="7"/>
  <c r="AB148" i="7"/>
  <c r="AC148" i="7" s="1"/>
  <c r="AA148" i="7"/>
  <c r="Z148" i="7"/>
  <c r="R148" i="7"/>
  <c r="Q148" i="7"/>
  <c r="T148" i="7" s="1"/>
  <c r="P148" i="7"/>
  <c r="Y148" i="7" s="1"/>
  <c r="N148" i="7"/>
  <c r="AM147" i="7"/>
  <c r="AL147" i="7"/>
  <c r="AK147" i="7"/>
  <c r="AG147" i="7"/>
  <c r="AF147" i="7"/>
  <c r="AE147" i="7"/>
  <c r="AD147" i="7"/>
  <c r="AC147" i="7"/>
  <c r="AB147" i="7"/>
  <c r="AA147" i="7"/>
  <c r="Y147" i="7"/>
  <c r="T147" i="7"/>
  <c r="AJ147" i="7" s="1"/>
  <c r="S147" i="7"/>
  <c r="R147" i="7"/>
  <c r="Q147" i="7"/>
  <c r="Z147" i="7" s="1"/>
  <c r="P147" i="7"/>
  <c r="N147" i="7"/>
  <c r="AM146" i="7"/>
  <c r="AL146" i="7"/>
  <c r="AK146" i="7"/>
  <c r="AG146" i="7"/>
  <c r="AF146" i="7"/>
  <c r="AE146" i="7"/>
  <c r="AD146" i="7"/>
  <c r="AB146" i="7"/>
  <c r="AC146" i="7" s="1"/>
  <c r="AA146" i="7"/>
  <c r="Z146" i="7"/>
  <c r="R146" i="7"/>
  <c r="Q146" i="7"/>
  <c r="T146" i="7" s="1"/>
  <c r="P146" i="7"/>
  <c r="Y146" i="7" s="1"/>
  <c r="N146" i="7"/>
  <c r="AM145" i="7"/>
  <c r="AL145" i="7"/>
  <c r="AK145" i="7"/>
  <c r="AG145" i="7"/>
  <c r="AF145" i="7"/>
  <c r="AE145" i="7"/>
  <c r="AD145" i="7"/>
  <c r="AC145" i="7"/>
  <c r="AB145" i="7"/>
  <c r="AA145" i="7"/>
  <c r="Y145" i="7"/>
  <c r="T145" i="7"/>
  <c r="AJ145" i="7" s="1"/>
  <c r="S145" i="7"/>
  <c r="R145" i="7"/>
  <c r="Q145" i="7"/>
  <c r="Z145" i="7" s="1"/>
  <c r="P145" i="7"/>
  <c r="N145" i="7"/>
  <c r="AM144" i="7"/>
  <c r="AL144" i="7"/>
  <c r="AK144" i="7"/>
  <c r="AG144" i="7"/>
  <c r="AF144" i="7"/>
  <c r="AE144" i="7"/>
  <c r="AD144" i="7"/>
  <c r="AB144" i="7"/>
  <c r="AC144" i="7" s="1"/>
  <c r="AA144" i="7"/>
  <c r="Z144" i="7"/>
  <c r="R144" i="7"/>
  <c r="Q144" i="7"/>
  <c r="T144" i="7" s="1"/>
  <c r="P144" i="7"/>
  <c r="Y144" i="7" s="1"/>
  <c r="N144" i="7"/>
  <c r="AM143" i="7"/>
  <c r="AL143" i="7"/>
  <c r="AK143" i="7"/>
  <c r="AG143" i="7"/>
  <c r="AF143" i="7"/>
  <c r="AE143" i="7"/>
  <c r="AD143" i="7"/>
  <c r="AC143" i="7"/>
  <c r="AB143" i="7"/>
  <c r="AA143" i="7"/>
  <c r="Y143" i="7"/>
  <c r="T143" i="7"/>
  <c r="AJ143" i="7" s="1"/>
  <c r="S143" i="7"/>
  <c r="R143" i="7"/>
  <c r="Q143" i="7"/>
  <c r="Z143" i="7" s="1"/>
  <c r="P143" i="7"/>
  <c r="N143" i="7"/>
  <c r="AM142" i="7"/>
  <c r="AL142" i="7"/>
  <c r="AK142" i="7"/>
  <c r="AG142" i="7"/>
  <c r="AF142" i="7"/>
  <c r="AE142" i="7"/>
  <c r="AD142" i="7"/>
  <c r="AB142" i="7"/>
  <c r="AC142" i="7" s="1"/>
  <c r="AA142" i="7"/>
  <c r="Z142" i="7"/>
  <c r="R142" i="7"/>
  <c r="Q142" i="7"/>
  <c r="T142" i="7" s="1"/>
  <c r="P142" i="7"/>
  <c r="Y142" i="7" s="1"/>
  <c r="N142" i="7"/>
  <c r="AM141" i="7"/>
  <c r="AL141" i="7"/>
  <c r="AK141" i="7"/>
  <c r="AG141" i="7"/>
  <c r="AF141" i="7"/>
  <c r="AE141" i="7"/>
  <c r="AD141" i="7"/>
  <c r="AC141" i="7"/>
  <c r="AB141" i="7"/>
  <c r="AA141" i="7"/>
  <c r="Y141" i="7"/>
  <c r="T141" i="7"/>
  <c r="AJ141" i="7" s="1"/>
  <c r="S141" i="7"/>
  <c r="R141" i="7"/>
  <c r="Q141" i="7"/>
  <c r="Z141" i="7" s="1"/>
  <c r="P141" i="7"/>
  <c r="N141" i="7"/>
  <c r="AM140" i="7"/>
  <c r="AL140" i="7"/>
  <c r="AK140" i="7"/>
  <c r="AG140" i="7"/>
  <c r="AF140" i="7"/>
  <c r="AE140" i="7"/>
  <c r="AD140" i="7"/>
  <c r="AB140" i="7"/>
  <c r="AC140" i="7" s="1"/>
  <c r="AA140" i="7"/>
  <c r="Z140" i="7"/>
  <c r="R140" i="7"/>
  <c r="Q140" i="7"/>
  <c r="T140" i="7" s="1"/>
  <c r="P140" i="7"/>
  <c r="Y140" i="7" s="1"/>
  <c r="N140" i="7"/>
  <c r="AM139" i="7"/>
  <c r="AL139" i="7"/>
  <c r="AK139" i="7"/>
  <c r="AG139" i="7"/>
  <c r="AF139" i="7"/>
  <c r="AE139" i="7"/>
  <c r="AD139" i="7"/>
  <c r="AC139" i="7"/>
  <c r="AB139" i="7"/>
  <c r="AA139" i="7"/>
  <c r="Y139" i="7"/>
  <c r="T139" i="7"/>
  <c r="S139" i="7"/>
  <c r="AJ139" i="7" s="1"/>
  <c r="R139" i="7"/>
  <c r="Q139" i="7"/>
  <c r="Z139" i="7" s="1"/>
  <c r="P139" i="7"/>
  <c r="N139" i="7"/>
  <c r="AM138" i="7"/>
  <c r="AL138" i="7"/>
  <c r="AK138" i="7"/>
  <c r="AG138" i="7"/>
  <c r="AF138" i="7"/>
  <c r="AE138" i="7"/>
  <c r="AD138" i="7"/>
  <c r="AB138" i="7"/>
  <c r="AC138" i="7" s="1"/>
  <c r="AA138" i="7"/>
  <c r="Z138" i="7"/>
  <c r="R138" i="7"/>
  <c r="Q138" i="7"/>
  <c r="T138" i="7" s="1"/>
  <c r="P138" i="7"/>
  <c r="Y138" i="7" s="1"/>
  <c r="N138" i="7"/>
  <c r="AM137" i="7"/>
  <c r="AL137" i="7"/>
  <c r="AK137" i="7"/>
  <c r="AG137" i="7"/>
  <c r="AF137" i="7"/>
  <c r="AE137" i="7"/>
  <c r="AD137" i="7"/>
  <c r="AC137" i="7"/>
  <c r="AB137" i="7"/>
  <c r="AA137" i="7"/>
  <c r="Y137" i="7"/>
  <c r="T137" i="7"/>
  <c r="S137" i="7"/>
  <c r="AJ137" i="7" s="1"/>
  <c r="R137" i="7"/>
  <c r="Q137" i="7"/>
  <c r="Z137" i="7" s="1"/>
  <c r="P137" i="7"/>
  <c r="N137" i="7"/>
  <c r="AM136" i="7"/>
  <c r="AL136" i="7"/>
  <c r="AK136" i="7"/>
  <c r="AG136" i="7"/>
  <c r="AF136" i="7"/>
  <c r="AE136" i="7"/>
  <c r="AD136" i="7"/>
  <c r="AB136" i="7"/>
  <c r="AC136" i="7" s="1"/>
  <c r="AA136" i="7"/>
  <c r="Z136" i="7"/>
  <c r="R136" i="7"/>
  <c r="Q136" i="7"/>
  <c r="T136" i="7" s="1"/>
  <c r="P136" i="7"/>
  <c r="Y136" i="7" s="1"/>
  <c r="N136" i="7"/>
  <c r="AM135" i="7"/>
  <c r="AL135" i="7"/>
  <c r="AK135" i="7"/>
  <c r="AG135" i="7"/>
  <c r="AF135" i="7"/>
  <c r="AE135" i="7"/>
  <c r="AD135" i="7"/>
  <c r="AC135" i="7"/>
  <c r="AB135" i="7"/>
  <c r="AA135" i="7"/>
  <c r="Y135" i="7"/>
  <c r="T135" i="7"/>
  <c r="S135" i="7"/>
  <c r="AJ135" i="7" s="1"/>
  <c r="R135" i="7"/>
  <c r="Q135" i="7"/>
  <c r="Z135" i="7" s="1"/>
  <c r="P135" i="7"/>
  <c r="N135" i="7"/>
  <c r="AM134" i="7"/>
  <c r="AL134" i="7"/>
  <c r="AK134" i="7"/>
  <c r="AG134" i="7"/>
  <c r="AF134" i="7"/>
  <c r="AE134" i="7"/>
  <c r="AD134" i="7"/>
  <c r="AB134" i="7"/>
  <c r="AC134" i="7" s="1"/>
  <c r="AA134" i="7"/>
  <c r="Z134" i="7"/>
  <c r="R134" i="7"/>
  <c r="Q134" i="7"/>
  <c r="T134" i="7" s="1"/>
  <c r="P134" i="7"/>
  <c r="Y134" i="7" s="1"/>
  <c r="N134" i="7"/>
  <c r="AM133" i="7"/>
  <c r="AL133" i="7"/>
  <c r="AK133" i="7"/>
  <c r="AG133" i="7"/>
  <c r="AF133" i="7"/>
  <c r="AE133" i="7"/>
  <c r="AD133" i="7"/>
  <c r="AC133" i="7"/>
  <c r="AB133" i="7"/>
  <c r="AA133" i="7"/>
  <c r="Y133" i="7"/>
  <c r="T133" i="7"/>
  <c r="S133" i="7"/>
  <c r="AJ133" i="7" s="1"/>
  <c r="R133" i="7"/>
  <c r="Q133" i="7"/>
  <c r="Z133" i="7" s="1"/>
  <c r="P133" i="7"/>
  <c r="N133" i="7"/>
  <c r="AM132" i="7"/>
  <c r="AL132" i="7"/>
  <c r="AK132" i="7"/>
  <c r="AG132" i="7"/>
  <c r="AF132" i="7"/>
  <c r="AE132" i="7"/>
  <c r="AD132" i="7"/>
  <c r="AB132" i="7"/>
  <c r="AC132" i="7" s="1"/>
  <c r="AA132" i="7"/>
  <c r="Z132" i="7"/>
  <c r="R132" i="7"/>
  <c r="Q132" i="7"/>
  <c r="T132" i="7" s="1"/>
  <c r="P132" i="7"/>
  <c r="Y132" i="7" s="1"/>
  <c r="N132" i="7"/>
  <c r="AM131" i="7"/>
  <c r="AL131" i="7"/>
  <c r="AK131" i="7"/>
  <c r="AG131" i="7"/>
  <c r="AF131" i="7"/>
  <c r="AE131" i="7"/>
  <c r="AD131" i="7"/>
  <c r="AC131" i="7"/>
  <c r="AB131" i="7"/>
  <c r="AA131" i="7"/>
  <c r="Y131" i="7"/>
  <c r="T131" i="7"/>
  <c r="S131" i="7"/>
  <c r="AJ131" i="7" s="1"/>
  <c r="R131" i="7"/>
  <c r="Q131" i="7"/>
  <c r="Z131" i="7" s="1"/>
  <c r="P131" i="7"/>
  <c r="N131" i="7"/>
  <c r="AM130" i="7"/>
  <c r="AL130" i="7"/>
  <c r="AK130" i="7"/>
  <c r="AG130" i="7"/>
  <c r="AF130" i="7"/>
  <c r="AE130" i="7"/>
  <c r="AD130" i="7"/>
  <c r="AB130" i="7"/>
  <c r="AC130" i="7" s="1"/>
  <c r="AA130" i="7"/>
  <c r="Z130" i="7"/>
  <c r="R130" i="7"/>
  <c r="Q130" i="7"/>
  <c r="T130" i="7" s="1"/>
  <c r="P130" i="7"/>
  <c r="Y130" i="7" s="1"/>
  <c r="N130" i="7"/>
  <c r="AM129" i="7"/>
  <c r="AL129" i="7"/>
  <c r="AK129" i="7"/>
  <c r="AG129" i="7"/>
  <c r="AF129" i="7"/>
  <c r="AE129" i="7"/>
  <c r="AD129" i="7"/>
  <c r="AC129" i="7"/>
  <c r="AB129" i="7"/>
  <c r="AA129" i="7"/>
  <c r="Y129" i="7"/>
  <c r="T129" i="7"/>
  <c r="S129" i="7"/>
  <c r="AJ129" i="7" s="1"/>
  <c r="R129" i="7"/>
  <c r="Q129" i="7"/>
  <c r="Z129" i="7" s="1"/>
  <c r="P129" i="7"/>
  <c r="N129" i="7"/>
  <c r="AM128" i="7"/>
  <c r="AL128" i="7"/>
  <c r="AK128" i="7"/>
  <c r="AG128" i="7"/>
  <c r="AF128" i="7"/>
  <c r="AE128" i="7"/>
  <c r="AD128" i="7"/>
  <c r="AB128" i="7"/>
  <c r="AC128" i="7" s="1"/>
  <c r="AA128" i="7"/>
  <c r="Z128" i="7"/>
  <c r="R128" i="7"/>
  <c r="Q128" i="7"/>
  <c r="T128" i="7" s="1"/>
  <c r="P128" i="7"/>
  <c r="Y128" i="7" s="1"/>
  <c r="N128" i="7"/>
  <c r="AM127" i="7"/>
  <c r="AL127" i="7"/>
  <c r="AK127" i="7"/>
  <c r="AG127" i="7"/>
  <c r="AF127" i="7"/>
  <c r="AE127" i="7"/>
  <c r="AD127" i="7"/>
  <c r="AC127" i="7"/>
  <c r="AB127" i="7"/>
  <c r="AA127" i="7"/>
  <c r="Y127" i="7"/>
  <c r="T127" i="7"/>
  <c r="S127" i="7"/>
  <c r="AJ127" i="7" s="1"/>
  <c r="R127" i="7"/>
  <c r="Q127" i="7"/>
  <c r="Z127" i="7" s="1"/>
  <c r="P127" i="7"/>
  <c r="N127" i="7"/>
  <c r="AM126" i="7"/>
  <c r="AL126" i="7"/>
  <c r="AK126" i="7"/>
  <c r="AG126" i="7"/>
  <c r="AF126" i="7"/>
  <c r="AE126" i="7"/>
  <c r="AD126" i="7"/>
  <c r="AB126" i="7"/>
  <c r="AC126" i="7" s="1"/>
  <c r="AA126" i="7"/>
  <c r="Z126" i="7"/>
  <c r="R126" i="7"/>
  <c r="Q126" i="7"/>
  <c r="T126" i="7" s="1"/>
  <c r="P126" i="7"/>
  <c r="Y126" i="7" s="1"/>
  <c r="N126" i="7"/>
  <c r="AM125" i="7"/>
  <c r="AL125" i="7"/>
  <c r="AK125" i="7"/>
  <c r="AG125" i="7"/>
  <c r="AF125" i="7"/>
  <c r="AE125" i="7"/>
  <c r="AD125" i="7"/>
  <c r="AC125" i="7"/>
  <c r="AB125" i="7"/>
  <c r="AA125" i="7"/>
  <c r="Y125" i="7"/>
  <c r="T125" i="7"/>
  <c r="S125" i="7"/>
  <c r="AJ125" i="7" s="1"/>
  <c r="R125" i="7"/>
  <c r="Q125" i="7"/>
  <c r="Z125" i="7" s="1"/>
  <c r="P125" i="7"/>
  <c r="N125" i="7"/>
  <c r="AM124" i="7"/>
  <c r="AL124" i="7"/>
  <c r="AK124" i="7"/>
  <c r="AG124" i="7"/>
  <c r="AF124" i="7"/>
  <c r="AE124" i="7"/>
  <c r="AD124" i="7"/>
  <c r="AB124" i="7"/>
  <c r="AC124" i="7" s="1"/>
  <c r="AA124" i="7"/>
  <c r="Z124" i="7"/>
  <c r="R124" i="7"/>
  <c r="Q124" i="7"/>
  <c r="T124" i="7" s="1"/>
  <c r="P124" i="7"/>
  <c r="Y124" i="7" s="1"/>
  <c r="N124" i="7"/>
  <c r="AM123" i="7"/>
  <c r="AL123" i="7"/>
  <c r="AK123" i="7"/>
  <c r="AG123" i="7"/>
  <c r="AF123" i="7"/>
  <c r="AE123" i="7"/>
  <c r="AD123" i="7"/>
  <c r="AC123" i="7"/>
  <c r="AB123" i="7"/>
  <c r="AA123" i="7"/>
  <c r="Y123" i="7"/>
  <c r="T123" i="7"/>
  <c r="S123" i="7"/>
  <c r="AJ123" i="7" s="1"/>
  <c r="R123" i="7"/>
  <c r="Q123" i="7"/>
  <c r="Z123" i="7" s="1"/>
  <c r="P123" i="7"/>
  <c r="N123" i="7"/>
  <c r="AM122" i="7"/>
  <c r="AL122" i="7"/>
  <c r="AK122" i="7"/>
  <c r="AG122" i="7"/>
  <c r="AF122" i="7"/>
  <c r="AE122" i="7"/>
  <c r="AD122" i="7"/>
  <c r="AB122" i="7"/>
  <c r="AC122" i="7" s="1"/>
  <c r="AA122" i="7"/>
  <c r="Z122" i="7"/>
  <c r="R122" i="7"/>
  <c r="Q122" i="7"/>
  <c r="T122" i="7" s="1"/>
  <c r="P122" i="7"/>
  <c r="Y122" i="7" s="1"/>
  <c r="N122" i="7"/>
  <c r="AM121" i="7"/>
  <c r="AL121" i="7"/>
  <c r="AK121" i="7"/>
  <c r="AG121" i="7"/>
  <c r="AF121" i="7"/>
  <c r="AE121" i="7"/>
  <c r="AD121" i="7"/>
  <c r="AC121" i="7"/>
  <c r="AB121" i="7"/>
  <c r="AA121" i="7"/>
  <c r="Y121" i="7"/>
  <c r="T121" i="7"/>
  <c r="S121" i="7"/>
  <c r="AJ121" i="7" s="1"/>
  <c r="R121" i="7"/>
  <c r="Q121" i="7"/>
  <c r="Z121" i="7" s="1"/>
  <c r="P121" i="7"/>
  <c r="N121" i="7"/>
  <c r="AM120" i="7"/>
  <c r="AL120" i="7"/>
  <c r="AK120" i="7"/>
  <c r="AG120" i="7"/>
  <c r="AF120" i="7"/>
  <c r="AE120" i="7"/>
  <c r="AD120" i="7"/>
  <c r="AB120" i="7"/>
  <c r="AC120" i="7" s="1"/>
  <c r="AA120" i="7"/>
  <c r="Z120" i="7"/>
  <c r="R120" i="7"/>
  <c r="Q120" i="7"/>
  <c r="T120" i="7" s="1"/>
  <c r="P120" i="7"/>
  <c r="Y120" i="7" s="1"/>
  <c r="N120" i="7"/>
  <c r="AM119" i="7"/>
  <c r="AL119" i="7"/>
  <c r="AK119" i="7"/>
  <c r="AG119" i="7"/>
  <c r="AF119" i="7"/>
  <c r="AE119" i="7"/>
  <c r="AD119" i="7"/>
  <c r="AC119" i="7"/>
  <c r="AB119" i="7"/>
  <c r="AA119" i="7"/>
  <c r="Y119" i="7"/>
  <c r="T119" i="7"/>
  <c r="S119" i="7"/>
  <c r="AJ119" i="7" s="1"/>
  <c r="R119" i="7"/>
  <c r="Q119" i="7"/>
  <c r="Z119" i="7" s="1"/>
  <c r="P119" i="7"/>
  <c r="N119" i="7"/>
  <c r="AM118" i="7"/>
  <c r="AL118" i="7"/>
  <c r="AK118" i="7"/>
  <c r="AG118" i="7"/>
  <c r="AF118" i="7"/>
  <c r="AE118" i="7"/>
  <c r="AD118" i="7"/>
  <c r="AB118" i="7"/>
  <c r="AC118" i="7" s="1"/>
  <c r="AA118" i="7"/>
  <c r="Z118" i="7"/>
  <c r="R118" i="7"/>
  <c r="Q118" i="7"/>
  <c r="T118" i="7" s="1"/>
  <c r="P118" i="7"/>
  <c r="Y118" i="7" s="1"/>
  <c r="N118" i="7"/>
  <c r="AM117" i="7"/>
  <c r="AL117" i="7"/>
  <c r="AK117" i="7"/>
  <c r="AG117" i="7"/>
  <c r="AF117" i="7"/>
  <c r="AE117" i="7"/>
  <c r="AD117" i="7"/>
  <c r="AC117" i="7"/>
  <c r="AB117" i="7"/>
  <c r="AA117" i="7"/>
  <c r="Y117" i="7"/>
  <c r="T117" i="7"/>
  <c r="S117" i="7"/>
  <c r="AJ117" i="7" s="1"/>
  <c r="R117" i="7"/>
  <c r="Q117" i="7"/>
  <c r="Z117" i="7" s="1"/>
  <c r="P117" i="7"/>
  <c r="N117" i="7"/>
  <c r="AM116" i="7"/>
  <c r="AL116" i="7"/>
  <c r="AK116" i="7"/>
  <c r="AG116" i="7"/>
  <c r="AF116" i="7"/>
  <c r="AE116" i="7"/>
  <c r="AD116" i="7"/>
  <c r="AB116" i="7"/>
  <c r="AC116" i="7" s="1"/>
  <c r="AA116" i="7"/>
  <c r="Z116" i="7"/>
  <c r="R116" i="7"/>
  <c r="Q116" i="7"/>
  <c r="T116" i="7" s="1"/>
  <c r="P116" i="7"/>
  <c r="Y116" i="7" s="1"/>
  <c r="N116" i="7"/>
  <c r="AM115" i="7"/>
  <c r="AL115" i="7"/>
  <c r="AK115" i="7"/>
  <c r="AG115" i="7"/>
  <c r="AF115" i="7"/>
  <c r="AE115" i="7"/>
  <c r="AD115" i="7"/>
  <c r="AC115" i="7"/>
  <c r="AB115" i="7"/>
  <c r="AA115" i="7"/>
  <c r="Y115" i="7"/>
  <c r="T115" i="7"/>
  <c r="S115" i="7"/>
  <c r="AJ115" i="7" s="1"/>
  <c r="R115" i="7"/>
  <c r="Q115" i="7"/>
  <c r="Z115" i="7" s="1"/>
  <c r="P115" i="7"/>
  <c r="N115" i="7"/>
  <c r="AM114" i="7"/>
  <c r="AL114" i="7"/>
  <c r="AK114" i="7"/>
  <c r="AG114" i="7"/>
  <c r="AF114" i="7"/>
  <c r="AE114" i="7"/>
  <c r="AD114" i="7"/>
  <c r="AB114" i="7"/>
  <c r="AC114" i="7" s="1"/>
  <c r="AA114" i="7"/>
  <c r="Z114" i="7"/>
  <c r="R114" i="7"/>
  <c r="Q114" i="7"/>
  <c r="T114" i="7" s="1"/>
  <c r="P114" i="7"/>
  <c r="Y114" i="7" s="1"/>
  <c r="N114" i="7"/>
  <c r="AM113" i="7"/>
  <c r="AL113" i="7"/>
  <c r="AK113" i="7"/>
  <c r="AG113" i="7"/>
  <c r="AF113" i="7"/>
  <c r="AE113" i="7"/>
  <c r="AD113" i="7"/>
  <c r="AC113" i="7"/>
  <c r="AB113" i="7"/>
  <c r="AA113" i="7"/>
  <c r="Y113" i="7"/>
  <c r="T113" i="7"/>
  <c r="S113" i="7"/>
  <c r="AJ113" i="7" s="1"/>
  <c r="R113" i="7"/>
  <c r="Q113" i="7"/>
  <c r="Z113" i="7" s="1"/>
  <c r="P113" i="7"/>
  <c r="N113" i="7"/>
  <c r="AM112" i="7"/>
  <c r="AL112" i="7"/>
  <c r="AK112" i="7"/>
  <c r="AG112" i="7"/>
  <c r="AF112" i="7"/>
  <c r="AE112" i="7"/>
  <c r="AD112" i="7"/>
  <c r="AB112" i="7"/>
  <c r="AC112" i="7" s="1"/>
  <c r="AA112" i="7"/>
  <c r="Z112" i="7"/>
  <c r="R112" i="7"/>
  <c r="Q112" i="7"/>
  <c r="T112" i="7" s="1"/>
  <c r="P112" i="7"/>
  <c r="Y112" i="7" s="1"/>
  <c r="N112" i="7"/>
  <c r="AM111" i="7"/>
  <c r="AL111" i="7"/>
  <c r="AK111" i="7"/>
  <c r="AG111" i="7"/>
  <c r="AF111" i="7"/>
  <c r="AE111" i="7"/>
  <c r="AD111" i="7"/>
  <c r="AC111" i="7"/>
  <c r="AB111" i="7"/>
  <c r="AA111" i="7"/>
  <c r="Y111" i="7"/>
  <c r="T111" i="7"/>
  <c r="S111" i="7"/>
  <c r="AJ111" i="7" s="1"/>
  <c r="R111" i="7"/>
  <c r="Q111" i="7"/>
  <c r="Z111" i="7" s="1"/>
  <c r="P111" i="7"/>
  <c r="N111" i="7"/>
  <c r="AM110" i="7"/>
  <c r="AL110" i="7"/>
  <c r="AK110" i="7"/>
  <c r="AG110" i="7"/>
  <c r="AF110" i="7"/>
  <c r="AE110" i="7"/>
  <c r="AD110" i="7"/>
  <c r="AB110" i="7"/>
  <c r="AC110" i="7" s="1"/>
  <c r="AA110" i="7"/>
  <c r="Z110" i="7"/>
  <c r="R110" i="7"/>
  <c r="Q110" i="7"/>
  <c r="T110" i="7" s="1"/>
  <c r="P110" i="7"/>
  <c r="Y110" i="7" s="1"/>
  <c r="N110" i="7"/>
  <c r="AM109" i="7"/>
  <c r="AL109" i="7"/>
  <c r="AK109" i="7"/>
  <c r="AG109" i="7"/>
  <c r="AF109" i="7"/>
  <c r="AE109" i="7"/>
  <c r="AD109" i="7"/>
  <c r="AC109" i="7"/>
  <c r="AB109" i="7"/>
  <c r="AA109" i="7"/>
  <c r="Y109" i="7"/>
  <c r="T109" i="7"/>
  <c r="S109" i="7"/>
  <c r="AJ109" i="7" s="1"/>
  <c r="R109" i="7"/>
  <c r="Q109" i="7"/>
  <c r="Z109" i="7" s="1"/>
  <c r="P109" i="7"/>
  <c r="N109" i="7"/>
  <c r="AM108" i="7"/>
  <c r="AL108" i="7"/>
  <c r="AK108" i="7"/>
  <c r="AG108" i="7"/>
  <c r="AF108" i="7"/>
  <c r="AE108" i="7"/>
  <c r="AD108" i="7"/>
  <c r="AB108" i="7"/>
  <c r="AC108" i="7" s="1"/>
  <c r="AA108" i="7"/>
  <c r="Z108" i="7"/>
  <c r="R108" i="7"/>
  <c r="Q108" i="7"/>
  <c r="T108" i="7" s="1"/>
  <c r="P108" i="7"/>
  <c r="Y108" i="7" s="1"/>
  <c r="N108" i="7"/>
  <c r="AM107" i="7"/>
  <c r="AL107" i="7"/>
  <c r="AK107" i="7"/>
  <c r="AG107" i="7"/>
  <c r="AF107" i="7"/>
  <c r="AE107" i="7"/>
  <c r="AD107" i="7"/>
  <c r="AC107" i="7"/>
  <c r="AB107" i="7"/>
  <c r="AA107" i="7"/>
  <c r="Y107" i="7"/>
  <c r="T107" i="7"/>
  <c r="S107" i="7"/>
  <c r="AJ107" i="7" s="1"/>
  <c r="R107" i="7"/>
  <c r="Q107" i="7"/>
  <c r="Z107" i="7" s="1"/>
  <c r="P107" i="7"/>
  <c r="N107" i="7"/>
  <c r="AM106" i="7"/>
  <c r="AL106" i="7"/>
  <c r="AK106" i="7"/>
  <c r="AG106" i="7"/>
  <c r="AF106" i="7"/>
  <c r="AE106" i="7"/>
  <c r="AD106" i="7"/>
  <c r="AB106" i="7"/>
  <c r="AC106" i="7" s="1"/>
  <c r="AA106" i="7"/>
  <c r="Z106" i="7"/>
  <c r="R106" i="7"/>
  <c r="Q106" i="7"/>
  <c r="T106" i="7" s="1"/>
  <c r="P106" i="7"/>
  <c r="Y106" i="7" s="1"/>
  <c r="N106" i="7"/>
  <c r="AM105" i="7"/>
  <c r="AL105" i="7"/>
  <c r="AK105" i="7"/>
  <c r="AG105" i="7"/>
  <c r="AF105" i="7"/>
  <c r="AE105" i="7"/>
  <c r="AD105" i="7"/>
  <c r="AC105" i="7"/>
  <c r="AB105" i="7"/>
  <c r="AA105" i="7"/>
  <c r="Y105" i="7"/>
  <c r="T105" i="7"/>
  <c r="S105" i="7"/>
  <c r="AJ105" i="7" s="1"/>
  <c r="R105" i="7"/>
  <c r="Q105" i="7"/>
  <c r="Z105" i="7" s="1"/>
  <c r="P105" i="7"/>
  <c r="N105" i="7"/>
  <c r="AM104" i="7"/>
  <c r="AL104" i="7"/>
  <c r="AK104" i="7"/>
  <c r="AG104" i="7"/>
  <c r="AF104" i="7"/>
  <c r="AE104" i="7"/>
  <c r="AD104" i="7"/>
  <c r="AB104" i="7"/>
  <c r="AC104" i="7" s="1"/>
  <c r="AA104" i="7"/>
  <c r="Z104" i="7"/>
  <c r="R104" i="7"/>
  <c r="Q104" i="7"/>
  <c r="T104" i="7" s="1"/>
  <c r="P104" i="7"/>
  <c r="Y104" i="7" s="1"/>
  <c r="N104" i="7"/>
  <c r="AM103" i="7"/>
  <c r="AL103" i="7"/>
  <c r="AK103" i="7"/>
  <c r="AG103" i="7"/>
  <c r="AF103" i="7"/>
  <c r="AE103" i="7"/>
  <c r="AD103" i="7"/>
  <c r="AC103" i="7"/>
  <c r="AB103" i="7"/>
  <c r="AA103" i="7"/>
  <c r="Y103" i="7"/>
  <c r="T103" i="7"/>
  <c r="S103" i="7"/>
  <c r="AJ103" i="7" s="1"/>
  <c r="R103" i="7"/>
  <c r="Q103" i="7"/>
  <c r="Z103" i="7" s="1"/>
  <c r="P103" i="7"/>
  <c r="N103" i="7"/>
  <c r="AM102" i="7"/>
  <c r="AL102" i="7"/>
  <c r="AK102" i="7"/>
  <c r="AG102" i="7"/>
  <c r="AF102" i="7"/>
  <c r="AE102" i="7"/>
  <c r="AD102" i="7"/>
  <c r="AB102" i="7"/>
  <c r="AC102" i="7" s="1"/>
  <c r="AA102" i="7"/>
  <c r="Z102" i="7"/>
  <c r="R102" i="7"/>
  <c r="Q102" i="7"/>
  <c r="T102" i="7" s="1"/>
  <c r="P102" i="7"/>
  <c r="Y102" i="7" s="1"/>
  <c r="N102" i="7"/>
  <c r="AM101" i="7"/>
  <c r="AL101" i="7"/>
  <c r="AK101" i="7"/>
  <c r="AG101" i="7"/>
  <c r="AF101" i="7"/>
  <c r="AE101" i="7"/>
  <c r="AD101" i="7"/>
  <c r="AC101" i="7"/>
  <c r="AB101" i="7"/>
  <c r="AA101" i="7"/>
  <c r="Y101" i="7"/>
  <c r="T101" i="7"/>
  <c r="S101" i="7"/>
  <c r="AJ101" i="7" s="1"/>
  <c r="R101" i="7"/>
  <c r="Q101" i="7"/>
  <c r="Z101" i="7" s="1"/>
  <c r="P101" i="7"/>
  <c r="N101" i="7"/>
  <c r="AM100" i="7"/>
  <c r="AL100" i="7"/>
  <c r="AK100" i="7"/>
  <c r="AG100" i="7"/>
  <c r="AF100" i="7"/>
  <c r="AE100" i="7"/>
  <c r="AD100" i="7"/>
  <c r="AB100" i="7"/>
  <c r="AC100" i="7" s="1"/>
  <c r="AA100" i="7"/>
  <c r="Z100" i="7"/>
  <c r="R100" i="7"/>
  <c r="Q100" i="7"/>
  <c r="T100" i="7" s="1"/>
  <c r="P100" i="7"/>
  <c r="Y100" i="7" s="1"/>
  <c r="N100" i="7"/>
  <c r="AM99" i="7"/>
  <c r="AL99" i="7"/>
  <c r="AK99" i="7"/>
  <c r="AG99" i="7"/>
  <c r="AF99" i="7"/>
  <c r="AE99" i="7"/>
  <c r="AD99" i="7"/>
  <c r="AC99" i="7"/>
  <c r="AB99" i="7"/>
  <c r="AA99" i="7"/>
  <c r="Y99" i="7"/>
  <c r="T99" i="7"/>
  <c r="S99" i="7"/>
  <c r="AJ99" i="7" s="1"/>
  <c r="R99" i="7"/>
  <c r="Q99" i="7"/>
  <c r="Z99" i="7" s="1"/>
  <c r="P99" i="7"/>
  <c r="N99" i="7"/>
  <c r="AM98" i="7"/>
  <c r="AL98" i="7"/>
  <c r="AK98" i="7"/>
  <c r="AG98" i="7"/>
  <c r="AF98" i="7"/>
  <c r="AE98" i="7"/>
  <c r="AD98" i="7"/>
  <c r="AB98" i="7"/>
  <c r="AC98" i="7" s="1"/>
  <c r="AA98" i="7"/>
  <c r="Z98" i="7"/>
  <c r="R98" i="7"/>
  <c r="Q98" i="7"/>
  <c r="T98" i="7" s="1"/>
  <c r="P98" i="7"/>
  <c r="Y98" i="7" s="1"/>
  <c r="N98" i="7"/>
  <c r="AM97" i="7"/>
  <c r="AL97" i="7"/>
  <c r="AK97" i="7"/>
  <c r="AG97" i="7"/>
  <c r="AF97" i="7"/>
  <c r="AE97" i="7"/>
  <c r="AD97" i="7"/>
  <c r="AC97" i="7"/>
  <c r="AB97" i="7"/>
  <c r="AA97" i="7"/>
  <c r="Y97" i="7"/>
  <c r="T97" i="7"/>
  <c r="AJ97" i="7" s="1"/>
  <c r="S97" i="7"/>
  <c r="R97" i="7"/>
  <c r="Q97" i="7"/>
  <c r="Z97" i="7" s="1"/>
  <c r="P97" i="7"/>
  <c r="N97" i="7"/>
  <c r="AM96" i="7"/>
  <c r="AL96" i="7"/>
  <c r="AK96" i="7"/>
  <c r="AG96" i="7"/>
  <c r="AF96" i="7"/>
  <c r="AE96" i="7"/>
  <c r="AD96" i="7"/>
  <c r="AB96" i="7"/>
  <c r="AC96" i="7" s="1"/>
  <c r="AA96" i="7"/>
  <c r="Z96" i="7"/>
  <c r="R96" i="7"/>
  <c r="Q96" i="7"/>
  <c r="T96" i="7" s="1"/>
  <c r="P96" i="7"/>
  <c r="Y96" i="7" s="1"/>
  <c r="N96" i="7"/>
  <c r="AM95" i="7"/>
  <c r="AL95" i="7"/>
  <c r="AK95" i="7"/>
  <c r="AG95" i="7"/>
  <c r="AF95" i="7"/>
  <c r="AE95" i="7"/>
  <c r="AD95" i="7"/>
  <c r="AC95" i="7"/>
  <c r="AB95" i="7"/>
  <c r="AA95" i="7"/>
  <c r="Y95" i="7"/>
  <c r="T95" i="7"/>
  <c r="AJ95" i="7" s="1"/>
  <c r="S95" i="7"/>
  <c r="R95" i="7"/>
  <c r="Q95" i="7"/>
  <c r="Z95" i="7" s="1"/>
  <c r="P95" i="7"/>
  <c r="N95" i="7"/>
  <c r="AM94" i="7"/>
  <c r="AL94" i="7"/>
  <c r="AK94" i="7"/>
  <c r="AG94" i="7"/>
  <c r="AF94" i="7"/>
  <c r="AE94" i="7"/>
  <c r="AD94" i="7"/>
  <c r="AB94" i="7"/>
  <c r="AC94" i="7" s="1"/>
  <c r="AA94" i="7"/>
  <c r="Z94" i="7"/>
  <c r="R94" i="7"/>
  <c r="Q94" i="7"/>
  <c r="T94" i="7" s="1"/>
  <c r="P94" i="7"/>
  <c r="Y94" i="7" s="1"/>
  <c r="N94" i="7"/>
  <c r="AM93" i="7"/>
  <c r="AL93" i="7"/>
  <c r="AK93" i="7"/>
  <c r="AG93" i="7"/>
  <c r="AF93" i="7"/>
  <c r="AE93" i="7"/>
  <c r="AD93" i="7"/>
  <c r="AC93" i="7"/>
  <c r="AB93" i="7"/>
  <c r="AA93" i="7"/>
  <c r="Y93" i="7"/>
  <c r="T93" i="7"/>
  <c r="AJ93" i="7" s="1"/>
  <c r="S93" i="7"/>
  <c r="R93" i="7"/>
  <c r="Q93" i="7"/>
  <c r="Z93" i="7" s="1"/>
  <c r="P93" i="7"/>
  <c r="N93" i="7"/>
  <c r="AM92" i="7"/>
  <c r="AL92" i="7"/>
  <c r="AK92" i="7"/>
  <c r="AG92" i="7"/>
  <c r="AF92" i="7"/>
  <c r="AE92" i="7"/>
  <c r="AD92" i="7"/>
  <c r="AB92" i="7"/>
  <c r="AC92" i="7" s="1"/>
  <c r="AA92" i="7"/>
  <c r="Z92" i="7"/>
  <c r="R92" i="7"/>
  <c r="Q92" i="7"/>
  <c r="T92" i="7" s="1"/>
  <c r="P92" i="7"/>
  <c r="Y92" i="7" s="1"/>
  <c r="N92" i="7"/>
  <c r="AM91" i="7"/>
  <c r="AL91" i="7"/>
  <c r="AK91" i="7"/>
  <c r="AG91" i="7"/>
  <c r="AF91" i="7"/>
  <c r="AE91" i="7"/>
  <c r="AD91" i="7"/>
  <c r="AC91" i="7"/>
  <c r="AB91" i="7"/>
  <c r="AA91" i="7"/>
  <c r="Y91" i="7"/>
  <c r="T91" i="7"/>
  <c r="AJ91" i="7" s="1"/>
  <c r="S91" i="7"/>
  <c r="R91" i="7"/>
  <c r="Q91" i="7"/>
  <c r="Z91" i="7" s="1"/>
  <c r="P91" i="7"/>
  <c r="N91" i="7"/>
  <c r="AM90" i="7"/>
  <c r="AL90" i="7"/>
  <c r="AK90" i="7"/>
  <c r="AG90" i="7"/>
  <c r="AF90" i="7"/>
  <c r="AE90" i="7"/>
  <c r="AD90" i="7"/>
  <c r="AB90" i="7"/>
  <c r="AC90" i="7" s="1"/>
  <c r="AA90" i="7"/>
  <c r="Z90" i="7"/>
  <c r="R90" i="7"/>
  <c r="Q90" i="7"/>
  <c r="T90" i="7" s="1"/>
  <c r="P90" i="7"/>
  <c r="Y90" i="7" s="1"/>
  <c r="N90" i="7"/>
  <c r="AM89" i="7"/>
  <c r="AL89" i="7"/>
  <c r="AK89" i="7"/>
  <c r="AG89" i="7"/>
  <c r="AF89" i="7"/>
  <c r="AE89" i="7"/>
  <c r="AD89" i="7"/>
  <c r="AC89" i="7"/>
  <c r="AB89" i="7"/>
  <c r="AA89" i="7"/>
  <c r="Y89" i="7"/>
  <c r="T89" i="7"/>
  <c r="AJ89" i="7" s="1"/>
  <c r="S89" i="7"/>
  <c r="R89" i="7"/>
  <c r="Q89" i="7"/>
  <c r="Z89" i="7" s="1"/>
  <c r="P89" i="7"/>
  <c r="N89" i="7"/>
  <c r="AM88" i="7"/>
  <c r="AL88" i="7"/>
  <c r="AK88" i="7"/>
  <c r="AG88" i="7"/>
  <c r="AF88" i="7"/>
  <c r="AE88" i="7"/>
  <c r="AD88" i="7"/>
  <c r="AB88" i="7"/>
  <c r="AC88" i="7" s="1"/>
  <c r="AA88" i="7"/>
  <c r="Z88" i="7"/>
  <c r="R88" i="7"/>
  <c r="Q88" i="7"/>
  <c r="T88" i="7" s="1"/>
  <c r="P88" i="7"/>
  <c r="Y88" i="7" s="1"/>
  <c r="N88" i="7"/>
  <c r="AM87" i="7"/>
  <c r="AL87" i="7"/>
  <c r="AK87" i="7"/>
  <c r="AG87" i="7"/>
  <c r="AF87" i="7"/>
  <c r="AE87" i="7"/>
  <c r="AD87" i="7"/>
  <c r="AC87" i="7"/>
  <c r="AB87" i="7"/>
  <c r="AA87" i="7"/>
  <c r="Y87" i="7"/>
  <c r="T87" i="7"/>
  <c r="AJ87" i="7" s="1"/>
  <c r="S87" i="7"/>
  <c r="R87" i="7"/>
  <c r="Q87" i="7"/>
  <c r="Z87" i="7" s="1"/>
  <c r="P87" i="7"/>
  <c r="N87" i="7"/>
  <c r="AM86" i="7"/>
  <c r="AL86" i="7"/>
  <c r="AK86" i="7"/>
  <c r="AG86" i="7"/>
  <c r="AF86" i="7"/>
  <c r="AE86" i="7"/>
  <c r="AD86" i="7"/>
  <c r="AB86" i="7"/>
  <c r="AC86" i="7" s="1"/>
  <c r="AA86" i="7"/>
  <c r="Z86" i="7"/>
  <c r="R86" i="7"/>
  <c r="Q86" i="7"/>
  <c r="T86" i="7" s="1"/>
  <c r="P86" i="7"/>
  <c r="Y86" i="7" s="1"/>
  <c r="N86" i="7"/>
  <c r="AM85" i="7"/>
  <c r="AL85" i="7"/>
  <c r="AK85" i="7"/>
  <c r="AG85" i="7"/>
  <c r="AF85" i="7"/>
  <c r="AE85" i="7"/>
  <c r="AD85" i="7"/>
  <c r="AC85" i="7"/>
  <c r="AB85" i="7"/>
  <c r="AA85" i="7"/>
  <c r="Y85" i="7"/>
  <c r="T85" i="7"/>
  <c r="AJ85" i="7" s="1"/>
  <c r="S85" i="7"/>
  <c r="R85" i="7"/>
  <c r="Q85" i="7"/>
  <c r="Z85" i="7" s="1"/>
  <c r="P85" i="7"/>
  <c r="N85" i="7"/>
  <c r="AM84" i="7"/>
  <c r="AL84" i="7"/>
  <c r="AK84" i="7"/>
  <c r="AG84" i="7"/>
  <c r="AF84" i="7"/>
  <c r="AE84" i="7"/>
  <c r="AD84" i="7"/>
  <c r="AB84" i="7"/>
  <c r="AC84" i="7" s="1"/>
  <c r="AA84" i="7"/>
  <c r="Z84" i="7"/>
  <c r="R84" i="7"/>
  <c r="Q84" i="7"/>
  <c r="T84" i="7" s="1"/>
  <c r="P84" i="7"/>
  <c r="Y84" i="7" s="1"/>
  <c r="N84" i="7"/>
  <c r="AM83" i="7"/>
  <c r="AL83" i="7"/>
  <c r="AK83" i="7"/>
  <c r="AG83" i="7"/>
  <c r="AF83" i="7"/>
  <c r="AE83" i="7"/>
  <c r="AD83" i="7"/>
  <c r="AC83" i="7"/>
  <c r="AB83" i="7"/>
  <c r="AA83" i="7"/>
  <c r="Y83" i="7"/>
  <c r="T83" i="7"/>
  <c r="AJ83" i="7" s="1"/>
  <c r="S83" i="7"/>
  <c r="R83" i="7"/>
  <c r="Q83" i="7"/>
  <c r="Z83" i="7" s="1"/>
  <c r="P83" i="7"/>
  <c r="N83" i="7"/>
  <c r="AM82" i="7"/>
  <c r="AL82" i="7"/>
  <c r="AK82" i="7"/>
  <c r="AG82" i="7"/>
  <c r="AF82" i="7"/>
  <c r="AE82" i="7"/>
  <c r="AD82" i="7"/>
  <c r="AB82" i="7"/>
  <c r="AC82" i="7" s="1"/>
  <c r="AA82" i="7"/>
  <c r="Z82" i="7"/>
  <c r="R82" i="7"/>
  <c r="Q82" i="7"/>
  <c r="T82" i="7" s="1"/>
  <c r="P82" i="7"/>
  <c r="Y82" i="7" s="1"/>
  <c r="N82" i="7"/>
  <c r="AM81" i="7"/>
  <c r="AL81" i="7"/>
  <c r="AK81" i="7"/>
  <c r="AG81" i="7"/>
  <c r="AF81" i="7"/>
  <c r="AE81" i="7"/>
  <c r="AD81" i="7"/>
  <c r="AC81" i="7"/>
  <c r="AB81" i="7"/>
  <c r="AA81" i="7"/>
  <c r="Y81" i="7"/>
  <c r="T81" i="7"/>
  <c r="AJ81" i="7" s="1"/>
  <c r="S81" i="7"/>
  <c r="R81" i="7"/>
  <c r="Q81" i="7"/>
  <c r="Z81" i="7" s="1"/>
  <c r="P81" i="7"/>
  <c r="N81" i="7"/>
  <c r="AM80" i="7"/>
  <c r="AL80" i="7"/>
  <c r="AK80" i="7"/>
  <c r="AG80" i="7"/>
  <c r="AF80" i="7"/>
  <c r="AE80" i="7"/>
  <c r="AD80" i="7"/>
  <c r="AB80" i="7"/>
  <c r="AC80" i="7" s="1"/>
  <c r="AA80" i="7"/>
  <c r="Z80" i="7"/>
  <c r="R80" i="7"/>
  <c r="Q80" i="7"/>
  <c r="T80" i="7" s="1"/>
  <c r="P80" i="7"/>
  <c r="Y80" i="7" s="1"/>
  <c r="N80" i="7"/>
  <c r="AM79" i="7"/>
  <c r="AL79" i="7"/>
  <c r="AK79" i="7"/>
  <c r="AG79" i="7"/>
  <c r="AF79" i="7"/>
  <c r="AE79" i="7"/>
  <c r="AD79" i="7"/>
  <c r="AC79" i="7"/>
  <c r="AB79" i="7"/>
  <c r="AA79" i="7"/>
  <c r="Y79" i="7"/>
  <c r="T79" i="7"/>
  <c r="AJ79" i="7" s="1"/>
  <c r="S79" i="7"/>
  <c r="R79" i="7"/>
  <c r="Q79" i="7"/>
  <c r="Z79" i="7" s="1"/>
  <c r="P79" i="7"/>
  <c r="N79" i="7"/>
  <c r="AM78" i="7"/>
  <c r="AL78" i="7"/>
  <c r="AK78" i="7"/>
  <c r="AG78" i="7"/>
  <c r="AF78" i="7"/>
  <c r="AE78" i="7"/>
  <c r="AD78" i="7"/>
  <c r="AB78" i="7"/>
  <c r="AC78" i="7" s="1"/>
  <c r="AA78" i="7"/>
  <c r="Z78" i="7"/>
  <c r="R78" i="7"/>
  <c r="Q78" i="7"/>
  <c r="T78" i="7" s="1"/>
  <c r="P78" i="7"/>
  <c r="Y78" i="7" s="1"/>
  <c r="N78" i="7"/>
  <c r="AM77" i="7"/>
  <c r="AL77" i="7"/>
  <c r="AK77" i="7"/>
  <c r="AG77" i="7"/>
  <c r="AF77" i="7"/>
  <c r="AE77" i="7"/>
  <c r="AD77" i="7"/>
  <c r="AC77" i="7"/>
  <c r="AB77" i="7"/>
  <c r="AA77" i="7"/>
  <c r="Y77" i="7"/>
  <c r="T77" i="7"/>
  <c r="S77" i="7"/>
  <c r="AJ77" i="7" s="1"/>
  <c r="R77" i="7"/>
  <c r="Q77" i="7"/>
  <c r="Z77" i="7" s="1"/>
  <c r="P77" i="7"/>
  <c r="N77" i="7"/>
  <c r="AM76" i="7"/>
  <c r="AL76" i="7"/>
  <c r="AK76" i="7"/>
  <c r="AG76" i="7"/>
  <c r="AF76" i="7"/>
  <c r="AE76" i="7"/>
  <c r="AD76" i="7"/>
  <c r="AB76" i="7"/>
  <c r="AC76" i="7" s="1"/>
  <c r="AA76" i="7"/>
  <c r="Z76" i="7"/>
  <c r="R76" i="7"/>
  <c r="Q76" i="7"/>
  <c r="T76" i="7" s="1"/>
  <c r="P76" i="7"/>
  <c r="Y76" i="7" s="1"/>
  <c r="N76" i="7"/>
  <c r="AM75" i="7"/>
  <c r="AL75" i="7"/>
  <c r="AK75" i="7"/>
  <c r="AG75" i="7"/>
  <c r="AF75" i="7"/>
  <c r="AE75" i="7"/>
  <c r="AD75" i="7"/>
  <c r="AC75" i="7"/>
  <c r="AB75" i="7"/>
  <c r="AA75" i="7"/>
  <c r="Y75" i="7"/>
  <c r="T75" i="7"/>
  <c r="S75" i="7"/>
  <c r="AJ75" i="7" s="1"/>
  <c r="R75" i="7"/>
  <c r="Q75" i="7"/>
  <c r="Z75" i="7" s="1"/>
  <c r="P75" i="7"/>
  <c r="N75" i="7"/>
  <c r="AM74" i="7"/>
  <c r="AL74" i="7"/>
  <c r="AK74" i="7"/>
  <c r="AG74" i="7"/>
  <c r="AF74" i="7"/>
  <c r="AE74" i="7"/>
  <c r="AD74" i="7"/>
  <c r="AB74" i="7"/>
  <c r="AC74" i="7" s="1"/>
  <c r="AA74" i="7"/>
  <c r="Z74" i="7"/>
  <c r="R74" i="7"/>
  <c r="Q74" i="7"/>
  <c r="T74" i="7" s="1"/>
  <c r="P74" i="7"/>
  <c r="Y74" i="7" s="1"/>
  <c r="N74" i="7"/>
  <c r="AM73" i="7"/>
  <c r="AL73" i="7"/>
  <c r="AK73" i="7"/>
  <c r="AG73" i="7"/>
  <c r="AF73" i="7"/>
  <c r="AE73" i="7"/>
  <c r="AD73" i="7"/>
  <c r="AC73" i="7"/>
  <c r="AB73" i="7"/>
  <c r="AA73" i="7"/>
  <c r="Y73" i="7"/>
  <c r="T73" i="7"/>
  <c r="S73" i="7"/>
  <c r="AJ73" i="7" s="1"/>
  <c r="R73" i="7"/>
  <c r="Q73" i="7"/>
  <c r="Z73" i="7" s="1"/>
  <c r="P73" i="7"/>
  <c r="N73" i="7"/>
  <c r="AM72" i="7"/>
  <c r="AL72" i="7"/>
  <c r="AK72" i="7"/>
  <c r="AG72" i="7"/>
  <c r="AF72" i="7"/>
  <c r="AE72" i="7"/>
  <c r="AD72" i="7"/>
  <c r="AB72" i="7"/>
  <c r="AC72" i="7" s="1"/>
  <c r="AA72" i="7"/>
  <c r="Z72" i="7"/>
  <c r="R72" i="7"/>
  <c r="Q72" i="7"/>
  <c r="T72" i="7" s="1"/>
  <c r="P72" i="7"/>
  <c r="Y72" i="7" s="1"/>
  <c r="N72" i="7"/>
  <c r="AM71" i="7"/>
  <c r="AL71" i="7"/>
  <c r="AK71" i="7"/>
  <c r="AG71" i="7"/>
  <c r="AF71" i="7"/>
  <c r="AE71" i="7"/>
  <c r="AD71" i="7"/>
  <c r="AC71" i="7"/>
  <c r="AB71" i="7"/>
  <c r="AA71" i="7"/>
  <c r="Y71" i="7"/>
  <c r="T71" i="7"/>
  <c r="S71" i="7"/>
  <c r="AJ71" i="7" s="1"/>
  <c r="R71" i="7"/>
  <c r="Q71" i="7"/>
  <c r="Z71" i="7" s="1"/>
  <c r="P71" i="7"/>
  <c r="N71" i="7"/>
  <c r="AM70" i="7"/>
  <c r="AL70" i="7"/>
  <c r="AK70" i="7"/>
  <c r="AG70" i="7"/>
  <c r="AF70" i="7"/>
  <c r="AE70" i="7"/>
  <c r="AD70" i="7"/>
  <c r="AB70" i="7"/>
  <c r="AC70" i="7" s="1"/>
  <c r="AA70" i="7"/>
  <c r="Z70" i="7"/>
  <c r="R70" i="7"/>
  <c r="Q70" i="7"/>
  <c r="T70" i="7" s="1"/>
  <c r="P70" i="7"/>
  <c r="Y70" i="7" s="1"/>
  <c r="N70" i="7"/>
  <c r="AM69" i="7"/>
  <c r="AL69" i="7"/>
  <c r="AK69" i="7"/>
  <c r="AG69" i="7"/>
  <c r="AF69" i="7"/>
  <c r="AE69" i="7"/>
  <c r="AD69" i="7"/>
  <c r="AC69" i="7"/>
  <c r="AB69" i="7"/>
  <c r="AA69" i="7"/>
  <c r="Y69" i="7"/>
  <c r="T69" i="7"/>
  <c r="S69" i="7"/>
  <c r="AJ69" i="7" s="1"/>
  <c r="R69" i="7"/>
  <c r="Q69" i="7"/>
  <c r="Z69" i="7" s="1"/>
  <c r="P69" i="7"/>
  <c r="N69" i="7"/>
  <c r="AM68" i="7"/>
  <c r="AL68" i="7"/>
  <c r="AK68" i="7"/>
  <c r="AG68" i="7"/>
  <c r="AF68" i="7"/>
  <c r="AE68" i="7"/>
  <c r="AD68" i="7"/>
  <c r="AB68" i="7"/>
  <c r="AC68" i="7" s="1"/>
  <c r="AA68" i="7"/>
  <c r="Z68" i="7"/>
  <c r="R68" i="7"/>
  <c r="Q68" i="7"/>
  <c r="T68" i="7" s="1"/>
  <c r="P68" i="7"/>
  <c r="Y68" i="7" s="1"/>
  <c r="N68" i="7"/>
  <c r="AM67" i="7"/>
  <c r="AL67" i="7"/>
  <c r="AK67" i="7"/>
  <c r="AG67" i="7"/>
  <c r="AF67" i="7"/>
  <c r="AE67" i="7"/>
  <c r="AD67" i="7"/>
  <c r="AC67" i="7"/>
  <c r="AB67" i="7"/>
  <c r="AA67" i="7"/>
  <c r="Y67" i="7"/>
  <c r="T67" i="7"/>
  <c r="S67" i="7"/>
  <c r="AJ67" i="7" s="1"/>
  <c r="R67" i="7"/>
  <c r="Q67" i="7"/>
  <c r="Z67" i="7" s="1"/>
  <c r="P67" i="7"/>
  <c r="N67" i="7"/>
  <c r="AM66" i="7"/>
  <c r="AL66" i="7"/>
  <c r="AK66" i="7"/>
  <c r="AG66" i="7"/>
  <c r="AF66" i="7"/>
  <c r="AE66" i="7"/>
  <c r="AD66" i="7"/>
  <c r="AB66" i="7"/>
  <c r="AC66" i="7" s="1"/>
  <c r="AA66" i="7"/>
  <c r="Z66" i="7"/>
  <c r="R66" i="7"/>
  <c r="Q66" i="7"/>
  <c r="T66" i="7" s="1"/>
  <c r="P66" i="7"/>
  <c r="Y66" i="7" s="1"/>
  <c r="N66" i="7"/>
  <c r="AM65" i="7"/>
  <c r="AL65" i="7"/>
  <c r="AK65" i="7"/>
  <c r="AG65" i="7"/>
  <c r="AF65" i="7"/>
  <c r="AE65" i="7"/>
  <c r="AD65" i="7"/>
  <c r="AC65" i="7"/>
  <c r="AB65" i="7"/>
  <c r="AA65" i="7"/>
  <c r="Y65" i="7"/>
  <c r="T65" i="7"/>
  <c r="S65" i="7"/>
  <c r="AJ65" i="7" s="1"/>
  <c r="R65" i="7"/>
  <c r="Q65" i="7"/>
  <c r="Z65" i="7" s="1"/>
  <c r="P65" i="7"/>
  <c r="N65" i="7"/>
  <c r="AM64" i="7"/>
  <c r="AL64" i="7"/>
  <c r="AK64" i="7"/>
  <c r="AG64" i="7"/>
  <c r="AF64" i="7"/>
  <c r="AE64" i="7"/>
  <c r="AD64" i="7"/>
  <c r="AB64" i="7"/>
  <c r="AC64" i="7" s="1"/>
  <c r="AA64" i="7"/>
  <c r="Z64" i="7"/>
  <c r="R64" i="7"/>
  <c r="Q64" i="7"/>
  <c r="T64" i="7" s="1"/>
  <c r="P64" i="7"/>
  <c r="Y64" i="7" s="1"/>
  <c r="N64" i="7"/>
  <c r="AM63" i="7"/>
  <c r="AL63" i="7"/>
  <c r="AK63" i="7"/>
  <c r="AG63" i="7"/>
  <c r="AF63" i="7"/>
  <c r="AE63" i="7"/>
  <c r="AD63" i="7"/>
  <c r="AC63" i="7"/>
  <c r="AB63" i="7"/>
  <c r="AA63" i="7"/>
  <c r="Y63" i="7"/>
  <c r="T63" i="7"/>
  <c r="S63" i="7"/>
  <c r="AJ63" i="7" s="1"/>
  <c r="R63" i="7"/>
  <c r="Q63" i="7"/>
  <c r="Z63" i="7" s="1"/>
  <c r="P63" i="7"/>
  <c r="N63" i="7"/>
  <c r="AM62" i="7"/>
  <c r="AL62" i="7"/>
  <c r="AK62" i="7"/>
  <c r="AG62" i="7"/>
  <c r="AF62" i="7"/>
  <c r="AE62" i="7"/>
  <c r="AD62" i="7"/>
  <c r="AB62" i="7"/>
  <c r="AC62" i="7" s="1"/>
  <c r="AA62" i="7"/>
  <c r="Z62" i="7"/>
  <c r="R62" i="7"/>
  <c r="Q62" i="7"/>
  <c r="T62" i="7" s="1"/>
  <c r="P62" i="7"/>
  <c r="Y62" i="7" s="1"/>
  <c r="N62" i="7"/>
  <c r="AM61" i="7"/>
  <c r="AL61" i="7"/>
  <c r="AK61" i="7"/>
  <c r="AG61" i="7"/>
  <c r="AF61" i="7"/>
  <c r="AE61" i="7"/>
  <c r="AD61" i="7"/>
  <c r="AC61" i="7"/>
  <c r="AB61" i="7"/>
  <c r="AA61" i="7"/>
  <c r="Y61" i="7"/>
  <c r="T61" i="7"/>
  <c r="S61" i="7"/>
  <c r="AJ61" i="7" s="1"/>
  <c r="R61" i="7"/>
  <c r="Q61" i="7"/>
  <c r="Z61" i="7" s="1"/>
  <c r="P61" i="7"/>
  <c r="N61" i="7"/>
  <c r="AM60" i="7"/>
  <c r="AL60" i="7"/>
  <c r="AK60" i="7"/>
  <c r="AG60" i="7"/>
  <c r="AF60" i="7"/>
  <c r="AE60" i="7"/>
  <c r="AD60" i="7"/>
  <c r="AB60" i="7"/>
  <c r="AC60" i="7" s="1"/>
  <c r="AA60" i="7"/>
  <c r="Z60" i="7"/>
  <c r="R60" i="7"/>
  <c r="Q60" i="7"/>
  <c r="T60" i="7" s="1"/>
  <c r="P60" i="7"/>
  <c r="Y60" i="7" s="1"/>
  <c r="N60" i="7"/>
  <c r="AM59" i="7"/>
  <c r="AL59" i="7"/>
  <c r="AK59" i="7"/>
  <c r="AG59" i="7"/>
  <c r="AF59" i="7"/>
  <c r="AE59" i="7"/>
  <c r="AD59" i="7"/>
  <c r="AC59" i="7"/>
  <c r="AB59" i="7"/>
  <c r="AA59" i="7"/>
  <c r="Y59" i="7"/>
  <c r="T59" i="7"/>
  <c r="S59" i="7"/>
  <c r="AJ59" i="7" s="1"/>
  <c r="R59" i="7"/>
  <c r="Q59" i="7"/>
  <c r="Z59" i="7" s="1"/>
  <c r="P59" i="7"/>
  <c r="N59" i="7"/>
  <c r="AM58" i="7"/>
  <c r="AL58" i="7"/>
  <c r="AK58" i="7"/>
  <c r="AG58" i="7"/>
  <c r="AF58" i="7"/>
  <c r="AE58" i="7"/>
  <c r="AD58" i="7"/>
  <c r="AB58" i="7"/>
  <c r="AC58" i="7" s="1"/>
  <c r="AA58" i="7"/>
  <c r="Z58" i="7"/>
  <c r="R58" i="7"/>
  <c r="Q58" i="7"/>
  <c r="T58" i="7" s="1"/>
  <c r="P58" i="7"/>
  <c r="Y58" i="7" s="1"/>
  <c r="N58" i="7"/>
  <c r="AM57" i="7"/>
  <c r="AL57" i="7"/>
  <c r="AK57" i="7"/>
  <c r="AG57" i="7"/>
  <c r="AF57" i="7"/>
  <c r="AE57" i="7"/>
  <c r="AD57" i="7"/>
  <c r="AC57" i="7"/>
  <c r="AB57" i="7"/>
  <c r="AA57" i="7"/>
  <c r="Y57" i="7"/>
  <c r="T57" i="7"/>
  <c r="S57" i="7"/>
  <c r="AJ57" i="7" s="1"/>
  <c r="R57" i="7"/>
  <c r="Q57" i="7"/>
  <c r="Z57" i="7" s="1"/>
  <c r="P57" i="7"/>
  <c r="N57" i="7"/>
  <c r="AM56" i="7"/>
  <c r="AL56" i="7"/>
  <c r="AK56" i="7"/>
  <c r="AG56" i="7"/>
  <c r="AF56" i="7"/>
  <c r="AE56" i="7"/>
  <c r="AD56" i="7"/>
  <c r="AB56" i="7"/>
  <c r="AC56" i="7" s="1"/>
  <c r="AA56" i="7"/>
  <c r="Z56" i="7"/>
  <c r="R56" i="7"/>
  <c r="Q56" i="7"/>
  <c r="T56" i="7" s="1"/>
  <c r="P56" i="7"/>
  <c r="Y56" i="7" s="1"/>
  <c r="N56" i="7"/>
  <c r="AM55" i="7"/>
  <c r="AL55" i="7"/>
  <c r="AK55" i="7"/>
  <c r="AG55" i="7"/>
  <c r="AF55" i="7"/>
  <c r="AE55" i="7"/>
  <c r="AD55" i="7"/>
  <c r="AC55" i="7"/>
  <c r="AB55" i="7"/>
  <c r="AA55" i="7"/>
  <c r="Y55" i="7"/>
  <c r="T55" i="7"/>
  <c r="S55" i="7"/>
  <c r="AJ55" i="7" s="1"/>
  <c r="R55" i="7"/>
  <c r="Q55" i="7"/>
  <c r="Z55" i="7" s="1"/>
  <c r="P55" i="7"/>
  <c r="N55" i="7"/>
  <c r="AM54" i="7"/>
  <c r="AL54" i="7"/>
  <c r="AK54" i="7"/>
  <c r="AG54" i="7"/>
  <c r="AF54" i="7"/>
  <c r="AE54" i="7"/>
  <c r="AD54" i="7"/>
  <c r="AB54" i="7"/>
  <c r="AC54" i="7" s="1"/>
  <c r="AA54" i="7"/>
  <c r="Z54" i="7"/>
  <c r="R54" i="7"/>
  <c r="Q54" i="7"/>
  <c r="T54" i="7" s="1"/>
  <c r="P54" i="7"/>
  <c r="Y54" i="7" s="1"/>
  <c r="N54" i="7"/>
  <c r="AM53" i="7"/>
  <c r="AL53" i="7"/>
  <c r="AK53" i="7"/>
  <c r="AG53" i="7"/>
  <c r="AF53" i="7"/>
  <c r="AE53" i="7"/>
  <c r="AD53" i="7"/>
  <c r="AC53" i="7"/>
  <c r="AB53" i="7"/>
  <c r="AA53" i="7"/>
  <c r="Y53" i="7"/>
  <c r="T53" i="7"/>
  <c r="S53" i="7"/>
  <c r="AJ53" i="7" s="1"/>
  <c r="R53" i="7"/>
  <c r="Q53" i="7"/>
  <c r="Z53" i="7" s="1"/>
  <c r="P53" i="7"/>
  <c r="N53" i="7"/>
  <c r="AM52" i="7"/>
  <c r="AL52" i="7"/>
  <c r="AK52" i="7"/>
  <c r="AG52" i="7"/>
  <c r="AF52" i="7"/>
  <c r="AE52" i="7"/>
  <c r="AD52" i="7"/>
  <c r="AB52" i="7"/>
  <c r="AC52" i="7" s="1"/>
  <c r="AA52" i="7"/>
  <c r="Z52" i="7"/>
  <c r="R52" i="7"/>
  <c r="Q52" i="7"/>
  <c r="T52" i="7" s="1"/>
  <c r="P52" i="7"/>
  <c r="Y52" i="7" s="1"/>
  <c r="N52" i="7"/>
  <c r="AM51" i="7"/>
  <c r="AL51" i="7"/>
  <c r="AK51" i="7"/>
  <c r="AG51" i="7"/>
  <c r="AF51" i="7"/>
  <c r="AE51" i="7"/>
  <c r="AD51" i="7"/>
  <c r="AC51" i="7"/>
  <c r="AB51" i="7"/>
  <c r="AA51" i="7"/>
  <c r="Y51" i="7"/>
  <c r="T51" i="7"/>
  <c r="S51" i="7"/>
  <c r="AJ51" i="7" s="1"/>
  <c r="R51" i="7"/>
  <c r="Q51" i="7"/>
  <c r="Z51" i="7" s="1"/>
  <c r="P51" i="7"/>
  <c r="N51" i="7"/>
  <c r="AM50" i="7"/>
  <c r="AL50" i="7"/>
  <c r="AK50" i="7"/>
  <c r="AG50" i="7"/>
  <c r="AF50" i="7"/>
  <c r="AE50" i="7"/>
  <c r="AD50" i="7"/>
  <c r="AB50" i="7"/>
  <c r="AC50" i="7" s="1"/>
  <c r="AA50" i="7"/>
  <c r="Z50" i="7"/>
  <c r="R50" i="7"/>
  <c r="Q50" i="7"/>
  <c r="T50" i="7" s="1"/>
  <c r="P50" i="7"/>
  <c r="Y50" i="7" s="1"/>
  <c r="N50" i="7"/>
  <c r="AM49" i="7"/>
  <c r="AL49" i="7"/>
  <c r="AK49" i="7"/>
  <c r="AG49" i="7"/>
  <c r="AF49" i="7"/>
  <c r="AE49" i="7"/>
  <c r="AD49" i="7"/>
  <c r="AC49" i="7"/>
  <c r="AB49" i="7"/>
  <c r="AA49" i="7"/>
  <c r="Y49" i="7"/>
  <c r="T49" i="7"/>
  <c r="S49" i="7"/>
  <c r="AJ49" i="7" s="1"/>
  <c r="R49" i="7"/>
  <c r="Q49" i="7"/>
  <c r="Z49" i="7" s="1"/>
  <c r="P49" i="7"/>
  <c r="N49" i="7"/>
  <c r="AM48" i="7"/>
  <c r="AL48" i="7"/>
  <c r="AK48" i="7"/>
  <c r="AG48" i="7"/>
  <c r="AF48" i="7"/>
  <c r="AE48" i="7"/>
  <c r="AD48" i="7"/>
  <c r="AB48" i="7"/>
  <c r="AC48" i="7" s="1"/>
  <c r="AA48" i="7"/>
  <c r="Z48" i="7"/>
  <c r="R48" i="7"/>
  <c r="Q48" i="7"/>
  <c r="T48" i="7" s="1"/>
  <c r="P48" i="7"/>
  <c r="Y48" i="7" s="1"/>
  <c r="N48" i="7"/>
  <c r="AM47" i="7"/>
  <c r="AL47" i="7"/>
  <c r="AK47" i="7"/>
  <c r="AG47" i="7"/>
  <c r="AF47" i="7"/>
  <c r="AE47" i="7"/>
  <c r="AD47" i="7"/>
  <c r="AC47" i="7"/>
  <c r="AB47" i="7"/>
  <c r="AA47" i="7"/>
  <c r="Y47" i="7"/>
  <c r="T47" i="7"/>
  <c r="S47" i="7"/>
  <c r="AJ47" i="7" s="1"/>
  <c r="R47" i="7"/>
  <c r="Q47" i="7"/>
  <c r="Z47" i="7" s="1"/>
  <c r="P47" i="7"/>
  <c r="N47" i="7"/>
  <c r="AM46" i="7"/>
  <c r="AL46" i="7"/>
  <c r="AK46" i="7"/>
  <c r="AG46" i="7"/>
  <c r="AF46" i="7"/>
  <c r="AE46" i="7"/>
  <c r="AD46" i="7"/>
  <c r="AB46" i="7"/>
  <c r="AC46" i="7" s="1"/>
  <c r="AA46" i="7"/>
  <c r="Z46" i="7"/>
  <c r="R46" i="7"/>
  <c r="Q46" i="7"/>
  <c r="T46" i="7" s="1"/>
  <c r="P46" i="7"/>
  <c r="Y46" i="7" s="1"/>
  <c r="N46" i="7"/>
  <c r="AM45" i="7"/>
  <c r="AL45" i="7"/>
  <c r="AK45" i="7"/>
  <c r="AG45" i="7"/>
  <c r="AF45" i="7"/>
  <c r="AE45" i="7"/>
  <c r="AD45" i="7"/>
  <c r="AC45" i="7"/>
  <c r="AB45" i="7"/>
  <c r="AA45" i="7"/>
  <c r="Y45" i="7"/>
  <c r="T45" i="7"/>
  <c r="S45" i="7"/>
  <c r="AJ45" i="7" s="1"/>
  <c r="R45" i="7"/>
  <c r="Q45" i="7"/>
  <c r="Z45" i="7" s="1"/>
  <c r="P45" i="7"/>
  <c r="N45" i="7"/>
  <c r="AM44" i="7"/>
  <c r="AL44" i="7"/>
  <c r="AK44" i="7"/>
  <c r="AG44" i="7"/>
  <c r="AF44" i="7"/>
  <c r="AE44" i="7"/>
  <c r="AD44" i="7"/>
  <c r="AB44" i="7"/>
  <c r="AC44" i="7" s="1"/>
  <c r="AA44" i="7"/>
  <c r="Z44" i="7"/>
  <c r="R44" i="7"/>
  <c r="Q44" i="7"/>
  <c r="T44" i="7" s="1"/>
  <c r="P44" i="7"/>
  <c r="Y44" i="7" s="1"/>
  <c r="N44" i="7"/>
  <c r="AM43" i="7"/>
  <c r="AL43" i="7"/>
  <c r="AK43" i="7"/>
  <c r="AG43" i="7"/>
  <c r="AF43" i="7"/>
  <c r="AE43" i="7"/>
  <c r="AD43" i="7"/>
  <c r="AC43" i="7"/>
  <c r="AB43" i="7"/>
  <c r="AA43" i="7"/>
  <c r="Y43" i="7"/>
  <c r="T43" i="7"/>
  <c r="S43" i="7"/>
  <c r="AJ43" i="7" s="1"/>
  <c r="R43" i="7"/>
  <c r="Q43" i="7"/>
  <c r="Z43" i="7" s="1"/>
  <c r="P43" i="7"/>
  <c r="N43" i="7"/>
  <c r="AM42" i="7"/>
  <c r="AL42" i="7"/>
  <c r="AK42" i="7"/>
  <c r="AG42" i="7"/>
  <c r="AF42" i="7"/>
  <c r="AE42" i="7"/>
  <c r="AD42" i="7"/>
  <c r="AB42" i="7"/>
  <c r="AC42" i="7" s="1"/>
  <c r="AA42" i="7"/>
  <c r="Z42" i="7"/>
  <c r="R42" i="7"/>
  <c r="Q42" i="7"/>
  <c r="T42" i="7" s="1"/>
  <c r="P42" i="7"/>
  <c r="Y42" i="7" s="1"/>
  <c r="N42" i="7"/>
  <c r="AM41" i="7"/>
  <c r="AL41" i="7"/>
  <c r="AK41" i="7"/>
  <c r="AG41" i="7"/>
  <c r="AF41" i="7"/>
  <c r="AE41" i="7"/>
  <c r="AD41" i="7"/>
  <c r="AC41" i="7"/>
  <c r="AB41" i="7"/>
  <c r="AA41" i="7"/>
  <c r="Y41" i="7"/>
  <c r="T41" i="7"/>
  <c r="S41" i="7"/>
  <c r="AJ41" i="7" s="1"/>
  <c r="R41" i="7"/>
  <c r="Q41" i="7"/>
  <c r="Z41" i="7" s="1"/>
  <c r="P41" i="7"/>
  <c r="N41" i="7"/>
  <c r="AM40" i="7"/>
  <c r="AL40" i="7"/>
  <c r="AK40" i="7"/>
  <c r="AG40" i="7"/>
  <c r="AF40" i="7"/>
  <c r="AE40" i="7"/>
  <c r="AD40" i="7"/>
  <c r="AB40" i="7"/>
  <c r="AC40" i="7" s="1"/>
  <c r="AA40" i="7"/>
  <c r="Z40" i="7"/>
  <c r="R40" i="7"/>
  <c r="Q40" i="7"/>
  <c r="T40" i="7" s="1"/>
  <c r="P40" i="7"/>
  <c r="Y40" i="7" s="1"/>
  <c r="N40" i="7"/>
  <c r="AM39" i="7"/>
  <c r="AL39" i="7"/>
  <c r="AK39" i="7"/>
  <c r="AG39" i="7"/>
  <c r="AF39" i="7"/>
  <c r="AE39" i="7"/>
  <c r="AD39" i="7"/>
  <c r="AC39" i="7"/>
  <c r="AB39" i="7"/>
  <c r="AA39" i="7"/>
  <c r="Y39" i="7"/>
  <c r="T39" i="7"/>
  <c r="S39" i="7"/>
  <c r="AJ39" i="7" s="1"/>
  <c r="R39" i="7"/>
  <c r="Q39" i="7"/>
  <c r="Z39" i="7" s="1"/>
  <c r="P39" i="7"/>
  <c r="N39" i="7"/>
  <c r="AM38" i="7"/>
  <c r="AL38" i="7"/>
  <c r="AK38" i="7"/>
  <c r="AG38" i="7"/>
  <c r="AF38" i="7"/>
  <c r="AE38" i="7"/>
  <c r="AD38" i="7"/>
  <c r="AB38" i="7"/>
  <c r="AC38" i="7" s="1"/>
  <c r="AA38" i="7"/>
  <c r="Z38" i="7"/>
  <c r="R38" i="7"/>
  <c r="Q38" i="7"/>
  <c r="T38" i="7" s="1"/>
  <c r="P38" i="7"/>
  <c r="Y38" i="7" s="1"/>
  <c r="N38" i="7"/>
  <c r="AM37" i="7"/>
  <c r="AL37" i="7"/>
  <c r="AK37" i="7"/>
  <c r="AG37" i="7"/>
  <c r="AF37" i="7"/>
  <c r="AE37" i="7"/>
  <c r="AD37" i="7"/>
  <c r="AC37" i="7"/>
  <c r="AB37" i="7"/>
  <c r="AA37" i="7"/>
  <c r="Y37" i="7"/>
  <c r="T37" i="7"/>
  <c r="S37" i="7"/>
  <c r="AJ37" i="7" s="1"/>
  <c r="R37" i="7"/>
  <c r="Q37" i="7"/>
  <c r="Z37" i="7" s="1"/>
  <c r="P37" i="7"/>
  <c r="N37" i="7"/>
  <c r="AM36" i="7"/>
  <c r="AL36" i="7"/>
  <c r="AK36" i="7"/>
  <c r="AG36" i="7"/>
  <c r="AF36" i="7"/>
  <c r="AE36" i="7"/>
  <c r="AD36" i="7"/>
  <c r="AB36" i="7"/>
  <c r="AC36" i="7" s="1"/>
  <c r="AA36" i="7"/>
  <c r="Z36" i="7"/>
  <c r="R36" i="7"/>
  <c r="Q36" i="7"/>
  <c r="T36" i="7" s="1"/>
  <c r="P36" i="7"/>
  <c r="Y36" i="7" s="1"/>
  <c r="N36" i="7"/>
  <c r="AM35" i="7"/>
  <c r="AL35" i="7"/>
  <c r="AK35" i="7"/>
  <c r="AG35" i="7"/>
  <c r="AF35" i="7"/>
  <c r="AE35" i="7"/>
  <c r="AD35" i="7"/>
  <c r="AC35" i="7"/>
  <c r="AB35" i="7"/>
  <c r="AA35" i="7"/>
  <c r="Y35" i="7"/>
  <c r="T35" i="7"/>
  <c r="S35" i="7"/>
  <c r="AJ35" i="7" s="1"/>
  <c r="R35" i="7"/>
  <c r="Q35" i="7"/>
  <c r="Z35" i="7" s="1"/>
  <c r="P35" i="7"/>
  <c r="N35" i="7"/>
  <c r="AM34" i="7"/>
  <c r="AL34" i="7"/>
  <c r="AK34" i="7"/>
  <c r="AG34" i="7"/>
  <c r="AF34" i="7"/>
  <c r="AE34" i="7"/>
  <c r="AD34" i="7"/>
  <c r="AB34" i="7"/>
  <c r="AC34" i="7" s="1"/>
  <c r="AA34" i="7"/>
  <c r="Z34" i="7"/>
  <c r="R34" i="7"/>
  <c r="Q34" i="7"/>
  <c r="T34" i="7" s="1"/>
  <c r="P34" i="7"/>
  <c r="Y34" i="7" s="1"/>
  <c r="N34" i="7"/>
  <c r="AM33" i="7"/>
  <c r="AL33" i="7"/>
  <c r="AK33" i="7"/>
  <c r="AG33" i="7"/>
  <c r="AF33" i="7"/>
  <c r="AE33" i="7"/>
  <c r="AD33" i="7"/>
  <c r="AC33" i="7"/>
  <c r="AB33" i="7"/>
  <c r="AA33" i="7"/>
  <c r="Y33" i="7"/>
  <c r="T33" i="7"/>
  <c r="S33" i="7"/>
  <c r="AJ33" i="7" s="1"/>
  <c r="R33" i="7"/>
  <c r="Q33" i="7"/>
  <c r="Z33" i="7" s="1"/>
  <c r="P33" i="7"/>
  <c r="N33" i="7"/>
  <c r="AM32" i="7"/>
  <c r="AL32" i="7"/>
  <c r="AK32" i="7"/>
  <c r="AG32" i="7"/>
  <c r="AF32" i="7"/>
  <c r="AE32" i="7"/>
  <c r="AD32" i="7"/>
  <c r="AB32" i="7"/>
  <c r="AC32" i="7" s="1"/>
  <c r="AA32" i="7"/>
  <c r="Z32" i="7"/>
  <c r="R32" i="7"/>
  <c r="Q32" i="7"/>
  <c r="T32" i="7" s="1"/>
  <c r="P32" i="7"/>
  <c r="Y32" i="7" s="1"/>
  <c r="N32" i="7"/>
  <c r="AM31" i="7"/>
  <c r="AL31" i="7"/>
  <c r="AK31" i="7"/>
  <c r="AG31" i="7"/>
  <c r="AF31" i="7"/>
  <c r="AE31" i="7"/>
  <c r="AD31" i="7"/>
  <c r="AC31" i="7"/>
  <c r="AB31" i="7"/>
  <c r="AA31" i="7"/>
  <c r="Y31" i="7"/>
  <c r="T31" i="7"/>
  <c r="S31" i="7"/>
  <c r="AJ31" i="7" s="1"/>
  <c r="R31" i="7"/>
  <c r="Q31" i="7"/>
  <c r="Z31" i="7" s="1"/>
  <c r="P31" i="7"/>
  <c r="N31" i="7"/>
  <c r="AM30" i="7"/>
  <c r="AL30" i="7"/>
  <c r="AK30" i="7"/>
  <c r="AG30" i="7"/>
  <c r="AF30" i="7"/>
  <c r="AE30" i="7"/>
  <c r="AD30" i="7"/>
  <c r="AB30" i="7"/>
  <c r="AC30" i="7" s="1"/>
  <c r="AA30" i="7"/>
  <c r="Z30" i="7"/>
  <c r="R30" i="7"/>
  <c r="Q30" i="7"/>
  <c r="T30" i="7" s="1"/>
  <c r="P30" i="7"/>
  <c r="Y30" i="7" s="1"/>
  <c r="N30" i="7"/>
  <c r="AM29" i="7"/>
  <c r="AL29" i="7"/>
  <c r="AK29" i="7"/>
  <c r="AG29" i="7"/>
  <c r="AF29" i="7"/>
  <c r="AE29" i="7"/>
  <c r="AD29" i="7"/>
  <c r="AC29" i="7"/>
  <c r="AB29" i="7"/>
  <c r="AA29" i="7"/>
  <c r="Y29" i="7"/>
  <c r="T29" i="7"/>
  <c r="S29" i="7"/>
  <c r="AJ29" i="7" s="1"/>
  <c r="R29" i="7"/>
  <c r="Q29" i="7"/>
  <c r="Z29" i="7" s="1"/>
  <c r="P29" i="7"/>
  <c r="N29" i="7"/>
  <c r="AM28" i="7"/>
  <c r="AL28" i="7"/>
  <c r="AK28" i="7"/>
  <c r="AG28" i="7"/>
  <c r="AF28" i="7"/>
  <c r="AE28" i="7"/>
  <c r="AD28" i="7"/>
  <c r="AB28" i="7"/>
  <c r="AC28" i="7" s="1"/>
  <c r="AA28" i="7"/>
  <c r="Z28" i="7"/>
  <c r="R28" i="7"/>
  <c r="Q28" i="7"/>
  <c r="T28" i="7" s="1"/>
  <c r="P28" i="7"/>
  <c r="Y28" i="7" s="1"/>
  <c r="N28" i="7"/>
  <c r="AM27" i="7"/>
  <c r="AL27" i="7"/>
  <c r="AK27" i="7"/>
  <c r="AG27" i="7"/>
  <c r="AF27" i="7"/>
  <c r="AE27" i="7"/>
  <c r="AD27" i="7"/>
  <c r="AC27" i="7"/>
  <c r="AB27" i="7"/>
  <c r="AA27" i="7"/>
  <c r="Y27" i="7"/>
  <c r="T27" i="7"/>
  <c r="S27" i="7"/>
  <c r="AJ27" i="7" s="1"/>
  <c r="R27" i="7"/>
  <c r="Q27" i="7"/>
  <c r="Z27" i="7" s="1"/>
  <c r="P27" i="7"/>
  <c r="N27" i="7"/>
  <c r="AM26" i="7"/>
  <c r="AL26" i="7"/>
  <c r="AK26" i="7"/>
  <c r="AG26" i="7"/>
  <c r="AF26" i="7"/>
  <c r="AE26" i="7"/>
  <c r="AD26" i="7"/>
  <c r="AB26" i="7"/>
  <c r="AC26" i="7" s="1"/>
  <c r="AA26" i="7"/>
  <c r="Z26" i="7"/>
  <c r="R26" i="7"/>
  <c r="Q26" i="7"/>
  <c r="T26" i="7" s="1"/>
  <c r="P26" i="7"/>
  <c r="N26" i="7"/>
  <c r="AM25" i="7"/>
  <c r="AL25" i="7"/>
  <c r="AK25" i="7"/>
  <c r="AG25" i="7"/>
  <c r="AF25" i="7"/>
  <c r="AE25" i="7"/>
  <c r="AD25" i="7"/>
  <c r="AC25" i="7"/>
  <c r="AB25" i="7"/>
  <c r="AA25" i="7"/>
  <c r="Y25" i="7"/>
  <c r="T25" i="7"/>
  <c r="S25" i="7"/>
  <c r="R25" i="7"/>
  <c r="Q25" i="7"/>
  <c r="Z25" i="7" s="1"/>
  <c r="P25" i="7"/>
  <c r="N25" i="7"/>
  <c r="AM24" i="7"/>
  <c r="AL24" i="7"/>
  <c r="AK24" i="7"/>
  <c r="AG24" i="7"/>
  <c r="AF24" i="7"/>
  <c r="AE24" i="7"/>
  <c r="AD24" i="7"/>
  <c r="AB24" i="7"/>
  <c r="AC24" i="7" s="1"/>
  <c r="AA24" i="7"/>
  <c r="Z24" i="7"/>
  <c r="R24" i="7"/>
  <c r="Q24" i="7"/>
  <c r="T24" i="7" s="1"/>
  <c r="P24" i="7"/>
  <c r="N24" i="7"/>
  <c r="AM23" i="7"/>
  <c r="AL23" i="7"/>
  <c r="AK23" i="7"/>
  <c r="AG23" i="7"/>
  <c r="AF23" i="7"/>
  <c r="AE23" i="7"/>
  <c r="AD23" i="7"/>
  <c r="AC23" i="7"/>
  <c r="AB23" i="7"/>
  <c r="AA23" i="7"/>
  <c r="Y23" i="7"/>
  <c r="T23" i="7"/>
  <c r="S23" i="7"/>
  <c r="R23" i="7"/>
  <c r="Q23" i="7"/>
  <c r="Z23" i="7" s="1"/>
  <c r="P23" i="7"/>
  <c r="N23" i="7"/>
  <c r="AM22" i="7"/>
  <c r="AL22" i="7"/>
  <c r="AK22" i="7"/>
  <c r="AG22" i="7"/>
  <c r="AF22" i="7"/>
  <c r="AE22" i="7"/>
  <c r="AD22" i="7"/>
  <c r="AB22" i="7"/>
  <c r="AC22" i="7" s="1"/>
  <c r="AA22" i="7"/>
  <c r="Z22" i="7"/>
  <c r="R22" i="7"/>
  <c r="Q22" i="7"/>
  <c r="T22" i="7" s="1"/>
  <c r="P22" i="7"/>
  <c r="N22" i="7"/>
  <c r="AM21" i="7"/>
  <c r="AL21" i="7"/>
  <c r="AK21" i="7"/>
  <c r="AG21" i="7"/>
  <c r="AF21" i="7"/>
  <c r="AE21" i="7"/>
  <c r="AD21" i="7"/>
  <c r="AC21" i="7"/>
  <c r="AB21" i="7"/>
  <c r="AA21" i="7"/>
  <c r="Y21" i="7"/>
  <c r="T21" i="7"/>
  <c r="S21" i="7"/>
  <c r="AJ21" i="7" s="1"/>
  <c r="R21" i="7"/>
  <c r="Q21" i="7"/>
  <c r="Z21" i="7" s="1"/>
  <c r="P21" i="7"/>
  <c r="N21" i="7"/>
  <c r="AM20" i="7"/>
  <c r="AL20" i="7"/>
  <c r="AK20" i="7"/>
  <c r="AG20" i="7"/>
  <c r="AF20" i="7"/>
  <c r="AE20" i="7"/>
  <c r="AD20" i="7"/>
  <c r="AB20" i="7"/>
  <c r="AC20" i="7" s="1"/>
  <c r="AA20" i="7"/>
  <c r="Z20" i="7"/>
  <c r="R20" i="7"/>
  <c r="Q20" i="7"/>
  <c r="T20" i="7" s="1"/>
  <c r="P20" i="7"/>
  <c r="N20" i="7"/>
  <c r="AM19" i="7"/>
  <c r="AL19" i="7"/>
  <c r="AK19" i="7"/>
  <c r="AG19" i="7"/>
  <c r="AF19" i="7"/>
  <c r="AE19" i="7"/>
  <c r="AD19" i="7"/>
  <c r="AC19" i="7"/>
  <c r="AB19" i="7"/>
  <c r="AA19" i="7"/>
  <c r="Y19" i="7"/>
  <c r="T19" i="7"/>
  <c r="S19" i="7"/>
  <c r="AJ19" i="7" s="1"/>
  <c r="R19" i="7"/>
  <c r="Q19" i="7"/>
  <c r="Z19" i="7" s="1"/>
  <c r="P19" i="7"/>
  <c r="N19" i="7"/>
  <c r="AM18" i="7"/>
  <c r="AL18" i="7"/>
  <c r="AK18" i="7"/>
  <c r="AG18" i="7"/>
  <c r="AF18" i="7"/>
  <c r="AE18" i="7"/>
  <c r="AD18" i="7"/>
  <c r="AB18" i="7"/>
  <c r="AC18" i="7" s="1"/>
  <c r="AA18" i="7"/>
  <c r="Z18" i="7"/>
  <c r="R18" i="7"/>
  <c r="Q18" i="7"/>
  <c r="T18" i="7" s="1"/>
  <c r="P18" i="7"/>
  <c r="N18" i="7"/>
  <c r="AM17" i="7"/>
  <c r="AL17" i="7"/>
  <c r="AK17" i="7"/>
  <c r="AG17" i="7"/>
  <c r="AF17" i="7"/>
  <c r="AE17" i="7"/>
  <c r="AD17" i="7"/>
  <c r="AC17" i="7"/>
  <c r="AB17" i="7"/>
  <c r="AA17" i="7"/>
  <c r="Y17" i="7"/>
  <c r="T17" i="7"/>
  <c r="S17" i="7"/>
  <c r="AJ17" i="7" s="1"/>
  <c r="R17" i="7"/>
  <c r="Q17" i="7"/>
  <c r="Z17" i="7" s="1"/>
  <c r="P17" i="7"/>
  <c r="N17" i="7"/>
  <c r="AM16" i="7"/>
  <c r="AL16" i="7"/>
  <c r="AK16" i="7"/>
  <c r="AG16" i="7"/>
  <c r="AF16" i="7"/>
  <c r="AE16" i="7"/>
  <c r="AD16" i="7"/>
  <c r="AB16" i="7"/>
  <c r="AC16" i="7" s="1"/>
  <c r="AA16" i="7"/>
  <c r="Z16" i="7"/>
  <c r="R16" i="7"/>
  <c r="Q16" i="7"/>
  <c r="T16" i="7" s="1"/>
  <c r="P16" i="7"/>
  <c r="N16" i="7"/>
  <c r="AM15" i="7"/>
  <c r="AL15" i="7"/>
  <c r="AK15" i="7"/>
  <c r="AG15" i="7"/>
  <c r="AF15" i="7"/>
  <c r="AE15" i="7"/>
  <c r="AD15" i="7"/>
  <c r="AC15" i="7"/>
  <c r="AB15" i="7"/>
  <c r="AA15" i="7"/>
  <c r="Y15" i="7"/>
  <c r="T15" i="7"/>
  <c r="S15" i="7"/>
  <c r="R15" i="7"/>
  <c r="Q15" i="7"/>
  <c r="Z15" i="7" s="1"/>
  <c r="P15" i="7"/>
  <c r="N15" i="7"/>
  <c r="AM14" i="7"/>
  <c r="AL14" i="7"/>
  <c r="AK14" i="7"/>
  <c r="AG14" i="7"/>
  <c r="AF14" i="7"/>
  <c r="AE14" i="7"/>
  <c r="AD14" i="7"/>
  <c r="AB14" i="7"/>
  <c r="AC14" i="7" s="1"/>
  <c r="AA14" i="7"/>
  <c r="Z14" i="7"/>
  <c r="R14" i="7"/>
  <c r="Q14" i="7"/>
  <c r="T14" i="7" s="1"/>
  <c r="P14" i="7"/>
  <c r="N14" i="7"/>
  <c r="AM13" i="7"/>
  <c r="AL13" i="7"/>
  <c r="AK13" i="7"/>
  <c r="AG13" i="7"/>
  <c r="AF13" i="7"/>
  <c r="AE13" i="7"/>
  <c r="AD13" i="7"/>
  <c r="AC13" i="7"/>
  <c r="AB13" i="7"/>
  <c r="AA13" i="7"/>
  <c r="Y13" i="7"/>
  <c r="T13" i="7"/>
  <c r="S13" i="7"/>
  <c r="R13" i="7"/>
  <c r="Q13" i="7"/>
  <c r="Z13" i="7" s="1"/>
  <c r="P13" i="7"/>
  <c r="N13" i="7"/>
  <c r="AM12" i="7"/>
  <c r="AL12" i="7"/>
  <c r="AK12" i="7"/>
  <c r="AG12" i="7"/>
  <c r="AF12" i="7"/>
  <c r="AE12" i="7"/>
  <c r="AD12" i="7"/>
  <c r="AB12" i="7"/>
  <c r="AC12" i="7" s="1"/>
  <c r="AA12" i="7"/>
  <c r="Z12" i="7"/>
  <c r="R12" i="7"/>
  <c r="Q12" i="7"/>
  <c r="T12" i="7" s="1"/>
  <c r="P12" i="7"/>
  <c r="N12" i="7"/>
  <c r="AM11" i="7"/>
  <c r="AL11" i="7"/>
  <c r="AK11" i="7"/>
  <c r="AG11" i="7"/>
  <c r="AF11" i="7"/>
  <c r="AE11" i="7"/>
  <c r="AD11" i="7"/>
  <c r="AC11" i="7"/>
  <c r="AB11" i="7"/>
  <c r="AA11" i="7"/>
  <c r="Y11" i="7"/>
  <c r="T11" i="7"/>
  <c r="S11" i="7"/>
  <c r="AJ11" i="7" s="1"/>
  <c r="R11" i="7"/>
  <c r="Q11" i="7"/>
  <c r="Z11" i="7" s="1"/>
  <c r="P11" i="7"/>
  <c r="N11" i="7"/>
  <c r="AD10" i="7"/>
  <c r="AB10" i="7"/>
  <c r="AA10" i="7"/>
  <c r="AE10" i="7" s="1"/>
  <c r="Z10" i="7"/>
  <c r="R10" i="7"/>
  <c r="Q10" i="7"/>
  <c r="T10" i="7" s="1"/>
  <c r="P10" i="7"/>
  <c r="AF9" i="7"/>
  <c r="AE9" i="7"/>
  <c r="AD9" i="7"/>
  <c r="AC9" i="7"/>
  <c r="AB9" i="7"/>
  <c r="AA9" i="7"/>
  <c r="Y9" i="7"/>
  <c r="AK9" i="7" s="1"/>
  <c r="R9" i="7"/>
  <c r="Q9" i="7"/>
  <c r="Z9" i="7" s="1"/>
  <c r="P9" i="7"/>
  <c r="N9" i="7" s="1"/>
  <c r="AD8" i="7"/>
  <c r="AB8" i="7"/>
  <c r="AA8" i="7"/>
  <c r="AE8" i="7" s="1"/>
  <c r="Z8" i="7"/>
  <c r="R8" i="7"/>
  <c r="Q8" i="7"/>
  <c r="P8" i="7"/>
  <c r="AF7" i="7"/>
  <c r="AE7" i="7"/>
  <c r="AD7" i="7"/>
  <c r="AC7" i="7"/>
  <c r="AB7" i="7"/>
  <c r="AA7" i="7"/>
  <c r="Y7" i="7"/>
  <c r="R7" i="7"/>
  <c r="Q7" i="7"/>
  <c r="Z7" i="7" s="1"/>
  <c r="P7" i="7"/>
  <c r="N7" i="7" s="1"/>
  <c r="AD6" i="7"/>
  <c r="AB6" i="7"/>
  <c r="AA6" i="7"/>
  <c r="AE6" i="7" s="1"/>
  <c r="Z6" i="7"/>
  <c r="R6" i="7"/>
  <c r="Q6" i="7"/>
  <c r="P6" i="7"/>
  <c r="N103" i="5"/>
  <c r="M103" i="5"/>
  <c r="H103" i="5"/>
  <c r="F103" i="5"/>
  <c r="E103" i="5"/>
  <c r="A103" i="5"/>
  <c r="L103" i="5" s="1"/>
  <c r="N102" i="5"/>
  <c r="M102" i="5"/>
  <c r="L102" i="5"/>
  <c r="K102" i="5"/>
  <c r="J102" i="5"/>
  <c r="H102" i="5"/>
  <c r="G102" i="5"/>
  <c r="F102" i="5"/>
  <c r="E102" i="5"/>
  <c r="D102" i="5"/>
  <c r="C102" i="5"/>
  <c r="B102" i="5"/>
  <c r="A102" i="5"/>
  <c r="I102" i="5" s="1"/>
  <c r="L101" i="5"/>
  <c r="I101" i="5"/>
  <c r="A101" i="5"/>
  <c r="K100" i="5"/>
  <c r="J100" i="5"/>
  <c r="H100" i="5"/>
  <c r="G100" i="5"/>
  <c r="C100" i="5"/>
  <c r="B100" i="5"/>
  <c r="A100" i="5"/>
  <c r="N100" i="5" s="1"/>
  <c r="N99" i="5"/>
  <c r="M99" i="5"/>
  <c r="H99" i="5"/>
  <c r="F99" i="5"/>
  <c r="E99" i="5"/>
  <c r="A99" i="5"/>
  <c r="L99" i="5" s="1"/>
  <c r="N98" i="5"/>
  <c r="M98" i="5"/>
  <c r="L98" i="5"/>
  <c r="K98" i="5"/>
  <c r="J98" i="5"/>
  <c r="H98" i="5"/>
  <c r="G98" i="5"/>
  <c r="F98" i="5"/>
  <c r="E98" i="5"/>
  <c r="D98" i="5"/>
  <c r="C98" i="5"/>
  <c r="B98" i="5"/>
  <c r="A98" i="5"/>
  <c r="I98" i="5" s="1"/>
  <c r="A97" i="5"/>
  <c r="K96" i="5"/>
  <c r="J96" i="5"/>
  <c r="H96" i="5"/>
  <c r="G96" i="5"/>
  <c r="C96" i="5"/>
  <c r="B96" i="5"/>
  <c r="A96" i="5"/>
  <c r="N96" i="5" s="1"/>
  <c r="N95" i="5"/>
  <c r="M95" i="5"/>
  <c r="H95" i="5"/>
  <c r="F95" i="5"/>
  <c r="E95" i="5"/>
  <c r="A95" i="5"/>
  <c r="L95" i="5" s="1"/>
  <c r="N94" i="5"/>
  <c r="M94" i="5"/>
  <c r="L94" i="5"/>
  <c r="K94" i="5"/>
  <c r="J94" i="5"/>
  <c r="H94" i="5"/>
  <c r="G94" i="5"/>
  <c r="F94" i="5"/>
  <c r="E94" i="5"/>
  <c r="D94" i="5"/>
  <c r="C94" i="5"/>
  <c r="B94" i="5"/>
  <c r="A94" i="5"/>
  <c r="I94" i="5" s="1"/>
  <c r="A93" i="5"/>
  <c r="B92" i="5"/>
  <c r="A92" i="5"/>
  <c r="N92" i="5" s="1"/>
  <c r="N91" i="5"/>
  <c r="A91" i="5"/>
  <c r="N90" i="5"/>
  <c r="B90" i="5"/>
  <c r="A90" i="5"/>
  <c r="A89" i="5"/>
  <c r="B88" i="5"/>
  <c r="A88" i="5"/>
  <c r="N88" i="5" s="1"/>
  <c r="N87" i="5"/>
  <c r="A87" i="5"/>
  <c r="N86" i="5"/>
  <c r="B86" i="5"/>
  <c r="A86" i="5"/>
  <c r="A85" i="5"/>
  <c r="B84" i="5"/>
  <c r="A84" i="5"/>
  <c r="N84" i="5" s="1"/>
  <c r="A83" i="5"/>
  <c r="N83" i="5" s="1"/>
  <c r="N82" i="5"/>
  <c r="B82" i="5"/>
  <c r="A82" i="5"/>
  <c r="B81" i="5"/>
  <c r="A81" i="5"/>
  <c r="B80" i="5"/>
  <c r="A80" i="5"/>
  <c r="N80" i="5" s="1"/>
  <c r="A79" i="5"/>
  <c r="N79" i="5" s="1"/>
  <c r="N78" i="5"/>
  <c r="B78" i="5"/>
  <c r="A78" i="5"/>
  <c r="B77" i="5"/>
  <c r="A77" i="5"/>
  <c r="B76" i="5"/>
  <c r="A76" i="5"/>
  <c r="N76" i="5" s="1"/>
  <c r="A75" i="5"/>
  <c r="N75" i="5" s="1"/>
  <c r="N74" i="5"/>
  <c r="B74" i="5"/>
  <c r="A74" i="5"/>
  <c r="B73" i="5"/>
  <c r="A73" i="5"/>
  <c r="B72" i="5"/>
  <c r="A72" i="5"/>
  <c r="N72" i="5" s="1"/>
  <c r="N71" i="5"/>
  <c r="A71" i="5"/>
  <c r="N70" i="5"/>
  <c r="B70" i="5"/>
  <c r="A70" i="5"/>
  <c r="N69" i="5"/>
  <c r="B69" i="5"/>
  <c r="A69" i="5"/>
  <c r="B68" i="5"/>
  <c r="A68" i="5"/>
  <c r="N68" i="5" s="1"/>
  <c r="A67" i="5"/>
  <c r="N66" i="5"/>
  <c r="B66" i="5"/>
  <c r="A66" i="5"/>
  <c r="A65" i="5"/>
  <c r="B64" i="5"/>
  <c r="A64" i="5"/>
  <c r="N64" i="5" s="1"/>
  <c r="B58" i="5"/>
  <c r="B57" i="5"/>
  <c r="B56" i="5"/>
  <c r="B55" i="5"/>
  <c r="N54" i="5"/>
  <c r="B54" i="5"/>
  <c r="B53" i="5"/>
  <c r="B52" i="5"/>
  <c r="B51" i="5"/>
  <c r="B50" i="5"/>
  <c r="N49" i="5"/>
  <c r="B49" i="5"/>
  <c r="B48" i="5"/>
  <c r="N47" i="5"/>
  <c r="B47" i="5"/>
  <c r="B46" i="5"/>
  <c r="B45" i="5"/>
  <c r="N44" i="5"/>
  <c r="B44" i="5"/>
  <c r="B43" i="5"/>
  <c r="B42" i="5"/>
  <c r="N41" i="5"/>
  <c r="B41" i="5"/>
  <c r="N40" i="5"/>
  <c r="B40" i="5"/>
  <c r="N39" i="5"/>
  <c r="B39" i="5"/>
  <c r="B38" i="5"/>
  <c r="B37" i="5"/>
  <c r="B36" i="5"/>
  <c r="B35" i="5"/>
  <c r="B34" i="5"/>
  <c r="B33" i="5"/>
  <c r="B32" i="5"/>
  <c r="B31" i="5"/>
  <c r="N30" i="5"/>
  <c r="B30" i="5"/>
  <c r="B29" i="5"/>
  <c r="N28" i="5"/>
  <c r="B28" i="5"/>
  <c r="B27" i="5"/>
  <c r="N26" i="5"/>
  <c r="B26" i="5"/>
  <c r="B25" i="5"/>
  <c r="N24" i="5"/>
  <c r="B24" i="5"/>
  <c r="N23" i="5"/>
  <c r="B23" i="5"/>
  <c r="F14" i="5"/>
  <c r="F13" i="5"/>
  <c r="N67" i="4"/>
  <c r="N66" i="4"/>
  <c r="P65" i="4"/>
  <c r="N65" i="4"/>
  <c r="P64" i="4"/>
  <c r="N64" i="4"/>
  <c r="P63" i="4"/>
  <c r="N63" i="4"/>
  <c r="N62" i="4"/>
  <c r="P61" i="4"/>
  <c r="N61" i="4"/>
  <c r="N60" i="4"/>
  <c r="N59" i="4"/>
  <c r="N58" i="4"/>
  <c r="P57" i="4"/>
  <c r="N57" i="4"/>
  <c r="P56" i="4"/>
  <c r="N56" i="4"/>
  <c r="P55" i="4"/>
  <c r="N55" i="4"/>
  <c r="N54" i="4"/>
  <c r="P53" i="4"/>
  <c r="N53" i="4"/>
  <c r="N52" i="4"/>
  <c r="N51" i="4"/>
  <c r="N50" i="4"/>
  <c r="P49" i="4"/>
  <c r="N49" i="4"/>
  <c r="P48" i="4"/>
  <c r="N48" i="4"/>
  <c r="P47" i="4"/>
  <c r="N47" i="4"/>
  <c r="N46" i="4"/>
  <c r="P45" i="4"/>
  <c r="N45" i="4"/>
  <c r="P44" i="4"/>
  <c r="N44" i="4"/>
  <c r="N43" i="4"/>
  <c r="N42" i="4"/>
  <c r="P41" i="4"/>
  <c r="N41" i="4"/>
  <c r="N40" i="4"/>
  <c r="P39" i="4"/>
  <c r="N39" i="4"/>
  <c r="N38" i="4"/>
  <c r="P37" i="4"/>
  <c r="N37" i="4"/>
  <c r="P36" i="4"/>
  <c r="N36" i="4"/>
  <c r="P35" i="4"/>
  <c r="N35" i="4"/>
  <c r="N34" i="4"/>
  <c r="P33" i="4"/>
  <c r="N33" i="4"/>
  <c r="N32" i="4"/>
  <c r="B7" i="4"/>
  <c r="AG4" i="4"/>
  <c r="AF4" i="4"/>
  <c r="AE4" i="4"/>
  <c r="AD4" i="4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AE4" i="3"/>
  <c r="AD4" i="3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F73" i="2"/>
  <c r="E73" i="2"/>
  <c r="D73" i="2"/>
  <c r="C73" i="2"/>
  <c r="B73" i="2"/>
  <c r="H73" i="2" s="1"/>
  <c r="AV72" i="2"/>
  <c r="H72" i="2"/>
  <c r="G72" i="2"/>
  <c r="F72" i="2"/>
  <c r="C72" i="2"/>
  <c r="B72" i="2"/>
  <c r="AV71" i="2"/>
  <c r="G71" i="2"/>
  <c r="F71" i="2"/>
  <c r="E71" i="2"/>
  <c r="B71" i="2"/>
  <c r="H71" i="2" s="1"/>
  <c r="AV70" i="2"/>
  <c r="H70" i="2"/>
  <c r="G70" i="2"/>
  <c r="B70" i="2"/>
  <c r="C70" i="2" s="1"/>
  <c r="AV69" i="2"/>
  <c r="C69" i="2"/>
  <c r="B69" i="2"/>
  <c r="H69" i="2" s="1"/>
  <c r="AV68" i="2"/>
  <c r="C68" i="2"/>
  <c r="B68" i="2"/>
  <c r="G68" i="2" s="1"/>
  <c r="AV67" i="2"/>
  <c r="G67" i="2"/>
  <c r="F67" i="2"/>
  <c r="E67" i="2"/>
  <c r="D67" i="2"/>
  <c r="C67" i="2"/>
  <c r="B67" i="2"/>
  <c r="H67" i="2" s="1"/>
  <c r="AV66" i="2"/>
  <c r="H66" i="2"/>
  <c r="G66" i="2"/>
  <c r="F66" i="2"/>
  <c r="C66" i="2"/>
  <c r="B66" i="2"/>
  <c r="AV65" i="2"/>
  <c r="G65" i="2"/>
  <c r="B65" i="2"/>
  <c r="H65" i="2" s="1"/>
  <c r="AV64" i="2"/>
  <c r="B64" i="2"/>
  <c r="G64" i="2" s="1"/>
  <c r="AV63" i="2"/>
  <c r="B63" i="2"/>
  <c r="H63" i="2" s="1"/>
  <c r="B62" i="2"/>
  <c r="E62" i="2" s="1"/>
  <c r="H61" i="2"/>
  <c r="E61" i="2"/>
  <c r="D61" i="2"/>
  <c r="C61" i="2"/>
  <c r="B61" i="2"/>
  <c r="C60" i="2"/>
  <c r="B60" i="2"/>
  <c r="D60" i="2" s="1"/>
  <c r="H59" i="2"/>
  <c r="G59" i="2"/>
  <c r="B59" i="2"/>
  <c r="B58" i="2"/>
  <c r="H58" i="2" s="1"/>
  <c r="B57" i="2"/>
  <c r="H56" i="2"/>
  <c r="G56" i="2"/>
  <c r="F56" i="2"/>
  <c r="B56" i="2"/>
  <c r="H55" i="2"/>
  <c r="G55" i="2"/>
  <c r="F55" i="2"/>
  <c r="E55" i="2"/>
  <c r="D55" i="2"/>
  <c r="B55" i="2"/>
  <c r="C55" i="2" s="1"/>
  <c r="H54" i="2"/>
  <c r="G54" i="2"/>
  <c r="F54" i="2"/>
  <c r="E54" i="2"/>
  <c r="D54" i="2"/>
  <c r="C54" i="2"/>
  <c r="B54" i="2"/>
  <c r="K53" i="2"/>
  <c r="P53" i="2" s="1"/>
  <c r="H53" i="2"/>
  <c r="E53" i="2"/>
  <c r="D53" i="2"/>
  <c r="C53" i="2"/>
  <c r="B53" i="2"/>
  <c r="K52" i="2"/>
  <c r="H52" i="2"/>
  <c r="G52" i="2"/>
  <c r="F52" i="2"/>
  <c r="B52" i="2"/>
  <c r="P51" i="2"/>
  <c r="O51" i="2"/>
  <c r="N51" i="2"/>
  <c r="M51" i="2"/>
  <c r="L51" i="2"/>
  <c r="K51" i="2"/>
  <c r="C51" i="2"/>
  <c r="B51" i="2"/>
  <c r="H51" i="2" s="1"/>
  <c r="N50" i="2"/>
  <c r="M50" i="2"/>
  <c r="K50" i="2"/>
  <c r="B50" i="2"/>
  <c r="P49" i="2"/>
  <c r="K49" i="2"/>
  <c r="N49" i="2" s="1"/>
  <c r="H49" i="2"/>
  <c r="G49" i="2"/>
  <c r="F49" i="2"/>
  <c r="E49" i="2"/>
  <c r="D49" i="2"/>
  <c r="B49" i="2"/>
  <c r="C49" i="2" s="1"/>
  <c r="K48" i="2"/>
  <c r="L48" i="2" s="1"/>
  <c r="B48" i="2"/>
  <c r="E48" i="2" s="1"/>
  <c r="P47" i="2"/>
  <c r="M47" i="2"/>
  <c r="L47" i="2"/>
  <c r="K47" i="2"/>
  <c r="B47" i="2"/>
  <c r="H47" i="2" s="1"/>
  <c r="P46" i="2"/>
  <c r="O46" i="2"/>
  <c r="N46" i="2"/>
  <c r="M46" i="2"/>
  <c r="K46" i="2"/>
  <c r="L46" i="2" s="1"/>
  <c r="H46" i="2"/>
  <c r="G46" i="2"/>
  <c r="F46" i="2"/>
  <c r="E46" i="2"/>
  <c r="D46" i="2"/>
  <c r="C46" i="2"/>
  <c r="B46" i="2"/>
  <c r="L45" i="2"/>
  <c r="K45" i="2"/>
  <c r="P45" i="2" s="1"/>
  <c r="H45" i="2"/>
  <c r="E45" i="2"/>
  <c r="B45" i="2"/>
  <c r="K44" i="2"/>
  <c r="O44" i="2" s="1"/>
  <c r="B44" i="2"/>
  <c r="G44" i="2" s="1"/>
  <c r="P43" i="2"/>
  <c r="O43" i="2"/>
  <c r="N43" i="2"/>
  <c r="M43" i="2"/>
  <c r="L43" i="2"/>
  <c r="K43" i="2"/>
  <c r="F43" i="2"/>
  <c r="E43" i="2"/>
  <c r="D43" i="2"/>
  <c r="C43" i="2"/>
  <c r="B43" i="2"/>
  <c r="H43" i="2" s="1"/>
  <c r="K42" i="2"/>
  <c r="M42" i="2" s="1"/>
  <c r="H42" i="2"/>
  <c r="G42" i="2"/>
  <c r="D42" i="2"/>
  <c r="C42" i="2"/>
  <c r="B42" i="2"/>
  <c r="K41" i="2"/>
  <c r="O41" i="2" s="1"/>
  <c r="H41" i="2"/>
  <c r="G41" i="2"/>
  <c r="F41" i="2"/>
  <c r="E41" i="2"/>
  <c r="D41" i="2"/>
  <c r="B41" i="2"/>
  <c r="C41" i="2" s="1"/>
  <c r="P40" i="2"/>
  <c r="O40" i="2"/>
  <c r="N40" i="2"/>
  <c r="M40" i="2"/>
  <c r="L40" i="2"/>
  <c r="K40" i="2"/>
  <c r="C40" i="2"/>
  <c r="B40" i="2"/>
  <c r="D40" i="2" s="1"/>
  <c r="P39" i="2"/>
  <c r="M39" i="2"/>
  <c r="K39" i="2"/>
  <c r="B39" i="2"/>
  <c r="H39" i="2" s="1"/>
  <c r="P38" i="2"/>
  <c r="O38" i="2"/>
  <c r="N38" i="2"/>
  <c r="M38" i="2"/>
  <c r="K38" i="2"/>
  <c r="L38" i="2" s="1"/>
  <c r="H38" i="2"/>
  <c r="G38" i="2"/>
  <c r="F38" i="2"/>
  <c r="E38" i="2"/>
  <c r="D38" i="2"/>
  <c r="C38" i="2"/>
  <c r="B38" i="2"/>
  <c r="O37" i="2"/>
  <c r="N37" i="2"/>
  <c r="M37" i="2"/>
  <c r="L37" i="2"/>
  <c r="K37" i="2"/>
  <c r="P37" i="2" s="1"/>
  <c r="B37" i="2"/>
  <c r="P36" i="2"/>
  <c r="O36" i="2"/>
  <c r="L36" i="2"/>
  <c r="K36" i="2"/>
  <c r="B36" i="2"/>
  <c r="K35" i="2"/>
  <c r="D35" i="2"/>
  <c r="B35" i="2"/>
  <c r="K34" i="2"/>
  <c r="B34" i="2"/>
  <c r="C34" i="2" s="1"/>
  <c r="AG4" i="2"/>
  <c r="AF4" i="2"/>
  <c r="AE4" i="2"/>
  <c r="AD4" i="2"/>
  <c r="AX81" i="2" s="1"/>
  <c r="B102" i="1"/>
  <c r="F101" i="1"/>
  <c r="E101" i="1"/>
  <c r="D101" i="1"/>
  <c r="C101" i="1"/>
  <c r="B101" i="1"/>
  <c r="B100" i="1"/>
  <c r="F100" i="1" s="1"/>
  <c r="F99" i="1"/>
  <c r="B99" i="1"/>
  <c r="B98" i="1"/>
  <c r="E98" i="1" s="1"/>
  <c r="D97" i="1"/>
  <c r="B97" i="1"/>
  <c r="F96" i="1"/>
  <c r="E96" i="1"/>
  <c r="D96" i="1"/>
  <c r="B96" i="1"/>
  <c r="C96" i="1" s="1"/>
  <c r="F95" i="1"/>
  <c r="E95" i="1"/>
  <c r="B95" i="1"/>
  <c r="D95" i="1" s="1"/>
  <c r="B94" i="1"/>
  <c r="F94" i="1" s="1"/>
  <c r="F93" i="1"/>
  <c r="E93" i="1"/>
  <c r="D93" i="1"/>
  <c r="C93" i="1"/>
  <c r="B93" i="1"/>
  <c r="B92" i="1"/>
  <c r="F92" i="1" s="1"/>
  <c r="F91" i="1"/>
  <c r="B91" i="1"/>
  <c r="B90" i="1"/>
  <c r="E90" i="1" s="1"/>
  <c r="D89" i="1"/>
  <c r="B89" i="1"/>
  <c r="F88" i="1"/>
  <c r="E88" i="1"/>
  <c r="D88" i="1"/>
  <c r="B88" i="1"/>
  <c r="C88" i="1" s="1"/>
  <c r="F87" i="1"/>
  <c r="E87" i="1"/>
  <c r="B87" i="1"/>
  <c r="D87" i="1" s="1"/>
  <c r="B86" i="1"/>
  <c r="F85" i="1"/>
  <c r="E85" i="1"/>
  <c r="D85" i="1"/>
  <c r="C85" i="1"/>
  <c r="B85" i="1"/>
  <c r="B84" i="1"/>
  <c r="F84" i="1" s="1"/>
  <c r="F83" i="1"/>
  <c r="B83" i="1"/>
  <c r="I82" i="1"/>
  <c r="K82" i="1" s="1"/>
  <c r="F82" i="1"/>
  <c r="C82" i="1"/>
  <c r="B82" i="1"/>
  <c r="I81" i="1"/>
  <c r="J81" i="1" s="1"/>
  <c r="D81" i="1"/>
  <c r="C81" i="1"/>
  <c r="B81" i="1"/>
  <c r="L80" i="1"/>
  <c r="K80" i="1"/>
  <c r="J80" i="1"/>
  <c r="I80" i="1"/>
  <c r="E80" i="1"/>
  <c r="D80" i="1"/>
  <c r="C80" i="1"/>
  <c r="B80" i="1"/>
  <c r="F80" i="1" s="1"/>
  <c r="L79" i="1"/>
  <c r="K79" i="1"/>
  <c r="I79" i="1"/>
  <c r="J79" i="1" s="1"/>
  <c r="F79" i="1"/>
  <c r="E79" i="1"/>
  <c r="D79" i="1"/>
  <c r="C79" i="1"/>
  <c r="B79" i="1"/>
  <c r="I78" i="1"/>
  <c r="B78" i="1"/>
  <c r="E78" i="1" s="1"/>
  <c r="J77" i="1"/>
  <c r="I77" i="1"/>
  <c r="F77" i="1"/>
  <c r="E77" i="1"/>
  <c r="D77" i="1"/>
  <c r="C77" i="1"/>
  <c r="B77" i="1"/>
  <c r="K76" i="1"/>
  <c r="J76" i="1"/>
  <c r="I76" i="1"/>
  <c r="L76" i="1" s="1"/>
  <c r="F76" i="1"/>
  <c r="E76" i="1"/>
  <c r="D76" i="1"/>
  <c r="B76" i="1"/>
  <c r="C76" i="1" s="1"/>
  <c r="L75" i="1"/>
  <c r="K75" i="1"/>
  <c r="J75" i="1"/>
  <c r="I75" i="1"/>
  <c r="B75" i="1"/>
  <c r="F75" i="1" s="1"/>
  <c r="L74" i="1"/>
  <c r="K74" i="1"/>
  <c r="J74" i="1"/>
  <c r="I74" i="1"/>
  <c r="B74" i="1"/>
  <c r="I73" i="1"/>
  <c r="J73" i="1" s="1"/>
  <c r="D73" i="1"/>
  <c r="B73" i="1"/>
  <c r="L72" i="1"/>
  <c r="K72" i="1"/>
  <c r="J72" i="1"/>
  <c r="I72" i="1"/>
  <c r="E72" i="1"/>
  <c r="D72" i="1"/>
  <c r="B72" i="1"/>
  <c r="F72" i="1" s="1"/>
  <c r="L71" i="1"/>
  <c r="K71" i="1"/>
  <c r="I71" i="1"/>
  <c r="J71" i="1" s="1"/>
  <c r="F71" i="1"/>
  <c r="E71" i="1"/>
  <c r="D71" i="1"/>
  <c r="B71" i="1"/>
  <c r="C71" i="1" s="1"/>
  <c r="I70" i="1"/>
  <c r="L70" i="1" s="1"/>
  <c r="F70" i="1"/>
  <c r="E70" i="1"/>
  <c r="D70" i="1"/>
  <c r="C70" i="1"/>
  <c r="B70" i="1"/>
  <c r="I69" i="1"/>
  <c r="F69" i="1"/>
  <c r="E69" i="1"/>
  <c r="D69" i="1"/>
  <c r="C69" i="1"/>
  <c r="B69" i="1"/>
  <c r="I68" i="1"/>
  <c r="L68" i="1" s="1"/>
  <c r="F68" i="1"/>
  <c r="E68" i="1"/>
  <c r="D68" i="1"/>
  <c r="B68" i="1"/>
  <c r="C68" i="1" s="1"/>
  <c r="L67" i="1"/>
  <c r="I67" i="1"/>
  <c r="K67" i="1" s="1"/>
  <c r="B67" i="1"/>
  <c r="L66" i="1"/>
  <c r="K66" i="1"/>
  <c r="I66" i="1"/>
  <c r="J66" i="1" s="1"/>
  <c r="B66" i="1"/>
  <c r="L65" i="1"/>
  <c r="K65" i="1"/>
  <c r="J65" i="1"/>
  <c r="I65" i="1"/>
  <c r="B65" i="1"/>
  <c r="I64" i="1"/>
  <c r="B64" i="1"/>
  <c r="C64" i="1" s="1"/>
  <c r="I63" i="1"/>
  <c r="B63" i="1"/>
  <c r="D8" i="1"/>
  <c r="C7" i="1"/>
  <c r="B3" i="1"/>
  <c r="AY89" i="2" l="1"/>
  <c r="AZ89" i="2" s="1"/>
  <c r="E35" i="2"/>
  <c r="AW69" i="2"/>
  <c r="AY79" i="2"/>
  <c r="AZ79" i="2" s="1"/>
  <c r="AW85" i="2"/>
  <c r="AW96" i="2"/>
  <c r="B7" i="2"/>
  <c r="F35" i="2"/>
  <c r="AW66" i="2"/>
  <c r="AY67" i="2"/>
  <c r="AZ67" i="2" s="1"/>
  <c r="AX75" i="2"/>
  <c r="AX85" i="2"/>
  <c r="M58" i="2"/>
  <c r="AW63" i="2"/>
  <c r="AW65" i="2"/>
  <c r="AY75" i="2"/>
  <c r="AZ75" i="2" s="1"/>
  <c r="AX86" i="2"/>
  <c r="AW92" i="2"/>
  <c r="AY97" i="2"/>
  <c r="AZ97" i="2" s="1"/>
  <c r="H7" i="2"/>
  <c r="N58" i="2"/>
  <c r="AX63" i="2"/>
  <c r="AX65" i="2"/>
  <c r="AW76" i="2"/>
  <c r="AY81" i="2"/>
  <c r="AZ81" i="2" s="1"/>
  <c r="AX92" i="2"/>
  <c r="J7" i="2"/>
  <c r="O58" i="2"/>
  <c r="AY63" i="2"/>
  <c r="AZ63" i="2" s="1"/>
  <c r="AX70" i="2"/>
  <c r="AX82" i="2"/>
  <c r="AW70" i="2"/>
  <c r="AW83" i="2"/>
  <c r="AW88" i="2"/>
  <c r="AW78" i="2"/>
  <c r="L7" i="2"/>
  <c r="G35" i="2"/>
  <c r="AX69" i="2"/>
  <c r="AX76" i="2"/>
  <c r="AX83" i="2"/>
  <c r="AW86" i="2"/>
  <c r="AX93" i="2"/>
  <c r="L57" i="2"/>
  <c r="AY69" i="2"/>
  <c r="AZ69" i="2" s="1"/>
  <c r="AX73" i="2"/>
  <c r="AX80" i="2"/>
  <c r="AY83" i="2"/>
  <c r="AZ83" i="2" s="1"/>
  <c r="AX90" i="2"/>
  <c r="AX94" i="2"/>
  <c r="AX98" i="2"/>
  <c r="O35" i="2"/>
  <c r="M57" i="2"/>
  <c r="AW64" i="2"/>
  <c r="AW68" i="2"/>
  <c r="AX72" i="2"/>
  <c r="AY73" i="2"/>
  <c r="AZ73" i="2" s="1"/>
  <c r="AW77" i="2"/>
  <c r="AW80" i="2"/>
  <c r="AW84" i="2"/>
  <c r="AY87" i="2"/>
  <c r="AZ87" i="2" s="1"/>
  <c r="AW91" i="2"/>
  <c r="AW94" i="2"/>
  <c r="G34" i="2"/>
  <c r="F36" i="2"/>
  <c r="N57" i="2"/>
  <c r="AX68" i="2"/>
  <c r="AX74" i="2"/>
  <c r="AX77" i="2"/>
  <c r="AX84" i="2"/>
  <c r="AY91" i="2"/>
  <c r="AZ91" i="2" s="1"/>
  <c r="AW71" i="2"/>
  <c r="AW75" i="2"/>
  <c r="AX78" i="2"/>
  <c r="AX88" i="2"/>
  <c r="AX96" i="2"/>
  <c r="D67" i="1"/>
  <c r="C67" i="1"/>
  <c r="C78" i="1"/>
  <c r="E86" i="1"/>
  <c r="D86" i="1"/>
  <c r="C90" i="1"/>
  <c r="C92" i="1"/>
  <c r="C98" i="1"/>
  <c r="E102" i="1"/>
  <c r="D102" i="1"/>
  <c r="O34" i="2"/>
  <c r="K73" i="1"/>
  <c r="D78" i="1"/>
  <c r="J82" i="1"/>
  <c r="D84" i="1"/>
  <c r="C86" i="1"/>
  <c r="D90" i="1"/>
  <c r="D92" i="1"/>
  <c r="C94" i="1"/>
  <c r="D98" i="1"/>
  <c r="D100" i="1"/>
  <c r="C102" i="1"/>
  <c r="G37" i="2"/>
  <c r="F37" i="2"/>
  <c r="AX64" i="2"/>
  <c r="F50" i="2"/>
  <c r="E50" i="2"/>
  <c r="E66" i="1"/>
  <c r="D66" i="1"/>
  <c r="E67" i="1"/>
  <c r="E36" i="2"/>
  <c r="F39" i="2"/>
  <c r="M48" i="2"/>
  <c r="D50" i="2"/>
  <c r="N52" i="2"/>
  <c r="M52" i="2"/>
  <c r="E57" i="2"/>
  <c r="D57" i="2"/>
  <c r="C47" i="2"/>
  <c r="N48" i="2"/>
  <c r="G50" i="2"/>
  <c r="L52" i="2"/>
  <c r="AW74" i="2"/>
  <c r="AW98" i="2"/>
  <c r="P50" i="4"/>
  <c r="C63" i="1"/>
  <c r="C65" i="1"/>
  <c r="F66" i="1"/>
  <c r="L69" i="1"/>
  <c r="K69" i="1"/>
  <c r="E74" i="1"/>
  <c r="D74" i="1"/>
  <c r="E75" i="1"/>
  <c r="F78" i="1"/>
  <c r="K81" i="1"/>
  <c r="L82" i="1"/>
  <c r="F90" i="1"/>
  <c r="AY98" i="2"/>
  <c r="AZ98" i="2" s="1"/>
  <c r="AY90" i="2"/>
  <c r="AZ90" i="2" s="1"/>
  <c r="AY82" i="2"/>
  <c r="AZ82" i="2" s="1"/>
  <c r="AY74" i="2"/>
  <c r="AZ74" i="2" s="1"/>
  <c r="L58" i="2"/>
  <c r="P58" i="2" s="1"/>
  <c r="F7" i="2"/>
  <c r="AY85" i="2"/>
  <c r="AZ85" i="2" s="1"/>
  <c r="AY77" i="2"/>
  <c r="AZ77" i="2" s="1"/>
  <c r="AY72" i="2"/>
  <c r="AZ72" i="2" s="1"/>
  <c r="AY68" i="2"/>
  <c r="AZ68" i="2" s="1"/>
  <c r="AY64" i="2"/>
  <c r="AZ64" i="2" s="1"/>
  <c r="AY93" i="2"/>
  <c r="AZ93" i="2" s="1"/>
  <c r="AY70" i="2"/>
  <c r="AZ70" i="2" s="1"/>
  <c r="AY66" i="2"/>
  <c r="AZ66" i="2" s="1"/>
  <c r="O57" i="2"/>
  <c r="D7" i="2"/>
  <c r="L35" i="2"/>
  <c r="G36" i="2"/>
  <c r="D37" i="2"/>
  <c r="E40" i="2"/>
  <c r="G45" i="2"/>
  <c r="F45" i="2"/>
  <c r="N45" i="2"/>
  <c r="F47" i="2"/>
  <c r="C48" i="2"/>
  <c r="O48" i="2"/>
  <c r="E51" i="2"/>
  <c r="E59" i="2"/>
  <c r="D59" i="2"/>
  <c r="C62" i="2"/>
  <c r="AY65" i="2"/>
  <c r="AZ65" i="2" s="1"/>
  <c r="AY78" i="2"/>
  <c r="AZ78" i="2" s="1"/>
  <c r="AY84" i="2"/>
  <c r="AZ84" i="2" s="1"/>
  <c r="AY88" i="2"/>
  <c r="AZ88" i="2" s="1"/>
  <c r="AY94" i="2"/>
  <c r="AZ94" i="2" s="1"/>
  <c r="P40" i="4"/>
  <c r="J68" i="1"/>
  <c r="J69" i="1"/>
  <c r="C74" i="1"/>
  <c r="K78" i="1"/>
  <c r="J78" i="1"/>
  <c r="L81" i="1"/>
  <c r="D83" i="1"/>
  <c r="C83" i="1"/>
  <c r="C87" i="1"/>
  <c r="F89" i="1"/>
  <c r="E89" i="1"/>
  <c r="D91" i="1"/>
  <c r="C91" i="1"/>
  <c r="C95" i="1"/>
  <c r="F97" i="1"/>
  <c r="E97" i="1"/>
  <c r="D99" i="1"/>
  <c r="C99" i="1"/>
  <c r="M35" i="2"/>
  <c r="E37" i="2"/>
  <c r="O39" i="2"/>
  <c r="N39" i="2"/>
  <c r="F40" i="2"/>
  <c r="P41" i="2"/>
  <c r="F44" i="2"/>
  <c r="C45" i="2"/>
  <c r="O45" i="2"/>
  <c r="G47" i="2"/>
  <c r="D48" i="2"/>
  <c r="P48" i="2"/>
  <c r="P50" i="2"/>
  <c r="O50" i="2"/>
  <c r="F51" i="2"/>
  <c r="D52" i="2"/>
  <c r="C52" i="2"/>
  <c r="P52" i="2"/>
  <c r="M53" i="2"/>
  <c r="D56" i="2"/>
  <c r="C56" i="2"/>
  <c r="G57" i="2"/>
  <c r="E58" i="2"/>
  <c r="C59" i="2"/>
  <c r="H60" i="2"/>
  <c r="D62" i="2"/>
  <c r="G63" i="2"/>
  <c r="F64" i="2"/>
  <c r="D65" i="2"/>
  <c r="AX66" i="2"/>
  <c r="AW67" i="2"/>
  <c r="H68" i="2"/>
  <c r="F69" i="2"/>
  <c r="C71" i="2"/>
  <c r="AY71" i="2"/>
  <c r="AZ71" i="2" s="1"/>
  <c r="AW72" i="2"/>
  <c r="T42" i="9"/>
  <c r="T38" i="9"/>
  <c r="T36" i="9"/>
  <c r="T31" i="9"/>
  <c r="T27" i="9"/>
  <c r="T23" i="9"/>
  <c r="T19" i="9"/>
  <c r="T15" i="9"/>
  <c r="T11" i="9"/>
  <c r="T40" i="9"/>
  <c r="T35" i="9"/>
  <c r="T44" i="9"/>
  <c r="T32" i="9"/>
  <c r="T28" i="9"/>
  <c r="T24" i="9"/>
  <c r="T20" i="9"/>
  <c r="T16" i="9"/>
  <c r="T12" i="9"/>
  <c r="T8" i="9"/>
  <c r="T39" i="9"/>
  <c r="T43" i="9"/>
  <c r="T37" i="9"/>
  <c r="T33" i="9"/>
  <c r="T29" i="9"/>
  <c r="T25" i="9"/>
  <c r="T21" i="9"/>
  <c r="T17" i="9"/>
  <c r="T13" i="9"/>
  <c r="T9" i="9"/>
  <c r="T41" i="9"/>
  <c r="T45" i="9"/>
  <c r="T34" i="9"/>
  <c r="T30" i="9"/>
  <c r="T26" i="9"/>
  <c r="T22" i="9"/>
  <c r="T18" i="9"/>
  <c r="T14" i="9"/>
  <c r="T10" i="9"/>
  <c r="T6" i="9"/>
  <c r="T7" i="9"/>
  <c r="U43" i="9"/>
  <c r="U39" i="9"/>
  <c r="U35" i="9"/>
  <c r="U44" i="9"/>
  <c r="U40" i="9"/>
  <c r="U36" i="9"/>
  <c r="U42" i="9"/>
  <c r="U31" i="9"/>
  <c r="U27" i="9"/>
  <c r="U23" i="9"/>
  <c r="U19" i="9"/>
  <c r="U15" i="9"/>
  <c r="U11" i="9"/>
  <c r="U7" i="9"/>
  <c r="U32" i="9"/>
  <c r="U28" i="9"/>
  <c r="U24" i="9"/>
  <c r="U20" i="9"/>
  <c r="U16" i="9"/>
  <c r="U12" i="9"/>
  <c r="U8" i="9"/>
  <c r="U37" i="9"/>
  <c r="U33" i="9"/>
  <c r="U29" i="9"/>
  <c r="U25" i="9"/>
  <c r="U41" i="9"/>
  <c r="U45" i="9"/>
  <c r="U34" i="9"/>
  <c r="U30" i="9"/>
  <c r="U26" i="9"/>
  <c r="U22" i="9"/>
  <c r="U18" i="9"/>
  <c r="U14" i="9"/>
  <c r="U10" i="9"/>
  <c r="U6" i="9"/>
  <c r="U38" i="9"/>
  <c r="AN204" i="7"/>
  <c r="AN166" i="7"/>
  <c r="U13" i="9"/>
  <c r="AN304" i="7"/>
  <c r="AN296" i="7"/>
  <c r="AN264" i="7"/>
  <c r="AN256" i="7"/>
  <c r="AN248" i="7"/>
  <c r="AN240" i="7"/>
  <c r="AN232" i="7"/>
  <c r="AN224" i="7"/>
  <c r="AN216" i="7"/>
  <c r="AN198" i="7"/>
  <c r="AN194" i="7"/>
  <c r="AN190" i="7"/>
  <c r="AN186" i="7"/>
  <c r="AN172" i="7"/>
  <c r="AN156" i="7"/>
  <c r="U21" i="9"/>
  <c r="U17" i="9"/>
  <c r="AN300" i="7"/>
  <c r="AN292" i="7"/>
  <c r="AN284" i="7"/>
  <c r="AN276" i="7"/>
  <c r="AN268" i="7"/>
  <c r="AN260" i="7"/>
  <c r="AN252" i="7"/>
  <c r="AN244" i="7"/>
  <c r="AN236" i="7"/>
  <c r="AN228" i="7"/>
  <c r="AN220" i="7"/>
  <c r="AN212" i="7"/>
  <c r="AN206" i="7"/>
  <c r="AN196" i="7"/>
  <c r="AN192" i="7"/>
  <c r="AN188" i="7"/>
  <c r="AN184" i="7"/>
  <c r="AN180" i="7"/>
  <c r="AN164" i="7"/>
  <c r="U9" i="9"/>
  <c r="AN298" i="7"/>
  <c r="AN290" i="7"/>
  <c r="AN282" i="7"/>
  <c r="AN274" i="7"/>
  <c r="AN266" i="7"/>
  <c r="AN258" i="7"/>
  <c r="AN250" i="7"/>
  <c r="AN242" i="7"/>
  <c r="AN234" i="7"/>
  <c r="AN226" i="7"/>
  <c r="AN218" i="7"/>
  <c r="AN210" i="7"/>
  <c r="AN176" i="7"/>
  <c r="AN160" i="7"/>
  <c r="AN151" i="7"/>
  <c r="AN149" i="7"/>
  <c r="AN147" i="7"/>
  <c r="AN145" i="7"/>
  <c r="AN143" i="7"/>
  <c r="AN141" i="7"/>
  <c r="AN139" i="7"/>
  <c r="AN137" i="7"/>
  <c r="AN135" i="7"/>
  <c r="AN133" i="7"/>
  <c r="AN131" i="7"/>
  <c r="AN129" i="7"/>
  <c r="AN127" i="7"/>
  <c r="AN125" i="7"/>
  <c r="AN123" i="7"/>
  <c r="AN121" i="7"/>
  <c r="AN119" i="7"/>
  <c r="AN117" i="7"/>
  <c r="AN115" i="7"/>
  <c r="AN113" i="7"/>
  <c r="AN111" i="7"/>
  <c r="AN109" i="7"/>
  <c r="AN107" i="7"/>
  <c r="AN105" i="7"/>
  <c r="AN103" i="7"/>
  <c r="AN101" i="7"/>
  <c r="AN99" i="7"/>
  <c r="AN97" i="7"/>
  <c r="AN95" i="7"/>
  <c r="AN93" i="7"/>
  <c r="AN91" i="7"/>
  <c r="AN89" i="7"/>
  <c r="AN87" i="7"/>
  <c r="AN85" i="7"/>
  <c r="AN83" i="7"/>
  <c r="AN81" i="7"/>
  <c r="AN79" i="7"/>
  <c r="AN77" i="7"/>
  <c r="AN75" i="7"/>
  <c r="AN73" i="7"/>
  <c r="AN71" i="7"/>
  <c r="AN69" i="7"/>
  <c r="AN67" i="7"/>
  <c r="AN65" i="7"/>
  <c r="AN63" i="7"/>
  <c r="AN61" i="7"/>
  <c r="AN59" i="7"/>
  <c r="AN57" i="7"/>
  <c r="AN55" i="7"/>
  <c r="AN53" i="7"/>
  <c r="AN51" i="7"/>
  <c r="AN49" i="7"/>
  <c r="AN47" i="7"/>
  <c r="AN45" i="7"/>
  <c r="AN43" i="7"/>
  <c r="AN41" i="7"/>
  <c r="AN39" i="7"/>
  <c r="AN37" i="7"/>
  <c r="AN35" i="7"/>
  <c r="AN33" i="7"/>
  <c r="AN31" i="7"/>
  <c r="AN29" i="7"/>
  <c r="AN27" i="7"/>
  <c r="AN25" i="7"/>
  <c r="AN23" i="7"/>
  <c r="AN21" i="7"/>
  <c r="AN19" i="7"/>
  <c r="AN17" i="7"/>
  <c r="AN15" i="7"/>
  <c r="AN13" i="7"/>
  <c r="AN11" i="7"/>
  <c r="P43" i="4"/>
  <c r="P51" i="4"/>
  <c r="P59" i="4"/>
  <c r="P67" i="4"/>
  <c r="K70" i="1"/>
  <c r="J70" i="1"/>
  <c r="L73" i="1"/>
  <c r="E84" i="1"/>
  <c r="F86" i="1"/>
  <c r="E100" i="1"/>
  <c r="P42" i="2"/>
  <c r="O42" i="2"/>
  <c r="F68" i="2"/>
  <c r="D69" i="2"/>
  <c r="P58" i="4"/>
  <c r="P66" i="4"/>
  <c r="N35" i="5"/>
  <c r="F98" i="1"/>
  <c r="F34" i="2"/>
  <c r="E34" i="2"/>
  <c r="N34" i="2"/>
  <c r="L42" i="2"/>
  <c r="G43" i="2"/>
  <c r="E44" i="2"/>
  <c r="M49" i="2"/>
  <c r="L49" i="2"/>
  <c r="H50" i="2"/>
  <c r="O52" i="2"/>
  <c r="L53" i="2"/>
  <c r="F57" i="2"/>
  <c r="D58" i="2"/>
  <c r="G60" i="2"/>
  <c r="F63" i="2"/>
  <c r="C64" i="2"/>
  <c r="C65" i="2"/>
  <c r="E69" i="2"/>
  <c r="E70" i="2"/>
  <c r="D70" i="2"/>
  <c r="AX71" i="2"/>
  <c r="G73" i="2"/>
  <c r="AY76" i="2"/>
  <c r="AZ76" i="2" s="1"/>
  <c r="AY80" i="2"/>
  <c r="AZ80" i="2" s="1"/>
  <c r="AY86" i="2"/>
  <c r="AZ86" i="2" s="1"/>
  <c r="AY92" i="2"/>
  <c r="AZ92" i="2" s="1"/>
  <c r="AY96" i="2"/>
  <c r="AZ96" i="2" s="1"/>
  <c r="P46" i="4"/>
  <c r="N33" i="5"/>
  <c r="J67" i="1"/>
  <c r="F73" i="1"/>
  <c r="E73" i="1"/>
  <c r="K68" i="1"/>
  <c r="C72" i="1"/>
  <c r="C73" i="1"/>
  <c r="F74" i="1"/>
  <c r="L77" i="1"/>
  <c r="K77" i="1"/>
  <c r="L78" i="1"/>
  <c r="E82" i="1"/>
  <c r="D82" i="1"/>
  <c r="E83" i="1"/>
  <c r="C89" i="1"/>
  <c r="E91" i="1"/>
  <c r="C97" i="1"/>
  <c r="E99" i="1"/>
  <c r="D34" i="2"/>
  <c r="C35" i="2"/>
  <c r="N35" i="2"/>
  <c r="N36" i="2"/>
  <c r="M36" i="2"/>
  <c r="H37" i="2"/>
  <c r="L39" i="2"/>
  <c r="F42" i="2"/>
  <c r="E42" i="2"/>
  <c r="N42" i="2"/>
  <c r="D45" i="2"/>
  <c r="O49" i="2"/>
  <c r="L50" i="2"/>
  <c r="G51" i="2"/>
  <c r="E52" i="2"/>
  <c r="G53" i="2"/>
  <c r="F53" i="2"/>
  <c r="N53" i="2"/>
  <c r="E56" i="2"/>
  <c r="H57" i="2"/>
  <c r="F58" i="2"/>
  <c r="F59" i="2"/>
  <c r="G61" i="2"/>
  <c r="F61" i="2"/>
  <c r="E65" i="2"/>
  <c r="E66" i="2"/>
  <c r="D66" i="2"/>
  <c r="AX67" i="2"/>
  <c r="G69" i="2"/>
  <c r="F70" i="2"/>
  <c r="D71" i="2"/>
  <c r="AW73" i="2"/>
  <c r="AX79" i="2"/>
  <c r="AW79" i="2"/>
  <c r="AW81" i="2"/>
  <c r="AX87" i="2"/>
  <c r="AW87" i="2"/>
  <c r="AW89" i="2"/>
  <c r="AX95" i="2"/>
  <c r="AW95" i="2"/>
  <c r="AW97" i="2"/>
  <c r="P32" i="4"/>
  <c r="P38" i="4"/>
  <c r="P52" i="4"/>
  <c r="P60" i="4"/>
  <c r="N25" i="5"/>
  <c r="N27" i="5"/>
  <c r="E39" i="2"/>
  <c r="D39" i="2"/>
  <c r="N44" i="2"/>
  <c r="M44" i="2"/>
  <c r="L34" i="2"/>
  <c r="M41" i="2"/>
  <c r="L41" i="2"/>
  <c r="E47" i="2"/>
  <c r="D47" i="2"/>
  <c r="D63" i="2"/>
  <c r="N29" i="5"/>
  <c r="N36" i="5"/>
  <c r="N37" i="5"/>
  <c r="C66" i="1"/>
  <c r="F67" i="1"/>
  <c r="D75" i="1"/>
  <c r="C75" i="1"/>
  <c r="E92" i="1"/>
  <c r="F102" i="1"/>
  <c r="M34" i="2"/>
  <c r="C37" i="2"/>
  <c r="G39" i="2"/>
  <c r="N41" i="2"/>
  <c r="D44" i="2"/>
  <c r="C44" i="2"/>
  <c r="P44" i="2"/>
  <c r="M45" i="2"/>
  <c r="H48" i="2"/>
  <c r="G48" i="2"/>
  <c r="D51" i="2"/>
  <c r="C57" i="2"/>
  <c r="C58" i="2"/>
  <c r="H62" i="2"/>
  <c r="G62" i="2"/>
  <c r="E63" i="2"/>
  <c r="E64" i="2"/>
  <c r="D64" i="2"/>
  <c r="AW82" i="2"/>
  <c r="AW90" i="2"/>
  <c r="P34" i="4"/>
  <c r="F81" i="1"/>
  <c r="E81" i="1"/>
  <c r="H44" i="2"/>
  <c r="O47" i="2"/>
  <c r="N47" i="2"/>
  <c r="F48" i="2"/>
  <c r="O53" i="2"/>
  <c r="G58" i="2"/>
  <c r="F62" i="2"/>
  <c r="H64" i="2"/>
  <c r="F65" i="2"/>
  <c r="E72" i="2"/>
  <c r="D72" i="2"/>
  <c r="AX89" i="2"/>
  <c r="AX91" i="2"/>
  <c r="AW93" i="2"/>
  <c r="AY95" i="2"/>
  <c r="AZ95" i="2" s="1"/>
  <c r="AX97" i="2"/>
  <c r="P54" i="4"/>
  <c r="P62" i="4"/>
  <c r="N34" i="5"/>
  <c r="AM9" i="7"/>
  <c r="AN9" i="7" s="1"/>
  <c r="AM7" i="7"/>
  <c r="N32" i="5"/>
  <c r="C84" i="1"/>
  <c r="E94" i="1"/>
  <c r="D94" i="1"/>
  <c r="C100" i="1"/>
  <c r="D36" i="2"/>
  <c r="C36" i="2"/>
  <c r="C39" i="2"/>
  <c r="H40" i="2"/>
  <c r="G40" i="2"/>
  <c r="L44" i="2"/>
  <c r="C50" i="2"/>
  <c r="F60" i="2"/>
  <c r="E60" i="2"/>
  <c r="C63" i="2"/>
  <c r="E68" i="2"/>
  <c r="D68" i="2"/>
  <c r="P42" i="4"/>
  <c r="N38" i="5"/>
  <c r="N45" i="5"/>
  <c r="Y18" i="7"/>
  <c r="S18" i="7"/>
  <c r="AJ18" i="7" s="1"/>
  <c r="AN26" i="7"/>
  <c r="AN42" i="7"/>
  <c r="AN58" i="7"/>
  <c r="AN74" i="7"/>
  <c r="AN90" i="7"/>
  <c r="AN106" i="7"/>
  <c r="AN122" i="7"/>
  <c r="AN138" i="7"/>
  <c r="AN154" i="7"/>
  <c r="AN174" i="7"/>
  <c r="N50" i="5"/>
  <c r="V27" i="9"/>
  <c r="S6" i="7"/>
  <c r="S9" i="7"/>
  <c r="S7" i="7"/>
  <c r="N6" i="7"/>
  <c r="AG10" i="7"/>
  <c r="Y10" i="7"/>
  <c r="S10" i="7"/>
  <c r="AJ10" i="7" s="1"/>
  <c r="N10" i="7"/>
  <c r="Y16" i="7"/>
  <c r="S16" i="7"/>
  <c r="AJ16" i="7" s="1"/>
  <c r="AN24" i="7"/>
  <c r="AN40" i="7"/>
  <c r="AN56" i="7"/>
  <c r="AN72" i="7"/>
  <c r="AN88" i="7"/>
  <c r="AN104" i="7"/>
  <c r="AN120" i="7"/>
  <c r="AN136" i="7"/>
  <c r="AN152" i="7"/>
  <c r="AN238" i="7"/>
  <c r="AN254" i="7"/>
  <c r="AN270" i="7"/>
  <c r="AN286" i="7"/>
  <c r="N31" i="5"/>
  <c r="N51" i="5"/>
  <c r="N55" i="5"/>
  <c r="N67" i="5"/>
  <c r="N85" i="5"/>
  <c r="H101" i="5"/>
  <c r="G101" i="5"/>
  <c r="N101" i="5"/>
  <c r="F101" i="5"/>
  <c r="M101" i="5"/>
  <c r="E101" i="5"/>
  <c r="K101" i="5"/>
  <c r="C101" i="5"/>
  <c r="J101" i="5"/>
  <c r="B101" i="5"/>
  <c r="Y14" i="7"/>
  <c r="S14" i="7"/>
  <c r="AJ14" i="7" s="1"/>
  <c r="AN22" i="7"/>
  <c r="AN38" i="7"/>
  <c r="AN54" i="7"/>
  <c r="AN70" i="7"/>
  <c r="AN86" i="7"/>
  <c r="AN102" i="7"/>
  <c r="AN118" i="7"/>
  <c r="AN134" i="7"/>
  <c r="AN150" i="7"/>
  <c r="AN162" i="7"/>
  <c r="AN182" i="7"/>
  <c r="AN214" i="7"/>
  <c r="N56" i="5"/>
  <c r="B67" i="5"/>
  <c r="N81" i="5"/>
  <c r="B85" i="5"/>
  <c r="D101" i="5"/>
  <c r="AF8" i="7"/>
  <c r="AM8" i="7"/>
  <c r="AC8" i="7"/>
  <c r="Y12" i="7"/>
  <c r="S12" i="7"/>
  <c r="AJ12" i="7" s="1"/>
  <c r="AJ15" i="7"/>
  <c r="AN20" i="7"/>
  <c r="AN36" i="7"/>
  <c r="AN52" i="7"/>
  <c r="AN68" i="7"/>
  <c r="AN84" i="7"/>
  <c r="AN100" i="7"/>
  <c r="AN116" i="7"/>
  <c r="AN132" i="7"/>
  <c r="AN148" i="7"/>
  <c r="AN280" i="7"/>
  <c r="AN302" i="7"/>
  <c r="N46" i="5"/>
  <c r="N57" i="5"/>
  <c r="N77" i="5"/>
  <c r="B83" i="5"/>
  <c r="H97" i="5"/>
  <c r="G97" i="5"/>
  <c r="N97" i="5"/>
  <c r="F97" i="5"/>
  <c r="M97" i="5"/>
  <c r="E97" i="5"/>
  <c r="K97" i="5"/>
  <c r="C97" i="5"/>
  <c r="J97" i="5"/>
  <c r="B97" i="5"/>
  <c r="Y6" i="7"/>
  <c r="W6" i="9"/>
  <c r="AJ13" i="7"/>
  <c r="AN18" i="7"/>
  <c r="Y26" i="7"/>
  <c r="S26" i="7"/>
  <c r="AJ26" i="7" s="1"/>
  <c r="AN34" i="7"/>
  <c r="AN50" i="7"/>
  <c r="AN66" i="7"/>
  <c r="AN82" i="7"/>
  <c r="AN98" i="7"/>
  <c r="AN114" i="7"/>
  <c r="AN130" i="7"/>
  <c r="AN146" i="7"/>
  <c r="AN158" i="7"/>
  <c r="AN170" i="7"/>
  <c r="AN202" i="7"/>
  <c r="AN208" i="7"/>
  <c r="AN230" i="7"/>
  <c r="N42" i="5"/>
  <c r="N52" i="5"/>
  <c r="N58" i="5"/>
  <c r="N73" i="5"/>
  <c r="B79" i="5"/>
  <c r="D97" i="5"/>
  <c r="AN16" i="7"/>
  <c r="Y24" i="7"/>
  <c r="S24" i="7"/>
  <c r="AJ24" i="7" s="1"/>
  <c r="AN32" i="7"/>
  <c r="AN48" i="7"/>
  <c r="AN64" i="7"/>
  <c r="AN80" i="7"/>
  <c r="AN96" i="7"/>
  <c r="AN112" i="7"/>
  <c r="AN128" i="7"/>
  <c r="AN144" i="7"/>
  <c r="AN168" i="7"/>
  <c r="AN200" i="7"/>
  <c r="AN246" i="7"/>
  <c r="AN262" i="7"/>
  <c r="AN278" i="7"/>
  <c r="AN294" i="7"/>
  <c r="N43" i="5"/>
  <c r="N53" i="5"/>
  <c r="B75" i="5"/>
  <c r="N89" i="5"/>
  <c r="N93" i="5"/>
  <c r="B93" i="5"/>
  <c r="I97" i="5"/>
  <c r="Y8" i="7"/>
  <c r="S8" i="7"/>
  <c r="N8" i="7"/>
  <c r="AF10" i="7"/>
  <c r="AM10" i="7"/>
  <c r="AN10" i="7" s="1"/>
  <c r="AC10" i="7"/>
  <c r="AN14" i="7"/>
  <c r="Y22" i="7"/>
  <c r="S22" i="7"/>
  <c r="AJ22" i="7" s="1"/>
  <c r="AJ25" i="7"/>
  <c r="AN30" i="7"/>
  <c r="AN46" i="7"/>
  <c r="AN62" i="7"/>
  <c r="AN78" i="7"/>
  <c r="AN94" i="7"/>
  <c r="AN110" i="7"/>
  <c r="AN126" i="7"/>
  <c r="AN142" i="7"/>
  <c r="AN178" i="7"/>
  <c r="N48" i="5"/>
  <c r="B65" i="5"/>
  <c r="N65" i="5"/>
  <c r="B71" i="5"/>
  <c r="B89" i="5"/>
  <c r="L97" i="5"/>
  <c r="S27" i="9"/>
  <c r="L7" i="4" s="1"/>
  <c r="AF6" i="7"/>
  <c r="AM6" i="7"/>
  <c r="AN6" i="7" s="1"/>
  <c r="AC6" i="7"/>
  <c r="AN12" i="7"/>
  <c r="Y20" i="7"/>
  <c r="S20" i="7"/>
  <c r="AJ20" i="7" s="1"/>
  <c r="AJ23" i="7"/>
  <c r="AN28" i="7"/>
  <c r="AN44" i="7"/>
  <c r="AN60" i="7"/>
  <c r="AN76" i="7"/>
  <c r="AN92" i="7"/>
  <c r="AN108" i="7"/>
  <c r="AN124" i="7"/>
  <c r="AN140" i="7"/>
  <c r="AN222" i="7"/>
  <c r="AN272" i="7"/>
  <c r="AN288" i="7"/>
  <c r="AN163" i="7"/>
  <c r="AN179" i="7"/>
  <c r="Z208" i="7"/>
  <c r="T208" i="7"/>
  <c r="AN209" i="7"/>
  <c r="AN217" i="7"/>
  <c r="AJ224" i="7"/>
  <c r="AN225" i="7"/>
  <c r="AJ232" i="7"/>
  <c r="AN233" i="7"/>
  <c r="AJ240" i="7"/>
  <c r="AN241" i="7"/>
  <c r="AN249" i="7"/>
  <c r="AJ256" i="7"/>
  <c r="AN257" i="7"/>
  <c r="AJ264" i="7"/>
  <c r="AN265" i="7"/>
  <c r="AJ272" i="7"/>
  <c r="AN273" i="7"/>
  <c r="AN281" i="7"/>
  <c r="AJ288" i="7"/>
  <c r="AN289" i="7"/>
  <c r="AJ296" i="7"/>
  <c r="AN297" i="7"/>
  <c r="AJ304" i="7"/>
  <c r="AN305" i="7"/>
  <c r="V23" i="9"/>
  <c r="G95" i="5"/>
  <c r="I96" i="5"/>
  <c r="G99" i="5"/>
  <c r="I100" i="5"/>
  <c r="G103" i="5"/>
  <c r="AJ156" i="7"/>
  <c r="AN157" i="7"/>
  <c r="AJ172" i="7"/>
  <c r="AN173" i="7"/>
  <c r="AN183" i="7"/>
  <c r="AN187" i="7"/>
  <c r="AN191" i="7"/>
  <c r="AN195" i="7"/>
  <c r="AN199" i="7"/>
  <c r="Z216" i="7"/>
  <c r="T216" i="7"/>
  <c r="AJ216" i="7" s="1"/>
  <c r="Z224" i="7"/>
  <c r="T224" i="7"/>
  <c r="Z232" i="7"/>
  <c r="T232" i="7"/>
  <c r="Z240" i="7"/>
  <c r="T240" i="7"/>
  <c r="Z248" i="7"/>
  <c r="T248" i="7"/>
  <c r="AJ248" i="7" s="1"/>
  <c r="Z256" i="7"/>
  <c r="T256" i="7"/>
  <c r="Z264" i="7"/>
  <c r="T264" i="7"/>
  <c r="Z272" i="7"/>
  <c r="T272" i="7"/>
  <c r="Z280" i="7"/>
  <c r="T280" i="7"/>
  <c r="AJ280" i="7" s="1"/>
  <c r="Z288" i="7"/>
  <c r="T288" i="7"/>
  <c r="Z296" i="7"/>
  <c r="T296" i="7"/>
  <c r="Z304" i="7"/>
  <c r="T304" i="7"/>
  <c r="L10" i="8"/>
  <c r="M12" i="9"/>
  <c r="J12" i="9"/>
  <c r="D291" i="11"/>
  <c r="D287" i="11"/>
  <c r="D283" i="11"/>
  <c r="D279" i="11"/>
  <c r="D275" i="11"/>
  <c r="D271" i="11"/>
  <c r="D267" i="11"/>
  <c r="D263" i="11"/>
  <c r="D259" i="11"/>
  <c r="V13" i="9"/>
  <c r="X13" i="9" s="1"/>
  <c r="V19" i="9"/>
  <c r="AN167" i="7"/>
  <c r="Z204" i="7"/>
  <c r="T204" i="7"/>
  <c r="AJ204" i="7" s="1"/>
  <c r="AN205" i="7"/>
  <c r="AN211" i="7"/>
  <c r="AN219" i="7"/>
  <c r="AJ226" i="7"/>
  <c r="AN227" i="7"/>
  <c r="AN235" i="7"/>
  <c r="AN243" i="7"/>
  <c r="AJ250" i="7"/>
  <c r="AN251" i="7"/>
  <c r="AJ258" i="7"/>
  <c r="AN259" i="7"/>
  <c r="AN267" i="7"/>
  <c r="AN275" i="7"/>
  <c r="AN283" i="7"/>
  <c r="AJ290" i="7"/>
  <c r="AN291" i="7"/>
  <c r="AN299" i="7"/>
  <c r="M8" i="9"/>
  <c r="J8" i="9"/>
  <c r="V8" i="9" s="1"/>
  <c r="X8" i="9" s="1"/>
  <c r="D125" i="11"/>
  <c r="D121" i="11"/>
  <c r="D149" i="11"/>
  <c r="D145" i="11"/>
  <c r="D141" i="11"/>
  <c r="D137" i="11"/>
  <c r="D133" i="11"/>
  <c r="D129" i="11"/>
  <c r="V9" i="9"/>
  <c r="X9" i="9" s="1"/>
  <c r="D364" i="11"/>
  <c r="D360" i="11"/>
  <c r="D356" i="11"/>
  <c r="D352" i="11"/>
  <c r="D348" i="11"/>
  <c r="D344" i="11"/>
  <c r="D340" i="11"/>
  <c r="D336" i="11"/>
  <c r="D331" i="11"/>
  <c r="V15" i="9"/>
  <c r="I95" i="5"/>
  <c r="I99" i="5"/>
  <c r="I103" i="5"/>
  <c r="AG7" i="7"/>
  <c r="AG9" i="7"/>
  <c r="S157" i="7"/>
  <c r="AJ157" i="7" s="1"/>
  <c r="S160" i="7"/>
  <c r="AJ160" i="7" s="1"/>
  <c r="AN161" i="7"/>
  <c r="T163" i="7"/>
  <c r="AJ163" i="7" s="1"/>
  <c r="T166" i="7"/>
  <c r="AJ166" i="7" s="1"/>
  <c r="S173" i="7"/>
  <c r="AJ173" i="7" s="1"/>
  <c r="S176" i="7"/>
  <c r="AJ176" i="7" s="1"/>
  <c r="AN177" i="7"/>
  <c r="T179" i="7"/>
  <c r="AJ179" i="7" s="1"/>
  <c r="Y182" i="7"/>
  <c r="S183" i="7"/>
  <c r="AJ183" i="7" s="1"/>
  <c r="AJ184" i="7"/>
  <c r="Y186" i="7"/>
  <c r="S187" i="7"/>
  <c r="AJ187" i="7" s="1"/>
  <c r="Y190" i="7"/>
  <c r="S191" i="7"/>
  <c r="AJ191" i="7" s="1"/>
  <c r="Y194" i="7"/>
  <c r="S195" i="7"/>
  <c r="AJ195" i="7" s="1"/>
  <c r="Y198" i="7"/>
  <c r="S199" i="7"/>
  <c r="AJ199" i="7" s="1"/>
  <c r="T209" i="7"/>
  <c r="AJ209" i="7" s="1"/>
  <c r="Z210" i="7"/>
  <c r="T210" i="7"/>
  <c r="AJ210" i="7" s="1"/>
  <c r="Z215" i="7"/>
  <c r="Z218" i="7"/>
  <c r="T218" i="7"/>
  <c r="AJ218" i="7" s="1"/>
  <c r="Z223" i="7"/>
  <c r="Z226" i="7"/>
  <c r="T226" i="7"/>
  <c r="Z231" i="7"/>
  <c r="Z234" i="7"/>
  <c r="T234" i="7"/>
  <c r="AJ234" i="7" s="1"/>
  <c r="Z239" i="7"/>
  <c r="Z242" i="7"/>
  <c r="T242" i="7"/>
  <c r="AJ242" i="7" s="1"/>
  <c r="Z247" i="7"/>
  <c r="Z250" i="7"/>
  <c r="T250" i="7"/>
  <c r="Z255" i="7"/>
  <c r="Z258" i="7"/>
  <c r="T258" i="7"/>
  <c r="Z263" i="7"/>
  <c r="Z266" i="7"/>
  <c r="T266" i="7"/>
  <c r="AJ266" i="7" s="1"/>
  <c r="Z271" i="7"/>
  <c r="Z274" i="7"/>
  <c r="T274" i="7"/>
  <c r="AJ274" i="7" s="1"/>
  <c r="Z279" i="7"/>
  <c r="Z282" i="7"/>
  <c r="T282" i="7"/>
  <c r="AJ282" i="7" s="1"/>
  <c r="Z287" i="7"/>
  <c r="Z290" i="7"/>
  <c r="T290" i="7"/>
  <c r="Z298" i="7"/>
  <c r="T298" i="7"/>
  <c r="AJ298" i="7" s="1"/>
  <c r="L6" i="8"/>
  <c r="B87" i="5"/>
  <c r="B91" i="5"/>
  <c r="B95" i="5"/>
  <c r="J95" i="5"/>
  <c r="D96" i="5"/>
  <c r="L96" i="5"/>
  <c r="B99" i="5"/>
  <c r="J99" i="5"/>
  <c r="D100" i="5"/>
  <c r="L100" i="5"/>
  <c r="B103" i="5"/>
  <c r="J103" i="5"/>
  <c r="AJ154" i="7"/>
  <c r="AN155" i="7"/>
  <c r="AN171" i="7"/>
  <c r="Z200" i="7"/>
  <c r="T200" i="7"/>
  <c r="AJ200" i="7" s="1"/>
  <c r="AN201" i="7"/>
  <c r="AJ212" i="7"/>
  <c r="AN213" i="7"/>
  <c r="AN221" i="7"/>
  <c r="AN229" i="7"/>
  <c r="AN237" i="7"/>
  <c r="AJ244" i="7"/>
  <c r="AN245" i="7"/>
  <c r="AN253" i="7"/>
  <c r="AN261" i="7"/>
  <c r="AN269" i="7"/>
  <c r="AJ276" i="7"/>
  <c r="AN277" i="7"/>
  <c r="AN285" i="7"/>
  <c r="AN293" i="7"/>
  <c r="AN301" i="7"/>
  <c r="L7" i="8"/>
  <c r="D219" i="11"/>
  <c r="D213" i="11"/>
  <c r="D209" i="11"/>
  <c r="D205" i="11"/>
  <c r="D201" i="11"/>
  <c r="D197" i="11"/>
  <c r="D193" i="11"/>
  <c r="D189" i="11"/>
  <c r="V11" i="9"/>
  <c r="X11" i="9" s="1"/>
  <c r="D939" i="11"/>
  <c r="D935" i="11"/>
  <c r="D941" i="11"/>
  <c r="D937" i="11"/>
  <c r="D933" i="11"/>
  <c r="D929" i="11"/>
  <c r="D925" i="11"/>
  <c r="D921" i="11"/>
  <c r="D917" i="11"/>
  <c r="D913" i="11"/>
  <c r="D909" i="11"/>
  <c r="D931" i="11"/>
  <c r="D927" i="11"/>
  <c r="D919" i="11"/>
  <c r="D911" i="11"/>
  <c r="D907" i="11"/>
  <c r="D923" i="11"/>
  <c r="D915" i="11"/>
  <c r="V31" i="9"/>
  <c r="C95" i="5"/>
  <c r="K95" i="5"/>
  <c r="E96" i="5"/>
  <c r="M96" i="5"/>
  <c r="C99" i="5"/>
  <c r="K99" i="5"/>
  <c r="E100" i="5"/>
  <c r="M100" i="5"/>
  <c r="C103" i="5"/>
  <c r="K103" i="5"/>
  <c r="S28" i="7"/>
  <c r="AJ28" i="7" s="1"/>
  <c r="S30" i="7"/>
  <c r="AJ30" i="7" s="1"/>
  <c r="S32" i="7"/>
  <c r="AJ32" i="7" s="1"/>
  <c r="S34" i="7"/>
  <c r="AJ34" i="7" s="1"/>
  <c r="S36" i="7"/>
  <c r="AJ36" i="7" s="1"/>
  <c r="S38" i="7"/>
  <c r="AJ38" i="7" s="1"/>
  <c r="S40" i="7"/>
  <c r="AJ40" i="7" s="1"/>
  <c r="S42" i="7"/>
  <c r="AJ42" i="7" s="1"/>
  <c r="S44" i="7"/>
  <c r="AJ44" i="7" s="1"/>
  <c r="S46" i="7"/>
  <c r="AJ46" i="7" s="1"/>
  <c r="S48" i="7"/>
  <c r="AJ48" i="7" s="1"/>
  <c r="S50" i="7"/>
  <c r="AJ50" i="7" s="1"/>
  <c r="S52" i="7"/>
  <c r="AJ52" i="7" s="1"/>
  <c r="S54" i="7"/>
  <c r="AJ54" i="7" s="1"/>
  <c r="S56" i="7"/>
  <c r="AJ56" i="7" s="1"/>
  <c r="S58" i="7"/>
  <c r="AJ58" i="7" s="1"/>
  <c r="S60" i="7"/>
  <c r="AJ60" i="7" s="1"/>
  <c r="S62" i="7"/>
  <c r="AJ62" i="7" s="1"/>
  <c r="S64" i="7"/>
  <c r="AJ64" i="7" s="1"/>
  <c r="S66" i="7"/>
  <c r="AJ66" i="7" s="1"/>
  <c r="S68" i="7"/>
  <c r="AJ68" i="7" s="1"/>
  <c r="S70" i="7"/>
  <c r="AJ70" i="7" s="1"/>
  <c r="S72" i="7"/>
  <c r="AJ72" i="7" s="1"/>
  <c r="S74" i="7"/>
  <c r="AJ74" i="7" s="1"/>
  <c r="S76" i="7"/>
  <c r="AJ76" i="7" s="1"/>
  <c r="S78" i="7"/>
  <c r="AJ78" i="7" s="1"/>
  <c r="S80" i="7"/>
  <c r="AJ80" i="7" s="1"/>
  <c r="S82" i="7"/>
  <c r="AJ82" i="7" s="1"/>
  <c r="S84" i="7"/>
  <c r="AJ84" i="7" s="1"/>
  <c r="S86" i="7"/>
  <c r="AJ86" i="7" s="1"/>
  <c r="S88" i="7"/>
  <c r="AJ88" i="7" s="1"/>
  <c r="S90" i="7"/>
  <c r="AJ90" i="7" s="1"/>
  <c r="S92" i="7"/>
  <c r="AJ92" i="7" s="1"/>
  <c r="S94" i="7"/>
  <c r="AJ94" i="7" s="1"/>
  <c r="S96" i="7"/>
  <c r="AJ96" i="7" s="1"/>
  <c r="S98" i="7"/>
  <c r="AJ98" i="7" s="1"/>
  <c r="S100" i="7"/>
  <c r="AJ100" i="7" s="1"/>
  <c r="S102" i="7"/>
  <c r="AJ102" i="7" s="1"/>
  <c r="S104" i="7"/>
  <c r="AJ104" i="7" s="1"/>
  <c r="S106" i="7"/>
  <c r="AJ106" i="7" s="1"/>
  <c r="S108" i="7"/>
  <c r="AJ108" i="7" s="1"/>
  <c r="S110" i="7"/>
  <c r="AJ110" i="7" s="1"/>
  <c r="S112" i="7"/>
  <c r="AJ112" i="7" s="1"/>
  <c r="S114" i="7"/>
  <c r="AJ114" i="7" s="1"/>
  <c r="S116" i="7"/>
  <c r="AJ116" i="7" s="1"/>
  <c r="S118" i="7"/>
  <c r="AJ118" i="7" s="1"/>
  <c r="S120" i="7"/>
  <c r="AJ120" i="7" s="1"/>
  <c r="S122" i="7"/>
  <c r="AJ122" i="7" s="1"/>
  <c r="S124" i="7"/>
  <c r="AJ124" i="7" s="1"/>
  <c r="S126" i="7"/>
  <c r="AJ126" i="7" s="1"/>
  <c r="S128" i="7"/>
  <c r="AJ128" i="7" s="1"/>
  <c r="S130" i="7"/>
  <c r="AJ130" i="7" s="1"/>
  <c r="S132" i="7"/>
  <c r="AJ132" i="7" s="1"/>
  <c r="S134" i="7"/>
  <c r="AJ134" i="7" s="1"/>
  <c r="S136" i="7"/>
  <c r="AJ136" i="7" s="1"/>
  <c r="S138" i="7"/>
  <c r="AJ138" i="7" s="1"/>
  <c r="S140" i="7"/>
  <c r="AJ140" i="7" s="1"/>
  <c r="S142" i="7"/>
  <c r="AJ142" i="7" s="1"/>
  <c r="S144" i="7"/>
  <c r="AJ144" i="7" s="1"/>
  <c r="S146" i="7"/>
  <c r="AJ146" i="7" s="1"/>
  <c r="S148" i="7"/>
  <c r="AJ148" i="7" s="1"/>
  <c r="S150" i="7"/>
  <c r="AJ150" i="7" s="1"/>
  <c r="S152" i="7"/>
  <c r="AJ152" i="7" s="1"/>
  <c r="T154" i="7"/>
  <c r="S161" i="7"/>
  <c r="AJ161" i="7" s="1"/>
  <c r="S164" i="7"/>
  <c r="AN165" i="7"/>
  <c r="T167" i="7"/>
  <c r="AJ167" i="7" s="1"/>
  <c r="T170" i="7"/>
  <c r="AJ170" i="7" s="1"/>
  <c r="S177" i="7"/>
  <c r="AJ177" i="7" s="1"/>
  <c r="S180" i="7"/>
  <c r="AN181" i="7"/>
  <c r="AN185" i="7"/>
  <c r="AN189" i="7"/>
  <c r="AN193" i="7"/>
  <c r="AN197" i="7"/>
  <c r="T205" i="7"/>
  <c r="AJ205" i="7" s="1"/>
  <c r="Z206" i="7"/>
  <c r="T206" i="7"/>
  <c r="AJ206" i="7" s="1"/>
  <c r="AN207" i="7"/>
  <c r="Y210" i="7"/>
  <c r="Z212" i="7"/>
  <c r="T212" i="7"/>
  <c r="Z217" i="7"/>
  <c r="Z220" i="7"/>
  <c r="T220" i="7"/>
  <c r="AJ220" i="7" s="1"/>
  <c r="Z225" i="7"/>
  <c r="Z228" i="7"/>
  <c r="T228" i="7"/>
  <c r="AJ228" i="7" s="1"/>
  <c r="Z233" i="7"/>
  <c r="Z236" i="7"/>
  <c r="T236" i="7"/>
  <c r="AJ236" i="7" s="1"/>
  <c r="Z241" i="7"/>
  <c r="Z244" i="7"/>
  <c r="T244" i="7"/>
  <c r="Z249" i="7"/>
  <c r="Z252" i="7"/>
  <c r="T252" i="7"/>
  <c r="AJ252" i="7" s="1"/>
  <c r="Z257" i="7"/>
  <c r="Z260" i="7"/>
  <c r="T260" i="7"/>
  <c r="AJ260" i="7" s="1"/>
  <c r="Z265" i="7"/>
  <c r="Z268" i="7"/>
  <c r="T268" i="7"/>
  <c r="AJ268" i="7" s="1"/>
  <c r="Z273" i="7"/>
  <c r="Z276" i="7"/>
  <c r="T276" i="7"/>
  <c r="Z281" i="7"/>
  <c r="Z284" i="7"/>
  <c r="T284" i="7"/>
  <c r="AJ284" i="7" s="1"/>
  <c r="Z289" i="7"/>
  <c r="Z292" i="7"/>
  <c r="T292" i="7"/>
  <c r="AJ292" i="7" s="1"/>
  <c r="Z300" i="7"/>
  <c r="T300" i="7"/>
  <c r="AJ300" i="7" s="1"/>
  <c r="X7" i="9"/>
  <c r="D95" i="5"/>
  <c r="F96" i="5"/>
  <c r="D99" i="5"/>
  <c r="F100" i="5"/>
  <c r="D103" i="5"/>
  <c r="T6" i="7"/>
  <c r="AN159" i="7"/>
  <c r="T164" i="7"/>
  <c r="AN175" i="7"/>
  <c r="T180" i="7"/>
  <c r="T184" i="7"/>
  <c r="T188" i="7"/>
  <c r="AJ188" i="7" s="1"/>
  <c r="T192" i="7"/>
  <c r="AJ192" i="7" s="1"/>
  <c r="T196" i="7"/>
  <c r="AJ196" i="7" s="1"/>
  <c r="Y200" i="7"/>
  <c r="AJ214" i="7"/>
  <c r="AN215" i="7"/>
  <c r="AN223" i="7"/>
  <c r="AN231" i="7"/>
  <c r="AN239" i="7"/>
  <c r="AJ246" i="7"/>
  <c r="AN247" i="7"/>
  <c r="AN255" i="7"/>
  <c r="AN263" i="7"/>
  <c r="AN271" i="7"/>
  <c r="AJ278" i="7"/>
  <c r="AN279" i="7"/>
  <c r="AN287" i="7"/>
  <c r="AN295" i="7"/>
  <c r="AN303" i="7"/>
  <c r="N7" i="9"/>
  <c r="K7" i="9"/>
  <c r="W7" i="9" s="1"/>
  <c r="D417" i="11"/>
  <c r="D413" i="11"/>
  <c r="D434" i="11"/>
  <c r="D422" i="11"/>
  <c r="D415" i="11"/>
  <c r="D426" i="11"/>
  <c r="D430" i="11"/>
  <c r="D404" i="11"/>
  <c r="D408" i="11"/>
  <c r="V17" i="9"/>
  <c r="X17" i="9" s="1"/>
  <c r="M20" i="9"/>
  <c r="D531" i="11" s="1"/>
  <c r="J20" i="9"/>
  <c r="D580" i="11"/>
  <c r="D546" i="11"/>
  <c r="D576" i="11"/>
  <c r="D572" i="11"/>
  <c r="D568" i="11"/>
  <c r="D564" i="11"/>
  <c r="D560" i="11"/>
  <c r="D556" i="11"/>
  <c r="D552" i="11"/>
  <c r="V21" i="9"/>
  <c r="X21" i="9" s="1"/>
  <c r="AN153" i="7"/>
  <c r="AJ168" i="7"/>
  <c r="AN169" i="7"/>
  <c r="AJ182" i="7"/>
  <c r="AJ186" i="7"/>
  <c r="AJ190" i="7"/>
  <c r="AJ194" i="7"/>
  <c r="AJ198" i="7"/>
  <c r="Z202" i="7"/>
  <c r="T202" i="7"/>
  <c r="AJ202" i="7" s="1"/>
  <c r="AN203" i="7"/>
  <c r="AJ208" i="7"/>
  <c r="Z214" i="7"/>
  <c r="T214" i="7"/>
  <c r="Z222" i="7"/>
  <c r="T222" i="7"/>
  <c r="AJ222" i="7" s="1"/>
  <c r="Z230" i="7"/>
  <c r="T230" i="7"/>
  <c r="AJ230" i="7" s="1"/>
  <c r="Z238" i="7"/>
  <c r="T238" i="7"/>
  <c r="AJ238" i="7" s="1"/>
  <c r="Z246" i="7"/>
  <c r="T246" i="7"/>
  <c r="Z254" i="7"/>
  <c r="T254" i="7"/>
  <c r="AJ254" i="7" s="1"/>
  <c r="Z262" i="7"/>
  <c r="T262" i="7"/>
  <c r="AJ262" i="7" s="1"/>
  <c r="Z270" i="7"/>
  <c r="T270" i="7"/>
  <c r="AJ270" i="7" s="1"/>
  <c r="Z278" i="7"/>
  <c r="T278" i="7"/>
  <c r="Z286" i="7"/>
  <c r="T286" i="7"/>
  <c r="AJ286" i="7" s="1"/>
  <c r="Z294" i="7"/>
  <c r="T294" i="7"/>
  <c r="AJ294" i="7" s="1"/>
  <c r="Z302" i="7"/>
  <c r="T302" i="7"/>
  <c r="AJ302" i="7" s="1"/>
  <c r="M16" i="9"/>
  <c r="J16" i="9"/>
  <c r="K11" i="9"/>
  <c r="W11" i="9" s="1"/>
  <c r="K15" i="9"/>
  <c r="W15" i="9" s="1"/>
  <c r="K19" i="9"/>
  <c r="W19" i="9" s="1"/>
  <c r="K23" i="9"/>
  <c r="W23" i="9" s="1"/>
  <c r="K27" i="9"/>
  <c r="K31" i="9"/>
  <c r="W31" i="9" s="1"/>
  <c r="M36" i="9"/>
  <c r="J36" i="9"/>
  <c r="D1334" i="11"/>
  <c r="D1330" i="11"/>
  <c r="D1324" i="11"/>
  <c r="D1320" i="11"/>
  <c r="D1316" i="11"/>
  <c r="D1312" i="11"/>
  <c r="D1302" i="11"/>
  <c r="D1332" i="11"/>
  <c r="D1322" i="11"/>
  <c r="D1318" i="11"/>
  <c r="D1314" i="11"/>
  <c r="D1310" i="11"/>
  <c r="D1306" i="11"/>
  <c r="D1308" i="11"/>
  <c r="D1304" i="11"/>
  <c r="D66" i="11"/>
  <c r="D82" i="11"/>
  <c r="D98" i="11"/>
  <c r="D114" i="11"/>
  <c r="D120" i="11"/>
  <c r="M7" i="9"/>
  <c r="D42" i="11" s="1"/>
  <c r="D185" i="11"/>
  <c r="D181" i="11"/>
  <c r="D177" i="11"/>
  <c r="D173" i="11"/>
  <c r="D169" i="11"/>
  <c r="D165" i="11"/>
  <c r="D161" i="11"/>
  <c r="D157" i="11"/>
  <c r="D153" i="11"/>
  <c r="D327" i="11"/>
  <c r="D323" i="11"/>
  <c r="D319" i="11"/>
  <c r="D315" i="11"/>
  <c r="D311" i="11"/>
  <c r="D307" i="11"/>
  <c r="D303" i="11"/>
  <c r="D299" i="11"/>
  <c r="D295" i="11"/>
  <c r="D466" i="11"/>
  <c r="D450" i="11"/>
  <c r="D470" i="11"/>
  <c r="D454" i="11"/>
  <c r="D438" i="11"/>
  <c r="D458" i="11"/>
  <c r="D442" i="11"/>
  <c r="D446" i="11"/>
  <c r="D462" i="11"/>
  <c r="M19" i="9"/>
  <c r="D490" i="11" s="1"/>
  <c r="D616" i="11"/>
  <c r="D612" i="11"/>
  <c r="D608" i="11"/>
  <c r="D604" i="11"/>
  <c r="D600" i="11"/>
  <c r="D596" i="11"/>
  <c r="D592" i="11"/>
  <c r="D588" i="11"/>
  <c r="D584" i="11"/>
  <c r="M23" i="9"/>
  <c r="D636" i="11" s="1"/>
  <c r="D759" i="11"/>
  <c r="D755" i="11"/>
  <c r="D751" i="11"/>
  <c r="D747" i="11"/>
  <c r="D743" i="11"/>
  <c r="D739" i="11"/>
  <c r="D735" i="11"/>
  <c r="D731" i="11"/>
  <c r="D727" i="11"/>
  <c r="M27" i="9"/>
  <c r="D796" i="11" s="1"/>
  <c r="D905" i="11"/>
  <c r="D901" i="11"/>
  <c r="D897" i="11"/>
  <c r="D903" i="11"/>
  <c r="D899" i="11"/>
  <c r="D890" i="11"/>
  <c r="D886" i="11"/>
  <c r="D882" i="11"/>
  <c r="D878" i="11"/>
  <c r="D874" i="11"/>
  <c r="D895" i="11"/>
  <c r="D870" i="11"/>
  <c r="D893" i="11"/>
  <c r="D1047" i="11"/>
  <c r="D1043" i="11"/>
  <c r="D1039" i="11"/>
  <c r="D1035" i="11"/>
  <c r="D1031" i="11"/>
  <c r="D1027" i="11"/>
  <c r="D1023" i="11"/>
  <c r="D1019" i="11"/>
  <c r="D1014" i="11"/>
  <c r="D1032" i="11"/>
  <c r="D1028" i="11"/>
  <c r="D1024" i="11"/>
  <c r="D1020" i="11"/>
  <c r="D1040" i="11"/>
  <c r="D1036" i="11"/>
  <c r="N35" i="9"/>
  <c r="D1159" i="11"/>
  <c r="D1190" i="11"/>
  <c r="D1186" i="11"/>
  <c r="D1182" i="11"/>
  <c r="D1178" i="11"/>
  <c r="D1174" i="11"/>
  <c r="D1170" i="11"/>
  <c r="D1166" i="11"/>
  <c r="D1162" i="11"/>
  <c r="D1158" i="11"/>
  <c r="D1179" i="11"/>
  <c r="D1163" i="11"/>
  <c r="D1183" i="11"/>
  <c r="D1167" i="11"/>
  <c r="D1187" i="11"/>
  <c r="D1171" i="11"/>
  <c r="D1191" i="11"/>
  <c r="D1175" i="11"/>
  <c r="D6" i="11"/>
  <c r="D10" i="11"/>
  <c r="D14" i="11"/>
  <c r="D18" i="11"/>
  <c r="D22" i="11"/>
  <c r="D26" i="11"/>
  <c r="D30" i="11"/>
  <c r="D34" i="11"/>
  <c r="D38" i="11"/>
  <c r="D50" i="11"/>
  <c r="D75" i="11"/>
  <c r="D85" i="11"/>
  <c r="D91" i="11"/>
  <c r="D101" i="11"/>
  <c r="D107" i="11"/>
  <c r="D117" i="11"/>
  <c r="D122" i="11"/>
  <c r="V10" i="9"/>
  <c r="X10" i="9" s="1"/>
  <c r="V14" i="9"/>
  <c r="X14" i="9" s="1"/>
  <c r="V22" i="9"/>
  <c r="X22" i="9" s="1"/>
  <c r="V26" i="9"/>
  <c r="X26" i="9" s="1"/>
  <c r="V30" i="9"/>
  <c r="X30" i="9" s="1"/>
  <c r="K36" i="9"/>
  <c r="J45" i="9"/>
  <c r="D78" i="11"/>
  <c r="D94" i="11"/>
  <c r="D110" i="11"/>
  <c r="D701" i="11"/>
  <c r="D711" i="11"/>
  <c r="D723" i="11"/>
  <c r="D719" i="11"/>
  <c r="D715" i="11"/>
  <c r="D707" i="11"/>
  <c r="D703" i="11"/>
  <c r="D700" i="11"/>
  <c r="D696" i="11"/>
  <c r="D692" i="11"/>
  <c r="D840" i="11"/>
  <c r="D836" i="11"/>
  <c r="D846" i="11"/>
  <c r="D866" i="11"/>
  <c r="D850" i="11"/>
  <c r="D854" i="11"/>
  <c r="D858" i="11"/>
  <c r="D834" i="11"/>
  <c r="D842" i="11"/>
  <c r="D862" i="11"/>
  <c r="D1008" i="11"/>
  <c r="D1004" i="11"/>
  <c r="D1000" i="11"/>
  <c r="D1013" i="11"/>
  <c r="D996" i="11"/>
  <c r="D992" i="11"/>
  <c r="D988" i="11"/>
  <c r="D984" i="11"/>
  <c r="D980" i="11"/>
  <c r="D1300" i="11"/>
  <c r="D1293" i="11"/>
  <c r="D1289" i="11"/>
  <c r="D1285" i="11"/>
  <c r="D1278" i="11"/>
  <c r="D1298" i="11"/>
  <c r="D1270" i="11"/>
  <c r="D1372" i="11"/>
  <c r="D1368" i="11"/>
  <c r="D1364" i="11"/>
  <c r="D1360" i="11"/>
  <c r="D1362" i="11"/>
  <c r="D1356" i="11"/>
  <c r="D1352" i="11"/>
  <c r="D1348" i="11"/>
  <c r="D1350" i="11"/>
  <c r="D1346" i="11"/>
  <c r="D1358" i="11"/>
  <c r="D1342" i="11"/>
  <c r="D1338" i="11"/>
  <c r="D1344" i="11"/>
  <c r="D1340" i="11"/>
  <c r="D1354" i="11"/>
  <c r="D9" i="11"/>
  <c r="D13" i="11"/>
  <c r="D17" i="11"/>
  <c r="D21" i="11"/>
  <c r="D25" i="11"/>
  <c r="D29" i="11"/>
  <c r="D33" i="11"/>
  <c r="D37" i="11"/>
  <c r="D41" i="11"/>
  <c r="D45" i="11"/>
  <c r="D57" i="11"/>
  <c r="D61" i="11"/>
  <c r="D81" i="11"/>
  <c r="D87" i="11"/>
  <c r="D97" i="11"/>
  <c r="D103" i="11"/>
  <c r="D113" i="11"/>
  <c r="D176" i="11"/>
  <c r="D184" i="11"/>
  <c r="D192" i="11"/>
  <c r="D200" i="11"/>
  <c r="D208" i="11"/>
  <c r="V25" i="9"/>
  <c r="X25" i="9" s="1"/>
  <c r="V29" i="9"/>
  <c r="X29" i="9" s="1"/>
  <c r="V33" i="9"/>
  <c r="X33" i="9" s="1"/>
  <c r="D1146" i="11"/>
  <c r="D1144" i="11"/>
  <c r="D1154" i="11"/>
  <c r="D1150" i="11"/>
  <c r="D1140" i="11"/>
  <c r="D1136" i="11"/>
  <c r="D1124" i="11"/>
  <c r="D1132" i="11"/>
  <c r="D1128" i="11"/>
  <c r="D1224" i="11"/>
  <c r="D1228" i="11"/>
  <c r="D1206" i="11"/>
  <c r="D1202" i="11"/>
  <c r="D1198" i="11"/>
  <c r="D1194" i="11"/>
  <c r="D1209" i="11"/>
  <c r="D1195" i="11"/>
  <c r="D1199" i="11"/>
  <c r="D1203" i="11"/>
  <c r="D1207" i="11"/>
  <c r="D90" i="11"/>
  <c r="D106" i="11"/>
  <c r="D124" i="11"/>
  <c r="J24" i="9"/>
  <c r="J28" i="9"/>
  <c r="D811" i="11" s="1"/>
  <c r="J32" i="9"/>
  <c r="D1073" i="11"/>
  <c r="D1069" i="11"/>
  <c r="D1065" i="11"/>
  <c r="D1055" i="11"/>
  <c r="D1051" i="11"/>
  <c r="D1057" i="11"/>
  <c r="D1061" i="11"/>
  <c r="V35" i="9"/>
  <c r="X35" i="9" s="1"/>
  <c r="K37" i="9"/>
  <c r="D8" i="11"/>
  <c r="D12" i="11"/>
  <c r="D16" i="11"/>
  <c r="D20" i="11"/>
  <c r="D24" i="11"/>
  <c r="D28" i="11"/>
  <c r="D32" i="11"/>
  <c r="D36" i="11"/>
  <c r="D40" i="11"/>
  <c r="D48" i="11"/>
  <c r="D60" i="11"/>
  <c r="D64" i="11"/>
  <c r="D83" i="11"/>
  <c r="D93" i="11"/>
  <c r="D99" i="11"/>
  <c r="D109" i="11"/>
  <c r="D115" i="11"/>
  <c r="D118" i="11"/>
  <c r="N43" i="9"/>
  <c r="M44" i="9"/>
  <c r="J44" i="9"/>
  <c r="D7" i="11"/>
  <c r="D11" i="11"/>
  <c r="D15" i="11"/>
  <c r="D19" i="11"/>
  <c r="D23" i="11"/>
  <c r="D27" i="11"/>
  <c r="D31" i="11"/>
  <c r="D35" i="11"/>
  <c r="D39" i="11"/>
  <c r="D51" i="11"/>
  <c r="D55" i="11"/>
  <c r="D86" i="11"/>
  <c r="D102" i="11"/>
  <c r="M40" i="9"/>
  <c r="J40" i="9"/>
  <c r="D1233" i="11" s="1"/>
  <c r="D73" i="11"/>
  <c r="D79" i="11"/>
  <c r="D89" i="11"/>
  <c r="D95" i="11"/>
  <c r="D105" i="11"/>
  <c r="D111" i="11"/>
  <c r="D180" i="11"/>
  <c r="D188" i="11"/>
  <c r="D196" i="11"/>
  <c r="D204" i="11"/>
  <c r="D212" i="11"/>
  <c r="D216" i="11"/>
  <c r="D241" i="11"/>
  <c r="D658" i="11"/>
  <c r="D320" i="11"/>
  <c r="D328" i="11"/>
  <c r="D68" i="11"/>
  <c r="D80" i="11"/>
  <c r="D84" i="11"/>
  <c r="D88" i="11"/>
  <c r="D92" i="11"/>
  <c r="D96" i="11"/>
  <c r="D100" i="11"/>
  <c r="D104" i="11"/>
  <c r="D108" i="11"/>
  <c r="D112" i="11"/>
  <c r="D116" i="11"/>
  <c r="D217" i="11"/>
  <c r="D220" i="11"/>
  <c r="D221" i="11"/>
  <c r="D224" i="11"/>
  <c r="D225" i="11"/>
  <c r="D228" i="11"/>
  <c r="D229" i="11"/>
  <c r="D232" i="11"/>
  <c r="D233" i="11"/>
  <c r="D236" i="11"/>
  <c r="D237" i="11"/>
  <c r="D240" i="11"/>
  <c r="D128" i="11"/>
  <c r="D132" i="11"/>
  <c r="D136" i="11"/>
  <c r="D140" i="11"/>
  <c r="D144" i="11"/>
  <c r="D148" i="11"/>
  <c r="D152" i="11"/>
  <c r="D156" i="11"/>
  <c r="D160" i="11"/>
  <c r="D164" i="11"/>
  <c r="D168" i="11"/>
  <c r="D172" i="11"/>
  <c r="D341" i="11"/>
  <c r="D349" i="11"/>
  <c r="D174" i="11"/>
  <c r="D178" i="11"/>
  <c r="D182" i="11"/>
  <c r="D186" i="11"/>
  <c r="D190" i="11"/>
  <c r="D194" i="11"/>
  <c r="D198" i="11"/>
  <c r="D202" i="11"/>
  <c r="D206" i="11"/>
  <c r="D210" i="11"/>
  <c r="D214" i="11"/>
  <c r="D245" i="11"/>
  <c r="D127" i="11"/>
  <c r="D131" i="11"/>
  <c r="D135" i="11"/>
  <c r="D139" i="11"/>
  <c r="D143" i="11"/>
  <c r="D147" i="11"/>
  <c r="D151" i="11"/>
  <c r="D155" i="11"/>
  <c r="D159" i="11"/>
  <c r="D163" i="11"/>
  <c r="D167" i="11"/>
  <c r="D171" i="11"/>
  <c r="D244" i="11"/>
  <c r="D316" i="11"/>
  <c r="D324" i="11"/>
  <c r="D332" i="11"/>
  <c r="D119" i="11"/>
  <c r="D123" i="11"/>
  <c r="D175" i="11"/>
  <c r="D179" i="11"/>
  <c r="D183" i="11"/>
  <c r="D187" i="11"/>
  <c r="D191" i="11"/>
  <c r="D195" i="11"/>
  <c r="D199" i="11"/>
  <c r="D203" i="11"/>
  <c r="D207" i="11"/>
  <c r="D211" i="11"/>
  <c r="D215" i="11"/>
  <c r="D126" i="11"/>
  <c r="D130" i="11"/>
  <c r="D134" i="11"/>
  <c r="D138" i="11"/>
  <c r="D142" i="11"/>
  <c r="D146" i="11"/>
  <c r="D150" i="11"/>
  <c r="D154" i="11"/>
  <c r="D158" i="11"/>
  <c r="D162" i="11"/>
  <c r="D166" i="11"/>
  <c r="D170" i="11"/>
  <c r="D337" i="11"/>
  <c r="D345" i="11"/>
  <c r="D353" i="11"/>
  <c r="D357" i="11"/>
  <c r="D361" i="11"/>
  <c r="D365" i="11"/>
  <c r="D369" i="11"/>
  <c r="D373" i="11"/>
  <c r="D377" i="11"/>
  <c r="D381" i="11"/>
  <c r="D385" i="11"/>
  <c r="D389" i="11"/>
  <c r="D393" i="11"/>
  <c r="D397" i="11"/>
  <c r="D405" i="11"/>
  <c r="D425" i="11"/>
  <c r="D435" i="11"/>
  <c r="D491" i="11"/>
  <c r="D499" i="11"/>
  <c r="D507" i="11"/>
  <c r="D515" i="11"/>
  <c r="D523" i="11"/>
  <c r="D539" i="11"/>
  <c r="D248" i="11"/>
  <c r="D252" i="11"/>
  <c r="D256" i="11"/>
  <c r="D260" i="11"/>
  <c r="D264" i="11"/>
  <c r="D268" i="11"/>
  <c r="D272" i="11"/>
  <c r="D276" i="11"/>
  <c r="D280" i="11"/>
  <c r="D284" i="11"/>
  <c r="D288" i="11"/>
  <c r="D292" i="11"/>
  <c r="D296" i="11"/>
  <c r="D300" i="11"/>
  <c r="D304" i="11"/>
  <c r="D308" i="11"/>
  <c r="D312" i="11"/>
  <c r="D399" i="11"/>
  <c r="D407" i="11"/>
  <c r="D473" i="11"/>
  <c r="D540" i="11"/>
  <c r="D674" i="11"/>
  <c r="D621" i="11"/>
  <c r="D218" i="11"/>
  <c r="D222" i="11"/>
  <c r="D226" i="11"/>
  <c r="D230" i="11"/>
  <c r="D234" i="11"/>
  <c r="D238" i="11"/>
  <c r="D249" i="11"/>
  <c r="D253" i="11"/>
  <c r="D257" i="11"/>
  <c r="D261" i="11"/>
  <c r="D265" i="11"/>
  <c r="D269" i="11"/>
  <c r="D273" i="11"/>
  <c r="D277" i="11"/>
  <c r="D281" i="11"/>
  <c r="D285" i="11"/>
  <c r="D289" i="11"/>
  <c r="D293" i="11"/>
  <c r="D297" i="11"/>
  <c r="D301" i="11"/>
  <c r="D305" i="11"/>
  <c r="D309" i="11"/>
  <c r="D313" i="11"/>
  <c r="D318" i="11"/>
  <c r="D322" i="11"/>
  <c r="D326" i="11"/>
  <c r="D330" i="11"/>
  <c r="D333" i="11"/>
  <c r="D334" i="11"/>
  <c r="D401" i="11"/>
  <c r="D409" i="11"/>
  <c r="D414" i="11"/>
  <c r="D457" i="11"/>
  <c r="D467" i="11"/>
  <c r="D495" i="11"/>
  <c r="D503" i="11"/>
  <c r="D511" i="11"/>
  <c r="D519" i="11"/>
  <c r="D527" i="11"/>
  <c r="D549" i="11"/>
  <c r="D242" i="11"/>
  <c r="D246" i="11"/>
  <c r="D553" i="11"/>
  <c r="D250" i="11"/>
  <c r="D254" i="11"/>
  <c r="D258" i="11"/>
  <c r="D262" i="11"/>
  <c r="D266" i="11"/>
  <c r="D270" i="11"/>
  <c r="D274" i="11"/>
  <c r="D278" i="11"/>
  <c r="D282" i="11"/>
  <c r="D286" i="11"/>
  <c r="D290" i="11"/>
  <c r="D294" i="11"/>
  <c r="D298" i="11"/>
  <c r="D302" i="11"/>
  <c r="D306" i="11"/>
  <c r="D310" i="11"/>
  <c r="D314" i="11"/>
  <c r="D317" i="11"/>
  <c r="D321" i="11"/>
  <c r="D325" i="11"/>
  <c r="D329" i="11"/>
  <c r="D403" i="11"/>
  <c r="D411" i="11"/>
  <c r="D420" i="11"/>
  <c r="D441" i="11"/>
  <c r="D451" i="11"/>
  <c r="D335" i="11"/>
  <c r="D690" i="11"/>
  <c r="D740" i="11"/>
  <c r="D744" i="11"/>
  <c r="D338" i="11"/>
  <c r="D342" i="11"/>
  <c r="D346" i="11"/>
  <c r="D350" i="11"/>
  <c r="D354" i="11"/>
  <c r="D358" i="11"/>
  <c r="D362" i="11"/>
  <c r="D366" i="11"/>
  <c r="D370" i="11"/>
  <c r="D374" i="11"/>
  <c r="D378" i="11"/>
  <c r="D382" i="11"/>
  <c r="D386" i="11"/>
  <c r="D390" i="11"/>
  <c r="D394" i="11"/>
  <c r="D398" i="11"/>
  <c r="D402" i="11"/>
  <c r="D406" i="11"/>
  <c r="D410" i="11"/>
  <c r="D418" i="11"/>
  <c r="D421" i="11"/>
  <c r="D431" i="11"/>
  <c r="D437" i="11"/>
  <c r="D447" i="11"/>
  <c r="D453" i="11"/>
  <c r="D463" i="11"/>
  <c r="D469" i="11"/>
  <c r="D565" i="11"/>
  <c r="D581" i="11"/>
  <c r="D631" i="11"/>
  <c r="D548" i="11"/>
  <c r="D569" i="11"/>
  <c r="D589" i="11"/>
  <c r="D647" i="11"/>
  <c r="D339" i="11"/>
  <c r="D343" i="11"/>
  <c r="D347" i="11"/>
  <c r="D351" i="11"/>
  <c r="D355" i="11"/>
  <c r="D359" i="11"/>
  <c r="D363" i="11"/>
  <c r="D367" i="11"/>
  <c r="D371" i="11"/>
  <c r="D375" i="11"/>
  <c r="D379" i="11"/>
  <c r="D383" i="11"/>
  <c r="D387" i="11"/>
  <c r="D391" i="11"/>
  <c r="D395" i="11"/>
  <c r="D419" i="11"/>
  <c r="D427" i="11"/>
  <c r="D433" i="11"/>
  <c r="D443" i="11"/>
  <c r="D449" i="11"/>
  <c r="D459" i="11"/>
  <c r="D465" i="11"/>
  <c r="D543" i="11"/>
  <c r="D597" i="11"/>
  <c r="D663" i="11"/>
  <c r="D605" i="11"/>
  <c r="D626" i="11"/>
  <c r="D679" i="11"/>
  <c r="D423" i="11"/>
  <c r="D429" i="11"/>
  <c r="D439" i="11"/>
  <c r="D445" i="11"/>
  <c r="D455" i="11"/>
  <c r="D461" i="11"/>
  <c r="D471" i="11"/>
  <c r="D547" i="11"/>
  <c r="D613" i="11"/>
  <c r="D642" i="11"/>
  <c r="D695" i="11"/>
  <c r="D766" i="11"/>
  <c r="D424" i="11"/>
  <c r="D428" i="11"/>
  <c r="D432" i="11"/>
  <c r="D436" i="11"/>
  <c r="D440" i="11"/>
  <c r="D444" i="11"/>
  <c r="D448" i="11"/>
  <c r="D452" i="11"/>
  <c r="D456" i="11"/>
  <c r="D460" i="11"/>
  <c r="D464" i="11"/>
  <c r="D468" i="11"/>
  <c r="D472" i="11"/>
  <c r="D476" i="11"/>
  <c r="D480" i="11"/>
  <c r="D484" i="11"/>
  <c r="D488" i="11"/>
  <c r="D492" i="11"/>
  <c r="D500" i="11"/>
  <c r="D504" i="11"/>
  <c r="D508" i="11"/>
  <c r="D512" i="11"/>
  <c r="D516" i="11"/>
  <c r="D520" i="11"/>
  <c r="D524" i="11"/>
  <c r="D528" i="11"/>
  <c r="D532" i="11"/>
  <c r="D536" i="11"/>
  <c r="D578" i="11"/>
  <c r="D586" i="11"/>
  <c r="D594" i="11"/>
  <c r="D602" i="11"/>
  <c r="D610" i="11"/>
  <c r="D618" i="11"/>
  <c r="D627" i="11"/>
  <c r="D638" i="11"/>
  <c r="D643" i="11"/>
  <c r="D654" i="11"/>
  <c r="D659" i="11"/>
  <c r="D670" i="11"/>
  <c r="D675" i="11"/>
  <c r="D686" i="11"/>
  <c r="D691" i="11"/>
  <c r="D712" i="11"/>
  <c r="D557" i="11"/>
  <c r="D573" i="11"/>
  <c r="D477" i="11"/>
  <c r="D481" i="11"/>
  <c r="D489" i="11"/>
  <c r="D493" i="11"/>
  <c r="D497" i="11"/>
  <c r="D501" i="11"/>
  <c r="D505" i="11"/>
  <c r="D509" i="11"/>
  <c r="D513" i="11"/>
  <c r="D517" i="11"/>
  <c r="D521" i="11"/>
  <c r="D525" i="11"/>
  <c r="D529" i="11"/>
  <c r="D533" i="11"/>
  <c r="D537" i="11"/>
  <c r="D634" i="11"/>
  <c r="D639" i="11"/>
  <c r="D650" i="11"/>
  <c r="D655" i="11"/>
  <c r="D666" i="11"/>
  <c r="D671" i="11"/>
  <c r="D682" i="11"/>
  <c r="D687" i="11"/>
  <c r="D698" i="11"/>
  <c r="D756" i="11"/>
  <c r="D760" i="11"/>
  <c r="D412" i="11"/>
  <c r="D416" i="11"/>
  <c r="D541" i="11"/>
  <c r="D545" i="11"/>
  <c r="D561" i="11"/>
  <c r="D577" i="11"/>
  <c r="D585" i="11"/>
  <c r="D593" i="11"/>
  <c r="D601" i="11"/>
  <c r="D609" i="11"/>
  <c r="D617" i="11"/>
  <c r="D582" i="11"/>
  <c r="D590" i="11"/>
  <c r="D598" i="11"/>
  <c r="D606" i="11"/>
  <c r="D614" i="11"/>
  <c r="D622" i="11"/>
  <c r="D630" i="11"/>
  <c r="D635" i="11"/>
  <c r="D646" i="11"/>
  <c r="D651" i="11"/>
  <c r="D662" i="11"/>
  <c r="D667" i="11"/>
  <c r="D678" i="11"/>
  <c r="D683" i="11"/>
  <c r="D694" i="11"/>
  <c r="D699" i="11"/>
  <c r="D724" i="11"/>
  <c r="D728" i="11"/>
  <c r="D780" i="11"/>
  <c r="D551" i="11"/>
  <c r="D555" i="11"/>
  <c r="D559" i="11"/>
  <c r="D563" i="11"/>
  <c r="D567" i="11"/>
  <c r="D571" i="11"/>
  <c r="D575" i="11"/>
  <c r="D579" i="11"/>
  <c r="D583" i="11"/>
  <c r="D587" i="11"/>
  <c r="D591" i="11"/>
  <c r="D595" i="11"/>
  <c r="D599" i="11"/>
  <c r="D603" i="11"/>
  <c r="D607" i="11"/>
  <c r="D611" i="11"/>
  <c r="D615" i="11"/>
  <c r="D619" i="11"/>
  <c r="D623" i="11"/>
  <c r="D625" i="11"/>
  <c r="D629" i="11"/>
  <c r="D633" i="11"/>
  <c r="D637" i="11"/>
  <c r="D641" i="11"/>
  <c r="D645" i="11"/>
  <c r="D649" i="11"/>
  <c r="D653" i="11"/>
  <c r="D657" i="11"/>
  <c r="D661" i="11"/>
  <c r="D665" i="11"/>
  <c r="D669" i="11"/>
  <c r="D673" i="11"/>
  <c r="D677" i="11"/>
  <c r="D681" i="11"/>
  <c r="D685" i="11"/>
  <c r="D689" i="11"/>
  <c r="D693" i="11"/>
  <c r="D697" i="11"/>
  <c r="D708" i="11"/>
  <c r="D716" i="11"/>
  <c r="D732" i="11"/>
  <c r="D748" i="11"/>
  <c r="D550" i="11"/>
  <c r="D554" i="11"/>
  <c r="D558" i="11"/>
  <c r="D562" i="11"/>
  <c r="D566" i="11"/>
  <c r="D570" i="11"/>
  <c r="D574" i="11"/>
  <c r="D704" i="11"/>
  <c r="D720" i="11"/>
  <c r="D736" i="11"/>
  <c r="D752" i="11"/>
  <c r="D763" i="11"/>
  <c r="D926" i="11"/>
  <c r="D713" i="11"/>
  <c r="D768" i="11"/>
  <c r="D838" i="11"/>
  <c r="D833" i="11"/>
  <c r="D702" i="11"/>
  <c r="D706" i="11"/>
  <c r="D710" i="11"/>
  <c r="D714" i="11"/>
  <c r="D718" i="11"/>
  <c r="D722" i="11"/>
  <c r="D726" i="11"/>
  <c r="D730" i="11"/>
  <c r="D734" i="11"/>
  <c r="D738" i="11"/>
  <c r="D742" i="11"/>
  <c r="D746" i="11"/>
  <c r="D750" i="11"/>
  <c r="D754" i="11"/>
  <c r="D758" i="11"/>
  <c r="D762" i="11"/>
  <c r="D772" i="11"/>
  <c r="D788" i="11"/>
  <c r="D792" i="11"/>
  <c r="D830" i="11"/>
  <c r="D705" i="11"/>
  <c r="D709" i="11"/>
  <c r="D717" i="11"/>
  <c r="D721" i="11"/>
  <c r="D725" i="11"/>
  <c r="D729" i="11"/>
  <c r="D733" i="11"/>
  <c r="D737" i="11"/>
  <c r="D741" i="11"/>
  <c r="D745" i="11"/>
  <c r="D749" i="11"/>
  <c r="D753" i="11"/>
  <c r="D757" i="11"/>
  <c r="D761" i="11"/>
  <c r="D776" i="11"/>
  <c r="D769" i="11"/>
  <c r="D773" i="11"/>
  <c r="D777" i="11"/>
  <c r="D781" i="11"/>
  <c r="D785" i="11"/>
  <c r="D789" i="11"/>
  <c r="D839" i="11"/>
  <c r="D793" i="11"/>
  <c r="D797" i="11"/>
  <c r="D801" i="11"/>
  <c r="D805" i="11"/>
  <c r="D845" i="11"/>
  <c r="D880" i="11"/>
  <c r="D888" i="11"/>
  <c r="D807" i="11"/>
  <c r="D829" i="11"/>
  <c r="D837" i="11"/>
  <c r="D767" i="11"/>
  <c r="D775" i="11"/>
  <c r="D779" i="11"/>
  <c r="D783" i="11"/>
  <c r="D787" i="11"/>
  <c r="D813" i="11"/>
  <c r="D819" i="11"/>
  <c r="D835" i="11"/>
  <c r="D843" i="11"/>
  <c r="D847" i="11"/>
  <c r="D940" i="11"/>
  <c r="D791" i="11"/>
  <c r="D795" i="11"/>
  <c r="D799" i="11"/>
  <c r="D918" i="11"/>
  <c r="D948" i="11"/>
  <c r="D815" i="11"/>
  <c r="D876" i="11"/>
  <c r="D884" i="11"/>
  <c r="D849" i="11"/>
  <c r="D853" i="11"/>
  <c r="D857" i="11"/>
  <c r="D861" i="11"/>
  <c r="D865" i="11"/>
  <c r="D869" i="11"/>
  <c r="D873" i="11"/>
  <c r="D900" i="11"/>
  <c r="D904" i="11"/>
  <c r="D908" i="11"/>
  <c r="D841" i="11"/>
  <c r="D877" i="11"/>
  <c r="D881" i="11"/>
  <c r="D885" i="11"/>
  <c r="D889" i="11"/>
  <c r="D852" i="11"/>
  <c r="D856" i="11"/>
  <c r="D860" i="11"/>
  <c r="D864" i="11"/>
  <c r="D868" i="11"/>
  <c r="D872" i="11"/>
  <c r="D851" i="11"/>
  <c r="D855" i="11"/>
  <c r="D859" i="11"/>
  <c r="D863" i="11"/>
  <c r="D867" i="11"/>
  <c r="D871" i="11"/>
  <c r="D914" i="11"/>
  <c r="D922" i="11"/>
  <c r="D936" i="11"/>
  <c r="D944" i="11"/>
  <c r="D952" i="11"/>
  <c r="D1025" i="11"/>
  <c r="D875" i="11"/>
  <c r="D879" i="11"/>
  <c r="D883" i="11"/>
  <c r="D887" i="11"/>
  <c r="D891" i="11"/>
  <c r="D892" i="11"/>
  <c r="D898" i="11"/>
  <c r="D844" i="11"/>
  <c r="D848" i="11"/>
  <c r="D896" i="11"/>
  <c r="D930" i="11"/>
  <c r="D934" i="11"/>
  <c r="D954" i="11"/>
  <c r="D962" i="11"/>
  <c r="D1002" i="11"/>
  <c r="D1010" i="11"/>
  <c r="D1016" i="11"/>
  <c r="D960" i="11"/>
  <c r="D971" i="11"/>
  <c r="D975" i="11"/>
  <c r="D979" i="11"/>
  <c r="D982" i="11"/>
  <c r="D986" i="11"/>
  <c r="D990" i="11"/>
  <c r="D994" i="11"/>
  <c r="D998" i="11"/>
  <c r="D912" i="11"/>
  <c r="D916" i="11"/>
  <c r="D920" i="11"/>
  <c r="D924" i="11"/>
  <c r="D928" i="11"/>
  <c r="D932" i="11"/>
  <c r="D1050" i="11"/>
  <c r="D902" i="11"/>
  <c r="D906" i="11"/>
  <c r="D910" i="11"/>
  <c r="D938" i="11"/>
  <c r="D942" i="11"/>
  <c r="D946" i="11"/>
  <c r="D950" i="11"/>
  <c r="D958" i="11"/>
  <c r="D1006" i="11"/>
  <c r="D894" i="11"/>
  <c r="D956" i="11"/>
  <c r="D964" i="11"/>
  <c r="D1030" i="11"/>
  <c r="D1048" i="11"/>
  <c r="D1015" i="11"/>
  <c r="D1018" i="11"/>
  <c r="D1029" i="11"/>
  <c r="D1034" i="11"/>
  <c r="D1044" i="11"/>
  <c r="D1046" i="11"/>
  <c r="D1053" i="11"/>
  <c r="D1058" i="11"/>
  <c r="D953" i="11"/>
  <c r="D957" i="11"/>
  <c r="D965" i="11"/>
  <c r="D983" i="11"/>
  <c r="D987" i="11"/>
  <c r="D991" i="11"/>
  <c r="D995" i="11"/>
  <c r="D999" i="11"/>
  <c r="D1001" i="11"/>
  <c r="D1005" i="11"/>
  <c r="D1009" i="11"/>
  <c r="D1012" i="11"/>
  <c r="D1017" i="11"/>
  <c r="D1022" i="11"/>
  <c r="D1033" i="11"/>
  <c r="D1049" i="11"/>
  <c r="D1056" i="11"/>
  <c r="D973" i="11"/>
  <c r="D977" i="11"/>
  <c r="D981" i="11"/>
  <c r="D1011" i="11"/>
  <c r="D1021" i="11"/>
  <c r="D1026" i="11"/>
  <c r="D1037" i="11"/>
  <c r="D1041" i="11"/>
  <c r="D1045" i="11"/>
  <c r="D1052" i="11"/>
  <c r="D1054" i="11"/>
  <c r="D966" i="11"/>
  <c r="D970" i="11"/>
  <c r="D974" i="11"/>
  <c r="D978" i="11"/>
  <c r="D985" i="11"/>
  <c r="D989" i="11"/>
  <c r="D993" i="11"/>
  <c r="D997" i="11"/>
  <c r="D1003" i="11"/>
  <c r="D1007" i="11"/>
  <c r="D1064" i="11"/>
  <c r="D1072" i="11"/>
  <c r="D1080" i="11"/>
  <c r="D1088" i="11"/>
  <c r="D1096" i="11"/>
  <c r="D1038" i="11"/>
  <c r="D1042" i="11"/>
  <c r="D1068" i="11"/>
  <c r="D1076" i="11"/>
  <c r="D1084" i="11"/>
  <c r="D1092" i="11"/>
  <c r="D1100" i="11"/>
  <c r="D1104" i="11"/>
  <c r="D1108" i="11"/>
  <c r="D1112" i="11"/>
  <c r="D1116" i="11"/>
  <c r="D1125" i="11"/>
  <c r="D1137" i="11"/>
  <c r="D1060" i="11"/>
  <c r="D1122" i="11"/>
  <c r="D1130" i="11"/>
  <c r="D1141" i="11"/>
  <c r="D1143" i="11"/>
  <c r="D1077" i="11"/>
  <c r="D1081" i="11"/>
  <c r="D1085" i="11"/>
  <c r="D1089" i="11"/>
  <c r="D1093" i="11"/>
  <c r="D1097" i="11"/>
  <c r="D1101" i="11"/>
  <c r="D1105" i="11"/>
  <c r="D1109" i="11"/>
  <c r="D1115" i="11"/>
  <c r="D1119" i="11"/>
  <c r="D1059" i="11"/>
  <c r="D1063" i="11"/>
  <c r="D1134" i="11"/>
  <c r="D1066" i="11"/>
  <c r="D1070" i="11"/>
  <c r="D1074" i="11"/>
  <c r="D1078" i="11"/>
  <c r="D1082" i="11"/>
  <c r="D1086" i="11"/>
  <c r="D1090" i="11"/>
  <c r="D1094" i="11"/>
  <c r="D1098" i="11"/>
  <c r="D1102" i="11"/>
  <c r="D1106" i="11"/>
  <c r="D1110" i="11"/>
  <c r="D1114" i="11"/>
  <c r="D1118" i="11"/>
  <c r="D1129" i="11"/>
  <c r="D1147" i="11"/>
  <c r="D1151" i="11"/>
  <c r="D1155" i="11"/>
  <c r="D1062" i="11"/>
  <c r="D1126" i="11"/>
  <c r="D1138" i="11"/>
  <c r="D1142" i="11"/>
  <c r="D1067" i="11"/>
  <c r="D1071" i="11"/>
  <c r="D1075" i="11"/>
  <c r="D1079" i="11"/>
  <c r="D1083" i="11"/>
  <c r="D1087" i="11"/>
  <c r="D1091" i="11"/>
  <c r="D1095" i="11"/>
  <c r="D1099" i="11"/>
  <c r="D1103" i="11"/>
  <c r="D1107" i="11"/>
  <c r="D1111" i="11"/>
  <c r="D1113" i="11"/>
  <c r="D1117" i="11"/>
  <c r="D1133" i="11"/>
  <c r="D1148" i="11"/>
  <c r="D1152" i="11"/>
  <c r="D1156" i="11"/>
  <c r="D1145" i="11"/>
  <c r="D1131" i="11"/>
  <c r="D1135" i="11"/>
  <c r="D1160" i="11"/>
  <c r="D1217" i="11"/>
  <c r="D1223" i="11"/>
  <c r="D1226" i="11"/>
  <c r="D1213" i="11"/>
  <c r="D1221" i="11"/>
  <c r="D1123" i="11"/>
  <c r="D1127" i="11"/>
  <c r="D1139" i="11"/>
  <c r="D1216" i="11"/>
  <c r="D1227" i="11"/>
  <c r="D1219" i="11"/>
  <c r="D1262" i="11"/>
  <c r="D1266" i="11"/>
  <c r="D1274" i="11"/>
  <c r="D1211" i="11"/>
  <c r="D1222" i="11"/>
  <c r="D1165" i="11"/>
  <c r="D1169" i="11"/>
  <c r="D1173" i="11"/>
  <c r="D1177" i="11"/>
  <c r="D1181" i="11"/>
  <c r="D1185" i="11"/>
  <c r="D1189" i="11"/>
  <c r="D1193" i="11"/>
  <c r="D1197" i="11"/>
  <c r="D1201" i="11"/>
  <c r="D1205" i="11"/>
  <c r="D1210" i="11"/>
  <c r="D1229" i="11"/>
  <c r="D1241" i="11"/>
  <c r="D1164" i="11"/>
  <c r="D1168" i="11"/>
  <c r="D1172" i="11"/>
  <c r="D1176" i="11"/>
  <c r="D1180" i="11"/>
  <c r="D1184" i="11"/>
  <c r="D1188" i="11"/>
  <c r="D1192" i="11"/>
  <c r="D1196" i="11"/>
  <c r="D1200" i="11"/>
  <c r="D1204" i="11"/>
  <c r="D1208" i="11"/>
  <c r="D1215" i="11"/>
  <c r="D1214" i="11"/>
  <c r="D1220" i="11"/>
  <c r="D1212" i="11"/>
  <c r="D1225" i="11"/>
  <c r="D1149" i="11"/>
  <c r="D1153" i="11"/>
  <c r="D1157" i="11"/>
  <c r="D1161" i="11"/>
  <c r="D1218" i="11"/>
  <c r="D1245" i="11"/>
  <c r="D1237" i="11"/>
  <c r="D1249" i="11"/>
  <c r="D1244" i="11"/>
  <c r="D1252" i="11"/>
  <c r="D1257" i="11"/>
  <c r="D1261" i="11"/>
  <c r="D1265" i="11"/>
  <c r="D1253" i="11"/>
  <c r="D1259" i="11"/>
  <c r="D1277" i="11"/>
  <c r="D1267" i="11"/>
  <c r="D1281" i="11"/>
  <c r="D1301" i="11"/>
  <c r="D1242" i="11"/>
  <c r="D1246" i="11"/>
  <c r="D1255" i="11"/>
  <c r="D1297" i="11"/>
  <c r="D1305" i="11"/>
  <c r="D1271" i="11"/>
  <c r="D1269" i="11"/>
  <c r="D1341" i="11"/>
  <c r="D1345" i="11"/>
  <c r="D1275" i="11"/>
  <c r="D1279" i="11"/>
  <c r="D1250" i="11"/>
  <c r="D1273" i="11"/>
  <c r="D1230" i="11"/>
  <c r="D1234" i="11"/>
  <c r="D1238" i="11"/>
  <c r="D1282" i="11"/>
  <c r="D1286" i="11"/>
  <c r="D1290" i="11"/>
  <c r="D1294" i="11"/>
  <c r="D1327" i="11"/>
  <c r="D1256" i="11"/>
  <c r="D1260" i="11"/>
  <c r="D1264" i="11"/>
  <c r="D1268" i="11"/>
  <c r="D1272" i="11"/>
  <c r="D1276" i="11"/>
  <c r="D1283" i="11"/>
  <c r="D1287" i="11"/>
  <c r="D1291" i="11"/>
  <c r="D1295" i="11"/>
  <c r="D1296" i="11"/>
  <c r="D1309" i="11"/>
  <c r="D1313" i="11"/>
  <c r="D1317" i="11"/>
  <c r="D1321" i="11"/>
  <c r="D1328" i="11"/>
  <c r="D1336" i="11"/>
  <c r="D1280" i="11"/>
  <c r="D1284" i="11"/>
  <c r="D1288" i="11"/>
  <c r="D1292" i="11"/>
  <c r="D1357" i="11"/>
  <c r="D1311" i="11"/>
  <c r="D1315" i="11"/>
  <c r="D1319" i="11"/>
  <c r="D1323" i="11"/>
  <c r="D1325" i="11"/>
  <c r="D1335" i="11"/>
  <c r="D1351" i="11"/>
  <c r="D1361" i="11"/>
  <c r="D1299" i="11"/>
  <c r="D1303" i="11"/>
  <c r="D1307" i="11"/>
  <c r="D1365" i="11"/>
  <c r="D1326" i="11"/>
  <c r="D1331" i="11"/>
  <c r="D1347" i="11"/>
  <c r="D1349" i="11"/>
  <c r="D1353" i="11"/>
  <c r="D1339" i="11"/>
  <c r="D1343" i="11"/>
  <c r="D1373" i="11"/>
  <c r="D1329" i="11"/>
  <c r="D1333" i="11"/>
  <c r="D1337" i="11"/>
  <c r="D1369" i="11"/>
  <c r="D1355" i="11"/>
  <c r="D1359" i="11"/>
  <c r="D1385" i="11"/>
  <c r="D1363" i="11"/>
  <c r="D1367" i="11"/>
  <c r="D1371" i="11"/>
  <c r="D1375" i="11"/>
  <c r="D1379" i="11"/>
  <c r="D1376" i="11"/>
  <c r="D1378" i="11"/>
  <c r="D1366" i="11"/>
  <c r="D1370" i="11"/>
  <c r="D1374" i="11"/>
  <c r="D1401" i="11"/>
  <c r="D1377" i="11"/>
  <c r="D1386" i="11"/>
  <c r="D1396" i="11"/>
  <c r="D1381" i="11"/>
  <c r="D1382" i="11"/>
  <c r="D1414" i="11"/>
  <c r="D1418" i="11"/>
  <c r="D1405" i="11"/>
  <c r="D1409" i="11"/>
  <c r="D1410" i="11"/>
  <c r="D1411" i="11"/>
  <c r="D1390" i="11"/>
  <c r="D1394" i="11"/>
  <c r="D1397" i="11"/>
  <c r="D1398" i="11"/>
  <c r="D1402" i="11"/>
  <c r="D1406" i="11"/>
  <c r="D1420" i="11"/>
  <c r="D1399" i="11"/>
  <c r="D1383" i="11"/>
  <c r="D1387" i="11"/>
  <c r="D1419" i="11"/>
  <c r="D1425" i="11"/>
  <c r="D1391" i="11"/>
  <c r="D1395" i="11"/>
  <c r="D1403" i="11"/>
  <c r="D1407" i="11"/>
  <c r="D1413" i="11"/>
  <c r="D1423" i="11"/>
  <c r="D1426" i="11"/>
  <c r="D1421" i="11"/>
  <c r="D1415" i="11"/>
  <c r="D1417" i="11"/>
  <c r="D1422" i="11"/>
  <c r="D1427" i="11"/>
  <c r="D1443" i="11"/>
  <c r="D1430" i="11"/>
  <c r="D1435" i="11"/>
  <c r="D1439" i="11"/>
  <c r="D1434" i="11"/>
  <c r="D1431" i="11"/>
  <c r="D1442" i="11"/>
  <c r="H35" i="2" l="1"/>
  <c r="P57" i="2"/>
  <c r="H36" i="2"/>
  <c r="P34" i="2"/>
  <c r="H34" i="2"/>
  <c r="AH531" i="11"/>
  <c r="Z531" i="11"/>
  <c r="R531" i="11"/>
  <c r="J531" i="11"/>
  <c r="AG531" i="11"/>
  <c r="Y531" i="11"/>
  <c r="Q531" i="11"/>
  <c r="I531" i="11"/>
  <c r="AF531" i="11"/>
  <c r="X531" i="11"/>
  <c r="P531" i="11"/>
  <c r="H531" i="11"/>
  <c r="AD531" i="11"/>
  <c r="V531" i="11"/>
  <c r="N531" i="11"/>
  <c r="F531" i="11"/>
  <c r="AC531" i="11"/>
  <c r="M531" i="11"/>
  <c r="AB531" i="11"/>
  <c r="L531" i="11"/>
  <c r="AA531" i="11"/>
  <c r="K531" i="11"/>
  <c r="W531" i="11"/>
  <c r="G531" i="11"/>
  <c r="U531" i="11"/>
  <c r="E531" i="11"/>
  <c r="AE531" i="11"/>
  <c r="T531" i="11"/>
  <c r="S531" i="11"/>
  <c r="O531" i="11"/>
  <c r="AI531" i="11"/>
  <c r="AF811" i="11"/>
  <c r="H811" i="11"/>
  <c r="O811" i="11"/>
  <c r="G811" i="11"/>
  <c r="N811" i="11"/>
  <c r="M811" i="11"/>
  <c r="K811" i="11"/>
  <c r="J811" i="11"/>
  <c r="I811" i="11"/>
  <c r="L811" i="11"/>
  <c r="F811" i="11"/>
  <c r="E811" i="11"/>
  <c r="AB811" i="11"/>
  <c r="AC811" i="11" s="1"/>
  <c r="N796" i="11"/>
  <c r="F796" i="11"/>
  <c r="M796" i="11"/>
  <c r="E796" i="11"/>
  <c r="L796" i="11"/>
  <c r="K796" i="11"/>
  <c r="I796" i="11"/>
  <c r="H796" i="11"/>
  <c r="AB796" i="11" s="1"/>
  <c r="AC796" i="11" s="1"/>
  <c r="AF796" i="11"/>
  <c r="J796" i="11"/>
  <c r="G796" i="11"/>
  <c r="O796" i="11"/>
  <c r="AF42" i="11"/>
  <c r="H42" i="11"/>
  <c r="O42" i="11"/>
  <c r="G42" i="11"/>
  <c r="P42" i="11" s="1"/>
  <c r="R42" i="11" s="1"/>
  <c r="N42" i="11"/>
  <c r="F42" i="11"/>
  <c r="M42" i="11"/>
  <c r="E42" i="11"/>
  <c r="AB42" i="11"/>
  <c r="AC42" i="11" s="1"/>
  <c r="L42" i="11"/>
  <c r="K42" i="11"/>
  <c r="J42" i="11"/>
  <c r="I42" i="11"/>
  <c r="AD1233" i="11"/>
  <c r="V1233" i="11"/>
  <c r="N1233" i="11"/>
  <c r="F1233" i="11"/>
  <c r="AB1233" i="11"/>
  <c r="S1233" i="11"/>
  <c r="J1233" i="11"/>
  <c r="AI1233" i="11"/>
  <c r="Z1233" i="11"/>
  <c r="Q1233" i="11"/>
  <c r="H1233" i="11"/>
  <c r="AG1233" i="11"/>
  <c r="X1233" i="11"/>
  <c r="O1233" i="11"/>
  <c r="E1233" i="11"/>
  <c r="AF1233" i="11"/>
  <c r="W1233" i="11"/>
  <c r="M1233" i="11"/>
  <c r="U1233" i="11"/>
  <c r="T1233" i="11"/>
  <c r="R1233" i="11"/>
  <c r="AH1233" i="11"/>
  <c r="P1233" i="11"/>
  <c r="AE1233" i="11"/>
  <c r="L1233" i="11"/>
  <c r="Y1233" i="11"/>
  <c r="K1233" i="11"/>
  <c r="I1233" i="11"/>
  <c r="G1233" i="11"/>
  <c r="AC1233" i="11"/>
  <c r="AA1233" i="11"/>
  <c r="AF636" i="11"/>
  <c r="H636" i="11"/>
  <c r="O636" i="11"/>
  <c r="G636" i="11"/>
  <c r="N636" i="11"/>
  <c r="F636" i="11"/>
  <c r="Q636" i="11" s="1"/>
  <c r="M636" i="11"/>
  <c r="E636" i="11"/>
  <c r="L636" i="11"/>
  <c r="AB636" i="11" s="1"/>
  <c r="AC636" i="11" s="1"/>
  <c r="AI636" i="11"/>
  <c r="K636" i="11"/>
  <c r="J636" i="11"/>
  <c r="I636" i="11"/>
  <c r="AB490" i="11"/>
  <c r="T490" i="11"/>
  <c r="L490" i="11"/>
  <c r="AI490" i="11"/>
  <c r="AA490" i="11"/>
  <c r="S490" i="11"/>
  <c r="K490" i="11"/>
  <c r="AH490" i="11"/>
  <c r="Z490" i="11"/>
  <c r="R490" i="11"/>
  <c r="J490" i="11"/>
  <c r="AF490" i="11"/>
  <c r="X490" i="11"/>
  <c r="P490" i="11"/>
  <c r="H490" i="11"/>
  <c r="AG490" i="11"/>
  <c r="Q490" i="11"/>
  <c r="AE490" i="11"/>
  <c r="O490" i="11"/>
  <c r="AD490" i="11"/>
  <c r="N490" i="11"/>
  <c r="AC490" i="11"/>
  <c r="M490" i="11"/>
  <c r="Y490" i="11"/>
  <c r="I490" i="11"/>
  <c r="V490" i="11"/>
  <c r="U490" i="11"/>
  <c r="G490" i="11"/>
  <c r="F490" i="11"/>
  <c r="E490" i="11"/>
  <c r="W490" i="11"/>
  <c r="AF1417" i="11"/>
  <c r="X1417" i="11"/>
  <c r="P1417" i="11"/>
  <c r="H1417" i="11"/>
  <c r="AE1417" i="11"/>
  <c r="V1417" i="11"/>
  <c r="M1417" i="11"/>
  <c r="AD1417" i="11"/>
  <c r="U1417" i="11"/>
  <c r="L1417" i="11"/>
  <c r="AC1417" i="11"/>
  <c r="T1417" i="11"/>
  <c r="K1417" i="11"/>
  <c r="W1417" i="11"/>
  <c r="G1417" i="11"/>
  <c r="AI1417" i="11"/>
  <c r="S1417" i="11"/>
  <c r="F1417" i="11"/>
  <c r="AH1417" i="11"/>
  <c r="R1417" i="11"/>
  <c r="E1417" i="11"/>
  <c r="AG1417" i="11"/>
  <c r="Q1417" i="11"/>
  <c r="AB1417" i="11"/>
  <c r="O1417" i="11"/>
  <c r="Z1417" i="11"/>
  <c r="J1417" i="11"/>
  <c r="AA1417" i="11"/>
  <c r="Y1417" i="11"/>
  <c r="N1417" i="11"/>
  <c r="I1417" i="11"/>
  <c r="AG1351" i="11"/>
  <c r="Y1351" i="11"/>
  <c r="Q1351" i="11"/>
  <c r="I1351" i="11"/>
  <c r="AF1351" i="11"/>
  <c r="X1351" i="11"/>
  <c r="P1351" i="11"/>
  <c r="H1351" i="11"/>
  <c r="AE1351" i="11"/>
  <c r="W1351" i="11"/>
  <c r="O1351" i="11"/>
  <c r="AD1351" i="11"/>
  <c r="V1351" i="11"/>
  <c r="N1351" i="11"/>
  <c r="F1351" i="11"/>
  <c r="AC1351" i="11"/>
  <c r="U1351" i="11"/>
  <c r="M1351" i="11"/>
  <c r="E1351" i="11"/>
  <c r="AB1351" i="11"/>
  <c r="T1351" i="11"/>
  <c r="L1351" i="11"/>
  <c r="AI1351" i="11"/>
  <c r="AA1351" i="11"/>
  <c r="S1351" i="11"/>
  <c r="K1351" i="11"/>
  <c r="AH1351" i="11"/>
  <c r="Z1351" i="11"/>
  <c r="R1351" i="11"/>
  <c r="J1351" i="11"/>
  <c r="G1351" i="11"/>
  <c r="AG1244" i="11"/>
  <c r="Y1244" i="11"/>
  <c r="Q1244" i="11"/>
  <c r="I1244" i="11"/>
  <c r="AF1244" i="11"/>
  <c r="X1244" i="11"/>
  <c r="P1244" i="11"/>
  <c r="H1244" i="11"/>
  <c r="Z1244" i="11"/>
  <c r="N1244" i="11"/>
  <c r="AI1244" i="11"/>
  <c r="W1244" i="11"/>
  <c r="M1244" i="11"/>
  <c r="AH1244" i="11"/>
  <c r="V1244" i="11"/>
  <c r="L1244" i="11"/>
  <c r="AE1244" i="11"/>
  <c r="U1244" i="11"/>
  <c r="K1244" i="11"/>
  <c r="AD1244" i="11"/>
  <c r="T1244" i="11"/>
  <c r="J1244" i="11"/>
  <c r="AC1244" i="11"/>
  <c r="S1244" i="11"/>
  <c r="G1244" i="11"/>
  <c r="F1244" i="11"/>
  <c r="E1244" i="11"/>
  <c r="AB1244" i="11"/>
  <c r="AA1244" i="11"/>
  <c r="R1244" i="11"/>
  <c r="O1244" i="11"/>
  <c r="AB1117" i="11"/>
  <c r="T1117" i="11"/>
  <c r="L1117" i="11"/>
  <c r="AI1117" i="11"/>
  <c r="AA1117" i="11"/>
  <c r="S1117" i="11"/>
  <c r="K1117" i="11"/>
  <c r="AH1117" i="11"/>
  <c r="Z1117" i="11"/>
  <c r="R1117" i="11"/>
  <c r="J1117" i="11"/>
  <c r="AG1117" i="11"/>
  <c r="Y1117" i="11"/>
  <c r="Q1117" i="11"/>
  <c r="I1117" i="11"/>
  <c r="AF1117" i="11"/>
  <c r="X1117" i="11"/>
  <c r="P1117" i="11"/>
  <c r="H1117" i="11"/>
  <c r="AE1117" i="11"/>
  <c r="W1117" i="11"/>
  <c r="O1117" i="11"/>
  <c r="G1117" i="11"/>
  <c r="AD1117" i="11"/>
  <c r="V1117" i="11"/>
  <c r="N1117" i="11"/>
  <c r="F1117" i="11"/>
  <c r="E1117" i="11"/>
  <c r="AC1117" i="11"/>
  <c r="U1117" i="11"/>
  <c r="M1117" i="11"/>
  <c r="AF1125" i="11"/>
  <c r="X1125" i="11"/>
  <c r="P1125" i="11"/>
  <c r="H1125" i="11"/>
  <c r="AE1125" i="11"/>
  <c r="W1125" i="11"/>
  <c r="O1125" i="11"/>
  <c r="G1125" i="11"/>
  <c r="AG1125" i="11"/>
  <c r="U1125" i="11"/>
  <c r="K1125" i="11"/>
  <c r="AD1125" i="11"/>
  <c r="T1125" i="11"/>
  <c r="J1125" i="11"/>
  <c r="AC1125" i="11"/>
  <c r="S1125" i="11"/>
  <c r="I1125" i="11"/>
  <c r="AB1125" i="11"/>
  <c r="R1125" i="11"/>
  <c r="F1125" i="11"/>
  <c r="AA1125" i="11"/>
  <c r="Q1125" i="11"/>
  <c r="E1125" i="11"/>
  <c r="Z1125" i="11"/>
  <c r="N1125" i="11"/>
  <c r="AI1125" i="11"/>
  <c r="Y1125" i="11"/>
  <c r="M1125" i="11"/>
  <c r="AH1125" i="11"/>
  <c r="V1125" i="11"/>
  <c r="L1125" i="11"/>
  <c r="Q950" i="11"/>
  <c r="I950" i="11"/>
  <c r="AF950" i="11"/>
  <c r="P950" i="11"/>
  <c r="H950" i="11"/>
  <c r="O950" i="11"/>
  <c r="G950" i="11"/>
  <c r="N950" i="11"/>
  <c r="F950" i="11"/>
  <c r="M950" i="11"/>
  <c r="E950" i="11"/>
  <c r="L950" i="11"/>
  <c r="AB950" i="11" s="1"/>
  <c r="AC950" i="11" s="1"/>
  <c r="K950" i="11"/>
  <c r="J950" i="11"/>
  <c r="AI950" i="11"/>
  <c r="AD950" i="11" s="1"/>
  <c r="AF1405" i="11"/>
  <c r="X1405" i="11"/>
  <c r="P1405" i="11"/>
  <c r="H1405" i="11"/>
  <c r="AE1405" i="11"/>
  <c r="W1405" i="11"/>
  <c r="O1405" i="11"/>
  <c r="G1405" i="11"/>
  <c r="AD1405" i="11"/>
  <c r="V1405" i="11"/>
  <c r="N1405" i="11"/>
  <c r="F1405" i="11"/>
  <c r="AH1405" i="11"/>
  <c r="T1405" i="11"/>
  <c r="I1405" i="11"/>
  <c r="AG1405" i="11"/>
  <c r="S1405" i="11"/>
  <c r="E1405" i="11"/>
  <c r="AC1405" i="11"/>
  <c r="R1405" i="11"/>
  <c r="AB1405" i="11"/>
  <c r="Q1405" i="11"/>
  <c r="Y1405" i="11"/>
  <c r="U1405" i="11"/>
  <c r="M1405" i="11"/>
  <c r="L1405" i="11"/>
  <c r="K1405" i="11"/>
  <c r="AI1405" i="11"/>
  <c r="J1405" i="11"/>
  <c r="AA1405" i="11"/>
  <c r="Z1405" i="11"/>
  <c r="AB1268" i="11"/>
  <c r="T1268" i="11"/>
  <c r="L1268" i="11"/>
  <c r="AH1268" i="11"/>
  <c r="Y1268" i="11"/>
  <c r="P1268" i="11"/>
  <c r="G1268" i="11"/>
  <c r="AG1268" i="11"/>
  <c r="X1268" i="11"/>
  <c r="O1268" i="11"/>
  <c r="F1268" i="11"/>
  <c r="AF1268" i="11"/>
  <c r="W1268" i="11"/>
  <c r="N1268" i="11"/>
  <c r="E1268" i="11"/>
  <c r="AE1268" i="11"/>
  <c r="V1268" i="11"/>
  <c r="M1268" i="11"/>
  <c r="AD1268" i="11"/>
  <c r="U1268" i="11"/>
  <c r="K1268" i="11"/>
  <c r="Z1268" i="11"/>
  <c r="S1268" i="11"/>
  <c r="R1268" i="11"/>
  <c r="Q1268" i="11"/>
  <c r="J1268" i="11"/>
  <c r="AI1268" i="11"/>
  <c r="I1268" i="11"/>
  <c r="AC1268" i="11"/>
  <c r="H1268" i="11"/>
  <c r="AA1268" i="11"/>
  <c r="AE1196" i="11"/>
  <c r="W1196" i="11"/>
  <c r="O1196" i="11"/>
  <c r="G1196" i="11"/>
  <c r="AD1196" i="11"/>
  <c r="V1196" i="11"/>
  <c r="N1196" i="11"/>
  <c r="F1196" i="11"/>
  <c r="AC1196" i="11"/>
  <c r="U1196" i="11"/>
  <c r="M1196" i="11"/>
  <c r="E1196" i="11"/>
  <c r="AB1196" i="11"/>
  <c r="T1196" i="11"/>
  <c r="L1196" i="11"/>
  <c r="AI1196" i="11"/>
  <c r="AA1196" i="11"/>
  <c r="S1196" i="11"/>
  <c r="K1196" i="11"/>
  <c r="AF1196" i="11"/>
  <c r="I1196" i="11"/>
  <c r="Z1196" i="11"/>
  <c r="H1196" i="11"/>
  <c r="Y1196" i="11"/>
  <c r="X1196" i="11"/>
  <c r="R1196" i="11"/>
  <c r="Q1196" i="11"/>
  <c r="AH1196" i="11"/>
  <c r="P1196" i="11"/>
  <c r="AG1196" i="11"/>
  <c r="J1196" i="11"/>
  <c r="AG1062" i="11"/>
  <c r="Y1062" i="11"/>
  <c r="Q1062" i="11"/>
  <c r="I1062" i="11"/>
  <c r="AF1062" i="11"/>
  <c r="X1062" i="11"/>
  <c r="P1062" i="11"/>
  <c r="H1062" i="11"/>
  <c r="AE1062" i="11"/>
  <c r="W1062" i="11"/>
  <c r="O1062" i="11"/>
  <c r="G1062" i="11"/>
  <c r="AD1062" i="11"/>
  <c r="V1062" i="11"/>
  <c r="N1062" i="11"/>
  <c r="F1062" i="11"/>
  <c r="AB1062" i="11"/>
  <c r="T1062" i="11"/>
  <c r="L1062" i="11"/>
  <c r="AC1062" i="11"/>
  <c r="J1062" i="11"/>
  <c r="AA1062" i="11"/>
  <c r="E1062" i="11"/>
  <c r="Z1062" i="11"/>
  <c r="U1062" i="11"/>
  <c r="S1062" i="11"/>
  <c r="R1062" i="11"/>
  <c r="AI1062" i="11"/>
  <c r="M1062" i="11"/>
  <c r="AH1062" i="11"/>
  <c r="K1062" i="11"/>
  <c r="AD1068" i="11"/>
  <c r="V1068" i="11"/>
  <c r="N1068" i="11"/>
  <c r="F1068" i="11"/>
  <c r="AC1068" i="11"/>
  <c r="U1068" i="11"/>
  <c r="M1068" i="11"/>
  <c r="E1068" i="11"/>
  <c r="AB1068" i="11"/>
  <c r="T1068" i="11"/>
  <c r="L1068" i="11"/>
  <c r="AI1068" i="11"/>
  <c r="AA1068" i="11"/>
  <c r="S1068" i="11"/>
  <c r="K1068" i="11"/>
  <c r="AH1068" i="11"/>
  <c r="Z1068" i="11"/>
  <c r="R1068" i="11"/>
  <c r="J1068" i="11"/>
  <c r="AF1068" i="11"/>
  <c r="X1068" i="11"/>
  <c r="P1068" i="11"/>
  <c r="H1068" i="11"/>
  <c r="AE1068" i="11"/>
  <c r="Y1068" i="11"/>
  <c r="W1068" i="11"/>
  <c r="Q1068" i="11"/>
  <c r="O1068" i="11"/>
  <c r="I1068" i="11"/>
  <c r="G1068" i="11"/>
  <c r="AG1068" i="11"/>
  <c r="M1048" i="11"/>
  <c r="E1048" i="11"/>
  <c r="AI1048" i="11"/>
  <c r="K1048" i="11"/>
  <c r="I1048" i="11"/>
  <c r="AF1048" i="11"/>
  <c r="H1048" i="11"/>
  <c r="O1048" i="11"/>
  <c r="G1048" i="11"/>
  <c r="Y1048" i="11" s="1"/>
  <c r="J1048" i="11"/>
  <c r="F1048" i="11"/>
  <c r="N1048" i="11"/>
  <c r="L1048" i="11"/>
  <c r="AB1048" i="11" s="1"/>
  <c r="AC1048" i="11" s="1"/>
  <c r="N856" i="11"/>
  <c r="F856" i="11"/>
  <c r="M856" i="11"/>
  <c r="E856" i="11"/>
  <c r="L856" i="11"/>
  <c r="J856" i="11"/>
  <c r="Q856" i="11"/>
  <c r="I856" i="11"/>
  <c r="O856" i="11"/>
  <c r="AF856" i="11"/>
  <c r="K856" i="11"/>
  <c r="H856" i="11"/>
  <c r="AB856" i="11" s="1"/>
  <c r="AC856" i="11" s="1"/>
  <c r="G856" i="11"/>
  <c r="AI856" i="11" s="1"/>
  <c r="L801" i="11"/>
  <c r="AB801" i="11" s="1"/>
  <c r="AC801" i="11" s="1"/>
  <c r="K801" i="11"/>
  <c r="I801" i="11"/>
  <c r="H801" i="11"/>
  <c r="F801" i="11"/>
  <c r="O801" i="11"/>
  <c r="E801" i="11"/>
  <c r="P801" i="11" s="1"/>
  <c r="N801" i="11"/>
  <c r="M801" i="11"/>
  <c r="AF801" i="11"/>
  <c r="J801" i="11"/>
  <c r="G801" i="11"/>
  <c r="AI801" i="11" s="1"/>
  <c r="AG708" i="11"/>
  <c r="Y708" i="11"/>
  <c r="Q708" i="11"/>
  <c r="I708" i="11"/>
  <c r="AF708" i="11"/>
  <c r="X708" i="11"/>
  <c r="P708" i="11"/>
  <c r="H708" i="11"/>
  <c r="AD708" i="11"/>
  <c r="V708" i="11"/>
  <c r="N708" i="11"/>
  <c r="F708" i="11"/>
  <c r="AC708" i="11"/>
  <c r="U708" i="11"/>
  <c r="M708" i="11"/>
  <c r="E708" i="11"/>
  <c r="AB708" i="11"/>
  <c r="T708" i="11"/>
  <c r="L708" i="11"/>
  <c r="W708" i="11"/>
  <c r="S708" i="11"/>
  <c r="R708" i="11"/>
  <c r="AI708" i="11"/>
  <c r="O708" i="11"/>
  <c r="AH708" i="11"/>
  <c r="K708" i="11"/>
  <c r="AE708" i="11"/>
  <c r="J708" i="11"/>
  <c r="AA708" i="11"/>
  <c r="G708" i="11"/>
  <c r="Z708" i="11"/>
  <c r="AB1419" i="11"/>
  <c r="T1419" i="11"/>
  <c r="L1419" i="11"/>
  <c r="AA1419" i="11"/>
  <c r="R1419" i="11"/>
  <c r="I1419" i="11"/>
  <c r="AI1419" i="11"/>
  <c r="Z1419" i="11"/>
  <c r="Q1419" i="11"/>
  <c r="H1419" i="11"/>
  <c r="AH1419" i="11"/>
  <c r="Y1419" i="11"/>
  <c r="P1419" i="11"/>
  <c r="G1419" i="11"/>
  <c r="AC1419" i="11"/>
  <c r="M1419" i="11"/>
  <c r="X1419" i="11"/>
  <c r="K1419" i="11"/>
  <c r="W1419" i="11"/>
  <c r="J1419" i="11"/>
  <c r="V1419" i="11"/>
  <c r="F1419" i="11"/>
  <c r="AG1419" i="11"/>
  <c r="U1419" i="11"/>
  <c r="E1419" i="11"/>
  <c r="AE1419" i="11"/>
  <c r="O1419" i="11"/>
  <c r="N1419" i="11"/>
  <c r="AF1419" i="11"/>
  <c r="AD1419" i="11"/>
  <c r="S1419" i="11"/>
  <c r="AG1430" i="11"/>
  <c r="Y1430" i="11"/>
  <c r="Q1430" i="11"/>
  <c r="I1430" i="11"/>
  <c r="AE1430" i="11"/>
  <c r="W1430" i="11"/>
  <c r="O1430" i="11"/>
  <c r="G1430" i="11"/>
  <c r="AD1430" i="11"/>
  <c r="V1430" i="11"/>
  <c r="N1430" i="11"/>
  <c r="F1430" i="11"/>
  <c r="AC1430" i="11"/>
  <c r="R1430" i="11"/>
  <c r="AB1430" i="11"/>
  <c r="P1430" i="11"/>
  <c r="Z1430" i="11"/>
  <c r="J1430" i="11"/>
  <c r="X1430" i="11"/>
  <c r="H1430" i="11"/>
  <c r="U1430" i="11"/>
  <c r="E1430" i="11"/>
  <c r="T1430" i="11"/>
  <c r="AI1430" i="11"/>
  <c r="S1430" i="11"/>
  <c r="AH1430" i="11"/>
  <c r="AF1430" i="11"/>
  <c r="AA1430" i="11"/>
  <c r="M1430" i="11"/>
  <c r="L1430" i="11"/>
  <c r="K1430" i="11"/>
  <c r="AE1382" i="11"/>
  <c r="W1382" i="11"/>
  <c r="O1382" i="11"/>
  <c r="G1382" i="11"/>
  <c r="AD1382" i="11"/>
  <c r="V1382" i="11"/>
  <c r="N1382" i="11"/>
  <c r="F1382" i="11"/>
  <c r="AB1382" i="11"/>
  <c r="R1382" i="11"/>
  <c r="H1382" i="11"/>
  <c r="Z1382" i="11"/>
  <c r="P1382" i="11"/>
  <c r="AH1382" i="11"/>
  <c r="X1382" i="11"/>
  <c r="L1382" i="11"/>
  <c r="AG1382" i="11"/>
  <c r="U1382" i="11"/>
  <c r="K1382" i="11"/>
  <c r="Y1382" i="11"/>
  <c r="T1382" i="11"/>
  <c r="S1382" i="11"/>
  <c r="Q1382" i="11"/>
  <c r="AI1382" i="11"/>
  <c r="M1382" i="11"/>
  <c r="AC1382" i="11"/>
  <c r="I1382" i="11"/>
  <c r="AF1382" i="11"/>
  <c r="AA1382" i="11"/>
  <c r="J1382" i="11"/>
  <c r="E1382" i="11"/>
  <c r="AG1343" i="11"/>
  <c r="Y1343" i="11"/>
  <c r="Q1343" i="11"/>
  <c r="I1343" i="11"/>
  <c r="AF1343" i="11"/>
  <c r="X1343" i="11"/>
  <c r="P1343" i="11"/>
  <c r="H1343" i="11"/>
  <c r="AC1343" i="11"/>
  <c r="U1343" i="11"/>
  <c r="M1343" i="11"/>
  <c r="E1343" i="11"/>
  <c r="AB1343" i="11"/>
  <c r="T1343" i="11"/>
  <c r="L1343" i="11"/>
  <c r="W1343" i="11"/>
  <c r="G1343" i="11"/>
  <c r="V1343" i="11"/>
  <c r="F1343" i="11"/>
  <c r="AI1343" i="11"/>
  <c r="S1343" i="11"/>
  <c r="AH1343" i="11"/>
  <c r="R1343" i="11"/>
  <c r="AE1343" i="11"/>
  <c r="O1343" i="11"/>
  <c r="AD1343" i="11"/>
  <c r="AA1343" i="11"/>
  <c r="Z1343" i="11"/>
  <c r="N1343" i="11"/>
  <c r="K1343" i="11"/>
  <c r="J1343" i="11"/>
  <c r="AB1256" i="11"/>
  <c r="T1256" i="11"/>
  <c r="L1256" i="11"/>
  <c r="AH1256" i="11"/>
  <c r="Y1256" i="11"/>
  <c r="P1256" i="11"/>
  <c r="G1256" i="11"/>
  <c r="AG1256" i="11"/>
  <c r="X1256" i="11"/>
  <c r="O1256" i="11"/>
  <c r="F1256" i="11"/>
  <c r="AE1256" i="11"/>
  <c r="V1256" i="11"/>
  <c r="M1256" i="11"/>
  <c r="AF1256" i="11"/>
  <c r="R1256" i="11"/>
  <c r="AD1256" i="11"/>
  <c r="Q1256" i="11"/>
  <c r="AC1256" i="11"/>
  <c r="N1256" i="11"/>
  <c r="AA1256" i="11"/>
  <c r="K1256" i="11"/>
  <c r="Z1256" i="11"/>
  <c r="J1256" i="11"/>
  <c r="W1256" i="11"/>
  <c r="I1256" i="11"/>
  <c r="U1256" i="11"/>
  <c r="H1256" i="11"/>
  <c r="AI1256" i="11"/>
  <c r="S1256" i="11"/>
  <c r="E1256" i="11"/>
  <c r="AH1257" i="11"/>
  <c r="Z1257" i="11"/>
  <c r="R1257" i="11"/>
  <c r="J1257" i="11"/>
  <c r="AA1257" i="11"/>
  <c r="Q1257" i="11"/>
  <c r="H1257" i="11"/>
  <c r="AI1257" i="11"/>
  <c r="Y1257" i="11"/>
  <c r="P1257" i="11"/>
  <c r="G1257" i="11"/>
  <c r="AF1257" i="11"/>
  <c r="W1257" i="11"/>
  <c r="N1257" i="11"/>
  <c r="E1257" i="11"/>
  <c r="AB1257" i="11"/>
  <c r="L1257" i="11"/>
  <c r="X1257" i="11"/>
  <c r="K1257" i="11"/>
  <c r="V1257" i="11"/>
  <c r="I1257" i="11"/>
  <c r="U1257" i="11"/>
  <c r="F1257" i="11"/>
  <c r="AG1257" i="11"/>
  <c r="T1257" i="11"/>
  <c r="AE1257" i="11"/>
  <c r="S1257" i="11"/>
  <c r="AD1257" i="11"/>
  <c r="O1257" i="11"/>
  <c r="AC1257" i="11"/>
  <c r="M1257" i="11"/>
  <c r="AC1177" i="11"/>
  <c r="U1177" i="11"/>
  <c r="M1177" i="11"/>
  <c r="E1177" i="11"/>
  <c r="AB1177" i="11"/>
  <c r="T1177" i="11"/>
  <c r="L1177" i="11"/>
  <c r="AI1177" i="11"/>
  <c r="AA1177" i="11"/>
  <c r="S1177" i="11"/>
  <c r="K1177" i="11"/>
  <c r="AH1177" i="11"/>
  <c r="Z1177" i="11"/>
  <c r="R1177" i="11"/>
  <c r="J1177" i="11"/>
  <c r="AG1177" i="11"/>
  <c r="Y1177" i="11"/>
  <c r="Q1177" i="11"/>
  <c r="I1177" i="11"/>
  <c r="AF1177" i="11"/>
  <c r="N1177" i="11"/>
  <c r="AE1177" i="11"/>
  <c r="H1177" i="11"/>
  <c r="AD1177" i="11"/>
  <c r="G1177" i="11"/>
  <c r="X1177" i="11"/>
  <c r="F1177" i="11"/>
  <c r="W1177" i="11"/>
  <c r="V1177" i="11"/>
  <c r="P1177" i="11"/>
  <c r="O1177" i="11"/>
  <c r="AE1156" i="11"/>
  <c r="W1156" i="11"/>
  <c r="O1156" i="11"/>
  <c r="G1156" i="11"/>
  <c r="AD1156" i="11"/>
  <c r="V1156" i="11"/>
  <c r="N1156" i="11"/>
  <c r="F1156" i="11"/>
  <c r="AC1156" i="11"/>
  <c r="U1156" i="11"/>
  <c r="M1156" i="11"/>
  <c r="E1156" i="11"/>
  <c r="AI1156" i="11"/>
  <c r="AA1156" i="11"/>
  <c r="S1156" i="11"/>
  <c r="K1156" i="11"/>
  <c r="X1156" i="11"/>
  <c r="H1156" i="11"/>
  <c r="T1156" i="11"/>
  <c r="AH1156" i="11"/>
  <c r="R1156" i="11"/>
  <c r="AF1156" i="11"/>
  <c r="P1156" i="11"/>
  <c r="Z1156" i="11"/>
  <c r="J1156" i="11"/>
  <c r="AG1156" i="11"/>
  <c r="AB1156" i="11"/>
  <c r="Y1156" i="11"/>
  <c r="Q1156" i="11"/>
  <c r="L1156" i="11"/>
  <c r="I1156" i="11"/>
  <c r="AE1134" i="11"/>
  <c r="W1134" i="11"/>
  <c r="O1134" i="11"/>
  <c r="G1134" i="11"/>
  <c r="AD1134" i="11"/>
  <c r="V1134" i="11"/>
  <c r="N1134" i="11"/>
  <c r="F1134" i="11"/>
  <c r="AC1134" i="11"/>
  <c r="U1134" i="11"/>
  <c r="M1134" i="11"/>
  <c r="E1134" i="11"/>
  <c r="AI1134" i="11"/>
  <c r="X1134" i="11"/>
  <c r="J1134" i="11"/>
  <c r="AH1134" i="11"/>
  <c r="T1134" i="11"/>
  <c r="I1134" i="11"/>
  <c r="AG1134" i="11"/>
  <c r="S1134" i="11"/>
  <c r="H1134" i="11"/>
  <c r="AF1134" i="11"/>
  <c r="R1134" i="11"/>
  <c r="AB1134" i="11"/>
  <c r="Q1134" i="11"/>
  <c r="AA1134" i="11"/>
  <c r="P1134" i="11"/>
  <c r="Z1134" i="11"/>
  <c r="L1134" i="11"/>
  <c r="Y1134" i="11"/>
  <c r="K1134" i="11"/>
  <c r="AD1096" i="11"/>
  <c r="V1096" i="11"/>
  <c r="N1096" i="11"/>
  <c r="F1096" i="11"/>
  <c r="AC1096" i="11"/>
  <c r="U1096" i="11"/>
  <c r="M1096" i="11"/>
  <c r="E1096" i="11"/>
  <c r="AB1096" i="11"/>
  <c r="T1096" i="11"/>
  <c r="L1096" i="11"/>
  <c r="AI1096" i="11"/>
  <c r="AA1096" i="11"/>
  <c r="S1096" i="11"/>
  <c r="K1096" i="11"/>
  <c r="AH1096" i="11"/>
  <c r="Z1096" i="11"/>
  <c r="R1096" i="11"/>
  <c r="J1096" i="11"/>
  <c r="AF1096" i="11"/>
  <c r="X1096" i="11"/>
  <c r="P1096" i="11"/>
  <c r="H1096" i="11"/>
  <c r="AE1096" i="11"/>
  <c r="Y1096" i="11"/>
  <c r="W1096" i="11"/>
  <c r="Q1096" i="11"/>
  <c r="O1096" i="11"/>
  <c r="I1096" i="11"/>
  <c r="G1096" i="11"/>
  <c r="AG1096" i="11"/>
  <c r="M1012" i="11"/>
  <c r="AB1012" i="11" s="1"/>
  <c r="AC1012" i="11" s="1"/>
  <c r="E1012" i="11"/>
  <c r="I1012" i="11"/>
  <c r="O1012" i="11"/>
  <c r="AI1012" i="11"/>
  <c r="N1012" i="11"/>
  <c r="L1012" i="11"/>
  <c r="AF1012" i="11"/>
  <c r="K1012" i="11"/>
  <c r="J1012" i="11"/>
  <c r="H1012" i="11"/>
  <c r="G1012" i="11"/>
  <c r="X1012" i="11" s="1"/>
  <c r="F1012" i="11"/>
  <c r="Y1012" i="11" s="1"/>
  <c r="AF956" i="11"/>
  <c r="H956" i="11"/>
  <c r="O956" i="11"/>
  <c r="G956" i="11"/>
  <c r="N956" i="11"/>
  <c r="F956" i="11"/>
  <c r="E956" i="11"/>
  <c r="M956" i="11"/>
  <c r="L956" i="11"/>
  <c r="AB956" i="11" s="1"/>
  <c r="AC956" i="11" s="1"/>
  <c r="K956" i="11"/>
  <c r="J956" i="11"/>
  <c r="I956" i="11"/>
  <c r="AB954" i="11"/>
  <c r="AC954" i="11" s="1"/>
  <c r="L954" i="11"/>
  <c r="K954" i="11"/>
  <c r="J954" i="11"/>
  <c r="M954" i="11"/>
  <c r="I954" i="11"/>
  <c r="H954" i="11"/>
  <c r="AF954" i="11"/>
  <c r="G954" i="11"/>
  <c r="F954" i="11"/>
  <c r="E954" i="11"/>
  <c r="O954" i="11"/>
  <c r="N954" i="11"/>
  <c r="AC936" i="11"/>
  <c r="M936" i="11"/>
  <c r="E936" i="11"/>
  <c r="AB936" i="11"/>
  <c r="L936" i="11"/>
  <c r="K936" i="11"/>
  <c r="J936" i="11"/>
  <c r="Q936" i="11"/>
  <c r="I936" i="11"/>
  <c r="AF936" i="11"/>
  <c r="P936" i="11"/>
  <c r="H936" i="11"/>
  <c r="O936" i="11"/>
  <c r="N936" i="11"/>
  <c r="G936" i="11"/>
  <c r="F936" i="11"/>
  <c r="AF815" i="11"/>
  <c r="P815" i="11"/>
  <c r="H815" i="11"/>
  <c r="O815" i="11"/>
  <c r="G815" i="11"/>
  <c r="AI815" i="11"/>
  <c r="K815" i="11"/>
  <c r="N815" i="11"/>
  <c r="L815" i="11"/>
  <c r="AB815" i="11" s="1"/>
  <c r="AC815" i="11" s="1"/>
  <c r="J815" i="11"/>
  <c r="I815" i="11"/>
  <c r="R815" i="11"/>
  <c r="M815" i="11"/>
  <c r="Y815" i="11" s="1"/>
  <c r="F815" i="11"/>
  <c r="Q815" i="11" s="1"/>
  <c r="S815" i="11" s="1"/>
  <c r="E815" i="11"/>
  <c r="N888" i="11"/>
  <c r="F888" i="11"/>
  <c r="P888" i="11" s="1"/>
  <c r="M888" i="11"/>
  <c r="E888" i="11"/>
  <c r="L888" i="11"/>
  <c r="AB888" i="11" s="1"/>
  <c r="AC888" i="11" s="1"/>
  <c r="AI888" i="11"/>
  <c r="K888" i="11"/>
  <c r="J888" i="11"/>
  <c r="I888" i="11"/>
  <c r="O888" i="11"/>
  <c r="H888" i="11"/>
  <c r="G888" i="11"/>
  <c r="Y888" i="11" s="1"/>
  <c r="AF888" i="11"/>
  <c r="AE709" i="11"/>
  <c r="W709" i="11"/>
  <c r="O709" i="11"/>
  <c r="G709" i="11"/>
  <c r="AD709" i="11"/>
  <c r="V709" i="11"/>
  <c r="N709" i="11"/>
  <c r="F709" i="11"/>
  <c r="AB709" i="11"/>
  <c r="T709" i="11"/>
  <c r="L709" i="11"/>
  <c r="AI709" i="11"/>
  <c r="AA709" i="11"/>
  <c r="S709" i="11"/>
  <c r="K709" i="11"/>
  <c r="AH709" i="11"/>
  <c r="Z709" i="11"/>
  <c r="R709" i="11"/>
  <c r="J709" i="11"/>
  <c r="Y709" i="11"/>
  <c r="E709" i="11"/>
  <c r="X709" i="11"/>
  <c r="U709" i="11"/>
  <c r="Q709" i="11"/>
  <c r="P709" i="11"/>
  <c r="AG709" i="11"/>
  <c r="M709" i="11"/>
  <c r="AF709" i="11"/>
  <c r="I709" i="11"/>
  <c r="AC709" i="11"/>
  <c r="H709" i="11"/>
  <c r="AC730" i="11"/>
  <c r="U730" i="11"/>
  <c r="M730" i="11"/>
  <c r="E730" i="11"/>
  <c r="AB730" i="11"/>
  <c r="T730" i="11"/>
  <c r="L730" i="11"/>
  <c r="AI730" i="11"/>
  <c r="AA730" i="11"/>
  <c r="S730" i="11"/>
  <c r="K730" i="11"/>
  <c r="AH730" i="11"/>
  <c r="Z730" i="11"/>
  <c r="R730" i="11"/>
  <c r="J730" i="11"/>
  <c r="AG730" i="11"/>
  <c r="Y730" i="11"/>
  <c r="Q730" i="11"/>
  <c r="I730" i="11"/>
  <c r="AF730" i="11"/>
  <c r="X730" i="11"/>
  <c r="P730" i="11"/>
  <c r="H730" i="11"/>
  <c r="AE730" i="11"/>
  <c r="W730" i="11"/>
  <c r="O730" i="11"/>
  <c r="G730" i="11"/>
  <c r="V730" i="11"/>
  <c r="N730" i="11"/>
  <c r="F730" i="11"/>
  <c r="AD730" i="11"/>
  <c r="AD689" i="11"/>
  <c r="V689" i="11"/>
  <c r="N689" i="11"/>
  <c r="F689" i="11"/>
  <c r="AC689" i="11"/>
  <c r="U689" i="11"/>
  <c r="M689" i="11"/>
  <c r="E689" i="11"/>
  <c r="AB689" i="11"/>
  <c r="T689" i="11"/>
  <c r="L689" i="11"/>
  <c r="AI689" i="11"/>
  <c r="AA689" i="11"/>
  <c r="S689" i="11"/>
  <c r="K689" i="11"/>
  <c r="AH689" i="11"/>
  <c r="Z689" i="11"/>
  <c r="R689" i="11"/>
  <c r="J689" i="11"/>
  <c r="AG689" i="11"/>
  <c r="Y689" i="11"/>
  <c r="Q689" i="11"/>
  <c r="I689" i="11"/>
  <c r="AF689" i="11"/>
  <c r="X689" i="11"/>
  <c r="P689" i="11"/>
  <c r="H689" i="11"/>
  <c r="W689" i="11"/>
  <c r="O689" i="11"/>
  <c r="G689" i="11"/>
  <c r="AE689" i="11"/>
  <c r="N625" i="11"/>
  <c r="F625" i="11"/>
  <c r="P625" i="11" s="1"/>
  <c r="M625" i="11"/>
  <c r="E625" i="11"/>
  <c r="L625" i="11"/>
  <c r="AB625" i="11" s="1"/>
  <c r="AC625" i="11" s="1"/>
  <c r="AI625" i="11"/>
  <c r="K625" i="11"/>
  <c r="J625" i="11"/>
  <c r="I625" i="11"/>
  <c r="AF625" i="11"/>
  <c r="H625" i="11"/>
  <c r="O625" i="11"/>
  <c r="G625" i="11"/>
  <c r="AB694" i="11"/>
  <c r="T694" i="11"/>
  <c r="L694" i="11"/>
  <c r="AI694" i="11"/>
  <c r="AA694" i="11"/>
  <c r="S694" i="11"/>
  <c r="K694" i="11"/>
  <c r="AH694" i="11"/>
  <c r="Z694" i="11"/>
  <c r="R694" i="11"/>
  <c r="J694" i="11"/>
  <c r="AG694" i="11"/>
  <c r="Y694" i="11"/>
  <c r="Q694" i="11"/>
  <c r="I694" i="11"/>
  <c r="AF694" i="11"/>
  <c r="X694" i="11"/>
  <c r="P694" i="11"/>
  <c r="H694" i="11"/>
  <c r="AE694" i="11"/>
  <c r="W694" i="11"/>
  <c r="O694" i="11"/>
  <c r="G694" i="11"/>
  <c r="AD694" i="11"/>
  <c r="V694" i="11"/>
  <c r="N694" i="11"/>
  <c r="F694" i="11"/>
  <c r="AC694" i="11"/>
  <c r="U694" i="11"/>
  <c r="M694" i="11"/>
  <c r="E694" i="11"/>
  <c r="L416" i="11"/>
  <c r="AF416" i="11"/>
  <c r="N416" i="11"/>
  <c r="E416" i="11"/>
  <c r="M416" i="11"/>
  <c r="K416" i="11"/>
  <c r="J416" i="11"/>
  <c r="I416" i="11"/>
  <c r="AI416" i="11"/>
  <c r="O416" i="11"/>
  <c r="H416" i="11"/>
  <c r="AB416" i="11" s="1"/>
  <c r="AC416" i="11" s="1"/>
  <c r="G416" i="11"/>
  <c r="F416" i="11"/>
  <c r="Q416" i="11" s="1"/>
  <c r="AD493" i="11"/>
  <c r="V493" i="11"/>
  <c r="N493" i="11"/>
  <c r="F493" i="11"/>
  <c r="AC493" i="11"/>
  <c r="U493" i="11"/>
  <c r="M493" i="11"/>
  <c r="E493" i="11"/>
  <c r="AB493" i="11"/>
  <c r="T493" i="11"/>
  <c r="L493" i="11"/>
  <c r="AH493" i="11"/>
  <c r="Z493" i="11"/>
  <c r="R493" i="11"/>
  <c r="J493" i="11"/>
  <c r="X493" i="11"/>
  <c r="H493" i="11"/>
  <c r="W493" i="11"/>
  <c r="G493" i="11"/>
  <c r="AI493" i="11"/>
  <c r="S493" i="11"/>
  <c r="AG493" i="11"/>
  <c r="Q493" i="11"/>
  <c r="AF493" i="11"/>
  <c r="P493" i="11"/>
  <c r="AA493" i="11"/>
  <c r="Y493" i="11"/>
  <c r="O493" i="11"/>
  <c r="K493" i="11"/>
  <c r="I493" i="11"/>
  <c r="AE493" i="11"/>
  <c r="AF504" i="11"/>
  <c r="X504" i="11"/>
  <c r="P504" i="11"/>
  <c r="H504" i="11"/>
  <c r="AE504" i="11"/>
  <c r="W504" i="11"/>
  <c r="O504" i="11"/>
  <c r="G504" i="11"/>
  <c r="AD504" i="11"/>
  <c r="V504" i="11"/>
  <c r="N504" i="11"/>
  <c r="F504" i="11"/>
  <c r="AB504" i="11"/>
  <c r="T504" i="11"/>
  <c r="L504" i="11"/>
  <c r="AA504" i="11"/>
  <c r="K504" i="11"/>
  <c r="Z504" i="11"/>
  <c r="J504" i="11"/>
  <c r="Y504" i="11"/>
  <c r="I504" i="11"/>
  <c r="U504" i="11"/>
  <c r="E504" i="11"/>
  <c r="AI504" i="11"/>
  <c r="S504" i="11"/>
  <c r="AG504" i="11"/>
  <c r="AC504" i="11"/>
  <c r="R504" i="11"/>
  <c r="Q504" i="11"/>
  <c r="M504" i="11"/>
  <c r="AH504" i="11"/>
  <c r="AE440" i="11"/>
  <c r="W440" i="11"/>
  <c r="O440" i="11"/>
  <c r="G440" i="11"/>
  <c r="AD440" i="11"/>
  <c r="V440" i="11"/>
  <c r="N440" i="11"/>
  <c r="F440" i="11"/>
  <c r="AB440" i="11"/>
  <c r="T440" i="11"/>
  <c r="L440" i="11"/>
  <c r="AI440" i="11"/>
  <c r="X440" i="11"/>
  <c r="J440" i="11"/>
  <c r="AH440" i="11"/>
  <c r="U440" i="11"/>
  <c r="I440" i="11"/>
  <c r="AG440" i="11"/>
  <c r="S440" i="11"/>
  <c r="H440" i="11"/>
  <c r="AF440" i="11"/>
  <c r="R440" i="11"/>
  <c r="E440" i="11"/>
  <c r="AC440" i="11"/>
  <c r="Q440" i="11"/>
  <c r="AA440" i="11"/>
  <c r="Z440" i="11"/>
  <c r="Y440" i="11"/>
  <c r="P440" i="11"/>
  <c r="M440" i="11"/>
  <c r="K440" i="11"/>
  <c r="AG459" i="11"/>
  <c r="Y459" i="11"/>
  <c r="Q459" i="11"/>
  <c r="I459" i="11"/>
  <c r="AF459" i="11"/>
  <c r="X459" i="11"/>
  <c r="P459" i="11"/>
  <c r="H459" i="11"/>
  <c r="AD459" i="11"/>
  <c r="V459" i="11"/>
  <c r="N459" i="11"/>
  <c r="F459" i="11"/>
  <c r="AE459" i="11"/>
  <c r="S459" i="11"/>
  <c r="E459" i="11"/>
  <c r="AC459" i="11"/>
  <c r="R459" i="11"/>
  <c r="AB459" i="11"/>
  <c r="O459" i="11"/>
  <c r="AA459" i="11"/>
  <c r="M459" i="11"/>
  <c r="Z459" i="11"/>
  <c r="L459" i="11"/>
  <c r="J459" i="11"/>
  <c r="G459" i="11"/>
  <c r="AI459" i="11"/>
  <c r="AH459" i="11"/>
  <c r="W459" i="11"/>
  <c r="U459" i="11"/>
  <c r="T459" i="11"/>
  <c r="K459" i="11"/>
  <c r="M437" i="11"/>
  <c r="E437" i="11"/>
  <c r="L437" i="11"/>
  <c r="R437" i="11" s="1"/>
  <c r="J437" i="11"/>
  <c r="N437" i="11"/>
  <c r="K437" i="11"/>
  <c r="I437" i="11"/>
  <c r="H437" i="11"/>
  <c r="AF437" i="11"/>
  <c r="S437" i="11"/>
  <c r="G437" i="11"/>
  <c r="AI437" i="11" s="1"/>
  <c r="Q437" i="11"/>
  <c r="P437" i="11"/>
  <c r="O437" i="11"/>
  <c r="F437" i="11"/>
  <c r="O362" i="11"/>
  <c r="G362" i="11"/>
  <c r="N362" i="11"/>
  <c r="F362" i="11"/>
  <c r="Q362" i="11" s="1"/>
  <c r="L362" i="11"/>
  <c r="AB362" i="11" s="1"/>
  <c r="AC362" i="11" s="1"/>
  <c r="AI362" i="11"/>
  <c r="K362" i="11"/>
  <c r="J362" i="11"/>
  <c r="I362" i="11"/>
  <c r="H362" i="11"/>
  <c r="E362" i="11"/>
  <c r="AF362" i="11"/>
  <c r="M362" i="11"/>
  <c r="AC302" i="11"/>
  <c r="U302" i="11"/>
  <c r="M302" i="11"/>
  <c r="E302" i="11"/>
  <c r="AB302" i="11"/>
  <c r="T302" i="11"/>
  <c r="L302" i="11"/>
  <c r="AH302" i="11"/>
  <c r="Z302" i="11"/>
  <c r="R302" i="11"/>
  <c r="J302" i="11"/>
  <c r="AF302" i="11"/>
  <c r="X302" i="11"/>
  <c r="P302" i="11"/>
  <c r="H302" i="11"/>
  <c r="AI302" i="11"/>
  <c r="S302" i="11"/>
  <c r="AG302" i="11"/>
  <c r="Q302" i="11"/>
  <c r="AE302" i="11"/>
  <c r="O302" i="11"/>
  <c r="AD302" i="11"/>
  <c r="N302" i="11"/>
  <c r="AA302" i="11"/>
  <c r="K302" i="11"/>
  <c r="Y302" i="11"/>
  <c r="I302" i="11"/>
  <c r="W302" i="11"/>
  <c r="V302" i="11"/>
  <c r="G302" i="11"/>
  <c r="F302" i="11"/>
  <c r="AG467" i="11"/>
  <c r="Y467" i="11"/>
  <c r="Q467" i="11"/>
  <c r="I467" i="11"/>
  <c r="AF467" i="11"/>
  <c r="X467" i="11"/>
  <c r="P467" i="11"/>
  <c r="H467" i="11"/>
  <c r="AD467" i="11"/>
  <c r="V467" i="11"/>
  <c r="N467" i="11"/>
  <c r="F467" i="11"/>
  <c r="AE467" i="11"/>
  <c r="S467" i="11"/>
  <c r="E467" i="11"/>
  <c r="AC467" i="11"/>
  <c r="R467" i="11"/>
  <c r="AB467" i="11"/>
  <c r="O467" i="11"/>
  <c r="AA467" i="11"/>
  <c r="M467" i="11"/>
  <c r="Z467" i="11"/>
  <c r="L467" i="11"/>
  <c r="W467" i="11"/>
  <c r="U467" i="11"/>
  <c r="T467" i="11"/>
  <c r="K467" i="11"/>
  <c r="J467" i="11"/>
  <c r="G467" i="11"/>
  <c r="AI467" i="11"/>
  <c r="AH467" i="11"/>
  <c r="O261" i="11"/>
  <c r="G261" i="11"/>
  <c r="N261" i="11"/>
  <c r="F261" i="11"/>
  <c r="L261" i="11"/>
  <c r="J261" i="11"/>
  <c r="H261" i="11"/>
  <c r="E261" i="11"/>
  <c r="Q261" i="11" s="1"/>
  <c r="AI261" i="11"/>
  <c r="AF261" i="11"/>
  <c r="M261" i="11"/>
  <c r="K261" i="11"/>
  <c r="I261" i="11"/>
  <c r="I435" i="11"/>
  <c r="AF435" i="11"/>
  <c r="H435" i="11"/>
  <c r="N435" i="11"/>
  <c r="F435" i="11"/>
  <c r="P435" i="11" s="1"/>
  <c r="E435" i="11"/>
  <c r="O435" i="11"/>
  <c r="M435" i="11"/>
  <c r="L435" i="11"/>
  <c r="AB435" i="11" s="1"/>
  <c r="AC435" i="11" s="1"/>
  <c r="K435" i="11"/>
  <c r="J435" i="11"/>
  <c r="G435" i="11"/>
  <c r="AI435" i="11"/>
  <c r="AE1443" i="11"/>
  <c r="W1443" i="11"/>
  <c r="O1443" i="11"/>
  <c r="G1443" i="11"/>
  <c r="AD1443" i="11"/>
  <c r="V1443" i="11"/>
  <c r="N1443" i="11"/>
  <c r="F1443" i="11"/>
  <c r="AC1443" i="11"/>
  <c r="U1443" i="11"/>
  <c r="M1443" i="11"/>
  <c r="E1443" i="11"/>
  <c r="AB1443" i="11"/>
  <c r="T1443" i="11"/>
  <c r="L1443" i="11"/>
  <c r="AI1443" i="11"/>
  <c r="AA1443" i="11"/>
  <c r="S1443" i="11"/>
  <c r="AH1443" i="11"/>
  <c r="Z1443" i="11"/>
  <c r="R1443" i="11"/>
  <c r="J1443" i="11"/>
  <c r="AG1443" i="11"/>
  <c r="Y1443" i="11"/>
  <c r="Q1443" i="11"/>
  <c r="I1443" i="11"/>
  <c r="AF1443" i="11"/>
  <c r="X1443" i="11"/>
  <c r="P1443" i="11"/>
  <c r="K1443" i="11"/>
  <c r="H1443" i="11"/>
  <c r="AC1383" i="11"/>
  <c r="U1383" i="11"/>
  <c r="M1383" i="11"/>
  <c r="E1383" i="11"/>
  <c r="AB1383" i="11"/>
  <c r="T1383" i="11"/>
  <c r="L1383" i="11"/>
  <c r="Z1383" i="11"/>
  <c r="P1383" i="11"/>
  <c r="F1383" i="11"/>
  <c r="AI1383" i="11"/>
  <c r="Y1383" i="11"/>
  <c r="O1383" i="11"/>
  <c r="AH1383" i="11"/>
  <c r="X1383" i="11"/>
  <c r="N1383" i="11"/>
  <c r="AF1383" i="11"/>
  <c r="V1383" i="11"/>
  <c r="J1383" i="11"/>
  <c r="AE1383" i="11"/>
  <c r="S1383" i="11"/>
  <c r="I1383" i="11"/>
  <c r="H1383" i="11"/>
  <c r="AG1383" i="11"/>
  <c r="G1383" i="11"/>
  <c r="AD1383" i="11"/>
  <c r="AA1383" i="11"/>
  <c r="W1383" i="11"/>
  <c r="Q1383" i="11"/>
  <c r="R1383" i="11"/>
  <c r="K1383" i="11"/>
  <c r="AG1381" i="11"/>
  <c r="Y1381" i="11"/>
  <c r="Q1381" i="11"/>
  <c r="I1381" i="11"/>
  <c r="AF1381" i="11"/>
  <c r="X1381" i="11"/>
  <c r="P1381" i="11"/>
  <c r="H1381" i="11"/>
  <c r="AD1381" i="11"/>
  <c r="T1381" i="11"/>
  <c r="AB1381" i="11"/>
  <c r="R1381" i="11"/>
  <c r="F1381" i="11"/>
  <c r="Z1381" i="11"/>
  <c r="N1381" i="11"/>
  <c r="AI1381" i="11"/>
  <c r="W1381" i="11"/>
  <c r="M1381" i="11"/>
  <c r="S1381" i="11"/>
  <c r="O1381" i="11"/>
  <c r="AH1381" i="11"/>
  <c r="L1381" i="11"/>
  <c r="AE1381" i="11"/>
  <c r="K1381" i="11"/>
  <c r="AC1381" i="11"/>
  <c r="J1381" i="11"/>
  <c r="V1381" i="11"/>
  <c r="E1381" i="11"/>
  <c r="AA1381" i="11"/>
  <c r="U1381" i="11"/>
  <c r="G1381" i="11"/>
  <c r="AC1359" i="11"/>
  <c r="U1359" i="11"/>
  <c r="M1359" i="11"/>
  <c r="E1359" i="11"/>
  <c r="AB1359" i="11"/>
  <c r="T1359" i="11"/>
  <c r="L1359" i="11"/>
  <c r="AI1359" i="11"/>
  <c r="AA1359" i="11"/>
  <c r="S1359" i="11"/>
  <c r="X1359" i="11"/>
  <c r="K1359" i="11"/>
  <c r="AH1359" i="11"/>
  <c r="W1359" i="11"/>
  <c r="J1359" i="11"/>
  <c r="AG1359" i="11"/>
  <c r="V1359" i="11"/>
  <c r="I1359" i="11"/>
  <c r="AF1359" i="11"/>
  <c r="R1359" i="11"/>
  <c r="H1359" i="11"/>
  <c r="AE1359" i="11"/>
  <c r="Q1359" i="11"/>
  <c r="G1359" i="11"/>
  <c r="AD1359" i="11"/>
  <c r="P1359" i="11"/>
  <c r="F1359" i="11"/>
  <c r="Z1359" i="11"/>
  <c r="O1359" i="11"/>
  <c r="Y1359" i="11"/>
  <c r="N1359" i="11"/>
  <c r="AC1303" i="11"/>
  <c r="U1303" i="11"/>
  <c r="M1303" i="11"/>
  <c r="E1303" i="11"/>
  <c r="AB1303" i="11"/>
  <c r="T1303" i="11"/>
  <c r="L1303" i="11"/>
  <c r="AA1303" i="11"/>
  <c r="Q1303" i="11"/>
  <c r="G1303" i="11"/>
  <c r="Z1303" i="11"/>
  <c r="P1303" i="11"/>
  <c r="F1303" i="11"/>
  <c r="AI1303" i="11"/>
  <c r="Y1303" i="11"/>
  <c r="O1303" i="11"/>
  <c r="AG1303" i="11"/>
  <c r="W1303" i="11"/>
  <c r="K1303" i="11"/>
  <c r="AF1303" i="11"/>
  <c r="V1303" i="11"/>
  <c r="J1303" i="11"/>
  <c r="AE1303" i="11"/>
  <c r="S1303" i="11"/>
  <c r="AH1303" i="11"/>
  <c r="AD1303" i="11"/>
  <c r="X1303" i="11"/>
  <c r="R1303" i="11"/>
  <c r="N1303" i="11"/>
  <c r="I1303" i="11"/>
  <c r="H1303" i="11"/>
  <c r="AE1328" i="11"/>
  <c r="W1328" i="11"/>
  <c r="O1328" i="11"/>
  <c r="G1328" i="11"/>
  <c r="AD1328" i="11"/>
  <c r="V1328" i="11"/>
  <c r="N1328" i="11"/>
  <c r="F1328" i="11"/>
  <c r="AI1328" i="11"/>
  <c r="AA1328" i="11"/>
  <c r="S1328" i="11"/>
  <c r="K1328" i="11"/>
  <c r="Y1328" i="11"/>
  <c r="L1328" i="11"/>
  <c r="X1328" i="11"/>
  <c r="J1328" i="11"/>
  <c r="AH1328" i="11"/>
  <c r="U1328" i="11"/>
  <c r="I1328" i="11"/>
  <c r="AG1328" i="11"/>
  <c r="T1328" i="11"/>
  <c r="H1328" i="11"/>
  <c r="AF1328" i="11"/>
  <c r="R1328" i="11"/>
  <c r="E1328" i="11"/>
  <c r="AB1328" i="11"/>
  <c r="Z1328" i="11"/>
  <c r="Q1328" i="11"/>
  <c r="P1328" i="11"/>
  <c r="M1328" i="11"/>
  <c r="AC1328" i="11"/>
  <c r="AG1327" i="11"/>
  <c r="Y1327" i="11"/>
  <c r="Q1327" i="11"/>
  <c r="I1327" i="11"/>
  <c r="AF1327" i="11"/>
  <c r="X1327" i="11"/>
  <c r="P1327" i="11"/>
  <c r="H1327" i="11"/>
  <c r="AC1327" i="11"/>
  <c r="U1327" i="11"/>
  <c r="M1327" i="11"/>
  <c r="E1327" i="11"/>
  <c r="AI1327" i="11"/>
  <c r="V1327" i="11"/>
  <c r="J1327" i="11"/>
  <c r="AH1327" i="11"/>
  <c r="T1327" i="11"/>
  <c r="G1327" i="11"/>
  <c r="AE1327" i="11"/>
  <c r="S1327" i="11"/>
  <c r="F1327" i="11"/>
  <c r="AD1327" i="11"/>
  <c r="R1327" i="11"/>
  <c r="AB1327" i="11"/>
  <c r="O1327" i="11"/>
  <c r="AA1327" i="11"/>
  <c r="Z1327" i="11"/>
  <c r="W1327" i="11"/>
  <c r="N1327" i="11"/>
  <c r="L1327" i="11"/>
  <c r="K1327" i="11"/>
  <c r="AD1271" i="11"/>
  <c r="V1271" i="11"/>
  <c r="N1271" i="11"/>
  <c r="F1271" i="11"/>
  <c r="AF1271" i="11"/>
  <c r="W1271" i="11"/>
  <c r="M1271" i="11"/>
  <c r="AE1271" i="11"/>
  <c r="U1271" i="11"/>
  <c r="L1271" i="11"/>
  <c r="AC1271" i="11"/>
  <c r="T1271" i="11"/>
  <c r="K1271" i="11"/>
  <c r="AB1271" i="11"/>
  <c r="S1271" i="11"/>
  <c r="J1271" i="11"/>
  <c r="AA1271" i="11"/>
  <c r="R1271" i="11"/>
  <c r="I1271" i="11"/>
  <c r="AH1271" i="11"/>
  <c r="H1271" i="11"/>
  <c r="AG1271" i="11"/>
  <c r="G1271" i="11"/>
  <c r="Z1271" i="11"/>
  <c r="E1271" i="11"/>
  <c r="Y1271" i="11"/>
  <c r="X1271" i="11"/>
  <c r="Q1271" i="11"/>
  <c r="P1271" i="11"/>
  <c r="AI1271" i="11"/>
  <c r="O1271" i="11"/>
  <c r="D1248" i="11"/>
  <c r="AG1215" i="11"/>
  <c r="Y1215" i="11"/>
  <c r="Q1215" i="11"/>
  <c r="I1215" i="11"/>
  <c r="AH1215" i="11"/>
  <c r="X1215" i="11"/>
  <c r="O1215" i="11"/>
  <c r="F1215" i="11"/>
  <c r="AF1215" i="11"/>
  <c r="W1215" i="11"/>
  <c r="N1215" i="11"/>
  <c r="E1215" i="11"/>
  <c r="AE1215" i="11"/>
  <c r="V1215" i="11"/>
  <c r="M1215" i="11"/>
  <c r="AD1215" i="11"/>
  <c r="U1215" i="11"/>
  <c r="L1215" i="11"/>
  <c r="AC1215" i="11"/>
  <c r="T1215" i="11"/>
  <c r="K1215" i="11"/>
  <c r="J1215" i="11"/>
  <c r="AI1215" i="11"/>
  <c r="H1215" i="11"/>
  <c r="AB1215" i="11"/>
  <c r="G1215" i="11"/>
  <c r="AA1215" i="11"/>
  <c r="Z1215" i="11"/>
  <c r="S1215" i="11"/>
  <c r="R1215" i="11"/>
  <c r="P1215" i="11"/>
  <c r="AC1205" i="11"/>
  <c r="U1205" i="11"/>
  <c r="M1205" i="11"/>
  <c r="E1205" i="11"/>
  <c r="AB1205" i="11"/>
  <c r="T1205" i="11"/>
  <c r="L1205" i="11"/>
  <c r="AI1205" i="11"/>
  <c r="AA1205" i="11"/>
  <c r="S1205" i="11"/>
  <c r="K1205" i="11"/>
  <c r="AH1205" i="11"/>
  <c r="Z1205" i="11"/>
  <c r="R1205" i="11"/>
  <c r="J1205" i="11"/>
  <c r="AG1205" i="11"/>
  <c r="Y1205" i="11"/>
  <c r="Q1205" i="11"/>
  <c r="I1205" i="11"/>
  <c r="AF1205" i="11"/>
  <c r="N1205" i="11"/>
  <c r="AE1205" i="11"/>
  <c r="H1205" i="11"/>
  <c r="AD1205" i="11"/>
  <c r="G1205" i="11"/>
  <c r="X1205" i="11"/>
  <c r="F1205" i="11"/>
  <c r="W1205" i="11"/>
  <c r="V1205" i="11"/>
  <c r="P1205" i="11"/>
  <c r="O1205" i="11"/>
  <c r="AG1219" i="11"/>
  <c r="Y1219" i="11"/>
  <c r="Q1219" i="11"/>
  <c r="I1219" i="11"/>
  <c r="AC1219" i="11"/>
  <c r="U1219" i="11"/>
  <c r="M1219" i="11"/>
  <c r="E1219" i="11"/>
  <c r="AF1219" i="11"/>
  <c r="V1219" i="11"/>
  <c r="K1219" i="11"/>
  <c r="AE1219" i="11"/>
  <c r="T1219" i="11"/>
  <c r="J1219" i="11"/>
  <c r="AD1219" i="11"/>
  <c r="S1219" i="11"/>
  <c r="H1219" i="11"/>
  <c r="AB1219" i="11"/>
  <c r="R1219" i="11"/>
  <c r="G1219" i="11"/>
  <c r="AA1219" i="11"/>
  <c r="P1219" i="11"/>
  <c r="F1219" i="11"/>
  <c r="O1219" i="11"/>
  <c r="N1219" i="11"/>
  <c r="L1219" i="11"/>
  <c r="AI1219" i="11"/>
  <c r="AH1219" i="11"/>
  <c r="Z1219" i="11"/>
  <c r="X1219" i="11"/>
  <c r="W1219" i="11"/>
  <c r="AE1152" i="11"/>
  <c r="W1152" i="11"/>
  <c r="O1152" i="11"/>
  <c r="G1152" i="11"/>
  <c r="AD1152" i="11"/>
  <c r="V1152" i="11"/>
  <c r="N1152" i="11"/>
  <c r="F1152" i="11"/>
  <c r="AC1152" i="11"/>
  <c r="U1152" i="11"/>
  <c r="M1152" i="11"/>
  <c r="E1152" i="11"/>
  <c r="AI1152" i="11"/>
  <c r="AA1152" i="11"/>
  <c r="S1152" i="11"/>
  <c r="K1152" i="11"/>
  <c r="X1152" i="11"/>
  <c r="H1152" i="11"/>
  <c r="T1152" i="11"/>
  <c r="AH1152" i="11"/>
  <c r="R1152" i="11"/>
  <c r="AF1152" i="11"/>
  <c r="P1152" i="11"/>
  <c r="Z1152" i="11"/>
  <c r="J1152" i="11"/>
  <c r="AG1152" i="11"/>
  <c r="AB1152" i="11"/>
  <c r="Y1152" i="11"/>
  <c r="Q1152" i="11"/>
  <c r="L1152" i="11"/>
  <c r="I1152" i="11"/>
  <c r="AF1067" i="11"/>
  <c r="X1067" i="11"/>
  <c r="P1067" i="11"/>
  <c r="H1067" i="11"/>
  <c r="AE1067" i="11"/>
  <c r="W1067" i="11"/>
  <c r="O1067" i="11"/>
  <c r="G1067" i="11"/>
  <c r="AD1067" i="11"/>
  <c r="V1067" i="11"/>
  <c r="N1067" i="11"/>
  <c r="F1067" i="11"/>
  <c r="AC1067" i="11"/>
  <c r="U1067" i="11"/>
  <c r="M1067" i="11"/>
  <c r="E1067" i="11"/>
  <c r="AB1067" i="11"/>
  <c r="T1067" i="11"/>
  <c r="L1067" i="11"/>
  <c r="AH1067" i="11"/>
  <c r="Z1067" i="11"/>
  <c r="R1067" i="11"/>
  <c r="J1067" i="11"/>
  <c r="I1067" i="11"/>
  <c r="AI1067" i="11"/>
  <c r="AG1067" i="11"/>
  <c r="AA1067" i="11"/>
  <c r="Y1067" i="11"/>
  <c r="S1067" i="11"/>
  <c r="Q1067" i="11"/>
  <c r="K1067" i="11"/>
  <c r="AF1063" i="11"/>
  <c r="AE1063" i="11"/>
  <c r="W1063" i="11"/>
  <c r="O1063" i="11"/>
  <c r="G1063" i="11"/>
  <c r="AD1063" i="11"/>
  <c r="V1063" i="11"/>
  <c r="N1063" i="11"/>
  <c r="F1063" i="11"/>
  <c r="AC1063" i="11"/>
  <c r="U1063" i="11"/>
  <c r="M1063" i="11"/>
  <c r="E1063" i="11"/>
  <c r="AB1063" i="11"/>
  <c r="T1063" i="11"/>
  <c r="L1063" i="11"/>
  <c r="AH1063" i="11"/>
  <c r="Z1063" i="11"/>
  <c r="R1063" i="11"/>
  <c r="J1063" i="11"/>
  <c r="P1063" i="11"/>
  <c r="AI1063" i="11"/>
  <c r="K1063" i="11"/>
  <c r="AG1063" i="11"/>
  <c r="I1063" i="11"/>
  <c r="AA1063" i="11"/>
  <c r="H1063" i="11"/>
  <c r="Y1063" i="11"/>
  <c r="X1063" i="11"/>
  <c r="S1063" i="11"/>
  <c r="Q1063" i="11"/>
  <c r="AD1122" i="11"/>
  <c r="V1122" i="11"/>
  <c r="N1122" i="11"/>
  <c r="F1122" i="11"/>
  <c r="AC1122" i="11"/>
  <c r="U1122" i="11"/>
  <c r="M1122" i="11"/>
  <c r="E1122" i="11"/>
  <c r="AE1122" i="11"/>
  <c r="S1122" i="11"/>
  <c r="I1122" i="11"/>
  <c r="AB1122" i="11"/>
  <c r="R1122" i="11"/>
  <c r="H1122" i="11"/>
  <c r="AA1122" i="11"/>
  <c r="Q1122" i="11"/>
  <c r="G1122" i="11"/>
  <c r="Z1122" i="11"/>
  <c r="P1122" i="11"/>
  <c r="AI1122" i="11"/>
  <c r="Y1122" i="11"/>
  <c r="O1122" i="11"/>
  <c r="AH1122" i="11"/>
  <c r="X1122" i="11"/>
  <c r="L1122" i="11"/>
  <c r="AG1122" i="11"/>
  <c r="W1122" i="11"/>
  <c r="K1122" i="11"/>
  <c r="AF1122" i="11"/>
  <c r="T1122" i="11"/>
  <c r="J1122" i="11"/>
  <c r="AD1088" i="11"/>
  <c r="V1088" i="11"/>
  <c r="N1088" i="11"/>
  <c r="F1088" i="11"/>
  <c r="AC1088" i="11"/>
  <c r="U1088" i="11"/>
  <c r="M1088" i="11"/>
  <c r="E1088" i="11"/>
  <c r="AB1088" i="11"/>
  <c r="T1088" i="11"/>
  <c r="L1088" i="11"/>
  <c r="AI1088" i="11"/>
  <c r="AA1088" i="11"/>
  <c r="S1088" i="11"/>
  <c r="K1088" i="11"/>
  <c r="AH1088" i="11"/>
  <c r="Z1088" i="11"/>
  <c r="R1088" i="11"/>
  <c r="J1088" i="11"/>
  <c r="AF1088" i="11"/>
  <c r="X1088" i="11"/>
  <c r="P1088" i="11"/>
  <c r="H1088" i="11"/>
  <c r="AE1088" i="11"/>
  <c r="Y1088" i="11"/>
  <c r="W1088" i="11"/>
  <c r="Q1088" i="11"/>
  <c r="O1088" i="11"/>
  <c r="I1088" i="11"/>
  <c r="G1088" i="11"/>
  <c r="AG1088" i="11"/>
  <c r="K1045" i="11"/>
  <c r="I1045" i="11"/>
  <c r="O1045" i="11"/>
  <c r="G1045" i="11"/>
  <c r="N1045" i="11"/>
  <c r="F1045" i="11"/>
  <c r="M1045" i="11"/>
  <c r="E1045" i="11"/>
  <c r="L1045" i="11"/>
  <c r="AB1045" i="11" s="1"/>
  <c r="AC1045" i="11" s="1"/>
  <c r="AF1045" i="11"/>
  <c r="J1045" i="11"/>
  <c r="H1045" i="11"/>
  <c r="N1009" i="11"/>
  <c r="F1009" i="11"/>
  <c r="AC1009" i="11"/>
  <c r="M1009" i="11"/>
  <c r="E1009" i="11"/>
  <c r="AB1009" i="11"/>
  <c r="L1009" i="11"/>
  <c r="AI1009" i="11"/>
  <c r="K1009" i="11"/>
  <c r="J1009" i="11"/>
  <c r="Y1009" i="11"/>
  <c r="I1009" i="11"/>
  <c r="AF1009" i="11"/>
  <c r="H1009" i="11"/>
  <c r="O1009" i="11"/>
  <c r="G1009" i="11"/>
  <c r="I1034" i="11"/>
  <c r="O1034" i="11"/>
  <c r="G1034" i="11"/>
  <c r="Q1034" i="11" s="1"/>
  <c r="M1034" i="11"/>
  <c r="E1034" i="11"/>
  <c r="H1034" i="11"/>
  <c r="AF1034" i="11"/>
  <c r="F1034" i="11"/>
  <c r="AB1034" i="11"/>
  <c r="AC1034" i="11" s="1"/>
  <c r="P1034" i="11"/>
  <c r="N1034" i="11"/>
  <c r="L1034" i="11"/>
  <c r="K1034" i="11"/>
  <c r="AI1034" i="11"/>
  <c r="J1034" i="11"/>
  <c r="I906" i="11"/>
  <c r="O906" i="11"/>
  <c r="G906" i="11"/>
  <c r="AI906" i="11" s="1"/>
  <c r="M906" i="11"/>
  <c r="E906" i="11"/>
  <c r="L906" i="11"/>
  <c r="AB906" i="11" s="1"/>
  <c r="AC906" i="11" s="1"/>
  <c r="H906" i="11"/>
  <c r="F906" i="11"/>
  <c r="P906" i="11" s="1"/>
  <c r="AF906" i="11"/>
  <c r="N906" i="11"/>
  <c r="J906" i="11"/>
  <c r="K906" i="11"/>
  <c r="J971" i="11"/>
  <c r="I971" i="11"/>
  <c r="AF971" i="11"/>
  <c r="H971" i="11"/>
  <c r="O971" i="11"/>
  <c r="G971" i="11"/>
  <c r="M971" i="11"/>
  <c r="L971" i="11"/>
  <c r="AB971" i="11" s="1"/>
  <c r="AC971" i="11" s="1"/>
  <c r="K971" i="11"/>
  <c r="F971" i="11"/>
  <c r="E971" i="11"/>
  <c r="N971" i="11"/>
  <c r="AF887" i="11"/>
  <c r="H887" i="11"/>
  <c r="O887" i="11"/>
  <c r="G887" i="11"/>
  <c r="N887" i="11"/>
  <c r="F887" i="11"/>
  <c r="M887" i="11"/>
  <c r="E887" i="11"/>
  <c r="AB887" i="11"/>
  <c r="AC887" i="11" s="1"/>
  <c r="L887" i="11"/>
  <c r="K887" i="11"/>
  <c r="I887" i="11"/>
  <c r="J887" i="11"/>
  <c r="N872" i="11"/>
  <c r="F872" i="11"/>
  <c r="M872" i="11"/>
  <c r="E872" i="11"/>
  <c r="L872" i="11"/>
  <c r="J872" i="11"/>
  <c r="Y872" i="11"/>
  <c r="Q872" i="11"/>
  <c r="S872" i="11" s="1"/>
  <c r="I872" i="11"/>
  <c r="AI872" i="11"/>
  <c r="O872" i="11"/>
  <c r="AF872" i="11"/>
  <c r="K872" i="11"/>
  <c r="H872" i="11"/>
  <c r="AB872" i="11" s="1"/>
  <c r="AC872" i="11" s="1"/>
  <c r="G872" i="11"/>
  <c r="P872" i="11" s="1"/>
  <c r="X872" i="11"/>
  <c r="Z872" i="11" s="1"/>
  <c r="AA872" i="11" s="1"/>
  <c r="L865" i="11"/>
  <c r="AB865" i="11" s="1"/>
  <c r="AC865" i="11" s="1"/>
  <c r="K865" i="11"/>
  <c r="J865" i="11"/>
  <c r="AF865" i="11"/>
  <c r="H865" i="11"/>
  <c r="O865" i="11"/>
  <c r="G865" i="11"/>
  <c r="AI865" i="11" s="1"/>
  <c r="N865" i="11"/>
  <c r="M865" i="11"/>
  <c r="I865" i="11"/>
  <c r="F865" i="11"/>
  <c r="E865" i="11"/>
  <c r="AF843" i="11"/>
  <c r="H843" i="11"/>
  <c r="O843" i="11"/>
  <c r="G843" i="11"/>
  <c r="N843" i="11"/>
  <c r="F843" i="11"/>
  <c r="P843" i="11" s="1"/>
  <c r="K843" i="11"/>
  <c r="E843" i="11"/>
  <c r="M843" i="11"/>
  <c r="L843" i="11"/>
  <c r="AB843" i="11" s="1"/>
  <c r="AC843" i="11" s="1"/>
  <c r="I843" i="11"/>
  <c r="J843" i="11"/>
  <c r="N880" i="11"/>
  <c r="F880" i="11"/>
  <c r="M880" i="11"/>
  <c r="E880" i="11"/>
  <c r="L880" i="11"/>
  <c r="AI880" i="11"/>
  <c r="K880" i="11"/>
  <c r="J880" i="11"/>
  <c r="Y880" i="11"/>
  <c r="I880" i="11"/>
  <c r="O880" i="11"/>
  <c r="H880" i="11"/>
  <c r="AB880" i="11" s="1"/>
  <c r="AC880" i="11" s="1"/>
  <c r="G880" i="11"/>
  <c r="AF880" i="11"/>
  <c r="AF769" i="11"/>
  <c r="H769" i="11"/>
  <c r="O769" i="11"/>
  <c r="G769" i="11"/>
  <c r="S769" i="11" s="1"/>
  <c r="L769" i="11"/>
  <c r="M769" i="11"/>
  <c r="AB769" i="11" s="1"/>
  <c r="AC769" i="11" s="1"/>
  <c r="Y769" i="11"/>
  <c r="K769" i="11"/>
  <c r="AI769" i="11"/>
  <c r="J769" i="11"/>
  <c r="I769" i="11"/>
  <c r="F769" i="11"/>
  <c r="E769" i="11"/>
  <c r="Q769" i="11"/>
  <c r="N769" i="11"/>
  <c r="AC758" i="11"/>
  <c r="U758" i="11"/>
  <c r="M758" i="11"/>
  <c r="E758" i="11"/>
  <c r="AB758" i="11"/>
  <c r="T758" i="11"/>
  <c r="L758" i="11"/>
  <c r="AI758" i="11"/>
  <c r="AA758" i="11"/>
  <c r="S758" i="11"/>
  <c r="K758" i="11"/>
  <c r="AH758" i="11"/>
  <c r="Z758" i="11"/>
  <c r="R758" i="11"/>
  <c r="J758" i="11"/>
  <c r="AG758" i="11"/>
  <c r="Y758" i="11"/>
  <c r="Q758" i="11"/>
  <c r="I758" i="11"/>
  <c r="AF758" i="11"/>
  <c r="X758" i="11"/>
  <c r="P758" i="11"/>
  <c r="H758" i="11"/>
  <c r="AE758" i="11"/>
  <c r="W758" i="11"/>
  <c r="O758" i="11"/>
  <c r="G758" i="11"/>
  <c r="V758" i="11"/>
  <c r="N758" i="11"/>
  <c r="F758" i="11"/>
  <c r="AD758" i="11"/>
  <c r="AC726" i="11"/>
  <c r="U726" i="11"/>
  <c r="M726" i="11"/>
  <c r="E726" i="11"/>
  <c r="AB726" i="11"/>
  <c r="T726" i="11"/>
  <c r="L726" i="11"/>
  <c r="AI726" i="11"/>
  <c r="AA726" i="11"/>
  <c r="S726" i="11"/>
  <c r="K726" i="11"/>
  <c r="AH726" i="11"/>
  <c r="Z726" i="11"/>
  <c r="R726" i="11"/>
  <c r="J726" i="11"/>
  <c r="AG726" i="11"/>
  <c r="Y726" i="11"/>
  <c r="Q726" i="11"/>
  <c r="I726" i="11"/>
  <c r="AF726" i="11"/>
  <c r="X726" i="11"/>
  <c r="P726" i="11"/>
  <c r="H726" i="11"/>
  <c r="AE726" i="11"/>
  <c r="W726" i="11"/>
  <c r="O726" i="11"/>
  <c r="G726" i="11"/>
  <c r="V726" i="11"/>
  <c r="N726" i="11"/>
  <c r="F726" i="11"/>
  <c r="AD726" i="11"/>
  <c r="AG720" i="11"/>
  <c r="Y720" i="11"/>
  <c r="Q720" i="11"/>
  <c r="I720" i="11"/>
  <c r="AF720" i="11"/>
  <c r="X720" i="11"/>
  <c r="P720" i="11"/>
  <c r="H720" i="11"/>
  <c r="AE720" i="11"/>
  <c r="W720" i="11"/>
  <c r="O720" i="11"/>
  <c r="G720" i="11"/>
  <c r="AD720" i="11"/>
  <c r="V720" i="11"/>
  <c r="N720" i="11"/>
  <c r="F720" i="11"/>
  <c r="AC720" i="11"/>
  <c r="U720" i="11"/>
  <c r="M720" i="11"/>
  <c r="E720" i="11"/>
  <c r="AB720" i="11"/>
  <c r="T720" i="11"/>
  <c r="L720" i="11"/>
  <c r="AI720" i="11"/>
  <c r="AA720" i="11"/>
  <c r="S720" i="11"/>
  <c r="K720" i="11"/>
  <c r="AH720" i="11"/>
  <c r="Z720" i="11"/>
  <c r="R720" i="11"/>
  <c r="J720" i="11"/>
  <c r="AD685" i="11"/>
  <c r="V685" i="11"/>
  <c r="N685" i="11"/>
  <c r="F685" i="11"/>
  <c r="AC685" i="11"/>
  <c r="U685" i="11"/>
  <c r="M685" i="11"/>
  <c r="E685" i="11"/>
  <c r="AB685" i="11"/>
  <c r="T685" i="11"/>
  <c r="L685" i="11"/>
  <c r="AI685" i="11"/>
  <c r="AA685" i="11"/>
  <c r="S685" i="11"/>
  <c r="K685" i="11"/>
  <c r="AH685" i="11"/>
  <c r="Z685" i="11"/>
  <c r="R685" i="11"/>
  <c r="J685" i="11"/>
  <c r="AG685" i="11"/>
  <c r="Y685" i="11"/>
  <c r="Q685" i="11"/>
  <c r="I685" i="11"/>
  <c r="AF685" i="11"/>
  <c r="X685" i="11"/>
  <c r="P685" i="11"/>
  <c r="H685" i="11"/>
  <c r="W685" i="11"/>
  <c r="O685" i="11"/>
  <c r="G685" i="11"/>
  <c r="AE685" i="11"/>
  <c r="AH591" i="11"/>
  <c r="Z591" i="11"/>
  <c r="R591" i="11"/>
  <c r="J591" i="11"/>
  <c r="AG591" i="11"/>
  <c r="Y591" i="11"/>
  <c r="Q591" i="11"/>
  <c r="I591" i="11"/>
  <c r="AF591" i="11"/>
  <c r="X591" i="11"/>
  <c r="P591" i="11"/>
  <c r="H591" i="11"/>
  <c r="AE591" i="11"/>
  <c r="W591" i="11"/>
  <c r="O591" i="11"/>
  <c r="G591" i="11"/>
  <c r="AC591" i="11"/>
  <c r="U591" i="11"/>
  <c r="M591" i="11"/>
  <c r="E591" i="11"/>
  <c r="AB591" i="11"/>
  <c r="T591" i="11"/>
  <c r="L591" i="11"/>
  <c r="N591" i="11"/>
  <c r="K591" i="11"/>
  <c r="F591" i="11"/>
  <c r="AI591" i="11"/>
  <c r="AD591" i="11"/>
  <c r="AA591" i="11"/>
  <c r="V591" i="11"/>
  <c r="S591" i="11"/>
  <c r="AH683" i="11"/>
  <c r="Z683" i="11"/>
  <c r="R683" i="11"/>
  <c r="J683" i="11"/>
  <c r="AG683" i="11"/>
  <c r="Y683" i="11"/>
  <c r="Q683" i="11"/>
  <c r="I683" i="11"/>
  <c r="AF683" i="11"/>
  <c r="X683" i="11"/>
  <c r="P683" i="11"/>
  <c r="H683" i="11"/>
  <c r="AE683" i="11"/>
  <c r="W683" i="11"/>
  <c r="O683" i="11"/>
  <c r="G683" i="11"/>
  <c r="AD683" i="11"/>
  <c r="V683" i="11"/>
  <c r="N683" i="11"/>
  <c r="F683" i="11"/>
  <c r="AC683" i="11"/>
  <c r="U683" i="11"/>
  <c r="M683" i="11"/>
  <c r="E683" i="11"/>
  <c r="AB683" i="11"/>
  <c r="T683" i="11"/>
  <c r="L683" i="11"/>
  <c r="AI683" i="11"/>
  <c r="AA683" i="11"/>
  <c r="S683" i="11"/>
  <c r="K683" i="11"/>
  <c r="AD601" i="11"/>
  <c r="V601" i="11"/>
  <c r="N601" i="11"/>
  <c r="F601" i="11"/>
  <c r="AC601" i="11"/>
  <c r="U601" i="11"/>
  <c r="M601" i="11"/>
  <c r="E601" i="11"/>
  <c r="AB601" i="11"/>
  <c r="T601" i="11"/>
  <c r="L601" i="11"/>
  <c r="AI601" i="11"/>
  <c r="AA601" i="11"/>
  <c r="S601" i="11"/>
  <c r="K601" i="11"/>
  <c r="AG601" i="11"/>
  <c r="Y601" i="11"/>
  <c r="Q601" i="11"/>
  <c r="I601" i="11"/>
  <c r="AF601" i="11"/>
  <c r="X601" i="11"/>
  <c r="P601" i="11"/>
  <c r="H601" i="11"/>
  <c r="AE601" i="11"/>
  <c r="Z601" i="11"/>
  <c r="W601" i="11"/>
  <c r="R601" i="11"/>
  <c r="O601" i="11"/>
  <c r="G601" i="11"/>
  <c r="AH601" i="11"/>
  <c r="J601" i="11"/>
  <c r="AH655" i="11"/>
  <c r="Z655" i="11"/>
  <c r="R655" i="11"/>
  <c r="J655" i="11"/>
  <c r="AG655" i="11"/>
  <c r="Y655" i="11"/>
  <c r="Q655" i="11"/>
  <c r="I655" i="11"/>
  <c r="AF655" i="11"/>
  <c r="X655" i="11"/>
  <c r="P655" i="11"/>
  <c r="H655" i="11"/>
  <c r="AE655" i="11"/>
  <c r="W655" i="11"/>
  <c r="O655" i="11"/>
  <c r="G655" i="11"/>
  <c r="AD655" i="11"/>
  <c r="V655" i="11"/>
  <c r="N655" i="11"/>
  <c r="F655" i="11"/>
  <c r="AC655" i="11"/>
  <c r="U655" i="11"/>
  <c r="M655" i="11"/>
  <c r="E655" i="11"/>
  <c r="AB655" i="11"/>
  <c r="T655" i="11"/>
  <c r="L655" i="11"/>
  <c r="AI655" i="11"/>
  <c r="AA655" i="11"/>
  <c r="S655" i="11"/>
  <c r="K655" i="11"/>
  <c r="AD489" i="11"/>
  <c r="V489" i="11"/>
  <c r="N489" i="11"/>
  <c r="F489" i="11"/>
  <c r="AC489" i="11"/>
  <c r="U489" i="11"/>
  <c r="M489" i="11"/>
  <c r="E489" i="11"/>
  <c r="AB489" i="11"/>
  <c r="T489" i="11"/>
  <c r="L489" i="11"/>
  <c r="AH489" i="11"/>
  <c r="Z489" i="11"/>
  <c r="R489" i="11"/>
  <c r="J489" i="11"/>
  <c r="X489" i="11"/>
  <c r="H489" i="11"/>
  <c r="W489" i="11"/>
  <c r="G489" i="11"/>
  <c r="AI489" i="11"/>
  <c r="S489" i="11"/>
  <c r="AG489" i="11"/>
  <c r="Q489" i="11"/>
  <c r="AF489" i="11"/>
  <c r="P489" i="11"/>
  <c r="AA489" i="11"/>
  <c r="Y489" i="11"/>
  <c r="O489" i="11"/>
  <c r="K489" i="11"/>
  <c r="I489" i="11"/>
  <c r="AE489" i="11"/>
  <c r="J627" i="11"/>
  <c r="I627" i="11"/>
  <c r="AF627" i="11"/>
  <c r="H627" i="11"/>
  <c r="O627" i="11"/>
  <c r="G627" i="11"/>
  <c r="N627" i="11"/>
  <c r="F627" i="11"/>
  <c r="M627" i="11"/>
  <c r="E627" i="11"/>
  <c r="L627" i="11"/>
  <c r="AB627" i="11" s="1"/>
  <c r="AC627" i="11" s="1"/>
  <c r="K627" i="11"/>
  <c r="AF532" i="11"/>
  <c r="X532" i="11"/>
  <c r="P532" i="11"/>
  <c r="H532" i="11"/>
  <c r="AE532" i="11"/>
  <c r="W532" i="11"/>
  <c r="O532" i="11"/>
  <c r="G532" i="11"/>
  <c r="AD532" i="11"/>
  <c r="V532" i="11"/>
  <c r="N532" i="11"/>
  <c r="F532" i="11"/>
  <c r="AB532" i="11"/>
  <c r="T532" i="11"/>
  <c r="L532" i="11"/>
  <c r="AA532" i="11"/>
  <c r="K532" i="11"/>
  <c r="Z532" i="11"/>
  <c r="J532" i="11"/>
  <c r="Y532" i="11"/>
  <c r="I532" i="11"/>
  <c r="U532" i="11"/>
  <c r="E532" i="11"/>
  <c r="AI532" i="11"/>
  <c r="S532" i="11"/>
  <c r="AG532" i="11"/>
  <c r="AC532" i="11"/>
  <c r="R532" i="11"/>
  <c r="Q532" i="11"/>
  <c r="M532" i="11"/>
  <c r="AH532" i="11"/>
  <c r="AE468" i="11"/>
  <c r="W468" i="11"/>
  <c r="O468" i="11"/>
  <c r="G468" i="11"/>
  <c r="AD468" i="11"/>
  <c r="V468" i="11"/>
  <c r="N468" i="11"/>
  <c r="F468" i="11"/>
  <c r="AB468" i="11"/>
  <c r="T468" i="11"/>
  <c r="L468" i="11"/>
  <c r="AI468" i="11"/>
  <c r="X468" i="11"/>
  <c r="J468" i="11"/>
  <c r="AH468" i="11"/>
  <c r="U468" i="11"/>
  <c r="I468" i="11"/>
  <c r="AG468" i="11"/>
  <c r="S468" i="11"/>
  <c r="H468" i="11"/>
  <c r="AF468" i="11"/>
  <c r="R468" i="11"/>
  <c r="E468" i="11"/>
  <c r="AC468" i="11"/>
  <c r="Q468" i="11"/>
  <c r="Y468" i="11"/>
  <c r="P468" i="11"/>
  <c r="M468" i="11"/>
  <c r="K468" i="11"/>
  <c r="AA468" i="11"/>
  <c r="Z468" i="11"/>
  <c r="O436" i="11"/>
  <c r="G436" i="11"/>
  <c r="N436" i="11"/>
  <c r="F436" i="11"/>
  <c r="L436" i="11"/>
  <c r="AI436" i="11"/>
  <c r="J436" i="11"/>
  <c r="I436" i="11"/>
  <c r="H436" i="11"/>
  <c r="AF436" i="11"/>
  <c r="E436" i="11"/>
  <c r="P436" i="11"/>
  <c r="M436" i="11"/>
  <c r="K436" i="11"/>
  <c r="AH547" i="11"/>
  <c r="Z547" i="11"/>
  <c r="R547" i="11"/>
  <c r="J547" i="11"/>
  <c r="AG547" i="11"/>
  <c r="Y547" i="11"/>
  <c r="Q547" i="11"/>
  <c r="I547" i="11"/>
  <c r="AF547" i="11"/>
  <c r="X547" i="11"/>
  <c r="P547" i="11"/>
  <c r="H547" i="11"/>
  <c r="AE547" i="11"/>
  <c r="W547" i="11"/>
  <c r="O547" i="11"/>
  <c r="G547" i="11"/>
  <c r="AD547" i="11"/>
  <c r="V547" i="11"/>
  <c r="N547" i="11"/>
  <c r="F547" i="11"/>
  <c r="M547" i="11"/>
  <c r="AI547" i="11"/>
  <c r="L547" i="11"/>
  <c r="AC547" i="11"/>
  <c r="K547" i="11"/>
  <c r="AB547" i="11"/>
  <c r="E547" i="11"/>
  <c r="AA547" i="11"/>
  <c r="U547" i="11"/>
  <c r="T547" i="11"/>
  <c r="S547" i="11"/>
  <c r="AH679" i="11"/>
  <c r="Z679" i="11"/>
  <c r="R679" i="11"/>
  <c r="J679" i="11"/>
  <c r="AG679" i="11"/>
  <c r="Y679" i="11"/>
  <c r="Q679" i="11"/>
  <c r="I679" i="11"/>
  <c r="AF679" i="11"/>
  <c r="X679" i="11"/>
  <c r="P679" i="11"/>
  <c r="H679" i="11"/>
  <c r="AE679" i="11"/>
  <c r="W679" i="11"/>
  <c r="O679" i="11"/>
  <c r="G679" i="11"/>
  <c r="AD679" i="11"/>
  <c r="V679" i="11"/>
  <c r="N679" i="11"/>
  <c r="F679" i="11"/>
  <c r="AC679" i="11"/>
  <c r="U679" i="11"/>
  <c r="M679" i="11"/>
  <c r="E679" i="11"/>
  <c r="AB679" i="11"/>
  <c r="T679" i="11"/>
  <c r="L679" i="11"/>
  <c r="AI679" i="11"/>
  <c r="AA679" i="11"/>
  <c r="S679" i="11"/>
  <c r="K679" i="11"/>
  <c r="AC449" i="11"/>
  <c r="U449" i="11"/>
  <c r="M449" i="11"/>
  <c r="E449" i="11"/>
  <c r="AB449" i="11"/>
  <c r="T449" i="11"/>
  <c r="L449" i="11"/>
  <c r="AH449" i="11"/>
  <c r="Z449" i="11"/>
  <c r="R449" i="11"/>
  <c r="J449" i="11"/>
  <c r="Y449" i="11"/>
  <c r="N449" i="11"/>
  <c r="X449" i="11"/>
  <c r="K449" i="11"/>
  <c r="AI449" i="11"/>
  <c r="W449" i="11"/>
  <c r="I449" i="11"/>
  <c r="AG449" i="11"/>
  <c r="V449" i="11"/>
  <c r="H449" i="11"/>
  <c r="AF449" i="11"/>
  <c r="S449" i="11"/>
  <c r="G449" i="11"/>
  <c r="O449" i="11"/>
  <c r="F449" i="11"/>
  <c r="AE449" i="11"/>
  <c r="AD449" i="11"/>
  <c r="AA449" i="11"/>
  <c r="Q449" i="11"/>
  <c r="P449" i="11"/>
  <c r="M383" i="11"/>
  <c r="E383" i="11"/>
  <c r="L383" i="11"/>
  <c r="AB383" i="11" s="1"/>
  <c r="AC383" i="11" s="1"/>
  <c r="J383" i="11"/>
  <c r="Q383" i="11"/>
  <c r="I383" i="11"/>
  <c r="G383" i="11"/>
  <c r="F383" i="11"/>
  <c r="AF383" i="11"/>
  <c r="P383" i="11"/>
  <c r="O383" i="11"/>
  <c r="N383" i="11"/>
  <c r="K383" i="11"/>
  <c r="H383" i="11"/>
  <c r="M351" i="11"/>
  <c r="E351" i="11"/>
  <c r="L351" i="11"/>
  <c r="R351" i="11" s="1"/>
  <c r="J351" i="11"/>
  <c r="I351" i="11"/>
  <c r="G351" i="11"/>
  <c r="F351" i="11"/>
  <c r="AI351" i="11"/>
  <c r="AF351" i="11"/>
  <c r="P351" i="11"/>
  <c r="O351" i="11"/>
  <c r="N351" i="11"/>
  <c r="K351" i="11"/>
  <c r="H351" i="11"/>
  <c r="J631" i="11"/>
  <c r="I631" i="11"/>
  <c r="AF631" i="11"/>
  <c r="H631" i="11"/>
  <c r="O631" i="11"/>
  <c r="G631" i="11"/>
  <c r="N631" i="11"/>
  <c r="F631" i="11"/>
  <c r="M631" i="11"/>
  <c r="E631" i="11"/>
  <c r="AB631" i="11"/>
  <c r="AC631" i="11" s="1"/>
  <c r="L631" i="11"/>
  <c r="K631" i="11"/>
  <c r="I431" i="11"/>
  <c r="AF431" i="11"/>
  <c r="H431" i="11"/>
  <c r="N431" i="11"/>
  <c r="F431" i="11"/>
  <c r="E431" i="11"/>
  <c r="O431" i="11"/>
  <c r="M431" i="11"/>
  <c r="L431" i="11"/>
  <c r="K431" i="11"/>
  <c r="J431" i="11"/>
  <c r="AB431" i="11" s="1"/>
  <c r="AC431" i="11" s="1"/>
  <c r="G431" i="11"/>
  <c r="Q431" i="11" s="1"/>
  <c r="S431" i="11" s="1"/>
  <c r="Y431" i="11" s="1"/>
  <c r="AI431" i="11"/>
  <c r="O390" i="11"/>
  <c r="G390" i="11"/>
  <c r="N390" i="11"/>
  <c r="F390" i="11"/>
  <c r="L390" i="11"/>
  <c r="AI390" i="11"/>
  <c r="K390" i="11"/>
  <c r="J390" i="11"/>
  <c r="I390" i="11"/>
  <c r="H390" i="11"/>
  <c r="E390" i="11"/>
  <c r="P390" i="11" s="1"/>
  <c r="Q390" i="11"/>
  <c r="AF390" i="11"/>
  <c r="M390" i="11"/>
  <c r="S390" i="11" s="1"/>
  <c r="Y390" i="11" s="1"/>
  <c r="O358" i="11"/>
  <c r="G358" i="11"/>
  <c r="N358" i="11"/>
  <c r="F358" i="11"/>
  <c r="L358" i="11"/>
  <c r="AB358" i="11" s="1"/>
  <c r="AC358" i="11" s="1"/>
  <c r="AI358" i="11"/>
  <c r="K358" i="11"/>
  <c r="J358" i="11"/>
  <c r="I358" i="11"/>
  <c r="H358" i="11"/>
  <c r="E358" i="11"/>
  <c r="AF358" i="11"/>
  <c r="M358" i="11"/>
  <c r="AB690" i="11"/>
  <c r="T690" i="11"/>
  <c r="L690" i="11"/>
  <c r="AI690" i="11"/>
  <c r="AA690" i="11"/>
  <c r="S690" i="11"/>
  <c r="K690" i="11"/>
  <c r="AH690" i="11"/>
  <c r="Z690" i="11"/>
  <c r="R690" i="11"/>
  <c r="J690" i="11"/>
  <c r="AG690" i="11"/>
  <c r="Y690" i="11"/>
  <c r="Q690" i="11"/>
  <c r="I690" i="11"/>
  <c r="AF690" i="11"/>
  <c r="X690" i="11"/>
  <c r="P690" i="11"/>
  <c r="H690" i="11"/>
  <c r="AE690" i="11"/>
  <c r="W690" i="11"/>
  <c r="O690" i="11"/>
  <c r="G690" i="11"/>
  <c r="AD690" i="11"/>
  <c r="V690" i="11"/>
  <c r="N690" i="11"/>
  <c r="F690" i="11"/>
  <c r="AC690" i="11"/>
  <c r="U690" i="11"/>
  <c r="M690" i="11"/>
  <c r="E690" i="11"/>
  <c r="AE329" i="11"/>
  <c r="W329" i="11"/>
  <c r="O329" i="11"/>
  <c r="G329" i="11"/>
  <c r="AD329" i="11"/>
  <c r="V329" i="11"/>
  <c r="N329" i="11"/>
  <c r="F329" i="11"/>
  <c r="AC329" i="11"/>
  <c r="U329" i="11"/>
  <c r="M329" i="11"/>
  <c r="E329" i="11"/>
  <c r="AB329" i="11"/>
  <c r="T329" i="11"/>
  <c r="L329" i="11"/>
  <c r="AH329" i="11"/>
  <c r="Z329" i="11"/>
  <c r="R329" i="11"/>
  <c r="J329" i="11"/>
  <c r="Y329" i="11"/>
  <c r="X329" i="11"/>
  <c r="S329" i="11"/>
  <c r="Q329" i="11"/>
  <c r="AI329" i="11"/>
  <c r="P329" i="11"/>
  <c r="AG329" i="11"/>
  <c r="K329" i="11"/>
  <c r="I329" i="11"/>
  <c r="H329" i="11"/>
  <c r="AF329" i="11"/>
  <c r="AA329" i="11"/>
  <c r="AC298" i="11"/>
  <c r="U298" i="11"/>
  <c r="M298" i="11"/>
  <c r="E298" i="11"/>
  <c r="AB298" i="11"/>
  <c r="T298" i="11"/>
  <c r="L298" i="11"/>
  <c r="AH298" i="11"/>
  <c r="Z298" i="11"/>
  <c r="R298" i="11"/>
  <c r="J298" i="11"/>
  <c r="AF298" i="11"/>
  <c r="X298" i="11"/>
  <c r="P298" i="11"/>
  <c r="H298" i="11"/>
  <c r="AI298" i="11"/>
  <c r="S298" i="11"/>
  <c r="AG298" i="11"/>
  <c r="Q298" i="11"/>
  <c r="AE298" i="11"/>
  <c r="O298" i="11"/>
  <c r="AD298" i="11"/>
  <c r="N298" i="11"/>
  <c r="AA298" i="11"/>
  <c r="K298" i="11"/>
  <c r="Y298" i="11"/>
  <c r="I298" i="11"/>
  <c r="W298" i="11"/>
  <c r="V298" i="11"/>
  <c r="G298" i="11"/>
  <c r="F298" i="11"/>
  <c r="M266" i="11"/>
  <c r="E266" i="11"/>
  <c r="L266" i="11"/>
  <c r="J266" i="11"/>
  <c r="AF266" i="11"/>
  <c r="H266" i="11"/>
  <c r="AI266" i="11"/>
  <c r="O266" i="11"/>
  <c r="N266" i="11"/>
  <c r="K266" i="11"/>
  <c r="I266" i="11"/>
  <c r="G266" i="11"/>
  <c r="F266" i="11"/>
  <c r="Q266" i="11" s="1"/>
  <c r="AD549" i="11"/>
  <c r="V549" i="11"/>
  <c r="N549" i="11"/>
  <c r="F549" i="11"/>
  <c r="AC549" i="11"/>
  <c r="U549" i="11"/>
  <c r="M549" i="11"/>
  <c r="E549" i="11"/>
  <c r="AB549" i="11"/>
  <c r="T549" i="11"/>
  <c r="L549" i="11"/>
  <c r="AG549" i="11"/>
  <c r="Y549" i="11"/>
  <c r="Q549" i="11"/>
  <c r="I549" i="11"/>
  <c r="AF549" i="11"/>
  <c r="X549" i="11"/>
  <c r="P549" i="11"/>
  <c r="H549" i="11"/>
  <c r="W549" i="11"/>
  <c r="S549" i="11"/>
  <c r="R549" i="11"/>
  <c r="AI549" i="11"/>
  <c r="O549" i="11"/>
  <c r="AH549" i="11"/>
  <c r="K549" i="11"/>
  <c r="AE549" i="11"/>
  <c r="AA549" i="11"/>
  <c r="Z549" i="11"/>
  <c r="J549" i="11"/>
  <c r="G549" i="11"/>
  <c r="AC457" i="11"/>
  <c r="U457" i="11"/>
  <c r="M457" i="11"/>
  <c r="E457" i="11"/>
  <c r="AB457" i="11"/>
  <c r="T457" i="11"/>
  <c r="L457" i="11"/>
  <c r="AH457" i="11"/>
  <c r="Z457" i="11"/>
  <c r="R457" i="11"/>
  <c r="J457" i="11"/>
  <c r="Y457" i="11"/>
  <c r="N457" i="11"/>
  <c r="X457" i="11"/>
  <c r="K457" i="11"/>
  <c r="AI457" i="11"/>
  <c r="W457" i="11"/>
  <c r="I457" i="11"/>
  <c r="AG457" i="11"/>
  <c r="V457" i="11"/>
  <c r="H457" i="11"/>
  <c r="AF457" i="11"/>
  <c r="S457" i="11"/>
  <c r="G457" i="11"/>
  <c r="AD457" i="11"/>
  <c r="AA457" i="11"/>
  <c r="Q457" i="11"/>
  <c r="P457" i="11"/>
  <c r="O457" i="11"/>
  <c r="F457" i="11"/>
  <c r="AE457" i="11"/>
  <c r="AC322" i="11"/>
  <c r="U322" i="11"/>
  <c r="M322" i="11"/>
  <c r="E322" i="11"/>
  <c r="AB322" i="11"/>
  <c r="T322" i="11"/>
  <c r="L322" i="11"/>
  <c r="AI322" i="11"/>
  <c r="AA322" i="11"/>
  <c r="S322" i="11"/>
  <c r="K322" i="11"/>
  <c r="AH322" i="11"/>
  <c r="Z322" i="11"/>
  <c r="R322" i="11"/>
  <c r="J322" i="11"/>
  <c r="AF322" i="11"/>
  <c r="X322" i="11"/>
  <c r="P322" i="11"/>
  <c r="H322" i="11"/>
  <c r="AD322" i="11"/>
  <c r="G322" i="11"/>
  <c r="Y322" i="11"/>
  <c r="F322" i="11"/>
  <c r="W322" i="11"/>
  <c r="V322" i="11"/>
  <c r="Q322" i="11"/>
  <c r="O322" i="11"/>
  <c r="AG322" i="11"/>
  <c r="AE322" i="11"/>
  <c r="N322" i="11"/>
  <c r="I322" i="11"/>
  <c r="O289" i="11"/>
  <c r="G289" i="11"/>
  <c r="N289" i="11"/>
  <c r="F289" i="11"/>
  <c r="L289" i="11"/>
  <c r="AB289" i="11" s="1"/>
  <c r="AC289" i="11" s="1"/>
  <c r="J289" i="11"/>
  <c r="H289" i="11"/>
  <c r="E289" i="11"/>
  <c r="AI289" i="11"/>
  <c r="AF289" i="11"/>
  <c r="M289" i="11"/>
  <c r="K289" i="11"/>
  <c r="I289" i="11"/>
  <c r="AE257" i="11"/>
  <c r="W257" i="11"/>
  <c r="O257" i="11"/>
  <c r="G257" i="11"/>
  <c r="AD257" i="11"/>
  <c r="V257" i="11"/>
  <c r="N257" i="11"/>
  <c r="F257" i="11"/>
  <c r="AB257" i="11"/>
  <c r="T257" i="11"/>
  <c r="L257" i="11"/>
  <c r="AH257" i="11"/>
  <c r="Z257" i="11"/>
  <c r="R257" i="11"/>
  <c r="J257" i="11"/>
  <c r="X257" i="11"/>
  <c r="H257" i="11"/>
  <c r="U257" i="11"/>
  <c r="E257" i="11"/>
  <c r="AI257" i="11"/>
  <c r="S257" i="11"/>
  <c r="AG257" i="11"/>
  <c r="Q257" i="11"/>
  <c r="AF257" i="11"/>
  <c r="P257" i="11"/>
  <c r="AC257" i="11"/>
  <c r="M257" i="11"/>
  <c r="K257" i="11"/>
  <c r="I257" i="11"/>
  <c r="AA257" i="11"/>
  <c r="Y257" i="11"/>
  <c r="M218" i="11"/>
  <c r="E218" i="11"/>
  <c r="L218" i="11"/>
  <c r="G218" i="11"/>
  <c r="F218" i="11"/>
  <c r="AI218" i="11"/>
  <c r="O218" i="11"/>
  <c r="N218" i="11"/>
  <c r="K218" i="11"/>
  <c r="AF218" i="11"/>
  <c r="J218" i="11"/>
  <c r="I218" i="11"/>
  <c r="H218" i="11"/>
  <c r="AB218" i="11" s="1"/>
  <c r="AC218" i="11" s="1"/>
  <c r="AG308" i="11"/>
  <c r="Y308" i="11"/>
  <c r="Q308" i="11"/>
  <c r="I308" i="11"/>
  <c r="AF308" i="11"/>
  <c r="X308" i="11"/>
  <c r="P308" i="11"/>
  <c r="H308" i="11"/>
  <c r="AD308" i="11"/>
  <c r="V308" i="11"/>
  <c r="N308" i="11"/>
  <c r="F308" i="11"/>
  <c r="AB308" i="11"/>
  <c r="T308" i="11"/>
  <c r="L308" i="11"/>
  <c r="AA308" i="11"/>
  <c r="K308" i="11"/>
  <c r="Z308" i="11"/>
  <c r="J308" i="11"/>
  <c r="W308" i="11"/>
  <c r="G308" i="11"/>
  <c r="U308" i="11"/>
  <c r="E308" i="11"/>
  <c r="AI308" i="11"/>
  <c r="S308" i="11"/>
  <c r="AH308" i="11"/>
  <c r="R308" i="11"/>
  <c r="AE308" i="11"/>
  <c r="AC308" i="11"/>
  <c r="O308" i="11"/>
  <c r="M308" i="11"/>
  <c r="I276" i="11"/>
  <c r="AF276" i="11"/>
  <c r="H276" i="11"/>
  <c r="N276" i="11"/>
  <c r="F276" i="11"/>
  <c r="Q276" i="11" s="1"/>
  <c r="L276" i="11"/>
  <c r="R276" i="11" s="1"/>
  <c r="K276" i="11"/>
  <c r="J276" i="11"/>
  <c r="G276" i="11"/>
  <c r="E276" i="11"/>
  <c r="P276" i="11" s="1"/>
  <c r="AI276" i="11"/>
  <c r="O276" i="11"/>
  <c r="M276" i="11"/>
  <c r="S276" i="11" s="1"/>
  <c r="Y276" i="11" s="1"/>
  <c r="AH539" i="11"/>
  <c r="Z539" i="11"/>
  <c r="R539" i="11"/>
  <c r="J539" i="11"/>
  <c r="AG539" i="11"/>
  <c r="Y539" i="11"/>
  <c r="Q539" i="11"/>
  <c r="I539" i="11"/>
  <c r="AF539" i="11"/>
  <c r="X539" i="11"/>
  <c r="P539" i="11"/>
  <c r="H539" i="11"/>
  <c r="AE539" i="11"/>
  <c r="W539" i="11"/>
  <c r="O539" i="11"/>
  <c r="AD539" i="11"/>
  <c r="V539" i="11"/>
  <c r="N539" i="11"/>
  <c r="F539" i="11"/>
  <c r="M539" i="11"/>
  <c r="AI539" i="11"/>
  <c r="L539" i="11"/>
  <c r="AC539" i="11"/>
  <c r="K539" i="11"/>
  <c r="AB539" i="11"/>
  <c r="G539" i="11"/>
  <c r="AA539" i="11"/>
  <c r="E539" i="11"/>
  <c r="U539" i="11"/>
  <c r="T539" i="11"/>
  <c r="S539" i="11"/>
  <c r="M425" i="11"/>
  <c r="E425" i="11"/>
  <c r="L425" i="11"/>
  <c r="R425" i="11"/>
  <c r="J425" i="11"/>
  <c r="N425" i="11"/>
  <c r="K425" i="11"/>
  <c r="I425" i="11"/>
  <c r="H425" i="11"/>
  <c r="AB425" i="11" s="1"/>
  <c r="AC425" i="11" s="1"/>
  <c r="AF425" i="11"/>
  <c r="G425" i="11"/>
  <c r="P425" i="11"/>
  <c r="O425" i="11"/>
  <c r="F425" i="11"/>
  <c r="Q425" i="11" s="1"/>
  <c r="Q373" i="11"/>
  <c r="I373" i="11"/>
  <c r="AF373" i="11"/>
  <c r="H373" i="11"/>
  <c r="N373" i="11"/>
  <c r="F373" i="11"/>
  <c r="M373" i="11"/>
  <c r="E373" i="11"/>
  <c r="O373" i="11"/>
  <c r="AB373" i="11"/>
  <c r="AC373" i="11" s="1"/>
  <c r="L373" i="11"/>
  <c r="K373" i="11"/>
  <c r="J373" i="11"/>
  <c r="G373" i="11"/>
  <c r="AI373" i="11" s="1"/>
  <c r="I170" i="11"/>
  <c r="AF170" i="11"/>
  <c r="H170" i="11"/>
  <c r="N170" i="11"/>
  <c r="F170" i="11"/>
  <c r="Q170" i="11" s="1"/>
  <c r="S170" i="11" s="1"/>
  <c r="M170" i="11"/>
  <c r="E170" i="11"/>
  <c r="L170" i="11"/>
  <c r="AB170" i="11" s="1"/>
  <c r="AC170" i="11" s="1"/>
  <c r="AI170" i="11"/>
  <c r="O170" i="11"/>
  <c r="K170" i="11"/>
  <c r="J170" i="11"/>
  <c r="G170" i="11"/>
  <c r="P170" i="11" s="1"/>
  <c r="I138" i="11"/>
  <c r="AF138" i="11"/>
  <c r="H138" i="11"/>
  <c r="N138" i="11"/>
  <c r="F138" i="11"/>
  <c r="M138" i="11"/>
  <c r="AB138" i="11" s="1"/>
  <c r="AC138" i="11" s="1"/>
  <c r="E138" i="11"/>
  <c r="L138" i="11"/>
  <c r="O138" i="11"/>
  <c r="K138" i="11"/>
  <c r="J138" i="11"/>
  <c r="G138" i="11"/>
  <c r="O199" i="11"/>
  <c r="G199" i="11"/>
  <c r="Y199" i="11" s="1"/>
  <c r="N199" i="11"/>
  <c r="F199" i="11"/>
  <c r="M199" i="11"/>
  <c r="E199" i="11"/>
  <c r="AB199" i="11"/>
  <c r="AC199" i="11" s="1"/>
  <c r="L199" i="11"/>
  <c r="AI199" i="11"/>
  <c r="K199" i="11"/>
  <c r="J199" i="11"/>
  <c r="H199" i="11"/>
  <c r="AF199" i="11"/>
  <c r="Q199" i="11"/>
  <c r="S199" i="11" s="1"/>
  <c r="P199" i="11"/>
  <c r="AD199" i="11" s="1"/>
  <c r="I199" i="11"/>
  <c r="N119" i="11"/>
  <c r="F119" i="11"/>
  <c r="L119" i="11"/>
  <c r="AB119" i="11" s="1"/>
  <c r="AC119" i="11" s="1"/>
  <c r="E119" i="11"/>
  <c r="O119" i="11"/>
  <c r="M119" i="11"/>
  <c r="K119" i="11"/>
  <c r="AF119" i="11"/>
  <c r="J119" i="11"/>
  <c r="I119" i="11"/>
  <c r="H119" i="11"/>
  <c r="G119" i="11"/>
  <c r="O159" i="11"/>
  <c r="G159" i="11"/>
  <c r="N159" i="11"/>
  <c r="F159" i="11"/>
  <c r="Q159" i="11" s="1"/>
  <c r="L159" i="11"/>
  <c r="AB159" i="11" s="1"/>
  <c r="AC159" i="11" s="1"/>
  <c r="AI159" i="11"/>
  <c r="K159" i="11"/>
  <c r="J159" i="11"/>
  <c r="H159" i="11"/>
  <c r="E159" i="11"/>
  <c r="M159" i="11"/>
  <c r="AF159" i="11"/>
  <c r="I159" i="11"/>
  <c r="O127" i="11"/>
  <c r="G127" i="11"/>
  <c r="N127" i="11"/>
  <c r="F127" i="11"/>
  <c r="P127" i="11" s="1"/>
  <c r="AB127" i="11"/>
  <c r="AC127" i="11" s="1"/>
  <c r="L127" i="11"/>
  <c r="AI127" i="11"/>
  <c r="K127" i="11"/>
  <c r="J127" i="11"/>
  <c r="H127" i="11"/>
  <c r="E127" i="11"/>
  <c r="M127" i="11"/>
  <c r="AF127" i="11"/>
  <c r="I127" i="11"/>
  <c r="I190" i="11"/>
  <c r="AB190" i="11" s="1"/>
  <c r="AC190" i="11" s="1"/>
  <c r="AF190" i="11"/>
  <c r="H190" i="11"/>
  <c r="O190" i="11"/>
  <c r="G190" i="11"/>
  <c r="Q190" i="11" s="1"/>
  <c r="N190" i="11"/>
  <c r="F190" i="11"/>
  <c r="M190" i="11"/>
  <c r="E190" i="11"/>
  <c r="L190" i="11"/>
  <c r="K190" i="11"/>
  <c r="J190" i="11"/>
  <c r="M168" i="11"/>
  <c r="S168" i="11" s="1"/>
  <c r="Y168" i="11" s="1"/>
  <c r="E168" i="11"/>
  <c r="L168" i="11"/>
  <c r="J168" i="11"/>
  <c r="I168" i="11"/>
  <c r="AF168" i="11"/>
  <c r="H168" i="11"/>
  <c r="AB168" i="11" s="1"/>
  <c r="AC168" i="11" s="1"/>
  <c r="AI168" i="11"/>
  <c r="N168" i="11"/>
  <c r="K168" i="11"/>
  <c r="G168" i="11"/>
  <c r="F168" i="11"/>
  <c r="Q168" i="11" s="1"/>
  <c r="O168" i="11"/>
  <c r="M136" i="11"/>
  <c r="E136" i="11"/>
  <c r="L136" i="11"/>
  <c r="AB136" i="11" s="1"/>
  <c r="AC136" i="11" s="1"/>
  <c r="J136" i="11"/>
  <c r="I136" i="11"/>
  <c r="AF136" i="11"/>
  <c r="H136" i="11"/>
  <c r="AI136" i="11"/>
  <c r="N136" i="11"/>
  <c r="K136" i="11"/>
  <c r="G136" i="11"/>
  <c r="F136" i="11"/>
  <c r="Q136" i="11" s="1"/>
  <c r="O136" i="11"/>
  <c r="AE229" i="11"/>
  <c r="W229" i="11"/>
  <c r="O229" i="11"/>
  <c r="G229" i="11"/>
  <c r="AD229" i="11"/>
  <c r="V229" i="11"/>
  <c r="N229" i="11"/>
  <c r="F229" i="11"/>
  <c r="AC229" i="11"/>
  <c r="S229" i="11"/>
  <c r="I229" i="11"/>
  <c r="AB229" i="11"/>
  <c r="R229" i="11"/>
  <c r="H229" i="11"/>
  <c r="AA229" i="11"/>
  <c r="Q229" i="11"/>
  <c r="E229" i="11"/>
  <c r="Z229" i="11"/>
  <c r="P229" i="11"/>
  <c r="AI229" i="11"/>
  <c r="Y229" i="11"/>
  <c r="M229" i="11"/>
  <c r="AH229" i="11"/>
  <c r="X229" i="11"/>
  <c r="L229" i="11"/>
  <c r="AF229" i="11"/>
  <c r="U229" i="11"/>
  <c r="T229" i="11"/>
  <c r="K229" i="11"/>
  <c r="J229" i="11"/>
  <c r="AG229" i="11"/>
  <c r="L112" i="11"/>
  <c r="I112" i="11"/>
  <c r="H112" i="11"/>
  <c r="G112" i="11"/>
  <c r="AI112" i="11" s="1"/>
  <c r="O112" i="11"/>
  <c r="F112" i="11"/>
  <c r="AF112" i="11"/>
  <c r="N112" i="11"/>
  <c r="E112" i="11"/>
  <c r="M112" i="11"/>
  <c r="AB112" i="11" s="1"/>
  <c r="AC112" i="11" s="1"/>
  <c r="K112" i="11"/>
  <c r="J112" i="11"/>
  <c r="L80" i="11"/>
  <c r="I80" i="11"/>
  <c r="AI80" i="11"/>
  <c r="H80" i="11"/>
  <c r="G80" i="11"/>
  <c r="O80" i="11"/>
  <c r="F80" i="11"/>
  <c r="AF80" i="11"/>
  <c r="N80" i="11"/>
  <c r="E80" i="11"/>
  <c r="M80" i="11"/>
  <c r="AB80" i="11" s="1"/>
  <c r="AC80" i="11" s="1"/>
  <c r="K80" i="11"/>
  <c r="J80" i="11"/>
  <c r="AF216" i="11"/>
  <c r="M216" i="11"/>
  <c r="E216" i="11"/>
  <c r="Q216" i="11" s="1"/>
  <c r="L216" i="11"/>
  <c r="K216" i="11"/>
  <c r="J216" i="11"/>
  <c r="I216" i="11"/>
  <c r="H216" i="11"/>
  <c r="AB216" i="11" s="1"/>
  <c r="AC216" i="11" s="1"/>
  <c r="O216" i="11"/>
  <c r="N216" i="11"/>
  <c r="G216" i="11"/>
  <c r="F216" i="11"/>
  <c r="P216" i="11" s="1"/>
  <c r="R216" i="11" s="1"/>
  <c r="AI216" i="11"/>
  <c r="N95" i="11"/>
  <c r="F95" i="11"/>
  <c r="G95" i="11"/>
  <c r="O95" i="11"/>
  <c r="E95" i="11"/>
  <c r="AF95" i="11"/>
  <c r="M95" i="11"/>
  <c r="L95" i="11"/>
  <c r="AB95" i="11" s="1"/>
  <c r="AC95" i="11" s="1"/>
  <c r="K95" i="11"/>
  <c r="J95" i="11"/>
  <c r="I95" i="11"/>
  <c r="H95" i="11"/>
  <c r="D70" i="11"/>
  <c r="N35" i="11"/>
  <c r="F35" i="11"/>
  <c r="P35" i="11" s="1"/>
  <c r="M35" i="11"/>
  <c r="E35" i="11"/>
  <c r="AB35" i="11"/>
  <c r="AC35" i="11" s="1"/>
  <c r="L35" i="11"/>
  <c r="R35" i="11" s="1"/>
  <c r="AI35" i="11"/>
  <c r="K35" i="11"/>
  <c r="J35" i="11"/>
  <c r="I35" i="11"/>
  <c r="AF35" i="11"/>
  <c r="H35" i="11"/>
  <c r="O35" i="11"/>
  <c r="G35" i="11"/>
  <c r="D1408" i="11"/>
  <c r="D1404" i="11"/>
  <c r="D1400" i="11"/>
  <c r="D1392" i="11"/>
  <c r="D1389" i="11"/>
  <c r="D1388" i="11"/>
  <c r="D1380" i="11"/>
  <c r="D1393" i="11"/>
  <c r="D1384" i="11"/>
  <c r="N83" i="11"/>
  <c r="F83" i="11"/>
  <c r="G83" i="11"/>
  <c r="O83" i="11"/>
  <c r="E83" i="11"/>
  <c r="AF83" i="11"/>
  <c r="M83" i="11"/>
  <c r="L83" i="11"/>
  <c r="AB83" i="11" s="1"/>
  <c r="AC83" i="11" s="1"/>
  <c r="K83" i="11"/>
  <c r="J83" i="11"/>
  <c r="I83" i="11"/>
  <c r="H83" i="11"/>
  <c r="D44" i="11"/>
  <c r="AB12" i="11"/>
  <c r="AC12" i="11" s="1"/>
  <c r="L12" i="11"/>
  <c r="R12" i="11" s="1"/>
  <c r="AI12" i="11"/>
  <c r="K12" i="11"/>
  <c r="J12" i="11"/>
  <c r="I12" i="11"/>
  <c r="AF12" i="11"/>
  <c r="H12" i="11"/>
  <c r="O12" i="11"/>
  <c r="G12" i="11"/>
  <c r="N12" i="11"/>
  <c r="F12" i="11"/>
  <c r="P12" i="11" s="1"/>
  <c r="M12" i="11"/>
  <c r="E12" i="11"/>
  <c r="AB1065" i="11"/>
  <c r="T1065" i="11"/>
  <c r="L1065" i="11"/>
  <c r="AI1065" i="11"/>
  <c r="AA1065" i="11"/>
  <c r="S1065" i="11"/>
  <c r="K1065" i="11"/>
  <c r="AH1065" i="11"/>
  <c r="Z1065" i="11"/>
  <c r="R1065" i="11"/>
  <c r="J1065" i="11"/>
  <c r="AG1065" i="11"/>
  <c r="Y1065" i="11"/>
  <c r="Q1065" i="11"/>
  <c r="I1065" i="11"/>
  <c r="AF1065" i="11"/>
  <c r="X1065" i="11"/>
  <c r="P1065" i="11"/>
  <c r="H1065" i="11"/>
  <c r="AD1065" i="11"/>
  <c r="V1065" i="11"/>
  <c r="N1065" i="11"/>
  <c r="F1065" i="11"/>
  <c r="U1065" i="11"/>
  <c r="O1065" i="11"/>
  <c r="M1065" i="11"/>
  <c r="G1065" i="11"/>
  <c r="E1065" i="11"/>
  <c r="AE1065" i="11"/>
  <c r="AC1065" i="11"/>
  <c r="W1065" i="11"/>
  <c r="AF90" i="11"/>
  <c r="H90" i="11"/>
  <c r="M90" i="11"/>
  <c r="L90" i="11"/>
  <c r="AB90" i="11" s="1"/>
  <c r="AC90" i="11" s="1"/>
  <c r="K90" i="11"/>
  <c r="J90" i="11"/>
  <c r="I90" i="11"/>
  <c r="G90" i="11"/>
  <c r="AI90" i="11" s="1"/>
  <c r="O90" i="11"/>
  <c r="F90" i="11"/>
  <c r="Q90" i="11" s="1"/>
  <c r="N90" i="11"/>
  <c r="E90" i="11"/>
  <c r="AI1198" i="11"/>
  <c r="AA1198" i="11"/>
  <c r="S1198" i="11"/>
  <c r="K1198" i="11"/>
  <c r="AH1198" i="11"/>
  <c r="Z1198" i="11"/>
  <c r="R1198" i="11"/>
  <c r="J1198" i="11"/>
  <c r="AG1198" i="11"/>
  <c r="Y1198" i="11"/>
  <c r="Q1198" i="11"/>
  <c r="I1198" i="11"/>
  <c r="AF1198" i="11"/>
  <c r="X1198" i="11"/>
  <c r="P1198" i="11"/>
  <c r="H1198" i="11"/>
  <c r="AE1198" i="11"/>
  <c r="W1198" i="11"/>
  <c r="O1198" i="11"/>
  <c r="G1198" i="11"/>
  <c r="N1198" i="11"/>
  <c r="M1198" i="11"/>
  <c r="AD1198" i="11"/>
  <c r="L1198" i="11"/>
  <c r="AC1198" i="11"/>
  <c r="F1198" i="11"/>
  <c r="AB1198" i="11"/>
  <c r="E1198" i="11"/>
  <c r="V1198" i="11"/>
  <c r="U1198" i="11"/>
  <c r="T1198" i="11"/>
  <c r="AI1136" i="11"/>
  <c r="AA1136" i="11"/>
  <c r="S1136" i="11"/>
  <c r="K1136" i="11"/>
  <c r="AH1136" i="11"/>
  <c r="Z1136" i="11"/>
  <c r="R1136" i="11"/>
  <c r="J1136" i="11"/>
  <c r="AG1136" i="11"/>
  <c r="Y1136" i="11"/>
  <c r="Q1136" i="11"/>
  <c r="I1136" i="11"/>
  <c r="AB1136" i="11"/>
  <c r="N1136" i="11"/>
  <c r="X1136" i="11"/>
  <c r="M1136" i="11"/>
  <c r="W1136" i="11"/>
  <c r="L1136" i="11"/>
  <c r="V1136" i="11"/>
  <c r="H1136" i="11"/>
  <c r="AF1136" i="11"/>
  <c r="U1136" i="11"/>
  <c r="G1136" i="11"/>
  <c r="AE1136" i="11"/>
  <c r="T1136" i="11"/>
  <c r="F1136" i="11"/>
  <c r="AD1136" i="11"/>
  <c r="P1136" i="11"/>
  <c r="E1136" i="11"/>
  <c r="AC1136" i="11"/>
  <c r="O1136" i="11"/>
  <c r="M200" i="11"/>
  <c r="E200" i="11"/>
  <c r="AB200" i="11"/>
  <c r="AC200" i="11" s="1"/>
  <c r="L200" i="11"/>
  <c r="K200" i="11"/>
  <c r="J200" i="11"/>
  <c r="I200" i="11"/>
  <c r="AF200" i="11"/>
  <c r="H200" i="11"/>
  <c r="O200" i="11"/>
  <c r="N200" i="11"/>
  <c r="G200" i="11"/>
  <c r="F200" i="11"/>
  <c r="P200" i="11" s="1"/>
  <c r="R200" i="11" s="1"/>
  <c r="J81" i="11"/>
  <c r="K81" i="11"/>
  <c r="I81" i="11"/>
  <c r="H81" i="11"/>
  <c r="AI81" i="11"/>
  <c r="G81" i="11"/>
  <c r="P81" i="11" s="1"/>
  <c r="O81" i="11"/>
  <c r="F81" i="11"/>
  <c r="AF81" i="11"/>
  <c r="N81" i="11"/>
  <c r="E81" i="11"/>
  <c r="M81" i="11"/>
  <c r="L81" i="11"/>
  <c r="AB81" i="11" s="1"/>
  <c r="AC81" i="11" s="1"/>
  <c r="J41" i="11"/>
  <c r="I41" i="11"/>
  <c r="AF41" i="11"/>
  <c r="H41" i="11"/>
  <c r="O41" i="11"/>
  <c r="G41" i="11"/>
  <c r="N41" i="11"/>
  <c r="F41" i="11"/>
  <c r="M41" i="11"/>
  <c r="E41" i="11"/>
  <c r="L41" i="11"/>
  <c r="AB41" i="11" s="1"/>
  <c r="AC41" i="11" s="1"/>
  <c r="K41" i="11"/>
  <c r="J9" i="11"/>
  <c r="I9" i="11"/>
  <c r="AF9" i="11"/>
  <c r="H9" i="11"/>
  <c r="O9" i="11"/>
  <c r="G9" i="11"/>
  <c r="N9" i="11"/>
  <c r="F9" i="11"/>
  <c r="M9" i="11"/>
  <c r="E9" i="11"/>
  <c r="AB9" i="11"/>
  <c r="AC9" i="11" s="1"/>
  <c r="L9" i="11"/>
  <c r="K9" i="11"/>
  <c r="AI1350" i="11"/>
  <c r="AA1350" i="11"/>
  <c r="S1350" i="11"/>
  <c r="K1350" i="11"/>
  <c r="AH1350" i="11"/>
  <c r="Z1350" i="11"/>
  <c r="R1350" i="11"/>
  <c r="J1350" i="11"/>
  <c r="AF1350" i="11"/>
  <c r="X1350" i="11"/>
  <c r="P1350" i="11"/>
  <c r="H1350" i="11"/>
  <c r="AE1350" i="11"/>
  <c r="W1350" i="11"/>
  <c r="O1350" i="11"/>
  <c r="G1350" i="11"/>
  <c r="AD1350" i="11"/>
  <c r="V1350" i="11"/>
  <c r="N1350" i="11"/>
  <c r="F1350" i="11"/>
  <c r="AC1350" i="11"/>
  <c r="U1350" i="11"/>
  <c r="M1350" i="11"/>
  <c r="E1350" i="11"/>
  <c r="AG1350" i="11"/>
  <c r="AB1350" i="11"/>
  <c r="Y1350" i="11"/>
  <c r="T1350" i="11"/>
  <c r="Q1350" i="11"/>
  <c r="L1350" i="11"/>
  <c r="I1350" i="11"/>
  <c r="AB1372" i="11"/>
  <c r="T1372" i="11"/>
  <c r="L1372" i="11"/>
  <c r="AI1372" i="11"/>
  <c r="AA1372" i="11"/>
  <c r="S1372" i="11"/>
  <c r="K1372" i="11"/>
  <c r="AH1372" i="11"/>
  <c r="Z1372" i="11"/>
  <c r="R1372" i="11"/>
  <c r="J1372" i="11"/>
  <c r="AG1372" i="11"/>
  <c r="Y1372" i="11"/>
  <c r="Q1372" i="11"/>
  <c r="I1372" i="11"/>
  <c r="AF1372" i="11"/>
  <c r="X1372" i="11"/>
  <c r="P1372" i="11"/>
  <c r="H1372" i="11"/>
  <c r="AE1372" i="11"/>
  <c r="M1372" i="11"/>
  <c r="AD1372" i="11"/>
  <c r="G1372" i="11"/>
  <c r="AC1372" i="11"/>
  <c r="F1372" i="11"/>
  <c r="W1372" i="11"/>
  <c r="E1372" i="11"/>
  <c r="V1372" i="11"/>
  <c r="U1372" i="11"/>
  <c r="O1372" i="11"/>
  <c r="N1372" i="11"/>
  <c r="AF980" i="11"/>
  <c r="H980" i="11"/>
  <c r="O980" i="11"/>
  <c r="G980" i="11"/>
  <c r="N980" i="11"/>
  <c r="F980" i="11"/>
  <c r="Q980" i="11" s="1"/>
  <c r="M980" i="11"/>
  <c r="E980" i="11"/>
  <c r="K980" i="11"/>
  <c r="J980" i="11"/>
  <c r="I980" i="11"/>
  <c r="AI980" i="11"/>
  <c r="L980" i="11"/>
  <c r="AB980" i="11" s="1"/>
  <c r="AC980" i="11" s="1"/>
  <c r="AF1008" i="11"/>
  <c r="H1008" i="11"/>
  <c r="AB1008" i="11" s="1"/>
  <c r="AC1008" i="11" s="1"/>
  <c r="O1008" i="11"/>
  <c r="G1008" i="11"/>
  <c r="S1008" i="11" s="1"/>
  <c r="N1008" i="11"/>
  <c r="F1008" i="11"/>
  <c r="M1008" i="11"/>
  <c r="E1008" i="11"/>
  <c r="L1008" i="11"/>
  <c r="AI1008" i="11"/>
  <c r="Y1008" i="11" s="1"/>
  <c r="K1008" i="11"/>
  <c r="J1008" i="11"/>
  <c r="Q1008" i="11"/>
  <c r="I1008" i="11"/>
  <c r="J846" i="11"/>
  <c r="I846" i="11"/>
  <c r="AF846" i="11"/>
  <c r="H846" i="11"/>
  <c r="M846" i="11"/>
  <c r="E846" i="11"/>
  <c r="K846" i="11"/>
  <c r="G846" i="11"/>
  <c r="F846" i="11"/>
  <c r="Q846" i="11" s="1"/>
  <c r="AI846" i="11"/>
  <c r="O846" i="11"/>
  <c r="AB846" i="11"/>
  <c r="AC846" i="11" s="1"/>
  <c r="N846" i="11"/>
  <c r="L846" i="11"/>
  <c r="AI715" i="11"/>
  <c r="AA715" i="11"/>
  <c r="S715" i="11"/>
  <c r="K715" i="11"/>
  <c r="AH715" i="11"/>
  <c r="Z715" i="11"/>
  <c r="R715" i="11"/>
  <c r="J715" i="11"/>
  <c r="AG715" i="11"/>
  <c r="Y715" i="11"/>
  <c r="Q715" i="11"/>
  <c r="I715" i="11"/>
  <c r="AF715" i="11"/>
  <c r="X715" i="11"/>
  <c r="P715" i="11"/>
  <c r="H715" i="11"/>
  <c r="AE715" i="11"/>
  <c r="W715" i="11"/>
  <c r="O715" i="11"/>
  <c r="G715" i="11"/>
  <c r="AD715" i="11"/>
  <c r="V715" i="11"/>
  <c r="N715" i="11"/>
  <c r="F715" i="11"/>
  <c r="AC715" i="11"/>
  <c r="U715" i="11"/>
  <c r="M715" i="11"/>
  <c r="E715" i="11"/>
  <c r="AB715" i="11"/>
  <c r="T715" i="11"/>
  <c r="L715" i="11"/>
  <c r="D1444" i="11"/>
  <c r="D1440" i="11"/>
  <c r="D1445" i="11"/>
  <c r="D1437" i="11"/>
  <c r="D1436" i="11"/>
  <c r="D1438" i="11"/>
  <c r="D1432" i="11"/>
  <c r="D1429" i="11"/>
  <c r="D1433" i="11"/>
  <c r="D1412" i="11"/>
  <c r="D1441" i="11"/>
  <c r="D1424" i="11"/>
  <c r="D1428" i="11"/>
  <c r="D1416" i="11"/>
  <c r="D69" i="11"/>
  <c r="AF34" i="11"/>
  <c r="H34" i="11"/>
  <c r="O34" i="11"/>
  <c r="G34" i="11"/>
  <c r="N34" i="11"/>
  <c r="F34" i="11"/>
  <c r="M34" i="11"/>
  <c r="E34" i="11"/>
  <c r="AB34" i="11"/>
  <c r="AC34" i="11" s="1"/>
  <c r="L34" i="11"/>
  <c r="K34" i="11"/>
  <c r="J34" i="11"/>
  <c r="I34" i="11"/>
  <c r="AG1175" i="11"/>
  <c r="Y1175" i="11"/>
  <c r="Q1175" i="11"/>
  <c r="I1175" i="11"/>
  <c r="AF1175" i="11"/>
  <c r="X1175" i="11"/>
  <c r="P1175" i="11"/>
  <c r="H1175" i="11"/>
  <c r="AE1175" i="11"/>
  <c r="W1175" i="11"/>
  <c r="O1175" i="11"/>
  <c r="G1175" i="11"/>
  <c r="AD1175" i="11"/>
  <c r="V1175" i="11"/>
  <c r="N1175" i="11"/>
  <c r="F1175" i="11"/>
  <c r="AC1175" i="11"/>
  <c r="U1175" i="11"/>
  <c r="M1175" i="11"/>
  <c r="E1175" i="11"/>
  <c r="Z1175" i="11"/>
  <c r="T1175" i="11"/>
  <c r="S1175" i="11"/>
  <c r="R1175" i="11"/>
  <c r="AI1175" i="11"/>
  <c r="L1175" i="11"/>
  <c r="AH1175" i="11"/>
  <c r="K1175" i="11"/>
  <c r="AB1175" i="11"/>
  <c r="J1175" i="11"/>
  <c r="AA1175" i="11"/>
  <c r="AI1158" i="11"/>
  <c r="AA1158" i="11"/>
  <c r="S1158" i="11"/>
  <c r="K1158" i="11"/>
  <c r="AH1158" i="11"/>
  <c r="Z1158" i="11"/>
  <c r="R1158" i="11"/>
  <c r="J1158" i="11"/>
  <c r="AG1158" i="11"/>
  <c r="Y1158" i="11"/>
  <c r="Q1158" i="11"/>
  <c r="I1158" i="11"/>
  <c r="AE1158" i="11"/>
  <c r="W1158" i="11"/>
  <c r="O1158" i="11"/>
  <c r="G1158" i="11"/>
  <c r="AC1158" i="11"/>
  <c r="M1158" i="11"/>
  <c r="AB1158" i="11"/>
  <c r="L1158" i="11"/>
  <c r="X1158" i="11"/>
  <c r="H1158" i="11"/>
  <c r="V1158" i="11"/>
  <c r="U1158" i="11"/>
  <c r="E1158" i="11"/>
  <c r="T1158" i="11"/>
  <c r="AF1158" i="11"/>
  <c r="P1158" i="11"/>
  <c r="AD1158" i="11"/>
  <c r="N1158" i="11"/>
  <c r="F1158" i="11"/>
  <c r="AI1190" i="11"/>
  <c r="AA1190" i="11"/>
  <c r="S1190" i="11"/>
  <c r="K1190" i="11"/>
  <c r="AH1190" i="11"/>
  <c r="Z1190" i="11"/>
  <c r="R1190" i="11"/>
  <c r="J1190" i="11"/>
  <c r="AG1190" i="11"/>
  <c r="Y1190" i="11"/>
  <c r="Q1190" i="11"/>
  <c r="I1190" i="11"/>
  <c r="AF1190" i="11"/>
  <c r="X1190" i="11"/>
  <c r="P1190" i="11"/>
  <c r="H1190" i="11"/>
  <c r="AE1190" i="11"/>
  <c r="W1190" i="11"/>
  <c r="O1190" i="11"/>
  <c r="G1190" i="11"/>
  <c r="N1190" i="11"/>
  <c r="M1190" i="11"/>
  <c r="AD1190" i="11"/>
  <c r="L1190" i="11"/>
  <c r="AC1190" i="11"/>
  <c r="F1190" i="11"/>
  <c r="AB1190" i="11"/>
  <c r="E1190" i="11"/>
  <c r="V1190" i="11"/>
  <c r="U1190" i="11"/>
  <c r="T1190" i="11"/>
  <c r="M1032" i="11"/>
  <c r="E1032" i="11"/>
  <c r="AI1032" i="11"/>
  <c r="K1032" i="11"/>
  <c r="I1032" i="11"/>
  <c r="N1032" i="11"/>
  <c r="L1032" i="11"/>
  <c r="AB1032" i="11" s="1"/>
  <c r="AC1032" i="11" s="1"/>
  <c r="J1032" i="11"/>
  <c r="H1032" i="11"/>
  <c r="AF1032" i="11"/>
  <c r="G1032" i="11"/>
  <c r="F1032" i="11"/>
  <c r="P1032" i="11"/>
  <c r="O1032" i="11"/>
  <c r="O1043" i="11"/>
  <c r="G1043" i="11"/>
  <c r="M1043" i="11"/>
  <c r="E1043" i="11"/>
  <c r="AI1043" i="11"/>
  <c r="K1043" i="11"/>
  <c r="J1043" i="11"/>
  <c r="F1043" i="11"/>
  <c r="P1043" i="11" s="1"/>
  <c r="N1043" i="11"/>
  <c r="AF1043" i="11"/>
  <c r="L1043" i="11"/>
  <c r="I1043" i="11"/>
  <c r="AB1043" i="11"/>
  <c r="AC1043" i="11" s="1"/>
  <c r="H1043" i="11"/>
  <c r="J886" i="11"/>
  <c r="Q886" i="11"/>
  <c r="I886" i="11"/>
  <c r="AF886" i="11"/>
  <c r="P886" i="11"/>
  <c r="H886" i="11"/>
  <c r="O886" i="11"/>
  <c r="G886" i="11"/>
  <c r="N886" i="11"/>
  <c r="F886" i="11"/>
  <c r="M886" i="11"/>
  <c r="Y886" i="11" s="1"/>
  <c r="E886" i="11"/>
  <c r="L886" i="11"/>
  <c r="AD886" i="11" s="1"/>
  <c r="K886" i="11"/>
  <c r="AI886" i="11"/>
  <c r="S886" i="11"/>
  <c r="AI727" i="11"/>
  <c r="AA727" i="11"/>
  <c r="S727" i="11"/>
  <c r="K727" i="11"/>
  <c r="AH727" i="11"/>
  <c r="Z727" i="11"/>
  <c r="R727" i="11"/>
  <c r="J727" i="11"/>
  <c r="AG727" i="11"/>
  <c r="Y727" i="11"/>
  <c r="Q727" i="11"/>
  <c r="I727" i="11"/>
  <c r="AF727" i="11"/>
  <c r="X727" i="11"/>
  <c r="P727" i="11"/>
  <c r="H727" i="11"/>
  <c r="AE727" i="11"/>
  <c r="W727" i="11"/>
  <c r="O727" i="11"/>
  <c r="G727" i="11"/>
  <c r="AD727" i="11"/>
  <c r="V727" i="11"/>
  <c r="N727" i="11"/>
  <c r="F727" i="11"/>
  <c r="AC727" i="11"/>
  <c r="U727" i="11"/>
  <c r="M727" i="11"/>
  <c r="E727" i="11"/>
  <c r="AB727" i="11"/>
  <c r="T727" i="11"/>
  <c r="L727" i="11"/>
  <c r="AI759" i="11"/>
  <c r="AA759" i="11"/>
  <c r="S759" i="11"/>
  <c r="K759" i="11"/>
  <c r="AH759" i="11"/>
  <c r="Z759" i="11"/>
  <c r="R759" i="11"/>
  <c r="J759" i="11"/>
  <c r="AG759" i="11"/>
  <c r="Y759" i="11"/>
  <c r="Q759" i="11"/>
  <c r="I759" i="11"/>
  <c r="AF759" i="11"/>
  <c r="X759" i="11"/>
  <c r="P759" i="11"/>
  <c r="H759" i="11"/>
  <c r="AE759" i="11"/>
  <c r="W759" i="11"/>
  <c r="O759" i="11"/>
  <c r="G759" i="11"/>
  <c r="AD759" i="11"/>
  <c r="V759" i="11"/>
  <c r="N759" i="11"/>
  <c r="F759" i="11"/>
  <c r="AC759" i="11"/>
  <c r="U759" i="11"/>
  <c r="M759" i="11"/>
  <c r="E759" i="11"/>
  <c r="AB759" i="11"/>
  <c r="T759" i="11"/>
  <c r="L759" i="11"/>
  <c r="AF608" i="11"/>
  <c r="X608" i="11"/>
  <c r="P608" i="11"/>
  <c r="H608" i="11"/>
  <c r="AE608" i="11"/>
  <c r="W608" i="11"/>
  <c r="O608" i="11"/>
  <c r="G608" i="11"/>
  <c r="AD608" i="11"/>
  <c r="V608" i="11"/>
  <c r="N608" i="11"/>
  <c r="F608" i="11"/>
  <c r="AC608" i="11"/>
  <c r="U608" i="11"/>
  <c r="M608" i="11"/>
  <c r="E608" i="11"/>
  <c r="AI608" i="11"/>
  <c r="AA608" i="11"/>
  <c r="S608" i="11"/>
  <c r="K608" i="11"/>
  <c r="AH608" i="11"/>
  <c r="Z608" i="11"/>
  <c r="R608" i="11"/>
  <c r="J608" i="11"/>
  <c r="AG608" i="11"/>
  <c r="AB608" i="11"/>
  <c r="Y608" i="11"/>
  <c r="T608" i="11"/>
  <c r="Q608" i="11"/>
  <c r="L608" i="11"/>
  <c r="I608" i="11"/>
  <c r="AI438" i="11"/>
  <c r="AA438" i="11"/>
  <c r="S438" i="11"/>
  <c r="K438" i="11"/>
  <c r="AH438" i="11"/>
  <c r="Z438" i="11"/>
  <c r="R438" i="11"/>
  <c r="J438" i="11"/>
  <c r="AF438" i="11"/>
  <c r="X438" i="11"/>
  <c r="P438" i="11"/>
  <c r="H438" i="11"/>
  <c r="AB438" i="11"/>
  <c r="N438" i="11"/>
  <c r="Y438" i="11"/>
  <c r="M438" i="11"/>
  <c r="W438" i="11"/>
  <c r="L438" i="11"/>
  <c r="V438" i="11"/>
  <c r="I438" i="11"/>
  <c r="AG438" i="11"/>
  <c r="U438" i="11"/>
  <c r="G438" i="11"/>
  <c r="F438" i="11"/>
  <c r="E438" i="11"/>
  <c r="AE438" i="11"/>
  <c r="AD438" i="11"/>
  <c r="AC438" i="11"/>
  <c r="T438" i="11"/>
  <c r="Q438" i="11"/>
  <c r="O438" i="11"/>
  <c r="AI307" i="11"/>
  <c r="AA307" i="11"/>
  <c r="S307" i="11"/>
  <c r="K307" i="11"/>
  <c r="AH307" i="11"/>
  <c r="Z307" i="11"/>
  <c r="R307" i="11"/>
  <c r="J307" i="11"/>
  <c r="AF307" i="11"/>
  <c r="X307" i="11"/>
  <c r="P307" i="11"/>
  <c r="H307" i="11"/>
  <c r="AD307" i="11"/>
  <c r="V307" i="11"/>
  <c r="N307" i="11"/>
  <c r="F307" i="11"/>
  <c r="AC307" i="11"/>
  <c r="M307" i="11"/>
  <c r="AB307" i="11"/>
  <c r="L307" i="11"/>
  <c r="Y307" i="11"/>
  <c r="I307" i="11"/>
  <c r="W307" i="11"/>
  <c r="G307" i="11"/>
  <c r="U307" i="11"/>
  <c r="E307" i="11"/>
  <c r="T307" i="11"/>
  <c r="AG307" i="11"/>
  <c r="AE307" i="11"/>
  <c r="Q307" i="11"/>
  <c r="O307" i="11"/>
  <c r="AI161" i="11"/>
  <c r="K161" i="11"/>
  <c r="J161" i="11"/>
  <c r="AF161" i="11"/>
  <c r="H161" i="11"/>
  <c r="O161" i="11"/>
  <c r="G161" i="11"/>
  <c r="N161" i="11"/>
  <c r="F161" i="11"/>
  <c r="Q161" i="11"/>
  <c r="M161" i="11"/>
  <c r="L161" i="11"/>
  <c r="AB161" i="11" s="1"/>
  <c r="AC161" i="11" s="1"/>
  <c r="I161" i="11"/>
  <c r="E161" i="11"/>
  <c r="L120" i="11"/>
  <c r="J120" i="11"/>
  <c r="M120" i="11"/>
  <c r="AB120" i="11" s="1"/>
  <c r="AC120" i="11" s="1"/>
  <c r="AF120" i="11"/>
  <c r="K120" i="11"/>
  <c r="I120" i="11"/>
  <c r="H120" i="11"/>
  <c r="G120" i="11"/>
  <c r="P120" i="11" s="1"/>
  <c r="F120" i="11"/>
  <c r="O120" i="11"/>
  <c r="E120" i="11"/>
  <c r="N120" i="11"/>
  <c r="AE1310" i="11"/>
  <c r="W1310" i="11"/>
  <c r="O1310" i="11"/>
  <c r="G1310" i="11"/>
  <c r="AD1310" i="11"/>
  <c r="V1310" i="11"/>
  <c r="N1310" i="11"/>
  <c r="F1310" i="11"/>
  <c r="AC1310" i="11"/>
  <c r="U1310" i="11"/>
  <c r="M1310" i="11"/>
  <c r="E1310" i="11"/>
  <c r="AI1310" i="11"/>
  <c r="AA1310" i="11"/>
  <c r="S1310" i="11"/>
  <c r="K1310" i="11"/>
  <c r="AH1310" i="11"/>
  <c r="R1310" i="11"/>
  <c r="AG1310" i="11"/>
  <c r="Q1310" i="11"/>
  <c r="AF1310" i="11"/>
  <c r="P1310" i="11"/>
  <c r="AB1310" i="11"/>
  <c r="L1310" i="11"/>
  <c r="Z1310" i="11"/>
  <c r="J1310" i="11"/>
  <c r="Y1310" i="11"/>
  <c r="I1310" i="11"/>
  <c r="X1310" i="11"/>
  <c r="H1310" i="11"/>
  <c r="T1310" i="11"/>
  <c r="AI1320" i="11"/>
  <c r="AA1320" i="11"/>
  <c r="S1320" i="11"/>
  <c r="K1320" i="11"/>
  <c r="AH1320" i="11"/>
  <c r="Z1320" i="11"/>
  <c r="R1320" i="11"/>
  <c r="J1320" i="11"/>
  <c r="AG1320" i="11"/>
  <c r="Y1320" i="11"/>
  <c r="Q1320" i="11"/>
  <c r="I1320" i="11"/>
  <c r="AE1320" i="11"/>
  <c r="W1320" i="11"/>
  <c r="O1320" i="11"/>
  <c r="G1320" i="11"/>
  <c r="X1320" i="11"/>
  <c r="H1320" i="11"/>
  <c r="V1320" i="11"/>
  <c r="F1320" i="11"/>
  <c r="U1320" i="11"/>
  <c r="E1320" i="11"/>
  <c r="T1320" i="11"/>
  <c r="AF1320" i="11"/>
  <c r="P1320" i="11"/>
  <c r="AD1320" i="11"/>
  <c r="N1320" i="11"/>
  <c r="AC1320" i="11"/>
  <c r="M1320" i="11"/>
  <c r="AB1320" i="11"/>
  <c r="L1320" i="11"/>
  <c r="D396" i="11"/>
  <c r="D392" i="11"/>
  <c r="D388" i="11"/>
  <c r="D384" i="11"/>
  <c r="D380" i="11"/>
  <c r="D376" i="11"/>
  <c r="D372" i="11"/>
  <c r="D368" i="11"/>
  <c r="D400" i="11"/>
  <c r="V16" i="9"/>
  <c r="X16" i="9" s="1"/>
  <c r="D786" i="11"/>
  <c r="AB546" i="11"/>
  <c r="T546" i="11"/>
  <c r="L546" i="11"/>
  <c r="AI546" i="11"/>
  <c r="AA546" i="11"/>
  <c r="S546" i="11"/>
  <c r="K546" i="11"/>
  <c r="AH546" i="11"/>
  <c r="Z546" i="11"/>
  <c r="R546" i="11"/>
  <c r="J546" i="11"/>
  <c r="AG546" i="11"/>
  <c r="Y546" i="11"/>
  <c r="Q546" i="11"/>
  <c r="I546" i="11"/>
  <c r="AF546" i="11"/>
  <c r="X546" i="11"/>
  <c r="P546" i="11"/>
  <c r="H546" i="11"/>
  <c r="AD546" i="11"/>
  <c r="G546" i="11"/>
  <c r="AC546" i="11"/>
  <c r="F546" i="11"/>
  <c r="W546" i="11"/>
  <c r="E546" i="11"/>
  <c r="V546" i="11"/>
  <c r="U546" i="11"/>
  <c r="AE546" i="11"/>
  <c r="O546" i="11"/>
  <c r="N546" i="11"/>
  <c r="M546" i="11"/>
  <c r="K426" i="11"/>
  <c r="J426" i="11"/>
  <c r="AF426" i="11"/>
  <c r="H426" i="11"/>
  <c r="N426" i="11"/>
  <c r="M426" i="11"/>
  <c r="L426" i="11"/>
  <c r="AB426" i="11" s="1"/>
  <c r="AC426" i="11" s="1"/>
  <c r="I426" i="11"/>
  <c r="G426" i="11"/>
  <c r="Q426" i="11" s="1"/>
  <c r="O426" i="11"/>
  <c r="F426" i="11"/>
  <c r="E426" i="11"/>
  <c r="O915" i="11"/>
  <c r="G915" i="11"/>
  <c r="N915" i="11"/>
  <c r="F915" i="11"/>
  <c r="Q915" i="11" s="1"/>
  <c r="M915" i="11"/>
  <c r="E915" i="11"/>
  <c r="K915" i="11"/>
  <c r="J915" i="11"/>
  <c r="P915" i="11"/>
  <c r="L915" i="11"/>
  <c r="AB915" i="11" s="1"/>
  <c r="AC915" i="11" s="1"/>
  <c r="AF915" i="11"/>
  <c r="I915" i="11"/>
  <c r="H915" i="11"/>
  <c r="AI913" i="11"/>
  <c r="K913" i="11"/>
  <c r="J913" i="11"/>
  <c r="I913" i="11"/>
  <c r="O913" i="11"/>
  <c r="G913" i="11"/>
  <c r="Y913" i="11" s="1"/>
  <c r="N913" i="11"/>
  <c r="F913" i="11"/>
  <c r="AF913" i="11"/>
  <c r="L913" i="11"/>
  <c r="H913" i="11"/>
  <c r="AB913" i="11"/>
  <c r="AC913" i="11" s="1"/>
  <c r="E913" i="11"/>
  <c r="M913" i="11"/>
  <c r="O935" i="11"/>
  <c r="G935" i="11"/>
  <c r="N935" i="11"/>
  <c r="F935" i="11"/>
  <c r="M935" i="11"/>
  <c r="E935" i="11"/>
  <c r="L935" i="11"/>
  <c r="K935" i="11"/>
  <c r="J935" i="11"/>
  <c r="AF935" i="11"/>
  <c r="Q935" i="11"/>
  <c r="I935" i="11"/>
  <c r="AB935" i="11" s="1"/>
  <c r="AC935" i="11" s="1"/>
  <c r="H935" i="11"/>
  <c r="K205" i="11"/>
  <c r="J205" i="11"/>
  <c r="Q205" i="11"/>
  <c r="S205" i="11" s="1"/>
  <c r="Y205" i="11" s="1"/>
  <c r="I205" i="11"/>
  <c r="AF205" i="11"/>
  <c r="P205" i="11"/>
  <c r="H205" i="11"/>
  <c r="O205" i="11"/>
  <c r="G205" i="11"/>
  <c r="AI205" i="11" s="1"/>
  <c r="N205" i="11"/>
  <c r="F205" i="11"/>
  <c r="M205" i="11"/>
  <c r="L205" i="11"/>
  <c r="AB205" i="11" s="1"/>
  <c r="AC205" i="11" s="1"/>
  <c r="E205" i="11"/>
  <c r="K348" i="11"/>
  <c r="J348" i="11"/>
  <c r="AF348" i="11"/>
  <c r="H348" i="11"/>
  <c r="O348" i="11"/>
  <c r="G348" i="11"/>
  <c r="N348" i="11"/>
  <c r="M348" i="11"/>
  <c r="L348" i="11"/>
  <c r="AB348" i="11" s="1"/>
  <c r="AC348" i="11" s="1"/>
  <c r="I348" i="11"/>
  <c r="F348" i="11"/>
  <c r="P348" i="11" s="1"/>
  <c r="E348" i="11"/>
  <c r="AI137" i="11"/>
  <c r="K137" i="11"/>
  <c r="J137" i="11"/>
  <c r="AF137" i="11"/>
  <c r="H137" i="11"/>
  <c r="O137" i="11"/>
  <c r="G137" i="11"/>
  <c r="N137" i="11"/>
  <c r="F137" i="11"/>
  <c r="Q137" i="11"/>
  <c r="M137" i="11"/>
  <c r="L137" i="11"/>
  <c r="AB137" i="11" s="1"/>
  <c r="AC137" i="11" s="1"/>
  <c r="I137" i="11"/>
  <c r="E137" i="11"/>
  <c r="D479" i="11"/>
  <c r="D494" i="11"/>
  <c r="S271" i="11"/>
  <c r="K271" i="11"/>
  <c r="J271" i="11"/>
  <c r="AF271" i="11"/>
  <c r="P271" i="11"/>
  <c r="H271" i="11"/>
  <c r="N271" i="11"/>
  <c r="F271" i="11"/>
  <c r="M271" i="11"/>
  <c r="L271" i="11"/>
  <c r="AB271" i="11" s="1"/>
  <c r="AC271" i="11" s="1"/>
  <c r="I271" i="11"/>
  <c r="G271" i="11"/>
  <c r="E271" i="11"/>
  <c r="Q271" i="11"/>
  <c r="O271" i="11"/>
  <c r="D640" i="11"/>
  <c r="AG1377" i="11"/>
  <c r="Y1377" i="11"/>
  <c r="Q1377" i="11"/>
  <c r="I1377" i="11"/>
  <c r="AE1377" i="11"/>
  <c r="V1377" i="11"/>
  <c r="M1377" i="11"/>
  <c r="AB1377" i="11"/>
  <c r="S1377" i="11"/>
  <c r="J1377" i="11"/>
  <c r="AH1377" i="11"/>
  <c r="U1377" i="11"/>
  <c r="H1377" i="11"/>
  <c r="AF1377" i="11"/>
  <c r="T1377" i="11"/>
  <c r="G1377" i="11"/>
  <c r="AD1377" i="11"/>
  <c r="R1377" i="11"/>
  <c r="F1377" i="11"/>
  <c r="AC1377" i="11"/>
  <c r="P1377" i="11"/>
  <c r="E1377" i="11"/>
  <c r="AA1377" i="11"/>
  <c r="O1377" i="11"/>
  <c r="X1377" i="11"/>
  <c r="L1377" i="11"/>
  <c r="AI1377" i="11"/>
  <c r="Z1377" i="11"/>
  <c r="W1377" i="11"/>
  <c r="N1377" i="11"/>
  <c r="K1377" i="11"/>
  <c r="AF1286" i="11"/>
  <c r="X1286" i="11"/>
  <c r="P1286" i="11"/>
  <c r="H1286" i="11"/>
  <c r="AE1286" i="11"/>
  <c r="W1286" i="11"/>
  <c r="O1286" i="11"/>
  <c r="G1286" i="11"/>
  <c r="AD1286" i="11"/>
  <c r="V1286" i="11"/>
  <c r="N1286" i="11"/>
  <c r="F1286" i="11"/>
  <c r="AB1286" i="11"/>
  <c r="T1286" i="11"/>
  <c r="L1286" i="11"/>
  <c r="AA1286" i="11"/>
  <c r="K1286" i="11"/>
  <c r="Z1286" i="11"/>
  <c r="J1286" i="11"/>
  <c r="Y1286" i="11"/>
  <c r="I1286" i="11"/>
  <c r="U1286" i="11"/>
  <c r="E1286" i="11"/>
  <c r="AI1286" i="11"/>
  <c r="S1286" i="11"/>
  <c r="AC1286" i="11"/>
  <c r="R1286" i="11"/>
  <c r="Q1286" i="11"/>
  <c r="M1286" i="11"/>
  <c r="AH1286" i="11"/>
  <c r="AG1286" i="11"/>
  <c r="AC1193" i="11"/>
  <c r="U1193" i="11"/>
  <c r="M1193" i="11"/>
  <c r="E1193" i="11"/>
  <c r="AB1193" i="11"/>
  <c r="T1193" i="11"/>
  <c r="L1193" i="11"/>
  <c r="AI1193" i="11"/>
  <c r="AA1193" i="11"/>
  <c r="S1193" i="11"/>
  <c r="K1193" i="11"/>
  <c r="AH1193" i="11"/>
  <c r="Z1193" i="11"/>
  <c r="R1193" i="11"/>
  <c r="J1193" i="11"/>
  <c r="AG1193" i="11"/>
  <c r="Y1193" i="11"/>
  <c r="Q1193" i="11"/>
  <c r="I1193" i="11"/>
  <c r="AF1193" i="11"/>
  <c r="N1193" i="11"/>
  <c r="AE1193" i="11"/>
  <c r="H1193" i="11"/>
  <c r="AD1193" i="11"/>
  <c r="G1193" i="11"/>
  <c r="X1193" i="11"/>
  <c r="F1193" i="11"/>
  <c r="W1193" i="11"/>
  <c r="V1193" i="11"/>
  <c r="P1193" i="11"/>
  <c r="O1193" i="11"/>
  <c r="AD1076" i="11"/>
  <c r="V1076" i="11"/>
  <c r="N1076" i="11"/>
  <c r="F1076" i="11"/>
  <c r="AC1076" i="11"/>
  <c r="U1076" i="11"/>
  <c r="M1076" i="11"/>
  <c r="E1076" i="11"/>
  <c r="AB1076" i="11"/>
  <c r="T1076" i="11"/>
  <c r="L1076" i="11"/>
  <c r="AI1076" i="11"/>
  <c r="AA1076" i="11"/>
  <c r="S1076" i="11"/>
  <c r="K1076" i="11"/>
  <c r="AH1076" i="11"/>
  <c r="Z1076" i="11"/>
  <c r="R1076" i="11"/>
  <c r="J1076" i="11"/>
  <c r="AF1076" i="11"/>
  <c r="X1076" i="11"/>
  <c r="P1076" i="11"/>
  <c r="H1076" i="11"/>
  <c r="AE1076" i="11"/>
  <c r="Y1076" i="11"/>
  <c r="W1076" i="11"/>
  <c r="Q1076" i="11"/>
  <c r="O1076" i="11"/>
  <c r="I1076" i="11"/>
  <c r="G1076" i="11"/>
  <c r="AG1076" i="11"/>
  <c r="O1015" i="11"/>
  <c r="G1015" i="11"/>
  <c r="AI1015" i="11"/>
  <c r="K1015" i="11"/>
  <c r="F1015" i="11"/>
  <c r="E1015" i="11"/>
  <c r="Q1015" i="11" s="1"/>
  <c r="N1015" i="11"/>
  <c r="M1015" i="11"/>
  <c r="L1015" i="11"/>
  <c r="AB1015" i="11" s="1"/>
  <c r="AC1015" i="11" s="1"/>
  <c r="AF1015" i="11"/>
  <c r="J1015" i="11"/>
  <c r="I1015" i="11"/>
  <c r="H1015" i="11"/>
  <c r="AF1401" i="11"/>
  <c r="X1401" i="11"/>
  <c r="P1401" i="11"/>
  <c r="H1401" i="11"/>
  <c r="AE1401" i="11"/>
  <c r="W1401" i="11"/>
  <c r="O1401" i="11"/>
  <c r="G1401" i="11"/>
  <c r="AD1401" i="11"/>
  <c r="V1401" i="11"/>
  <c r="N1401" i="11"/>
  <c r="AH1401" i="11"/>
  <c r="T1401" i="11"/>
  <c r="I1401" i="11"/>
  <c r="AG1401" i="11"/>
  <c r="S1401" i="11"/>
  <c r="F1401" i="11"/>
  <c r="AC1401" i="11"/>
  <c r="R1401" i="11"/>
  <c r="E1401" i="11"/>
  <c r="AB1401" i="11"/>
  <c r="Q1401" i="11"/>
  <c r="Y1401" i="11"/>
  <c r="U1401" i="11"/>
  <c r="M1401" i="11"/>
  <c r="L1401" i="11"/>
  <c r="K1401" i="11"/>
  <c r="AI1401" i="11"/>
  <c r="J1401" i="11"/>
  <c r="Z1401" i="11"/>
  <c r="AA1401" i="11"/>
  <c r="AG1309" i="11"/>
  <c r="Y1309" i="11"/>
  <c r="Q1309" i="11"/>
  <c r="I1309" i="11"/>
  <c r="AF1309" i="11"/>
  <c r="X1309" i="11"/>
  <c r="P1309" i="11"/>
  <c r="H1309" i="11"/>
  <c r="AE1309" i="11"/>
  <c r="W1309" i="11"/>
  <c r="O1309" i="11"/>
  <c r="G1309" i="11"/>
  <c r="AC1309" i="11"/>
  <c r="U1309" i="11"/>
  <c r="M1309" i="11"/>
  <c r="E1309" i="11"/>
  <c r="V1309" i="11"/>
  <c r="F1309" i="11"/>
  <c r="T1309" i="11"/>
  <c r="AI1309" i="11"/>
  <c r="S1309" i="11"/>
  <c r="AH1309" i="11"/>
  <c r="R1309" i="11"/>
  <c r="AD1309" i="11"/>
  <c r="N1309" i="11"/>
  <c r="AB1309" i="11"/>
  <c r="L1309" i="11"/>
  <c r="AA1309" i="11"/>
  <c r="K1309" i="11"/>
  <c r="J1309" i="11"/>
  <c r="Z1309" i="11"/>
  <c r="AC1225" i="11"/>
  <c r="U1225" i="11"/>
  <c r="M1225" i="11"/>
  <c r="E1225" i="11"/>
  <c r="AI1225" i="11"/>
  <c r="AA1225" i="11"/>
  <c r="S1225" i="11"/>
  <c r="K1225" i="11"/>
  <c r="AG1225" i="11"/>
  <c r="Y1225" i="11"/>
  <c r="Q1225" i="11"/>
  <c r="I1225" i="11"/>
  <c r="AE1225" i="11"/>
  <c r="R1225" i="11"/>
  <c r="F1225" i="11"/>
  <c r="AD1225" i="11"/>
  <c r="P1225" i="11"/>
  <c r="AB1225" i="11"/>
  <c r="O1225" i="11"/>
  <c r="Z1225" i="11"/>
  <c r="N1225" i="11"/>
  <c r="X1225" i="11"/>
  <c r="L1225" i="11"/>
  <c r="AH1225" i="11"/>
  <c r="AF1225" i="11"/>
  <c r="W1225" i="11"/>
  <c r="V1225" i="11"/>
  <c r="T1225" i="11"/>
  <c r="J1225" i="11"/>
  <c r="H1225" i="11"/>
  <c r="G1225" i="11"/>
  <c r="AF1083" i="11"/>
  <c r="X1083" i="11"/>
  <c r="P1083" i="11"/>
  <c r="H1083" i="11"/>
  <c r="AE1083" i="11"/>
  <c r="W1083" i="11"/>
  <c r="O1083" i="11"/>
  <c r="G1083" i="11"/>
  <c r="AD1083" i="11"/>
  <c r="V1083" i="11"/>
  <c r="N1083" i="11"/>
  <c r="F1083" i="11"/>
  <c r="AC1083" i="11"/>
  <c r="U1083" i="11"/>
  <c r="M1083" i="11"/>
  <c r="E1083" i="11"/>
  <c r="AB1083" i="11"/>
  <c r="T1083" i="11"/>
  <c r="L1083" i="11"/>
  <c r="AH1083" i="11"/>
  <c r="Z1083" i="11"/>
  <c r="R1083" i="11"/>
  <c r="J1083" i="11"/>
  <c r="I1083" i="11"/>
  <c r="AI1083" i="11"/>
  <c r="AG1083" i="11"/>
  <c r="AA1083" i="11"/>
  <c r="Y1083" i="11"/>
  <c r="S1083" i="11"/>
  <c r="Q1083" i="11"/>
  <c r="K1083" i="11"/>
  <c r="J1007" i="11"/>
  <c r="Q1007" i="11"/>
  <c r="I1007" i="11"/>
  <c r="AF1007" i="11"/>
  <c r="P1007" i="11"/>
  <c r="H1007" i="11"/>
  <c r="O1007" i="11"/>
  <c r="G1007" i="11"/>
  <c r="N1007" i="11"/>
  <c r="F1007" i="11"/>
  <c r="M1007" i="11"/>
  <c r="Y1007" i="11" s="1"/>
  <c r="E1007" i="11"/>
  <c r="L1007" i="11"/>
  <c r="AB1007" i="11" s="1"/>
  <c r="AC1007" i="11" s="1"/>
  <c r="AI1007" i="11"/>
  <c r="AD1007" i="11" s="1"/>
  <c r="K1007" i="11"/>
  <c r="I946" i="11"/>
  <c r="AF946" i="11"/>
  <c r="H946" i="11"/>
  <c r="O946" i="11"/>
  <c r="G946" i="11"/>
  <c r="N946" i="11"/>
  <c r="F946" i="11"/>
  <c r="M946" i="11"/>
  <c r="E946" i="11"/>
  <c r="L946" i="11"/>
  <c r="AB946" i="11" s="1"/>
  <c r="AC946" i="11" s="1"/>
  <c r="K946" i="11"/>
  <c r="J946" i="11"/>
  <c r="AF863" i="11"/>
  <c r="H863" i="11"/>
  <c r="O863" i="11"/>
  <c r="G863" i="11"/>
  <c r="X863" i="11" s="1"/>
  <c r="N863" i="11"/>
  <c r="F863" i="11"/>
  <c r="L863" i="11"/>
  <c r="AI863" i="11"/>
  <c r="K863" i="11"/>
  <c r="I863" i="11"/>
  <c r="E863" i="11"/>
  <c r="M863" i="11"/>
  <c r="Y863" i="11" s="1"/>
  <c r="J863" i="11"/>
  <c r="AF785" i="11"/>
  <c r="H785" i="11"/>
  <c r="O785" i="11"/>
  <c r="G785" i="11"/>
  <c r="S785" i="11" s="1"/>
  <c r="L785" i="11"/>
  <c r="M785" i="11"/>
  <c r="AB785" i="11" s="1"/>
  <c r="AC785" i="11" s="1"/>
  <c r="K785" i="11"/>
  <c r="AI785" i="11"/>
  <c r="J785" i="11"/>
  <c r="I785" i="11"/>
  <c r="F785" i="11"/>
  <c r="E785" i="11"/>
  <c r="Q785" i="11"/>
  <c r="N785" i="11"/>
  <c r="AB566" i="11"/>
  <c r="T566" i="11"/>
  <c r="L566" i="11"/>
  <c r="AI566" i="11"/>
  <c r="AA566" i="11"/>
  <c r="S566" i="11"/>
  <c r="K566" i="11"/>
  <c r="AH566" i="11"/>
  <c r="Z566" i="11"/>
  <c r="R566" i="11"/>
  <c r="J566" i="11"/>
  <c r="AE566" i="11"/>
  <c r="W566" i="11"/>
  <c r="O566" i="11"/>
  <c r="G566" i="11"/>
  <c r="AD566" i="11"/>
  <c r="V566" i="11"/>
  <c r="N566" i="11"/>
  <c r="F566" i="11"/>
  <c r="Y566" i="11"/>
  <c r="E566" i="11"/>
  <c r="X566" i="11"/>
  <c r="U566" i="11"/>
  <c r="Q566" i="11"/>
  <c r="P566" i="11"/>
  <c r="AG566" i="11"/>
  <c r="AF566" i="11"/>
  <c r="AC566" i="11"/>
  <c r="M566" i="11"/>
  <c r="I566" i="11"/>
  <c r="H566" i="11"/>
  <c r="AG1426" i="11"/>
  <c r="Y1426" i="11"/>
  <c r="Q1426" i="11"/>
  <c r="I1426" i="11"/>
  <c r="AE1426" i="11"/>
  <c r="W1426" i="11"/>
  <c r="O1426" i="11"/>
  <c r="G1426" i="11"/>
  <c r="Z1426" i="11"/>
  <c r="N1426" i="11"/>
  <c r="AI1426" i="11"/>
  <c r="X1426" i="11"/>
  <c r="M1426" i="11"/>
  <c r="AB1426" i="11"/>
  <c r="L1426" i="11"/>
  <c r="AA1426" i="11"/>
  <c r="K1426" i="11"/>
  <c r="V1426" i="11"/>
  <c r="J1426" i="11"/>
  <c r="U1426" i="11"/>
  <c r="R1426" i="11"/>
  <c r="P1426" i="11"/>
  <c r="AH1426" i="11"/>
  <c r="H1426" i="11"/>
  <c r="AF1426" i="11"/>
  <c r="F1426" i="11"/>
  <c r="AD1426" i="11"/>
  <c r="E1426" i="11"/>
  <c r="AC1426" i="11"/>
  <c r="T1426" i="11"/>
  <c r="S1426" i="11"/>
  <c r="AD1363" i="11"/>
  <c r="V1363" i="11"/>
  <c r="N1363" i="11"/>
  <c r="F1363" i="11"/>
  <c r="AC1363" i="11"/>
  <c r="U1363" i="11"/>
  <c r="M1363" i="11"/>
  <c r="E1363" i="11"/>
  <c r="AB1363" i="11"/>
  <c r="T1363" i="11"/>
  <c r="L1363" i="11"/>
  <c r="AI1363" i="11"/>
  <c r="AA1363" i="11"/>
  <c r="S1363" i="11"/>
  <c r="K1363" i="11"/>
  <c r="AH1363" i="11"/>
  <c r="Z1363" i="11"/>
  <c r="R1363" i="11"/>
  <c r="J1363" i="11"/>
  <c r="AE1363" i="11"/>
  <c r="H1363" i="11"/>
  <c r="Y1363" i="11"/>
  <c r="G1363" i="11"/>
  <c r="X1363" i="11"/>
  <c r="W1363" i="11"/>
  <c r="Q1363" i="11"/>
  <c r="P1363" i="11"/>
  <c r="AG1363" i="11"/>
  <c r="O1363" i="11"/>
  <c r="AF1363" i="11"/>
  <c r="I1363" i="11"/>
  <c r="AD1394" i="11"/>
  <c r="V1394" i="11"/>
  <c r="N1394" i="11"/>
  <c r="F1394" i="11"/>
  <c r="AC1394" i="11"/>
  <c r="U1394" i="11"/>
  <c r="M1394" i="11"/>
  <c r="E1394" i="11"/>
  <c r="Z1394" i="11"/>
  <c r="P1394" i="11"/>
  <c r="AI1394" i="11"/>
  <c r="Y1394" i="11"/>
  <c r="O1394" i="11"/>
  <c r="X1394" i="11"/>
  <c r="J1394" i="11"/>
  <c r="W1394" i="11"/>
  <c r="I1394" i="11"/>
  <c r="AH1394" i="11"/>
  <c r="T1394" i="11"/>
  <c r="H1394" i="11"/>
  <c r="AG1394" i="11"/>
  <c r="S1394" i="11"/>
  <c r="G1394" i="11"/>
  <c r="AF1394" i="11"/>
  <c r="R1394" i="11"/>
  <c r="AE1394" i="11"/>
  <c r="Q1394" i="11"/>
  <c r="AB1394" i="11"/>
  <c r="AA1394" i="11"/>
  <c r="L1394" i="11"/>
  <c r="K1394" i="11"/>
  <c r="AC1319" i="11"/>
  <c r="U1319" i="11"/>
  <c r="M1319" i="11"/>
  <c r="E1319" i="11"/>
  <c r="AB1319" i="11"/>
  <c r="T1319" i="11"/>
  <c r="L1319" i="11"/>
  <c r="AI1319" i="11"/>
  <c r="AA1319" i="11"/>
  <c r="S1319" i="11"/>
  <c r="K1319" i="11"/>
  <c r="AG1319" i="11"/>
  <c r="Y1319" i="11"/>
  <c r="Q1319" i="11"/>
  <c r="I1319" i="11"/>
  <c r="AE1319" i="11"/>
  <c r="O1319" i="11"/>
  <c r="AD1319" i="11"/>
  <c r="N1319" i="11"/>
  <c r="Z1319" i="11"/>
  <c r="J1319" i="11"/>
  <c r="X1319" i="11"/>
  <c r="H1319" i="11"/>
  <c r="W1319" i="11"/>
  <c r="G1319" i="11"/>
  <c r="V1319" i="11"/>
  <c r="F1319" i="11"/>
  <c r="AH1319" i="11"/>
  <c r="R1319" i="11"/>
  <c r="P1319" i="11"/>
  <c r="AF1319" i="11"/>
  <c r="AB1230" i="11"/>
  <c r="T1230" i="11"/>
  <c r="L1230" i="11"/>
  <c r="AE1230" i="11"/>
  <c r="V1230" i="11"/>
  <c r="M1230" i="11"/>
  <c r="AC1230" i="11"/>
  <c r="S1230" i="11"/>
  <c r="J1230" i="11"/>
  <c r="AI1230" i="11"/>
  <c r="Z1230" i="11"/>
  <c r="Q1230" i="11"/>
  <c r="H1230" i="11"/>
  <c r="AH1230" i="11"/>
  <c r="Y1230" i="11"/>
  <c r="P1230" i="11"/>
  <c r="W1230" i="11"/>
  <c r="F1230" i="11"/>
  <c r="U1230" i="11"/>
  <c r="E1230" i="11"/>
  <c r="R1230" i="11"/>
  <c r="AG1230" i="11"/>
  <c r="O1230" i="11"/>
  <c r="AF1230" i="11"/>
  <c r="N1230" i="11"/>
  <c r="X1230" i="11"/>
  <c r="K1230" i="11"/>
  <c r="I1230" i="11"/>
  <c r="G1230" i="11"/>
  <c r="AD1230" i="11"/>
  <c r="AA1230" i="11"/>
  <c r="AI1218" i="11"/>
  <c r="AA1218" i="11"/>
  <c r="S1218" i="11"/>
  <c r="K1218" i="11"/>
  <c r="AE1218" i="11"/>
  <c r="W1218" i="11"/>
  <c r="O1218" i="11"/>
  <c r="AH1218" i="11"/>
  <c r="X1218" i="11"/>
  <c r="M1218" i="11"/>
  <c r="AG1218" i="11"/>
  <c r="V1218" i="11"/>
  <c r="L1218" i="11"/>
  <c r="AF1218" i="11"/>
  <c r="U1218" i="11"/>
  <c r="J1218" i="11"/>
  <c r="AD1218" i="11"/>
  <c r="T1218" i="11"/>
  <c r="I1218" i="11"/>
  <c r="AC1218" i="11"/>
  <c r="R1218" i="11"/>
  <c r="H1218" i="11"/>
  <c r="Y1218" i="11"/>
  <c r="Q1218" i="11"/>
  <c r="P1218" i="11"/>
  <c r="N1218" i="11"/>
  <c r="G1218" i="11"/>
  <c r="F1218" i="11"/>
  <c r="AB1218" i="11"/>
  <c r="E1218" i="11"/>
  <c r="Z1218" i="11"/>
  <c r="AI1210" i="11"/>
  <c r="AA1210" i="11"/>
  <c r="S1210" i="11"/>
  <c r="K1210" i="11"/>
  <c r="AE1210" i="11"/>
  <c r="V1210" i="11"/>
  <c r="M1210" i="11"/>
  <c r="AD1210" i="11"/>
  <c r="U1210" i="11"/>
  <c r="L1210" i="11"/>
  <c r="AC1210" i="11"/>
  <c r="T1210" i="11"/>
  <c r="J1210" i="11"/>
  <c r="AB1210" i="11"/>
  <c r="R1210" i="11"/>
  <c r="I1210" i="11"/>
  <c r="Z1210" i="11"/>
  <c r="Q1210" i="11"/>
  <c r="H1210" i="11"/>
  <c r="AG1210" i="11"/>
  <c r="G1210" i="11"/>
  <c r="AF1210" i="11"/>
  <c r="F1210" i="11"/>
  <c r="Y1210" i="11"/>
  <c r="E1210" i="11"/>
  <c r="X1210" i="11"/>
  <c r="W1210" i="11"/>
  <c r="P1210" i="11"/>
  <c r="O1210" i="11"/>
  <c r="AH1210" i="11"/>
  <c r="N1210" i="11"/>
  <c r="AF1103" i="11"/>
  <c r="X1103" i="11"/>
  <c r="P1103" i="11"/>
  <c r="H1103" i="11"/>
  <c r="AE1103" i="11"/>
  <c r="W1103" i="11"/>
  <c r="O1103" i="11"/>
  <c r="G1103" i="11"/>
  <c r="AD1103" i="11"/>
  <c r="V1103" i="11"/>
  <c r="N1103" i="11"/>
  <c r="F1103" i="11"/>
  <c r="AC1103" i="11"/>
  <c r="U1103" i="11"/>
  <c r="M1103" i="11"/>
  <c r="E1103" i="11"/>
  <c r="AB1103" i="11"/>
  <c r="T1103" i="11"/>
  <c r="L1103" i="11"/>
  <c r="AH1103" i="11"/>
  <c r="Z1103" i="11"/>
  <c r="R1103" i="11"/>
  <c r="J1103" i="11"/>
  <c r="I1103" i="11"/>
  <c r="AI1103" i="11"/>
  <c r="AG1103" i="11"/>
  <c r="AA1103" i="11"/>
  <c r="Y1103" i="11"/>
  <c r="S1103" i="11"/>
  <c r="Q1103" i="11"/>
  <c r="K1103" i="11"/>
  <c r="AH1094" i="11"/>
  <c r="Z1094" i="11"/>
  <c r="R1094" i="11"/>
  <c r="J1094" i="11"/>
  <c r="AG1094" i="11"/>
  <c r="Y1094" i="11"/>
  <c r="Q1094" i="11"/>
  <c r="I1094" i="11"/>
  <c r="AF1094" i="11"/>
  <c r="X1094" i="11"/>
  <c r="P1094" i="11"/>
  <c r="H1094" i="11"/>
  <c r="AE1094" i="11"/>
  <c r="W1094" i="11"/>
  <c r="O1094" i="11"/>
  <c r="G1094" i="11"/>
  <c r="AD1094" i="11"/>
  <c r="V1094" i="11"/>
  <c r="N1094" i="11"/>
  <c r="F1094" i="11"/>
  <c r="AB1094" i="11"/>
  <c r="T1094" i="11"/>
  <c r="L1094" i="11"/>
  <c r="M1094" i="11"/>
  <c r="K1094" i="11"/>
  <c r="E1094" i="11"/>
  <c r="AI1094" i="11"/>
  <c r="AC1094" i="11"/>
  <c r="AA1094" i="11"/>
  <c r="U1094" i="11"/>
  <c r="S1094" i="11"/>
  <c r="AD1104" i="11"/>
  <c r="V1104" i="11"/>
  <c r="N1104" i="11"/>
  <c r="F1104" i="11"/>
  <c r="AC1104" i="11"/>
  <c r="U1104" i="11"/>
  <c r="M1104" i="11"/>
  <c r="E1104" i="11"/>
  <c r="AB1104" i="11"/>
  <c r="T1104" i="11"/>
  <c r="L1104" i="11"/>
  <c r="AI1104" i="11"/>
  <c r="AA1104" i="11"/>
  <c r="S1104" i="11"/>
  <c r="K1104" i="11"/>
  <c r="AH1104" i="11"/>
  <c r="Z1104" i="11"/>
  <c r="R1104" i="11"/>
  <c r="J1104" i="11"/>
  <c r="AF1104" i="11"/>
  <c r="X1104" i="11"/>
  <c r="P1104" i="11"/>
  <c r="H1104" i="11"/>
  <c r="AE1104" i="11"/>
  <c r="Y1104" i="11"/>
  <c r="W1104" i="11"/>
  <c r="Q1104" i="11"/>
  <c r="O1104" i="11"/>
  <c r="I1104" i="11"/>
  <c r="G1104" i="11"/>
  <c r="AG1104" i="11"/>
  <c r="N977" i="11"/>
  <c r="F977" i="11"/>
  <c r="M977" i="11"/>
  <c r="E977" i="11"/>
  <c r="L977" i="11"/>
  <c r="AI977" i="11"/>
  <c r="R977" i="11" s="1"/>
  <c r="K977" i="11"/>
  <c r="H977" i="11"/>
  <c r="AB977" i="11" s="1"/>
  <c r="AC977" i="11" s="1"/>
  <c r="G977" i="11"/>
  <c r="Q977" i="11" s="1"/>
  <c r="AF977" i="11"/>
  <c r="P977" i="11"/>
  <c r="O977" i="11"/>
  <c r="J977" i="11"/>
  <c r="I977" i="11"/>
  <c r="I910" i="11"/>
  <c r="O910" i="11"/>
  <c r="G910" i="11"/>
  <c r="M910" i="11"/>
  <c r="AB910" i="11" s="1"/>
  <c r="AC910" i="11" s="1"/>
  <c r="E910" i="11"/>
  <c r="L910" i="11"/>
  <c r="H910" i="11"/>
  <c r="F910" i="11"/>
  <c r="P910" i="11" s="1"/>
  <c r="AI910" i="11"/>
  <c r="X910" i="11" s="1"/>
  <c r="AF910" i="11"/>
  <c r="N910" i="11"/>
  <c r="J910" i="11"/>
  <c r="K910" i="11"/>
  <c r="Y891" i="11"/>
  <c r="H891" i="11"/>
  <c r="O891" i="11"/>
  <c r="G891" i="11"/>
  <c r="AF891" i="11"/>
  <c r="N891" i="11"/>
  <c r="F891" i="11"/>
  <c r="P891" i="11" s="1"/>
  <c r="M891" i="11"/>
  <c r="E891" i="11"/>
  <c r="AC891" i="11"/>
  <c r="L891" i="11"/>
  <c r="AB891" i="11"/>
  <c r="K891" i="11"/>
  <c r="I891" i="11"/>
  <c r="AI891" i="11"/>
  <c r="Q891" i="11"/>
  <c r="S891" i="11" s="1"/>
  <c r="J891" i="11"/>
  <c r="AF851" i="11"/>
  <c r="H851" i="11"/>
  <c r="O851" i="11"/>
  <c r="G851" i="11"/>
  <c r="X851" i="11" s="1"/>
  <c r="N851" i="11"/>
  <c r="F851" i="11"/>
  <c r="L851" i="11"/>
  <c r="AI851" i="11"/>
  <c r="K851" i="11"/>
  <c r="I851" i="11"/>
  <c r="E851" i="11"/>
  <c r="M851" i="11"/>
  <c r="Y851" i="11" s="1"/>
  <c r="J851" i="11"/>
  <c r="AF847" i="11"/>
  <c r="H847" i="11"/>
  <c r="O847" i="11"/>
  <c r="G847" i="11"/>
  <c r="N847" i="11"/>
  <c r="F847" i="11"/>
  <c r="AI847" i="11"/>
  <c r="K847" i="11"/>
  <c r="E847" i="11"/>
  <c r="AC847" i="11"/>
  <c r="M847" i="11"/>
  <c r="AB847" i="11"/>
  <c r="L847" i="11"/>
  <c r="I847" i="11"/>
  <c r="Y847" i="11"/>
  <c r="J847" i="11"/>
  <c r="AF839" i="11"/>
  <c r="H839" i="11"/>
  <c r="O839" i="11"/>
  <c r="G839" i="11"/>
  <c r="AI839" i="11"/>
  <c r="X839" i="11" s="1"/>
  <c r="K839" i="11"/>
  <c r="AB839" i="11"/>
  <c r="AC839" i="11" s="1"/>
  <c r="N839" i="11"/>
  <c r="M839" i="11"/>
  <c r="L839" i="11"/>
  <c r="J839" i="11"/>
  <c r="I839" i="11"/>
  <c r="F839" i="11"/>
  <c r="E839" i="11"/>
  <c r="P839" i="11" s="1"/>
  <c r="AE745" i="11"/>
  <c r="W745" i="11"/>
  <c r="O745" i="11"/>
  <c r="G745" i="11"/>
  <c r="AD745" i="11"/>
  <c r="V745" i="11"/>
  <c r="N745" i="11"/>
  <c r="F745" i="11"/>
  <c r="AC745" i="11"/>
  <c r="U745" i="11"/>
  <c r="M745" i="11"/>
  <c r="E745" i="11"/>
  <c r="AB745" i="11"/>
  <c r="T745" i="11"/>
  <c r="L745" i="11"/>
  <c r="AI745" i="11"/>
  <c r="AA745" i="11"/>
  <c r="S745" i="11"/>
  <c r="K745" i="11"/>
  <c r="AH745" i="11"/>
  <c r="Z745" i="11"/>
  <c r="R745" i="11"/>
  <c r="J745" i="11"/>
  <c r="AG745" i="11"/>
  <c r="Y745" i="11"/>
  <c r="Q745" i="11"/>
  <c r="I745" i="11"/>
  <c r="H745" i="11"/>
  <c r="AF745" i="11"/>
  <c r="X745" i="11"/>
  <c r="P745" i="11"/>
  <c r="AB833" i="11"/>
  <c r="AC833" i="11" s="1"/>
  <c r="L833" i="11"/>
  <c r="K833" i="11"/>
  <c r="O833" i="11"/>
  <c r="G833" i="11"/>
  <c r="AI833" i="11" s="1"/>
  <c r="J833" i="11"/>
  <c r="I833" i="11"/>
  <c r="H833" i="11"/>
  <c r="AF833" i="11"/>
  <c r="F833" i="11"/>
  <c r="E833" i="11"/>
  <c r="P833" i="11" s="1"/>
  <c r="N833" i="11"/>
  <c r="M833" i="11"/>
  <c r="AB554" i="11"/>
  <c r="T554" i="11"/>
  <c r="L554" i="11"/>
  <c r="AI554" i="11"/>
  <c r="AA554" i="11"/>
  <c r="S554" i="11"/>
  <c r="K554" i="11"/>
  <c r="AH554" i="11"/>
  <c r="Z554" i="11"/>
  <c r="R554" i="11"/>
  <c r="J554" i="11"/>
  <c r="AE554" i="11"/>
  <c r="W554" i="11"/>
  <c r="O554" i="11"/>
  <c r="G554" i="11"/>
  <c r="AD554" i="11"/>
  <c r="V554" i="11"/>
  <c r="N554" i="11"/>
  <c r="F554" i="11"/>
  <c r="Y554" i="11"/>
  <c r="E554" i="11"/>
  <c r="X554" i="11"/>
  <c r="U554" i="11"/>
  <c r="Q554" i="11"/>
  <c r="P554" i="11"/>
  <c r="AG554" i="11"/>
  <c r="AF554" i="11"/>
  <c r="AC554" i="11"/>
  <c r="M554" i="11"/>
  <c r="I554" i="11"/>
  <c r="H554" i="11"/>
  <c r="AH595" i="11"/>
  <c r="Z595" i="11"/>
  <c r="R595" i="11"/>
  <c r="J595" i="11"/>
  <c r="AG595" i="11"/>
  <c r="Y595" i="11"/>
  <c r="Q595" i="11"/>
  <c r="I595" i="11"/>
  <c r="AF595" i="11"/>
  <c r="X595" i="11"/>
  <c r="P595" i="11"/>
  <c r="H595" i="11"/>
  <c r="AE595" i="11"/>
  <c r="W595" i="11"/>
  <c r="O595" i="11"/>
  <c r="G595" i="11"/>
  <c r="AC595" i="11"/>
  <c r="U595" i="11"/>
  <c r="M595" i="11"/>
  <c r="E595" i="11"/>
  <c r="AB595" i="11"/>
  <c r="T595" i="11"/>
  <c r="L595" i="11"/>
  <c r="N595" i="11"/>
  <c r="K595" i="11"/>
  <c r="F595" i="11"/>
  <c r="AI595" i="11"/>
  <c r="AD595" i="11"/>
  <c r="AA595" i="11"/>
  <c r="S595" i="11"/>
  <c r="V595" i="11"/>
  <c r="L630" i="11"/>
  <c r="AB630" i="11" s="1"/>
  <c r="AC630" i="11" s="1"/>
  <c r="AI630" i="11"/>
  <c r="K630" i="11"/>
  <c r="J630" i="11"/>
  <c r="I630" i="11"/>
  <c r="AF630" i="11"/>
  <c r="H630" i="11"/>
  <c r="O630" i="11"/>
  <c r="G630" i="11"/>
  <c r="N630" i="11"/>
  <c r="F630" i="11"/>
  <c r="Q630" i="11" s="1"/>
  <c r="M630" i="11"/>
  <c r="E630" i="11"/>
  <c r="AB666" i="11"/>
  <c r="T666" i="11"/>
  <c r="L666" i="11"/>
  <c r="AI666" i="11"/>
  <c r="AA666" i="11"/>
  <c r="S666" i="11"/>
  <c r="K666" i="11"/>
  <c r="AH666" i="11"/>
  <c r="Z666" i="11"/>
  <c r="R666" i="11"/>
  <c r="J666" i="11"/>
  <c r="AG666" i="11"/>
  <c r="Y666" i="11"/>
  <c r="Q666" i="11"/>
  <c r="I666" i="11"/>
  <c r="AF666" i="11"/>
  <c r="X666" i="11"/>
  <c r="P666" i="11"/>
  <c r="H666" i="11"/>
  <c r="AE666" i="11"/>
  <c r="W666" i="11"/>
  <c r="O666" i="11"/>
  <c r="G666" i="11"/>
  <c r="AD666" i="11"/>
  <c r="V666" i="11"/>
  <c r="N666" i="11"/>
  <c r="F666" i="11"/>
  <c r="AC666" i="11"/>
  <c r="U666" i="11"/>
  <c r="M666" i="11"/>
  <c r="E666" i="11"/>
  <c r="AG712" i="11"/>
  <c r="Y712" i="11"/>
  <c r="Q712" i="11"/>
  <c r="I712" i="11"/>
  <c r="AF712" i="11"/>
  <c r="X712" i="11"/>
  <c r="P712" i="11"/>
  <c r="H712" i="11"/>
  <c r="AE712" i="11"/>
  <c r="W712" i="11"/>
  <c r="O712" i="11"/>
  <c r="G712" i="11"/>
  <c r="AD712" i="11"/>
  <c r="V712" i="11"/>
  <c r="N712" i="11"/>
  <c r="F712" i="11"/>
  <c r="AC712" i="11"/>
  <c r="U712" i="11"/>
  <c r="M712" i="11"/>
  <c r="E712" i="11"/>
  <c r="AB712" i="11"/>
  <c r="T712" i="11"/>
  <c r="L712" i="11"/>
  <c r="AH712" i="11"/>
  <c r="AA712" i="11"/>
  <c r="Z712" i="11"/>
  <c r="S712" i="11"/>
  <c r="R712" i="11"/>
  <c r="K712" i="11"/>
  <c r="J712" i="11"/>
  <c r="AI712" i="11"/>
  <c r="AF536" i="11"/>
  <c r="X536" i="11"/>
  <c r="P536" i="11"/>
  <c r="H536" i="11"/>
  <c r="AE536" i="11"/>
  <c r="W536" i="11"/>
  <c r="O536" i="11"/>
  <c r="G536" i="11"/>
  <c r="AD536" i="11"/>
  <c r="V536" i="11"/>
  <c r="N536" i="11"/>
  <c r="F536" i="11"/>
  <c r="AB536" i="11"/>
  <c r="T536" i="11"/>
  <c r="L536" i="11"/>
  <c r="AA536" i="11"/>
  <c r="K536" i="11"/>
  <c r="Z536" i="11"/>
  <c r="J536" i="11"/>
  <c r="Y536" i="11"/>
  <c r="I536" i="11"/>
  <c r="U536" i="11"/>
  <c r="E536" i="11"/>
  <c r="AI536" i="11"/>
  <c r="S536" i="11"/>
  <c r="AG536" i="11"/>
  <c r="AC536" i="11"/>
  <c r="R536" i="11"/>
  <c r="Q536" i="11"/>
  <c r="M536" i="11"/>
  <c r="AH536" i="11"/>
  <c r="AD613" i="11"/>
  <c r="V613" i="11"/>
  <c r="N613" i="11"/>
  <c r="F613" i="11"/>
  <c r="AC613" i="11"/>
  <c r="U613" i="11"/>
  <c r="M613" i="11"/>
  <c r="E613" i="11"/>
  <c r="AB613" i="11"/>
  <c r="T613" i="11"/>
  <c r="L613" i="11"/>
  <c r="AI613" i="11"/>
  <c r="AA613" i="11"/>
  <c r="S613" i="11"/>
  <c r="K613" i="11"/>
  <c r="AG613" i="11"/>
  <c r="Y613" i="11"/>
  <c r="Q613" i="11"/>
  <c r="I613" i="11"/>
  <c r="AF613" i="11"/>
  <c r="X613" i="11"/>
  <c r="P613" i="11"/>
  <c r="H613" i="11"/>
  <c r="AE613" i="11"/>
  <c r="Z613" i="11"/>
  <c r="W613" i="11"/>
  <c r="R613" i="11"/>
  <c r="O613" i="11"/>
  <c r="AH613" i="11"/>
  <c r="J613" i="11"/>
  <c r="G613" i="11"/>
  <c r="M387" i="11"/>
  <c r="E387" i="11"/>
  <c r="L387" i="11"/>
  <c r="J387" i="11"/>
  <c r="I387" i="11"/>
  <c r="G387" i="11"/>
  <c r="F387" i="11"/>
  <c r="AF387" i="11"/>
  <c r="O387" i="11"/>
  <c r="N387" i="11"/>
  <c r="K387" i="11"/>
  <c r="H387" i="11"/>
  <c r="AB387" i="11" s="1"/>
  <c r="AC387" i="11" s="1"/>
  <c r="AF548" i="11"/>
  <c r="X548" i="11"/>
  <c r="AE548" i="11"/>
  <c r="W548" i="11"/>
  <c r="AD548" i="11"/>
  <c r="V548" i="11"/>
  <c r="AI548" i="11"/>
  <c r="AA548" i="11"/>
  <c r="S548" i="11"/>
  <c r="AH548" i="11"/>
  <c r="Z548" i="11"/>
  <c r="R548" i="11"/>
  <c r="P548" i="11"/>
  <c r="H548" i="11"/>
  <c r="AG548" i="11"/>
  <c r="O548" i="11"/>
  <c r="G548" i="11"/>
  <c r="AC548" i="11"/>
  <c r="N548" i="11"/>
  <c r="F548" i="11"/>
  <c r="AB548" i="11"/>
  <c r="M548" i="11"/>
  <c r="E548" i="11"/>
  <c r="Y548" i="11"/>
  <c r="L548" i="11"/>
  <c r="U548" i="11"/>
  <c r="T548" i="11"/>
  <c r="Q548" i="11"/>
  <c r="K548" i="11"/>
  <c r="J548" i="11"/>
  <c r="I548" i="11"/>
  <c r="AG740" i="11"/>
  <c r="Y740" i="11"/>
  <c r="Q740" i="11"/>
  <c r="I740" i="11"/>
  <c r="AF740" i="11"/>
  <c r="X740" i="11"/>
  <c r="P740" i="11"/>
  <c r="H740" i="11"/>
  <c r="AE740" i="11"/>
  <c r="W740" i="11"/>
  <c r="O740" i="11"/>
  <c r="G740" i="11"/>
  <c r="AD740" i="11"/>
  <c r="V740" i="11"/>
  <c r="N740" i="11"/>
  <c r="F740" i="11"/>
  <c r="AC740" i="11"/>
  <c r="U740" i="11"/>
  <c r="M740" i="11"/>
  <c r="E740" i="11"/>
  <c r="AB740" i="11"/>
  <c r="T740" i="11"/>
  <c r="L740" i="11"/>
  <c r="AI740" i="11"/>
  <c r="AA740" i="11"/>
  <c r="S740" i="11"/>
  <c r="K740" i="11"/>
  <c r="AH740" i="11"/>
  <c r="Z740" i="11"/>
  <c r="R740" i="11"/>
  <c r="J740" i="11"/>
  <c r="M270" i="11"/>
  <c r="E270" i="11"/>
  <c r="Q270" i="11" s="1"/>
  <c r="L270" i="11"/>
  <c r="AB270" i="11" s="1"/>
  <c r="AC270" i="11" s="1"/>
  <c r="J270" i="11"/>
  <c r="AF270" i="11"/>
  <c r="H270" i="11"/>
  <c r="O270" i="11"/>
  <c r="N270" i="11"/>
  <c r="K270" i="11"/>
  <c r="I270" i="11"/>
  <c r="G270" i="11"/>
  <c r="F270" i="11"/>
  <c r="AC326" i="11"/>
  <c r="U326" i="11"/>
  <c r="M326" i="11"/>
  <c r="E326" i="11"/>
  <c r="AB326" i="11"/>
  <c r="T326" i="11"/>
  <c r="L326" i="11"/>
  <c r="AI326" i="11"/>
  <c r="AA326" i="11"/>
  <c r="S326" i="11"/>
  <c r="K326" i="11"/>
  <c r="AH326" i="11"/>
  <c r="Z326" i="11"/>
  <c r="R326" i="11"/>
  <c r="J326" i="11"/>
  <c r="AF326" i="11"/>
  <c r="X326" i="11"/>
  <c r="P326" i="11"/>
  <c r="H326" i="11"/>
  <c r="AD326" i="11"/>
  <c r="G326" i="11"/>
  <c r="Y326" i="11"/>
  <c r="F326" i="11"/>
  <c r="W326" i="11"/>
  <c r="V326" i="11"/>
  <c r="Q326" i="11"/>
  <c r="O326" i="11"/>
  <c r="AG326" i="11"/>
  <c r="AE326" i="11"/>
  <c r="N326" i="11"/>
  <c r="I326" i="11"/>
  <c r="AC222" i="11"/>
  <c r="U222" i="11"/>
  <c r="M222" i="11"/>
  <c r="E222" i="11"/>
  <c r="AB222" i="11"/>
  <c r="T222" i="11"/>
  <c r="L222" i="11"/>
  <c r="AA222" i="11"/>
  <c r="Q222" i="11"/>
  <c r="G222" i="11"/>
  <c r="Z222" i="11"/>
  <c r="P222" i="11"/>
  <c r="F222" i="11"/>
  <c r="AI222" i="11"/>
  <c r="Y222" i="11"/>
  <c r="O222" i="11"/>
  <c r="AH222" i="11"/>
  <c r="X222" i="11"/>
  <c r="N222" i="11"/>
  <c r="AG222" i="11"/>
  <c r="W222" i="11"/>
  <c r="K222" i="11"/>
  <c r="AF222" i="11"/>
  <c r="V222" i="11"/>
  <c r="J222" i="11"/>
  <c r="AD222" i="11"/>
  <c r="S222" i="11"/>
  <c r="R222" i="11"/>
  <c r="I222" i="11"/>
  <c r="H222" i="11"/>
  <c r="AE222" i="11"/>
  <c r="Q377" i="11"/>
  <c r="I377" i="11"/>
  <c r="AF377" i="11"/>
  <c r="P377" i="11"/>
  <c r="H377" i="11"/>
  <c r="N377" i="11"/>
  <c r="F377" i="11"/>
  <c r="M377" i="11"/>
  <c r="AB377" i="11" s="1"/>
  <c r="AC377" i="11" s="1"/>
  <c r="E377" i="11"/>
  <c r="O377" i="11"/>
  <c r="L377" i="11"/>
  <c r="K377" i="11"/>
  <c r="J377" i="11"/>
  <c r="G377" i="11"/>
  <c r="R377" i="11"/>
  <c r="AF1413" i="11"/>
  <c r="X1413" i="11"/>
  <c r="P1413" i="11"/>
  <c r="H1413" i="11"/>
  <c r="AE1413" i="11"/>
  <c r="W1413" i="11"/>
  <c r="O1413" i="11"/>
  <c r="G1413" i="11"/>
  <c r="AD1413" i="11"/>
  <c r="V1413" i="11"/>
  <c r="N1413" i="11"/>
  <c r="F1413" i="11"/>
  <c r="AH1413" i="11"/>
  <c r="T1413" i="11"/>
  <c r="I1413" i="11"/>
  <c r="AG1413" i="11"/>
  <c r="S1413" i="11"/>
  <c r="E1413" i="11"/>
  <c r="AC1413" i="11"/>
  <c r="R1413" i="11"/>
  <c r="AB1413" i="11"/>
  <c r="Q1413" i="11"/>
  <c r="AA1413" i="11"/>
  <c r="M1413" i="11"/>
  <c r="AI1413" i="11"/>
  <c r="Z1413" i="11"/>
  <c r="Y1413" i="11"/>
  <c r="U1413" i="11"/>
  <c r="L1413" i="11"/>
  <c r="K1413" i="11"/>
  <c r="J1413" i="11"/>
  <c r="AD1390" i="11"/>
  <c r="V1390" i="11"/>
  <c r="N1390" i="11"/>
  <c r="F1390" i="11"/>
  <c r="AC1390" i="11"/>
  <c r="U1390" i="11"/>
  <c r="M1390" i="11"/>
  <c r="E1390" i="11"/>
  <c r="Z1390" i="11"/>
  <c r="P1390" i="11"/>
  <c r="AI1390" i="11"/>
  <c r="Y1390" i="11"/>
  <c r="O1390" i="11"/>
  <c r="X1390" i="11"/>
  <c r="J1390" i="11"/>
  <c r="W1390" i="11"/>
  <c r="I1390" i="11"/>
  <c r="AH1390" i="11"/>
  <c r="T1390" i="11"/>
  <c r="H1390" i="11"/>
  <c r="AF1390" i="11"/>
  <c r="R1390" i="11"/>
  <c r="AE1390" i="11"/>
  <c r="Q1390" i="11"/>
  <c r="AG1390" i="11"/>
  <c r="AB1390" i="11"/>
  <c r="AA1390" i="11"/>
  <c r="S1390" i="11"/>
  <c r="L1390" i="11"/>
  <c r="K1390" i="11"/>
  <c r="G1390" i="11"/>
  <c r="AE1378" i="11"/>
  <c r="W1378" i="11"/>
  <c r="O1378" i="11"/>
  <c r="G1378" i="11"/>
  <c r="AD1378" i="11"/>
  <c r="V1378" i="11"/>
  <c r="Z1378" i="11"/>
  <c r="P1378" i="11"/>
  <c r="F1378" i="11"/>
  <c r="AG1378" i="11"/>
  <c r="U1378" i="11"/>
  <c r="L1378" i="11"/>
  <c r="X1378" i="11"/>
  <c r="J1378" i="11"/>
  <c r="AI1378" i="11"/>
  <c r="T1378" i="11"/>
  <c r="I1378" i="11"/>
  <c r="AH1378" i="11"/>
  <c r="S1378" i="11"/>
  <c r="H1378" i="11"/>
  <c r="AF1378" i="11"/>
  <c r="R1378" i="11"/>
  <c r="E1378" i="11"/>
  <c r="AC1378" i="11"/>
  <c r="Q1378" i="11"/>
  <c r="AA1378" i="11"/>
  <c r="M1378" i="11"/>
  <c r="AB1378" i="11"/>
  <c r="Y1378" i="11"/>
  <c r="N1378" i="11"/>
  <c r="K1378" i="11"/>
  <c r="AG1339" i="11"/>
  <c r="Y1339" i="11"/>
  <c r="Q1339" i="11"/>
  <c r="I1339" i="11"/>
  <c r="AF1339" i="11"/>
  <c r="X1339" i="11"/>
  <c r="P1339" i="11"/>
  <c r="H1339" i="11"/>
  <c r="AC1339" i="11"/>
  <c r="U1339" i="11"/>
  <c r="M1339" i="11"/>
  <c r="E1339" i="11"/>
  <c r="AB1339" i="11"/>
  <c r="T1339" i="11"/>
  <c r="L1339" i="11"/>
  <c r="W1339" i="11"/>
  <c r="G1339" i="11"/>
  <c r="V1339" i="11"/>
  <c r="F1339" i="11"/>
  <c r="AI1339" i="11"/>
  <c r="S1339" i="11"/>
  <c r="AH1339" i="11"/>
  <c r="R1339" i="11"/>
  <c r="AE1339" i="11"/>
  <c r="O1339" i="11"/>
  <c r="AD1339" i="11"/>
  <c r="AA1339" i="11"/>
  <c r="Z1339" i="11"/>
  <c r="N1339" i="11"/>
  <c r="K1339" i="11"/>
  <c r="J1339" i="11"/>
  <c r="AC1315" i="11"/>
  <c r="U1315" i="11"/>
  <c r="M1315" i="11"/>
  <c r="E1315" i="11"/>
  <c r="AB1315" i="11"/>
  <c r="T1315" i="11"/>
  <c r="L1315" i="11"/>
  <c r="AI1315" i="11"/>
  <c r="AA1315" i="11"/>
  <c r="S1315" i="11"/>
  <c r="K1315" i="11"/>
  <c r="AG1315" i="11"/>
  <c r="Y1315" i="11"/>
  <c r="Q1315" i="11"/>
  <c r="I1315" i="11"/>
  <c r="AE1315" i="11"/>
  <c r="O1315" i="11"/>
  <c r="AD1315" i="11"/>
  <c r="N1315" i="11"/>
  <c r="Z1315" i="11"/>
  <c r="J1315" i="11"/>
  <c r="X1315" i="11"/>
  <c r="H1315" i="11"/>
  <c r="W1315" i="11"/>
  <c r="G1315" i="11"/>
  <c r="V1315" i="11"/>
  <c r="F1315" i="11"/>
  <c r="AH1315" i="11"/>
  <c r="R1315" i="11"/>
  <c r="P1315" i="11"/>
  <c r="AF1315" i="11"/>
  <c r="AD1287" i="11"/>
  <c r="V1287" i="11"/>
  <c r="N1287" i="11"/>
  <c r="F1287" i="11"/>
  <c r="AC1287" i="11"/>
  <c r="U1287" i="11"/>
  <c r="M1287" i="11"/>
  <c r="E1287" i="11"/>
  <c r="AB1287" i="11"/>
  <c r="T1287" i="11"/>
  <c r="L1287" i="11"/>
  <c r="AH1287" i="11"/>
  <c r="Z1287" i="11"/>
  <c r="R1287" i="11"/>
  <c r="J1287" i="11"/>
  <c r="X1287" i="11"/>
  <c r="H1287" i="11"/>
  <c r="W1287" i="11"/>
  <c r="G1287" i="11"/>
  <c r="AI1287" i="11"/>
  <c r="S1287" i="11"/>
  <c r="AG1287" i="11"/>
  <c r="Q1287" i="11"/>
  <c r="AF1287" i="11"/>
  <c r="P1287" i="11"/>
  <c r="Y1287" i="11"/>
  <c r="O1287" i="11"/>
  <c r="K1287" i="11"/>
  <c r="I1287" i="11"/>
  <c r="AE1287" i="11"/>
  <c r="AA1287" i="11"/>
  <c r="AH1273" i="11"/>
  <c r="Z1273" i="11"/>
  <c r="R1273" i="11"/>
  <c r="J1273" i="11"/>
  <c r="AA1273" i="11"/>
  <c r="Q1273" i="11"/>
  <c r="H1273" i="11"/>
  <c r="AI1273" i="11"/>
  <c r="Y1273" i="11"/>
  <c r="P1273" i="11"/>
  <c r="G1273" i="11"/>
  <c r="AG1273" i="11"/>
  <c r="X1273" i="11"/>
  <c r="O1273" i="11"/>
  <c r="F1273" i="11"/>
  <c r="AF1273" i="11"/>
  <c r="W1273" i="11"/>
  <c r="N1273" i="11"/>
  <c r="E1273" i="11"/>
  <c r="AE1273" i="11"/>
  <c r="V1273" i="11"/>
  <c r="M1273" i="11"/>
  <c r="AD1273" i="11"/>
  <c r="I1273" i="11"/>
  <c r="AC1273" i="11"/>
  <c r="AB1273" i="11"/>
  <c r="U1273" i="11"/>
  <c r="T1273" i="11"/>
  <c r="S1273" i="11"/>
  <c r="L1273" i="11"/>
  <c r="K1273" i="11"/>
  <c r="AD1267" i="11"/>
  <c r="V1267" i="11"/>
  <c r="N1267" i="11"/>
  <c r="F1267" i="11"/>
  <c r="AF1267" i="11"/>
  <c r="W1267" i="11"/>
  <c r="M1267" i="11"/>
  <c r="AE1267" i="11"/>
  <c r="U1267" i="11"/>
  <c r="L1267" i="11"/>
  <c r="AC1267" i="11"/>
  <c r="T1267" i="11"/>
  <c r="K1267" i="11"/>
  <c r="AB1267" i="11"/>
  <c r="S1267" i="11"/>
  <c r="J1267" i="11"/>
  <c r="AA1267" i="11"/>
  <c r="R1267" i="11"/>
  <c r="I1267" i="11"/>
  <c r="P1267" i="11"/>
  <c r="AI1267" i="11"/>
  <c r="O1267" i="11"/>
  <c r="AH1267" i="11"/>
  <c r="H1267" i="11"/>
  <c r="AG1267" i="11"/>
  <c r="G1267" i="11"/>
  <c r="Z1267" i="11"/>
  <c r="E1267" i="11"/>
  <c r="Y1267" i="11"/>
  <c r="X1267" i="11"/>
  <c r="Q1267" i="11"/>
  <c r="AC1161" i="11"/>
  <c r="U1161" i="11"/>
  <c r="M1161" i="11"/>
  <c r="E1161" i="11"/>
  <c r="AB1161" i="11"/>
  <c r="T1161" i="11"/>
  <c r="L1161" i="11"/>
  <c r="AI1161" i="11"/>
  <c r="AA1161" i="11"/>
  <c r="S1161" i="11"/>
  <c r="K1161" i="11"/>
  <c r="AG1161" i="11"/>
  <c r="Y1161" i="11"/>
  <c r="Q1161" i="11"/>
  <c r="I1161" i="11"/>
  <c r="AH1161" i="11"/>
  <c r="R1161" i="11"/>
  <c r="AF1161" i="11"/>
  <c r="P1161" i="11"/>
  <c r="AE1161" i="11"/>
  <c r="O1161" i="11"/>
  <c r="AD1161" i="11"/>
  <c r="N1161" i="11"/>
  <c r="Z1161" i="11"/>
  <c r="J1161" i="11"/>
  <c r="X1161" i="11"/>
  <c r="H1161" i="11"/>
  <c r="W1161" i="11"/>
  <c r="G1161" i="11"/>
  <c r="F1161" i="11"/>
  <c r="V1161" i="11"/>
  <c r="AE1180" i="11"/>
  <c r="W1180" i="11"/>
  <c r="O1180" i="11"/>
  <c r="G1180" i="11"/>
  <c r="AD1180" i="11"/>
  <c r="V1180" i="11"/>
  <c r="N1180" i="11"/>
  <c r="F1180" i="11"/>
  <c r="AC1180" i="11"/>
  <c r="U1180" i="11"/>
  <c r="M1180" i="11"/>
  <c r="E1180" i="11"/>
  <c r="AB1180" i="11"/>
  <c r="T1180" i="11"/>
  <c r="L1180" i="11"/>
  <c r="AI1180" i="11"/>
  <c r="AA1180" i="11"/>
  <c r="S1180" i="11"/>
  <c r="K1180" i="11"/>
  <c r="AF1180" i="11"/>
  <c r="I1180" i="11"/>
  <c r="Z1180" i="11"/>
  <c r="H1180" i="11"/>
  <c r="Y1180" i="11"/>
  <c r="X1180" i="11"/>
  <c r="R1180" i="11"/>
  <c r="Q1180" i="11"/>
  <c r="AH1180" i="11"/>
  <c r="P1180" i="11"/>
  <c r="AG1180" i="11"/>
  <c r="J1180" i="11"/>
  <c r="AC1173" i="11"/>
  <c r="U1173" i="11"/>
  <c r="M1173" i="11"/>
  <c r="E1173" i="11"/>
  <c r="AB1173" i="11"/>
  <c r="T1173" i="11"/>
  <c r="L1173" i="11"/>
  <c r="AI1173" i="11"/>
  <c r="AA1173" i="11"/>
  <c r="S1173" i="11"/>
  <c r="K1173" i="11"/>
  <c r="AH1173" i="11"/>
  <c r="Z1173" i="11"/>
  <c r="R1173" i="11"/>
  <c r="J1173" i="11"/>
  <c r="AG1173" i="11"/>
  <c r="Y1173" i="11"/>
  <c r="Q1173" i="11"/>
  <c r="I1173" i="11"/>
  <c r="AF1173" i="11"/>
  <c r="N1173" i="11"/>
  <c r="AE1173" i="11"/>
  <c r="H1173" i="11"/>
  <c r="AD1173" i="11"/>
  <c r="G1173" i="11"/>
  <c r="X1173" i="11"/>
  <c r="F1173" i="11"/>
  <c r="W1173" i="11"/>
  <c r="V1173" i="11"/>
  <c r="P1173" i="11"/>
  <c r="O1173" i="11"/>
  <c r="AI1226" i="11"/>
  <c r="AA1226" i="11"/>
  <c r="S1226" i="11"/>
  <c r="K1226" i="11"/>
  <c r="AG1226" i="11"/>
  <c r="Y1226" i="11"/>
  <c r="Q1226" i="11"/>
  <c r="I1226" i="11"/>
  <c r="AE1226" i="11"/>
  <c r="W1226" i="11"/>
  <c r="O1226" i="11"/>
  <c r="G1226" i="11"/>
  <c r="AH1226" i="11"/>
  <c r="U1226" i="11"/>
  <c r="H1226" i="11"/>
  <c r="AF1226" i="11"/>
  <c r="T1226" i="11"/>
  <c r="F1226" i="11"/>
  <c r="AD1226" i="11"/>
  <c r="R1226" i="11"/>
  <c r="E1226" i="11"/>
  <c r="AC1226" i="11"/>
  <c r="P1226" i="11"/>
  <c r="AB1226" i="11"/>
  <c r="N1226" i="11"/>
  <c r="Z1226" i="11"/>
  <c r="X1226" i="11"/>
  <c r="V1226" i="11"/>
  <c r="M1226" i="11"/>
  <c r="L1226" i="11"/>
  <c r="J1226" i="11"/>
  <c r="AF1099" i="11"/>
  <c r="X1099" i="11"/>
  <c r="P1099" i="11"/>
  <c r="H1099" i="11"/>
  <c r="AE1099" i="11"/>
  <c r="W1099" i="11"/>
  <c r="O1099" i="11"/>
  <c r="G1099" i="11"/>
  <c r="AD1099" i="11"/>
  <c r="V1099" i="11"/>
  <c r="N1099" i="11"/>
  <c r="F1099" i="11"/>
  <c r="AC1099" i="11"/>
  <c r="U1099" i="11"/>
  <c r="M1099" i="11"/>
  <c r="E1099" i="11"/>
  <c r="AB1099" i="11"/>
  <c r="T1099" i="11"/>
  <c r="L1099" i="11"/>
  <c r="AH1099" i="11"/>
  <c r="Z1099" i="11"/>
  <c r="R1099" i="11"/>
  <c r="J1099" i="11"/>
  <c r="I1099" i="11"/>
  <c r="AI1099" i="11"/>
  <c r="AG1099" i="11"/>
  <c r="AA1099" i="11"/>
  <c r="Y1099" i="11"/>
  <c r="S1099" i="11"/>
  <c r="Q1099" i="11"/>
  <c r="K1099" i="11"/>
  <c r="AG1129" i="11"/>
  <c r="Y1129" i="11"/>
  <c r="Q1129" i="11"/>
  <c r="I1129" i="11"/>
  <c r="AF1129" i="11"/>
  <c r="X1129" i="11"/>
  <c r="P1129" i="11"/>
  <c r="H1129" i="11"/>
  <c r="AE1129" i="11"/>
  <c r="W1129" i="11"/>
  <c r="O1129" i="11"/>
  <c r="G1129" i="11"/>
  <c r="AD1129" i="11"/>
  <c r="S1129" i="11"/>
  <c r="E1129" i="11"/>
  <c r="AC1129" i="11"/>
  <c r="R1129" i="11"/>
  <c r="AB1129" i="11"/>
  <c r="N1129" i="11"/>
  <c r="AA1129" i="11"/>
  <c r="M1129" i="11"/>
  <c r="Z1129" i="11"/>
  <c r="L1129" i="11"/>
  <c r="V1129" i="11"/>
  <c r="K1129" i="11"/>
  <c r="AI1129" i="11"/>
  <c r="U1129" i="11"/>
  <c r="J1129" i="11"/>
  <c r="T1129" i="11"/>
  <c r="F1129" i="11"/>
  <c r="AH1129" i="11"/>
  <c r="AH1090" i="11"/>
  <c r="Z1090" i="11"/>
  <c r="R1090" i="11"/>
  <c r="J1090" i="11"/>
  <c r="AG1090" i="11"/>
  <c r="Y1090" i="11"/>
  <c r="Q1090" i="11"/>
  <c r="I1090" i="11"/>
  <c r="AF1090" i="11"/>
  <c r="X1090" i="11"/>
  <c r="P1090" i="11"/>
  <c r="H1090" i="11"/>
  <c r="AE1090" i="11"/>
  <c r="W1090" i="11"/>
  <c r="O1090" i="11"/>
  <c r="G1090" i="11"/>
  <c r="AD1090" i="11"/>
  <c r="V1090" i="11"/>
  <c r="N1090" i="11"/>
  <c r="F1090" i="11"/>
  <c r="AB1090" i="11"/>
  <c r="T1090" i="11"/>
  <c r="L1090" i="11"/>
  <c r="M1090" i="11"/>
  <c r="K1090" i="11"/>
  <c r="E1090" i="11"/>
  <c r="AI1090" i="11"/>
  <c r="AC1090" i="11"/>
  <c r="AA1090" i="11"/>
  <c r="U1090" i="11"/>
  <c r="S1090" i="11"/>
  <c r="AB1093" i="11"/>
  <c r="T1093" i="11"/>
  <c r="L1093" i="11"/>
  <c r="AI1093" i="11"/>
  <c r="AA1093" i="11"/>
  <c r="S1093" i="11"/>
  <c r="K1093" i="11"/>
  <c r="AH1093" i="11"/>
  <c r="Z1093" i="11"/>
  <c r="R1093" i="11"/>
  <c r="J1093" i="11"/>
  <c r="AG1093" i="11"/>
  <c r="Y1093" i="11"/>
  <c r="Q1093" i="11"/>
  <c r="I1093" i="11"/>
  <c r="AF1093" i="11"/>
  <c r="X1093" i="11"/>
  <c r="P1093" i="11"/>
  <c r="H1093" i="11"/>
  <c r="AD1093" i="11"/>
  <c r="V1093" i="11"/>
  <c r="N1093" i="11"/>
  <c r="F1093" i="11"/>
  <c r="U1093" i="11"/>
  <c r="O1093" i="11"/>
  <c r="M1093" i="11"/>
  <c r="G1093" i="11"/>
  <c r="E1093" i="11"/>
  <c r="AE1093" i="11"/>
  <c r="AC1093" i="11"/>
  <c r="W1093" i="11"/>
  <c r="AD1100" i="11"/>
  <c r="V1100" i="11"/>
  <c r="N1100" i="11"/>
  <c r="F1100" i="11"/>
  <c r="AC1100" i="11"/>
  <c r="U1100" i="11"/>
  <c r="M1100" i="11"/>
  <c r="E1100" i="11"/>
  <c r="AB1100" i="11"/>
  <c r="T1100" i="11"/>
  <c r="L1100" i="11"/>
  <c r="AI1100" i="11"/>
  <c r="AA1100" i="11"/>
  <c r="S1100" i="11"/>
  <c r="K1100" i="11"/>
  <c r="AH1100" i="11"/>
  <c r="Z1100" i="11"/>
  <c r="R1100" i="11"/>
  <c r="J1100" i="11"/>
  <c r="AF1100" i="11"/>
  <c r="X1100" i="11"/>
  <c r="P1100" i="11"/>
  <c r="H1100" i="11"/>
  <c r="AE1100" i="11"/>
  <c r="Y1100" i="11"/>
  <c r="W1100" i="11"/>
  <c r="Q1100" i="11"/>
  <c r="O1100" i="11"/>
  <c r="I1100" i="11"/>
  <c r="G1100" i="11"/>
  <c r="AG1100" i="11"/>
  <c r="N989" i="11"/>
  <c r="F989" i="11"/>
  <c r="Q989" i="11" s="1"/>
  <c r="M989" i="11"/>
  <c r="E989" i="11"/>
  <c r="AB989" i="11"/>
  <c r="AC989" i="11" s="1"/>
  <c r="L989" i="11"/>
  <c r="AI989" i="11"/>
  <c r="K989" i="11"/>
  <c r="Y989" i="11"/>
  <c r="I989" i="11"/>
  <c r="AF989" i="11"/>
  <c r="H989" i="11"/>
  <c r="O989" i="11"/>
  <c r="J989" i="11"/>
  <c r="G989" i="11"/>
  <c r="N973" i="11"/>
  <c r="F973" i="11"/>
  <c r="M973" i="11"/>
  <c r="E973" i="11"/>
  <c r="L973" i="11"/>
  <c r="AI973" i="11"/>
  <c r="R973" i="11" s="1"/>
  <c r="K973" i="11"/>
  <c r="H973" i="11"/>
  <c r="AB973" i="11" s="1"/>
  <c r="AC973" i="11" s="1"/>
  <c r="G973" i="11"/>
  <c r="Q973" i="11" s="1"/>
  <c r="AF973" i="11"/>
  <c r="P973" i="11"/>
  <c r="AD973" i="11" s="1"/>
  <c r="O973" i="11"/>
  <c r="J973" i="11"/>
  <c r="I973" i="11"/>
  <c r="N965" i="11"/>
  <c r="F965" i="11"/>
  <c r="M965" i="11"/>
  <c r="E965" i="11"/>
  <c r="L965" i="11"/>
  <c r="AB965" i="11" s="1"/>
  <c r="AC965" i="11" s="1"/>
  <c r="J965" i="11"/>
  <c r="I965" i="11"/>
  <c r="H965" i="11"/>
  <c r="G965" i="11"/>
  <c r="AI965" i="11" s="1"/>
  <c r="AF965" i="11"/>
  <c r="P965" i="11"/>
  <c r="O965" i="11"/>
  <c r="K965" i="11"/>
  <c r="I894" i="11"/>
  <c r="AB894" i="11" s="1"/>
  <c r="AC894" i="11" s="1"/>
  <c r="L894" i="11"/>
  <c r="O894" i="11"/>
  <c r="E894" i="11"/>
  <c r="Q894" i="11" s="1"/>
  <c r="N894" i="11"/>
  <c r="M894" i="11"/>
  <c r="K894" i="11"/>
  <c r="AF894" i="11"/>
  <c r="J894" i="11"/>
  <c r="H894" i="11"/>
  <c r="G894" i="11"/>
  <c r="F894" i="11"/>
  <c r="M912" i="11"/>
  <c r="E912" i="11"/>
  <c r="AB912" i="11"/>
  <c r="AC912" i="11" s="1"/>
  <c r="L912" i="11"/>
  <c r="K912" i="11"/>
  <c r="I912" i="11"/>
  <c r="AF912" i="11"/>
  <c r="H912" i="11"/>
  <c r="G912" i="11"/>
  <c r="Q912" i="11" s="1"/>
  <c r="F912" i="11"/>
  <c r="O912" i="11"/>
  <c r="N912" i="11"/>
  <c r="J912" i="11"/>
  <c r="I934" i="11"/>
  <c r="AF934" i="11"/>
  <c r="H934" i="11"/>
  <c r="AB934" i="11" s="1"/>
  <c r="AC934" i="11" s="1"/>
  <c r="O934" i="11"/>
  <c r="G934" i="11"/>
  <c r="Q934" i="11" s="1"/>
  <c r="M934" i="11"/>
  <c r="E934" i="11"/>
  <c r="L934" i="11"/>
  <c r="AI934" i="11"/>
  <c r="Y934" i="11" s="1"/>
  <c r="N934" i="11"/>
  <c r="K934" i="11"/>
  <c r="J934" i="11"/>
  <c r="F934" i="11"/>
  <c r="P934" i="11" s="1"/>
  <c r="Q922" i="11"/>
  <c r="I922" i="11"/>
  <c r="AF922" i="11"/>
  <c r="P922" i="11"/>
  <c r="H922" i="11"/>
  <c r="O922" i="11"/>
  <c r="G922" i="11"/>
  <c r="M922" i="11"/>
  <c r="AB922" i="11" s="1"/>
  <c r="AC922" i="11" s="1"/>
  <c r="E922" i="11"/>
  <c r="L922" i="11"/>
  <c r="AI922" i="11"/>
  <c r="Y922" i="11" s="1"/>
  <c r="N922" i="11"/>
  <c r="K922" i="11"/>
  <c r="J922" i="11"/>
  <c r="F922" i="11"/>
  <c r="L881" i="11"/>
  <c r="AB881" i="11" s="1"/>
  <c r="AC881" i="11" s="1"/>
  <c r="K881" i="11"/>
  <c r="J881" i="11"/>
  <c r="I881" i="11"/>
  <c r="AF881" i="11"/>
  <c r="H881" i="11"/>
  <c r="O881" i="11"/>
  <c r="G881" i="11"/>
  <c r="N881" i="11"/>
  <c r="M881" i="11"/>
  <c r="F881" i="11"/>
  <c r="E881" i="11"/>
  <c r="M948" i="11"/>
  <c r="AB948" i="11" s="1"/>
  <c r="AC948" i="11" s="1"/>
  <c r="E948" i="11"/>
  <c r="L948" i="11"/>
  <c r="AI948" i="11"/>
  <c r="K948" i="11"/>
  <c r="J948" i="11"/>
  <c r="Y948" i="11"/>
  <c r="I948" i="11"/>
  <c r="AF948" i="11"/>
  <c r="H948" i="11"/>
  <c r="O948" i="11"/>
  <c r="N948" i="11"/>
  <c r="G948" i="11"/>
  <c r="F948" i="11"/>
  <c r="L775" i="11"/>
  <c r="K775" i="11"/>
  <c r="AF775" i="11"/>
  <c r="P775" i="11"/>
  <c r="H775" i="11"/>
  <c r="F775" i="11"/>
  <c r="Q775" i="11" s="1"/>
  <c r="E775" i="11"/>
  <c r="AI775" i="11" s="1"/>
  <c r="O775" i="11"/>
  <c r="N775" i="11"/>
  <c r="M775" i="11"/>
  <c r="J775" i="11"/>
  <c r="AB775" i="11" s="1"/>
  <c r="AC775" i="11" s="1"/>
  <c r="I775" i="11"/>
  <c r="G775" i="11"/>
  <c r="AD775" i="11" s="1"/>
  <c r="D831" i="11"/>
  <c r="AE741" i="11"/>
  <c r="W741" i="11"/>
  <c r="O741" i="11"/>
  <c r="G741" i="11"/>
  <c r="AD741" i="11"/>
  <c r="V741" i="11"/>
  <c r="N741" i="11"/>
  <c r="F741" i="11"/>
  <c r="AC741" i="11"/>
  <c r="U741" i="11"/>
  <c r="M741" i="11"/>
  <c r="E741" i="11"/>
  <c r="AB741" i="11"/>
  <c r="T741" i="11"/>
  <c r="L741" i="11"/>
  <c r="AI741" i="11"/>
  <c r="AA741" i="11"/>
  <c r="S741" i="11"/>
  <c r="K741" i="11"/>
  <c r="AH741" i="11"/>
  <c r="Z741" i="11"/>
  <c r="R741" i="11"/>
  <c r="J741" i="11"/>
  <c r="AG741" i="11"/>
  <c r="Y741" i="11"/>
  <c r="Q741" i="11"/>
  <c r="I741" i="11"/>
  <c r="H741" i="11"/>
  <c r="AF741" i="11"/>
  <c r="X741" i="11"/>
  <c r="P741" i="11"/>
  <c r="AE705" i="11"/>
  <c r="W705" i="11"/>
  <c r="O705" i="11"/>
  <c r="G705" i="11"/>
  <c r="AD705" i="11"/>
  <c r="V705" i="11"/>
  <c r="N705" i="11"/>
  <c r="F705" i="11"/>
  <c r="AB705" i="11"/>
  <c r="T705" i="11"/>
  <c r="L705" i="11"/>
  <c r="AI705" i="11"/>
  <c r="AA705" i="11"/>
  <c r="S705" i="11"/>
  <c r="K705" i="11"/>
  <c r="AH705" i="11"/>
  <c r="Z705" i="11"/>
  <c r="R705" i="11"/>
  <c r="J705" i="11"/>
  <c r="Y705" i="11"/>
  <c r="E705" i="11"/>
  <c r="X705" i="11"/>
  <c r="U705" i="11"/>
  <c r="Q705" i="11"/>
  <c r="P705" i="11"/>
  <c r="AG705" i="11"/>
  <c r="M705" i="11"/>
  <c r="AF705" i="11"/>
  <c r="I705" i="11"/>
  <c r="AC705" i="11"/>
  <c r="H705" i="11"/>
  <c r="J838" i="11"/>
  <c r="I838" i="11"/>
  <c r="M838" i="11"/>
  <c r="E838" i="11"/>
  <c r="N838" i="11"/>
  <c r="L838" i="11"/>
  <c r="K838" i="11"/>
  <c r="AI838" i="11"/>
  <c r="Y838" i="11" s="1"/>
  <c r="H838" i="11"/>
  <c r="AF838" i="11"/>
  <c r="G838" i="11"/>
  <c r="P838" i="11" s="1"/>
  <c r="F838" i="11"/>
  <c r="AB838" i="11"/>
  <c r="AC838" i="11" s="1"/>
  <c r="O838" i="11"/>
  <c r="AB550" i="11"/>
  <c r="T550" i="11"/>
  <c r="L550" i="11"/>
  <c r="AI550" i="11"/>
  <c r="AA550" i="11"/>
  <c r="S550" i="11"/>
  <c r="K550" i="11"/>
  <c r="AH550" i="11"/>
  <c r="Z550" i="11"/>
  <c r="R550" i="11"/>
  <c r="J550" i="11"/>
  <c r="AE550" i="11"/>
  <c r="W550" i="11"/>
  <c r="O550" i="11"/>
  <c r="G550" i="11"/>
  <c r="AD550" i="11"/>
  <c r="V550" i="11"/>
  <c r="N550" i="11"/>
  <c r="F550" i="11"/>
  <c r="Y550" i="11"/>
  <c r="E550" i="11"/>
  <c r="X550" i="11"/>
  <c r="U550" i="11"/>
  <c r="Q550" i="11"/>
  <c r="P550" i="11"/>
  <c r="AG550" i="11"/>
  <c r="AF550" i="11"/>
  <c r="AC550" i="11"/>
  <c r="M550" i="11"/>
  <c r="I550" i="11"/>
  <c r="H550" i="11"/>
  <c r="N653" i="11"/>
  <c r="F653" i="11"/>
  <c r="M653" i="11"/>
  <c r="AB653" i="11" s="1"/>
  <c r="AC653" i="11" s="1"/>
  <c r="E653" i="11"/>
  <c r="L653" i="11"/>
  <c r="K653" i="11"/>
  <c r="J653" i="11"/>
  <c r="I653" i="11"/>
  <c r="AF653" i="11"/>
  <c r="H653" i="11"/>
  <c r="O653" i="11"/>
  <c r="G653" i="11"/>
  <c r="J623" i="11"/>
  <c r="Q623" i="11"/>
  <c r="I623" i="11"/>
  <c r="AF623" i="11"/>
  <c r="P623" i="11"/>
  <c r="H623" i="11"/>
  <c r="O623" i="11"/>
  <c r="G623" i="11"/>
  <c r="X623" i="11" s="1"/>
  <c r="M623" i="11"/>
  <c r="E623" i="11"/>
  <c r="L623" i="11"/>
  <c r="R623" i="11" s="1"/>
  <c r="N623" i="11"/>
  <c r="K623" i="11"/>
  <c r="F623" i="11"/>
  <c r="AI623" i="11"/>
  <c r="S623" i="11"/>
  <c r="Y623" i="11" s="1"/>
  <c r="AH559" i="11"/>
  <c r="Z559" i="11"/>
  <c r="R559" i="11"/>
  <c r="J559" i="11"/>
  <c r="AG559" i="11"/>
  <c r="Y559" i="11"/>
  <c r="Q559" i="11"/>
  <c r="I559" i="11"/>
  <c r="AF559" i="11"/>
  <c r="X559" i="11"/>
  <c r="P559" i="11"/>
  <c r="H559" i="11"/>
  <c r="AC559" i="11"/>
  <c r="U559" i="11"/>
  <c r="M559" i="11"/>
  <c r="E559" i="11"/>
  <c r="AB559" i="11"/>
  <c r="T559" i="11"/>
  <c r="L559" i="11"/>
  <c r="AE559" i="11"/>
  <c r="K559" i="11"/>
  <c r="AD559" i="11"/>
  <c r="G559" i="11"/>
  <c r="AA559" i="11"/>
  <c r="F559" i="11"/>
  <c r="W559" i="11"/>
  <c r="V559" i="11"/>
  <c r="AI559" i="11"/>
  <c r="S559" i="11"/>
  <c r="O559" i="11"/>
  <c r="N559" i="11"/>
  <c r="AB622" i="11"/>
  <c r="AC622" i="11" s="1"/>
  <c r="L622" i="11"/>
  <c r="K622" i="11"/>
  <c r="J622" i="11"/>
  <c r="I622" i="11"/>
  <c r="O622" i="11"/>
  <c r="G622" i="11"/>
  <c r="R622" i="11" s="1"/>
  <c r="N622" i="11"/>
  <c r="F622" i="11"/>
  <c r="P622" i="11"/>
  <c r="M622" i="11"/>
  <c r="H622" i="11"/>
  <c r="E622" i="11"/>
  <c r="AF622" i="11"/>
  <c r="L412" i="11"/>
  <c r="AF412" i="11"/>
  <c r="N412" i="11"/>
  <c r="E412" i="11"/>
  <c r="M412" i="11"/>
  <c r="AB412" i="11" s="1"/>
  <c r="AC412" i="11" s="1"/>
  <c r="K412" i="11"/>
  <c r="J412" i="11"/>
  <c r="I412" i="11"/>
  <c r="O412" i="11"/>
  <c r="H412" i="11"/>
  <c r="G412" i="11"/>
  <c r="F412" i="11"/>
  <c r="AD521" i="11"/>
  <c r="V521" i="11"/>
  <c r="N521" i="11"/>
  <c r="F521" i="11"/>
  <c r="AC521" i="11"/>
  <c r="U521" i="11"/>
  <c r="M521" i="11"/>
  <c r="E521" i="11"/>
  <c r="AB521" i="11"/>
  <c r="T521" i="11"/>
  <c r="L521" i="11"/>
  <c r="AH521" i="11"/>
  <c r="Z521" i="11"/>
  <c r="R521" i="11"/>
  <c r="J521" i="11"/>
  <c r="X521" i="11"/>
  <c r="H521" i="11"/>
  <c r="W521" i="11"/>
  <c r="G521" i="11"/>
  <c r="AI521" i="11"/>
  <c r="S521" i="11"/>
  <c r="AG521" i="11"/>
  <c r="Q521" i="11"/>
  <c r="AF521" i="11"/>
  <c r="P521" i="11"/>
  <c r="AA521" i="11"/>
  <c r="Y521" i="11"/>
  <c r="O521" i="11"/>
  <c r="K521" i="11"/>
  <c r="I521" i="11"/>
  <c r="AE521" i="11"/>
  <c r="AH691" i="11"/>
  <c r="Z691" i="11"/>
  <c r="R691" i="11"/>
  <c r="J691" i="11"/>
  <c r="AG691" i="11"/>
  <c r="Y691" i="11"/>
  <c r="Q691" i="11"/>
  <c r="I691" i="11"/>
  <c r="AF691" i="11"/>
  <c r="X691" i="11"/>
  <c r="P691" i="11"/>
  <c r="H691" i="11"/>
  <c r="AE691" i="11"/>
  <c r="W691" i="11"/>
  <c r="O691" i="11"/>
  <c r="G691" i="11"/>
  <c r="AD691" i="11"/>
  <c r="V691" i="11"/>
  <c r="N691" i="11"/>
  <c r="F691" i="11"/>
  <c r="AC691" i="11"/>
  <c r="U691" i="11"/>
  <c r="M691" i="11"/>
  <c r="E691" i="11"/>
  <c r="AB691" i="11"/>
  <c r="T691" i="11"/>
  <c r="L691" i="11"/>
  <c r="AI691" i="11"/>
  <c r="AA691" i="11"/>
  <c r="S691" i="11"/>
  <c r="K691" i="11"/>
  <c r="AF500" i="11"/>
  <c r="X500" i="11"/>
  <c r="P500" i="11"/>
  <c r="H500" i="11"/>
  <c r="AE500" i="11"/>
  <c r="W500" i="11"/>
  <c r="O500" i="11"/>
  <c r="G500" i="11"/>
  <c r="AD500" i="11"/>
  <c r="V500" i="11"/>
  <c r="N500" i="11"/>
  <c r="F500" i="11"/>
  <c r="AB500" i="11"/>
  <c r="T500" i="11"/>
  <c r="L500" i="11"/>
  <c r="AA500" i="11"/>
  <c r="K500" i="11"/>
  <c r="Z500" i="11"/>
  <c r="J500" i="11"/>
  <c r="Y500" i="11"/>
  <c r="I500" i="11"/>
  <c r="U500" i="11"/>
  <c r="E500" i="11"/>
  <c r="AI500" i="11"/>
  <c r="S500" i="11"/>
  <c r="AG500" i="11"/>
  <c r="AC500" i="11"/>
  <c r="R500" i="11"/>
  <c r="Q500" i="11"/>
  <c r="M500" i="11"/>
  <c r="AH500" i="11"/>
  <c r="AE1427" i="11"/>
  <c r="W1427" i="11"/>
  <c r="O1427" i="11"/>
  <c r="G1427" i="11"/>
  <c r="AC1427" i="11"/>
  <c r="U1427" i="11"/>
  <c r="M1427" i="11"/>
  <c r="E1427" i="11"/>
  <c r="AH1427" i="11"/>
  <c r="X1427" i="11"/>
  <c r="L1427" i="11"/>
  <c r="AG1427" i="11"/>
  <c r="V1427" i="11"/>
  <c r="K1427" i="11"/>
  <c r="AI1427" i="11"/>
  <c r="S1427" i="11"/>
  <c r="F1427" i="11"/>
  <c r="AF1427" i="11"/>
  <c r="R1427" i="11"/>
  <c r="AD1427" i="11"/>
  <c r="Q1427" i="11"/>
  <c r="AB1427" i="11"/>
  <c r="P1427" i="11"/>
  <c r="AA1427" i="11"/>
  <c r="Z1427" i="11"/>
  <c r="Y1427" i="11"/>
  <c r="T1427" i="11"/>
  <c r="N1427" i="11"/>
  <c r="J1427" i="11"/>
  <c r="I1427" i="11"/>
  <c r="H1427" i="11"/>
  <c r="AB1407" i="11"/>
  <c r="T1407" i="11"/>
  <c r="L1407" i="11"/>
  <c r="AI1407" i="11"/>
  <c r="AA1407" i="11"/>
  <c r="S1407" i="11"/>
  <c r="K1407" i="11"/>
  <c r="AH1407" i="11"/>
  <c r="Z1407" i="11"/>
  <c r="R1407" i="11"/>
  <c r="J1407" i="11"/>
  <c r="Y1407" i="11"/>
  <c r="N1407" i="11"/>
  <c r="X1407" i="11"/>
  <c r="M1407" i="11"/>
  <c r="W1407" i="11"/>
  <c r="I1407" i="11"/>
  <c r="AG1407" i="11"/>
  <c r="V1407" i="11"/>
  <c r="H1407" i="11"/>
  <c r="AC1407" i="11"/>
  <c r="U1407" i="11"/>
  <c r="Q1407" i="11"/>
  <c r="P1407" i="11"/>
  <c r="O1407" i="11"/>
  <c r="AF1407" i="11"/>
  <c r="G1407" i="11"/>
  <c r="AE1407" i="11"/>
  <c r="F1407" i="11"/>
  <c r="AD1407" i="11"/>
  <c r="E1407" i="11"/>
  <c r="AB1399" i="11"/>
  <c r="T1399" i="11"/>
  <c r="L1399" i="11"/>
  <c r="AI1399" i="11"/>
  <c r="AA1399" i="11"/>
  <c r="S1399" i="11"/>
  <c r="K1399" i="11"/>
  <c r="AH1399" i="11"/>
  <c r="X1399" i="11"/>
  <c r="N1399" i="11"/>
  <c r="AG1399" i="11"/>
  <c r="W1399" i="11"/>
  <c r="M1399" i="11"/>
  <c r="AF1399" i="11"/>
  <c r="V1399" i="11"/>
  <c r="J1399" i="11"/>
  <c r="AE1399" i="11"/>
  <c r="U1399" i="11"/>
  <c r="I1399" i="11"/>
  <c r="Z1399" i="11"/>
  <c r="F1399" i="11"/>
  <c r="Y1399" i="11"/>
  <c r="E1399" i="11"/>
  <c r="R1399" i="11"/>
  <c r="Q1399" i="11"/>
  <c r="P1399" i="11"/>
  <c r="O1399" i="11"/>
  <c r="AD1399" i="11"/>
  <c r="AC1399" i="11"/>
  <c r="H1399" i="11"/>
  <c r="G1399" i="11"/>
  <c r="AB1411" i="11"/>
  <c r="T1411" i="11"/>
  <c r="L1411" i="11"/>
  <c r="AI1411" i="11"/>
  <c r="AA1411" i="11"/>
  <c r="S1411" i="11"/>
  <c r="K1411" i="11"/>
  <c r="AH1411" i="11"/>
  <c r="Z1411" i="11"/>
  <c r="R1411" i="11"/>
  <c r="J1411" i="11"/>
  <c r="Y1411" i="11"/>
  <c r="N1411" i="11"/>
  <c r="X1411" i="11"/>
  <c r="M1411" i="11"/>
  <c r="W1411" i="11"/>
  <c r="I1411" i="11"/>
  <c r="AG1411" i="11"/>
  <c r="V1411" i="11"/>
  <c r="H1411" i="11"/>
  <c r="AF1411" i="11"/>
  <c r="U1411" i="11"/>
  <c r="G1411" i="11"/>
  <c r="Q1411" i="11"/>
  <c r="P1411" i="11"/>
  <c r="O1411" i="11"/>
  <c r="F1411" i="11"/>
  <c r="E1411" i="11"/>
  <c r="AE1411" i="11"/>
  <c r="AD1411" i="11"/>
  <c r="AC1411" i="11"/>
  <c r="AH1396" i="11"/>
  <c r="Z1396" i="11"/>
  <c r="R1396" i="11"/>
  <c r="J1396" i="11"/>
  <c r="AG1396" i="11"/>
  <c r="Y1396" i="11"/>
  <c r="Q1396" i="11"/>
  <c r="I1396" i="11"/>
  <c r="AD1396" i="11"/>
  <c r="T1396" i="11"/>
  <c r="H1396" i="11"/>
  <c r="AC1396" i="11"/>
  <c r="S1396" i="11"/>
  <c r="G1396" i="11"/>
  <c r="AB1396" i="11"/>
  <c r="P1396" i="11"/>
  <c r="F1396" i="11"/>
  <c r="AE1396" i="11"/>
  <c r="M1396" i="11"/>
  <c r="AA1396" i="11"/>
  <c r="L1396" i="11"/>
  <c r="X1396" i="11"/>
  <c r="K1396" i="11"/>
  <c r="W1396" i="11"/>
  <c r="E1396" i="11"/>
  <c r="V1396" i="11"/>
  <c r="U1396" i="11"/>
  <c r="N1396" i="11"/>
  <c r="AI1396" i="11"/>
  <c r="AF1396" i="11"/>
  <c r="O1396" i="11"/>
  <c r="AI1376" i="11"/>
  <c r="AA1376" i="11"/>
  <c r="S1376" i="11"/>
  <c r="K1376" i="11"/>
  <c r="AF1376" i="11"/>
  <c r="W1376" i="11"/>
  <c r="N1376" i="11"/>
  <c r="E1376" i="11"/>
  <c r="AE1376" i="11"/>
  <c r="V1376" i="11"/>
  <c r="M1376" i="11"/>
  <c r="AD1376" i="11"/>
  <c r="U1376" i="11"/>
  <c r="L1376" i="11"/>
  <c r="AC1376" i="11"/>
  <c r="T1376" i="11"/>
  <c r="J1376" i="11"/>
  <c r="AB1376" i="11"/>
  <c r="R1376" i="11"/>
  <c r="I1376" i="11"/>
  <c r="AH1376" i="11"/>
  <c r="Y1376" i="11"/>
  <c r="P1376" i="11"/>
  <c r="G1376" i="11"/>
  <c r="AG1376" i="11"/>
  <c r="Z1376" i="11"/>
  <c r="X1376" i="11"/>
  <c r="Q1376" i="11"/>
  <c r="O1376" i="11"/>
  <c r="H1376" i="11"/>
  <c r="F1376" i="11"/>
  <c r="AC1355" i="11"/>
  <c r="U1355" i="11"/>
  <c r="M1355" i="11"/>
  <c r="E1355" i="11"/>
  <c r="AB1355" i="11"/>
  <c r="T1355" i="11"/>
  <c r="L1355" i="11"/>
  <c r="AG1355" i="11"/>
  <c r="W1355" i="11"/>
  <c r="K1355" i="11"/>
  <c r="AF1355" i="11"/>
  <c r="V1355" i="11"/>
  <c r="J1355" i="11"/>
  <c r="AE1355" i="11"/>
  <c r="S1355" i="11"/>
  <c r="I1355" i="11"/>
  <c r="AD1355" i="11"/>
  <c r="R1355" i="11"/>
  <c r="H1355" i="11"/>
  <c r="AA1355" i="11"/>
  <c r="Q1355" i="11"/>
  <c r="G1355" i="11"/>
  <c r="Z1355" i="11"/>
  <c r="P1355" i="11"/>
  <c r="F1355" i="11"/>
  <c r="AI1355" i="11"/>
  <c r="Y1355" i="11"/>
  <c r="O1355" i="11"/>
  <c r="N1355" i="11"/>
  <c r="AH1355" i="11"/>
  <c r="X1355" i="11"/>
  <c r="AG1353" i="11"/>
  <c r="Y1353" i="11"/>
  <c r="Q1353" i="11"/>
  <c r="I1353" i="11"/>
  <c r="AF1353" i="11"/>
  <c r="X1353" i="11"/>
  <c r="P1353" i="11"/>
  <c r="H1353" i="11"/>
  <c r="AA1353" i="11"/>
  <c r="O1353" i="11"/>
  <c r="E1353" i="11"/>
  <c r="Z1353" i="11"/>
  <c r="N1353" i="11"/>
  <c r="AI1353" i="11"/>
  <c r="W1353" i="11"/>
  <c r="M1353" i="11"/>
  <c r="AH1353" i="11"/>
  <c r="V1353" i="11"/>
  <c r="L1353" i="11"/>
  <c r="AE1353" i="11"/>
  <c r="U1353" i="11"/>
  <c r="K1353" i="11"/>
  <c r="AD1353" i="11"/>
  <c r="T1353" i="11"/>
  <c r="J1353" i="11"/>
  <c r="AC1353" i="11"/>
  <c r="S1353" i="11"/>
  <c r="G1353" i="11"/>
  <c r="AB1353" i="11"/>
  <c r="R1353" i="11"/>
  <c r="F1353" i="11"/>
  <c r="AC1299" i="11"/>
  <c r="U1299" i="11"/>
  <c r="M1299" i="11"/>
  <c r="E1299" i="11"/>
  <c r="AB1299" i="11"/>
  <c r="T1299" i="11"/>
  <c r="L1299" i="11"/>
  <c r="AA1299" i="11"/>
  <c r="Q1299" i="11"/>
  <c r="G1299" i="11"/>
  <c r="Z1299" i="11"/>
  <c r="P1299" i="11"/>
  <c r="F1299" i="11"/>
  <c r="AI1299" i="11"/>
  <c r="Y1299" i="11"/>
  <c r="O1299" i="11"/>
  <c r="AG1299" i="11"/>
  <c r="W1299" i="11"/>
  <c r="K1299" i="11"/>
  <c r="AF1299" i="11"/>
  <c r="V1299" i="11"/>
  <c r="J1299" i="11"/>
  <c r="N1299" i="11"/>
  <c r="I1299" i="11"/>
  <c r="AH1299" i="11"/>
  <c r="H1299" i="11"/>
  <c r="AE1299" i="11"/>
  <c r="AD1299" i="11"/>
  <c r="R1299" i="11"/>
  <c r="X1299" i="11"/>
  <c r="S1299" i="11"/>
  <c r="AC1311" i="11"/>
  <c r="U1311" i="11"/>
  <c r="M1311" i="11"/>
  <c r="E1311" i="11"/>
  <c r="AB1311" i="11"/>
  <c r="T1311" i="11"/>
  <c r="L1311" i="11"/>
  <c r="AI1311" i="11"/>
  <c r="AA1311" i="11"/>
  <c r="S1311" i="11"/>
  <c r="K1311" i="11"/>
  <c r="AG1311" i="11"/>
  <c r="Y1311" i="11"/>
  <c r="Q1311" i="11"/>
  <c r="I1311" i="11"/>
  <c r="AE1311" i="11"/>
  <c r="O1311" i="11"/>
  <c r="AD1311" i="11"/>
  <c r="N1311" i="11"/>
  <c r="Z1311" i="11"/>
  <c r="J1311" i="11"/>
  <c r="X1311" i="11"/>
  <c r="H1311" i="11"/>
  <c r="W1311" i="11"/>
  <c r="G1311" i="11"/>
  <c r="V1311" i="11"/>
  <c r="F1311" i="11"/>
  <c r="AH1311" i="11"/>
  <c r="R1311" i="11"/>
  <c r="P1311" i="11"/>
  <c r="AF1311" i="11"/>
  <c r="AG1321" i="11"/>
  <c r="Y1321" i="11"/>
  <c r="Q1321" i="11"/>
  <c r="I1321" i="11"/>
  <c r="AF1321" i="11"/>
  <c r="X1321" i="11"/>
  <c r="P1321" i="11"/>
  <c r="H1321" i="11"/>
  <c r="AE1321" i="11"/>
  <c r="W1321" i="11"/>
  <c r="O1321" i="11"/>
  <c r="G1321" i="11"/>
  <c r="AC1321" i="11"/>
  <c r="U1321" i="11"/>
  <c r="M1321" i="11"/>
  <c r="E1321" i="11"/>
  <c r="V1321" i="11"/>
  <c r="F1321" i="11"/>
  <c r="T1321" i="11"/>
  <c r="AI1321" i="11"/>
  <c r="S1321" i="11"/>
  <c r="AH1321" i="11"/>
  <c r="R1321" i="11"/>
  <c r="AD1321" i="11"/>
  <c r="N1321" i="11"/>
  <c r="AB1321" i="11"/>
  <c r="L1321" i="11"/>
  <c r="AA1321" i="11"/>
  <c r="K1321" i="11"/>
  <c r="J1321" i="11"/>
  <c r="Z1321" i="11"/>
  <c r="AD1283" i="11"/>
  <c r="V1283" i="11"/>
  <c r="N1283" i="11"/>
  <c r="F1283" i="11"/>
  <c r="AC1283" i="11"/>
  <c r="U1283" i="11"/>
  <c r="M1283" i="11"/>
  <c r="E1283" i="11"/>
  <c r="AB1283" i="11"/>
  <c r="T1283" i="11"/>
  <c r="L1283" i="11"/>
  <c r="AH1283" i="11"/>
  <c r="Z1283" i="11"/>
  <c r="R1283" i="11"/>
  <c r="J1283" i="11"/>
  <c r="X1283" i="11"/>
  <c r="H1283" i="11"/>
  <c r="W1283" i="11"/>
  <c r="G1283" i="11"/>
  <c r="AI1283" i="11"/>
  <c r="S1283" i="11"/>
  <c r="AG1283" i="11"/>
  <c r="Q1283" i="11"/>
  <c r="AF1283" i="11"/>
  <c r="P1283" i="11"/>
  <c r="Y1283" i="11"/>
  <c r="O1283" i="11"/>
  <c r="K1283" i="11"/>
  <c r="I1283" i="11"/>
  <c r="AE1283" i="11"/>
  <c r="AA1283" i="11"/>
  <c r="AF1294" i="11"/>
  <c r="X1294" i="11"/>
  <c r="P1294" i="11"/>
  <c r="H1294" i="11"/>
  <c r="AE1294" i="11"/>
  <c r="W1294" i="11"/>
  <c r="O1294" i="11"/>
  <c r="G1294" i="11"/>
  <c r="AD1294" i="11"/>
  <c r="V1294" i="11"/>
  <c r="N1294" i="11"/>
  <c r="F1294" i="11"/>
  <c r="AB1294" i="11"/>
  <c r="T1294" i="11"/>
  <c r="L1294" i="11"/>
  <c r="AA1294" i="11"/>
  <c r="K1294" i="11"/>
  <c r="Z1294" i="11"/>
  <c r="J1294" i="11"/>
  <c r="Y1294" i="11"/>
  <c r="I1294" i="11"/>
  <c r="U1294" i="11"/>
  <c r="E1294" i="11"/>
  <c r="AI1294" i="11"/>
  <c r="S1294" i="11"/>
  <c r="AC1294" i="11"/>
  <c r="R1294" i="11"/>
  <c r="Q1294" i="11"/>
  <c r="M1294" i="11"/>
  <c r="AH1294" i="11"/>
  <c r="AG1294" i="11"/>
  <c r="D1254" i="11"/>
  <c r="AG1305" i="11"/>
  <c r="Y1305" i="11"/>
  <c r="Q1305" i="11"/>
  <c r="I1305" i="11"/>
  <c r="AF1305" i="11"/>
  <c r="X1305" i="11"/>
  <c r="P1305" i="11"/>
  <c r="H1305" i="11"/>
  <c r="AE1305" i="11"/>
  <c r="U1305" i="11"/>
  <c r="K1305" i="11"/>
  <c r="AD1305" i="11"/>
  <c r="T1305" i="11"/>
  <c r="J1305" i="11"/>
  <c r="AC1305" i="11"/>
  <c r="S1305" i="11"/>
  <c r="G1305" i="11"/>
  <c r="AA1305" i="11"/>
  <c r="O1305" i="11"/>
  <c r="E1305" i="11"/>
  <c r="Z1305" i="11"/>
  <c r="N1305" i="11"/>
  <c r="AI1305" i="11"/>
  <c r="W1305" i="11"/>
  <c r="M1305" i="11"/>
  <c r="AH1305" i="11"/>
  <c r="AB1305" i="11"/>
  <c r="V1305" i="11"/>
  <c r="R1305" i="11"/>
  <c r="L1305" i="11"/>
  <c r="F1305" i="11"/>
  <c r="D1263" i="11"/>
  <c r="AC1157" i="11"/>
  <c r="U1157" i="11"/>
  <c r="M1157" i="11"/>
  <c r="E1157" i="11"/>
  <c r="AB1157" i="11"/>
  <c r="T1157" i="11"/>
  <c r="L1157" i="11"/>
  <c r="AI1157" i="11"/>
  <c r="AA1157" i="11"/>
  <c r="S1157" i="11"/>
  <c r="K1157" i="11"/>
  <c r="AG1157" i="11"/>
  <c r="Y1157" i="11"/>
  <c r="Q1157" i="11"/>
  <c r="I1157" i="11"/>
  <c r="AH1157" i="11"/>
  <c r="R1157" i="11"/>
  <c r="AF1157" i="11"/>
  <c r="P1157" i="11"/>
  <c r="AE1157" i="11"/>
  <c r="O1157" i="11"/>
  <c r="Z1157" i="11"/>
  <c r="J1157" i="11"/>
  <c r="W1157" i="11"/>
  <c r="G1157" i="11"/>
  <c r="AD1157" i="11"/>
  <c r="X1157" i="11"/>
  <c r="V1157" i="11"/>
  <c r="N1157" i="11"/>
  <c r="H1157" i="11"/>
  <c r="F1157" i="11"/>
  <c r="AE1208" i="11"/>
  <c r="W1208" i="11"/>
  <c r="O1208" i="11"/>
  <c r="G1208" i="11"/>
  <c r="AA1208" i="11"/>
  <c r="R1208" i="11"/>
  <c r="I1208" i="11"/>
  <c r="AI1208" i="11"/>
  <c r="Z1208" i="11"/>
  <c r="Q1208" i="11"/>
  <c r="H1208" i="11"/>
  <c r="AH1208" i="11"/>
  <c r="Y1208" i="11"/>
  <c r="P1208" i="11"/>
  <c r="F1208" i="11"/>
  <c r="AG1208" i="11"/>
  <c r="X1208" i="11"/>
  <c r="N1208" i="11"/>
  <c r="E1208" i="11"/>
  <c r="AF1208" i="11"/>
  <c r="V1208" i="11"/>
  <c r="M1208" i="11"/>
  <c r="L1208" i="11"/>
  <c r="K1208" i="11"/>
  <c r="AD1208" i="11"/>
  <c r="J1208" i="11"/>
  <c r="AC1208" i="11"/>
  <c r="AB1208" i="11"/>
  <c r="U1208" i="11"/>
  <c r="T1208" i="11"/>
  <c r="S1208" i="11"/>
  <c r="AE1176" i="11"/>
  <c r="W1176" i="11"/>
  <c r="O1176" i="11"/>
  <c r="G1176" i="11"/>
  <c r="AD1176" i="11"/>
  <c r="V1176" i="11"/>
  <c r="N1176" i="11"/>
  <c r="F1176" i="11"/>
  <c r="AC1176" i="11"/>
  <c r="U1176" i="11"/>
  <c r="M1176" i="11"/>
  <c r="E1176" i="11"/>
  <c r="AB1176" i="11"/>
  <c r="T1176" i="11"/>
  <c r="L1176" i="11"/>
  <c r="AI1176" i="11"/>
  <c r="AA1176" i="11"/>
  <c r="S1176" i="11"/>
  <c r="K1176" i="11"/>
  <c r="AF1176" i="11"/>
  <c r="I1176" i="11"/>
  <c r="Z1176" i="11"/>
  <c r="H1176" i="11"/>
  <c r="Y1176" i="11"/>
  <c r="X1176" i="11"/>
  <c r="R1176" i="11"/>
  <c r="Q1176" i="11"/>
  <c r="AH1176" i="11"/>
  <c r="P1176" i="11"/>
  <c r="AG1176" i="11"/>
  <c r="J1176" i="11"/>
  <c r="AC1201" i="11"/>
  <c r="U1201" i="11"/>
  <c r="M1201" i="11"/>
  <c r="E1201" i="11"/>
  <c r="AB1201" i="11"/>
  <c r="T1201" i="11"/>
  <c r="L1201" i="11"/>
  <c r="AI1201" i="11"/>
  <c r="AA1201" i="11"/>
  <c r="S1201" i="11"/>
  <c r="K1201" i="11"/>
  <c r="AH1201" i="11"/>
  <c r="Z1201" i="11"/>
  <c r="R1201" i="11"/>
  <c r="J1201" i="11"/>
  <c r="AG1201" i="11"/>
  <c r="Y1201" i="11"/>
  <c r="Q1201" i="11"/>
  <c r="I1201" i="11"/>
  <c r="AF1201" i="11"/>
  <c r="N1201" i="11"/>
  <c r="AE1201" i="11"/>
  <c r="H1201" i="11"/>
  <c r="AD1201" i="11"/>
  <c r="G1201" i="11"/>
  <c r="X1201" i="11"/>
  <c r="F1201" i="11"/>
  <c r="W1201" i="11"/>
  <c r="V1201" i="11"/>
  <c r="P1201" i="11"/>
  <c r="O1201" i="11"/>
  <c r="AC1169" i="11"/>
  <c r="U1169" i="11"/>
  <c r="M1169" i="11"/>
  <c r="E1169" i="11"/>
  <c r="AB1169" i="11"/>
  <c r="T1169" i="11"/>
  <c r="L1169" i="11"/>
  <c r="AI1169" i="11"/>
  <c r="AA1169" i="11"/>
  <c r="S1169" i="11"/>
  <c r="K1169" i="11"/>
  <c r="AH1169" i="11"/>
  <c r="Z1169" i="11"/>
  <c r="R1169" i="11"/>
  <c r="J1169" i="11"/>
  <c r="AG1169" i="11"/>
  <c r="Y1169" i="11"/>
  <c r="Q1169" i="11"/>
  <c r="I1169" i="11"/>
  <c r="AF1169" i="11"/>
  <c r="N1169" i="11"/>
  <c r="AE1169" i="11"/>
  <c r="H1169" i="11"/>
  <c r="AD1169" i="11"/>
  <c r="G1169" i="11"/>
  <c r="X1169" i="11"/>
  <c r="F1169" i="11"/>
  <c r="W1169" i="11"/>
  <c r="V1169" i="11"/>
  <c r="P1169" i="11"/>
  <c r="O1169" i="11"/>
  <c r="AG1227" i="11"/>
  <c r="Y1227" i="11"/>
  <c r="Q1227" i="11"/>
  <c r="I1227" i="11"/>
  <c r="AE1227" i="11"/>
  <c r="W1227" i="11"/>
  <c r="O1227" i="11"/>
  <c r="G1227" i="11"/>
  <c r="AC1227" i="11"/>
  <c r="U1227" i="11"/>
  <c r="M1227" i="11"/>
  <c r="E1227" i="11"/>
  <c r="Z1227" i="11"/>
  <c r="L1227" i="11"/>
  <c r="X1227" i="11"/>
  <c r="K1227" i="11"/>
  <c r="AI1227" i="11"/>
  <c r="V1227" i="11"/>
  <c r="J1227" i="11"/>
  <c r="AH1227" i="11"/>
  <c r="T1227" i="11"/>
  <c r="H1227" i="11"/>
  <c r="AF1227" i="11"/>
  <c r="S1227" i="11"/>
  <c r="F1227" i="11"/>
  <c r="AB1227" i="11"/>
  <c r="AA1227" i="11"/>
  <c r="R1227" i="11"/>
  <c r="P1227" i="11"/>
  <c r="N1227" i="11"/>
  <c r="AD1227" i="11"/>
  <c r="AG1223" i="11"/>
  <c r="Y1223" i="11"/>
  <c r="Q1223" i="11"/>
  <c r="I1223" i="11"/>
  <c r="AE1223" i="11"/>
  <c r="W1223" i="11"/>
  <c r="O1223" i="11"/>
  <c r="G1223" i="11"/>
  <c r="AC1223" i="11"/>
  <c r="U1223" i="11"/>
  <c r="M1223" i="11"/>
  <c r="E1223" i="11"/>
  <c r="Z1223" i="11"/>
  <c r="L1223" i="11"/>
  <c r="X1223" i="11"/>
  <c r="K1223" i="11"/>
  <c r="AI1223" i="11"/>
  <c r="V1223" i="11"/>
  <c r="J1223" i="11"/>
  <c r="AH1223" i="11"/>
  <c r="T1223" i="11"/>
  <c r="H1223" i="11"/>
  <c r="AF1223" i="11"/>
  <c r="S1223" i="11"/>
  <c r="F1223" i="11"/>
  <c r="R1223" i="11"/>
  <c r="P1223" i="11"/>
  <c r="N1223" i="11"/>
  <c r="AD1223" i="11"/>
  <c r="AB1223" i="11"/>
  <c r="AA1223" i="11"/>
  <c r="AE1148" i="11"/>
  <c r="W1148" i="11"/>
  <c r="O1148" i="11"/>
  <c r="G1148" i="11"/>
  <c r="AD1148" i="11"/>
  <c r="V1148" i="11"/>
  <c r="N1148" i="11"/>
  <c r="F1148" i="11"/>
  <c r="AC1148" i="11"/>
  <c r="U1148" i="11"/>
  <c r="M1148" i="11"/>
  <c r="E1148" i="11"/>
  <c r="AI1148" i="11"/>
  <c r="AA1148" i="11"/>
  <c r="S1148" i="11"/>
  <c r="K1148" i="11"/>
  <c r="X1148" i="11"/>
  <c r="H1148" i="11"/>
  <c r="T1148" i="11"/>
  <c r="AH1148" i="11"/>
  <c r="R1148" i="11"/>
  <c r="AF1148" i="11"/>
  <c r="P1148" i="11"/>
  <c r="Z1148" i="11"/>
  <c r="J1148" i="11"/>
  <c r="AG1148" i="11"/>
  <c r="AB1148" i="11"/>
  <c r="Y1148" i="11"/>
  <c r="Q1148" i="11"/>
  <c r="L1148" i="11"/>
  <c r="I1148" i="11"/>
  <c r="AF1095" i="11"/>
  <c r="X1095" i="11"/>
  <c r="P1095" i="11"/>
  <c r="H1095" i="11"/>
  <c r="AE1095" i="11"/>
  <c r="W1095" i="11"/>
  <c r="O1095" i="11"/>
  <c r="G1095" i="11"/>
  <c r="AD1095" i="11"/>
  <c r="V1095" i="11"/>
  <c r="N1095" i="11"/>
  <c r="F1095" i="11"/>
  <c r="AC1095" i="11"/>
  <c r="U1095" i="11"/>
  <c r="M1095" i="11"/>
  <c r="E1095" i="11"/>
  <c r="AB1095" i="11"/>
  <c r="T1095" i="11"/>
  <c r="L1095" i="11"/>
  <c r="AH1095" i="11"/>
  <c r="Z1095" i="11"/>
  <c r="R1095" i="11"/>
  <c r="J1095" i="11"/>
  <c r="I1095" i="11"/>
  <c r="AI1095" i="11"/>
  <c r="AG1095" i="11"/>
  <c r="AA1095" i="11"/>
  <c r="Y1095" i="11"/>
  <c r="S1095" i="11"/>
  <c r="Q1095" i="11"/>
  <c r="K1095" i="11"/>
  <c r="AE1142" i="11"/>
  <c r="W1142" i="11"/>
  <c r="O1142" i="11"/>
  <c r="G1142" i="11"/>
  <c r="AD1142" i="11"/>
  <c r="V1142" i="11"/>
  <c r="N1142" i="11"/>
  <c r="F1142" i="11"/>
  <c r="AC1142" i="11"/>
  <c r="U1142" i="11"/>
  <c r="M1142" i="11"/>
  <c r="E1142" i="11"/>
  <c r="AI1142" i="11"/>
  <c r="AA1142" i="11"/>
  <c r="S1142" i="11"/>
  <c r="K1142" i="11"/>
  <c r="AG1142" i="11"/>
  <c r="Y1142" i="11"/>
  <c r="Q1142" i="11"/>
  <c r="I1142" i="11"/>
  <c r="P1142" i="11"/>
  <c r="AH1142" i="11"/>
  <c r="L1142" i="11"/>
  <c r="AF1142" i="11"/>
  <c r="J1142" i="11"/>
  <c r="AB1142" i="11"/>
  <c r="H1142" i="11"/>
  <c r="Z1142" i="11"/>
  <c r="X1142" i="11"/>
  <c r="T1142" i="11"/>
  <c r="R1142" i="11"/>
  <c r="AH1118" i="11"/>
  <c r="Z1118" i="11"/>
  <c r="R1118" i="11"/>
  <c r="J1118" i="11"/>
  <c r="AG1118" i="11"/>
  <c r="Y1118" i="11"/>
  <c r="Q1118" i="11"/>
  <c r="I1118" i="11"/>
  <c r="AF1118" i="11"/>
  <c r="X1118" i="11"/>
  <c r="P1118" i="11"/>
  <c r="H1118" i="11"/>
  <c r="AE1118" i="11"/>
  <c r="W1118" i="11"/>
  <c r="O1118" i="11"/>
  <c r="G1118" i="11"/>
  <c r="AD1118" i="11"/>
  <c r="V1118" i="11"/>
  <c r="N1118" i="11"/>
  <c r="F1118" i="11"/>
  <c r="AC1118" i="11"/>
  <c r="U1118" i="11"/>
  <c r="M1118" i="11"/>
  <c r="E1118" i="11"/>
  <c r="AB1118" i="11"/>
  <c r="T1118" i="11"/>
  <c r="L1118" i="11"/>
  <c r="AA1118" i="11"/>
  <c r="S1118" i="11"/>
  <c r="K1118" i="11"/>
  <c r="AI1118" i="11"/>
  <c r="AH1086" i="11"/>
  <c r="Z1086" i="11"/>
  <c r="R1086" i="11"/>
  <c r="J1086" i="11"/>
  <c r="AG1086" i="11"/>
  <c r="Y1086" i="11"/>
  <c r="Q1086" i="11"/>
  <c r="I1086" i="11"/>
  <c r="AF1086" i="11"/>
  <c r="X1086" i="11"/>
  <c r="P1086" i="11"/>
  <c r="H1086" i="11"/>
  <c r="AE1086" i="11"/>
  <c r="W1086" i="11"/>
  <c r="O1086" i="11"/>
  <c r="G1086" i="11"/>
  <c r="AD1086" i="11"/>
  <c r="V1086" i="11"/>
  <c r="N1086" i="11"/>
  <c r="F1086" i="11"/>
  <c r="AB1086" i="11"/>
  <c r="T1086" i="11"/>
  <c r="L1086" i="11"/>
  <c r="M1086" i="11"/>
  <c r="K1086" i="11"/>
  <c r="E1086" i="11"/>
  <c r="AI1086" i="11"/>
  <c r="AC1086" i="11"/>
  <c r="AA1086" i="11"/>
  <c r="U1086" i="11"/>
  <c r="S1086" i="11"/>
  <c r="AE1059" i="11"/>
  <c r="W1059" i="11"/>
  <c r="O1059" i="11"/>
  <c r="G1059" i="11"/>
  <c r="AD1059" i="11"/>
  <c r="V1059" i="11"/>
  <c r="N1059" i="11"/>
  <c r="F1059" i="11"/>
  <c r="AC1059" i="11"/>
  <c r="U1059" i="11"/>
  <c r="M1059" i="11"/>
  <c r="E1059" i="11"/>
  <c r="AB1059" i="11"/>
  <c r="T1059" i="11"/>
  <c r="L1059" i="11"/>
  <c r="AH1059" i="11"/>
  <c r="Z1059" i="11"/>
  <c r="R1059" i="11"/>
  <c r="J1059" i="11"/>
  <c r="AI1059" i="11"/>
  <c r="P1059" i="11"/>
  <c r="AF1059" i="11"/>
  <c r="I1059" i="11"/>
  <c r="AA1059" i="11"/>
  <c r="H1059" i="11"/>
  <c r="Y1059" i="11"/>
  <c r="X1059" i="11"/>
  <c r="S1059" i="11"/>
  <c r="K1059" i="11"/>
  <c r="AG1059" i="11"/>
  <c r="Q1059" i="11"/>
  <c r="AB1089" i="11"/>
  <c r="T1089" i="11"/>
  <c r="L1089" i="11"/>
  <c r="AI1089" i="11"/>
  <c r="AA1089" i="11"/>
  <c r="S1089" i="11"/>
  <c r="K1089" i="11"/>
  <c r="AH1089" i="11"/>
  <c r="Z1089" i="11"/>
  <c r="R1089" i="11"/>
  <c r="J1089" i="11"/>
  <c r="AG1089" i="11"/>
  <c r="Y1089" i="11"/>
  <c r="Q1089" i="11"/>
  <c r="I1089" i="11"/>
  <c r="AF1089" i="11"/>
  <c r="X1089" i="11"/>
  <c r="P1089" i="11"/>
  <c r="H1089" i="11"/>
  <c r="AD1089" i="11"/>
  <c r="V1089" i="11"/>
  <c r="N1089" i="11"/>
  <c r="F1089" i="11"/>
  <c r="U1089" i="11"/>
  <c r="O1089" i="11"/>
  <c r="M1089" i="11"/>
  <c r="G1089" i="11"/>
  <c r="E1089" i="11"/>
  <c r="AE1089" i="11"/>
  <c r="AC1089" i="11"/>
  <c r="W1089" i="11"/>
  <c r="AC1060" i="11"/>
  <c r="U1060" i="11"/>
  <c r="M1060" i="11"/>
  <c r="E1060" i="11"/>
  <c r="AB1060" i="11"/>
  <c r="T1060" i="11"/>
  <c r="L1060" i="11"/>
  <c r="AI1060" i="11"/>
  <c r="AA1060" i="11"/>
  <c r="S1060" i="11"/>
  <c r="K1060" i="11"/>
  <c r="AH1060" i="11"/>
  <c r="Z1060" i="11"/>
  <c r="R1060" i="11"/>
  <c r="J1060" i="11"/>
  <c r="AF1060" i="11"/>
  <c r="X1060" i="11"/>
  <c r="P1060" i="11"/>
  <c r="H1060" i="11"/>
  <c r="Q1060" i="11"/>
  <c r="AG1060" i="11"/>
  <c r="N1060" i="11"/>
  <c r="AE1060" i="11"/>
  <c r="I1060" i="11"/>
  <c r="AD1060" i="11"/>
  <c r="G1060" i="11"/>
  <c r="Y1060" i="11"/>
  <c r="F1060" i="11"/>
  <c r="W1060" i="11"/>
  <c r="V1060" i="11"/>
  <c r="O1060" i="11"/>
  <c r="AD1092" i="11"/>
  <c r="V1092" i="11"/>
  <c r="N1092" i="11"/>
  <c r="F1092" i="11"/>
  <c r="AC1092" i="11"/>
  <c r="U1092" i="11"/>
  <c r="M1092" i="11"/>
  <c r="E1092" i="11"/>
  <c r="AB1092" i="11"/>
  <c r="T1092" i="11"/>
  <c r="L1092" i="11"/>
  <c r="AI1092" i="11"/>
  <c r="AA1092" i="11"/>
  <c r="S1092" i="11"/>
  <c r="K1092" i="11"/>
  <c r="AH1092" i="11"/>
  <c r="Z1092" i="11"/>
  <c r="R1092" i="11"/>
  <c r="J1092" i="11"/>
  <c r="AF1092" i="11"/>
  <c r="X1092" i="11"/>
  <c r="P1092" i="11"/>
  <c r="H1092" i="11"/>
  <c r="AE1092" i="11"/>
  <c r="Y1092" i="11"/>
  <c r="W1092" i="11"/>
  <c r="Q1092" i="11"/>
  <c r="O1092" i="11"/>
  <c r="I1092" i="11"/>
  <c r="G1092" i="11"/>
  <c r="AG1092" i="11"/>
  <c r="AD1080" i="11"/>
  <c r="V1080" i="11"/>
  <c r="N1080" i="11"/>
  <c r="F1080" i="11"/>
  <c r="AC1080" i="11"/>
  <c r="U1080" i="11"/>
  <c r="M1080" i="11"/>
  <c r="E1080" i="11"/>
  <c r="AB1080" i="11"/>
  <c r="T1080" i="11"/>
  <c r="L1080" i="11"/>
  <c r="AI1080" i="11"/>
  <c r="AA1080" i="11"/>
  <c r="S1080" i="11"/>
  <c r="K1080" i="11"/>
  <c r="AH1080" i="11"/>
  <c r="Z1080" i="11"/>
  <c r="R1080" i="11"/>
  <c r="J1080" i="11"/>
  <c r="AF1080" i="11"/>
  <c r="X1080" i="11"/>
  <c r="P1080" i="11"/>
  <c r="H1080" i="11"/>
  <c r="AE1080" i="11"/>
  <c r="Y1080" i="11"/>
  <c r="W1080" i="11"/>
  <c r="Q1080" i="11"/>
  <c r="O1080" i="11"/>
  <c r="I1080" i="11"/>
  <c r="G1080" i="11"/>
  <c r="AG1080" i="11"/>
  <c r="N985" i="11"/>
  <c r="F985" i="11"/>
  <c r="M985" i="11"/>
  <c r="E985" i="11"/>
  <c r="L985" i="11"/>
  <c r="AB985" i="11" s="1"/>
  <c r="AC985" i="11" s="1"/>
  <c r="K985" i="11"/>
  <c r="Q985" i="11"/>
  <c r="I985" i="11"/>
  <c r="AF985" i="11"/>
  <c r="H985" i="11"/>
  <c r="O985" i="11"/>
  <c r="J985" i="11"/>
  <c r="G985" i="11"/>
  <c r="AI985" i="11" s="1"/>
  <c r="K1041" i="11"/>
  <c r="I1041" i="11"/>
  <c r="O1041" i="11"/>
  <c r="G1041" i="11"/>
  <c r="N1041" i="11"/>
  <c r="F1041" i="11"/>
  <c r="M1041" i="11"/>
  <c r="L1041" i="11"/>
  <c r="AB1041" i="11" s="1"/>
  <c r="AC1041" i="11" s="1"/>
  <c r="J1041" i="11"/>
  <c r="H1041" i="11"/>
  <c r="E1041" i="11"/>
  <c r="AF1041" i="11"/>
  <c r="D969" i="11"/>
  <c r="N1005" i="11"/>
  <c r="F1005" i="11"/>
  <c r="Q1005" i="11" s="1"/>
  <c r="M1005" i="11"/>
  <c r="E1005" i="11"/>
  <c r="L1005" i="11"/>
  <c r="AB1005" i="11" s="1"/>
  <c r="AC1005" i="11" s="1"/>
  <c r="AI1005" i="11"/>
  <c r="Y1005" i="11" s="1"/>
  <c r="K1005" i="11"/>
  <c r="J1005" i="11"/>
  <c r="I1005" i="11"/>
  <c r="AF1005" i="11"/>
  <c r="H1005" i="11"/>
  <c r="O1005" i="11"/>
  <c r="G1005" i="11"/>
  <c r="D961" i="11"/>
  <c r="K1029" i="11"/>
  <c r="I1029" i="11"/>
  <c r="O1029" i="11"/>
  <c r="G1029" i="11"/>
  <c r="N1029" i="11"/>
  <c r="M1029" i="11"/>
  <c r="L1029" i="11"/>
  <c r="AB1029" i="11" s="1"/>
  <c r="AC1029" i="11" s="1"/>
  <c r="J1029" i="11"/>
  <c r="H1029" i="11"/>
  <c r="AF1029" i="11"/>
  <c r="F1029" i="11"/>
  <c r="E1029" i="11"/>
  <c r="L1006" i="11"/>
  <c r="AI1006" i="11"/>
  <c r="K1006" i="11"/>
  <c r="J1006" i="11"/>
  <c r="Y1006" i="11"/>
  <c r="I1006" i="11"/>
  <c r="AB1006" i="11" s="1"/>
  <c r="AC1006" i="11" s="1"/>
  <c r="AF1006" i="11"/>
  <c r="H1006" i="11"/>
  <c r="O1006" i="11"/>
  <c r="G1006" i="11"/>
  <c r="N1006" i="11"/>
  <c r="F1006" i="11"/>
  <c r="M1006" i="11"/>
  <c r="E1006" i="11"/>
  <c r="I902" i="11"/>
  <c r="O902" i="11"/>
  <c r="G902" i="11"/>
  <c r="M902" i="11"/>
  <c r="E902" i="11"/>
  <c r="AB902" i="11"/>
  <c r="AC902" i="11" s="1"/>
  <c r="L902" i="11"/>
  <c r="H902" i="11"/>
  <c r="F902" i="11"/>
  <c r="AF902" i="11"/>
  <c r="N902" i="11"/>
  <c r="J902" i="11"/>
  <c r="K902" i="11"/>
  <c r="L998" i="11"/>
  <c r="K998" i="11"/>
  <c r="J998" i="11"/>
  <c r="I998" i="11"/>
  <c r="AB998" i="11" s="1"/>
  <c r="AC998" i="11" s="1"/>
  <c r="O998" i="11"/>
  <c r="G998" i="11"/>
  <c r="N998" i="11"/>
  <c r="F998" i="11"/>
  <c r="Q998" i="11" s="1"/>
  <c r="M998" i="11"/>
  <c r="H998" i="11"/>
  <c r="E998" i="11"/>
  <c r="AF998" i="11"/>
  <c r="D967" i="11"/>
  <c r="Q930" i="11"/>
  <c r="I930" i="11"/>
  <c r="AF930" i="11"/>
  <c r="P930" i="11"/>
  <c r="H930" i="11"/>
  <c r="O930" i="11"/>
  <c r="G930" i="11"/>
  <c r="M930" i="11"/>
  <c r="AB930" i="11" s="1"/>
  <c r="AC930" i="11" s="1"/>
  <c r="E930" i="11"/>
  <c r="L930" i="11"/>
  <c r="AI930" i="11"/>
  <c r="Y930" i="11" s="1"/>
  <c r="N930" i="11"/>
  <c r="K930" i="11"/>
  <c r="J930" i="11"/>
  <c r="F930" i="11"/>
  <c r="AF883" i="11"/>
  <c r="H883" i="11"/>
  <c r="AB883" i="11" s="1"/>
  <c r="AC883" i="11" s="1"/>
  <c r="O883" i="11"/>
  <c r="G883" i="11"/>
  <c r="N883" i="11"/>
  <c r="F883" i="11"/>
  <c r="M883" i="11"/>
  <c r="E883" i="11"/>
  <c r="L883" i="11"/>
  <c r="K883" i="11"/>
  <c r="I883" i="11"/>
  <c r="J883" i="11"/>
  <c r="I914" i="11"/>
  <c r="AF914" i="11"/>
  <c r="H914" i="11"/>
  <c r="O914" i="11"/>
  <c r="G914" i="11"/>
  <c r="M914" i="11"/>
  <c r="E914" i="11"/>
  <c r="Q914" i="11" s="1"/>
  <c r="AB914" i="11"/>
  <c r="AC914" i="11" s="1"/>
  <c r="L914" i="11"/>
  <c r="N914" i="11"/>
  <c r="K914" i="11"/>
  <c r="J914" i="11"/>
  <c r="F914" i="11"/>
  <c r="N868" i="11"/>
  <c r="F868" i="11"/>
  <c r="M868" i="11"/>
  <c r="E868" i="11"/>
  <c r="L868" i="11"/>
  <c r="J868" i="11"/>
  <c r="Y868" i="11"/>
  <c r="Q868" i="11"/>
  <c r="I868" i="11"/>
  <c r="AI868" i="11"/>
  <c r="Z868" i="11" s="1"/>
  <c r="AA868" i="11" s="1"/>
  <c r="O868" i="11"/>
  <c r="AF868" i="11"/>
  <c r="K868" i="11"/>
  <c r="H868" i="11"/>
  <c r="AB868" i="11" s="1"/>
  <c r="AC868" i="11" s="1"/>
  <c r="G868" i="11"/>
  <c r="P868" i="11" s="1"/>
  <c r="AD868" i="11" s="1"/>
  <c r="X868" i="11"/>
  <c r="L877" i="11"/>
  <c r="AB877" i="11" s="1"/>
  <c r="AC877" i="11" s="1"/>
  <c r="K877" i="11"/>
  <c r="J877" i="11"/>
  <c r="I877" i="11"/>
  <c r="AF877" i="11"/>
  <c r="H877" i="11"/>
  <c r="O877" i="11"/>
  <c r="G877" i="11"/>
  <c r="AI877" i="11" s="1"/>
  <c r="N877" i="11"/>
  <c r="M877" i="11"/>
  <c r="F877" i="11"/>
  <c r="P877" i="11" s="1"/>
  <c r="E877" i="11"/>
  <c r="L861" i="11"/>
  <c r="AB861" i="11" s="1"/>
  <c r="AC861" i="11" s="1"/>
  <c r="AI861" i="11"/>
  <c r="K861" i="11"/>
  <c r="J861" i="11"/>
  <c r="AF861" i="11"/>
  <c r="H861" i="11"/>
  <c r="O861" i="11"/>
  <c r="G861" i="11"/>
  <c r="X861" i="11" s="1"/>
  <c r="Q861" i="11"/>
  <c r="N861" i="11"/>
  <c r="M861" i="11"/>
  <c r="I861" i="11"/>
  <c r="F861" i="11"/>
  <c r="Y861" i="11"/>
  <c r="E861" i="11"/>
  <c r="I918" i="11"/>
  <c r="AF918" i="11"/>
  <c r="H918" i="11"/>
  <c r="O918" i="11"/>
  <c r="G918" i="11"/>
  <c r="M918" i="11"/>
  <c r="AB918" i="11" s="1"/>
  <c r="AC918" i="11" s="1"/>
  <c r="E918" i="11"/>
  <c r="L918" i="11"/>
  <c r="N918" i="11"/>
  <c r="K918" i="11"/>
  <c r="J918" i="11"/>
  <c r="F918" i="11"/>
  <c r="AF835" i="11"/>
  <c r="H835" i="11"/>
  <c r="O835" i="11"/>
  <c r="G835" i="11"/>
  <c r="AI835" i="11" s="1"/>
  <c r="K835" i="11"/>
  <c r="Q835" i="11"/>
  <c r="N835" i="11"/>
  <c r="M835" i="11"/>
  <c r="AB835" i="11" s="1"/>
  <c r="AC835" i="11" s="1"/>
  <c r="L835" i="11"/>
  <c r="J835" i="11"/>
  <c r="I835" i="11"/>
  <c r="E835" i="11"/>
  <c r="F835" i="11"/>
  <c r="D771" i="11"/>
  <c r="D817" i="11"/>
  <c r="D823" i="11"/>
  <c r="D822" i="11"/>
  <c r="AE737" i="11"/>
  <c r="W737" i="11"/>
  <c r="O737" i="11"/>
  <c r="G737" i="11"/>
  <c r="AD737" i="11"/>
  <c r="V737" i="11"/>
  <c r="N737" i="11"/>
  <c r="F737" i="11"/>
  <c r="AC737" i="11"/>
  <c r="U737" i="11"/>
  <c r="M737" i="11"/>
  <c r="E737" i="11"/>
  <c r="AB737" i="11"/>
  <c r="T737" i="11"/>
  <c r="L737" i="11"/>
  <c r="AI737" i="11"/>
  <c r="AA737" i="11"/>
  <c r="S737" i="11"/>
  <c r="K737" i="11"/>
  <c r="AH737" i="11"/>
  <c r="Z737" i="11"/>
  <c r="R737" i="11"/>
  <c r="J737" i="11"/>
  <c r="AG737" i="11"/>
  <c r="Y737" i="11"/>
  <c r="Q737" i="11"/>
  <c r="I737" i="11"/>
  <c r="H737" i="11"/>
  <c r="AF737" i="11"/>
  <c r="X737" i="11"/>
  <c r="P737" i="11"/>
  <c r="D825" i="11"/>
  <c r="AC754" i="11"/>
  <c r="U754" i="11"/>
  <c r="M754" i="11"/>
  <c r="E754" i="11"/>
  <c r="AB754" i="11"/>
  <c r="T754" i="11"/>
  <c r="L754" i="11"/>
  <c r="AI754" i="11"/>
  <c r="AA754" i="11"/>
  <c r="S754" i="11"/>
  <c r="K754" i="11"/>
  <c r="AH754" i="11"/>
  <c r="Z754" i="11"/>
  <c r="R754" i="11"/>
  <c r="J754" i="11"/>
  <c r="AG754" i="11"/>
  <c r="Y754" i="11"/>
  <c r="Q754" i="11"/>
  <c r="I754" i="11"/>
  <c r="AF754" i="11"/>
  <c r="X754" i="11"/>
  <c r="P754" i="11"/>
  <c r="H754" i="11"/>
  <c r="AE754" i="11"/>
  <c r="W754" i="11"/>
  <c r="O754" i="11"/>
  <c r="G754" i="11"/>
  <c r="V754" i="11"/>
  <c r="N754" i="11"/>
  <c r="F754" i="11"/>
  <c r="AD754" i="11"/>
  <c r="AC722" i="11"/>
  <c r="U722" i="11"/>
  <c r="M722" i="11"/>
  <c r="E722" i="11"/>
  <c r="AB722" i="11"/>
  <c r="T722" i="11"/>
  <c r="L722" i="11"/>
  <c r="AI722" i="11"/>
  <c r="AA722" i="11"/>
  <c r="S722" i="11"/>
  <c r="K722" i="11"/>
  <c r="AH722" i="11"/>
  <c r="Z722" i="11"/>
  <c r="R722" i="11"/>
  <c r="J722" i="11"/>
  <c r="AG722" i="11"/>
  <c r="Y722" i="11"/>
  <c r="Q722" i="11"/>
  <c r="I722" i="11"/>
  <c r="AF722" i="11"/>
  <c r="X722" i="11"/>
  <c r="P722" i="11"/>
  <c r="H722" i="11"/>
  <c r="AE722" i="11"/>
  <c r="W722" i="11"/>
  <c r="O722" i="11"/>
  <c r="G722" i="11"/>
  <c r="V722" i="11"/>
  <c r="N722" i="11"/>
  <c r="F722" i="11"/>
  <c r="AD722" i="11"/>
  <c r="D784" i="11"/>
  <c r="AG704" i="11"/>
  <c r="Y704" i="11"/>
  <c r="Q704" i="11"/>
  <c r="I704" i="11"/>
  <c r="AF704" i="11"/>
  <c r="X704" i="11"/>
  <c r="P704" i="11"/>
  <c r="H704" i="11"/>
  <c r="AD704" i="11"/>
  <c r="V704" i="11"/>
  <c r="N704" i="11"/>
  <c r="F704" i="11"/>
  <c r="AC704" i="11"/>
  <c r="U704" i="11"/>
  <c r="M704" i="11"/>
  <c r="E704" i="11"/>
  <c r="AB704" i="11"/>
  <c r="T704" i="11"/>
  <c r="L704" i="11"/>
  <c r="W704" i="11"/>
  <c r="S704" i="11"/>
  <c r="R704" i="11"/>
  <c r="AI704" i="11"/>
  <c r="O704" i="11"/>
  <c r="AH704" i="11"/>
  <c r="K704" i="11"/>
  <c r="AE704" i="11"/>
  <c r="J704" i="11"/>
  <c r="AA704" i="11"/>
  <c r="G704" i="11"/>
  <c r="Z704" i="11"/>
  <c r="AG748" i="11"/>
  <c r="Y748" i="11"/>
  <c r="Q748" i="11"/>
  <c r="I748" i="11"/>
  <c r="AF748" i="11"/>
  <c r="X748" i="11"/>
  <c r="P748" i="11"/>
  <c r="H748" i="11"/>
  <c r="AE748" i="11"/>
  <c r="W748" i="11"/>
  <c r="O748" i="11"/>
  <c r="G748" i="11"/>
  <c r="AD748" i="11"/>
  <c r="V748" i="11"/>
  <c r="N748" i="11"/>
  <c r="F748" i="11"/>
  <c r="AC748" i="11"/>
  <c r="U748" i="11"/>
  <c r="M748" i="11"/>
  <c r="E748" i="11"/>
  <c r="AB748" i="11"/>
  <c r="T748" i="11"/>
  <c r="L748" i="11"/>
  <c r="AI748" i="11"/>
  <c r="AA748" i="11"/>
  <c r="S748" i="11"/>
  <c r="K748" i="11"/>
  <c r="AH748" i="11"/>
  <c r="Z748" i="11"/>
  <c r="R748" i="11"/>
  <c r="J748" i="11"/>
  <c r="AD681" i="11"/>
  <c r="V681" i="11"/>
  <c r="N681" i="11"/>
  <c r="F681" i="11"/>
  <c r="AC681" i="11"/>
  <c r="U681" i="11"/>
  <c r="M681" i="11"/>
  <c r="E681" i="11"/>
  <c r="AB681" i="11"/>
  <c r="T681" i="11"/>
  <c r="L681" i="11"/>
  <c r="AI681" i="11"/>
  <c r="AA681" i="11"/>
  <c r="S681" i="11"/>
  <c r="K681" i="11"/>
  <c r="AH681" i="11"/>
  <c r="Z681" i="11"/>
  <c r="R681" i="11"/>
  <c r="J681" i="11"/>
  <c r="AG681" i="11"/>
  <c r="Y681" i="11"/>
  <c r="Q681" i="11"/>
  <c r="I681" i="11"/>
  <c r="AF681" i="11"/>
  <c r="X681" i="11"/>
  <c r="P681" i="11"/>
  <c r="H681" i="11"/>
  <c r="W681" i="11"/>
  <c r="O681" i="11"/>
  <c r="G681" i="11"/>
  <c r="AE681" i="11"/>
  <c r="N649" i="11"/>
  <c r="F649" i="11"/>
  <c r="M649" i="11"/>
  <c r="AB649" i="11" s="1"/>
  <c r="AC649" i="11" s="1"/>
  <c r="E649" i="11"/>
  <c r="L649" i="11"/>
  <c r="K649" i="11"/>
  <c r="J649" i="11"/>
  <c r="I649" i="11"/>
  <c r="AF649" i="11"/>
  <c r="H649" i="11"/>
  <c r="O649" i="11"/>
  <c r="G649" i="11"/>
  <c r="J619" i="11"/>
  <c r="I619" i="11"/>
  <c r="AF619" i="11"/>
  <c r="H619" i="11"/>
  <c r="O619" i="11"/>
  <c r="G619" i="11"/>
  <c r="M619" i="11"/>
  <c r="E619" i="11"/>
  <c r="L619" i="11"/>
  <c r="AB619" i="11" s="1"/>
  <c r="AC619" i="11" s="1"/>
  <c r="N619" i="11"/>
  <c r="K619" i="11"/>
  <c r="F619" i="11"/>
  <c r="AH587" i="11"/>
  <c r="Z587" i="11"/>
  <c r="R587" i="11"/>
  <c r="J587" i="11"/>
  <c r="AG587" i="11"/>
  <c r="Y587" i="11"/>
  <c r="Q587" i="11"/>
  <c r="I587" i="11"/>
  <c r="AF587" i="11"/>
  <c r="X587" i="11"/>
  <c r="P587" i="11"/>
  <c r="H587" i="11"/>
  <c r="AE587" i="11"/>
  <c r="W587" i="11"/>
  <c r="O587" i="11"/>
  <c r="G587" i="11"/>
  <c r="AC587" i="11"/>
  <c r="U587" i="11"/>
  <c r="M587" i="11"/>
  <c r="E587" i="11"/>
  <c r="AB587" i="11"/>
  <c r="T587" i="11"/>
  <c r="L587" i="11"/>
  <c r="N587" i="11"/>
  <c r="K587" i="11"/>
  <c r="F587" i="11"/>
  <c r="AI587" i="11"/>
  <c r="AD587" i="11"/>
  <c r="AA587" i="11"/>
  <c r="V587" i="11"/>
  <c r="S587" i="11"/>
  <c r="AH555" i="11"/>
  <c r="Z555" i="11"/>
  <c r="R555" i="11"/>
  <c r="J555" i="11"/>
  <c r="AG555" i="11"/>
  <c r="Y555" i="11"/>
  <c r="Q555" i="11"/>
  <c r="I555" i="11"/>
  <c r="AF555" i="11"/>
  <c r="X555" i="11"/>
  <c r="P555" i="11"/>
  <c r="H555" i="11"/>
  <c r="AC555" i="11"/>
  <c r="U555" i="11"/>
  <c r="M555" i="11"/>
  <c r="E555" i="11"/>
  <c r="AB555" i="11"/>
  <c r="T555" i="11"/>
  <c r="L555" i="11"/>
  <c r="AE555" i="11"/>
  <c r="K555" i="11"/>
  <c r="AD555" i="11"/>
  <c r="G555" i="11"/>
  <c r="AA555" i="11"/>
  <c r="F555" i="11"/>
  <c r="W555" i="11"/>
  <c r="V555" i="11"/>
  <c r="AI555" i="11"/>
  <c r="S555" i="11"/>
  <c r="O555" i="11"/>
  <c r="N555" i="11"/>
  <c r="AB678" i="11"/>
  <c r="T678" i="11"/>
  <c r="L678" i="11"/>
  <c r="AI678" i="11"/>
  <c r="AA678" i="11"/>
  <c r="S678" i="11"/>
  <c r="K678" i="11"/>
  <c r="AH678" i="11"/>
  <c r="Z678" i="11"/>
  <c r="R678" i="11"/>
  <c r="J678" i="11"/>
  <c r="AG678" i="11"/>
  <c r="Y678" i="11"/>
  <c r="Q678" i="11"/>
  <c r="I678" i="11"/>
  <c r="AF678" i="11"/>
  <c r="X678" i="11"/>
  <c r="P678" i="11"/>
  <c r="H678" i="11"/>
  <c r="AE678" i="11"/>
  <c r="W678" i="11"/>
  <c r="O678" i="11"/>
  <c r="G678" i="11"/>
  <c r="AD678" i="11"/>
  <c r="V678" i="11"/>
  <c r="N678" i="11"/>
  <c r="F678" i="11"/>
  <c r="AC678" i="11"/>
  <c r="U678" i="11"/>
  <c r="M678" i="11"/>
  <c r="E678" i="11"/>
  <c r="AB614" i="11"/>
  <c r="T614" i="11"/>
  <c r="L614" i="11"/>
  <c r="AI614" i="11"/>
  <c r="AA614" i="11"/>
  <c r="S614" i="11"/>
  <c r="K614" i="11"/>
  <c r="AH614" i="11"/>
  <c r="Z614" i="11"/>
  <c r="R614" i="11"/>
  <c r="J614" i="11"/>
  <c r="AG614" i="11"/>
  <c r="Y614" i="11"/>
  <c r="Q614" i="11"/>
  <c r="I614" i="11"/>
  <c r="AE614" i="11"/>
  <c r="W614" i="11"/>
  <c r="O614" i="11"/>
  <c r="G614" i="11"/>
  <c r="AD614" i="11"/>
  <c r="V614" i="11"/>
  <c r="N614" i="11"/>
  <c r="F614" i="11"/>
  <c r="U614" i="11"/>
  <c r="P614" i="11"/>
  <c r="M614" i="11"/>
  <c r="H614" i="11"/>
  <c r="E614" i="11"/>
  <c r="AF614" i="11"/>
  <c r="AC614" i="11"/>
  <c r="X614" i="11"/>
  <c r="AD593" i="11"/>
  <c r="V593" i="11"/>
  <c r="N593" i="11"/>
  <c r="F593" i="11"/>
  <c r="AC593" i="11"/>
  <c r="U593" i="11"/>
  <c r="M593" i="11"/>
  <c r="E593" i="11"/>
  <c r="AB593" i="11"/>
  <c r="T593" i="11"/>
  <c r="L593" i="11"/>
  <c r="AI593" i="11"/>
  <c r="AA593" i="11"/>
  <c r="S593" i="11"/>
  <c r="K593" i="11"/>
  <c r="AG593" i="11"/>
  <c r="Y593" i="11"/>
  <c r="Q593" i="11"/>
  <c r="I593" i="11"/>
  <c r="AF593" i="11"/>
  <c r="X593" i="11"/>
  <c r="P593" i="11"/>
  <c r="H593" i="11"/>
  <c r="AE593" i="11"/>
  <c r="Z593" i="11"/>
  <c r="W593" i="11"/>
  <c r="R593" i="11"/>
  <c r="O593" i="11"/>
  <c r="G593" i="11"/>
  <c r="AH593" i="11"/>
  <c r="J593" i="11"/>
  <c r="AG760" i="11"/>
  <c r="Y760" i="11"/>
  <c r="Q760" i="11"/>
  <c r="I760" i="11"/>
  <c r="AF760" i="11"/>
  <c r="X760" i="11"/>
  <c r="P760" i="11"/>
  <c r="H760" i="11"/>
  <c r="AE760" i="11"/>
  <c r="W760" i="11"/>
  <c r="O760" i="11"/>
  <c r="G760" i="11"/>
  <c r="AD760" i="11"/>
  <c r="V760" i="11"/>
  <c r="N760" i="11"/>
  <c r="F760" i="11"/>
  <c r="AC760" i="11"/>
  <c r="U760" i="11"/>
  <c r="M760" i="11"/>
  <c r="E760" i="11"/>
  <c r="AB760" i="11"/>
  <c r="T760" i="11"/>
  <c r="L760" i="11"/>
  <c r="AI760" i="11"/>
  <c r="AA760" i="11"/>
  <c r="S760" i="11"/>
  <c r="K760" i="11"/>
  <c r="AH760" i="11"/>
  <c r="Z760" i="11"/>
  <c r="R760" i="11"/>
  <c r="J760" i="11"/>
  <c r="L650" i="11"/>
  <c r="K650" i="11"/>
  <c r="J650" i="11"/>
  <c r="I650" i="11"/>
  <c r="AF650" i="11"/>
  <c r="H650" i="11"/>
  <c r="O650" i="11"/>
  <c r="G650" i="11"/>
  <c r="N650" i="11"/>
  <c r="F650" i="11"/>
  <c r="M650" i="11"/>
  <c r="AB650" i="11" s="1"/>
  <c r="AC650" i="11" s="1"/>
  <c r="E650" i="11"/>
  <c r="AD517" i="11"/>
  <c r="V517" i="11"/>
  <c r="N517" i="11"/>
  <c r="F517" i="11"/>
  <c r="AC517" i="11"/>
  <c r="U517" i="11"/>
  <c r="M517" i="11"/>
  <c r="E517" i="11"/>
  <c r="AB517" i="11"/>
  <c r="T517" i="11"/>
  <c r="L517" i="11"/>
  <c r="AH517" i="11"/>
  <c r="Z517" i="11"/>
  <c r="R517" i="11"/>
  <c r="J517" i="11"/>
  <c r="X517" i="11"/>
  <c r="H517" i="11"/>
  <c r="W517" i="11"/>
  <c r="G517" i="11"/>
  <c r="AI517" i="11"/>
  <c r="S517" i="11"/>
  <c r="AG517" i="11"/>
  <c r="Q517" i="11"/>
  <c r="AF517" i="11"/>
  <c r="P517" i="11"/>
  <c r="AA517" i="11"/>
  <c r="Y517" i="11"/>
  <c r="O517" i="11"/>
  <c r="K517" i="11"/>
  <c r="I517" i="11"/>
  <c r="AE517" i="11"/>
  <c r="D485" i="11"/>
  <c r="AB686" i="11"/>
  <c r="T686" i="11"/>
  <c r="L686" i="11"/>
  <c r="AI686" i="11"/>
  <c r="AA686" i="11"/>
  <c r="S686" i="11"/>
  <c r="K686" i="11"/>
  <c r="AH686" i="11"/>
  <c r="Z686" i="11"/>
  <c r="R686" i="11"/>
  <c r="J686" i="11"/>
  <c r="AG686" i="11"/>
  <c r="Y686" i="11"/>
  <c r="Q686" i="11"/>
  <c r="I686" i="11"/>
  <c r="AF686" i="11"/>
  <c r="X686" i="11"/>
  <c r="P686" i="11"/>
  <c r="H686" i="11"/>
  <c r="AE686" i="11"/>
  <c r="W686" i="11"/>
  <c r="O686" i="11"/>
  <c r="G686" i="11"/>
  <c r="AD686" i="11"/>
  <c r="V686" i="11"/>
  <c r="N686" i="11"/>
  <c r="F686" i="11"/>
  <c r="AC686" i="11"/>
  <c r="U686" i="11"/>
  <c r="M686" i="11"/>
  <c r="E686" i="11"/>
  <c r="AB618" i="11"/>
  <c r="AC618" i="11" s="1"/>
  <c r="L618" i="11"/>
  <c r="K618" i="11"/>
  <c r="J618" i="11"/>
  <c r="I618" i="11"/>
  <c r="O618" i="11"/>
  <c r="G618" i="11"/>
  <c r="R618" i="11" s="1"/>
  <c r="N618" i="11"/>
  <c r="F618" i="11"/>
  <c r="P618" i="11"/>
  <c r="M618" i="11"/>
  <c r="H618" i="11"/>
  <c r="E618" i="11"/>
  <c r="AF618" i="11"/>
  <c r="AF528" i="11"/>
  <c r="X528" i="11"/>
  <c r="P528" i="11"/>
  <c r="H528" i="11"/>
  <c r="AE528" i="11"/>
  <c r="W528" i="11"/>
  <c r="O528" i="11"/>
  <c r="G528" i="11"/>
  <c r="AD528" i="11"/>
  <c r="V528" i="11"/>
  <c r="N528" i="11"/>
  <c r="F528" i="11"/>
  <c r="AB528" i="11"/>
  <c r="T528" i="11"/>
  <c r="L528" i="11"/>
  <c r="AA528" i="11"/>
  <c r="K528" i="11"/>
  <c r="Z528" i="11"/>
  <c r="J528" i="11"/>
  <c r="Y528" i="11"/>
  <c r="I528" i="11"/>
  <c r="U528" i="11"/>
  <c r="E528" i="11"/>
  <c r="AI528" i="11"/>
  <c r="S528" i="11"/>
  <c r="AG528" i="11"/>
  <c r="AC528" i="11"/>
  <c r="R528" i="11"/>
  <c r="Q528" i="11"/>
  <c r="M528" i="11"/>
  <c r="AH528" i="11"/>
  <c r="D496" i="11"/>
  <c r="AE464" i="11"/>
  <c r="W464" i="11"/>
  <c r="O464" i="11"/>
  <c r="G464" i="11"/>
  <c r="AD464" i="11"/>
  <c r="V464" i="11"/>
  <c r="N464" i="11"/>
  <c r="F464" i="11"/>
  <c r="AB464" i="11"/>
  <c r="T464" i="11"/>
  <c r="L464" i="11"/>
  <c r="AI464" i="11"/>
  <c r="X464" i="11"/>
  <c r="J464" i="11"/>
  <c r="AH464" i="11"/>
  <c r="U464" i="11"/>
  <c r="I464" i="11"/>
  <c r="AG464" i="11"/>
  <c r="S464" i="11"/>
  <c r="H464" i="11"/>
  <c r="AF464" i="11"/>
  <c r="R464" i="11"/>
  <c r="E464" i="11"/>
  <c r="AC464" i="11"/>
  <c r="Q464" i="11"/>
  <c r="M464" i="11"/>
  <c r="K464" i="11"/>
  <c r="AA464" i="11"/>
  <c r="Z464" i="11"/>
  <c r="Y464" i="11"/>
  <c r="P464" i="11"/>
  <c r="O432" i="11"/>
  <c r="G432" i="11"/>
  <c r="R432" i="11" s="1"/>
  <c r="N432" i="11"/>
  <c r="F432" i="11"/>
  <c r="L432" i="11"/>
  <c r="AI432" i="11"/>
  <c r="J432" i="11"/>
  <c r="I432" i="11"/>
  <c r="H432" i="11"/>
  <c r="AF432" i="11"/>
  <c r="E432" i="11"/>
  <c r="M432" i="11"/>
  <c r="K432" i="11"/>
  <c r="P432" i="11"/>
  <c r="AG471" i="11"/>
  <c r="Y471" i="11"/>
  <c r="Q471" i="11"/>
  <c r="I471" i="11"/>
  <c r="AF471" i="11"/>
  <c r="X471" i="11"/>
  <c r="P471" i="11"/>
  <c r="H471" i="11"/>
  <c r="AD471" i="11"/>
  <c r="V471" i="11"/>
  <c r="N471" i="11"/>
  <c r="F471" i="11"/>
  <c r="AE471" i="11"/>
  <c r="S471" i="11"/>
  <c r="E471" i="11"/>
  <c r="AC471" i="11"/>
  <c r="R471" i="11"/>
  <c r="AB471" i="11"/>
  <c r="O471" i="11"/>
  <c r="AA471" i="11"/>
  <c r="M471" i="11"/>
  <c r="Z471" i="11"/>
  <c r="L471" i="11"/>
  <c r="AI471" i="11"/>
  <c r="AH471" i="11"/>
  <c r="W471" i="11"/>
  <c r="U471" i="11"/>
  <c r="T471" i="11"/>
  <c r="K471" i="11"/>
  <c r="J471" i="11"/>
  <c r="G471" i="11"/>
  <c r="L626" i="11"/>
  <c r="AI626" i="11"/>
  <c r="K626" i="11"/>
  <c r="J626" i="11"/>
  <c r="I626" i="11"/>
  <c r="AB626" i="11" s="1"/>
  <c r="AC626" i="11" s="1"/>
  <c r="AF626" i="11"/>
  <c r="H626" i="11"/>
  <c r="O626" i="11"/>
  <c r="G626" i="11"/>
  <c r="N626" i="11"/>
  <c r="F626" i="11"/>
  <c r="M626" i="11"/>
  <c r="E626" i="11"/>
  <c r="AG443" i="11"/>
  <c r="Y443" i="11"/>
  <c r="Q443" i="11"/>
  <c r="I443" i="11"/>
  <c r="AF443" i="11"/>
  <c r="X443" i="11"/>
  <c r="P443" i="11"/>
  <c r="H443" i="11"/>
  <c r="AD443" i="11"/>
  <c r="V443" i="11"/>
  <c r="N443" i="11"/>
  <c r="F443" i="11"/>
  <c r="AE443" i="11"/>
  <c r="S443" i="11"/>
  <c r="E443" i="11"/>
  <c r="AC443" i="11"/>
  <c r="R443" i="11"/>
  <c r="AB443" i="11"/>
  <c r="O443" i="11"/>
  <c r="AA443" i="11"/>
  <c r="M443" i="11"/>
  <c r="Z443" i="11"/>
  <c r="L443" i="11"/>
  <c r="J443" i="11"/>
  <c r="G443" i="11"/>
  <c r="AI443" i="11"/>
  <c r="AH443" i="11"/>
  <c r="W443" i="11"/>
  <c r="U443" i="11"/>
  <c r="K443" i="11"/>
  <c r="T443" i="11"/>
  <c r="M379" i="11"/>
  <c r="E379" i="11"/>
  <c r="L379" i="11"/>
  <c r="AB379" i="11" s="1"/>
  <c r="AC379" i="11" s="1"/>
  <c r="J379" i="11"/>
  <c r="Q379" i="11"/>
  <c r="I379" i="11"/>
  <c r="G379" i="11"/>
  <c r="F379" i="11"/>
  <c r="AF379" i="11"/>
  <c r="P379" i="11"/>
  <c r="O379" i="11"/>
  <c r="N379" i="11"/>
  <c r="K379" i="11"/>
  <c r="H379" i="11"/>
  <c r="M347" i="11"/>
  <c r="E347" i="11"/>
  <c r="L347" i="11"/>
  <c r="R347" i="11" s="1"/>
  <c r="J347" i="11"/>
  <c r="I347" i="11"/>
  <c r="G347" i="11"/>
  <c r="F347" i="11"/>
  <c r="AI347" i="11"/>
  <c r="AF347" i="11"/>
  <c r="P347" i="11"/>
  <c r="O347" i="11"/>
  <c r="N347" i="11"/>
  <c r="K347" i="11"/>
  <c r="H347" i="11"/>
  <c r="AD581" i="11"/>
  <c r="V581" i="11"/>
  <c r="N581" i="11"/>
  <c r="F581" i="11"/>
  <c r="AC581" i="11"/>
  <c r="U581" i="11"/>
  <c r="M581" i="11"/>
  <c r="E581" i="11"/>
  <c r="AB581" i="11"/>
  <c r="T581" i="11"/>
  <c r="L581" i="11"/>
  <c r="AI581" i="11"/>
  <c r="AA581" i="11"/>
  <c r="S581" i="11"/>
  <c r="K581" i="11"/>
  <c r="AG581" i="11"/>
  <c r="Y581" i="11"/>
  <c r="Q581" i="11"/>
  <c r="I581" i="11"/>
  <c r="AF581" i="11"/>
  <c r="X581" i="11"/>
  <c r="P581" i="11"/>
  <c r="H581" i="11"/>
  <c r="AE581" i="11"/>
  <c r="Z581" i="11"/>
  <c r="W581" i="11"/>
  <c r="R581" i="11"/>
  <c r="O581" i="11"/>
  <c r="AH581" i="11"/>
  <c r="J581" i="11"/>
  <c r="G581" i="11"/>
  <c r="M421" i="11"/>
  <c r="E421" i="11"/>
  <c r="L421" i="11"/>
  <c r="J421" i="11"/>
  <c r="N421" i="11"/>
  <c r="K421" i="11"/>
  <c r="I421" i="11"/>
  <c r="H421" i="11"/>
  <c r="AB421" i="11" s="1"/>
  <c r="AC421" i="11" s="1"/>
  <c r="AF421" i="11"/>
  <c r="G421" i="11"/>
  <c r="S421" i="11" s="1"/>
  <c r="Y421" i="11" s="1"/>
  <c r="Q421" i="11"/>
  <c r="P421" i="11"/>
  <c r="R421" i="11" s="1"/>
  <c r="O421" i="11"/>
  <c r="F421" i="11"/>
  <c r="O386" i="11"/>
  <c r="G386" i="11"/>
  <c r="S386" i="11" s="1"/>
  <c r="Y386" i="11" s="1"/>
  <c r="N386" i="11"/>
  <c r="F386" i="11"/>
  <c r="L386" i="11"/>
  <c r="AI386" i="11"/>
  <c r="K386" i="11"/>
  <c r="J386" i="11"/>
  <c r="I386" i="11"/>
  <c r="H386" i="11"/>
  <c r="E386" i="11"/>
  <c r="Q386" i="11"/>
  <c r="AF386" i="11"/>
  <c r="M386" i="11"/>
  <c r="O354" i="11"/>
  <c r="G354" i="11"/>
  <c r="N354" i="11"/>
  <c r="F354" i="11"/>
  <c r="L354" i="11"/>
  <c r="AB354" i="11" s="1"/>
  <c r="AC354" i="11" s="1"/>
  <c r="AI354" i="11"/>
  <c r="K354" i="11"/>
  <c r="J354" i="11"/>
  <c r="I354" i="11"/>
  <c r="H354" i="11"/>
  <c r="E354" i="11"/>
  <c r="AF354" i="11"/>
  <c r="M354" i="11"/>
  <c r="D544" i="11"/>
  <c r="AE325" i="11"/>
  <c r="W325" i="11"/>
  <c r="O325" i="11"/>
  <c r="G325" i="11"/>
  <c r="AD325" i="11"/>
  <c r="V325" i="11"/>
  <c r="N325" i="11"/>
  <c r="F325" i="11"/>
  <c r="AC325" i="11"/>
  <c r="U325" i="11"/>
  <c r="M325" i="11"/>
  <c r="E325" i="11"/>
  <c r="AB325" i="11"/>
  <c r="T325" i="11"/>
  <c r="L325" i="11"/>
  <c r="AH325" i="11"/>
  <c r="Z325" i="11"/>
  <c r="R325" i="11"/>
  <c r="J325" i="11"/>
  <c r="Y325" i="11"/>
  <c r="X325" i="11"/>
  <c r="S325" i="11"/>
  <c r="Q325" i="11"/>
  <c r="AI325" i="11"/>
  <c r="P325" i="11"/>
  <c r="AG325" i="11"/>
  <c r="K325" i="11"/>
  <c r="AF325" i="11"/>
  <c r="AA325" i="11"/>
  <c r="I325" i="11"/>
  <c r="H325" i="11"/>
  <c r="AC294" i="11"/>
  <c r="U294" i="11"/>
  <c r="M294" i="11"/>
  <c r="E294" i="11"/>
  <c r="AB294" i="11"/>
  <c r="T294" i="11"/>
  <c r="L294" i="11"/>
  <c r="AH294" i="11"/>
  <c r="Z294" i="11"/>
  <c r="R294" i="11"/>
  <c r="J294" i="11"/>
  <c r="AF294" i="11"/>
  <c r="X294" i="11"/>
  <c r="P294" i="11"/>
  <c r="H294" i="11"/>
  <c r="AI294" i="11"/>
  <c r="S294" i="11"/>
  <c r="AG294" i="11"/>
  <c r="Q294" i="11"/>
  <c r="AE294" i="11"/>
  <c r="O294" i="11"/>
  <c r="AD294" i="11"/>
  <c r="N294" i="11"/>
  <c r="AA294" i="11"/>
  <c r="K294" i="11"/>
  <c r="Y294" i="11"/>
  <c r="I294" i="11"/>
  <c r="W294" i="11"/>
  <c r="V294" i="11"/>
  <c r="G294" i="11"/>
  <c r="F294" i="11"/>
  <c r="M262" i="11"/>
  <c r="E262" i="11"/>
  <c r="AB262" i="11"/>
  <c r="AC262" i="11" s="1"/>
  <c r="L262" i="11"/>
  <c r="J262" i="11"/>
  <c r="AF262" i="11"/>
  <c r="H262" i="11"/>
  <c r="O262" i="11"/>
  <c r="N262" i="11"/>
  <c r="K262" i="11"/>
  <c r="I262" i="11"/>
  <c r="G262" i="11"/>
  <c r="AI262" i="11" s="1"/>
  <c r="F262" i="11"/>
  <c r="D535" i="11"/>
  <c r="AF414" i="11"/>
  <c r="H414" i="11"/>
  <c r="I414" i="11"/>
  <c r="AI414" i="11"/>
  <c r="Q414" i="11"/>
  <c r="G414" i="11"/>
  <c r="P414" i="11" s="1"/>
  <c r="R414" i="11" s="1"/>
  <c r="O414" i="11"/>
  <c r="F414" i="11"/>
  <c r="N414" i="11"/>
  <c r="E414" i="11"/>
  <c r="M414" i="11"/>
  <c r="S414" i="11" s="1"/>
  <c r="Y414" i="11" s="1"/>
  <c r="L414" i="11"/>
  <c r="AB414" i="11" s="1"/>
  <c r="AC414" i="11" s="1"/>
  <c r="K414" i="11"/>
  <c r="J414" i="11"/>
  <c r="AC318" i="11"/>
  <c r="U318" i="11"/>
  <c r="M318" i="11"/>
  <c r="E318" i="11"/>
  <c r="AB318" i="11"/>
  <c r="T318" i="11"/>
  <c r="L318" i="11"/>
  <c r="AI318" i="11"/>
  <c r="AA318" i="11"/>
  <c r="S318" i="11"/>
  <c r="K318" i="11"/>
  <c r="AH318" i="11"/>
  <c r="Z318" i="11"/>
  <c r="R318" i="11"/>
  <c r="J318" i="11"/>
  <c r="AF318" i="11"/>
  <c r="X318" i="11"/>
  <c r="P318" i="11"/>
  <c r="H318" i="11"/>
  <c r="AD318" i="11"/>
  <c r="G318" i="11"/>
  <c r="Y318" i="11"/>
  <c r="F318" i="11"/>
  <c r="W318" i="11"/>
  <c r="V318" i="11"/>
  <c r="Q318" i="11"/>
  <c r="O318" i="11"/>
  <c r="AG318" i="11"/>
  <c r="AE318" i="11"/>
  <c r="N318" i="11"/>
  <c r="I318" i="11"/>
  <c r="O285" i="11"/>
  <c r="G285" i="11"/>
  <c r="N285" i="11"/>
  <c r="F285" i="11"/>
  <c r="Q285" i="11" s="1"/>
  <c r="L285" i="11"/>
  <c r="J285" i="11"/>
  <c r="H285" i="11"/>
  <c r="AB285" i="11" s="1"/>
  <c r="AC285" i="11" s="1"/>
  <c r="E285" i="11"/>
  <c r="AI285" i="11"/>
  <c r="AF285" i="11"/>
  <c r="M285" i="11"/>
  <c r="K285" i="11"/>
  <c r="I285" i="11"/>
  <c r="AE253" i="11"/>
  <c r="W253" i="11"/>
  <c r="O253" i="11"/>
  <c r="G253" i="11"/>
  <c r="AD253" i="11"/>
  <c r="V253" i="11"/>
  <c r="N253" i="11"/>
  <c r="F253" i="11"/>
  <c r="AB253" i="11"/>
  <c r="T253" i="11"/>
  <c r="L253" i="11"/>
  <c r="AH253" i="11"/>
  <c r="Z253" i="11"/>
  <c r="R253" i="11"/>
  <c r="J253" i="11"/>
  <c r="X253" i="11"/>
  <c r="H253" i="11"/>
  <c r="U253" i="11"/>
  <c r="E253" i="11"/>
  <c r="AI253" i="11"/>
  <c r="S253" i="11"/>
  <c r="AG253" i="11"/>
  <c r="Q253" i="11"/>
  <c r="AF253" i="11"/>
  <c r="P253" i="11"/>
  <c r="AC253" i="11"/>
  <c r="M253" i="11"/>
  <c r="K253" i="11"/>
  <c r="I253" i="11"/>
  <c r="AA253" i="11"/>
  <c r="Y253" i="11"/>
  <c r="N621" i="11"/>
  <c r="F621" i="11"/>
  <c r="P621" i="11" s="1"/>
  <c r="M621" i="11"/>
  <c r="E621" i="11"/>
  <c r="AB621" i="11"/>
  <c r="AC621" i="11" s="1"/>
  <c r="L621" i="11"/>
  <c r="AI621" i="11"/>
  <c r="K621" i="11"/>
  <c r="Q621" i="11"/>
  <c r="S621" i="11" s="1"/>
  <c r="Y621" i="11" s="1"/>
  <c r="I621" i="11"/>
  <c r="AF621" i="11"/>
  <c r="H621" i="11"/>
  <c r="O621" i="11"/>
  <c r="J621" i="11"/>
  <c r="G621" i="11"/>
  <c r="AG304" i="11"/>
  <c r="Y304" i="11"/>
  <c r="Q304" i="11"/>
  <c r="I304" i="11"/>
  <c r="AF304" i="11"/>
  <c r="X304" i="11"/>
  <c r="P304" i="11"/>
  <c r="H304" i="11"/>
  <c r="AD304" i="11"/>
  <c r="V304" i="11"/>
  <c r="N304" i="11"/>
  <c r="F304" i="11"/>
  <c r="AB304" i="11"/>
  <c r="T304" i="11"/>
  <c r="L304" i="11"/>
  <c r="AA304" i="11"/>
  <c r="K304" i="11"/>
  <c r="Z304" i="11"/>
  <c r="J304" i="11"/>
  <c r="W304" i="11"/>
  <c r="G304" i="11"/>
  <c r="U304" i="11"/>
  <c r="E304" i="11"/>
  <c r="AI304" i="11"/>
  <c r="S304" i="11"/>
  <c r="AH304" i="11"/>
  <c r="R304" i="11"/>
  <c r="AE304" i="11"/>
  <c r="AC304" i="11"/>
  <c r="O304" i="11"/>
  <c r="M304" i="11"/>
  <c r="I272" i="11"/>
  <c r="AF272" i="11"/>
  <c r="H272" i="11"/>
  <c r="AB272" i="11" s="1"/>
  <c r="AC272" i="11" s="1"/>
  <c r="N272" i="11"/>
  <c r="F272" i="11"/>
  <c r="Q272" i="11" s="1"/>
  <c r="L272" i="11"/>
  <c r="K272" i="11"/>
  <c r="J272" i="11"/>
  <c r="G272" i="11"/>
  <c r="P272" i="11" s="1"/>
  <c r="R272" i="11" s="1"/>
  <c r="E272" i="11"/>
  <c r="AI272" i="11"/>
  <c r="O272" i="11"/>
  <c r="M272" i="11"/>
  <c r="I405" i="11"/>
  <c r="AF405" i="11"/>
  <c r="H405" i="11"/>
  <c r="O405" i="11"/>
  <c r="G405" i="11"/>
  <c r="N405" i="11"/>
  <c r="F405" i="11"/>
  <c r="M405" i="11"/>
  <c r="E405" i="11"/>
  <c r="AB405" i="11"/>
  <c r="AC405" i="11" s="1"/>
  <c r="J405" i="11"/>
  <c r="AI405" i="11"/>
  <c r="L405" i="11"/>
  <c r="K405" i="11"/>
  <c r="I369" i="11"/>
  <c r="AF369" i="11"/>
  <c r="H369" i="11"/>
  <c r="N369" i="11"/>
  <c r="F369" i="11"/>
  <c r="M369" i="11"/>
  <c r="E369" i="11"/>
  <c r="O369" i="11"/>
  <c r="L369" i="11"/>
  <c r="AB369" i="11" s="1"/>
  <c r="AC369" i="11" s="1"/>
  <c r="K369" i="11"/>
  <c r="J369" i="11"/>
  <c r="G369" i="11"/>
  <c r="P369" i="11" s="1"/>
  <c r="I166" i="11"/>
  <c r="AF166" i="11"/>
  <c r="H166" i="11"/>
  <c r="N166" i="11"/>
  <c r="F166" i="11"/>
  <c r="M166" i="11"/>
  <c r="AB166" i="11" s="1"/>
  <c r="AC166" i="11" s="1"/>
  <c r="E166" i="11"/>
  <c r="L166" i="11"/>
  <c r="O166" i="11"/>
  <c r="K166" i="11"/>
  <c r="J166" i="11"/>
  <c r="G166" i="11"/>
  <c r="AI166" i="11" s="1"/>
  <c r="I134" i="11"/>
  <c r="AF134" i="11"/>
  <c r="H134" i="11"/>
  <c r="AB134" i="11" s="1"/>
  <c r="AC134" i="11" s="1"/>
  <c r="N134" i="11"/>
  <c r="F134" i="11"/>
  <c r="M134" i="11"/>
  <c r="E134" i="11"/>
  <c r="L134" i="11"/>
  <c r="AI134" i="11"/>
  <c r="O134" i="11"/>
  <c r="K134" i="11"/>
  <c r="J134" i="11"/>
  <c r="G134" i="11"/>
  <c r="O195" i="11"/>
  <c r="G195" i="11"/>
  <c r="N195" i="11"/>
  <c r="F195" i="11"/>
  <c r="Q195" i="11" s="1"/>
  <c r="M195" i="11"/>
  <c r="E195" i="11"/>
  <c r="L195" i="11"/>
  <c r="AI195" i="11"/>
  <c r="K195" i="11"/>
  <c r="J195" i="11"/>
  <c r="H195" i="11"/>
  <c r="AB195" i="11" s="1"/>
  <c r="AC195" i="11" s="1"/>
  <c r="AF195" i="11"/>
  <c r="I195" i="11"/>
  <c r="I332" i="11"/>
  <c r="AB332" i="11" s="1"/>
  <c r="AC332" i="11" s="1"/>
  <c r="AF332" i="11"/>
  <c r="H332" i="11"/>
  <c r="O332" i="11"/>
  <c r="G332" i="11"/>
  <c r="Q332" i="11" s="1"/>
  <c r="N332" i="11"/>
  <c r="F332" i="11"/>
  <c r="L332" i="11"/>
  <c r="M332" i="11"/>
  <c r="K332" i="11"/>
  <c r="AI332" i="11"/>
  <c r="J332" i="11"/>
  <c r="E332" i="11"/>
  <c r="O155" i="11"/>
  <c r="G155" i="11"/>
  <c r="S155" i="11" s="1"/>
  <c r="N155" i="11"/>
  <c r="F155" i="11"/>
  <c r="L155" i="11"/>
  <c r="AD155" i="11" s="1"/>
  <c r="AI155" i="11"/>
  <c r="K155" i="11"/>
  <c r="J155" i="11"/>
  <c r="H155" i="11"/>
  <c r="E155" i="11"/>
  <c r="Q155" i="11"/>
  <c r="P155" i="11"/>
  <c r="M155" i="11"/>
  <c r="AF155" i="11"/>
  <c r="I155" i="11"/>
  <c r="AE245" i="11"/>
  <c r="W245" i="11"/>
  <c r="O245" i="11"/>
  <c r="G245" i="11"/>
  <c r="AD245" i="11"/>
  <c r="V245" i="11"/>
  <c r="N245" i="11"/>
  <c r="F245" i="11"/>
  <c r="AB245" i="11"/>
  <c r="T245" i="11"/>
  <c r="L245" i="11"/>
  <c r="AA245" i="11"/>
  <c r="P245" i="11"/>
  <c r="Z245" i="11"/>
  <c r="M245" i="11"/>
  <c r="Y245" i="11"/>
  <c r="K245" i="11"/>
  <c r="AI245" i="11"/>
  <c r="X245" i="11"/>
  <c r="J245" i="11"/>
  <c r="AH245" i="11"/>
  <c r="U245" i="11"/>
  <c r="I245" i="11"/>
  <c r="AG245" i="11"/>
  <c r="S245" i="11"/>
  <c r="H245" i="11"/>
  <c r="R245" i="11"/>
  <c r="Q245" i="11"/>
  <c r="E245" i="11"/>
  <c r="AF245" i="11"/>
  <c r="AC245" i="11"/>
  <c r="I186" i="11"/>
  <c r="AF186" i="11"/>
  <c r="H186" i="11"/>
  <c r="O186" i="11"/>
  <c r="G186" i="11"/>
  <c r="N186" i="11"/>
  <c r="F186" i="11"/>
  <c r="M186" i="11"/>
  <c r="E186" i="11"/>
  <c r="AB186" i="11"/>
  <c r="AC186" i="11" s="1"/>
  <c r="L186" i="11"/>
  <c r="K186" i="11"/>
  <c r="J186" i="11"/>
  <c r="M164" i="11"/>
  <c r="E164" i="11"/>
  <c r="AB164" i="11"/>
  <c r="AC164" i="11" s="1"/>
  <c r="L164" i="11"/>
  <c r="J164" i="11"/>
  <c r="Q164" i="11"/>
  <c r="I164" i="11"/>
  <c r="AF164" i="11"/>
  <c r="P164" i="11"/>
  <c r="R164" i="11" s="1"/>
  <c r="AG164" i="11" s="1"/>
  <c r="H164" i="11"/>
  <c r="N164" i="11"/>
  <c r="K164" i="11"/>
  <c r="G164" i="11"/>
  <c r="F164" i="11"/>
  <c r="S164" i="11"/>
  <c r="Y164" i="11" s="1"/>
  <c r="O164" i="11"/>
  <c r="M132" i="11"/>
  <c r="E132" i="11"/>
  <c r="L132" i="11"/>
  <c r="AB132" i="11" s="1"/>
  <c r="AC132" i="11" s="1"/>
  <c r="J132" i="11"/>
  <c r="Q132" i="11"/>
  <c r="I132" i="11"/>
  <c r="AF132" i="11"/>
  <c r="H132" i="11"/>
  <c r="N132" i="11"/>
  <c r="K132" i="11"/>
  <c r="G132" i="11"/>
  <c r="F132" i="11"/>
  <c r="S132" i="11"/>
  <c r="O132" i="11"/>
  <c r="AG228" i="11"/>
  <c r="Y228" i="11"/>
  <c r="Q228" i="11"/>
  <c r="I228" i="11"/>
  <c r="AF228" i="11"/>
  <c r="X228" i="11"/>
  <c r="P228" i="11"/>
  <c r="H228" i="11"/>
  <c r="AE228" i="11"/>
  <c r="U228" i="11"/>
  <c r="K228" i="11"/>
  <c r="AD228" i="11"/>
  <c r="T228" i="11"/>
  <c r="J228" i="11"/>
  <c r="AC228" i="11"/>
  <c r="S228" i="11"/>
  <c r="G228" i="11"/>
  <c r="AB228" i="11"/>
  <c r="R228" i="11"/>
  <c r="F228" i="11"/>
  <c r="AA228" i="11"/>
  <c r="O228" i="11"/>
  <c r="E228" i="11"/>
  <c r="Z228" i="11"/>
  <c r="N228" i="11"/>
  <c r="AH228" i="11"/>
  <c r="W228" i="11"/>
  <c r="V228" i="11"/>
  <c r="M228" i="11"/>
  <c r="L228" i="11"/>
  <c r="AI228" i="11"/>
  <c r="L108" i="11"/>
  <c r="AD108" i="11" s="1"/>
  <c r="I108" i="11"/>
  <c r="AI108" i="11"/>
  <c r="Q108" i="11"/>
  <c r="H108" i="11"/>
  <c r="P108" i="11"/>
  <c r="G108" i="11"/>
  <c r="O108" i="11"/>
  <c r="F108" i="11"/>
  <c r="AF108" i="11"/>
  <c r="N108" i="11"/>
  <c r="E108" i="11"/>
  <c r="M108" i="11"/>
  <c r="S108" i="11" s="1"/>
  <c r="Y108" i="11" s="1"/>
  <c r="K108" i="11"/>
  <c r="J108" i="11"/>
  <c r="D76" i="11"/>
  <c r="M212" i="11"/>
  <c r="AB212" i="11" s="1"/>
  <c r="AC212" i="11" s="1"/>
  <c r="E212" i="11"/>
  <c r="L212" i="11"/>
  <c r="AI212" i="11"/>
  <c r="K212" i="11"/>
  <c r="J212" i="11"/>
  <c r="I212" i="11"/>
  <c r="AF212" i="11"/>
  <c r="H212" i="11"/>
  <c r="O212" i="11"/>
  <c r="N212" i="11"/>
  <c r="G212" i="11"/>
  <c r="F212" i="11"/>
  <c r="J89" i="11"/>
  <c r="K89" i="11"/>
  <c r="I89" i="11"/>
  <c r="H89" i="11"/>
  <c r="AB89" i="11" s="1"/>
  <c r="AC89" i="11" s="1"/>
  <c r="G89" i="11"/>
  <c r="O89" i="11"/>
  <c r="F89" i="11"/>
  <c r="AF89" i="11"/>
  <c r="N89" i="11"/>
  <c r="E89" i="11"/>
  <c r="M89" i="11"/>
  <c r="L89" i="11"/>
  <c r="D63" i="11"/>
  <c r="N31" i="11"/>
  <c r="F31" i="11"/>
  <c r="Q31" i="11" s="1"/>
  <c r="S31" i="11" s="1"/>
  <c r="Y31" i="11" s="1"/>
  <c r="M31" i="11"/>
  <c r="E31" i="11"/>
  <c r="AB31" i="11"/>
  <c r="AC31" i="11" s="1"/>
  <c r="L31" i="11"/>
  <c r="AI31" i="11"/>
  <c r="K31" i="11"/>
  <c r="J31" i="11"/>
  <c r="I31" i="11"/>
  <c r="AF31" i="11"/>
  <c r="P31" i="11"/>
  <c r="AD31" i="11" s="1"/>
  <c r="H31" i="11"/>
  <c r="O31" i="11"/>
  <c r="G31" i="11"/>
  <c r="D77" i="11"/>
  <c r="AB40" i="11"/>
  <c r="AC40" i="11" s="1"/>
  <c r="L40" i="11"/>
  <c r="AI40" i="11"/>
  <c r="AD40" i="11" s="1"/>
  <c r="K40" i="11"/>
  <c r="J40" i="11"/>
  <c r="Q40" i="11"/>
  <c r="I40" i="11"/>
  <c r="AF40" i="11"/>
  <c r="P40" i="11"/>
  <c r="R40" i="11" s="1"/>
  <c r="H40" i="11"/>
  <c r="O40" i="11"/>
  <c r="G40" i="11"/>
  <c r="N40" i="11"/>
  <c r="F40" i="11"/>
  <c r="M40" i="11"/>
  <c r="S40" i="11" s="1"/>
  <c r="Y40" i="11" s="1"/>
  <c r="E40" i="11"/>
  <c r="L8" i="11"/>
  <c r="AB8" i="11" s="1"/>
  <c r="AC8" i="11" s="1"/>
  <c r="K8" i="11"/>
  <c r="J8" i="11"/>
  <c r="I8" i="11"/>
  <c r="AF8" i="11"/>
  <c r="H8" i="11"/>
  <c r="O8" i="11"/>
  <c r="G8" i="11"/>
  <c r="AI8" i="11" s="1"/>
  <c r="N8" i="11"/>
  <c r="F8" i="11"/>
  <c r="P8" i="11" s="1"/>
  <c r="M8" i="11"/>
  <c r="E8" i="11"/>
  <c r="AB1069" i="11"/>
  <c r="T1069" i="11"/>
  <c r="L1069" i="11"/>
  <c r="AI1069" i="11"/>
  <c r="AA1069" i="11"/>
  <c r="S1069" i="11"/>
  <c r="K1069" i="11"/>
  <c r="AH1069" i="11"/>
  <c r="Z1069" i="11"/>
  <c r="R1069" i="11"/>
  <c r="J1069" i="11"/>
  <c r="AG1069" i="11"/>
  <c r="Y1069" i="11"/>
  <c r="Q1069" i="11"/>
  <c r="I1069" i="11"/>
  <c r="AF1069" i="11"/>
  <c r="X1069" i="11"/>
  <c r="P1069" i="11"/>
  <c r="H1069" i="11"/>
  <c r="AD1069" i="11"/>
  <c r="V1069" i="11"/>
  <c r="N1069" i="11"/>
  <c r="F1069" i="11"/>
  <c r="U1069" i="11"/>
  <c r="O1069" i="11"/>
  <c r="M1069" i="11"/>
  <c r="G1069" i="11"/>
  <c r="E1069" i="11"/>
  <c r="AE1069" i="11"/>
  <c r="AC1069" i="11"/>
  <c r="W1069" i="11"/>
  <c r="D74" i="11"/>
  <c r="AI1202" i="11"/>
  <c r="AA1202" i="11"/>
  <c r="S1202" i="11"/>
  <c r="K1202" i="11"/>
  <c r="AH1202" i="11"/>
  <c r="Z1202" i="11"/>
  <c r="R1202" i="11"/>
  <c r="J1202" i="11"/>
  <c r="AG1202" i="11"/>
  <c r="Y1202" i="11"/>
  <c r="Q1202" i="11"/>
  <c r="I1202" i="11"/>
  <c r="AF1202" i="11"/>
  <c r="X1202" i="11"/>
  <c r="P1202" i="11"/>
  <c r="H1202" i="11"/>
  <c r="AE1202" i="11"/>
  <c r="W1202" i="11"/>
  <c r="O1202" i="11"/>
  <c r="G1202" i="11"/>
  <c r="N1202" i="11"/>
  <c r="M1202" i="11"/>
  <c r="AD1202" i="11"/>
  <c r="L1202" i="11"/>
  <c r="AC1202" i="11"/>
  <c r="F1202" i="11"/>
  <c r="AB1202" i="11"/>
  <c r="E1202" i="11"/>
  <c r="V1202" i="11"/>
  <c r="U1202" i="11"/>
  <c r="T1202" i="11"/>
  <c r="AI1140" i="11"/>
  <c r="AA1140" i="11"/>
  <c r="S1140" i="11"/>
  <c r="K1140" i="11"/>
  <c r="AH1140" i="11"/>
  <c r="Z1140" i="11"/>
  <c r="R1140" i="11"/>
  <c r="J1140" i="11"/>
  <c r="AG1140" i="11"/>
  <c r="Y1140" i="11"/>
  <c r="Q1140" i="11"/>
  <c r="I1140" i="11"/>
  <c r="AC1140" i="11"/>
  <c r="U1140" i="11"/>
  <c r="M1140" i="11"/>
  <c r="E1140" i="11"/>
  <c r="AF1140" i="11"/>
  <c r="P1140" i="11"/>
  <c r="AE1140" i="11"/>
  <c r="O1140" i="11"/>
  <c r="AD1140" i="11"/>
  <c r="N1140" i="11"/>
  <c r="AB1140" i="11"/>
  <c r="L1140" i="11"/>
  <c r="X1140" i="11"/>
  <c r="H1140" i="11"/>
  <c r="W1140" i="11"/>
  <c r="G1140" i="11"/>
  <c r="V1140" i="11"/>
  <c r="F1140" i="11"/>
  <c r="T1140" i="11"/>
  <c r="M192" i="11"/>
  <c r="E192" i="11"/>
  <c r="AB192" i="11"/>
  <c r="AC192" i="11" s="1"/>
  <c r="L192" i="11"/>
  <c r="K192" i="11"/>
  <c r="J192" i="11"/>
  <c r="I192" i="11"/>
  <c r="AF192" i="11"/>
  <c r="H192" i="11"/>
  <c r="O192" i="11"/>
  <c r="N192" i="11"/>
  <c r="G192" i="11"/>
  <c r="F192" i="11"/>
  <c r="P192" i="11" s="1"/>
  <c r="R192" i="11" s="1"/>
  <c r="D71" i="11"/>
  <c r="J37" i="11"/>
  <c r="I37" i="11"/>
  <c r="AF37" i="11"/>
  <c r="H37" i="11"/>
  <c r="O37" i="11"/>
  <c r="G37" i="11"/>
  <c r="Q37" i="11" s="1"/>
  <c r="S37" i="11" s="1"/>
  <c r="Y37" i="11" s="1"/>
  <c r="N37" i="11"/>
  <c r="F37" i="11"/>
  <c r="M37" i="11"/>
  <c r="AB37" i="11" s="1"/>
  <c r="AC37" i="11" s="1"/>
  <c r="E37" i="11"/>
  <c r="L37" i="11"/>
  <c r="K37" i="11"/>
  <c r="AE1354" i="11"/>
  <c r="W1354" i="11"/>
  <c r="O1354" i="11"/>
  <c r="G1354" i="11"/>
  <c r="AD1354" i="11"/>
  <c r="V1354" i="11"/>
  <c r="N1354" i="11"/>
  <c r="F1354" i="11"/>
  <c r="AI1354" i="11"/>
  <c r="Y1354" i="11"/>
  <c r="M1354" i="11"/>
  <c r="AH1354" i="11"/>
  <c r="X1354" i="11"/>
  <c r="L1354" i="11"/>
  <c r="AG1354" i="11"/>
  <c r="U1354" i="11"/>
  <c r="K1354" i="11"/>
  <c r="AF1354" i="11"/>
  <c r="T1354" i="11"/>
  <c r="J1354" i="11"/>
  <c r="AC1354" i="11"/>
  <c r="S1354" i="11"/>
  <c r="I1354" i="11"/>
  <c r="AB1354" i="11"/>
  <c r="R1354" i="11"/>
  <c r="H1354" i="11"/>
  <c r="AA1354" i="11"/>
  <c r="Q1354" i="11"/>
  <c r="E1354" i="11"/>
  <c r="Z1354" i="11"/>
  <c r="P1354" i="11"/>
  <c r="AE1348" i="11"/>
  <c r="W1348" i="11"/>
  <c r="O1348" i="11"/>
  <c r="G1348" i="11"/>
  <c r="AD1348" i="11"/>
  <c r="V1348" i="11"/>
  <c r="N1348" i="11"/>
  <c r="F1348" i="11"/>
  <c r="AB1348" i="11"/>
  <c r="T1348" i="11"/>
  <c r="L1348" i="11"/>
  <c r="AI1348" i="11"/>
  <c r="AA1348" i="11"/>
  <c r="S1348" i="11"/>
  <c r="K1348" i="11"/>
  <c r="AH1348" i="11"/>
  <c r="Z1348" i="11"/>
  <c r="R1348" i="11"/>
  <c r="J1348" i="11"/>
  <c r="AG1348" i="11"/>
  <c r="Y1348" i="11"/>
  <c r="Q1348" i="11"/>
  <c r="I1348" i="11"/>
  <c r="U1348" i="11"/>
  <c r="P1348" i="11"/>
  <c r="M1348" i="11"/>
  <c r="H1348" i="11"/>
  <c r="E1348" i="11"/>
  <c r="AC1348" i="11"/>
  <c r="X1348" i="11"/>
  <c r="AF1348" i="11"/>
  <c r="AF1270" i="11"/>
  <c r="X1270" i="11"/>
  <c r="P1270" i="11"/>
  <c r="H1270" i="11"/>
  <c r="AC1270" i="11"/>
  <c r="T1270" i="11"/>
  <c r="K1270" i="11"/>
  <c r="AB1270" i="11"/>
  <c r="S1270" i="11"/>
  <c r="J1270" i="11"/>
  <c r="AA1270" i="11"/>
  <c r="R1270" i="11"/>
  <c r="I1270" i="11"/>
  <c r="AI1270" i="11"/>
  <c r="Z1270" i="11"/>
  <c r="Q1270" i="11"/>
  <c r="G1270" i="11"/>
  <c r="AH1270" i="11"/>
  <c r="Y1270" i="11"/>
  <c r="O1270" i="11"/>
  <c r="F1270" i="11"/>
  <c r="W1270" i="11"/>
  <c r="V1270" i="11"/>
  <c r="U1270" i="11"/>
  <c r="N1270" i="11"/>
  <c r="M1270" i="11"/>
  <c r="AG1270" i="11"/>
  <c r="L1270" i="11"/>
  <c r="AE1270" i="11"/>
  <c r="E1270" i="11"/>
  <c r="AD1270" i="11"/>
  <c r="AF984" i="11"/>
  <c r="X984" i="11"/>
  <c r="H984" i="11"/>
  <c r="AB984" i="11" s="1"/>
  <c r="AC984" i="11" s="1"/>
  <c r="O984" i="11"/>
  <c r="G984" i="11"/>
  <c r="N984" i="11"/>
  <c r="F984" i="11"/>
  <c r="P984" i="11" s="1"/>
  <c r="M984" i="11"/>
  <c r="E984" i="11"/>
  <c r="AI984" i="11"/>
  <c r="K984" i="11"/>
  <c r="J984" i="11"/>
  <c r="I984" i="11"/>
  <c r="L984" i="11"/>
  <c r="J862" i="11"/>
  <c r="Q862" i="11"/>
  <c r="I862" i="11"/>
  <c r="AF862" i="11"/>
  <c r="P862" i="11"/>
  <c r="H862" i="11"/>
  <c r="N862" i="11"/>
  <c r="F862" i="11"/>
  <c r="M862" i="11"/>
  <c r="E862" i="11"/>
  <c r="O862" i="11"/>
  <c r="L862" i="11"/>
  <c r="AB862" i="11" s="1"/>
  <c r="AC862" i="11" s="1"/>
  <c r="K862" i="11"/>
  <c r="G862" i="11"/>
  <c r="N836" i="11"/>
  <c r="F836" i="11"/>
  <c r="P836" i="11" s="1"/>
  <c r="M836" i="11"/>
  <c r="E836" i="11"/>
  <c r="I836" i="11"/>
  <c r="AB836" i="11" s="1"/>
  <c r="AC836" i="11" s="1"/>
  <c r="H836" i="11"/>
  <c r="AF836" i="11"/>
  <c r="G836" i="11"/>
  <c r="Y836" i="11" s="1"/>
  <c r="O836" i="11"/>
  <c r="L836" i="11"/>
  <c r="J836" i="11"/>
  <c r="AI836" i="11"/>
  <c r="X836" i="11" s="1"/>
  <c r="K836" i="11"/>
  <c r="AI719" i="11"/>
  <c r="AA719" i="11"/>
  <c r="S719" i="11"/>
  <c r="K719" i="11"/>
  <c r="AH719" i="11"/>
  <c r="Z719" i="11"/>
  <c r="R719" i="11"/>
  <c r="J719" i="11"/>
  <c r="AG719" i="11"/>
  <c r="Y719" i="11"/>
  <c r="Q719" i="11"/>
  <c r="I719" i="11"/>
  <c r="AF719" i="11"/>
  <c r="X719" i="11"/>
  <c r="P719" i="11"/>
  <c r="H719" i="11"/>
  <c r="AE719" i="11"/>
  <c r="W719" i="11"/>
  <c r="O719" i="11"/>
  <c r="G719" i="11"/>
  <c r="AD719" i="11"/>
  <c r="V719" i="11"/>
  <c r="N719" i="11"/>
  <c r="F719" i="11"/>
  <c r="AC719" i="11"/>
  <c r="U719" i="11"/>
  <c r="M719" i="11"/>
  <c r="E719" i="11"/>
  <c r="AB719" i="11"/>
  <c r="T719" i="11"/>
  <c r="L719" i="11"/>
  <c r="AF122" i="11"/>
  <c r="H122" i="11"/>
  <c r="N122" i="11"/>
  <c r="F122" i="11"/>
  <c r="G122" i="11"/>
  <c r="P122" i="11" s="1"/>
  <c r="E122" i="11"/>
  <c r="Q122" i="11" s="1"/>
  <c r="S122" i="11" s="1"/>
  <c r="Y122" i="11" s="1"/>
  <c r="O122" i="11"/>
  <c r="AI122" i="11"/>
  <c r="M122" i="11"/>
  <c r="L122" i="11"/>
  <c r="AB122" i="11" s="1"/>
  <c r="AC122" i="11" s="1"/>
  <c r="K122" i="11"/>
  <c r="J122" i="11"/>
  <c r="I122" i="11"/>
  <c r="D62" i="11"/>
  <c r="AF30" i="11"/>
  <c r="H30" i="11"/>
  <c r="O30" i="11"/>
  <c r="G30" i="11"/>
  <c r="N30" i="11"/>
  <c r="F30" i="11"/>
  <c r="M30" i="11"/>
  <c r="AB30" i="11" s="1"/>
  <c r="AC30" i="11" s="1"/>
  <c r="E30" i="11"/>
  <c r="L30" i="11"/>
  <c r="K30" i="11"/>
  <c r="J30" i="11"/>
  <c r="Q30" i="11"/>
  <c r="S30" i="11" s="1"/>
  <c r="Y30" i="11" s="1"/>
  <c r="I30" i="11"/>
  <c r="AG1191" i="11"/>
  <c r="Y1191" i="11"/>
  <c r="Q1191" i="11"/>
  <c r="I1191" i="11"/>
  <c r="AF1191" i="11"/>
  <c r="X1191" i="11"/>
  <c r="P1191" i="11"/>
  <c r="H1191" i="11"/>
  <c r="AE1191" i="11"/>
  <c r="W1191" i="11"/>
  <c r="O1191" i="11"/>
  <c r="G1191" i="11"/>
  <c r="AD1191" i="11"/>
  <c r="V1191" i="11"/>
  <c r="N1191" i="11"/>
  <c r="F1191" i="11"/>
  <c r="AC1191" i="11"/>
  <c r="U1191" i="11"/>
  <c r="M1191" i="11"/>
  <c r="E1191" i="11"/>
  <c r="Z1191" i="11"/>
  <c r="T1191" i="11"/>
  <c r="S1191" i="11"/>
  <c r="R1191" i="11"/>
  <c r="AI1191" i="11"/>
  <c r="L1191" i="11"/>
  <c r="AH1191" i="11"/>
  <c r="K1191" i="11"/>
  <c r="AB1191" i="11"/>
  <c r="J1191" i="11"/>
  <c r="AA1191" i="11"/>
  <c r="AI1162" i="11"/>
  <c r="AA1162" i="11"/>
  <c r="S1162" i="11"/>
  <c r="K1162" i="11"/>
  <c r="AH1162" i="11"/>
  <c r="Z1162" i="11"/>
  <c r="R1162" i="11"/>
  <c r="J1162" i="11"/>
  <c r="AG1162" i="11"/>
  <c r="Y1162" i="11"/>
  <c r="Q1162" i="11"/>
  <c r="I1162" i="11"/>
  <c r="AF1162" i="11"/>
  <c r="X1162" i="11"/>
  <c r="P1162" i="11"/>
  <c r="H1162" i="11"/>
  <c r="AE1162" i="11"/>
  <c r="W1162" i="11"/>
  <c r="O1162" i="11"/>
  <c r="G1162" i="11"/>
  <c r="N1162" i="11"/>
  <c r="M1162" i="11"/>
  <c r="AD1162" i="11"/>
  <c r="L1162" i="11"/>
  <c r="AC1162" i="11"/>
  <c r="F1162" i="11"/>
  <c r="AB1162" i="11"/>
  <c r="E1162" i="11"/>
  <c r="V1162" i="11"/>
  <c r="U1162" i="11"/>
  <c r="T1162" i="11"/>
  <c r="AG1159" i="11"/>
  <c r="Y1159" i="11"/>
  <c r="Q1159" i="11"/>
  <c r="I1159" i="11"/>
  <c r="AF1159" i="11"/>
  <c r="X1159" i="11"/>
  <c r="P1159" i="11"/>
  <c r="H1159" i="11"/>
  <c r="AE1159" i="11"/>
  <c r="W1159" i="11"/>
  <c r="O1159" i="11"/>
  <c r="G1159" i="11"/>
  <c r="AC1159" i="11"/>
  <c r="U1159" i="11"/>
  <c r="M1159" i="11"/>
  <c r="E1159" i="11"/>
  <c r="AA1159" i="11"/>
  <c r="K1159" i="11"/>
  <c r="Z1159" i="11"/>
  <c r="J1159" i="11"/>
  <c r="V1159" i="11"/>
  <c r="F1159" i="11"/>
  <c r="T1159" i="11"/>
  <c r="AI1159" i="11"/>
  <c r="S1159" i="11"/>
  <c r="AH1159" i="11"/>
  <c r="R1159" i="11"/>
  <c r="AD1159" i="11"/>
  <c r="N1159" i="11"/>
  <c r="L1159" i="11"/>
  <c r="AB1159" i="11"/>
  <c r="I1014" i="11"/>
  <c r="M1014" i="11"/>
  <c r="E1014" i="11"/>
  <c r="J1014" i="11"/>
  <c r="H1014" i="11"/>
  <c r="G1014" i="11"/>
  <c r="Q1014" i="11" s="1"/>
  <c r="F1014" i="11"/>
  <c r="O1014" i="11"/>
  <c r="N1014" i="11"/>
  <c r="L1014" i="11"/>
  <c r="AB1014" i="11" s="1"/>
  <c r="AC1014" i="11" s="1"/>
  <c r="K1014" i="11"/>
  <c r="AF1014" i="11"/>
  <c r="O1047" i="11"/>
  <c r="G1047" i="11"/>
  <c r="P1047" i="11" s="1"/>
  <c r="M1047" i="11"/>
  <c r="E1047" i="11"/>
  <c r="K1047" i="11"/>
  <c r="J1047" i="11"/>
  <c r="Q1047" i="11"/>
  <c r="I1047" i="11"/>
  <c r="N1047" i="11"/>
  <c r="AF1047" i="11"/>
  <c r="L1047" i="11"/>
  <c r="AB1047" i="11" s="1"/>
  <c r="AC1047" i="11" s="1"/>
  <c r="H1047" i="11"/>
  <c r="F1047" i="11"/>
  <c r="J890" i="11"/>
  <c r="I890" i="11"/>
  <c r="AF890" i="11"/>
  <c r="H890" i="11"/>
  <c r="O890" i="11"/>
  <c r="G890" i="11"/>
  <c r="N890" i="11"/>
  <c r="F890" i="11"/>
  <c r="P890" i="11" s="1"/>
  <c r="M890" i="11"/>
  <c r="E890" i="11"/>
  <c r="L890" i="11"/>
  <c r="K890" i="11"/>
  <c r="AI890" i="11"/>
  <c r="Y890" i="11" s="1"/>
  <c r="AB890" i="11"/>
  <c r="AC890" i="11" s="1"/>
  <c r="AI731" i="11"/>
  <c r="AA731" i="11"/>
  <c r="S731" i="11"/>
  <c r="K731" i="11"/>
  <c r="AH731" i="11"/>
  <c r="Z731" i="11"/>
  <c r="R731" i="11"/>
  <c r="J731" i="11"/>
  <c r="AG731" i="11"/>
  <c r="Y731" i="11"/>
  <c r="Q731" i="11"/>
  <c r="I731" i="11"/>
  <c r="AF731" i="11"/>
  <c r="X731" i="11"/>
  <c r="P731" i="11"/>
  <c r="H731" i="11"/>
  <c r="AE731" i="11"/>
  <c r="W731" i="11"/>
  <c r="O731" i="11"/>
  <c r="G731" i="11"/>
  <c r="AD731" i="11"/>
  <c r="V731" i="11"/>
  <c r="N731" i="11"/>
  <c r="F731" i="11"/>
  <c r="AC731" i="11"/>
  <c r="U731" i="11"/>
  <c r="M731" i="11"/>
  <c r="E731" i="11"/>
  <c r="AB731" i="11"/>
  <c r="T731" i="11"/>
  <c r="L731" i="11"/>
  <c r="AF612" i="11"/>
  <c r="X612" i="11"/>
  <c r="P612" i="11"/>
  <c r="H612" i="11"/>
  <c r="AE612" i="11"/>
  <c r="W612" i="11"/>
  <c r="O612" i="11"/>
  <c r="G612" i="11"/>
  <c r="AD612" i="11"/>
  <c r="V612" i="11"/>
  <c r="N612" i="11"/>
  <c r="F612" i="11"/>
  <c r="AC612" i="11"/>
  <c r="U612" i="11"/>
  <c r="M612" i="11"/>
  <c r="E612" i="11"/>
  <c r="AI612" i="11"/>
  <c r="AA612" i="11"/>
  <c r="S612" i="11"/>
  <c r="K612" i="11"/>
  <c r="AH612" i="11"/>
  <c r="Z612" i="11"/>
  <c r="R612" i="11"/>
  <c r="J612" i="11"/>
  <c r="AG612" i="11"/>
  <c r="AB612" i="11"/>
  <c r="Y612" i="11"/>
  <c r="T612" i="11"/>
  <c r="L612" i="11"/>
  <c r="I612" i="11"/>
  <c r="Q612" i="11"/>
  <c r="AI454" i="11"/>
  <c r="AA454" i="11"/>
  <c r="S454" i="11"/>
  <c r="K454" i="11"/>
  <c r="AH454" i="11"/>
  <c r="Z454" i="11"/>
  <c r="R454" i="11"/>
  <c r="J454" i="11"/>
  <c r="AF454" i="11"/>
  <c r="X454" i="11"/>
  <c r="P454" i="11"/>
  <c r="H454" i="11"/>
  <c r="AB454" i="11"/>
  <c r="N454" i="11"/>
  <c r="Y454" i="11"/>
  <c r="M454" i="11"/>
  <c r="W454" i="11"/>
  <c r="L454" i="11"/>
  <c r="V454" i="11"/>
  <c r="I454" i="11"/>
  <c r="AG454" i="11"/>
  <c r="U454" i="11"/>
  <c r="G454" i="11"/>
  <c r="F454" i="11"/>
  <c r="E454" i="11"/>
  <c r="AE454" i="11"/>
  <c r="AD454" i="11"/>
  <c r="AC454" i="11"/>
  <c r="T454" i="11"/>
  <c r="Q454" i="11"/>
  <c r="O454" i="11"/>
  <c r="AI311" i="11"/>
  <c r="AA311" i="11"/>
  <c r="S311" i="11"/>
  <c r="K311" i="11"/>
  <c r="AH311" i="11"/>
  <c r="Z311" i="11"/>
  <c r="R311" i="11"/>
  <c r="J311" i="11"/>
  <c r="AF311" i="11"/>
  <c r="X311" i="11"/>
  <c r="P311" i="11"/>
  <c r="H311" i="11"/>
  <c r="AD311" i="11"/>
  <c r="V311" i="11"/>
  <c r="N311" i="11"/>
  <c r="F311" i="11"/>
  <c r="AC311" i="11"/>
  <c r="M311" i="11"/>
  <c r="AB311" i="11"/>
  <c r="L311" i="11"/>
  <c r="Y311" i="11"/>
  <c r="I311" i="11"/>
  <c r="W311" i="11"/>
  <c r="G311" i="11"/>
  <c r="U311" i="11"/>
  <c r="E311" i="11"/>
  <c r="T311" i="11"/>
  <c r="AG311" i="11"/>
  <c r="AE311" i="11"/>
  <c r="Q311" i="11"/>
  <c r="O311" i="11"/>
  <c r="AI165" i="11"/>
  <c r="K165" i="11"/>
  <c r="J165" i="11"/>
  <c r="AF165" i="11"/>
  <c r="H165" i="11"/>
  <c r="O165" i="11"/>
  <c r="G165" i="11"/>
  <c r="N165" i="11"/>
  <c r="F165" i="11"/>
  <c r="M165" i="11"/>
  <c r="L165" i="11"/>
  <c r="AB165" i="11" s="1"/>
  <c r="AC165" i="11" s="1"/>
  <c r="I165" i="11"/>
  <c r="E165" i="11"/>
  <c r="AF114" i="11"/>
  <c r="H114" i="11"/>
  <c r="M114" i="11"/>
  <c r="L114" i="11"/>
  <c r="AB114" i="11" s="1"/>
  <c r="AC114" i="11" s="1"/>
  <c r="K114" i="11"/>
  <c r="J114" i="11"/>
  <c r="I114" i="11"/>
  <c r="AI114" i="11"/>
  <c r="Q114" i="11"/>
  <c r="G114" i="11"/>
  <c r="S114" i="11" s="1"/>
  <c r="Y114" i="11" s="1"/>
  <c r="O114" i="11"/>
  <c r="F114" i="11"/>
  <c r="P114" i="11" s="1"/>
  <c r="R114" i="11" s="1"/>
  <c r="N114" i="11"/>
  <c r="E114" i="11"/>
  <c r="AE1314" i="11"/>
  <c r="W1314" i="11"/>
  <c r="O1314" i="11"/>
  <c r="G1314" i="11"/>
  <c r="AD1314" i="11"/>
  <c r="V1314" i="11"/>
  <c r="N1314" i="11"/>
  <c r="F1314" i="11"/>
  <c r="AC1314" i="11"/>
  <c r="U1314" i="11"/>
  <c r="M1314" i="11"/>
  <c r="E1314" i="11"/>
  <c r="AI1314" i="11"/>
  <c r="AA1314" i="11"/>
  <c r="S1314" i="11"/>
  <c r="K1314" i="11"/>
  <c r="AH1314" i="11"/>
  <c r="R1314" i="11"/>
  <c r="AG1314" i="11"/>
  <c r="Q1314" i="11"/>
  <c r="AF1314" i="11"/>
  <c r="P1314" i="11"/>
  <c r="AB1314" i="11"/>
  <c r="L1314" i="11"/>
  <c r="Z1314" i="11"/>
  <c r="J1314" i="11"/>
  <c r="Y1314" i="11"/>
  <c r="I1314" i="11"/>
  <c r="X1314" i="11"/>
  <c r="H1314" i="11"/>
  <c r="T1314" i="11"/>
  <c r="AI1324" i="11"/>
  <c r="AA1324" i="11"/>
  <c r="S1324" i="11"/>
  <c r="K1324" i="11"/>
  <c r="AD1324" i="11"/>
  <c r="U1324" i="11"/>
  <c r="L1324" i="11"/>
  <c r="AC1324" i="11"/>
  <c r="T1324" i="11"/>
  <c r="J1324" i="11"/>
  <c r="AB1324" i="11"/>
  <c r="R1324" i="11"/>
  <c r="I1324" i="11"/>
  <c r="Z1324" i="11"/>
  <c r="Q1324" i="11"/>
  <c r="AH1324" i="11"/>
  <c r="Y1324" i="11"/>
  <c r="P1324" i="11"/>
  <c r="G1324" i="11"/>
  <c r="AF1324" i="11"/>
  <c r="H1324" i="11"/>
  <c r="AE1324" i="11"/>
  <c r="F1324" i="11"/>
  <c r="X1324" i="11"/>
  <c r="E1324" i="11"/>
  <c r="W1324" i="11"/>
  <c r="V1324" i="11"/>
  <c r="O1324" i="11"/>
  <c r="N1324" i="11"/>
  <c r="AG1324" i="11"/>
  <c r="M1324" i="11"/>
  <c r="T7" i="7"/>
  <c r="T9" i="7"/>
  <c r="D774" i="11"/>
  <c r="AF552" i="11"/>
  <c r="X552" i="11"/>
  <c r="P552" i="11"/>
  <c r="H552" i="11"/>
  <c r="AE552" i="11"/>
  <c r="W552" i="11"/>
  <c r="O552" i="11"/>
  <c r="G552" i="11"/>
  <c r="AD552" i="11"/>
  <c r="V552" i="11"/>
  <c r="N552" i="11"/>
  <c r="F552" i="11"/>
  <c r="AI552" i="11"/>
  <c r="AA552" i="11"/>
  <c r="S552" i="11"/>
  <c r="K552" i="11"/>
  <c r="AH552" i="11"/>
  <c r="Z552" i="11"/>
  <c r="R552" i="11"/>
  <c r="J552" i="11"/>
  <c r="M552" i="11"/>
  <c r="AG552" i="11"/>
  <c r="L552" i="11"/>
  <c r="AC552" i="11"/>
  <c r="I552" i="11"/>
  <c r="AB552" i="11"/>
  <c r="E552" i="11"/>
  <c r="Y552" i="11"/>
  <c r="T552" i="11"/>
  <c r="Q552" i="11"/>
  <c r="U552" i="11"/>
  <c r="AF580" i="11"/>
  <c r="X580" i="11"/>
  <c r="P580" i="11"/>
  <c r="H580" i="11"/>
  <c r="AE580" i="11"/>
  <c r="W580" i="11"/>
  <c r="O580" i="11"/>
  <c r="G580" i="11"/>
  <c r="AD580" i="11"/>
  <c r="V580" i="11"/>
  <c r="N580" i="11"/>
  <c r="F580" i="11"/>
  <c r="AC580" i="11"/>
  <c r="U580" i="11"/>
  <c r="M580" i="11"/>
  <c r="E580" i="11"/>
  <c r="AI580" i="11"/>
  <c r="AA580" i="11"/>
  <c r="S580" i="11"/>
  <c r="K580" i="11"/>
  <c r="AH580" i="11"/>
  <c r="Z580" i="11"/>
  <c r="R580" i="11"/>
  <c r="J580" i="11"/>
  <c r="AG580" i="11"/>
  <c r="AB580" i="11"/>
  <c r="Y580" i="11"/>
  <c r="T580" i="11"/>
  <c r="L580" i="11"/>
  <c r="I580" i="11"/>
  <c r="Q580" i="11"/>
  <c r="N415" i="11"/>
  <c r="F415" i="11"/>
  <c r="Q415" i="11" s="1"/>
  <c r="K415" i="11"/>
  <c r="AB415" i="11"/>
  <c r="AC415" i="11" s="1"/>
  <c r="J415" i="11"/>
  <c r="I415" i="11"/>
  <c r="AI415" i="11"/>
  <c r="H415" i="11"/>
  <c r="P415" i="11"/>
  <c r="R415" i="11" s="1"/>
  <c r="G415" i="11"/>
  <c r="AD415" i="11" s="1"/>
  <c r="L415" i="11"/>
  <c r="AF415" i="11"/>
  <c r="E415" i="11"/>
  <c r="O415" i="11"/>
  <c r="M415" i="11"/>
  <c r="AJ180" i="7"/>
  <c r="O923" i="11"/>
  <c r="G923" i="11"/>
  <c r="N923" i="11"/>
  <c r="F923" i="11"/>
  <c r="M923" i="11"/>
  <c r="AB923" i="11" s="1"/>
  <c r="AC923" i="11" s="1"/>
  <c r="E923" i="11"/>
  <c r="K923" i="11"/>
  <c r="J923" i="11"/>
  <c r="L923" i="11"/>
  <c r="AF923" i="11"/>
  <c r="I923" i="11"/>
  <c r="H923" i="11"/>
  <c r="AI917" i="11"/>
  <c r="K917" i="11"/>
  <c r="J917" i="11"/>
  <c r="I917" i="11"/>
  <c r="AB917" i="11" s="1"/>
  <c r="AC917" i="11" s="1"/>
  <c r="O917" i="11"/>
  <c r="G917" i="11"/>
  <c r="Y917" i="11" s="1"/>
  <c r="N917" i="11"/>
  <c r="F917" i="11"/>
  <c r="P917" i="11" s="1"/>
  <c r="AF917" i="11"/>
  <c r="L917" i="11"/>
  <c r="H917" i="11"/>
  <c r="E917" i="11"/>
  <c r="M917" i="11"/>
  <c r="O939" i="11"/>
  <c r="G939" i="11"/>
  <c r="N939" i="11"/>
  <c r="F939" i="11"/>
  <c r="Q939" i="11" s="1"/>
  <c r="S939" i="11" s="1"/>
  <c r="M939" i="11"/>
  <c r="E939" i="11"/>
  <c r="L939" i="11"/>
  <c r="AI939" i="11"/>
  <c r="X939" i="11" s="1"/>
  <c r="Z939" i="11" s="1"/>
  <c r="AA939" i="11" s="1"/>
  <c r="K939" i="11"/>
  <c r="R939" i="11"/>
  <c r="AG939" i="11" s="1"/>
  <c r="J939" i="11"/>
  <c r="AF939" i="11"/>
  <c r="Y939" i="11"/>
  <c r="P939" i="11"/>
  <c r="AD939" i="11" s="1"/>
  <c r="I939" i="11"/>
  <c r="AB939" i="11" s="1"/>
  <c r="AC939" i="11" s="1"/>
  <c r="H939" i="11"/>
  <c r="AI209" i="11"/>
  <c r="K209" i="11"/>
  <c r="J209" i="11"/>
  <c r="Q209" i="11"/>
  <c r="S209" i="11" s="1"/>
  <c r="Y209" i="11" s="1"/>
  <c r="I209" i="11"/>
  <c r="AF209" i="11"/>
  <c r="P209" i="11"/>
  <c r="R209" i="11" s="1"/>
  <c r="H209" i="11"/>
  <c r="O209" i="11"/>
  <c r="G209" i="11"/>
  <c r="AD209" i="11" s="1"/>
  <c r="N209" i="11"/>
  <c r="F209" i="11"/>
  <c r="M209" i="11"/>
  <c r="L209" i="11"/>
  <c r="E209" i="11"/>
  <c r="AB209" i="11"/>
  <c r="AC209" i="11" s="1"/>
  <c r="K352" i="11"/>
  <c r="J352" i="11"/>
  <c r="AF352" i="11"/>
  <c r="H352" i="11"/>
  <c r="O352" i="11"/>
  <c r="G352" i="11"/>
  <c r="AI352" i="11" s="1"/>
  <c r="N352" i="11"/>
  <c r="M352" i="11"/>
  <c r="L352" i="11"/>
  <c r="AB352" i="11" s="1"/>
  <c r="AC352" i="11" s="1"/>
  <c r="I352" i="11"/>
  <c r="F352" i="11"/>
  <c r="E352" i="11"/>
  <c r="AI141" i="11"/>
  <c r="K141" i="11"/>
  <c r="J141" i="11"/>
  <c r="AF141" i="11"/>
  <c r="H141" i="11"/>
  <c r="O141" i="11"/>
  <c r="G141" i="11"/>
  <c r="N141" i="11"/>
  <c r="F141" i="11"/>
  <c r="M141" i="11"/>
  <c r="L141" i="11"/>
  <c r="AB141" i="11" s="1"/>
  <c r="AC141" i="11" s="1"/>
  <c r="I141" i="11"/>
  <c r="E141" i="11"/>
  <c r="D483" i="11"/>
  <c r="D498" i="11"/>
  <c r="K275" i="11"/>
  <c r="J275" i="11"/>
  <c r="AF275" i="11"/>
  <c r="H275" i="11"/>
  <c r="N275" i="11"/>
  <c r="F275" i="11"/>
  <c r="M275" i="11"/>
  <c r="L275" i="11"/>
  <c r="AB275" i="11" s="1"/>
  <c r="AC275" i="11" s="1"/>
  <c r="I275" i="11"/>
  <c r="G275" i="11"/>
  <c r="E275" i="11"/>
  <c r="O275" i="11"/>
  <c r="D644" i="11"/>
  <c r="AN8" i="7"/>
  <c r="AD1406" i="11"/>
  <c r="V1406" i="11"/>
  <c r="N1406" i="11"/>
  <c r="F1406" i="11"/>
  <c r="AC1406" i="11"/>
  <c r="U1406" i="11"/>
  <c r="M1406" i="11"/>
  <c r="E1406" i="11"/>
  <c r="AB1406" i="11"/>
  <c r="T1406" i="11"/>
  <c r="L1406" i="11"/>
  <c r="Y1406" i="11"/>
  <c r="K1406" i="11"/>
  <c r="AI1406" i="11"/>
  <c r="X1406" i="11"/>
  <c r="J1406" i="11"/>
  <c r="AH1406" i="11"/>
  <c r="W1406" i="11"/>
  <c r="I1406" i="11"/>
  <c r="AG1406" i="11"/>
  <c r="S1406" i="11"/>
  <c r="H1406" i="11"/>
  <c r="P1406" i="11"/>
  <c r="O1406" i="11"/>
  <c r="AF1406" i="11"/>
  <c r="G1406" i="11"/>
  <c r="AE1406" i="11"/>
  <c r="AA1406" i="11"/>
  <c r="Z1406" i="11"/>
  <c r="R1406" i="11"/>
  <c r="Q1406" i="11"/>
  <c r="AB1272" i="11"/>
  <c r="T1272" i="11"/>
  <c r="L1272" i="11"/>
  <c r="AH1272" i="11"/>
  <c r="Y1272" i="11"/>
  <c r="P1272" i="11"/>
  <c r="G1272" i="11"/>
  <c r="AG1272" i="11"/>
  <c r="X1272" i="11"/>
  <c r="O1272" i="11"/>
  <c r="F1272" i="11"/>
  <c r="AF1272" i="11"/>
  <c r="W1272" i="11"/>
  <c r="N1272" i="11"/>
  <c r="E1272" i="11"/>
  <c r="AE1272" i="11"/>
  <c r="V1272" i="11"/>
  <c r="M1272" i="11"/>
  <c r="AD1272" i="11"/>
  <c r="U1272" i="11"/>
  <c r="K1272" i="11"/>
  <c r="R1272" i="11"/>
  <c r="Q1272" i="11"/>
  <c r="J1272" i="11"/>
  <c r="AI1272" i="11"/>
  <c r="I1272" i="11"/>
  <c r="AC1272" i="11"/>
  <c r="H1272" i="11"/>
  <c r="AA1272" i="11"/>
  <c r="Z1272" i="11"/>
  <c r="S1272" i="11"/>
  <c r="AE1200" i="11"/>
  <c r="W1200" i="11"/>
  <c r="O1200" i="11"/>
  <c r="G1200" i="11"/>
  <c r="AD1200" i="11"/>
  <c r="V1200" i="11"/>
  <c r="N1200" i="11"/>
  <c r="F1200" i="11"/>
  <c r="AC1200" i="11"/>
  <c r="U1200" i="11"/>
  <c r="M1200" i="11"/>
  <c r="E1200" i="11"/>
  <c r="AB1200" i="11"/>
  <c r="T1200" i="11"/>
  <c r="L1200" i="11"/>
  <c r="AI1200" i="11"/>
  <c r="AA1200" i="11"/>
  <c r="S1200" i="11"/>
  <c r="K1200" i="11"/>
  <c r="AF1200" i="11"/>
  <c r="I1200" i="11"/>
  <c r="Z1200" i="11"/>
  <c r="H1200" i="11"/>
  <c r="Y1200" i="11"/>
  <c r="X1200" i="11"/>
  <c r="R1200" i="11"/>
  <c r="Q1200" i="11"/>
  <c r="AH1200" i="11"/>
  <c r="P1200" i="11"/>
  <c r="AG1200" i="11"/>
  <c r="J1200" i="11"/>
  <c r="AD1126" i="11"/>
  <c r="V1126" i="11"/>
  <c r="N1126" i="11"/>
  <c r="F1126" i="11"/>
  <c r="AC1126" i="11"/>
  <c r="U1126" i="11"/>
  <c r="M1126" i="11"/>
  <c r="E1126" i="11"/>
  <c r="AE1126" i="11"/>
  <c r="S1126" i="11"/>
  <c r="I1126" i="11"/>
  <c r="AB1126" i="11"/>
  <c r="R1126" i="11"/>
  <c r="H1126" i="11"/>
  <c r="AA1126" i="11"/>
  <c r="Q1126" i="11"/>
  <c r="G1126" i="11"/>
  <c r="Z1126" i="11"/>
  <c r="P1126" i="11"/>
  <c r="AI1126" i="11"/>
  <c r="Y1126" i="11"/>
  <c r="O1126" i="11"/>
  <c r="AH1126" i="11"/>
  <c r="X1126" i="11"/>
  <c r="L1126" i="11"/>
  <c r="AG1126" i="11"/>
  <c r="W1126" i="11"/>
  <c r="K1126" i="11"/>
  <c r="J1126" i="11"/>
  <c r="AF1126" i="11"/>
  <c r="T1126" i="11"/>
  <c r="L974" i="11"/>
  <c r="K974" i="11"/>
  <c r="J974" i="11"/>
  <c r="Q974" i="11"/>
  <c r="I974" i="11"/>
  <c r="AF974" i="11"/>
  <c r="O974" i="11"/>
  <c r="N974" i="11"/>
  <c r="M974" i="11"/>
  <c r="H974" i="11"/>
  <c r="G974" i="11"/>
  <c r="F974" i="11"/>
  <c r="E974" i="11"/>
  <c r="AG1434" i="11"/>
  <c r="Y1434" i="11"/>
  <c r="Q1434" i="11"/>
  <c r="I1434" i="11"/>
  <c r="AE1434" i="11"/>
  <c r="W1434" i="11"/>
  <c r="O1434" i="11"/>
  <c r="G1434" i="11"/>
  <c r="AD1434" i="11"/>
  <c r="V1434" i="11"/>
  <c r="N1434" i="11"/>
  <c r="F1434" i="11"/>
  <c r="AI1434" i="11"/>
  <c r="AA1434" i="11"/>
  <c r="AF1434" i="11"/>
  <c r="R1434" i="11"/>
  <c r="AC1434" i="11"/>
  <c r="P1434" i="11"/>
  <c r="Z1434" i="11"/>
  <c r="L1434" i="11"/>
  <c r="T1434" i="11"/>
  <c r="S1434" i="11"/>
  <c r="M1434" i="11"/>
  <c r="K1434" i="11"/>
  <c r="AH1434" i="11"/>
  <c r="J1434" i="11"/>
  <c r="AB1434" i="11"/>
  <c r="H1434" i="11"/>
  <c r="X1434" i="11"/>
  <c r="U1434" i="11"/>
  <c r="E1434" i="11"/>
  <c r="AC1333" i="11"/>
  <c r="U1333" i="11"/>
  <c r="M1333" i="11"/>
  <c r="E1333" i="11"/>
  <c r="AB1333" i="11"/>
  <c r="T1333" i="11"/>
  <c r="L1333" i="11"/>
  <c r="AG1333" i="11"/>
  <c r="Y1333" i="11"/>
  <c r="Q1333" i="11"/>
  <c r="I1333" i="11"/>
  <c r="AD1333" i="11"/>
  <c r="P1333" i="11"/>
  <c r="AA1333" i="11"/>
  <c r="O1333" i="11"/>
  <c r="Z1333" i="11"/>
  <c r="N1333" i="11"/>
  <c r="X1333" i="11"/>
  <c r="K1333" i="11"/>
  <c r="AI1333" i="11"/>
  <c r="W1333" i="11"/>
  <c r="J1333" i="11"/>
  <c r="AE1333" i="11"/>
  <c r="V1333" i="11"/>
  <c r="S1333" i="11"/>
  <c r="R1333" i="11"/>
  <c r="H1333" i="11"/>
  <c r="G1333" i="11"/>
  <c r="AH1333" i="11"/>
  <c r="F1333" i="11"/>
  <c r="AF1333" i="11"/>
  <c r="AD1275" i="11"/>
  <c r="V1275" i="11"/>
  <c r="N1275" i="11"/>
  <c r="F1275" i="11"/>
  <c r="AF1275" i="11"/>
  <c r="W1275" i="11"/>
  <c r="M1275" i="11"/>
  <c r="AE1275" i="11"/>
  <c r="U1275" i="11"/>
  <c r="L1275" i="11"/>
  <c r="AC1275" i="11"/>
  <c r="T1275" i="11"/>
  <c r="K1275" i="11"/>
  <c r="AB1275" i="11"/>
  <c r="S1275" i="11"/>
  <c r="J1275" i="11"/>
  <c r="AA1275" i="11"/>
  <c r="R1275" i="11"/>
  <c r="I1275" i="11"/>
  <c r="Z1275" i="11"/>
  <c r="E1275" i="11"/>
  <c r="Y1275" i="11"/>
  <c r="X1275" i="11"/>
  <c r="Q1275" i="11"/>
  <c r="P1275" i="11"/>
  <c r="AI1275" i="11"/>
  <c r="O1275" i="11"/>
  <c r="AH1275" i="11"/>
  <c r="H1275" i="11"/>
  <c r="AG1275" i="11"/>
  <c r="G1275" i="11"/>
  <c r="AC1189" i="11"/>
  <c r="U1189" i="11"/>
  <c r="M1189" i="11"/>
  <c r="E1189" i="11"/>
  <c r="AB1189" i="11"/>
  <c r="T1189" i="11"/>
  <c r="L1189" i="11"/>
  <c r="AI1189" i="11"/>
  <c r="AA1189" i="11"/>
  <c r="S1189" i="11"/>
  <c r="K1189" i="11"/>
  <c r="AH1189" i="11"/>
  <c r="Z1189" i="11"/>
  <c r="R1189" i="11"/>
  <c r="J1189" i="11"/>
  <c r="AG1189" i="11"/>
  <c r="Y1189" i="11"/>
  <c r="Q1189" i="11"/>
  <c r="I1189" i="11"/>
  <c r="AF1189" i="11"/>
  <c r="N1189" i="11"/>
  <c r="AE1189" i="11"/>
  <c r="H1189" i="11"/>
  <c r="AD1189" i="11"/>
  <c r="G1189" i="11"/>
  <c r="X1189" i="11"/>
  <c r="F1189" i="11"/>
  <c r="W1189" i="11"/>
  <c r="V1189" i="11"/>
  <c r="P1189" i="11"/>
  <c r="O1189" i="11"/>
  <c r="AH1074" i="11"/>
  <c r="Z1074" i="11"/>
  <c r="R1074" i="11"/>
  <c r="J1074" i="11"/>
  <c r="AG1074" i="11"/>
  <c r="Y1074" i="11"/>
  <c r="Q1074" i="11"/>
  <c r="I1074" i="11"/>
  <c r="AF1074" i="11"/>
  <c r="X1074" i="11"/>
  <c r="P1074" i="11"/>
  <c r="H1074" i="11"/>
  <c r="AE1074" i="11"/>
  <c r="W1074" i="11"/>
  <c r="O1074" i="11"/>
  <c r="G1074" i="11"/>
  <c r="AD1074" i="11"/>
  <c r="V1074" i="11"/>
  <c r="N1074" i="11"/>
  <c r="F1074" i="11"/>
  <c r="AB1074" i="11"/>
  <c r="T1074" i="11"/>
  <c r="L1074" i="11"/>
  <c r="M1074" i="11"/>
  <c r="K1074" i="11"/>
  <c r="E1074" i="11"/>
  <c r="AI1074" i="11"/>
  <c r="AC1074" i="11"/>
  <c r="AA1074" i="11"/>
  <c r="U1074" i="11"/>
  <c r="S1074" i="11"/>
  <c r="K1021" i="11"/>
  <c r="I1021" i="11"/>
  <c r="O1021" i="11"/>
  <c r="G1021" i="11"/>
  <c r="AC1021" i="11"/>
  <c r="N1021" i="11"/>
  <c r="M1021" i="11"/>
  <c r="L1021" i="11"/>
  <c r="AB1021" i="11" s="1"/>
  <c r="J1021" i="11"/>
  <c r="H1021" i="11"/>
  <c r="AF1021" i="11"/>
  <c r="F1021" i="11"/>
  <c r="E1021" i="11"/>
  <c r="L986" i="11"/>
  <c r="S986" i="11"/>
  <c r="K986" i="11"/>
  <c r="J986" i="11"/>
  <c r="Q986" i="11"/>
  <c r="I986" i="11"/>
  <c r="AB986" i="11" s="1"/>
  <c r="AC986" i="11" s="1"/>
  <c r="O986" i="11"/>
  <c r="G986" i="11"/>
  <c r="AI986" i="11" s="1"/>
  <c r="N986" i="11"/>
  <c r="F986" i="11"/>
  <c r="M986" i="11"/>
  <c r="H986" i="11"/>
  <c r="E986" i="11"/>
  <c r="P986" i="11" s="1"/>
  <c r="AF986" i="11"/>
  <c r="M904" i="11"/>
  <c r="E904" i="11"/>
  <c r="K904" i="11"/>
  <c r="Q904" i="11"/>
  <c r="I904" i="11"/>
  <c r="AF904" i="11"/>
  <c r="P904" i="11"/>
  <c r="H904" i="11"/>
  <c r="N904" i="11"/>
  <c r="L904" i="11"/>
  <c r="J904" i="11"/>
  <c r="AB904" i="11" s="1"/>
  <c r="AC904" i="11" s="1"/>
  <c r="G904" i="11"/>
  <c r="F904" i="11"/>
  <c r="O904" i="11"/>
  <c r="AE725" i="11"/>
  <c r="W725" i="11"/>
  <c r="O725" i="11"/>
  <c r="G725" i="11"/>
  <c r="AD725" i="11"/>
  <c r="V725" i="11"/>
  <c r="N725" i="11"/>
  <c r="F725" i="11"/>
  <c r="AC725" i="11"/>
  <c r="U725" i="11"/>
  <c r="M725" i="11"/>
  <c r="E725" i="11"/>
  <c r="AB725" i="11"/>
  <c r="T725" i="11"/>
  <c r="L725" i="11"/>
  <c r="AI725" i="11"/>
  <c r="AA725" i="11"/>
  <c r="S725" i="11"/>
  <c r="K725" i="11"/>
  <c r="AH725" i="11"/>
  <c r="Z725" i="11"/>
  <c r="R725" i="11"/>
  <c r="J725" i="11"/>
  <c r="AG725" i="11"/>
  <c r="Y725" i="11"/>
  <c r="Q725" i="11"/>
  <c r="I725" i="11"/>
  <c r="H725" i="11"/>
  <c r="AF725" i="11"/>
  <c r="X725" i="11"/>
  <c r="P725" i="11"/>
  <c r="AH607" i="11"/>
  <c r="Z607" i="11"/>
  <c r="R607" i="11"/>
  <c r="J607" i="11"/>
  <c r="AG607" i="11"/>
  <c r="Y607" i="11"/>
  <c r="Q607" i="11"/>
  <c r="I607" i="11"/>
  <c r="AF607" i="11"/>
  <c r="X607" i="11"/>
  <c r="P607" i="11"/>
  <c r="H607" i="11"/>
  <c r="AE607" i="11"/>
  <c r="W607" i="11"/>
  <c r="O607" i="11"/>
  <c r="G607" i="11"/>
  <c r="AC607" i="11"/>
  <c r="U607" i="11"/>
  <c r="M607" i="11"/>
  <c r="E607" i="11"/>
  <c r="AB607" i="11"/>
  <c r="T607" i="11"/>
  <c r="L607" i="11"/>
  <c r="N607" i="11"/>
  <c r="K607" i="11"/>
  <c r="F607" i="11"/>
  <c r="AI607" i="11"/>
  <c r="AD607" i="11"/>
  <c r="AA607" i="11"/>
  <c r="V607" i="11"/>
  <c r="S607" i="11"/>
  <c r="AD1414" i="11"/>
  <c r="V1414" i="11"/>
  <c r="N1414" i="11"/>
  <c r="F1414" i="11"/>
  <c r="AH1414" i="11"/>
  <c r="Y1414" i="11"/>
  <c r="P1414" i="11"/>
  <c r="G1414" i="11"/>
  <c r="AG1414" i="11"/>
  <c r="X1414" i="11"/>
  <c r="O1414" i="11"/>
  <c r="E1414" i="11"/>
  <c r="AF1414" i="11"/>
  <c r="W1414" i="11"/>
  <c r="M1414" i="11"/>
  <c r="AB1414" i="11"/>
  <c r="L1414" i="11"/>
  <c r="AA1414" i="11"/>
  <c r="K1414" i="11"/>
  <c r="Z1414" i="11"/>
  <c r="J1414" i="11"/>
  <c r="U1414" i="11"/>
  <c r="I1414" i="11"/>
  <c r="T1414" i="11"/>
  <c r="H1414" i="11"/>
  <c r="AI1414" i="11"/>
  <c r="AE1414" i="11"/>
  <c r="AC1414" i="11"/>
  <c r="S1414" i="11"/>
  <c r="R1414" i="11"/>
  <c r="Q1414" i="11"/>
  <c r="AC1387" i="11"/>
  <c r="U1387" i="11"/>
  <c r="M1387" i="11"/>
  <c r="E1387" i="11"/>
  <c r="AB1387" i="11"/>
  <c r="T1387" i="11"/>
  <c r="L1387" i="11"/>
  <c r="Z1387" i="11"/>
  <c r="P1387" i="11"/>
  <c r="F1387" i="11"/>
  <c r="AI1387" i="11"/>
  <c r="Y1387" i="11"/>
  <c r="O1387" i="11"/>
  <c r="AH1387" i="11"/>
  <c r="X1387" i="11"/>
  <c r="N1387" i="11"/>
  <c r="AF1387" i="11"/>
  <c r="V1387" i="11"/>
  <c r="J1387" i="11"/>
  <c r="AE1387" i="11"/>
  <c r="S1387" i="11"/>
  <c r="I1387" i="11"/>
  <c r="W1387" i="11"/>
  <c r="R1387" i="11"/>
  <c r="Q1387" i="11"/>
  <c r="K1387" i="11"/>
  <c r="H1387" i="11"/>
  <c r="AG1387" i="11"/>
  <c r="G1387" i="11"/>
  <c r="AD1387" i="11"/>
  <c r="AA1387" i="11"/>
  <c r="AG1385" i="11"/>
  <c r="Y1385" i="11"/>
  <c r="Q1385" i="11"/>
  <c r="I1385" i="11"/>
  <c r="AF1385" i="11"/>
  <c r="X1385" i="11"/>
  <c r="P1385" i="11"/>
  <c r="H1385" i="11"/>
  <c r="AD1385" i="11"/>
  <c r="T1385" i="11"/>
  <c r="J1385" i="11"/>
  <c r="AC1385" i="11"/>
  <c r="S1385" i="11"/>
  <c r="G1385" i="11"/>
  <c r="AB1385" i="11"/>
  <c r="R1385" i="11"/>
  <c r="F1385" i="11"/>
  <c r="Z1385" i="11"/>
  <c r="N1385" i="11"/>
  <c r="AI1385" i="11"/>
  <c r="W1385" i="11"/>
  <c r="M1385" i="11"/>
  <c r="O1385" i="11"/>
  <c r="L1385" i="11"/>
  <c r="K1385" i="11"/>
  <c r="AH1385" i="11"/>
  <c r="E1385" i="11"/>
  <c r="AE1385" i="11"/>
  <c r="AA1385" i="11"/>
  <c r="V1385" i="11"/>
  <c r="U1385" i="11"/>
  <c r="AE1336" i="11"/>
  <c r="W1336" i="11"/>
  <c r="O1336" i="11"/>
  <c r="G1336" i="11"/>
  <c r="AD1336" i="11"/>
  <c r="V1336" i="11"/>
  <c r="N1336" i="11"/>
  <c r="F1336" i="11"/>
  <c r="AI1336" i="11"/>
  <c r="AA1336" i="11"/>
  <c r="S1336" i="11"/>
  <c r="K1336" i="11"/>
  <c r="Y1336" i="11"/>
  <c r="L1336" i="11"/>
  <c r="X1336" i="11"/>
  <c r="J1336" i="11"/>
  <c r="AH1336" i="11"/>
  <c r="U1336" i="11"/>
  <c r="I1336" i="11"/>
  <c r="AG1336" i="11"/>
  <c r="T1336" i="11"/>
  <c r="H1336" i="11"/>
  <c r="AF1336" i="11"/>
  <c r="R1336" i="11"/>
  <c r="E1336" i="11"/>
  <c r="M1336" i="11"/>
  <c r="AC1336" i="11"/>
  <c r="AB1336" i="11"/>
  <c r="Z1336" i="11"/>
  <c r="Q1336" i="11"/>
  <c r="P1336" i="11"/>
  <c r="AH1269" i="11"/>
  <c r="Z1269" i="11"/>
  <c r="R1269" i="11"/>
  <c r="J1269" i="11"/>
  <c r="AA1269" i="11"/>
  <c r="Q1269" i="11"/>
  <c r="H1269" i="11"/>
  <c r="AI1269" i="11"/>
  <c r="Y1269" i="11"/>
  <c r="P1269" i="11"/>
  <c r="G1269" i="11"/>
  <c r="AG1269" i="11"/>
  <c r="X1269" i="11"/>
  <c r="O1269" i="11"/>
  <c r="F1269" i="11"/>
  <c r="AF1269" i="11"/>
  <c r="W1269" i="11"/>
  <c r="N1269" i="11"/>
  <c r="E1269" i="11"/>
  <c r="AE1269" i="11"/>
  <c r="V1269" i="11"/>
  <c r="M1269" i="11"/>
  <c r="L1269" i="11"/>
  <c r="K1269" i="11"/>
  <c r="AD1269" i="11"/>
  <c r="I1269" i="11"/>
  <c r="AC1269" i="11"/>
  <c r="AB1269" i="11"/>
  <c r="U1269" i="11"/>
  <c r="T1269" i="11"/>
  <c r="S1269" i="11"/>
  <c r="AI1214" i="11"/>
  <c r="AA1214" i="11"/>
  <c r="S1214" i="11"/>
  <c r="K1214" i="11"/>
  <c r="AE1214" i="11"/>
  <c r="V1214" i="11"/>
  <c r="M1214" i="11"/>
  <c r="AD1214" i="11"/>
  <c r="U1214" i="11"/>
  <c r="L1214" i="11"/>
  <c r="AC1214" i="11"/>
  <c r="T1214" i="11"/>
  <c r="J1214" i="11"/>
  <c r="AB1214" i="11"/>
  <c r="R1214" i="11"/>
  <c r="I1214" i="11"/>
  <c r="Z1214" i="11"/>
  <c r="Q1214" i="11"/>
  <c r="H1214" i="11"/>
  <c r="Y1214" i="11"/>
  <c r="E1214" i="11"/>
  <c r="X1214" i="11"/>
  <c r="W1214" i="11"/>
  <c r="P1214" i="11"/>
  <c r="O1214" i="11"/>
  <c r="AH1214" i="11"/>
  <c r="N1214" i="11"/>
  <c r="AG1214" i="11"/>
  <c r="G1214" i="11"/>
  <c r="AF1214" i="11"/>
  <c r="F1214" i="11"/>
  <c r="AF1262" i="11"/>
  <c r="X1262" i="11"/>
  <c r="P1262" i="11"/>
  <c r="H1262" i="11"/>
  <c r="AC1262" i="11"/>
  <c r="T1262" i="11"/>
  <c r="K1262" i="11"/>
  <c r="AB1262" i="11"/>
  <c r="S1262" i="11"/>
  <c r="J1262" i="11"/>
  <c r="AA1262" i="11"/>
  <c r="R1262" i="11"/>
  <c r="I1262" i="11"/>
  <c r="AI1262" i="11"/>
  <c r="Z1262" i="11"/>
  <c r="Q1262" i="11"/>
  <c r="G1262" i="11"/>
  <c r="AG1262" i="11"/>
  <c r="N1262" i="11"/>
  <c r="AE1262" i="11"/>
  <c r="M1262" i="11"/>
  <c r="AD1262" i="11"/>
  <c r="L1262" i="11"/>
  <c r="Y1262" i="11"/>
  <c r="F1262" i="11"/>
  <c r="W1262" i="11"/>
  <c r="E1262" i="11"/>
  <c r="V1262" i="11"/>
  <c r="U1262" i="11"/>
  <c r="AH1262" i="11"/>
  <c r="O1262" i="11"/>
  <c r="AF1071" i="11"/>
  <c r="X1071" i="11"/>
  <c r="P1071" i="11"/>
  <c r="H1071" i="11"/>
  <c r="AE1071" i="11"/>
  <c r="W1071" i="11"/>
  <c r="O1071" i="11"/>
  <c r="G1071" i="11"/>
  <c r="AD1071" i="11"/>
  <c r="V1071" i="11"/>
  <c r="N1071" i="11"/>
  <c r="F1071" i="11"/>
  <c r="AC1071" i="11"/>
  <c r="U1071" i="11"/>
  <c r="M1071" i="11"/>
  <c r="E1071" i="11"/>
  <c r="AB1071" i="11"/>
  <c r="T1071" i="11"/>
  <c r="L1071" i="11"/>
  <c r="AH1071" i="11"/>
  <c r="Z1071" i="11"/>
  <c r="R1071" i="11"/>
  <c r="J1071" i="11"/>
  <c r="I1071" i="11"/>
  <c r="AI1071" i="11"/>
  <c r="AG1071" i="11"/>
  <c r="AA1071" i="11"/>
  <c r="Y1071" i="11"/>
  <c r="S1071" i="11"/>
  <c r="Q1071" i="11"/>
  <c r="K1071" i="11"/>
  <c r="AB1097" i="11"/>
  <c r="T1097" i="11"/>
  <c r="L1097" i="11"/>
  <c r="AI1097" i="11"/>
  <c r="AA1097" i="11"/>
  <c r="S1097" i="11"/>
  <c r="K1097" i="11"/>
  <c r="AH1097" i="11"/>
  <c r="Z1097" i="11"/>
  <c r="R1097" i="11"/>
  <c r="J1097" i="11"/>
  <c r="AG1097" i="11"/>
  <c r="Y1097" i="11"/>
  <c r="Q1097" i="11"/>
  <c r="I1097" i="11"/>
  <c r="AF1097" i="11"/>
  <c r="X1097" i="11"/>
  <c r="P1097" i="11"/>
  <c r="H1097" i="11"/>
  <c r="AD1097" i="11"/>
  <c r="V1097" i="11"/>
  <c r="N1097" i="11"/>
  <c r="F1097" i="11"/>
  <c r="U1097" i="11"/>
  <c r="O1097" i="11"/>
  <c r="M1097" i="11"/>
  <c r="G1097" i="11"/>
  <c r="E1097" i="11"/>
  <c r="AE1097" i="11"/>
  <c r="AC1097" i="11"/>
  <c r="W1097" i="11"/>
  <c r="N993" i="11"/>
  <c r="F993" i="11"/>
  <c r="M993" i="11"/>
  <c r="E993" i="11"/>
  <c r="L993" i="11"/>
  <c r="K993" i="11"/>
  <c r="Q993" i="11"/>
  <c r="I993" i="11"/>
  <c r="AF993" i="11"/>
  <c r="H993" i="11"/>
  <c r="O993" i="11"/>
  <c r="J993" i="11"/>
  <c r="G993" i="11"/>
  <c r="AI993" i="11" s="1"/>
  <c r="J983" i="11"/>
  <c r="I983" i="11"/>
  <c r="AF983" i="11"/>
  <c r="H983" i="11"/>
  <c r="O983" i="11"/>
  <c r="G983" i="11"/>
  <c r="M983" i="11"/>
  <c r="E983" i="11"/>
  <c r="L983" i="11"/>
  <c r="N983" i="11"/>
  <c r="K983" i="11"/>
  <c r="F983" i="11"/>
  <c r="P983" i="11" s="1"/>
  <c r="AI983" i="11"/>
  <c r="M916" i="11"/>
  <c r="E916" i="11"/>
  <c r="AB916" i="11"/>
  <c r="AC916" i="11" s="1"/>
  <c r="L916" i="11"/>
  <c r="K916" i="11"/>
  <c r="I916" i="11"/>
  <c r="AF916" i="11"/>
  <c r="H916" i="11"/>
  <c r="G916" i="11"/>
  <c r="F916" i="11"/>
  <c r="O916" i="11"/>
  <c r="J916" i="11"/>
  <c r="N916" i="11"/>
  <c r="L869" i="11"/>
  <c r="K869" i="11"/>
  <c r="J869" i="11"/>
  <c r="AF869" i="11"/>
  <c r="P869" i="11"/>
  <c r="H869" i="11"/>
  <c r="AB869" i="11" s="1"/>
  <c r="AC869" i="11" s="1"/>
  <c r="O869" i="11"/>
  <c r="G869" i="11"/>
  <c r="AI869" i="11" s="1"/>
  <c r="N869" i="11"/>
  <c r="M869" i="11"/>
  <c r="I869" i="11"/>
  <c r="F869" i="11"/>
  <c r="E869" i="11"/>
  <c r="AG1442" i="11"/>
  <c r="Y1442" i="11"/>
  <c r="Q1442" i="11"/>
  <c r="I1442" i="11"/>
  <c r="AF1442" i="11"/>
  <c r="X1442" i="11"/>
  <c r="P1442" i="11"/>
  <c r="H1442" i="11"/>
  <c r="AE1442" i="11"/>
  <c r="W1442" i="11"/>
  <c r="O1442" i="11"/>
  <c r="G1442" i="11"/>
  <c r="AD1442" i="11"/>
  <c r="V1442" i="11"/>
  <c r="N1442" i="11"/>
  <c r="F1442" i="11"/>
  <c r="AB1442" i="11"/>
  <c r="T1442" i="11"/>
  <c r="L1442" i="11"/>
  <c r="AI1442" i="11"/>
  <c r="AA1442" i="11"/>
  <c r="S1442" i="11"/>
  <c r="K1442" i="11"/>
  <c r="AC1442" i="11"/>
  <c r="Z1442" i="11"/>
  <c r="U1442" i="11"/>
  <c r="R1442" i="11"/>
  <c r="M1442" i="11"/>
  <c r="E1442" i="11"/>
  <c r="AH1442" i="11"/>
  <c r="J1442" i="11"/>
  <c r="AD1422" i="11"/>
  <c r="V1422" i="11"/>
  <c r="N1422" i="11"/>
  <c r="F1422" i="11"/>
  <c r="AH1422" i="11"/>
  <c r="Y1422" i="11"/>
  <c r="P1422" i="11"/>
  <c r="G1422" i="11"/>
  <c r="AG1422" i="11"/>
  <c r="X1422" i="11"/>
  <c r="O1422" i="11"/>
  <c r="E1422" i="11"/>
  <c r="AF1422" i="11"/>
  <c r="W1422" i="11"/>
  <c r="M1422" i="11"/>
  <c r="T1422" i="11"/>
  <c r="H1422" i="11"/>
  <c r="AI1422" i="11"/>
  <c r="S1422" i="11"/>
  <c r="AE1422" i="11"/>
  <c r="R1422" i="11"/>
  <c r="AC1422" i="11"/>
  <c r="Q1422" i="11"/>
  <c r="AB1422" i="11"/>
  <c r="L1422" i="11"/>
  <c r="AA1422" i="11"/>
  <c r="K1422" i="11"/>
  <c r="Z1422" i="11"/>
  <c r="J1422" i="11"/>
  <c r="U1422" i="11"/>
  <c r="I1422" i="11"/>
  <c r="AB1403" i="11"/>
  <c r="T1403" i="11"/>
  <c r="L1403" i="11"/>
  <c r="AI1403" i="11"/>
  <c r="AA1403" i="11"/>
  <c r="S1403" i="11"/>
  <c r="K1403" i="11"/>
  <c r="AH1403" i="11"/>
  <c r="Z1403" i="11"/>
  <c r="R1403" i="11"/>
  <c r="J1403" i="11"/>
  <c r="Y1403" i="11"/>
  <c r="N1403" i="11"/>
  <c r="X1403" i="11"/>
  <c r="M1403" i="11"/>
  <c r="W1403" i="11"/>
  <c r="I1403" i="11"/>
  <c r="AG1403" i="11"/>
  <c r="V1403" i="11"/>
  <c r="H1403" i="11"/>
  <c r="AC1403" i="11"/>
  <c r="U1403" i="11"/>
  <c r="Q1403" i="11"/>
  <c r="P1403" i="11"/>
  <c r="O1403" i="11"/>
  <c r="AF1403" i="11"/>
  <c r="G1403" i="11"/>
  <c r="AD1403" i="11"/>
  <c r="E1403" i="11"/>
  <c r="AE1403" i="11"/>
  <c r="F1403" i="11"/>
  <c r="AH1420" i="11"/>
  <c r="Z1420" i="11"/>
  <c r="R1420" i="11"/>
  <c r="J1420" i="11"/>
  <c r="AC1420" i="11"/>
  <c r="T1420" i="11"/>
  <c r="K1420" i="11"/>
  <c r="AB1420" i="11"/>
  <c r="S1420" i="11"/>
  <c r="I1420" i="11"/>
  <c r="AA1420" i="11"/>
  <c r="Q1420" i="11"/>
  <c r="H1420" i="11"/>
  <c r="AG1420" i="11"/>
  <c r="U1420" i="11"/>
  <c r="E1420" i="11"/>
  <c r="AF1420" i="11"/>
  <c r="P1420" i="11"/>
  <c r="AE1420" i="11"/>
  <c r="O1420" i="11"/>
  <c r="AD1420" i="11"/>
  <c r="N1420" i="11"/>
  <c r="Y1420" i="11"/>
  <c r="M1420" i="11"/>
  <c r="W1420" i="11"/>
  <c r="G1420" i="11"/>
  <c r="V1420" i="11"/>
  <c r="L1420" i="11"/>
  <c r="F1420" i="11"/>
  <c r="AI1420" i="11"/>
  <c r="X1420" i="11"/>
  <c r="AD1410" i="11"/>
  <c r="V1410" i="11"/>
  <c r="N1410" i="11"/>
  <c r="F1410" i="11"/>
  <c r="AC1410" i="11"/>
  <c r="U1410" i="11"/>
  <c r="M1410" i="11"/>
  <c r="E1410" i="11"/>
  <c r="AB1410" i="11"/>
  <c r="T1410" i="11"/>
  <c r="L1410" i="11"/>
  <c r="Y1410" i="11"/>
  <c r="K1410" i="11"/>
  <c r="AI1410" i="11"/>
  <c r="X1410" i="11"/>
  <c r="J1410" i="11"/>
  <c r="AH1410" i="11"/>
  <c r="W1410" i="11"/>
  <c r="I1410" i="11"/>
  <c r="AG1410" i="11"/>
  <c r="S1410" i="11"/>
  <c r="H1410" i="11"/>
  <c r="AF1410" i="11"/>
  <c r="R1410" i="11"/>
  <c r="G1410" i="11"/>
  <c r="AA1410" i="11"/>
  <c r="Z1410" i="11"/>
  <c r="Q1410" i="11"/>
  <c r="P1410" i="11"/>
  <c r="O1410" i="11"/>
  <c r="AE1410" i="11"/>
  <c r="AE1386" i="11"/>
  <c r="W1386" i="11"/>
  <c r="O1386" i="11"/>
  <c r="G1386" i="11"/>
  <c r="AD1386" i="11"/>
  <c r="V1386" i="11"/>
  <c r="N1386" i="11"/>
  <c r="F1386" i="11"/>
  <c r="AB1386" i="11"/>
  <c r="R1386" i="11"/>
  <c r="H1386" i="11"/>
  <c r="AA1386" i="11"/>
  <c r="Q1386" i="11"/>
  <c r="E1386" i="11"/>
  <c r="Z1386" i="11"/>
  <c r="P1386" i="11"/>
  <c r="AH1386" i="11"/>
  <c r="X1386" i="11"/>
  <c r="L1386" i="11"/>
  <c r="AG1386" i="11"/>
  <c r="U1386" i="11"/>
  <c r="K1386" i="11"/>
  <c r="AI1386" i="11"/>
  <c r="I1386" i="11"/>
  <c r="AF1386" i="11"/>
  <c r="AC1386" i="11"/>
  <c r="Y1386" i="11"/>
  <c r="T1386" i="11"/>
  <c r="S1386" i="11"/>
  <c r="M1386" i="11"/>
  <c r="J1386" i="11"/>
  <c r="AC1379" i="11"/>
  <c r="U1379" i="11"/>
  <c r="M1379" i="11"/>
  <c r="E1379" i="11"/>
  <c r="AB1379" i="11"/>
  <c r="T1379" i="11"/>
  <c r="L1379" i="11"/>
  <c r="AH1379" i="11"/>
  <c r="X1379" i="11"/>
  <c r="N1379" i="11"/>
  <c r="AE1379" i="11"/>
  <c r="S1379" i="11"/>
  <c r="I1379" i="11"/>
  <c r="AD1379" i="11"/>
  <c r="P1379" i="11"/>
  <c r="AA1379" i="11"/>
  <c r="O1379" i="11"/>
  <c r="Z1379" i="11"/>
  <c r="K1379" i="11"/>
  <c r="Y1379" i="11"/>
  <c r="J1379" i="11"/>
  <c r="W1379" i="11"/>
  <c r="H1379" i="11"/>
  <c r="AG1379" i="11"/>
  <c r="R1379" i="11"/>
  <c r="F1379" i="11"/>
  <c r="Q1379" i="11"/>
  <c r="G1379" i="11"/>
  <c r="AI1379" i="11"/>
  <c r="AF1379" i="11"/>
  <c r="V1379" i="11"/>
  <c r="AH1369" i="11"/>
  <c r="Z1369" i="11"/>
  <c r="R1369" i="11"/>
  <c r="J1369" i="11"/>
  <c r="AG1369" i="11"/>
  <c r="Y1369" i="11"/>
  <c r="Q1369" i="11"/>
  <c r="I1369" i="11"/>
  <c r="AF1369" i="11"/>
  <c r="X1369" i="11"/>
  <c r="P1369" i="11"/>
  <c r="H1369" i="11"/>
  <c r="AE1369" i="11"/>
  <c r="W1369" i="11"/>
  <c r="O1369" i="11"/>
  <c r="G1369" i="11"/>
  <c r="AD1369" i="11"/>
  <c r="V1369" i="11"/>
  <c r="N1369" i="11"/>
  <c r="F1369" i="11"/>
  <c r="S1369" i="11"/>
  <c r="M1369" i="11"/>
  <c r="AI1369" i="11"/>
  <c r="L1369" i="11"/>
  <c r="AC1369" i="11"/>
  <c r="K1369" i="11"/>
  <c r="AB1369" i="11"/>
  <c r="E1369" i="11"/>
  <c r="AA1369" i="11"/>
  <c r="U1369" i="11"/>
  <c r="T1369" i="11"/>
  <c r="AC1349" i="11"/>
  <c r="U1349" i="11"/>
  <c r="M1349" i="11"/>
  <c r="E1349" i="11"/>
  <c r="AB1349" i="11"/>
  <c r="T1349" i="11"/>
  <c r="L1349" i="11"/>
  <c r="AH1349" i="11"/>
  <c r="Z1349" i="11"/>
  <c r="R1349" i="11"/>
  <c r="J1349" i="11"/>
  <c r="AG1349" i="11"/>
  <c r="Y1349" i="11"/>
  <c r="Q1349" i="11"/>
  <c r="I1349" i="11"/>
  <c r="AF1349" i="11"/>
  <c r="X1349" i="11"/>
  <c r="P1349" i="11"/>
  <c r="H1349" i="11"/>
  <c r="AE1349" i="11"/>
  <c r="W1349" i="11"/>
  <c r="O1349" i="11"/>
  <c r="G1349" i="11"/>
  <c r="N1349" i="11"/>
  <c r="K1349" i="11"/>
  <c r="F1349" i="11"/>
  <c r="AI1349" i="11"/>
  <c r="AD1349" i="11"/>
  <c r="AA1349" i="11"/>
  <c r="V1349" i="11"/>
  <c r="S1349" i="11"/>
  <c r="AH1361" i="11"/>
  <c r="Z1361" i="11"/>
  <c r="R1361" i="11"/>
  <c r="J1361" i="11"/>
  <c r="AG1361" i="11"/>
  <c r="Y1361" i="11"/>
  <c r="Q1361" i="11"/>
  <c r="I1361" i="11"/>
  <c r="AF1361" i="11"/>
  <c r="X1361" i="11"/>
  <c r="P1361" i="11"/>
  <c r="H1361" i="11"/>
  <c r="AE1361" i="11"/>
  <c r="W1361" i="11"/>
  <c r="O1361" i="11"/>
  <c r="G1361" i="11"/>
  <c r="AB1361" i="11"/>
  <c r="L1361" i="11"/>
  <c r="AA1361" i="11"/>
  <c r="K1361" i="11"/>
  <c r="V1361" i="11"/>
  <c r="F1361" i="11"/>
  <c r="U1361" i="11"/>
  <c r="E1361" i="11"/>
  <c r="T1361" i="11"/>
  <c r="AI1361" i="11"/>
  <c r="S1361" i="11"/>
  <c r="AD1361" i="11"/>
  <c r="N1361" i="11"/>
  <c r="AC1361" i="11"/>
  <c r="M1361" i="11"/>
  <c r="AG1357" i="11"/>
  <c r="Y1357" i="11"/>
  <c r="Q1357" i="11"/>
  <c r="I1357" i="11"/>
  <c r="AF1357" i="11"/>
  <c r="X1357" i="11"/>
  <c r="P1357" i="11"/>
  <c r="H1357" i="11"/>
  <c r="AA1357" i="11"/>
  <c r="O1357" i="11"/>
  <c r="E1357" i="11"/>
  <c r="Z1357" i="11"/>
  <c r="N1357" i="11"/>
  <c r="AI1357" i="11"/>
  <c r="W1357" i="11"/>
  <c r="M1357" i="11"/>
  <c r="AH1357" i="11"/>
  <c r="V1357" i="11"/>
  <c r="L1357" i="11"/>
  <c r="AE1357" i="11"/>
  <c r="U1357" i="11"/>
  <c r="K1357" i="11"/>
  <c r="AD1357" i="11"/>
  <c r="T1357" i="11"/>
  <c r="J1357" i="11"/>
  <c r="AC1357" i="11"/>
  <c r="S1357" i="11"/>
  <c r="G1357" i="11"/>
  <c r="AB1357" i="11"/>
  <c r="R1357" i="11"/>
  <c r="F1357" i="11"/>
  <c r="AG1317" i="11"/>
  <c r="Y1317" i="11"/>
  <c r="Q1317" i="11"/>
  <c r="I1317" i="11"/>
  <c r="AF1317" i="11"/>
  <c r="X1317" i="11"/>
  <c r="P1317" i="11"/>
  <c r="H1317" i="11"/>
  <c r="AE1317" i="11"/>
  <c r="W1317" i="11"/>
  <c r="O1317" i="11"/>
  <c r="G1317" i="11"/>
  <c r="AC1317" i="11"/>
  <c r="U1317" i="11"/>
  <c r="M1317" i="11"/>
  <c r="E1317" i="11"/>
  <c r="V1317" i="11"/>
  <c r="F1317" i="11"/>
  <c r="T1317" i="11"/>
  <c r="AI1317" i="11"/>
  <c r="S1317" i="11"/>
  <c r="AH1317" i="11"/>
  <c r="R1317" i="11"/>
  <c r="AD1317" i="11"/>
  <c r="N1317" i="11"/>
  <c r="AB1317" i="11"/>
  <c r="L1317" i="11"/>
  <c r="AA1317" i="11"/>
  <c r="K1317" i="11"/>
  <c r="J1317" i="11"/>
  <c r="Z1317" i="11"/>
  <c r="AB1276" i="11"/>
  <c r="T1276" i="11"/>
  <c r="L1276" i="11"/>
  <c r="AH1276" i="11"/>
  <c r="Y1276" i="11"/>
  <c r="P1276" i="11"/>
  <c r="G1276" i="11"/>
  <c r="AG1276" i="11"/>
  <c r="X1276" i="11"/>
  <c r="O1276" i="11"/>
  <c r="F1276" i="11"/>
  <c r="AF1276" i="11"/>
  <c r="W1276" i="11"/>
  <c r="N1276" i="11"/>
  <c r="E1276" i="11"/>
  <c r="AE1276" i="11"/>
  <c r="V1276" i="11"/>
  <c r="M1276" i="11"/>
  <c r="AD1276" i="11"/>
  <c r="U1276" i="11"/>
  <c r="K1276" i="11"/>
  <c r="J1276" i="11"/>
  <c r="AI1276" i="11"/>
  <c r="I1276" i="11"/>
  <c r="AC1276" i="11"/>
  <c r="H1276" i="11"/>
  <c r="AA1276" i="11"/>
  <c r="Z1276" i="11"/>
  <c r="S1276" i="11"/>
  <c r="R1276" i="11"/>
  <c r="Q1276" i="11"/>
  <c r="AF1290" i="11"/>
  <c r="X1290" i="11"/>
  <c r="P1290" i="11"/>
  <c r="H1290" i="11"/>
  <c r="AE1290" i="11"/>
  <c r="W1290" i="11"/>
  <c r="O1290" i="11"/>
  <c r="G1290" i="11"/>
  <c r="AD1290" i="11"/>
  <c r="V1290" i="11"/>
  <c r="N1290" i="11"/>
  <c r="F1290" i="11"/>
  <c r="AB1290" i="11"/>
  <c r="T1290" i="11"/>
  <c r="L1290" i="11"/>
  <c r="AA1290" i="11"/>
  <c r="K1290" i="11"/>
  <c r="Z1290" i="11"/>
  <c r="J1290" i="11"/>
  <c r="Y1290" i="11"/>
  <c r="I1290" i="11"/>
  <c r="U1290" i="11"/>
  <c r="E1290" i="11"/>
  <c r="AI1290" i="11"/>
  <c r="S1290" i="11"/>
  <c r="AC1290" i="11"/>
  <c r="R1290" i="11"/>
  <c r="Q1290" i="11"/>
  <c r="M1290" i="11"/>
  <c r="AH1290" i="11"/>
  <c r="AG1290" i="11"/>
  <c r="AC1250" i="11"/>
  <c r="U1250" i="11"/>
  <c r="M1250" i="11"/>
  <c r="E1250" i="11"/>
  <c r="AB1250" i="11"/>
  <c r="T1250" i="11"/>
  <c r="L1250" i="11"/>
  <c r="AH1250" i="11"/>
  <c r="Z1250" i="11"/>
  <c r="R1250" i="11"/>
  <c r="J1250" i="11"/>
  <c r="AE1250" i="11"/>
  <c r="Q1250" i="11"/>
  <c r="F1250" i="11"/>
  <c r="AD1250" i="11"/>
  <c r="P1250" i="11"/>
  <c r="AA1250" i="11"/>
  <c r="O1250" i="11"/>
  <c r="Y1250" i="11"/>
  <c r="N1250" i="11"/>
  <c r="X1250" i="11"/>
  <c r="K1250" i="11"/>
  <c r="AI1250" i="11"/>
  <c r="W1250" i="11"/>
  <c r="I1250" i="11"/>
  <c r="AG1250" i="11"/>
  <c r="V1250" i="11"/>
  <c r="H1250" i="11"/>
  <c r="AF1250" i="11"/>
  <c r="S1250" i="11"/>
  <c r="G1250" i="11"/>
  <c r="AF1297" i="11"/>
  <c r="X1297" i="11"/>
  <c r="AA1297" i="11"/>
  <c r="R1297" i="11"/>
  <c r="J1297" i="11"/>
  <c r="AI1297" i="11"/>
  <c r="Z1297" i="11"/>
  <c r="Q1297" i="11"/>
  <c r="I1297" i="11"/>
  <c r="AH1297" i="11"/>
  <c r="Y1297" i="11"/>
  <c r="P1297" i="11"/>
  <c r="H1297" i="11"/>
  <c r="AE1297" i="11"/>
  <c r="V1297" i="11"/>
  <c r="N1297" i="11"/>
  <c r="F1297" i="11"/>
  <c r="AD1297" i="11"/>
  <c r="U1297" i="11"/>
  <c r="M1297" i="11"/>
  <c r="E1297" i="11"/>
  <c r="L1297" i="11"/>
  <c r="AG1297" i="11"/>
  <c r="K1297" i="11"/>
  <c r="AC1297" i="11"/>
  <c r="G1297" i="11"/>
  <c r="AB1297" i="11"/>
  <c r="W1297" i="11"/>
  <c r="T1297" i="11"/>
  <c r="S1297" i="11"/>
  <c r="O1297" i="11"/>
  <c r="AH1277" i="11"/>
  <c r="Z1277" i="11"/>
  <c r="R1277" i="11"/>
  <c r="J1277" i="11"/>
  <c r="AA1277" i="11"/>
  <c r="Q1277" i="11"/>
  <c r="H1277" i="11"/>
  <c r="AI1277" i="11"/>
  <c r="Y1277" i="11"/>
  <c r="P1277" i="11"/>
  <c r="G1277" i="11"/>
  <c r="AG1277" i="11"/>
  <c r="X1277" i="11"/>
  <c r="O1277" i="11"/>
  <c r="F1277" i="11"/>
  <c r="AF1277" i="11"/>
  <c r="W1277" i="11"/>
  <c r="N1277" i="11"/>
  <c r="E1277" i="11"/>
  <c r="AE1277" i="11"/>
  <c r="V1277" i="11"/>
  <c r="M1277" i="11"/>
  <c r="AB1277" i="11"/>
  <c r="U1277" i="11"/>
  <c r="T1277" i="11"/>
  <c r="S1277" i="11"/>
  <c r="L1277" i="11"/>
  <c r="K1277" i="11"/>
  <c r="AD1277" i="11"/>
  <c r="I1277" i="11"/>
  <c r="AC1277" i="11"/>
  <c r="AG1252" i="11"/>
  <c r="Y1252" i="11"/>
  <c r="Q1252" i="11"/>
  <c r="I1252" i="11"/>
  <c r="AF1252" i="11"/>
  <c r="X1252" i="11"/>
  <c r="P1252" i="11"/>
  <c r="H1252" i="11"/>
  <c r="AD1252" i="11"/>
  <c r="V1252" i="11"/>
  <c r="N1252" i="11"/>
  <c r="F1252" i="11"/>
  <c r="W1252" i="11"/>
  <c r="K1252" i="11"/>
  <c r="AI1252" i="11"/>
  <c r="U1252" i="11"/>
  <c r="J1252" i="11"/>
  <c r="AH1252" i="11"/>
  <c r="T1252" i="11"/>
  <c r="G1252" i="11"/>
  <c r="AE1252" i="11"/>
  <c r="S1252" i="11"/>
  <c r="E1252" i="11"/>
  <c r="AC1252" i="11"/>
  <c r="R1252" i="11"/>
  <c r="AB1252" i="11"/>
  <c r="O1252" i="11"/>
  <c r="AA1252" i="11"/>
  <c r="M1252" i="11"/>
  <c r="Z1252" i="11"/>
  <c r="L1252" i="11"/>
  <c r="AC1153" i="11"/>
  <c r="U1153" i="11"/>
  <c r="M1153" i="11"/>
  <c r="E1153" i="11"/>
  <c r="AB1153" i="11"/>
  <c r="T1153" i="11"/>
  <c r="L1153" i="11"/>
  <c r="AI1153" i="11"/>
  <c r="AA1153" i="11"/>
  <c r="S1153" i="11"/>
  <c r="K1153" i="11"/>
  <c r="AG1153" i="11"/>
  <c r="Y1153" i="11"/>
  <c r="Q1153" i="11"/>
  <c r="I1153" i="11"/>
  <c r="AH1153" i="11"/>
  <c r="R1153" i="11"/>
  <c r="AF1153" i="11"/>
  <c r="P1153" i="11"/>
  <c r="AE1153" i="11"/>
  <c r="O1153" i="11"/>
  <c r="Z1153" i="11"/>
  <c r="J1153" i="11"/>
  <c r="W1153" i="11"/>
  <c r="G1153" i="11"/>
  <c r="AD1153" i="11"/>
  <c r="X1153" i="11"/>
  <c r="V1153" i="11"/>
  <c r="N1153" i="11"/>
  <c r="H1153" i="11"/>
  <c r="F1153" i="11"/>
  <c r="AE1204" i="11"/>
  <c r="W1204" i="11"/>
  <c r="O1204" i="11"/>
  <c r="G1204" i="11"/>
  <c r="AD1204" i="11"/>
  <c r="V1204" i="11"/>
  <c r="N1204" i="11"/>
  <c r="F1204" i="11"/>
  <c r="AC1204" i="11"/>
  <c r="U1204" i="11"/>
  <c r="M1204" i="11"/>
  <c r="E1204" i="11"/>
  <c r="AB1204" i="11"/>
  <c r="T1204" i="11"/>
  <c r="L1204" i="11"/>
  <c r="AI1204" i="11"/>
  <c r="AA1204" i="11"/>
  <c r="S1204" i="11"/>
  <c r="K1204" i="11"/>
  <c r="AF1204" i="11"/>
  <c r="I1204" i="11"/>
  <c r="Z1204" i="11"/>
  <c r="H1204" i="11"/>
  <c r="Y1204" i="11"/>
  <c r="X1204" i="11"/>
  <c r="R1204" i="11"/>
  <c r="Q1204" i="11"/>
  <c r="AH1204" i="11"/>
  <c r="P1204" i="11"/>
  <c r="AG1204" i="11"/>
  <c r="J1204" i="11"/>
  <c r="AE1172" i="11"/>
  <c r="W1172" i="11"/>
  <c r="O1172" i="11"/>
  <c r="G1172" i="11"/>
  <c r="AD1172" i="11"/>
  <c r="V1172" i="11"/>
  <c r="N1172" i="11"/>
  <c r="F1172" i="11"/>
  <c r="AC1172" i="11"/>
  <c r="U1172" i="11"/>
  <c r="M1172" i="11"/>
  <c r="E1172" i="11"/>
  <c r="AB1172" i="11"/>
  <c r="T1172" i="11"/>
  <c r="L1172" i="11"/>
  <c r="AI1172" i="11"/>
  <c r="AA1172" i="11"/>
  <c r="S1172" i="11"/>
  <c r="K1172" i="11"/>
  <c r="AF1172" i="11"/>
  <c r="I1172" i="11"/>
  <c r="Z1172" i="11"/>
  <c r="H1172" i="11"/>
  <c r="Y1172" i="11"/>
  <c r="X1172" i="11"/>
  <c r="R1172" i="11"/>
  <c r="Q1172" i="11"/>
  <c r="AH1172" i="11"/>
  <c r="P1172" i="11"/>
  <c r="AG1172" i="11"/>
  <c r="J1172" i="11"/>
  <c r="AC1197" i="11"/>
  <c r="U1197" i="11"/>
  <c r="M1197" i="11"/>
  <c r="E1197" i="11"/>
  <c r="AB1197" i="11"/>
  <c r="T1197" i="11"/>
  <c r="L1197" i="11"/>
  <c r="AI1197" i="11"/>
  <c r="AA1197" i="11"/>
  <c r="S1197" i="11"/>
  <c r="K1197" i="11"/>
  <c r="AH1197" i="11"/>
  <c r="Z1197" i="11"/>
  <c r="R1197" i="11"/>
  <c r="J1197" i="11"/>
  <c r="AG1197" i="11"/>
  <c r="Y1197" i="11"/>
  <c r="Q1197" i="11"/>
  <c r="I1197" i="11"/>
  <c r="AF1197" i="11"/>
  <c r="N1197" i="11"/>
  <c r="AE1197" i="11"/>
  <c r="H1197" i="11"/>
  <c r="AD1197" i="11"/>
  <c r="G1197" i="11"/>
  <c r="X1197" i="11"/>
  <c r="F1197" i="11"/>
  <c r="W1197" i="11"/>
  <c r="V1197" i="11"/>
  <c r="P1197" i="11"/>
  <c r="O1197" i="11"/>
  <c r="AC1165" i="11"/>
  <c r="U1165" i="11"/>
  <c r="M1165" i="11"/>
  <c r="E1165" i="11"/>
  <c r="AB1165" i="11"/>
  <c r="T1165" i="11"/>
  <c r="L1165" i="11"/>
  <c r="AI1165" i="11"/>
  <c r="AA1165" i="11"/>
  <c r="S1165" i="11"/>
  <c r="K1165" i="11"/>
  <c r="AH1165" i="11"/>
  <c r="Z1165" i="11"/>
  <c r="R1165" i="11"/>
  <c r="J1165" i="11"/>
  <c r="AG1165" i="11"/>
  <c r="Y1165" i="11"/>
  <c r="Q1165" i="11"/>
  <c r="I1165" i="11"/>
  <c r="AF1165" i="11"/>
  <c r="N1165" i="11"/>
  <c r="AE1165" i="11"/>
  <c r="H1165" i="11"/>
  <c r="AD1165" i="11"/>
  <c r="G1165" i="11"/>
  <c r="X1165" i="11"/>
  <c r="F1165" i="11"/>
  <c r="W1165" i="11"/>
  <c r="V1165" i="11"/>
  <c r="P1165" i="11"/>
  <c r="O1165" i="11"/>
  <c r="AE1216" i="11"/>
  <c r="W1216" i="11"/>
  <c r="O1216" i="11"/>
  <c r="G1216" i="11"/>
  <c r="AA1216" i="11"/>
  <c r="R1216" i="11"/>
  <c r="I1216" i="11"/>
  <c r="AI1216" i="11"/>
  <c r="Z1216" i="11"/>
  <c r="Q1216" i="11"/>
  <c r="H1216" i="11"/>
  <c r="AH1216" i="11"/>
  <c r="Y1216" i="11"/>
  <c r="P1216" i="11"/>
  <c r="F1216" i="11"/>
  <c r="AG1216" i="11"/>
  <c r="X1216" i="11"/>
  <c r="N1216" i="11"/>
  <c r="E1216" i="11"/>
  <c r="AF1216" i="11"/>
  <c r="V1216" i="11"/>
  <c r="M1216" i="11"/>
  <c r="AB1216" i="11"/>
  <c r="U1216" i="11"/>
  <c r="T1216" i="11"/>
  <c r="S1216" i="11"/>
  <c r="L1216" i="11"/>
  <c r="K1216" i="11"/>
  <c r="AD1216" i="11"/>
  <c r="J1216" i="11"/>
  <c r="AC1216" i="11"/>
  <c r="AC1217" i="11"/>
  <c r="U1217" i="11"/>
  <c r="M1217" i="11"/>
  <c r="E1217" i="11"/>
  <c r="AD1217" i="11"/>
  <c r="T1217" i="11"/>
  <c r="K1217" i="11"/>
  <c r="AB1217" i="11"/>
  <c r="S1217" i="11"/>
  <c r="J1217" i="11"/>
  <c r="AA1217" i="11"/>
  <c r="R1217" i="11"/>
  <c r="I1217" i="11"/>
  <c r="AI1217" i="11"/>
  <c r="Z1217" i="11"/>
  <c r="Q1217" i="11"/>
  <c r="H1217" i="11"/>
  <c r="AH1217" i="11"/>
  <c r="Y1217" i="11"/>
  <c r="P1217" i="11"/>
  <c r="G1217" i="11"/>
  <c r="N1217" i="11"/>
  <c r="AG1217" i="11"/>
  <c r="L1217" i="11"/>
  <c r="AF1217" i="11"/>
  <c r="F1217" i="11"/>
  <c r="AE1217" i="11"/>
  <c r="X1217" i="11"/>
  <c r="W1217" i="11"/>
  <c r="V1217" i="11"/>
  <c r="O1217" i="11"/>
  <c r="AG1133" i="11"/>
  <c r="Y1133" i="11"/>
  <c r="Q1133" i="11"/>
  <c r="I1133" i="11"/>
  <c r="AF1133" i="11"/>
  <c r="X1133" i="11"/>
  <c r="P1133" i="11"/>
  <c r="H1133" i="11"/>
  <c r="AE1133" i="11"/>
  <c r="W1133" i="11"/>
  <c r="O1133" i="11"/>
  <c r="G1133" i="11"/>
  <c r="AD1133" i="11"/>
  <c r="S1133" i="11"/>
  <c r="E1133" i="11"/>
  <c r="AC1133" i="11"/>
  <c r="R1133" i="11"/>
  <c r="AB1133" i="11"/>
  <c r="N1133" i="11"/>
  <c r="AA1133" i="11"/>
  <c r="M1133" i="11"/>
  <c r="Z1133" i="11"/>
  <c r="L1133" i="11"/>
  <c r="V1133" i="11"/>
  <c r="K1133" i="11"/>
  <c r="AI1133" i="11"/>
  <c r="U1133" i="11"/>
  <c r="J1133" i="11"/>
  <c r="AH1133" i="11"/>
  <c r="T1133" i="11"/>
  <c r="F1133" i="11"/>
  <c r="AF1091" i="11"/>
  <c r="X1091" i="11"/>
  <c r="P1091" i="11"/>
  <c r="H1091" i="11"/>
  <c r="AE1091" i="11"/>
  <c r="W1091" i="11"/>
  <c r="O1091" i="11"/>
  <c r="G1091" i="11"/>
  <c r="AD1091" i="11"/>
  <c r="V1091" i="11"/>
  <c r="N1091" i="11"/>
  <c r="F1091" i="11"/>
  <c r="AC1091" i="11"/>
  <c r="U1091" i="11"/>
  <c r="M1091" i="11"/>
  <c r="E1091" i="11"/>
  <c r="AB1091" i="11"/>
  <c r="T1091" i="11"/>
  <c r="L1091" i="11"/>
  <c r="AH1091" i="11"/>
  <c r="Z1091" i="11"/>
  <c r="R1091" i="11"/>
  <c r="J1091" i="11"/>
  <c r="I1091" i="11"/>
  <c r="AI1091" i="11"/>
  <c r="AG1091" i="11"/>
  <c r="AA1091" i="11"/>
  <c r="Y1091" i="11"/>
  <c r="S1091" i="11"/>
  <c r="Q1091" i="11"/>
  <c r="K1091" i="11"/>
  <c r="AE1138" i="11"/>
  <c r="W1138" i="11"/>
  <c r="O1138" i="11"/>
  <c r="G1138" i="11"/>
  <c r="AD1138" i="11"/>
  <c r="V1138" i="11"/>
  <c r="N1138" i="11"/>
  <c r="F1138" i="11"/>
  <c r="AC1138" i="11"/>
  <c r="U1138" i="11"/>
  <c r="M1138" i="11"/>
  <c r="E1138" i="11"/>
  <c r="AG1138" i="11"/>
  <c r="Y1138" i="11"/>
  <c r="Q1138" i="11"/>
  <c r="I1138" i="11"/>
  <c r="AA1138" i="11"/>
  <c r="K1138" i="11"/>
  <c r="Z1138" i="11"/>
  <c r="J1138" i="11"/>
  <c r="X1138" i="11"/>
  <c r="H1138" i="11"/>
  <c r="T1138" i="11"/>
  <c r="AI1138" i="11"/>
  <c r="S1138" i="11"/>
  <c r="AH1138" i="11"/>
  <c r="R1138" i="11"/>
  <c r="AF1138" i="11"/>
  <c r="P1138" i="11"/>
  <c r="L1138" i="11"/>
  <c r="AB1138" i="11"/>
  <c r="AH1114" i="11"/>
  <c r="Z1114" i="11"/>
  <c r="R1114" i="11"/>
  <c r="J1114" i="11"/>
  <c r="AG1114" i="11"/>
  <c r="Y1114" i="11"/>
  <c r="Q1114" i="11"/>
  <c r="I1114" i="11"/>
  <c r="AF1114" i="11"/>
  <c r="X1114" i="11"/>
  <c r="P1114" i="11"/>
  <c r="H1114" i="11"/>
  <c r="AE1114" i="11"/>
  <c r="W1114" i="11"/>
  <c r="O1114" i="11"/>
  <c r="G1114" i="11"/>
  <c r="AD1114" i="11"/>
  <c r="V1114" i="11"/>
  <c r="N1114" i="11"/>
  <c r="F1114" i="11"/>
  <c r="AC1114" i="11"/>
  <c r="U1114" i="11"/>
  <c r="M1114" i="11"/>
  <c r="E1114" i="11"/>
  <c r="AB1114" i="11"/>
  <c r="T1114" i="11"/>
  <c r="L1114" i="11"/>
  <c r="AA1114" i="11"/>
  <c r="S1114" i="11"/>
  <c r="K1114" i="11"/>
  <c r="AI1114" i="11"/>
  <c r="AH1082" i="11"/>
  <c r="Z1082" i="11"/>
  <c r="R1082" i="11"/>
  <c r="J1082" i="11"/>
  <c r="AG1082" i="11"/>
  <c r="Y1082" i="11"/>
  <c r="Q1082" i="11"/>
  <c r="I1082" i="11"/>
  <c r="AF1082" i="11"/>
  <c r="X1082" i="11"/>
  <c r="P1082" i="11"/>
  <c r="H1082" i="11"/>
  <c r="AE1082" i="11"/>
  <c r="W1082" i="11"/>
  <c r="O1082" i="11"/>
  <c r="G1082" i="11"/>
  <c r="AD1082" i="11"/>
  <c r="V1082" i="11"/>
  <c r="N1082" i="11"/>
  <c r="F1082" i="11"/>
  <c r="AB1082" i="11"/>
  <c r="T1082" i="11"/>
  <c r="L1082" i="11"/>
  <c r="M1082" i="11"/>
  <c r="K1082" i="11"/>
  <c r="E1082" i="11"/>
  <c r="AI1082" i="11"/>
  <c r="AC1082" i="11"/>
  <c r="AA1082" i="11"/>
  <c r="U1082" i="11"/>
  <c r="S1082" i="11"/>
  <c r="AB1119" i="11"/>
  <c r="T1119" i="11"/>
  <c r="L1119" i="11"/>
  <c r="AI1119" i="11"/>
  <c r="Z1119" i="11"/>
  <c r="Q1119" i="11"/>
  <c r="H1119" i="11"/>
  <c r="AH1119" i="11"/>
  <c r="Y1119" i="11"/>
  <c r="P1119" i="11"/>
  <c r="G1119" i="11"/>
  <c r="AG1119" i="11"/>
  <c r="X1119" i="11"/>
  <c r="O1119" i="11"/>
  <c r="F1119" i="11"/>
  <c r="AF1119" i="11"/>
  <c r="W1119" i="11"/>
  <c r="N1119" i="11"/>
  <c r="E1119" i="11"/>
  <c r="AE1119" i="11"/>
  <c r="V1119" i="11"/>
  <c r="M1119" i="11"/>
  <c r="AD1119" i="11"/>
  <c r="U1119" i="11"/>
  <c r="K1119" i="11"/>
  <c r="AC1119" i="11"/>
  <c r="S1119" i="11"/>
  <c r="J1119" i="11"/>
  <c r="AA1119" i="11"/>
  <c r="R1119" i="11"/>
  <c r="I1119" i="11"/>
  <c r="AB1085" i="11"/>
  <c r="T1085" i="11"/>
  <c r="L1085" i="11"/>
  <c r="AI1085" i="11"/>
  <c r="AA1085" i="11"/>
  <c r="S1085" i="11"/>
  <c r="K1085" i="11"/>
  <c r="AH1085" i="11"/>
  <c r="Z1085" i="11"/>
  <c r="R1085" i="11"/>
  <c r="J1085" i="11"/>
  <c r="AG1085" i="11"/>
  <c r="Y1085" i="11"/>
  <c r="Q1085" i="11"/>
  <c r="I1085" i="11"/>
  <c r="AF1085" i="11"/>
  <c r="X1085" i="11"/>
  <c r="P1085" i="11"/>
  <c r="H1085" i="11"/>
  <c r="AD1085" i="11"/>
  <c r="V1085" i="11"/>
  <c r="N1085" i="11"/>
  <c r="F1085" i="11"/>
  <c r="U1085" i="11"/>
  <c r="O1085" i="11"/>
  <c r="M1085" i="11"/>
  <c r="G1085" i="11"/>
  <c r="E1085" i="11"/>
  <c r="AE1085" i="11"/>
  <c r="AC1085" i="11"/>
  <c r="W1085" i="11"/>
  <c r="AG1137" i="11"/>
  <c r="Y1137" i="11"/>
  <c r="Q1137" i="11"/>
  <c r="I1137" i="11"/>
  <c r="AF1137" i="11"/>
  <c r="X1137" i="11"/>
  <c r="P1137" i="11"/>
  <c r="H1137" i="11"/>
  <c r="AE1137" i="11"/>
  <c r="W1137" i="11"/>
  <c r="O1137" i="11"/>
  <c r="G1137" i="11"/>
  <c r="AD1137" i="11"/>
  <c r="S1137" i="11"/>
  <c r="E1137" i="11"/>
  <c r="AC1137" i="11"/>
  <c r="R1137" i="11"/>
  <c r="AB1137" i="11"/>
  <c r="N1137" i="11"/>
  <c r="AA1137" i="11"/>
  <c r="M1137" i="11"/>
  <c r="Z1137" i="11"/>
  <c r="L1137" i="11"/>
  <c r="V1137" i="11"/>
  <c r="K1137" i="11"/>
  <c r="AI1137" i="11"/>
  <c r="U1137" i="11"/>
  <c r="J1137" i="11"/>
  <c r="AH1137" i="11"/>
  <c r="T1137" i="11"/>
  <c r="F1137" i="11"/>
  <c r="AD1084" i="11"/>
  <c r="V1084" i="11"/>
  <c r="N1084" i="11"/>
  <c r="F1084" i="11"/>
  <c r="AC1084" i="11"/>
  <c r="U1084" i="11"/>
  <c r="M1084" i="11"/>
  <c r="E1084" i="11"/>
  <c r="AB1084" i="11"/>
  <c r="T1084" i="11"/>
  <c r="L1084" i="11"/>
  <c r="AI1084" i="11"/>
  <c r="AA1084" i="11"/>
  <c r="S1084" i="11"/>
  <c r="K1084" i="11"/>
  <c r="AH1084" i="11"/>
  <c r="Z1084" i="11"/>
  <c r="R1084" i="11"/>
  <c r="J1084" i="11"/>
  <c r="AF1084" i="11"/>
  <c r="X1084" i="11"/>
  <c r="P1084" i="11"/>
  <c r="H1084" i="11"/>
  <c r="AE1084" i="11"/>
  <c r="Y1084" i="11"/>
  <c r="W1084" i="11"/>
  <c r="Q1084" i="11"/>
  <c r="O1084" i="11"/>
  <c r="I1084" i="11"/>
  <c r="G1084" i="11"/>
  <c r="AG1084" i="11"/>
  <c r="AD1072" i="11"/>
  <c r="V1072" i="11"/>
  <c r="N1072" i="11"/>
  <c r="F1072" i="11"/>
  <c r="AC1072" i="11"/>
  <c r="U1072" i="11"/>
  <c r="M1072" i="11"/>
  <c r="E1072" i="11"/>
  <c r="AB1072" i="11"/>
  <c r="T1072" i="11"/>
  <c r="L1072" i="11"/>
  <c r="AI1072" i="11"/>
  <c r="AA1072" i="11"/>
  <c r="S1072" i="11"/>
  <c r="K1072" i="11"/>
  <c r="AH1072" i="11"/>
  <c r="Z1072" i="11"/>
  <c r="R1072" i="11"/>
  <c r="J1072" i="11"/>
  <c r="AF1072" i="11"/>
  <c r="X1072" i="11"/>
  <c r="P1072" i="11"/>
  <c r="H1072" i="11"/>
  <c r="AE1072" i="11"/>
  <c r="Y1072" i="11"/>
  <c r="W1072" i="11"/>
  <c r="Q1072" i="11"/>
  <c r="O1072" i="11"/>
  <c r="I1072" i="11"/>
  <c r="G1072" i="11"/>
  <c r="AG1072" i="11"/>
  <c r="T978" i="11"/>
  <c r="L978" i="11"/>
  <c r="AI978" i="11"/>
  <c r="K978" i="11"/>
  <c r="R978" i="11"/>
  <c r="AG978" i="11" s="1"/>
  <c r="J978" i="11"/>
  <c r="Q978" i="11"/>
  <c r="S978" i="11" s="1"/>
  <c r="I978" i="11"/>
  <c r="AF978" i="11"/>
  <c r="P978" i="11"/>
  <c r="AD978" i="11" s="1"/>
  <c r="O978" i="11"/>
  <c r="N978" i="11"/>
  <c r="M978" i="11"/>
  <c r="H978" i="11"/>
  <c r="AB978" i="11" s="1"/>
  <c r="AC978" i="11" s="1"/>
  <c r="G978" i="11"/>
  <c r="Y978" i="11" s="1"/>
  <c r="F978" i="11"/>
  <c r="E978" i="11"/>
  <c r="K1037" i="11"/>
  <c r="I1037" i="11"/>
  <c r="O1037" i="11"/>
  <c r="G1037" i="11"/>
  <c r="N1037" i="11"/>
  <c r="F1037" i="11"/>
  <c r="M1037" i="11"/>
  <c r="AB1037" i="11"/>
  <c r="AC1037" i="11" s="1"/>
  <c r="L1037" i="11"/>
  <c r="J1037" i="11"/>
  <c r="H1037" i="11"/>
  <c r="E1037" i="11"/>
  <c r="Q1037" i="11" s="1"/>
  <c r="AF1037" i="11"/>
  <c r="AC1056" i="11"/>
  <c r="U1056" i="11"/>
  <c r="M1056" i="11"/>
  <c r="E1056" i="11"/>
  <c r="AI1056" i="11"/>
  <c r="AA1056" i="11"/>
  <c r="S1056" i="11"/>
  <c r="K1056" i="11"/>
  <c r="AH1056" i="11"/>
  <c r="Z1056" i="11"/>
  <c r="AG1056" i="11"/>
  <c r="Y1056" i="11"/>
  <c r="Q1056" i="11"/>
  <c r="I1056" i="11"/>
  <c r="AF1056" i="11"/>
  <c r="X1056" i="11"/>
  <c r="P1056" i="11"/>
  <c r="H1056" i="11"/>
  <c r="AE1056" i="11"/>
  <c r="W1056" i="11"/>
  <c r="O1056" i="11"/>
  <c r="G1056" i="11"/>
  <c r="J1056" i="11"/>
  <c r="AD1056" i="11"/>
  <c r="F1056" i="11"/>
  <c r="AB1056" i="11"/>
  <c r="V1056" i="11"/>
  <c r="T1056" i="11"/>
  <c r="R1056" i="11"/>
  <c r="N1056" i="11"/>
  <c r="L1056" i="11"/>
  <c r="N1001" i="11"/>
  <c r="F1001" i="11"/>
  <c r="AC1001" i="11"/>
  <c r="M1001" i="11"/>
  <c r="E1001" i="11"/>
  <c r="AB1001" i="11"/>
  <c r="L1001" i="11"/>
  <c r="AI1001" i="11"/>
  <c r="K1001" i="11"/>
  <c r="J1001" i="11"/>
  <c r="Y1001" i="11"/>
  <c r="I1001" i="11"/>
  <c r="AF1001" i="11"/>
  <c r="H1001" i="11"/>
  <c r="O1001" i="11"/>
  <c r="G1001" i="11"/>
  <c r="N957" i="11"/>
  <c r="F957" i="11"/>
  <c r="M957" i="11"/>
  <c r="E957" i="11"/>
  <c r="L957" i="11"/>
  <c r="J957" i="11"/>
  <c r="I957" i="11"/>
  <c r="H957" i="11"/>
  <c r="AF957" i="11"/>
  <c r="G957" i="11"/>
  <c r="O957" i="11"/>
  <c r="K957" i="11"/>
  <c r="Q1018" i="11"/>
  <c r="I1018" i="11"/>
  <c r="O1018" i="11"/>
  <c r="G1018" i="11"/>
  <c r="M1018" i="11"/>
  <c r="E1018" i="11"/>
  <c r="H1018" i="11"/>
  <c r="AF1018" i="11"/>
  <c r="F1018" i="11"/>
  <c r="P1018" i="11"/>
  <c r="N1018" i="11"/>
  <c r="L1018" i="11"/>
  <c r="K1018" i="11"/>
  <c r="J1018" i="11"/>
  <c r="L958" i="11"/>
  <c r="AI958" i="11"/>
  <c r="K958" i="11"/>
  <c r="J958" i="11"/>
  <c r="M958" i="11"/>
  <c r="I958" i="11"/>
  <c r="H958" i="11"/>
  <c r="AB958" i="11" s="1"/>
  <c r="AC958" i="11" s="1"/>
  <c r="AF958" i="11"/>
  <c r="G958" i="11"/>
  <c r="F958" i="11"/>
  <c r="E958" i="11"/>
  <c r="O958" i="11"/>
  <c r="N958" i="11"/>
  <c r="AG1050" i="11"/>
  <c r="Y1050" i="11"/>
  <c r="Q1050" i="11"/>
  <c r="I1050" i="11"/>
  <c r="AE1050" i="11"/>
  <c r="W1050" i="11"/>
  <c r="O1050" i="11"/>
  <c r="G1050" i="11"/>
  <c r="AC1050" i="11"/>
  <c r="U1050" i="11"/>
  <c r="M1050" i="11"/>
  <c r="E1050" i="11"/>
  <c r="AB1050" i="11"/>
  <c r="T1050" i="11"/>
  <c r="L1050" i="11"/>
  <c r="AI1050" i="11"/>
  <c r="AA1050" i="11"/>
  <c r="S1050" i="11"/>
  <c r="K1050" i="11"/>
  <c r="V1050" i="11"/>
  <c r="R1050" i="11"/>
  <c r="P1050" i="11"/>
  <c r="AH1050" i="11"/>
  <c r="N1050" i="11"/>
  <c r="AF1050" i="11"/>
  <c r="J1050" i="11"/>
  <c r="AD1050" i="11"/>
  <c r="H1050" i="11"/>
  <c r="Z1050" i="11"/>
  <c r="F1050" i="11"/>
  <c r="X1050" i="11"/>
  <c r="AB994" i="11"/>
  <c r="AC994" i="11" s="1"/>
  <c r="L994" i="11"/>
  <c r="AI994" i="11"/>
  <c r="K994" i="11"/>
  <c r="J994" i="11"/>
  <c r="Q994" i="11"/>
  <c r="I994" i="11"/>
  <c r="O994" i="11"/>
  <c r="G994" i="11"/>
  <c r="Y994" i="11" s="1"/>
  <c r="N994" i="11"/>
  <c r="F994" i="11"/>
  <c r="P994" i="11"/>
  <c r="M994" i="11"/>
  <c r="H994" i="11"/>
  <c r="E994" i="11"/>
  <c r="AF994" i="11"/>
  <c r="AF960" i="11"/>
  <c r="P960" i="11"/>
  <c r="H960" i="11"/>
  <c r="O960" i="11"/>
  <c r="G960" i="11"/>
  <c r="N960" i="11"/>
  <c r="X960" i="11" s="1"/>
  <c r="F960" i="11"/>
  <c r="E960" i="11"/>
  <c r="AB960" i="11"/>
  <c r="AC960" i="11" s="1"/>
  <c r="Q960" i="11"/>
  <c r="M960" i="11"/>
  <c r="L960" i="11"/>
  <c r="K960" i="11"/>
  <c r="J960" i="11"/>
  <c r="I960" i="11"/>
  <c r="AI960" i="11"/>
  <c r="S960" i="11" s="1"/>
  <c r="M896" i="11"/>
  <c r="E896" i="11"/>
  <c r="P896" i="11" s="1"/>
  <c r="AI896" i="11"/>
  <c r="K896" i="11"/>
  <c r="AF896" i="11"/>
  <c r="H896" i="11"/>
  <c r="F896" i="11"/>
  <c r="O896" i="11"/>
  <c r="N896" i="11"/>
  <c r="L896" i="11"/>
  <c r="AB896" i="11" s="1"/>
  <c r="AC896" i="11" s="1"/>
  <c r="J896" i="11"/>
  <c r="I896" i="11"/>
  <c r="G896" i="11"/>
  <c r="AF879" i="11"/>
  <c r="H879" i="11"/>
  <c r="AB879" i="11" s="1"/>
  <c r="O879" i="11"/>
  <c r="G879" i="11"/>
  <c r="X879" i="11" s="1"/>
  <c r="N879" i="11"/>
  <c r="F879" i="11"/>
  <c r="Q879" i="11" s="1"/>
  <c r="AC879" i="11"/>
  <c r="M879" i="11"/>
  <c r="E879" i="11"/>
  <c r="L879" i="11"/>
  <c r="AI879" i="11"/>
  <c r="S879" i="11" s="1"/>
  <c r="K879" i="11"/>
  <c r="I879" i="11"/>
  <c r="Y879" i="11"/>
  <c r="J879" i="11"/>
  <c r="AF871" i="11"/>
  <c r="X871" i="11"/>
  <c r="H871" i="11"/>
  <c r="O871" i="11"/>
  <c r="G871" i="11"/>
  <c r="N871" i="11"/>
  <c r="F871" i="11"/>
  <c r="L871" i="11"/>
  <c r="AI871" i="11"/>
  <c r="K871" i="11"/>
  <c r="I871" i="11"/>
  <c r="Z871" i="11"/>
  <c r="AA871" i="11" s="1"/>
  <c r="E871" i="11"/>
  <c r="M871" i="11"/>
  <c r="Y871" i="11" s="1"/>
  <c r="J871" i="11"/>
  <c r="N864" i="11"/>
  <c r="F864" i="11"/>
  <c r="M864" i="11"/>
  <c r="E864" i="11"/>
  <c r="L864" i="11"/>
  <c r="AB864" i="11" s="1"/>
  <c r="AC864" i="11" s="1"/>
  <c r="J864" i="11"/>
  <c r="I864" i="11"/>
  <c r="O864" i="11"/>
  <c r="AF864" i="11"/>
  <c r="K864" i="11"/>
  <c r="H864" i="11"/>
  <c r="G864" i="11"/>
  <c r="P864" i="11"/>
  <c r="L841" i="11"/>
  <c r="AI841" i="11"/>
  <c r="K841" i="11"/>
  <c r="O841" i="11"/>
  <c r="G841" i="11"/>
  <c r="X841" i="11"/>
  <c r="J841" i="11"/>
  <c r="I841" i="11"/>
  <c r="H841" i="11"/>
  <c r="AF841" i="11"/>
  <c r="F841" i="11"/>
  <c r="Q841" i="11"/>
  <c r="E841" i="11"/>
  <c r="P841" i="11" s="1"/>
  <c r="N841" i="11"/>
  <c r="M841" i="11"/>
  <c r="AB841" i="11" s="1"/>
  <c r="AC841" i="11" s="1"/>
  <c r="L857" i="11"/>
  <c r="K857" i="11"/>
  <c r="J857" i="11"/>
  <c r="AF857" i="11"/>
  <c r="H857" i="11"/>
  <c r="O857" i="11"/>
  <c r="G857" i="11"/>
  <c r="N857" i="11"/>
  <c r="M857" i="11"/>
  <c r="I857" i="11"/>
  <c r="AB857" i="11" s="1"/>
  <c r="AC857" i="11" s="1"/>
  <c r="F857" i="11"/>
  <c r="E857" i="11"/>
  <c r="D803" i="11"/>
  <c r="D827" i="11"/>
  <c r="L767" i="11"/>
  <c r="AI767" i="11"/>
  <c r="X767" i="11" s="1"/>
  <c r="K767" i="11"/>
  <c r="AF767" i="11"/>
  <c r="P767" i="11"/>
  <c r="H767" i="11"/>
  <c r="AB767" i="11" s="1"/>
  <c r="AC767" i="11" s="1"/>
  <c r="F767" i="11"/>
  <c r="Q767" i="11"/>
  <c r="E767" i="11"/>
  <c r="O767" i="11"/>
  <c r="N767" i="11"/>
  <c r="M767" i="11"/>
  <c r="AD767" i="11" s="1"/>
  <c r="J767" i="11"/>
  <c r="I767" i="11"/>
  <c r="G767" i="11"/>
  <c r="S767" i="11" s="1"/>
  <c r="AB845" i="11"/>
  <c r="AC845" i="11" s="1"/>
  <c r="L845" i="11"/>
  <c r="AI845" i="11"/>
  <c r="K845" i="11"/>
  <c r="J845" i="11"/>
  <c r="O845" i="11"/>
  <c r="G845" i="11"/>
  <c r="N845" i="11"/>
  <c r="M845" i="11"/>
  <c r="Y845" i="11" s="1"/>
  <c r="I845" i="11"/>
  <c r="H845" i="11"/>
  <c r="F845" i="11"/>
  <c r="E845" i="11"/>
  <c r="AF845" i="11"/>
  <c r="D809" i="11"/>
  <c r="J776" i="11"/>
  <c r="I776" i="11"/>
  <c r="N776" i="11"/>
  <c r="F776" i="11"/>
  <c r="H776" i="11"/>
  <c r="AF776" i="11"/>
  <c r="G776" i="11"/>
  <c r="E776" i="11"/>
  <c r="AI776" i="11" s="1"/>
  <c r="AB776" i="11"/>
  <c r="AC776" i="11" s="1"/>
  <c r="O776" i="11"/>
  <c r="M776" i="11"/>
  <c r="L776" i="11"/>
  <c r="K776" i="11"/>
  <c r="AE733" i="11"/>
  <c r="W733" i="11"/>
  <c r="O733" i="11"/>
  <c r="G733" i="11"/>
  <c r="AD733" i="11"/>
  <c r="V733" i="11"/>
  <c r="N733" i="11"/>
  <c r="F733" i="11"/>
  <c r="AC733" i="11"/>
  <c r="U733" i="11"/>
  <c r="M733" i="11"/>
  <c r="E733" i="11"/>
  <c r="AB733" i="11"/>
  <c r="T733" i="11"/>
  <c r="L733" i="11"/>
  <c r="AI733" i="11"/>
  <c r="AA733" i="11"/>
  <c r="S733" i="11"/>
  <c r="K733" i="11"/>
  <c r="AH733" i="11"/>
  <c r="Z733" i="11"/>
  <c r="R733" i="11"/>
  <c r="J733" i="11"/>
  <c r="AG733" i="11"/>
  <c r="Y733" i="11"/>
  <c r="Q733" i="11"/>
  <c r="I733" i="11"/>
  <c r="H733" i="11"/>
  <c r="AF733" i="11"/>
  <c r="X733" i="11"/>
  <c r="P733" i="11"/>
  <c r="AC750" i="11"/>
  <c r="U750" i="11"/>
  <c r="M750" i="11"/>
  <c r="E750" i="11"/>
  <c r="AB750" i="11"/>
  <c r="T750" i="11"/>
  <c r="L750" i="11"/>
  <c r="AI750" i="11"/>
  <c r="AA750" i="11"/>
  <c r="S750" i="11"/>
  <c r="K750" i="11"/>
  <c r="AH750" i="11"/>
  <c r="Z750" i="11"/>
  <c r="R750" i="11"/>
  <c r="J750" i="11"/>
  <c r="AG750" i="11"/>
  <c r="Y750" i="11"/>
  <c r="Q750" i="11"/>
  <c r="I750" i="11"/>
  <c r="AF750" i="11"/>
  <c r="X750" i="11"/>
  <c r="P750" i="11"/>
  <c r="H750" i="11"/>
  <c r="AE750" i="11"/>
  <c r="W750" i="11"/>
  <c r="O750" i="11"/>
  <c r="G750" i="11"/>
  <c r="V750" i="11"/>
  <c r="N750" i="11"/>
  <c r="F750" i="11"/>
  <c r="AD750" i="11"/>
  <c r="AC718" i="11"/>
  <c r="U718" i="11"/>
  <c r="M718" i="11"/>
  <c r="E718" i="11"/>
  <c r="AB718" i="11"/>
  <c r="T718" i="11"/>
  <c r="L718" i="11"/>
  <c r="AI718" i="11"/>
  <c r="AA718" i="11"/>
  <c r="S718" i="11"/>
  <c r="K718" i="11"/>
  <c r="AH718" i="11"/>
  <c r="Z718" i="11"/>
  <c r="R718" i="11"/>
  <c r="J718" i="11"/>
  <c r="AG718" i="11"/>
  <c r="Y718" i="11"/>
  <c r="Q718" i="11"/>
  <c r="I718" i="11"/>
  <c r="AF718" i="11"/>
  <c r="X718" i="11"/>
  <c r="P718" i="11"/>
  <c r="H718" i="11"/>
  <c r="AE718" i="11"/>
  <c r="W718" i="11"/>
  <c r="O718" i="11"/>
  <c r="G718" i="11"/>
  <c r="V718" i="11"/>
  <c r="N718" i="11"/>
  <c r="F718" i="11"/>
  <c r="AD718" i="11"/>
  <c r="J768" i="11"/>
  <c r="I768" i="11"/>
  <c r="N768" i="11"/>
  <c r="F768" i="11"/>
  <c r="H768" i="11"/>
  <c r="AF768" i="11"/>
  <c r="G768" i="11"/>
  <c r="E768" i="11"/>
  <c r="AI768" i="11" s="1"/>
  <c r="O768" i="11"/>
  <c r="M768" i="11"/>
  <c r="L768" i="11"/>
  <c r="AB768" i="11" s="1"/>
  <c r="AC768" i="11" s="1"/>
  <c r="K768" i="11"/>
  <c r="AB574" i="11"/>
  <c r="T574" i="11"/>
  <c r="L574" i="11"/>
  <c r="AI574" i="11"/>
  <c r="AA574" i="11"/>
  <c r="S574" i="11"/>
  <c r="K574" i="11"/>
  <c r="AH574" i="11"/>
  <c r="Z574" i="11"/>
  <c r="R574" i="11"/>
  <c r="J574" i="11"/>
  <c r="AE574" i="11"/>
  <c r="W574" i="11"/>
  <c r="O574" i="11"/>
  <c r="G574" i="11"/>
  <c r="AD574" i="11"/>
  <c r="V574" i="11"/>
  <c r="N574" i="11"/>
  <c r="F574" i="11"/>
  <c r="Y574" i="11"/>
  <c r="E574" i="11"/>
  <c r="X574" i="11"/>
  <c r="U574" i="11"/>
  <c r="Q574" i="11"/>
  <c r="P574" i="11"/>
  <c r="AC574" i="11"/>
  <c r="M574" i="11"/>
  <c r="I574" i="11"/>
  <c r="H574" i="11"/>
  <c r="AG574" i="11"/>
  <c r="AF574" i="11"/>
  <c r="AG732" i="11"/>
  <c r="Y732" i="11"/>
  <c r="Q732" i="11"/>
  <c r="I732" i="11"/>
  <c r="AF732" i="11"/>
  <c r="X732" i="11"/>
  <c r="P732" i="11"/>
  <c r="H732" i="11"/>
  <c r="AE732" i="11"/>
  <c r="W732" i="11"/>
  <c r="O732" i="11"/>
  <c r="G732" i="11"/>
  <c r="AD732" i="11"/>
  <c r="V732" i="11"/>
  <c r="N732" i="11"/>
  <c r="F732" i="11"/>
  <c r="AC732" i="11"/>
  <c r="U732" i="11"/>
  <c r="M732" i="11"/>
  <c r="E732" i="11"/>
  <c r="AB732" i="11"/>
  <c r="T732" i="11"/>
  <c r="L732" i="11"/>
  <c r="AI732" i="11"/>
  <c r="AA732" i="11"/>
  <c r="S732" i="11"/>
  <c r="K732" i="11"/>
  <c r="AH732" i="11"/>
  <c r="Z732" i="11"/>
  <c r="R732" i="11"/>
  <c r="J732" i="11"/>
  <c r="AD677" i="11"/>
  <c r="V677" i="11"/>
  <c r="N677" i="11"/>
  <c r="F677" i="11"/>
  <c r="AC677" i="11"/>
  <c r="U677" i="11"/>
  <c r="M677" i="11"/>
  <c r="E677" i="11"/>
  <c r="AB677" i="11"/>
  <c r="T677" i="11"/>
  <c r="L677" i="11"/>
  <c r="AI677" i="11"/>
  <c r="AA677" i="11"/>
  <c r="S677" i="11"/>
  <c r="K677" i="11"/>
  <c r="AH677" i="11"/>
  <c r="Z677" i="11"/>
  <c r="R677" i="11"/>
  <c r="J677" i="11"/>
  <c r="AG677" i="11"/>
  <c r="Y677" i="11"/>
  <c r="Q677" i="11"/>
  <c r="I677" i="11"/>
  <c r="AF677" i="11"/>
  <c r="X677" i="11"/>
  <c r="P677" i="11"/>
  <c r="H677" i="11"/>
  <c r="W677" i="11"/>
  <c r="O677" i="11"/>
  <c r="G677" i="11"/>
  <c r="AE677" i="11"/>
  <c r="N645" i="11"/>
  <c r="F645" i="11"/>
  <c r="M645" i="11"/>
  <c r="E645" i="11"/>
  <c r="P645" i="11" s="1"/>
  <c r="AB645" i="11"/>
  <c r="AC645" i="11" s="1"/>
  <c r="L645" i="11"/>
  <c r="R645" i="11" s="1"/>
  <c r="AI645" i="11"/>
  <c r="K645" i="11"/>
  <c r="J645" i="11"/>
  <c r="I645" i="11"/>
  <c r="AF645" i="11"/>
  <c r="H645" i="11"/>
  <c r="O645" i="11"/>
  <c r="G645" i="11"/>
  <c r="AH615" i="11"/>
  <c r="Z615" i="11"/>
  <c r="R615" i="11"/>
  <c r="J615" i="11"/>
  <c r="AG615" i="11"/>
  <c r="Y615" i="11"/>
  <c r="Q615" i="11"/>
  <c r="I615" i="11"/>
  <c r="AF615" i="11"/>
  <c r="X615" i="11"/>
  <c r="P615" i="11"/>
  <c r="H615" i="11"/>
  <c r="AE615" i="11"/>
  <c r="W615" i="11"/>
  <c r="O615" i="11"/>
  <c r="G615" i="11"/>
  <c r="AC615" i="11"/>
  <c r="U615" i="11"/>
  <c r="M615" i="11"/>
  <c r="E615" i="11"/>
  <c r="AB615" i="11"/>
  <c r="T615" i="11"/>
  <c r="L615" i="11"/>
  <c r="N615" i="11"/>
  <c r="K615" i="11"/>
  <c r="F615" i="11"/>
  <c r="AI615" i="11"/>
  <c r="AD615" i="11"/>
  <c r="AA615" i="11"/>
  <c r="V615" i="11"/>
  <c r="S615" i="11"/>
  <c r="AH583" i="11"/>
  <c r="Z583" i="11"/>
  <c r="R583" i="11"/>
  <c r="J583" i="11"/>
  <c r="AG583" i="11"/>
  <c r="Y583" i="11"/>
  <c r="Q583" i="11"/>
  <c r="I583" i="11"/>
  <c r="AF583" i="11"/>
  <c r="X583" i="11"/>
  <c r="P583" i="11"/>
  <c r="H583" i="11"/>
  <c r="AE583" i="11"/>
  <c r="W583" i="11"/>
  <c r="O583" i="11"/>
  <c r="G583" i="11"/>
  <c r="AC583" i="11"/>
  <c r="U583" i="11"/>
  <c r="M583" i="11"/>
  <c r="E583" i="11"/>
  <c r="AB583" i="11"/>
  <c r="T583" i="11"/>
  <c r="L583" i="11"/>
  <c r="N583" i="11"/>
  <c r="K583" i="11"/>
  <c r="F583" i="11"/>
  <c r="AI583" i="11"/>
  <c r="AD583" i="11"/>
  <c r="AA583" i="11"/>
  <c r="V583" i="11"/>
  <c r="S583" i="11"/>
  <c r="AH551" i="11"/>
  <c r="Z551" i="11"/>
  <c r="R551" i="11"/>
  <c r="J551" i="11"/>
  <c r="AG551" i="11"/>
  <c r="Y551" i="11"/>
  <c r="Q551" i="11"/>
  <c r="I551" i="11"/>
  <c r="AF551" i="11"/>
  <c r="X551" i="11"/>
  <c r="P551" i="11"/>
  <c r="H551" i="11"/>
  <c r="AC551" i="11"/>
  <c r="U551" i="11"/>
  <c r="M551" i="11"/>
  <c r="E551" i="11"/>
  <c r="AB551" i="11"/>
  <c r="T551" i="11"/>
  <c r="L551" i="11"/>
  <c r="AE551" i="11"/>
  <c r="K551" i="11"/>
  <c r="AD551" i="11"/>
  <c r="G551" i="11"/>
  <c r="AA551" i="11"/>
  <c r="F551" i="11"/>
  <c r="W551" i="11"/>
  <c r="V551" i="11"/>
  <c r="AI551" i="11"/>
  <c r="S551" i="11"/>
  <c r="O551" i="11"/>
  <c r="N551" i="11"/>
  <c r="AH667" i="11"/>
  <c r="Z667" i="11"/>
  <c r="R667" i="11"/>
  <c r="J667" i="11"/>
  <c r="AG667" i="11"/>
  <c r="Y667" i="11"/>
  <c r="Q667" i="11"/>
  <c r="I667" i="11"/>
  <c r="AF667" i="11"/>
  <c r="X667" i="11"/>
  <c r="P667" i="11"/>
  <c r="H667" i="11"/>
  <c r="AE667" i="11"/>
  <c r="W667" i="11"/>
  <c r="O667" i="11"/>
  <c r="G667" i="11"/>
  <c r="AD667" i="11"/>
  <c r="V667" i="11"/>
  <c r="N667" i="11"/>
  <c r="F667" i="11"/>
  <c r="AC667" i="11"/>
  <c r="U667" i="11"/>
  <c r="M667" i="11"/>
  <c r="E667" i="11"/>
  <c r="AB667" i="11"/>
  <c r="T667" i="11"/>
  <c r="L667" i="11"/>
  <c r="AI667" i="11"/>
  <c r="AA667" i="11"/>
  <c r="S667" i="11"/>
  <c r="K667" i="11"/>
  <c r="AB606" i="11"/>
  <c r="T606" i="11"/>
  <c r="L606" i="11"/>
  <c r="AI606" i="11"/>
  <c r="AA606" i="11"/>
  <c r="S606" i="11"/>
  <c r="K606" i="11"/>
  <c r="AH606" i="11"/>
  <c r="Z606" i="11"/>
  <c r="R606" i="11"/>
  <c r="J606" i="11"/>
  <c r="AG606" i="11"/>
  <c r="Y606" i="11"/>
  <c r="Q606" i="11"/>
  <c r="I606" i="11"/>
  <c r="AE606" i="11"/>
  <c r="W606" i="11"/>
  <c r="O606" i="11"/>
  <c r="G606" i="11"/>
  <c r="AD606" i="11"/>
  <c r="V606" i="11"/>
  <c r="N606" i="11"/>
  <c r="F606" i="11"/>
  <c r="U606" i="11"/>
  <c r="P606" i="11"/>
  <c r="M606" i="11"/>
  <c r="H606" i="11"/>
  <c r="E606" i="11"/>
  <c r="AF606" i="11"/>
  <c r="AC606" i="11"/>
  <c r="X606" i="11"/>
  <c r="AD585" i="11"/>
  <c r="V585" i="11"/>
  <c r="N585" i="11"/>
  <c r="F585" i="11"/>
  <c r="AC585" i="11"/>
  <c r="U585" i="11"/>
  <c r="M585" i="11"/>
  <c r="E585" i="11"/>
  <c r="AB585" i="11"/>
  <c r="T585" i="11"/>
  <c r="L585" i="11"/>
  <c r="AI585" i="11"/>
  <c r="AA585" i="11"/>
  <c r="S585" i="11"/>
  <c r="K585" i="11"/>
  <c r="AG585" i="11"/>
  <c r="Y585" i="11"/>
  <c r="Q585" i="11"/>
  <c r="I585" i="11"/>
  <c r="AF585" i="11"/>
  <c r="X585" i="11"/>
  <c r="P585" i="11"/>
  <c r="H585" i="11"/>
  <c r="AE585" i="11"/>
  <c r="Z585" i="11"/>
  <c r="W585" i="11"/>
  <c r="R585" i="11"/>
  <c r="O585" i="11"/>
  <c r="G585" i="11"/>
  <c r="J585" i="11"/>
  <c r="AH585" i="11"/>
  <c r="AG756" i="11"/>
  <c r="Y756" i="11"/>
  <c r="Q756" i="11"/>
  <c r="I756" i="11"/>
  <c r="AF756" i="11"/>
  <c r="X756" i="11"/>
  <c r="P756" i="11"/>
  <c r="H756" i="11"/>
  <c r="AE756" i="11"/>
  <c r="W756" i="11"/>
  <c r="O756" i="11"/>
  <c r="G756" i="11"/>
  <c r="AD756" i="11"/>
  <c r="V756" i="11"/>
  <c r="N756" i="11"/>
  <c r="F756" i="11"/>
  <c r="AC756" i="11"/>
  <c r="U756" i="11"/>
  <c r="M756" i="11"/>
  <c r="E756" i="11"/>
  <c r="AB756" i="11"/>
  <c r="T756" i="11"/>
  <c r="L756" i="11"/>
  <c r="AI756" i="11"/>
  <c r="AA756" i="11"/>
  <c r="S756" i="11"/>
  <c r="K756" i="11"/>
  <c r="AH756" i="11"/>
  <c r="Z756" i="11"/>
  <c r="R756" i="11"/>
  <c r="J756" i="11"/>
  <c r="J639" i="11"/>
  <c r="I639" i="11"/>
  <c r="AF639" i="11"/>
  <c r="H639" i="11"/>
  <c r="O639" i="11"/>
  <c r="G639" i="11"/>
  <c r="N639" i="11"/>
  <c r="F639" i="11"/>
  <c r="M639" i="11"/>
  <c r="E639" i="11"/>
  <c r="AB639" i="11"/>
  <c r="AC639" i="11" s="1"/>
  <c r="L639" i="11"/>
  <c r="K639" i="11"/>
  <c r="AD513" i="11"/>
  <c r="V513" i="11"/>
  <c r="N513" i="11"/>
  <c r="F513" i="11"/>
  <c r="AC513" i="11"/>
  <c r="U513" i="11"/>
  <c r="M513" i="11"/>
  <c r="E513" i="11"/>
  <c r="AB513" i="11"/>
  <c r="T513" i="11"/>
  <c r="L513" i="11"/>
  <c r="AH513" i="11"/>
  <c r="Z513" i="11"/>
  <c r="R513" i="11"/>
  <c r="J513" i="11"/>
  <c r="X513" i="11"/>
  <c r="H513" i="11"/>
  <c r="W513" i="11"/>
  <c r="G513" i="11"/>
  <c r="AI513" i="11"/>
  <c r="S513" i="11"/>
  <c r="AG513" i="11"/>
  <c r="Q513" i="11"/>
  <c r="AF513" i="11"/>
  <c r="P513" i="11"/>
  <c r="AA513" i="11"/>
  <c r="Y513" i="11"/>
  <c r="O513" i="11"/>
  <c r="K513" i="11"/>
  <c r="I513" i="11"/>
  <c r="AE513" i="11"/>
  <c r="AD481" i="11"/>
  <c r="V481" i="11"/>
  <c r="N481" i="11"/>
  <c r="F481" i="11"/>
  <c r="AC481" i="11"/>
  <c r="U481" i="11"/>
  <c r="M481" i="11"/>
  <c r="E481" i="11"/>
  <c r="AB481" i="11"/>
  <c r="T481" i="11"/>
  <c r="L481" i="11"/>
  <c r="AH481" i="11"/>
  <c r="Z481" i="11"/>
  <c r="R481" i="11"/>
  <c r="J481" i="11"/>
  <c r="X481" i="11"/>
  <c r="H481" i="11"/>
  <c r="W481" i="11"/>
  <c r="G481" i="11"/>
  <c r="AI481" i="11"/>
  <c r="S481" i="11"/>
  <c r="AG481" i="11"/>
  <c r="Q481" i="11"/>
  <c r="AF481" i="11"/>
  <c r="P481" i="11"/>
  <c r="AA481" i="11"/>
  <c r="Y481" i="11"/>
  <c r="O481" i="11"/>
  <c r="K481" i="11"/>
  <c r="I481" i="11"/>
  <c r="AE481" i="11"/>
  <c r="AH675" i="11"/>
  <c r="Z675" i="11"/>
  <c r="R675" i="11"/>
  <c r="J675" i="11"/>
  <c r="AG675" i="11"/>
  <c r="Y675" i="11"/>
  <c r="Q675" i="11"/>
  <c r="I675" i="11"/>
  <c r="AF675" i="11"/>
  <c r="X675" i="11"/>
  <c r="P675" i="11"/>
  <c r="H675" i="11"/>
  <c r="AE675" i="11"/>
  <c r="W675" i="11"/>
  <c r="O675" i="11"/>
  <c r="G675" i="11"/>
  <c r="AD675" i="11"/>
  <c r="V675" i="11"/>
  <c r="N675" i="11"/>
  <c r="F675" i="11"/>
  <c r="AC675" i="11"/>
  <c r="U675" i="11"/>
  <c r="M675" i="11"/>
  <c r="E675" i="11"/>
  <c r="AB675" i="11"/>
  <c r="T675" i="11"/>
  <c r="L675" i="11"/>
  <c r="AI675" i="11"/>
  <c r="AA675" i="11"/>
  <c r="S675" i="11"/>
  <c r="K675" i="11"/>
  <c r="AB610" i="11"/>
  <c r="T610" i="11"/>
  <c r="L610" i="11"/>
  <c r="AI610" i="11"/>
  <c r="AA610" i="11"/>
  <c r="S610" i="11"/>
  <c r="K610" i="11"/>
  <c r="AH610" i="11"/>
  <c r="Z610" i="11"/>
  <c r="R610" i="11"/>
  <c r="J610" i="11"/>
  <c r="AG610" i="11"/>
  <c r="Y610" i="11"/>
  <c r="Q610" i="11"/>
  <c r="I610" i="11"/>
  <c r="AE610" i="11"/>
  <c r="W610" i="11"/>
  <c r="O610" i="11"/>
  <c r="G610" i="11"/>
  <c r="AD610" i="11"/>
  <c r="V610" i="11"/>
  <c r="N610" i="11"/>
  <c r="F610" i="11"/>
  <c r="U610" i="11"/>
  <c r="P610" i="11"/>
  <c r="M610" i="11"/>
  <c r="H610" i="11"/>
  <c r="E610" i="11"/>
  <c r="AF610" i="11"/>
  <c r="AC610" i="11"/>
  <c r="X610" i="11"/>
  <c r="AF524" i="11"/>
  <c r="X524" i="11"/>
  <c r="P524" i="11"/>
  <c r="H524" i="11"/>
  <c r="AE524" i="11"/>
  <c r="W524" i="11"/>
  <c r="O524" i="11"/>
  <c r="G524" i="11"/>
  <c r="AD524" i="11"/>
  <c r="V524" i="11"/>
  <c r="N524" i="11"/>
  <c r="F524" i="11"/>
  <c r="AB524" i="11"/>
  <c r="T524" i="11"/>
  <c r="L524" i="11"/>
  <c r="AA524" i="11"/>
  <c r="K524" i="11"/>
  <c r="Z524" i="11"/>
  <c r="J524" i="11"/>
  <c r="Y524" i="11"/>
  <c r="I524" i="11"/>
  <c r="U524" i="11"/>
  <c r="E524" i="11"/>
  <c r="AI524" i="11"/>
  <c r="S524" i="11"/>
  <c r="AG524" i="11"/>
  <c r="AC524" i="11"/>
  <c r="R524" i="11"/>
  <c r="Q524" i="11"/>
  <c r="M524" i="11"/>
  <c r="AH524" i="11"/>
  <c r="AF492" i="11"/>
  <c r="X492" i="11"/>
  <c r="P492" i="11"/>
  <c r="H492" i="11"/>
  <c r="AE492" i="11"/>
  <c r="W492" i="11"/>
  <c r="O492" i="11"/>
  <c r="G492" i="11"/>
  <c r="AD492" i="11"/>
  <c r="V492" i="11"/>
  <c r="N492" i="11"/>
  <c r="F492" i="11"/>
  <c r="AB492" i="11"/>
  <c r="T492" i="11"/>
  <c r="L492" i="11"/>
  <c r="AA492" i="11"/>
  <c r="K492" i="11"/>
  <c r="Z492" i="11"/>
  <c r="J492" i="11"/>
  <c r="Y492" i="11"/>
  <c r="I492" i="11"/>
  <c r="U492" i="11"/>
  <c r="E492" i="11"/>
  <c r="AI492" i="11"/>
  <c r="S492" i="11"/>
  <c r="AG492" i="11"/>
  <c r="AC492" i="11"/>
  <c r="R492" i="11"/>
  <c r="Q492" i="11"/>
  <c r="M492" i="11"/>
  <c r="AH492" i="11"/>
  <c r="AE460" i="11"/>
  <c r="W460" i="11"/>
  <c r="O460" i="11"/>
  <c r="G460" i="11"/>
  <c r="AD460" i="11"/>
  <c r="V460" i="11"/>
  <c r="N460" i="11"/>
  <c r="F460" i="11"/>
  <c r="AB460" i="11"/>
  <c r="T460" i="11"/>
  <c r="L460" i="11"/>
  <c r="AI460" i="11"/>
  <c r="X460" i="11"/>
  <c r="J460" i="11"/>
  <c r="AH460" i="11"/>
  <c r="U460" i="11"/>
  <c r="I460" i="11"/>
  <c r="AG460" i="11"/>
  <c r="S460" i="11"/>
  <c r="H460" i="11"/>
  <c r="AF460" i="11"/>
  <c r="R460" i="11"/>
  <c r="E460" i="11"/>
  <c r="AC460" i="11"/>
  <c r="Q460" i="11"/>
  <c r="AA460" i="11"/>
  <c r="Z460" i="11"/>
  <c r="Y460" i="11"/>
  <c r="P460" i="11"/>
  <c r="M460" i="11"/>
  <c r="K460" i="11"/>
  <c r="O428" i="11"/>
  <c r="G428" i="11"/>
  <c r="N428" i="11"/>
  <c r="F428" i="11"/>
  <c r="P428" i="11" s="1"/>
  <c r="AB428" i="11"/>
  <c r="L428" i="11"/>
  <c r="AI428" i="11"/>
  <c r="J428" i="11"/>
  <c r="I428" i="11"/>
  <c r="H428" i="11"/>
  <c r="AF428" i="11"/>
  <c r="E428" i="11"/>
  <c r="AC428" i="11"/>
  <c r="M428" i="11"/>
  <c r="K428" i="11"/>
  <c r="AC461" i="11"/>
  <c r="U461" i="11"/>
  <c r="M461" i="11"/>
  <c r="E461" i="11"/>
  <c r="AB461" i="11"/>
  <c r="T461" i="11"/>
  <c r="L461" i="11"/>
  <c r="AH461" i="11"/>
  <c r="Z461" i="11"/>
  <c r="R461" i="11"/>
  <c r="J461" i="11"/>
  <c r="Y461" i="11"/>
  <c r="N461" i="11"/>
  <c r="X461" i="11"/>
  <c r="K461" i="11"/>
  <c r="AI461" i="11"/>
  <c r="W461" i="11"/>
  <c r="I461" i="11"/>
  <c r="AG461" i="11"/>
  <c r="V461" i="11"/>
  <c r="H461" i="11"/>
  <c r="AF461" i="11"/>
  <c r="S461" i="11"/>
  <c r="G461" i="11"/>
  <c r="AE461" i="11"/>
  <c r="AD461" i="11"/>
  <c r="AA461" i="11"/>
  <c r="Q461" i="11"/>
  <c r="P461" i="11"/>
  <c r="O461" i="11"/>
  <c r="F461" i="11"/>
  <c r="AD605" i="11"/>
  <c r="V605" i="11"/>
  <c r="N605" i="11"/>
  <c r="F605" i="11"/>
  <c r="AC605" i="11"/>
  <c r="U605" i="11"/>
  <c r="M605" i="11"/>
  <c r="E605" i="11"/>
  <c r="AB605" i="11"/>
  <c r="T605" i="11"/>
  <c r="L605" i="11"/>
  <c r="AI605" i="11"/>
  <c r="AA605" i="11"/>
  <c r="S605" i="11"/>
  <c r="K605" i="11"/>
  <c r="AG605" i="11"/>
  <c r="Y605" i="11"/>
  <c r="Q605" i="11"/>
  <c r="I605" i="11"/>
  <c r="AF605" i="11"/>
  <c r="X605" i="11"/>
  <c r="P605" i="11"/>
  <c r="H605" i="11"/>
  <c r="AE605" i="11"/>
  <c r="Z605" i="11"/>
  <c r="W605" i="11"/>
  <c r="R605" i="11"/>
  <c r="O605" i="11"/>
  <c r="AH605" i="11"/>
  <c r="J605" i="11"/>
  <c r="G605" i="11"/>
  <c r="M433" i="11"/>
  <c r="E433" i="11"/>
  <c r="L433" i="11"/>
  <c r="J433" i="11"/>
  <c r="N433" i="11"/>
  <c r="K433" i="11"/>
  <c r="I433" i="11"/>
  <c r="H433" i="11"/>
  <c r="AF433" i="11"/>
  <c r="G433" i="11"/>
  <c r="O433" i="11"/>
  <c r="F433" i="11"/>
  <c r="M375" i="11"/>
  <c r="E375" i="11"/>
  <c r="AB375" i="11"/>
  <c r="AC375" i="11" s="1"/>
  <c r="L375" i="11"/>
  <c r="J375" i="11"/>
  <c r="I375" i="11"/>
  <c r="G375" i="11"/>
  <c r="Q375" i="11" s="1"/>
  <c r="F375" i="11"/>
  <c r="AI375" i="11"/>
  <c r="S375" i="11"/>
  <c r="Y375" i="11" s="1"/>
  <c r="AF375" i="11"/>
  <c r="O375" i="11"/>
  <c r="N375" i="11"/>
  <c r="K375" i="11"/>
  <c r="H375" i="11"/>
  <c r="M343" i="11"/>
  <c r="E343" i="11"/>
  <c r="L343" i="11"/>
  <c r="R343" i="11"/>
  <c r="X343" i="11" s="1"/>
  <c r="J343" i="11"/>
  <c r="Y343" i="11"/>
  <c r="Q343" i="11"/>
  <c r="I343" i="11"/>
  <c r="G343" i="11"/>
  <c r="AI343" i="11" s="1"/>
  <c r="F343" i="11"/>
  <c r="S343" i="11"/>
  <c r="AF343" i="11"/>
  <c r="P343" i="11"/>
  <c r="O343" i="11"/>
  <c r="N343" i="11"/>
  <c r="K343" i="11"/>
  <c r="H343" i="11"/>
  <c r="AB343" i="11" s="1"/>
  <c r="AC343" i="11" s="1"/>
  <c r="AD565" i="11"/>
  <c r="V565" i="11"/>
  <c r="N565" i="11"/>
  <c r="F565" i="11"/>
  <c r="AC565" i="11"/>
  <c r="U565" i="11"/>
  <c r="M565" i="11"/>
  <c r="E565" i="11"/>
  <c r="AB565" i="11"/>
  <c r="T565" i="11"/>
  <c r="L565" i="11"/>
  <c r="AG565" i="11"/>
  <c r="Y565" i="11"/>
  <c r="Q565" i="11"/>
  <c r="I565" i="11"/>
  <c r="AF565" i="11"/>
  <c r="X565" i="11"/>
  <c r="P565" i="11"/>
  <c r="H565" i="11"/>
  <c r="W565" i="11"/>
  <c r="S565" i="11"/>
  <c r="R565" i="11"/>
  <c r="AI565" i="11"/>
  <c r="O565" i="11"/>
  <c r="AH565" i="11"/>
  <c r="K565" i="11"/>
  <c r="AE565" i="11"/>
  <c r="AA565" i="11"/>
  <c r="Z565" i="11"/>
  <c r="J565" i="11"/>
  <c r="G565" i="11"/>
  <c r="AF418" i="11"/>
  <c r="H418" i="11"/>
  <c r="AB418" i="11"/>
  <c r="AC418" i="11" s="1"/>
  <c r="I418" i="11"/>
  <c r="G418" i="11"/>
  <c r="O418" i="11"/>
  <c r="F418" i="11"/>
  <c r="AI418" i="11"/>
  <c r="N418" i="11"/>
  <c r="E418" i="11"/>
  <c r="M418" i="11"/>
  <c r="L418" i="11"/>
  <c r="K418" i="11"/>
  <c r="J418" i="11"/>
  <c r="O382" i="11"/>
  <c r="G382" i="11"/>
  <c r="S382" i="11" s="1"/>
  <c r="Y382" i="11" s="1"/>
  <c r="N382" i="11"/>
  <c r="F382" i="11"/>
  <c r="Q382" i="11" s="1"/>
  <c r="AB382" i="11"/>
  <c r="AC382" i="11" s="1"/>
  <c r="L382" i="11"/>
  <c r="AI382" i="11"/>
  <c r="K382" i="11"/>
  <c r="J382" i="11"/>
  <c r="I382" i="11"/>
  <c r="H382" i="11"/>
  <c r="E382" i="11"/>
  <c r="AF382" i="11"/>
  <c r="M382" i="11"/>
  <c r="O350" i="11"/>
  <c r="G350" i="11"/>
  <c r="Q350" i="11" s="1"/>
  <c r="S350" i="11" s="1"/>
  <c r="AG350" i="11" s="1"/>
  <c r="N350" i="11"/>
  <c r="F350" i="11"/>
  <c r="L350" i="11"/>
  <c r="AI350" i="11"/>
  <c r="K350" i="11"/>
  <c r="J350" i="11"/>
  <c r="AB350" i="11" s="1"/>
  <c r="AC350" i="11" s="1"/>
  <c r="Y350" i="11"/>
  <c r="I350" i="11"/>
  <c r="H350" i="11"/>
  <c r="E350" i="11"/>
  <c r="R350" i="11"/>
  <c r="X350" i="11" s="1"/>
  <c r="AF350" i="11"/>
  <c r="P350" i="11"/>
  <c r="M350" i="11"/>
  <c r="AB335" i="11"/>
  <c r="AC335" i="11" s="1"/>
  <c r="L335" i="11"/>
  <c r="J335" i="11"/>
  <c r="I335" i="11"/>
  <c r="K335" i="11"/>
  <c r="H335" i="11"/>
  <c r="G335" i="11"/>
  <c r="Q335" i="11" s="1"/>
  <c r="AF335" i="11"/>
  <c r="F335" i="11"/>
  <c r="E335" i="11"/>
  <c r="O335" i="11"/>
  <c r="N335" i="11"/>
  <c r="M335" i="11"/>
  <c r="AE321" i="11"/>
  <c r="W321" i="11"/>
  <c r="O321" i="11"/>
  <c r="G321" i="11"/>
  <c r="AD321" i="11"/>
  <c r="V321" i="11"/>
  <c r="N321" i="11"/>
  <c r="F321" i="11"/>
  <c r="AC321" i="11"/>
  <c r="U321" i="11"/>
  <c r="M321" i="11"/>
  <c r="E321" i="11"/>
  <c r="AB321" i="11"/>
  <c r="T321" i="11"/>
  <c r="L321" i="11"/>
  <c r="AH321" i="11"/>
  <c r="Z321" i="11"/>
  <c r="R321" i="11"/>
  <c r="J321" i="11"/>
  <c r="Y321" i="11"/>
  <c r="X321" i="11"/>
  <c r="S321" i="11"/>
  <c r="Q321" i="11"/>
  <c r="AI321" i="11"/>
  <c r="P321" i="11"/>
  <c r="AG321" i="11"/>
  <c r="K321" i="11"/>
  <c r="I321" i="11"/>
  <c r="H321" i="11"/>
  <c r="AF321" i="11"/>
  <c r="AA321" i="11"/>
  <c r="M290" i="11"/>
  <c r="E290" i="11"/>
  <c r="AB290" i="11"/>
  <c r="AC290" i="11" s="1"/>
  <c r="L290" i="11"/>
  <c r="J290" i="11"/>
  <c r="AF290" i="11"/>
  <c r="H290" i="11"/>
  <c r="O290" i="11"/>
  <c r="N290" i="11"/>
  <c r="K290" i="11"/>
  <c r="I290" i="11"/>
  <c r="G290" i="11"/>
  <c r="P290" i="11" s="1"/>
  <c r="F290" i="11"/>
  <c r="M258" i="11"/>
  <c r="E258" i="11"/>
  <c r="AB258" i="11"/>
  <c r="AC258" i="11" s="1"/>
  <c r="L258" i="11"/>
  <c r="J258" i="11"/>
  <c r="AF258" i="11"/>
  <c r="H258" i="11"/>
  <c r="O258" i="11"/>
  <c r="N258" i="11"/>
  <c r="K258" i="11"/>
  <c r="I258" i="11"/>
  <c r="G258" i="11"/>
  <c r="F258" i="11"/>
  <c r="AH527" i="11"/>
  <c r="Z527" i="11"/>
  <c r="R527" i="11"/>
  <c r="J527" i="11"/>
  <c r="AG527" i="11"/>
  <c r="Y527" i="11"/>
  <c r="Q527" i="11"/>
  <c r="I527" i="11"/>
  <c r="AF527" i="11"/>
  <c r="X527" i="11"/>
  <c r="P527" i="11"/>
  <c r="H527" i="11"/>
  <c r="AD527" i="11"/>
  <c r="V527" i="11"/>
  <c r="N527" i="11"/>
  <c r="F527" i="11"/>
  <c r="AC527" i="11"/>
  <c r="M527" i="11"/>
  <c r="AB527" i="11"/>
  <c r="L527" i="11"/>
  <c r="AA527" i="11"/>
  <c r="K527" i="11"/>
  <c r="W527" i="11"/>
  <c r="G527" i="11"/>
  <c r="U527" i="11"/>
  <c r="E527" i="11"/>
  <c r="AE527" i="11"/>
  <c r="T527" i="11"/>
  <c r="S527" i="11"/>
  <c r="O527" i="11"/>
  <c r="AI527" i="11"/>
  <c r="I409" i="11"/>
  <c r="AF409" i="11"/>
  <c r="H409" i="11"/>
  <c r="O409" i="11"/>
  <c r="G409" i="11"/>
  <c r="N409" i="11"/>
  <c r="F409" i="11"/>
  <c r="P409" i="11" s="1"/>
  <c r="M409" i="11"/>
  <c r="E409" i="11"/>
  <c r="J409" i="11"/>
  <c r="L409" i="11"/>
  <c r="K409" i="11"/>
  <c r="AE313" i="11"/>
  <c r="W313" i="11"/>
  <c r="O313" i="11"/>
  <c r="G313" i="11"/>
  <c r="AD313" i="11"/>
  <c r="V313" i="11"/>
  <c r="N313" i="11"/>
  <c r="F313" i="11"/>
  <c r="AB313" i="11"/>
  <c r="T313" i="11"/>
  <c r="L313" i="11"/>
  <c r="AH313" i="11"/>
  <c r="Z313" i="11"/>
  <c r="R313" i="11"/>
  <c r="J313" i="11"/>
  <c r="X313" i="11"/>
  <c r="H313" i="11"/>
  <c r="U313" i="11"/>
  <c r="E313" i="11"/>
  <c r="AI313" i="11"/>
  <c r="S313" i="11"/>
  <c r="AG313" i="11"/>
  <c r="Q313" i="11"/>
  <c r="AF313" i="11"/>
  <c r="P313" i="11"/>
  <c r="AC313" i="11"/>
  <c r="M313" i="11"/>
  <c r="K313" i="11"/>
  <c r="I313" i="11"/>
  <c r="AA313" i="11"/>
  <c r="Y313" i="11"/>
  <c r="O281" i="11"/>
  <c r="G281" i="11"/>
  <c r="N281" i="11"/>
  <c r="F281" i="11"/>
  <c r="L281" i="11"/>
  <c r="J281" i="11"/>
  <c r="H281" i="11"/>
  <c r="AB281" i="11" s="1"/>
  <c r="AC281" i="11" s="1"/>
  <c r="E281" i="11"/>
  <c r="AI281" i="11"/>
  <c r="AF281" i="11"/>
  <c r="P281" i="11"/>
  <c r="R281" i="11" s="1"/>
  <c r="M281" i="11"/>
  <c r="K281" i="11"/>
  <c r="I281" i="11"/>
  <c r="AE249" i="11"/>
  <c r="W249" i="11"/>
  <c r="O249" i="11"/>
  <c r="G249" i="11"/>
  <c r="AD249" i="11"/>
  <c r="V249" i="11"/>
  <c r="N249" i="11"/>
  <c r="F249" i="11"/>
  <c r="AB249" i="11"/>
  <c r="T249" i="11"/>
  <c r="L249" i="11"/>
  <c r="AH249" i="11"/>
  <c r="Z249" i="11"/>
  <c r="R249" i="11"/>
  <c r="J249" i="11"/>
  <c r="X249" i="11"/>
  <c r="H249" i="11"/>
  <c r="U249" i="11"/>
  <c r="E249" i="11"/>
  <c r="AI249" i="11"/>
  <c r="S249" i="11"/>
  <c r="AG249" i="11"/>
  <c r="Q249" i="11"/>
  <c r="AF249" i="11"/>
  <c r="P249" i="11"/>
  <c r="AC249" i="11"/>
  <c r="M249" i="11"/>
  <c r="K249" i="11"/>
  <c r="I249" i="11"/>
  <c r="AA249" i="11"/>
  <c r="Y249" i="11"/>
  <c r="AB674" i="11"/>
  <c r="T674" i="11"/>
  <c r="L674" i="11"/>
  <c r="AI674" i="11"/>
  <c r="AA674" i="11"/>
  <c r="S674" i="11"/>
  <c r="K674" i="11"/>
  <c r="AH674" i="11"/>
  <c r="Z674" i="11"/>
  <c r="R674" i="11"/>
  <c r="J674" i="11"/>
  <c r="AG674" i="11"/>
  <c r="Y674" i="11"/>
  <c r="Q674" i="11"/>
  <c r="I674" i="11"/>
  <c r="AF674" i="11"/>
  <c r="X674" i="11"/>
  <c r="P674" i="11"/>
  <c r="H674" i="11"/>
  <c r="AE674" i="11"/>
  <c r="W674" i="11"/>
  <c r="O674" i="11"/>
  <c r="G674" i="11"/>
  <c r="AD674" i="11"/>
  <c r="V674" i="11"/>
  <c r="N674" i="11"/>
  <c r="F674" i="11"/>
  <c r="AC674" i="11"/>
  <c r="U674" i="11"/>
  <c r="M674" i="11"/>
  <c r="E674" i="11"/>
  <c r="AG300" i="11"/>
  <c r="Y300" i="11"/>
  <c r="Q300" i="11"/>
  <c r="I300" i="11"/>
  <c r="AF300" i="11"/>
  <c r="X300" i="11"/>
  <c r="P300" i="11"/>
  <c r="H300" i="11"/>
  <c r="AD300" i="11"/>
  <c r="V300" i="11"/>
  <c r="N300" i="11"/>
  <c r="F300" i="11"/>
  <c r="AB300" i="11"/>
  <c r="T300" i="11"/>
  <c r="L300" i="11"/>
  <c r="AA300" i="11"/>
  <c r="K300" i="11"/>
  <c r="Z300" i="11"/>
  <c r="J300" i="11"/>
  <c r="W300" i="11"/>
  <c r="G300" i="11"/>
  <c r="U300" i="11"/>
  <c r="E300" i="11"/>
  <c r="AI300" i="11"/>
  <c r="S300" i="11"/>
  <c r="AH300" i="11"/>
  <c r="R300" i="11"/>
  <c r="AE300" i="11"/>
  <c r="AC300" i="11"/>
  <c r="O300" i="11"/>
  <c r="M300" i="11"/>
  <c r="I268" i="11"/>
  <c r="AF268" i="11"/>
  <c r="H268" i="11"/>
  <c r="N268" i="11"/>
  <c r="F268" i="11"/>
  <c r="AB268" i="11"/>
  <c r="L268" i="11"/>
  <c r="K268" i="11"/>
  <c r="J268" i="11"/>
  <c r="G268" i="11"/>
  <c r="E268" i="11"/>
  <c r="AC268" i="11"/>
  <c r="O268" i="11"/>
  <c r="M268" i="11"/>
  <c r="AH523" i="11"/>
  <c r="Z523" i="11"/>
  <c r="R523" i="11"/>
  <c r="J523" i="11"/>
  <c r="AG523" i="11"/>
  <c r="Y523" i="11"/>
  <c r="Q523" i="11"/>
  <c r="I523" i="11"/>
  <c r="AF523" i="11"/>
  <c r="X523" i="11"/>
  <c r="P523" i="11"/>
  <c r="H523" i="11"/>
  <c r="AD523" i="11"/>
  <c r="V523" i="11"/>
  <c r="N523" i="11"/>
  <c r="F523" i="11"/>
  <c r="AC523" i="11"/>
  <c r="M523" i="11"/>
  <c r="AB523" i="11"/>
  <c r="L523" i="11"/>
  <c r="AA523" i="11"/>
  <c r="K523" i="11"/>
  <c r="W523" i="11"/>
  <c r="G523" i="11"/>
  <c r="U523" i="11"/>
  <c r="E523" i="11"/>
  <c r="AE523" i="11"/>
  <c r="T523" i="11"/>
  <c r="S523" i="11"/>
  <c r="O523" i="11"/>
  <c r="AI523" i="11"/>
  <c r="I397" i="11"/>
  <c r="AF397" i="11"/>
  <c r="H397" i="11"/>
  <c r="N397" i="11"/>
  <c r="F397" i="11"/>
  <c r="M397" i="11"/>
  <c r="E397" i="11"/>
  <c r="P397" i="11" s="1"/>
  <c r="R397" i="11" s="1"/>
  <c r="O397" i="11"/>
  <c r="L397" i="11"/>
  <c r="K397" i="11"/>
  <c r="J397" i="11"/>
  <c r="G397" i="11"/>
  <c r="AI397" i="11"/>
  <c r="I365" i="11"/>
  <c r="AF365" i="11"/>
  <c r="H365" i="11"/>
  <c r="AB365" i="11" s="1"/>
  <c r="AC365" i="11" s="1"/>
  <c r="N365" i="11"/>
  <c r="F365" i="11"/>
  <c r="M365" i="11"/>
  <c r="E365" i="11"/>
  <c r="Q365" i="11" s="1"/>
  <c r="O365" i="11"/>
  <c r="L365" i="11"/>
  <c r="K365" i="11"/>
  <c r="J365" i="11"/>
  <c r="G365" i="11"/>
  <c r="I162" i="11"/>
  <c r="AF162" i="11"/>
  <c r="H162" i="11"/>
  <c r="N162" i="11"/>
  <c r="F162" i="11"/>
  <c r="Q162" i="11" s="1"/>
  <c r="S162" i="11" s="1"/>
  <c r="Y162" i="11" s="1"/>
  <c r="M162" i="11"/>
  <c r="E162" i="11"/>
  <c r="AB162" i="11"/>
  <c r="AC162" i="11" s="1"/>
  <c r="L162" i="11"/>
  <c r="O162" i="11"/>
  <c r="K162" i="11"/>
  <c r="J162" i="11"/>
  <c r="G162" i="11"/>
  <c r="P162" i="11" s="1"/>
  <c r="Q130" i="11"/>
  <c r="I130" i="11"/>
  <c r="AF130" i="11"/>
  <c r="H130" i="11"/>
  <c r="N130" i="11"/>
  <c r="F130" i="11"/>
  <c r="M130" i="11"/>
  <c r="E130" i="11"/>
  <c r="L130" i="11"/>
  <c r="AB130" i="11" s="1"/>
  <c r="AC130" i="11" s="1"/>
  <c r="O130" i="11"/>
  <c r="K130" i="11"/>
  <c r="J130" i="11"/>
  <c r="G130" i="11"/>
  <c r="O191" i="11"/>
  <c r="G191" i="11"/>
  <c r="N191" i="11"/>
  <c r="F191" i="11"/>
  <c r="M191" i="11"/>
  <c r="E191" i="11"/>
  <c r="L191" i="11"/>
  <c r="K191" i="11"/>
  <c r="J191" i="11"/>
  <c r="H191" i="11"/>
  <c r="AF191" i="11"/>
  <c r="I191" i="11"/>
  <c r="AG324" i="11"/>
  <c r="Y324" i="11"/>
  <c r="Q324" i="11"/>
  <c r="I324" i="11"/>
  <c r="AF324" i="11"/>
  <c r="X324" i="11"/>
  <c r="P324" i="11"/>
  <c r="H324" i="11"/>
  <c r="AE324" i="11"/>
  <c r="W324" i="11"/>
  <c r="O324" i="11"/>
  <c r="G324" i="11"/>
  <c r="AD324" i="11"/>
  <c r="V324" i="11"/>
  <c r="N324" i="11"/>
  <c r="F324" i="11"/>
  <c r="AB324" i="11"/>
  <c r="T324" i="11"/>
  <c r="L324" i="11"/>
  <c r="S324" i="11"/>
  <c r="R324" i="11"/>
  <c r="AI324" i="11"/>
  <c r="M324" i="11"/>
  <c r="AH324" i="11"/>
  <c r="K324" i="11"/>
  <c r="AC324" i="11"/>
  <c r="J324" i="11"/>
  <c r="AA324" i="11"/>
  <c r="E324" i="11"/>
  <c r="Z324" i="11"/>
  <c r="U324" i="11"/>
  <c r="O151" i="11"/>
  <c r="G151" i="11"/>
  <c r="AD151" i="11"/>
  <c r="N151" i="11"/>
  <c r="F151" i="11"/>
  <c r="P151" i="11" s="1"/>
  <c r="R151" i="11" s="1"/>
  <c r="L151" i="11"/>
  <c r="AI151" i="11"/>
  <c r="S151" i="11"/>
  <c r="Y151" i="11" s="1"/>
  <c r="K151" i="11"/>
  <c r="J151" i="11"/>
  <c r="H151" i="11"/>
  <c r="AB151" i="11" s="1"/>
  <c r="AC151" i="11" s="1"/>
  <c r="E151" i="11"/>
  <c r="Q151" i="11"/>
  <c r="M151" i="11"/>
  <c r="AF151" i="11"/>
  <c r="I151" i="11"/>
  <c r="Q214" i="11"/>
  <c r="I214" i="11"/>
  <c r="AF214" i="11"/>
  <c r="P214" i="11"/>
  <c r="H214" i="11"/>
  <c r="O214" i="11"/>
  <c r="G214" i="11"/>
  <c r="AD214" i="11" s="1"/>
  <c r="N214" i="11"/>
  <c r="F214" i="11"/>
  <c r="M214" i="11"/>
  <c r="E214" i="11"/>
  <c r="L214" i="11"/>
  <c r="K214" i="11"/>
  <c r="J214" i="11"/>
  <c r="AI214" i="11"/>
  <c r="S214" i="11"/>
  <c r="Y214" i="11" s="1"/>
  <c r="I182" i="11"/>
  <c r="AF182" i="11"/>
  <c r="P182" i="11"/>
  <c r="H182" i="11"/>
  <c r="O182" i="11"/>
  <c r="G182" i="11"/>
  <c r="N182" i="11"/>
  <c r="F182" i="11"/>
  <c r="M182" i="11"/>
  <c r="E182" i="11"/>
  <c r="L182" i="11"/>
  <c r="R182" i="11"/>
  <c r="K182" i="11"/>
  <c r="J182" i="11"/>
  <c r="AC160" i="11"/>
  <c r="M160" i="11"/>
  <c r="E160" i="11"/>
  <c r="AB160" i="11"/>
  <c r="L160" i="11"/>
  <c r="J160" i="11"/>
  <c r="I160" i="11"/>
  <c r="AF160" i="11"/>
  <c r="H160" i="11"/>
  <c r="N160" i="11"/>
  <c r="K160" i="11"/>
  <c r="G160" i="11"/>
  <c r="F160" i="11"/>
  <c r="O160" i="11"/>
  <c r="M128" i="11"/>
  <c r="E128" i="11"/>
  <c r="L128" i="11"/>
  <c r="J128" i="11"/>
  <c r="I128" i="11"/>
  <c r="AF128" i="11"/>
  <c r="H128" i="11"/>
  <c r="AB128" i="11" s="1"/>
  <c r="AC128" i="11" s="1"/>
  <c r="N128" i="11"/>
  <c r="K128" i="11"/>
  <c r="G128" i="11"/>
  <c r="F128" i="11"/>
  <c r="O128" i="11"/>
  <c r="AE225" i="11"/>
  <c r="W225" i="11"/>
  <c r="O225" i="11"/>
  <c r="G225" i="11"/>
  <c r="AD225" i="11"/>
  <c r="V225" i="11"/>
  <c r="N225" i="11"/>
  <c r="F225" i="11"/>
  <c r="AC225" i="11"/>
  <c r="S225" i="11"/>
  <c r="I225" i="11"/>
  <c r="AB225" i="11"/>
  <c r="R225" i="11"/>
  <c r="H225" i="11"/>
  <c r="AA225" i="11"/>
  <c r="Q225" i="11"/>
  <c r="E225" i="11"/>
  <c r="Z225" i="11"/>
  <c r="P225" i="11"/>
  <c r="AI225" i="11"/>
  <c r="Y225" i="11"/>
  <c r="M225" i="11"/>
  <c r="AH225" i="11"/>
  <c r="X225" i="11"/>
  <c r="L225" i="11"/>
  <c r="AF225" i="11"/>
  <c r="U225" i="11"/>
  <c r="T225" i="11"/>
  <c r="K225" i="11"/>
  <c r="J225" i="11"/>
  <c r="AG225" i="11"/>
  <c r="L104" i="11"/>
  <c r="AB104" i="11" s="1"/>
  <c r="AC104" i="11" s="1"/>
  <c r="I104" i="11"/>
  <c r="H104" i="11"/>
  <c r="G104" i="11"/>
  <c r="O104" i="11"/>
  <c r="F104" i="11"/>
  <c r="AF104" i="11"/>
  <c r="N104" i="11"/>
  <c r="E104" i="11"/>
  <c r="M104" i="11"/>
  <c r="K104" i="11"/>
  <c r="J104" i="11"/>
  <c r="D72" i="11"/>
  <c r="M204" i="11"/>
  <c r="AB204" i="11" s="1"/>
  <c r="AC204" i="11" s="1"/>
  <c r="E204" i="11"/>
  <c r="L204" i="11"/>
  <c r="AI204" i="11"/>
  <c r="K204" i="11"/>
  <c r="J204" i="11"/>
  <c r="I204" i="11"/>
  <c r="AF204" i="11"/>
  <c r="H204" i="11"/>
  <c r="O204" i="11"/>
  <c r="N204" i="11"/>
  <c r="G204" i="11"/>
  <c r="F204" i="11"/>
  <c r="P204" i="11" s="1"/>
  <c r="N79" i="11"/>
  <c r="F79" i="11"/>
  <c r="G79" i="11"/>
  <c r="O79" i="11"/>
  <c r="E79" i="11"/>
  <c r="AF79" i="11"/>
  <c r="M79" i="11"/>
  <c r="L79" i="11"/>
  <c r="K79" i="11"/>
  <c r="J79" i="11"/>
  <c r="I79" i="11"/>
  <c r="AI79" i="11"/>
  <c r="H79" i="11"/>
  <c r="AB79" i="11" s="1"/>
  <c r="AC79" i="11" s="1"/>
  <c r="D59" i="11"/>
  <c r="N27" i="11"/>
  <c r="F27" i="11"/>
  <c r="AC27" i="11"/>
  <c r="M27" i="11"/>
  <c r="E27" i="11"/>
  <c r="AB27" i="11"/>
  <c r="L27" i="11"/>
  <c r="AI27" i="11"/>
  <c r="K27" i="11"/>
  <c r="J27" i="11"/>
  <c r="I27" i="11"/>
  <c r="AF27" i="11"/>
  <c r="H27" i="11"/>
  <c r="O27" i="11"/>
  <c r="G27" i="11"/>
  <c r="D67" i="11"/>
  <c r="L36" i="11"/>
  <c r="AI36" i="11"/>
  <c r="K36" i="11"/>
  <c r="J36" i="11"/>
  <c r="I36" i="11"/>
  <c r="AF36" i="11"/>
  <c r="H36" i="11"/>
  <c r="O36" i="11"/>
  <c r="G36" i="11"/>
  <c r="N36" i="11"/>
  <c r="F36" i="11"/>
  <c r="M36" i="11"/>
  <c r="AB36" i="11" s="1"/>
  <c r="AC36" i="11" s="1"/>
  <c r="E36" i="11"/>
  <c r="AB1073" i="11"/>
  <c r="T1073" i="11"/>
  <c r="L1073" i="11"/>
  <c r="AI1073" i="11"/>
  <c r="AA1073" i="11"/>
  <c r="S1073" i="11"/>
  <c r="K1073" i="11"/>
  <c r="AH1073" i="11"/>
  <c r="Z1073" i="11"/>
  <c r="R1073" i="11"/>
  <c r="J1073" i="11"/>
  <c r="AG1073" i="11"/>
  <c r="Y1073" i="11"/>
  <c r="Q1073" i="11"/>
  <c r="I1073" i="11"/>
  <c r="AF1073" i="11"/>
  <c r="X1073" i="11"/>
  <c r="P1073" i="11"/>
  <c r="H1073" i="11"/>
  <c r="AD1073" i="11"/>
  <c r="V1073" i="11"/>
  <c r="N1073" i="11"/>
  <c r="F1073" i="11"/>
  <c r="U1073" i="11"/>
  <c r="O1073" i="11"/>
  <c r="M1073" i="11"/>
  <c r="G1073" i="11"/>
  <c r="E1073" i="11"/>
  <c r="AE1073" i="11"/>
  <c r="AC1073" i="11"/>
  <c r="W1073" i="11"/>
  <c r="AG1207" i="11"/>
  <c r="AH1207" i="11"/>
  <c r="Y1207" i="11"/>
  <c r="Q1207" i="11"/>
  <c r="I1207" i="11"/>
  <c r="AF1207" i="11"/>
  <c r="X1207" i="11"/>
  <c r="P1207" i="11"/>
  <c r="H1207" i="11"/>
  <c r="AE1207" i="11"/>
  <c r="W1207" i="11"/>
  <c r="O1207" i="11"/>
  <c r="G1207" i="11"/>
  <c r="AD1207" i="11"/>
  <c r="V1207" i="11"/>
  <c r="N1207" i="11"/>
  <c r="F1207" i="11"/>
  <c r="AC1207" i="11"/>
  <c r="U1207" i="11"/>
  <c r="M1207" i="11"/>
  <c r="E1207" i="11"/>
  <c r="Z1207" i="11"/>
  <c r="T1207" i="11"/>
  <c r="S1207" i="11"/>
  <c r="R1207" i="11"/>
  <c r="L1207" i="11"/>
  <c r="AI1207" i="11"/>
  <c r="K1207" i="11"/>
  <c r="AB1207" i="11"/>
  <c r="J1207" i="11"/>
  <c r="AA1207" i="11"/>
  <c r="AI1206" i="11"/>
  <c r="AA1206" i="11"/>
  <c r="S1206" i="11"/>
  <c r="K1206" i="11"/>
  <c r="AH1206" i="11"/>
  <c r="Z1206" i="11"/>
  <c r="R1206" i="11"/>
  <c r="J1206" i="11"/>
  <c r="AG1206" i="11"/>
  <c r="Y1206" i="11"/>
  <c r="Q1206" i="11"/>
  <c r="I1206" i="11"/>
  <c r="AF1206" i="11"/>
  <c r="X1206" i="11"/>
  <c r="P1206" i="11"/>
  <c r="H1206" i="11"/>
  <c r="AE1206" i="11"/>
  <c r="W1206" i="11"/>
  <c r="O1206" i="11"/>
  <c r="G1206" i="11"/>
  <c r="N1206" i="11"/>
  <c r="M1206" i="11"/>
  <c r="AD1206" i="11"/>
  <c r="L1206" i="11"/>
  <c r="AC1206" i="11"/>
  <c r="F1206" i="11"/>
  <c r="AB1206" i="11"/>
  <c r="E1206" i="11"/>
  <c r="V1206" i="11"/>
  <c r="U1206" i="11"/>
  <c r="T1206" i="11"/>
  <c r="AI1150" i="11"/>
  <c r="AA1150" i="11"/>
  <c r="S1150" i="11"/>
  <c r="K1150" i="11"/>
  <c r="AH1150" i="11"/>
  <c r="Z1150" i="11"/>
  <c r="R1150" i="11"/>
  <c r="J1150" i="11"/>
  <c r="AG1150" i="11"/>
  <c r="Y1150" i="11"/>
  <c r="Q1150" i="11"/>
  <c r="I1150" i="11"/>
  <c r="AE1150" i="11"/>
  <c r="W1150" i="11"/>
  <c r="O1150" i="11"/>
  <c r="G1150" i="11"/>
  <c r="AC1150" i="11"/>
  <c r="M1150" i="11"/>
  <c r="AB1150" i="11"/>
  <c r="L1150" i="11"/>
  <c r="X1150" i="11"/>
  <c r="H1150" i="11"/>
  <c r="U1150" i="11"/>
  <c r="E1150" i="11"/>
  <c r="AF1150" i="11"/>
  <c r="P1150" i="11"/>
  <c r="AD1150" i="11"/>
  <c r="V1150" i="11"/>
  <c r="T1150" i="11"/>
  <c r="N1150" i="11"/>
  <c r="F1150" i="11"/>
  <c r="AC184" i="11"/>
  <c r="M184" i="11"/>
  <c r="AB184" i="11" s="1"/>
  <c r="E184" i="11"/>
  <c r="L184" i="11"/>
  <c r="S184" i="11"/>
  <c r="K184" i="11"/>
  <c r="J184" i="11"/>
  <c r="Y184" i="11"/>
  <c r="Q184" i="11"/>
  <c r="I184" i="11"/>
  <c r="AF184" i="11"/>
  <c r="H184" i="11"/>
  <c r="O184" i="11"/>
  <c r="N184" i="11"/>
  <c r="G184" i="11"/>
  <c r="F184" i="11"/>
  <c r="P184" i="11" s="1"/>
  <c r="R184" i="11" s="1"/>
  <c r="AG184" i="11" s="1"/>
  <c r="D65" i="11"/>
  <c r="J33" i="11"/>
  <c r="I33" i="11"/>
  <c r="AF33" i="11"/>
  <c r="H33" i="11"/>
  <c r="O33" i="11"/>
  <c r="G33" i="11"/>
  <c r="N33" i="11"/>
  <c r="F33" i="11"/>
  <c r="P33" i="11" s="1"/>
  <c r="M33" i="11"/>
  <c r="E33" i="11"/>
  <c r="AB33" i="11"/>
  <c r="AC33" i="11" s="1"/>
  <c r="L33" i="11"/>
  <c r="AI33" i="11"/>
  <c r="K33" i="11"/>
  <c r="AE1340" i="11"/>
  <c r="W1340" i="11"/>
  <c r="O1340" i="11"/>
  <c r="G1340" i="11"/>
  <c r="AD1340" i="11"/>
  <c r="V1340" i="11"/>
  <c r="N1340" i="11"/>
  <c r="F1340" i="11"/>
  <c r="AI1340" i="11"/>
  <c r="AA1340" i="11"/>
  <c r="S1340" i="11"/>
  <c r="K1340" i="11"/>
  <c r="AH1340" i="11"/>
  <c r="Z1340" i="11"/>
  <c r="R1340" i="11"/>
  <c r="J1340" i="11"/>
  <c r="AG1340" i="11"/>
  <c r="Q1340" i="11"/>
  <c r="AF1340" i="11"/>
  <c r="P1340" i="11"/>
  <c r="AC1340" i="11"/>
  <c r="M1340" i="11"/>
  <c r="AB1340" i="11"/>
  <c r="L1340" i="11"/>
  <c r="Y1340" i="11"/>
  <c r="I1340" i="11"/>
  <c r="X1340" i="11"/>
  <c r="U1340" i="11"/>
  <c r="T1340" i="11"/>
  <c r="H1340" i="11"/>
  <c r="E1340" i="11"/>
  <c r="AI1352" i="11"/>
  <c r="AA1352" i="11"/>
  <c r="S1352" i="11"/>
  <c r="K1352" i="11"/>
  <c r="AH1352" i="11"/>
  <c r="Z1352" i="11"/>
  <c r="R1352" i="11"/>
  <c r="J1352" i="11"/>
  <c r="AC1352" i="11"/>
  <c r="Q1352" i="11"/>
  <c r="G1352" i="11"/>
  <c r="AB1352" i="11"/>
  <c r="P1352" i="11"/>
  <c r="F1352" i="11"/>
  <c r="Y1352" i="11"/>
  <c r="O1352" i="11"/>
  <c r="E1352" i="11"/>
  <c r="X1352" i="11"/>
  <c r="N1352" i="11"/>
  <c r="AG1352" i="11"/>
  <c r="W1352" i="11"/>
  <c r="M1352" i="11"/>
  <c r="AF1352" i="11"/>
  <c r="V1352" i="11"/>
  <c r="L1352" i="11"/>
  <c r="AE1352" i="11"/>
  <c r="U1352" i="11"/>
  <c r="I1352" i="11"/>
  <c r="AD1352" i="11"/>
  <c r="T1352" i="11"/>
  <c r="H1352" i="11"/>
  <c r="AE1298" i="11"/>
  <c r="AD1298" i="11"/>
  <c r="V1298" i="11"/>
  <c r="N1298" i="11"/>
  <c r="F1298" i="11"/>
  <c r="AC1298" i="11"/>
  <c r="T1298" i="11"/>
  <c r="K1298" i="11"/>
  <c r="AB1298" i="11"/>
  <c r="S1298" i="11"/>
  <c r="J1298" i="11"/>
  <c r="AA1298" i="11"/>
  <c r="R1298" i="11"/>
  <c r="I1298" i="11"/>
  <c r="AI1298" i="11"/>
  <c r="Y1298" i="11"/>
  <c r="P1298" i="11"/>
  <c r="G1298" i="11"/>
  <c r="AH1298" i="11"/>
  <c r="X1298" i="11"/>
  <c r="O1298" i="11"/>
  <c r="E1298" i="11"/>
  <c r="W1298" i="11"/>
  <c r="U1298" i="11"/>
  <c r="Q1298" i="11"/>
  <c r="M1298" i="11"/>
  <c r="L1298" i="11"/>
  <c r="AG1298" i="11"/>
  <c r="AF1298" i="11"/>
  <c r="Z1298" i="11"/>
  <c r="H1298" i="11"/>
  <c r="AF988" i="11"/>
  <c r="H988" i="11"/>
  <c r="O988" i="11"/>
  <c r="G988" i="11"/>
  <c r="N988" i="11"/>
  <c r="F988" i="11"/>
  <c r="M988" i="11"/>
  <c r="E988" i="11"/>
  <c r="K988" i="11"/>
  <c r="J988" i="11"/>
  <c r="I988" i="11"/>
  <c r="Q988" i="11"/>
  <c r="L988" i="11"/>
  <c r="AB988" i="11" s="1"/>
  <c r="AC988" i="11" s="1"/>
  <c r="J842" i="11"/>
  <c r="Q842" i="11"/>
  <c r="I842" i="11"/>
  <c r="AF842" i="11"/>
  <c r="M842" i="11"/>
  <c r="E842" i="11"/>
  <c r="N842" i="11"/>
  <c r="L842" i="11"/>
  <c r="AB842" i="11" s="1"/>
  <c r="AC842" i="11" s="1"/>
  <c r="K842" i="11"/>
  <c r="H842" i="11"/>
  <c r="AI842" i="11"/>
  <c r="G842" i="11"/>
  <c r="X842" i="11" s="1"/>
  <c r="F842" i="11"/>
  <c r="P842" i="11"/>
  <c r="O842" i="11"/>
  <c r="Y842" i="11" s="1"/>
  <c r="N840" i="11"/>
  <c r="F840" i="11"/>
  <c r="M840" i="11"/>
  <c r="E840" i="11"/>
  <c r="I840" i="11"/>
  <c r="H840" i="11"/>
  <c r="AF840" i="11"/>
  <c r="G840" i="11"/>
  <c r="O840" i="11"/>
  <c r="L840" i="11"/>
  <c r="K840" i="11"/>
  <c r="J840" i="11"/>
  <c r="AI723" i="11"/>
  <c r="AA723" i="11"/>
  <c r="S723" i="11"/>
  <c r="K723" i="11"/>
  <c r="AH723" i="11"/>
  <c r="Z723" i="11"/>
  <c r="R723" i="11"/>
  <c r="J723" i="11"/>
  <c r="AG723" i="11"/>
  <c r="Y723" i="11"/>
  <c r="Q723" i="11"/>
  <c r="I723" i="11"/>
  <c r="AF723" i="11"/>
  <c r="X723" i="11"/>
  <c r="P723" i="11"/>
  <c r="H723" i="11"/>
  <c r="AE723" i="11"/>
  <c r="W723" i="11"/>
  <c r="O723" i="11"/>
  <c r="G723" i="11"/>
  <c r="AD723" i="11"/>
  <c r="V723" i="11"/>
  <c r="N723" i="11"/>
  <c r="F723" i="11"/>
  <c r="AC723" i="11"/>
  <c r="U723" i="11"/>
  <c r="M723" i="11"/>
  <c r="E723" i="11"/>
  <c r="AB723" i="11"/>
  <c r="T723" i="11"/>
  <c r="L723" i="11"/>
  <c r="J117" i="11"/>
  <c r="AF117" i="11"/>
  <c r="K117" i="11"/>
  <c r="I117" i="11"/>
  <c r="H117" i="11"/>
  <c r="P117" i="11"/>
  <c r="G117" i="11"/>
  <c r="O117" i="11"/>
  <c r="F117" i="11"/>
  <c r="N117" i="11"/>
  <c r="E117" i="11"/>
  <c r="M117" i="11"/>
  <c r="AB117" i="11" s="1"/>
  <c r="AC117" i="11" s="1"/>
  <c r="L117" i="11"/>
  <c r="D58" i="11"/>
  <c r="AF26" i="11"/>
  <c r="H26" i="11"/>
  <c r="O26" i="11"/>
  <c r="G26" i="11"/>
  <c r="AD26" i="11"/>
  <c r="N26" i="11"/>
  <c r="F26" i="11"/>
  <c r="P26" i="11" s="1"/>
  <c r="M26" i="11"/>
  <c r="E26" i="11"/>
  <c r="AB26" i="11"/>
  <c r="AC26" i="11" s="1"/>
  <c r="L26" i="11"/>
  <c r="AI26" i="11"/>
  <c r="K26" i="11"/>
  <c r="R26" i="11"/>
  <c r="AG26" i="11" s="1"/>
  <c r="J26" i="11"/>
  <c r="Q26" i="11"/>
  <c r="S26" i="11" s="1"/>
  <c r="Y26" i="11" s="1"/>
  <c r="I26" i="11"/>
  <c r="AG1171" i="11"/>
  <c r="Y1171" i="11"/>
  <c r="Q1171" i="11"/>
  <c r="I1171" i="11"/>
  <c r="AF1171" i="11"/>
  <c r="X1171" i="11"/>
  <c r="P1171" i="11"/>
  <c r="H1171" i="11"/>
  <c r="AE1171" i="11"/>
  <c r="W1171" i="11"/>
  <c r="O1171" i="11"/>
  <c r="G1171" i="11"/>
  <c r="AD1171" i="11"/>
  <c r="V1171" i="11"/>
  <c r="N1171" i="11"/>
  <c r="F1171" i="11"/>
  <c r="AC1171" i="11"/>
  <c r="U1171" i="11"/>
  <c r="M1171" i="11"/>
  <c r="E1171" i="11"/>
  <c r="Z1171" i="11"/>
  <c r="T1171" i="11"/>
  <c r="S1171" i="11"/>
  <c r="R1171" i="11"/>
  <c r="AI1171" i="11"/>
  <c r="L1171" i="11"/>
  <c r="AH1171" i="11"/>
  <c r="K1171" i="11"/>
  <c r="AB1171" i="11"/>
  <c r="J1171" i="11"/>
  <c r="AA1171" i="11"/>
  <c r="AI1166" i="11"/>
  <c r="AA1166" i="11"/>
  <c r="S1166" i="11"/>
  <c r="K1166" i="11"/>
  <c r="AH1166" i="11"/>
  <c r="Z1166" i="11"/>
  <c r="R1166" i="11"/>
  <c r="J1166" i="11"/>
  <c r="AG1166" i="11"/>
  <c r="Y1166" i="11"/>
  <c r="Q1166" i="11"/>
  <c r="I1166" i="11"/>
  <c r="AF1166" i="11"/>
  <c r="X1166" i="11"/>
  <c r="P1166" i="11"/>
  <c r="H1166" i="11"/>
  <c r="AE1166" i="11"/>
  <c r="W1166" i="11"/>
  <c r="O1166" i="11"/>
  <c r="G1166" i="11"/>
  <c r="N1166" i="11"/>
  <c r="M1166" i="11"/>
  <c r="AD1166" i="11"/>
  <c r="L1166" i="11"/>
  <c r="AC1166" i="11"/>
  <c r="F1166" i="11"/>
  <c r="AB1166" i="11"/>
  <c r="E1166" i="11"/>
  <c r="V1166" i="11"/>
  <c r="U1166" i="11"/>
  <c r="T1166" i="11"/>
  <c r="O1019" i="11"/>
  <c r="G1019" i="11"/>
  <c r="M1019" i="11"/>
  <c r="E1019" i="11"/>
  <c r="K1019" i="11"/>
  <c r="J1019" i="11"/>
  <c r="I1019" i="11"/>
  <c r="H1019" i="11"/>
  <c r="AF1019" i="11"/>
  <c r="F1019" i="11"/>
  <c r="N1019" i="11"/>
  <c r="L1019" i="11"/>
  <c r="AB1019" i="11" s="1"/>
  <c r="AC1019" i="11" s="1"/>
  <c r="K893" i="11"/>
  <c r="J893" i="11"/>
  <c r="I893" i="11"/>
  <c r="H893" i="11"/>
  <c r="AB893" i="11" s="1"/>
  <c r="AC893" i="11" s="1"/>
  <c r="G893" i="11"/>
  <c r="AI893" i="11" s="1"/>
  <c r="O893" i="11"/>
  <c r="F893" i="11"/>
  <c r="P893" i="11" s="1"/>
  <c r="AF893" i="11"/>
  <c r="N893" i="11"/>
  <c r="E893" i="11"/>
  <c r="M893" i="11"/>
  <c r="L893" i="11"/>
  <c r="O899" i="11"/>
  <c r="G899" i="11"/>
  <c r="M899" i="11"/>
  <c r="E899" i="11"/>
  <c r="AI899" i="11"/>
  <c r="K899" i="11"/>
  <c r="J899" i="11"/>
  <c r="AF899" i="11"/>
  <c r="N899" i="11"/>
  <c r="AB899" i="11"/>
  <c r="AC899" i="11" s="1"/>
  <c r="L899" i="11"/>
  <c r="I899" i="11"/>
  <c r="H899" i="11"/>
  <c r="F899" i="11"/>
  <c r="AI735" i="11"/>
  <c r="AA735" i="11"/>
  <c r="S735" i="11"/>
  <c r="K735" i="11"/>
  <c r="AH735" i="11"/>
  <c r="Z735" i="11"/>
  <c r="R735" i="11"/>
  <c r="J735" i="11"/>
  <c r="AG735" i="11"/>
  <c r="Y735" i="11"/>
  <c r="Q735" i="11"/>
  <c r="I735" i="11"/>
  <c r="AF735" i="11"/>
  <c r="X735" i="11"/>
  <c r="P735" i="11"/>
  <c r="H735" i="11"/>
  <c r="AE735" i="11"/>
  <c r="W735" i="11"/>
  <c r="O735" i="11"/>
  <c r="G735" i="11"/>
  <c r="AD735" i="11"/>
  <c r="V735" i="11"/>
  <c r="N735" i="11"/>
  <c r="F735" i="11"/>
  <c r="AC735" i="11"/>
  <c r="U735" i="11"/>
  <c r="M735" i="11"/>
  <c r="E735" i="11"/>
  <c r="AB735" i="11"/>
  <c r="T735" i="11"/>
  <c r="L735" i="11"/>
  <c r="AF584" i="11"/>
  <c r="X584" i="11"/>
  <c r="P584" i="11"/>
  <c r="H584" i="11"/>
  <c r="AE584" i="11"/>
  <c r="W584" i="11"/>
  <c r="O584" i="11"/>
  <c r="G584" i="11"/>
  <c r="AD584" i="11"/>
  <c r="V584" i="11"/>
  <c r="N584" i="11"/>
  <c r="F584" i="11"/>
  <c r="AC584" i="11"/>
  <c r="U584" i="11"/>
  <c r="M584" i="11"/>
  <c r="E584" i="11"/>
  <c r="AI584" i="11"/>
  <c r="AA584" i="11"/>
  <c r="S584" i="11"/>
  <c r="K584" i="11"/>
  <c r="AH584" i="11"/>
  <c r="Z584" i="11"/>
  <c r="R584" i="11"/>
  <c r="J584" i="11"/>
  <c r="AG584" i="11"/>
  <c r="AB584" i="11"/>
  <c r="Y584" i="11"/>
  <c r="T584" i="11"/>
  <c r="Q584" i="11"/>
  <c r="L584" i="11"/>
  <c r="I584" i="11"/>
  <c r="AF616" i="11"/>
  <c r="X616" i="11"/>
  <c r="P616" i="11"/>
  <c r="H616" i="11"/>
  <c r="AE616" i="11"/>
  <c r="W616" i="11"/>
  <c r="O616" i="11"/>
  <c r="G616" i="11"/>
  <c r="AD616" i="11"/>
  <c r="V616" i="11"/>
  <c r="N616" i="11"/>
  <c r="F616" i="11"/>
  <c r="AC616" i="11"/>
  <c r="U616" i="11"/>
  <c r="M616" i="11"/>
  <c r="E616" i="11"/>
  <c r="AI616" i="11"/>
  <c r="AA616" i="11"/>
  <c r="S616" i="11"/>
  <c r="K616" i="11"/>
  <c r="AH616" i="11"/>
  <c r="Z616" i="11"/>
  <c r="R616" i="11"/>
  <c r="J616" i="11"/>
  <c r="AG616" i="11"/>
  <c r="AB616" i="11"/>
  <c r="Y616" i="11"/>
  <c r="T616" i="11"/>
  <c r="Q616" i="11"/>
  <c r="L616" i="11"/>
  <c r="I616" i="11"/>
  <c r="AI470" i="11"/>
  <c r="AA470" i="11"/>
  <c r="S470" i="11"/>
  <c r="K470" i="11"/>
  <c r="AH470" i="11"/>
  <c r="Z470" i="11"/>
  <c r="R470" i="11"/>
  <c r="J470" i="11"/>
  <c r="AF470" i="11"/>
  <c r="X470" i="11"/>
  <c r="P470" i="11"/>
  <c r="H470" i="11"/>
  <c r="AB470" i="11"/>
  <c r="N470" i="11"/>
  <c r="Y470" i="11"/>
  <c r="M470" i="11"/>
  <c r="W470" i="11"/>
  <c r="L470" i="11"/>
  <c r="V470" i="11"/>
  <c r="I470" i="11"/>
  <c r="AG470" i="11"/>
  <c r="U470" i="11"/>
  <c r="G470" i="11"/>
  <c r="F470" i="11"/>
  <c r="E470" i="11"/>
  <c r="AE470" i="11"/>
  <c r="AD470" i="11"/>
  <c r="AC470" i="11"/>
  <c r="T470" i="11"/>
  <c r="Q470" i="11"/>
  <c r="O470" i="11"/>
  <c r="AI315" i="11"/>
  <c r="AA315" i="11"/>
  <c r="S315" i="11"/>
  <c r="K315" i="11"/>
  <c r="AH315" i="11"/>
  <c r="Z315" i="11"/>
  <c r="R315" i="11"/>
  <c r="J315" i="11"/>
  <c r="AG315" i="11"/>
  <c r="Y315" i="11"/>
  <c r="AF315" i="11"/>
  <c r="X315" i="11"/>
  <c r="P315" i="11"/>
  <c r="H315" i="11"/>
  <c r="AD315" i="11"/>
  <c r="V315" i="11"/>
  <c r="N315" i="11"/>
  <c r="F315" i="11"/>
  <c r="AE315" i="11"/>
  <c r="M315" i="11"/>
  <c r="AC315" i="11"/>
  <c r="L315" i="11"/>
  <c r="AB315" i="11"/>
  <c r="I315" i="11"/>
  <c r="W315" i="11"/>
  <c r="G315" i="11"/>
  <c r="U315" i="11"/>
  <c r="E315" i="11"/>
  <c r="T315" i="11"/>
  <c r="Q315" i="11"/>
  <c r="O315" i="11"/>
  <c r="AI169" i="11"/>
  <c r="K169" i="11"/>
  <c r="J169" i="11"/>
  <c r="AF169" i="11"/>
  <c r="H169" i="11"/>
  <c r="O169" i="11"/>
  <c r="G169" i="11"/>
  <c r="N169" i="11"/>
  <c r="F169" i="11"/>
  <c r="Q169" i="11"/>
  <c r="M169" i="11"/>
  <c r="L169" i="11"/>
  <c r="AB169" i="11" s="1"/>
  <c r="AC169" i="11" s="1"/>
  <c r="I169" i="11"/>
  <c r="E169" i="11"/>
  <c r="AF98" i="11"/>
  <c r="H98" i="11"/>
  <c r="M98" i="11"/>
  <c r="L98" i="11"/>
  <c r="K98" i="11"/>
  <c r="AB98" i="11"/>
  <c r="J98" i="11"/>
  <c r="I98" i="11"/>
  <c r="Q98" i="11"/>
  <c r="G98" i="11"/>
  <c r="O98" i="11"/>
  <c r="F98" i="11"/>
  <c r="N98" i="11"/>
  <c r="E98" i="11"/>
  <c r="AE1318" i="11"/>
  <c r="W1318" i="11"/>
  <c r="O1318" i="11"/>
  <c r="G1318" i="11"/>
  <c r="AD1318" i="11"/>
  <c r="V1318" i="11"/>
  <c r="N1318" i="11"/>
  <c r="F1318" i="11"/>
  <c r="AC1318" i="11"/>
  <c r="U1318" i="11"/>
  <c r="M1318" i="11"/>
  <c r="E1318" i="11"/>
  <c r="AI1318" i="11"/>
  <c r="AA1318" i="11"/>
  <c r="S1318" i="11"/>
  <c r="K1318" i="11"/>
  <c r="AH1318" i="11"/>
  <c r="R1318" i="11"/>
  <c r="AG1318" i="11"/>
  <c r="Q1318" i="11"/>
  <c r="AF1318" i="11"/>
  <c r="P1318" i="11"/>
  <c r="AB1318" i="11"/>
  <c r="L1318" i="11"/>
  <c r="Z1318" i="11"/>
  <c r="J1318" i="11"/>
  <c r="Y1318" i="11"/>
  <c r="I1318" i="11"/>
  <c r="X1318" i="11"/>
  <c r="H1318" i="11"/>
  <c r="T1318" i="11"/>
  <c r="AI1330" i="11"/>
  <c r="AA1330" i="11"/>
  <c r="S1330" i="11"/>
  <c r="K1330" i="11"/>
  <c r="AH1330" i="11"/>
  <c r="Z1330" i="11"/>
  <c r="R1330" i="11"/>
  <c r="J1330" i="11"/>
  <c r="AE1330" i="11"/>
  <c r="W1330" i="11"/>
  <c r="O1330" i="11"/>
  <c r="G1330" i="11"/>
  <c r="AD1330" i="11"/>
  <c r="Q1330" i="11"/>
  <c r="E1330" i="11"/>
  <c r="AC1330" i="11"/>
  <c r="P1330" i="11"/>
  <c r="AB1330" i="11"/>
  <c r="N1330" i="11"/>
  <c r="Y1330" i="11"/>
  <c r="M1330" i="11"/>
  <c r="X1330" i="11"/>
  <c r="L1330" i="11"/>
  <c r="H1330" i="11"/>
  <c r="F1330" i="11"/>
  <c r="AG1330" i="11"/>
  <c r="AF1330" i="11"/>
  <c r="V1330" i="11"/>
  <c r="U1330" i="11"/>
  <c r="T1330" i="11"/>
  <c r="I1330" i="11"/>
  <c r="D778" i="11"/>
  <c r="AF556" i="11"/>
  <c r="X556" i="11"/>
  <c r="P556" i="11"/>
  <c r="H556" i="11"/>
  <c r="AE556" i="11"/>
  <c r="W556" i="11"/>
  <c r="O556" i="11"/>
  <c r="G556" i="11"/>
  <c r="AD556" i="11"/>
  <c r="V556" i="11"/>
  <c r="N556" i="11"/>
  <c r="F556" i="11"/>
  <c r="AI556" i="11"/>
  <c r="AA556" i="11"/>
  <c r="S556" i="11"/>
  <c r="K556" i="11"/>
  <c r="AH556" i="11"/>
  <c r="Z556" i="11"/>
  <c r="R556" i="11"/>
  <c r="J556" i="11"/>
  <c r="M556" i="11"/>
  <c r="AG556" i="11"/>
  <c r="L556" i="11"/>
  <c r="AC556" i="11"/>
  <c r="I556" i="11"/>
  <c r="AB556" i="11"/>
  <c r="E556" i="11"/>
  <c r="Y556" i="11"/>
  <c r="U556" i="11"/>
  <c r="T556" i="11"/>
  <c r="Q556" i="11"/>
  <c r="D542" i="11"/>
  <c r="D538" i="11"/>
  <c r="D534" i="11"/>
  <c r="D530" i="11"/>
  <c r="D526" i="11"/>
  <c r="D522" i="11"/>
  <c r="D518" i="11"/>
  <c r="D514" i="11"/>
  <c r="D510" i="11"/>
  <c r="V20" i="9"/>
  <c r="X20" i="9" s="1"/>
  <c r="K422" i="11"/>
  <c r="J422" i="11"/>
  <c r="AF422" i="11"/>
  <c r="H422" i="11"/>
  <c r="N422" i="11"/>
  <c r="M422" i="11"/>
  <c r="L422" i="11"/>
  <c r="AB422" i="11" s="1"/>
  <c r="AC422" i="11" s="1"/>
  <c r="I422" i="11"/>
  <c r="G422" i="11"/>
  <c r="F422" i="11"/>
  <c r="E422" i="11"/>
  <c r="Q422" i="11"/>
  <c r="O422" i="11"/>
  <c r="O907" i="11"/>
  <c r="G907" i="11"/>
  <c r="M907" i="11"/>
  <c r="E907" i="11"/>
  <c r="P907" i="11" s="1"/>
  <c r="K907" i="11"/>
  <c r="J907" i="11"/>
  <c r="AB907" i="11" s="1"/>
  <c r="AC907" i="11" s="1"/>
  <c r="AF907" i="11"/>
  <c r="N907" i="11"/>
  <c r="L907" i="11"/>
  <c r="I907" i="11"/>
  <c r="H907" i="11"/>
  <c r="F907" i="11"/>
  <c r="AI921" i="11"/>
  <c r="K921" i="11"/>
  <c r="J921" i="11"/>
  <c r="I921" i="11"/>
  <c r="O921" i="11"/>
  <c r="G921" i="11"/>
  <c r="N921" i="11"/>
  <c r="F921" i="11"/>
  <c r="AF921" i="11"/>
  <c r="L921" i="11"/>
  <c r="H921" i="11"/>
  <c r="AB921" i="11" s="1"/>
  <c r="AC921" i="11" s="1"/>
  <c r="E921" i="11"/>
  <c r="M921" i="11"/>
  <c r="AI213" i="11"/>
  <c r="K213" i="11"/>
  <c r="J213" i="11"/>
  <c r="I213" i="11"/>
  <c r="AF213" i="11"/>
  <c r="H213" i="11"/>
  <c r="O213" i="11"/>
  <c r="G213" i="11"/>
  <c r="N213" i="11"/>
  <c r="F213" i="11"/>
  <c r="M213" i="11"/>
  <c r="AB213" i="11" s="1"/>
  <c r="AC213" i="11" s="1"/>
  <c r="L213" i="11"/>
  <c r="E213" i="11"/>
  <c r="S356" i="11"/>
  <c r="Y356" i="11" s="1"/>
  <c r="K356" i="11"/>
  <c r="J356" i="11"/>
  <c r="AF356" i="11"/>
  <c r="X356" i="11"/>
  <c r="P356" i="11"/>
  <c r="R356" i="11" s="1"/>
  <c r="H356" i="11"/>
  <c r="O356" i="11"/>
  <c r="G356" i="11"/>
  <c r="AI356" i="11" s="1"/>
  <c r="AD356" i="11" s="1"/>
  <c r="Q356" i="11"/>
  <c r="N356" i="11"/>
  <c r="M356" i="11"/>
  <c r="L356" i="11"/>
  <c r="I356" i="11"/>
  <c r="AB356" i="11" s="1"/>
  <c r="AC356" i="11" s="1"/>
  <c r="F356" i="11"/>
  <c r="E356" i="11"/>
  <c r="K145" i="11"/>
  <c r="J145" i="11"/>
  <c r="AF145" i="11"/>
  <c r="H145" i="11"/>
  <c r="O145" i="11"/>
  <c r="G145" i="11"/>
  <c r="N145" i="11"/>
  <c r="F145" i="11"/>
  <c r="P145" i="11" s="1"/>
  <c r="M145" i="11"/>
  <c r="L145" i="11"/>
  <c r="I145" i="11"/>
  <c r="AB145" i="11"/>
  <c r="E145" i="11"/>
  <c r="D487" i="11"/>
  <c r="D502" i="11"/>
  <c r="S279" i="11"/>
  <c r="Y279" i="11" s="1"/>
  <c r="K279" i="11"/>
  <c r="J279" i="11"/>
  <c r="AF279" i="11"/>
  <c r="X279" i="11"/>
  <c r="P279" i="11"/>
  <c r="R279" i="11" s="1"/>
  <c r="H279" i="11"/>
  <c r="N279" i="11"/>
  <c r="F279" i="11"/>
  <c r="M279" i="11"/>
  <c r="AB279" i="11" s="1"/>
  <c r="AC279" i="11" s="1"/>
  <c r="L279" i="11"/>
  <c r="I279" i="11"/>
  <c r="G279" i="11"/>
  <c r="AI279" i="11" s="1"/>
  <c r="E279" i="11"/>
  <c r="Q279" i="11" s="1"/>
  <c r="O279" i="11"/>
  <c r="X23" i="9"/>
  <c r="D648" i="11"/>
  <c r="T8" i="7"/>
  <c r="AG8" i="7"/>
  <c r="V6" i="9"/>
  <c r="X6" i="9" s="1"/>
  <c r="AG1347" i="11"/>
  <c r="Y1347" i="11"/>
  <c r="Q1347" i="11"/>
  <c r="I1347" i="11"/>
  <c r="AF1347" i="11"/>
  <c r="X1347" i="11"/>
  <c r="P1347" i="11"/>
  <c r="H1347" i="11"/>
  <c r="AC1347" i="11"/>
  <c r="U1347" i="11"/>
  <c r="M1347" i="11"/>
  <c r="E1347" i="11"/>
  <c r="AB1347" i="11"/>
  <c r="T1347" i="11"/>
  <c r="L1347" i="11"/>
  <c r="AI1347" i="11"/>
  <c r="AA1347" i="11"/>
  <c r="S1347" i="11"/>
  <c r="K1347" i="11"/>
  <c r="AE1347" i="11"/>
  <c r="J1347" i="11"/>
  <c r="AD1347" i="11"/>
  <c r="G1347" i="11"/>
  <c r="Z1347" i="11"/>
  <c r="F1347" i="11"/>
  <c r="W1347" i="11"/>
  <c r="V1347" i="11"/>
  <c r="AH1347" i="11"/>
  <c r="R1347" i="11"/>
  <c r="O1347" i="11"/>
  <c r="N1347" i="11"/>
  <c r="AD1259" i="11"/>
  <c r="V1259" i="11"/>
  <c r="N1259" i="11"/>
  <c r="F1259" i="11"/>
  <c r="AF1259" i="11"/>
  <c r="W1259" i="11"/>
  <c r="M1259" i="11"/>
  <c r="AE1259" i="11"/>
  <c r="U1259" i="11"/>
  <c r="L1259" i="11"/>
  <c r="AC1259" i="11"/>
  <c r="T1259" i="11"/>
  <c r="AB1259" i="11"/>
  <c r="S1259" i="11"/>
  <c r="J1259" i="11"/>
  <c r="AG1259" i="11"/>
  <c r="O1259" i="11"/>
  <c r="AA1259" i="11"/>
  <c r="K1259" i="11"/>
  <c r="Z1259" i="11"/>
  <c r="I1259" i="11"/>
  <c r="Y1259" i="11"/>
  <c r="H1259" i="11"/>
  <c r="X1259" i="11"/>
  <c r="G1259" i="11"/>
  <c r="R1259" i="11"/>
  <c r="E1259" i="11"/>
  <c r="AI1259" i="11"/>
  <c r="Q1259" i="11"/>
  <c r="AH1259" i="11"/>
  <c r="P1259" i="11"/>
  <c r="AE1160" i="11"/>
  <c r="W1160" i="11"/>
  <c r="O1160" i="11"/>
  <c r="G1160" i="11"/>
  <c r="AD1160" i="11"/>
  <c r="V1160" i="11"/>
  <c r="N1160" i="11"/>
  <c r="F1160" i="11"/>
  <c r="AC1160" i="11"/>
  <c r="U1160" i="11"/>
  <c r="M1160" i="11"/>
  <c r="E1160" i="11"/>
  <c r="AI1160" i="11"/>
  <c r="AA1160" i="11"/>
  <c r="S1160" i="11"/>
  <c r="K1160" i="11"/>
  <c r="X1160" i="11"/>
  <c r="H1160" i="11"/>
  <c r="T1160" i="11"/>
  <c r="AH1160" i="11"/>
  <c r="R1160" i="11"/>
  <c r="AG1160" i="11"/>
  <c r="Q1160" i="11"/>
  <c r="AF1160" i="11"/>
  <c r="P1160" i="11"/>
  <c r="AB1160" i="11"/>
  <c r="L1160" i="11"/>
  <c r="Z1160" i="11"/>
  <c r="J1160" i="11"/>
  <c r="Y1160" i="11"/>
  <c r="I1160" i="11"/>
  <c r="AF1115" i="11"/>
  <c r="X1115" i="11"/>
  <c r="P1115" i="11"/>
  <c r="H1115" i="11"/>
  <c r="AE1115" i="11"/>
  <c r="W1115" i="11"/>
  <c r="O1115" i="11"/>
  <c r="G1115" i="11"/>
  <c r="AD1115" i="11"/>
  <c r="V1115" i="11"/>
  <c r="N1115" i="11"/>
  <c r="F1115" i="11"/>
  <c r="AC1115" i="11"/>
  <c r="U1115" i="11"/>
  <c r="M1115" i="11"/>
  <c r="E1115" i="11"/>
  <c r="AB1115" i="11"/>
  <c r="T1115" i="11"/>
  <c r="L1115" i="11"/>
  <c r="AI1115" i="11"/>
  <c r="AA1115" i="11"/>
  <c r="S1115" i="11"/>
  <c r="K1115" i="11"/>
  <c r="AH1115" i="11"/>
  <c r="Z1115" i="11"/>
  <c r="R1115" i="11"/>
  <c r="J1115" i="11"/>
  <c r="AG1115" i="11"/>
  <c r="Y1115" i="11"/>
  <c r="Q1115" i="11"/>
  <c r="I1115" i="11"/>
  <c r="Y1026" i="11"/>
  <c r="I1026" i="11"/>
  <c r="O1026" i="11"/>
  <c r="G1026" i="11"/>
  <c r="AC1026" i="11"/>
  <c r="M1026" i="11"/>
  <c r="E1026" i="11"/>
  <c r="H1026" i="11"/>
  <c r="AF1026" i="11"/>
  <c r="F1026" i="11"/>
  <c r="N1026" i="11"/>
  <c r="L1026" i="11"/>
  <c r="AB1026" i="11" s="1"/>
  <c r="K1026" i="11"/>
  <c r="J1026" i="11"/>
  <c r="AI1026" i="11"/>
  <c r="M932" i="11"/>
  <c r="E932" i="11"/>
  <c r="L932" i="11"/>
  <c r="AB932" i="11" s="1"/>
  <c r="AC932" i="11" s="1"/>
  <c r="K932" i="11"/>
  <c r="I932" i="11"/>
  <c r="AF932" i="11"/>
  <c r="P932" i="11"/>
  <c r="H932" i="11"/>
  <c r="G932" i="11"/>
  <c r="F932" i="11"/>
  <c r="O932" i="11"/>
  <c r="N932" i="11"/>
  <c r="J932" i="11"/>
  <c r="L990" i="11"/>
  <c r="K990" i="11"/>
  <c r="J990" i="11"/>
  <c r="I990" i="11"/>
  <c r="O990" i="11"/>
  <c r="G990" i="11"/>
  <c r="N990" i="11"/>
  <c r="F990" i="11"/>
  <c r="M990" i="11"/>
  <c r="H990" i="11"/>
  <c r="E990" i="11"/>
  <c r="AF990" i="11"/>
  <c r="M1016" i="11"/>
  <c r="E1016" i="11"/>
  <c r="I1016" i="11"/>
  <c r="O1016" i="11"/>
  <c r="N1016" i="11"/>
  <c r="L1016" i="11"/>
  <c r="K1016" i="11"/>
  <c r="AF1016" i="11"/>
  <c r="J1016" i="11"/>
  <c r="H1016" i="11"/>
  <c r="G1016" i="11"/>
  <c r="AI1016" i="11" s="1"/>
  <c r="AB1016" i="11"/>
  <c r="AC1016" i="11" s="1"/>
  <c r="F1016" i="11"/>
  <c r="N848" i="11"/>
  <c r="F848" i="11"/>
  <c r="M848" i="11"/>
  <c r="E848" i="11"/>
  <c r="L848" i="11"/>
  <c r="Q848" i="11"/>
  <c r="I848" i="11"/>
  <c r="AF848" i="11"/>
  <c r="P848" i="11"/>
  <c r="O848" i="11"/>
  <c r="K848" i="11"/>
  <c r="J848" i="11"/>
  <c r="H848" i="11"/>
  <c r="AB848" i="11" s="1"/>
  <c r="AC848" i="11" s="1"/>
  <c r="G848" i="11"/>
  <c r="AF875" i="11"/>
  <c r="P875" i="11"/>
  <c r="H875" i="11"/>
  <c r="O875" i="11"/>
  <c r="G875" i="11"/>
  <c r="N875" i="11"/>
  <c r="F875" i="11"/>
  <c r="M875" i="11"/>
  <c r="E875" i="11"/>
  <c r="L875" i="11"/>
  <c r="K875" i="11"/>
  <c r="I875" i="11"/>
  <c r="Q875" i="11"/>
  <c r="J875" i="11"/>
  <c r="AF867" i="11"/>
  <c r="H867" i="11"/>
  <c r="O867" i="11"/>
  <c r="G867" i="11"/>
  <c r="AI867" i="11" s="1"/>
  <c r="N867" i="11"/>
  <c r="F867" i="11"/>
  <c r="L867" i="11"/>
  <c r="K867" i="11"/>
  <c r="I867" i="11"/>
  <c r="E867" i="11"/>
  <c r="M867" i="11"/>
  <c r="J867" i="11"/>
  <c r="N860" i="11"/>
  <c r="F860" i="11"/>
  <c r="M860" i="11"/>
  <c r="E860" i="11"/>
  <c r="L860" i="11"/>
  <c r="J860" i="11"/>
  <c r="I860" i="11"/>
  <c r="O860" i="11"/>
  <c r="AF860" i="11"/>
  <c r="K860" i="11"/>
  <c r="H860" i="11"/>
  <c r="AB860" i="11" s="1"/>
  <c r="AC860" i="11" s="1"/>
  <c r="G860" i="11"/>
  <c r="Q860" i="11" s="1"/>
  <c r="M908" i="11"/>
  <c r="E908" i="11"/>
  <c r="AI908" i="11"/>
  <c r="K908" i="11"/>
  <c r="I908" i="11"/>
  <c r="AF908" i="11"/>
  <c r="H908" i="11"/>
  <c r="N908" i="11"/>
  <c r="L908" i="11"/>
  <c r="AB908" i="11" s="1"/>
  <c r="AC908" i="11" s="1"/>
  <c r="J908" i="11"/>
  <c r="G908" i="11"/>
  <c r="F908" i="11"/>
  <c r="O908" i="11"/>
  <c r="L853" i="11"/>
  <c r="K853" i="11"/>
  <c r="J853" i="11"/>
  <c r="AF853" i="11"/>
  <c r="H853" i="11"/>
  <c r="O853" i="11"/>
  <c r="G853" i="11"/>
  <c r="N853" i="11"/>
  <c r="M853" i="11"/>
  <c r="I853" i="11"/>
  <c r="F853" i="11"/>
  <c r="E853" i="11"/>
  <c r="AF799" i="11"/>
  <c r="P799" i="11"/>
  <c r="H799" i="11"/>
  <c r="O799" i="11"/>
  <c r="G799" i="11"/>
  <c r="N799" i="11"/>
  <c r="AI799" i="11"/>
  <c r="Y799" i="11"/>
  <c r="M799" i="11"/>
  <c r="K799" i="11"/>
  <c r="J799" i="11"/>
  <c r="E799" i="11"/>
  <c r="L799" i="11"/>
  <c r="AB799" i="11" s="1"/>
  <c r="AC799" i="11" s="1"/>
  <c r="I799" i="11"/>
  <c r="F799" i="11"/>
  <c r="AF819" i="11"/>
  <c r="H819" i="11"/>
  <c r="O819" i="11"/>
  <c r="G819" i="11"/>
  <c r="X819" i="11" s="1"/>
  <c r="AI819" i="11"/>
  <c r="K819" i="11"/>
  <c r="AC819" i="11"/>
  <c r="N819" i="11"/>
  <c r="M819" i="11"/>
  <c r="L819" i="11"/>
  <c r="AB819" i="11" s="1"/>
  <c r="J819" i="11"/>
  <c r="I819" i="11"/>
  <c r="E819" i="11"/>
  <c r="F819" i="11"/>
  <c r="Q819" i="11" s="1"/>
  <c r="L837" i="11"/>
  <c r="K837" i="11"/>
  <c r="O837" i="11"/>
  <c r="G837" i="11"/>
  <c r="AI837" i="11" s="1"/>
  <c r="J837" i="11"/>
  <c r="I837" i="11"/>
  <c r="H837" i="11"/>
  <c r="AF837" i="11"/>
  <c r="F837" i="11"/>
  <c r="E837" i="11"/>
  <c r="N837" i="11"/>
  <c r="M837" i="11"/>
  <c r="L805" i="11"/>
  <c r="AB805" i="11" s="1"/>
  <c r="AC805" i="11" s="1"/>
  <c r="K805" i="11"/>
  <c r="I805" i="11"/>
  <c r="H805" i="11"/>
  <c r="P805" i="11"/>
  <c r="F805" i="11"/>
  <c r="O805" i="11"/>
  <c r="E805" i="11"/>
  <c r="N805" i="11"/>
  <c r="M805" i="11"/>
  <c r="AF805" i="11"/>
  <c r="J805" i="11"/>
  <c r="G805" i="11"/>
  <c r="AI805" i="11" s="1"/>
  <c r="AF789" i="11"/>
  <c r="H789" i="11"/>
  <c r="O789" i="11"/>
  <c r="G789" i="11"/>
  <c r="M789" i="11"/>
  <c r="L789" i="11"/>
  <c r="N789" i="11"/>
  <c r="K789" i="11"/>
  <c r="J789" i="11"/>
  <c r="AB789" i="11" s="1"/>
  <c r="AC789" i="11" s="1"/>
  <c r="I789" i="11"/>
  <c r="F789" i="11"/>
  <c r="E789" i="11"/>
  <c r="Q789" i="11"/>
  <c r="AE761" i="11"/>
  <c r="W761" i="11"/>
  <c r="O761" i="11"/>
  <c r="G761" i="11"/>
  <c r="AD761" i="11"/>
  <c r="V761" i="11"/>
  <c r="N761" i="11"/>
  <c r="F761" i="11"/>
  <c r="AC761" i="11"/>
  <c r="U761" i="11"/>
  <c r="M761" i="11"/>
  <c r="E761" i="11"/>
  <c r="AB761" i="11"/>
  <c r="T761" i="11"/>
  <c r="L761" i="11"/>
  <c r="AI761" i="11"/>
  <c r="AA761" i="11"/>
  <c r="S761" i="11"/>
  <c r="K761" i="11"/>
  <c r="AH761" i="11"/>
  <c r="Z761" i="11"/>
  <c r="R761" i="11"/>
  <c r="J761" i="11"/>
  <c r="AG761" i="11"/>
  <c r="Y761" i="11"/>
  <c r="Q761" i="11"/>
  <c r="I761" i="11"/>
  <c r="H761" i="11"/>
  <c r="AF761" i="11"/>
  <c r="X761" i="11"/>
  <c r="P761" i="11"/>
  <c r="AE729" i="11"/>
  <c r="W729" i="11"/>
  <c r="O729" i="11"/>
  <c r="G729" i="11"/>
  <c r="AD729" i="11"/>
  <c r="V729" i="11"/>
  <c r="N729" i="11"/>
  <c r="F729" i="11"/>
  <c r="AC729" i="11"/>
  <c r="U729" i="11"/>
  <c r="M729" i="11"/>
  <c r="E729" i="11"/>
  <c r="AB729" i="11"/>
  <c r="T729" i="11"/>
  <c r="L729" i="11"/>
  <c r="AI729" i="11"/>
  <c r="AA729" i="11"/>
  <c r="S729" i="11"/>
  <c r="K729" i="11"/>
  <c r="AH729" i="11"/>
  <c r="Z729" i="11"/>
  <c r="R729" i="11"/>
  <c r="J729" i="11"/>
  <c r="AG729" i="11"/>
  <c r="Y729" i="11"/>
  <c r="Q729" i="11"/>
  <c r="I729" i="11"/>
  <c r="H729" i="11"/>
  <c r="AF729" i="11"/>
  <c r="X729" i="11"/>
  <c r="P729" i="11"/>
  <c r="J830" i="11"/>
  <c r="I830" i="11"/>
  <c r="M830" i="11"/>
  <c r="E830" i="11"/>
  <c r="N830" i="11"/>
  <c r="L830" i="11"/>
  <c r="K830" i="11"/>
  <c r="AI830" i="11"/>
  <c r="H830" i="11"/>
  <c r="AF830" i="11"/>
  <c r="G830" i="11"/>
  <c r="F830" i="11"/>
  <c r="O830" i="11"/>
  <c r="AC746" i="11"/>
  <c r="U746" i="11"/>
  <c r="M746" i="11"/>
  <c r="E746" i="11"/>
  <c r="AB746" i="11"/>
  <c r="T746" i="11"/>
  <c r="L746" i="11"/>
  <c r="AI746" i="11"/>
  <c r="AA746" i="11"/>
  <c r="S746" i="11"/>
  <c r="K746" i="11"/>
  <c r="AH746" i="11"/>
  <c r="Z746" i="11"/>
  <c r="R746" i="11"/>
  <c r="J746" i="11"/>
  <c r="AG746" i="11"/>
  <c r="Y746" i="11"/>
  <c r="Q746" i="11"/>
  <c r="I746" i="11"/>
  <c r="AF746" i="11"/>
  <c r="X746" i="11"/>
  <c r="P746" i="11"/>
  <c r="H746" i="11"/>
  <c r="AE746" i="11"/>
  <c r="W746" i="11"/>
  <c r="O746" i="11"/>
  <c r="G746" i="11"/>
  <c r="V746" i="11"/>
  <c r="N746" i="11"/>
  <c r="F746" i="11"/>
  <c r="AD746" i="11"/>
  <c r="AC714" i="11"/>
  <c r="U714" i="11"/>
  <c r="M714" i="11"/>
  <c r="E714" i="11"/>
  <c r="AB714" i="11"/>
  <c r="T714" i="11"/>
  <c r="L714" i="11"/>
  <c r="AI714" i="11"/>
  <c r="AA714" i="11"/>
  <c r="S714" i="11"/>
  <c r="K714" i="11"/>
  <c r="AH714" i="11"/>
  <c r="Z714" i="11"/>
  <c r="R714" i="11"/>
  <c r="J714" i="11"/>
  <c r="AG714" i="11"/>
  <c r="Y714" i="11"/>
  <c r="Q714" i="11"/>
  <c r="I714" i="11"/>
  <c r="AF714" i="11"/>
  <c r="X714" i="11"/>
  <c r="P714" i="11"/>
  <c r="H714" i="11"/>
  <c r="AE714" i="11"/>
  <c r="W714" i="11"/>
  <c r="O714" i="11"/>
  <c r="G714" i="11"/>
  <c r="V714" i="11"/>
  <c r="N714" i="11"/>
  <c r="F714" i="11"/>
  <c r="AD714" i="11"/>
  <c r="AE713" i="11"/>
  <c r="W713" i="11"/>
  <c r="O713" i="11"/>
  <c r="G713" i="11"/>
  <c r="AD713" i="11"/>
  <c r="V713" i="11"/>
  <c r="N713" i="11"/>
  <c r="F713" i="11"/>
  <c r="AC713" i="11"/>
  <c r="U713" i="11"/>
  <c r="M713" i="11"/>
  <c r="E713" i="11"/>
  <c r="AB713" i="11"/>
  <c r="T713" i="11"/>
  <c r="L713" i="11"/>
  <c r="AI713" i="11"/>
  <c r="AA713" i="11"/>
  <c r="S713" i="11"/>
  <c r="K713" i="11"/>
  <c r="AH713" i="11"/>
  <c r="Z713" i="11"/>
  <c r="R713" i="11"/>
  <c r="J713" i="11"/>
  <c r="X713" i="11"/>
  <c r="Q713" i="11"/>
  <c r="P713" i="11"/>
  <c r="I713" i="11"/>
  <c r="H713" i="11"/>
  <c r="AG713" i="11"/>
  <c r="AF713" i="11"/>
  <c r="Y713" i="11"/>
  <c r="AB570" i="11"/>
  <c r="T570" i="11"/>
  <c r="L570" i="11"/>
  <c r="AI570" i="11"/>
  <c r="AA570" i="11"/>
  <c r="S570" i="11"/>
  <c r="K570" i="11"/>
  <c r="AH570" i="11"/>
  <c r="Z570" i="11"/>
  <c r="R570" i="11"/>
  <c r="J570" i="11"/>
  <c r="AE570" i="11"/>
  <c r="W570" i="11"/>
  <c r="O570" i="11"/>
  <c r="G570" i="11"/>
  <c r="AD570" i="11"/>
  <c r="V570" i="11"/>
  <c r="N570" i="11"/>
  <c r="F570" i="11"/>
  <c r="Y570" i="11"/>
  <c r="E570" i="11"/>
  <c r="X570" i="11"/>
  <c r="U570" i="11"/>
  <c r="Q570" i="11"/>
  <c r="P570" i="11"/>
  <c r="AG570" i="11"/>
  <c r="AF570" i="11"/>
  <c r="AC570" i="11"/>
  <c r="M570" i="11"/>
  <c r="I570" i="11"/>
  <c r="H570" i="11"/>
  <c r="AG716" i="11"/>
  <c r="Y716" i="11"/>
  <c r="Q716" i="11"/>
  <c r="I716" i="11"/>
  <c r="AF716" i="11"/>
  <c r="X716" i="11"/>
  <c r="P716" i="11"/>
  <c r="H716" i="11"/>
  <c r="AE716" i="11"/>
  <c r="W716" i="11"/>
  <c r="O716" i="11"/>
  <c r="G716" i="11"/>
  <c r="AD716" i="11"/>
  <c r="V716" i="11"/>
  <c r="N716" i="11"/>
  <c r="F716" i="11"/>
  <c r="AC716" i="11"/>
  <c r="U716" i="11"/>
  <c r="M716" i="11"/>
  <c r="E716" i="11"/>
  <c r="AB716" i="11"/>
  <c r="T716" i="11"/>
  <c r="L716" i="11"/>
  <c r="AI716" i="11"/>
  <c r="AA716" i="11"/>
  <c r="S716" i="11"/>
  <c r="K716" i="11"/>
  <c r="AH716" i="11"/>
  <c r="Z716" i="11"/>
  <c r="R716" i="11"/>
  <c r="J716" i="11"/>
  <c r="AD673" i="11"/>
  <c r="V673" i="11"/>
  <c r="N673" i="11"/>
  <c r="F673" i="11"/>
  <c r="AC673" i="11"/>
  <c r="U673" i="11"/>
  <c r="M673" i="11"/>
  <c r="E673" i="11"/>
  <c r="AB673" i="11"/>
  <c r="T673" i="11"/>
  <c r="L673" i="11"/>
  <c r="AI673" i="11"/>
  <c r="AA673" i="11"/>
  <c r="S673" i="11"/>
  <c r="K673" i="11"/>
  <c r="AH673" i="11"/>
  <c r="Z673" i="11"/>
  <c r="R673" i="11"/>
  <c r="J673" i="11"/>
  <c r="AG673" i="11"/>
  <c r="Y673" i="11"/>
  <c r="Q673" i="11"/>
  <c r="I673" i="11"/>
  <c r="AF673" i="11"/>
  <c r="X673" i="11"/>
  <c r="P673" i="11"/>
  <c r="H673" i="11"/>
  <c r="W673" i="11"/>
  <c r="O673" i="11"/>
  <c r="G673" i="11"/>
  <c r="AE673" i="11"/>
  <c r="N641" i="11"/>
  <c r="F641" i="11"/>
  <c r="M641" i="11"/>
  <c r="E641" i="11"/>
  <c r="AB641" i="11"/>
  <c r="AC641" i="11" s="1"/>
  <c r="L641" i="11"/>
  <c r="K641" i="11"/>
  <c r="R641" i="11"/>
  <c r="J641" i="11"/>
  <c r="I641" i="11"/>
  <c r="AF641" i="11"/>
  <c r="X641" i="11"/>
  <c r="P641" i="11"/>
  <c r="H641" i="11"/>
  <c r="O641" i="11"/>
  <c r="G641" i="11"/>
  <c r="AI641" i="11" s="1"/>
  <c r="AH611" i="11"/>
  <c r="Z611" i="11"/>
  <c r="R611" i="11"/>
  <c r="J611" i="11"/>
  <c r="AG611" i="11"/>
  <c r="Y611" i="11"/>
  <c r="Q611" i="11"/>
  <c r="I611" i="11"/>
  <c r="AF611" i="11"/>
  <c r="X611" i="11"/>
  <c r="P611" i="11"/>
  <c r="H611" i="11"/>
  <c r="AE611" i="11"/>
  <c r="W611" i="11"/>
  <c r="O611" i="11"/>
  <c r="G611" i="11"/>
  <c r="AC611" i="11"/>
  <c r="U611" i="11"/>
  <c r="M611" i="11"/>
  <c r="E611" i="11"/>
  <c r="AB611" i="11"/>
  <c r="T611" i="11"/>
  <c r="L611" i="11"/>
  <c r="N611" i="11"/>
  <c r="K611" i="11"/>
  <c r="F611" i="11"/>
  <c r="AI611" i="11"/>
  <c r="AD611" i="11"/>
  <c r="AA611" i="11"/>
  <c r="V611" i="11"/>
  <c r="S611" i="11"/>
  <c r="AH579" i="11"/>
  <c r="Z579" i="11"/>
  <c r="R579" i="11"/>
  <c r="J579" i="11"/>
  <c r="AG579" i="11"/>
  <c r="Y579" i="11"/>
  <c r="Q579" i="11"/>
  <c r="I579" i="11"/>
  <c r="AF579" i="11"/>
  <c r="X579" i="11"/>
  <c r="P579" i="11"/>
  <c r="H579" i="11"/>
  <c r="AE579" i="11"/>
  <c r="W579" i="11"/>
  <c r="O579" i="11"/>
  <c r="G579" i="11"/>
  <c r="AC579" i="11"/>
  <c r="U579" i="11"/>
  <c r="M579" i="11"/>
  <c r="E579" i="11"/>
  <c r="AB579" i="11"/>
  <c r="T579" i="11"/>
  <c r="L579" i="11"/>
  <c r="N579" i="11"/>
  <c r="K579" i="11"/>
  <c r="F579" i="11"/>
  <c r="AI579" i="11"/>
  <c r="AD579" i="11"/>
  <c r="AA579" i="11"/>
  <c r="V579" i="11"/>
  <c r="S579" i="11"/>
  <c r="J780" i="11"/>
  <c r="I780" i="11"/>
  <c r="N780" i="11"/>
  <c r="F780" i="11"/>
  <c r="X780" i="11" s="1"/>
  <c r="AI780" i="11"/>
  <c r="H780" i="11"/>
  <c r="AF780" i="11"/>
  <c r="G780" i="11"/>
  <c r="E780" i="11"/>
  <c r="O780" i="11"/>
  <c r="M780" i="11"/>
  <c r="L780" i="11"/>
  <c r="K780" i="11"/>
  <c r="AB662" i="11"/>
  <c r="T662" i="11"/>
  <c r="L662" i="11"/>
  <c r="AI662" i="11"/>
  <c r="AA662" i="11"/>
  <c r="S662" i="11"/>
  <c r="K662" i="11"/>
  <c r="AH662" i="11"/>
  <c r="Z662" i="11"/>
  <c r="R662" i="11"/>
  <c r="J662" i="11"/>
  <c r="AG662" i="11"/>
  <c r="Y662" i="11"/>
  <c r="Q662" i="11"/>
  <c r="I662" i="11"/>
  <c r="AF662" i="11"/>
  <c r="X662" i="11"/>
  <c r="P662" i="11"/>
  <c r="H662" i="11"/>
  <c r="AE662" i="11"/>
  <c r="W662" i="11"/>
  <c r="O662" i="11"/>
  <c r="G662" i="11"/>
  <c r="AD662" i="11"/>
  <c r="V662" i="11"/>
  <c r="N662" i="11"/>
  <c r="F662" i="11"/>
  <c r="AC662" i="11"/>
  <c r="U662" i="11"/>
  <c r="M662" i="11"/>
  <c r="E662" i="11"/>
  <c r="AB598" i="11"/>
  <c r="T598" i="11"/>
  <c r="L598" i="11"/>
  <c r="AI598" i="11"/>
  <c r="AA598" i="11"/>
  <c r="S598" i="11"/>
  <c r="K598" i="11"/>
  <c r="AH598" i="11"/>
  <c r="Z598" i="11"/>
  <c r="R598" i="11"/>
  <c r="J598" i="11"/>
  <c r="AG598" i="11"/>
  <c r="Y598" i="11"/>
  <c r="Q598" i="11"/>
  <c r="I598" i="11"/>
  <c r="AE598" i="11"/>
  <c r="W598" i="11"/>
  <c r="O598" i="11"/>
  <c r="G598" i="11"/>
  <c r="AD598" i="11"/>
  <c r="V598" i="11"/>
  <c r="N598" i="11"/>
  <c r="F598" i="11"/>
  <c r="U598" i="11"/>
  <c r="P598" i="11"/>
  <c r="M598" i="11"/>
  <c r="H598" i="11"/>
  <c r="E598" i="11"/>
  <c r="AF598" i="11"/>
  <c r="X598" i="11"/>
  <c r="AC598" i="11"/>
  <c r="AD577" i="11"/>
  <c r="V577" i="11"/>
  <c r="N577" i="11"/>
  <c r="F577" i="11"/>
  <c r="AC577" i="11"/>
  <c r="U577" i="11"/>
  <c r="M577" i="11"/>
  <c r="E577" i="11"/>
  <c r="AB577" i="11"/>
  <c r="T577" i="11"/>
  <c r="L577" i="11"/>
  <c r="AI577" i="11"/>
  <c r="AA577" i="11"/>
  <c r="S577" i="11"/>
  <c r="K577" i="11"/>
  <c r="AG577" i="11"/>
  <c r="Y577" i="11"/>
  <c r="Q577" i="11"/>
  <c r="I577" i="11"/>
  <c r="AF577" i="11"/>
  <c r="X577" i="11"/>
  <c r="P577" i="11"/>
  <c r="H577" i="11"/>
  <c r="AE577" i="11"/>
  <c r="Z577" i="11"/>
  <c r="W577" i="11"/>
  <c r="R577" i="11"/>
  <c r="O577" i="11"/>
  <c r="G577" i="11"/>
  <c r="J577" i="11"/>
  <c r="AH577" i="11"/>
  <c r="AB698" i="11"/>
  <c r="T698" i="11"/>
  <c r="L698" i="11"/>
  <c r="AI698" i="11"/>
  <c r="AA698" i="11"/>
  <c r="S698" i="11"/>
  <c r="K698" i="11"/>
  <c r="AH698" i="11"/>
  <c r="Z698" i="11"/>
  <c r="R698" i="11"/>
  <c r="J698" i="11"/>
  <c r="AG698" i="11"/>
  <c r="Y698" i="11"/>
  <c r="Q698" i="11"/>
  <c r="I698" i="11"/>
  <c r="AF698" i="11"/>
  <c r="X698" i="11"/>
  <c r="P698" i="11"/>
  <c r="H698" i="11"/>
  <c r="AE698" i="11"/>
  <c r="W698" i="11"/>
  <c r="O698" i="11"/>
  <c r="G698" i="11"/>
  <c r="AD698" i="11"/>
  <c r="V698" i="11"/>
  <c r="N698" i="11"/>
  <c r="F698" i="11"/>
  <c r="AC698" i="11"/>
  <c r="U698" i="11"/>
  <c r="M698" i="11"/>
  <c r="E698" i="11"/>
  <c r="AB634" i="11"/>
  <c r="AC634" i="11" s="1"/>
  <c r="L634" i="11"/>
  <c r="AI634" i="11"/>
  <c r="K634" i="11"/>
  <c r="J634" i="11"/>
  <c r="Q634" i="11"/>
  <c r="I634" i="11"/>
  <c r="AF634" i="11"/>
  <c r="P634" i="11"/>
  <c r="R634" i="11" s="1"/>
  <c r="H634" i="11"/>
  <c r="O634" i="11"/>
  <c r="G634" i="11"/>
  <c r="N634" i="11"/>
  <c r="F634" i="11"/>
  <c r="M634" i="11"/>
  <c r="S634" i="11" s="1"/>
  <c r="Y634" i="11" s="1"/>
  <c r="E634" i="11"/>
  <c r="AD509" i="11"/>
  <c r="V509" i="11"/>
  <c r="N509" i="11"/>
  <c r="F509" i="11"/>
  <c r="AC509" i="11"/>
  <c r="U509" i="11"/>
  <c r="M509" i="11"/>
  <c r="E509" i="11"/>
  <c r="AB509" i="11"/>
  <c r="T509" i="11"/>
  <c r="L509" i="11"/>
  <c r="AH509" i="11"/>
  <c r="Z509" i="11"/>
  <c r="R509" i="11"/>
  <c r="J509" i="11"/>
  <c r="X509" i="11"/>
  <c r="H509" i="11"/>
  <c r="W509" i="11"/>
  <c r="G509" i="11"/>
  <c r="AI509" i="11"/>
  <c r="S509" i="11"/>
  <c r="AG509" i="11"/>
  <c r="Q509" i="11"/>
  <c r="AF509" i="11"/>
  <c r="P509" i="11"/>
  <c r="AA509" i="11"/>
  <c r="Y509" i="11"/>
  <c r="O509" i="11"/>
  <c r="K509" i="11"/>
  <c r="I509" i="11"/>
  <c r="AE509" i="11"/>
  <c r="AD477" i="11"/>
  <c r="V477" i="11"/>
  <c r="N477" i="11"/>
  <c r="F477" i="11"/>
  <c r="AC477" i="11"/>
  <c r="U477" i="11"/>
  <c r="M477" i="11"/>
  <c r="E477" i="11"/>
  <c r="AB477" i="11"/>
  <c r="T477" i="11"/>
  <c r="L477" i="11"/>
  <c r="AH477" i="11"/>
  <c r="Z477" i="11"/>
  <c r="R477" i="11"/>
  <c r="J477" i="11"/>
  <c r="X477" i="11"/>
  <c r="H477" i="11"/>
  <c r="W477" i="11"/>
  <c r="G477" i="11"/>
  <c r="AI477" i="11"/>
  <c r="S477" i="11"/>
  <c r="AG477" i="11"/>
  <c r="Q477" i="11"/>
  <c r="AF477" i="11"/>
  <c r="P477" i="11"/>
  <c r="AA477" i="11"/>
  <c r="Y477" i="11"/>
  <c r="O477" i="11"/>
  <c r="K477" i="11"/>
  <c r="I477" i="11"/>
  <c r="AE477" i="11"/>
  <c r="AB670" i="11"/>
  <c r="T670" i="11"/>
  <c r="L670" i="11"/>
  <c r="AI670" i="11"/>
  <c r="AA670" i="11"/>
  <c r="S670" i="11"/>
  <c r="K670" i="11"/>
  <c r="AH670" i="11"/>
  <c r="Z670" i="11"/>
  <c r="R670" i="11"/>
  <c r="J670" i="11"/>
  <c r="AG670" i="11"/>
  <c r="Y670" i="11"/>
  <c r="Q670" i="11"/>
  <c r="I670" i="11"/>
  <c r="AF670" i="11"/>
  <c r="X670" i="11"/>
  <c r="P670" i="11"/>
  <c r="H670" i="11"/>
  <c r="AE670" i="11"/>
  <c r="W670" i="11"/>
  <c r="O670" i="11"/>
  <c r="G670" i="11"/>
  <c r="AD670" i="11"/>
  <c r="V670" i="11"/>
  <c r="N670" i="11"/>
  <c r="F670" i="11"/>
  <c r="AC670" i="11"/>
  <c r="U670" i="11"/>
  <c r="M670" i="11"/>
  <c r="E670" i="11"/>
  <c r="AB602" i="11"/>
  <c r="T602" i="11"/>
  <c r="L602" i="11"/>
  <c r="AI602" i="11"/>
  <c r="AA602" i="11"/>
  <c r="S602" i="11"/>
  <c r="K602" i="11"/>
  <c r="AH602" i="11"/>
  <c r="Z602" i="11"/>
  <c r="R602" i="11"/>
  <c r="J602" i="11"/>
  <c r="AG602" i="11"/>
  <c r="Y602" i="11"/>
  <c r="Q602" i="11"/>
  <c r="I602" i="11"/>
  <c r="AE602" i="11"/>
  <c r="W602" i="11"/>
  <c r="O602" i="11"/>
  <c r="G602" i="11"/>
  <c r="AD602" i="11"/>
  <c r="V602" i="11"/>
  <c r="N602" i="11"/>
  <c r="F602" i="11"/>
  <c r="U602" i="11"/>
  <c r="P602" i="11"/>
  <c r="M602" i="11"/>
  <c r="H602" i="11"/>
  <c r="E602" i="11"/>
  <c r="AF602" i="11"/>
  <c r="AC602" i="11"/>
  <c r="X602" i="11"/>
  <c r="AF520" i="11"/>
  <c r="X520" i="11"/>
  <c r="P520" i="11"/>
  <c r="H520" i="11"/>
  <c r="AE520" i="11"/>
  <c r="W520" i="11"/>
  <c r="O520" i="11"/>
  <c r="G520" i="11"/>
  <c r="AD520" i="11"/>
  <c r="V520" i="11"/>
  <c r="N520" i="11"/>
  <c r="F520" i="11"/>
  <c r="AB520" i="11"/>
  <c r="T520" i="11"/>
  <c r="L520" i="11"/>
  <c r="AA520" i="11"/>
  <c r="K520" i="11"/>
  <c r="Z520" i="11"/>
  <c r="J520" i="11"/>
  <c r="Y520" i="11"/>
  <c r="I520" i="11"/>
  <c r="U520" i="11"/>
  <c r="E520" i="11"/>
  <c r="AI520" i="11"/>
  <c r="S520" i="11"/>
  <c r="AG520" i="11"/>
  <c r="AC520" i="11"/>
  <c r="R520" i="11"/>
  <c r="Q520" i="11"/>
  <c r="M520" i="11"/>
  <c r="AH520" i="11"/>
  <c r="AF488" i="11"/>
  <c r="X488" i="11"/>
  <c r="P488" i="11"/>
  <c r="H488" i="11"/>
  <c r="AE488" i="11"/>
  <c r="W488" i="11"/>
  <c r="O488" i="11"/>
  <c r="G488" i="11"/>
  <c r="AD488" i="11"/>
  <c r="V488" i="11"/>
  <c r="N488" i="11"/>
  <c r="F488" i="11"/>
  <c r="AB488" i="11"/>
  <c r="T488" i="11"/>
  <c r="L488" i="11"/>
  <c r="AA488" i="11"/>
  <c r="K488" i="11"/>
  <c r="Z488" i="11"/>
  <c r="J488" i="11"/>
  <c r="Y488" i="11"/>
  <c r="I488" i="11"/>
  <c r="U488" i="11"/>
  <c r="E488" i="11"/>
  <c r="AI488" i="11"/>
  <c r="S488" i="11"/>
  <c r="AG488" i="11"/>
  <c r="AC488" i="11"/>
  <c r="R488" i="11"/>
  <c r="Q488" i="11"/>
  <c r="M488" i="11"/>
  <c r="AH488" i="11"/>
  <c r="AE456" i="11"/>
  <c r="W456" i="11"/>
  <c r="O456" i="11"/>
  <c r="G456" i="11"/>
  <c r="AD456" i="11"/>
  <c r="V456" i="11"/>
  <c r="N456" i="11"/>
  <c r="F456" i="11"/>
  <c r="AB456" i="11"/>
  <c r="T456" i="11"/>
  <c r="L456" i="11"/>
  <c r="AI456" i="11"/>
  <c r="X456" i="11"/>
  <c r="J456" i="11"/>
  <c r="AH456" i="11"/>
  <c r="U456" i="11"/>
  <c r="I456" i="11"/>
  <c r="AG456" i="11"/>
  <c r="S456" i="11"/>
  <c r="H456" i="11"/>
  <c r="AF456" i="11"/>
  <c r="R456" i="11"/>
  <c r="E456" i="11"/>
  <c r="AC456" i="11"/>
  <c r="Q456" i="11"/>
  <c r="AA456" i="11"/>
  <c r="Z456" i="11"/>
  <c r="Y456" i="11"/>
  <c r="P456" i="11"/>
  <c r="M456" i="11"/>
  <c r="K456" i="11"/>
  <c r="O424" i="11"/>
  <c r="G424" i="11"/>
  <c r="S424" i="11" s="1"/>
  <c r="Y424" i="11" s="1"/>
  <c r="N424" i="11"/>
  <c r="F424" i="11"/>
  <c r="AB424" i="11"/>
  <c r="AC424" i="11" s="1"/>
  <c r="L424" i="11"/>
  <c r="AI424" i="11"/>
  <c r="J424" i="11"/>
  <c r="I424" i="11"/>
  <c r="H424" i="11"/>
  <c r="AF424" i="11"/>
  <c r="E424" i="11"/>
  <c r="Q424" i="11"/>
  <c r="M424" i="11"/>
  <c r="K424" i="11"/>
  <c r="AG455" i="11"/>
  <c r="Y455" i="11"/>
  <c r="Q455" i="11"/>
  <c r="I455" i="11"/>
  <c r="AF455" i="11"/>
  <c r="X455" i="11"/>
  <c r="P455" i="11"/>
  <c r="H455" i="11"/>
  <c r="AD455" i="11"/>
  <c r="V455" i="11"/>
  <c r="N455" i="11"/>
  <c r="F455" i="11"/>
  <c r="AE455" i="11"/>
  <c r="S455" i="11"/>
  <c r="E455" i="11"/>
  <c r="AC455" i="11"/>
  <c r="R455" i="11"/>
  <c r="AB455" i="11"/>
  <c r="O455" i="11"/>
  <c r="AA455" i="11"/>
  <c r="M455" i="11"/>
  <c r="Z455" i="11"/>
  <c r="L455" i="11"/>
  <c r="AI455" i="11"/>
  <c r="AH455" i="11"/>
  <c r="W455" i="11"/>
  <c r="U455" i="11"/>
  <c r="T455" i="11"/>
  <c r="K455" i="11"/>
  <c r="J455" i="11"/>
  <c r="G455" i="11"/>
  <c r="AH663" i="11"/>
  <c r="Z663" i="11"/>
  <c r="R663" i="11"/>
  <c r="J663" i="11"/>
  <c r="AG663" i="11"/>
  <c r="Y663" i="11"/>
  <c r="Q663" i="11"/>
  <c r="I663" i="11"/>
  <c r="AF663" i="11"/>
  <c r="X663" i="11"/>
  <c r="P663" i="11"/>
  <c r="H663" i="11"/>
  <c r="AE663" i="11"/>
  <c r="W663" i="11"/>
  <c r="O663" i="11"/>
  <c r="G663" i="11"/>
  <c r="AD663" i="11"/>
  <c r="V663" i="11"/>
  <c r="N663" i="11"/>
  <c r="F663" i="11"/>
  <c r="AC663" i="11"/>
  <c r="U663" i="11"/>
  <c r="M663" i="11"/>
  <c r="E663" i="11"/>
  <c r="AB663" i="11"/>
  <c r="T663" i="11"/>
  <c r="L663" i="11"/>
  <c r="AI663" i="11"/>
  <c r="AA663" i="11"/>
  <c r="S663" i="11"/>
  <c r="K663" i="11"/>
  <c r="I427" i="11"/>
  <c r="AF427" i="11"/>
  <c r="H427" i="11"/>
  <c r="N427" i="11"/>
  <c r="F427" i="11"/>
  <c r="E427" i="11"/>
  <c r="O427" i="11"/>
  <c r="M427" i="11"/>
  <c r="L427" i="11"/>
  <c r="J427" i="11"/>
  <c r="G427" i="11"/>
  <c r="K427" i="11"/>
  <c r="M371" i="11"/>
  <c r="E371" i="11"/>
  <c r="L371" i="11"/>
  <c r="R371" i="11"/>
  <c r="X371" i="11" s="1"/>
  <c r="J371" i="11"/>
  <c r="Q371" i="11"/>
  <c r="I371" i="11"/>
  <c r="G371" i="11"/>
  <c r="AI371" i="11" s="1"/>
  <c r="F371" i="11"/>
  <c r="S371" i="11"/>
  <c r="Y371" i="11" s="1"/>
  <c r="AF371" i="11"/>
  <c r="P371" i="11"/>
  <c r="O371" i="11"/>
  <c r="N371" i="11"/>
  <c r="K371" i="11"/>
  <c r="H371" i="11"/>
  <c r="AB371" i="11" s="1"/>
  <c r="AC371" i="11" s="1"/>
  <c r="M339" i="11"/>
  <c r="E339" i="11"/>
  <c r="L339" i="11"/>
  <c r="AB339" i="11" s="1"/>
  <c r="AC339" i="11" s="1"/>
  <c r="J339" i="11"/>
  <c r="Q339" i="11"/>
  <c r="I339" i="11"/>
  <c r="G339" i="11"/>
  <c r="F339" i="11"/>
  <c r="AF339" i="11"/>
  <c r="P339" i="11"/>
  <c r="O339" i="11"/>
  <c r="N339" i="11"/>
  <c r="K339" i="11"/>
  <c r="H339" i="11"/>
  <c r="AC469" i="11"/>
  <c r="U469" i="11"/>
  <c r="M469" i="11"/>
  <c r="E469" i="11"/>
  <c r="AB469" i="11"/>
  <c r="T469" i="11"/>
  <c r="L469" i="11"/>
  <c r="AH469" i="11"/>
  <c r="Z469" i="11"/>
  <c r="R469" i="11"/>
  <c r="J469" i="11"/>
  <c r="Y469" i="11"/>
  <c r="N469" i="11"/>
  <c r="X469" i="11"/>
  <c r="K469" i="11"/>
  <c r="AI469" i="11"/>
  <c r="W469" i="11"/>
  <c r="I469" i="11"/>
  <c r="AG469" i="11"/>
  <c r="V469" i="11"/>
  <c r="H469" i="11"/>
  <c r="AF469" i="11"/>
  <c r="S469" i="11"/>
  <c r="G469" i="11"/>
  <c r="Q469" i="11"/>
  <c r="P469" i="11"/>
  <c r="O469" i="11"/>
  <c r="F469" i="11"/>
  <c r="AE469" i="11"/>
  <c r="AD469" i="11"/>
  <c r="AA469" i="11"/>
  <c r="O410" i="11"/>
  <c r="G410" i="11"/>
  <c r="N410" i="11"/>
  <c r="F410" i="11"/>
  <c r="P410" i="11" s="1"/>
  <c r="AC410" i="11"/>
  <c r="M410" i="11"/>
  <c r="E410" i="11"/>
  <c r="L410" i="11"/>
  <c r="AI410" i="11"/>
  <c r="K410" i="11"/>
  <c r="J410" i="11"/>
  <c r="AF410" i="11"/>
  <c r="I410" i="11"/>
  <c r="AB410" i="11" s="1"/>
  <c r="H410" i="11"/>
  <c r="O378" i="11"/>
  <c r="G378" i="11"/>
  <c r="Q378" i="11" s="1"/>
  <c r="S378" i="11" s="1"/>
  <c r="N378" i="11"/>
  <c r="F378" i="11"/>
  <c r="L378" i="11"/>
  <c r="AI378" i="11"/>
  <c r="K378" i="11"/>
  <c r="J378" i="11"/>
  <c r="AB378" i="11" s="1"/>
  <c r="AC378" i="11" s="1"/>
  <c r="Y378" i="11"/>
  <c r="I378" i="11"/>
  <c r="H378" i="11"/>
  <c r="E378" i="11"/>
  <c r="R378" i="11"/>
  <c r="X378" i="11" s="1"/>
  <c r="AF378" i="11"/>
  <c r="P378" i="11"/>
  <c r="M378" i="11"/>
  <c r="O346" i="11"/>
  <c r="G346" i="11"/>
  <c r="N346" i="11"/>
  <c r="F346" i="11"/>
  <c r="L346" i="11"/>
  <c r="AI346" i="11"/>
  <c r="K346" i="11"/>
  <c r="J346" i="11"/>
  <c r="I346" i="11"/>
  <c r="H346" i="11"/>
  <c r="E346" i="11"/>
  <c r="Q346" i="11"/>
  <c r="AF346" i="11"/>
  <c r="M346" i="11"/>
  <c r="AG451" i="11"/>
  <c r="Y451" i="11"/>
  <c r="Q451" i="11"/>
  <c r="I451" i="11"/>
  <c r="AF451" i="11"/>
  <c r="X451" i="11"/>
  <c r="P451" i="11"/>
  <c r="H451" i="11"/>
  <c r="AD451" i="11"/>
  <c r="V451" i="11"/>
  <c r="N451" i="11"/>
  <c r="F451" i="11"/>
  <c r="AE451" i="11"/>
  <c r="S451" i="11"/>
  <c r="E451" i="11"/>
  <c r="AC451" i="11"/>
  <c r="R451" i="11"/>
  <c r="AB451" i="11"/>
  <c r="O451" i="11"/>
  <c r="AA451" i="11"/>
  <c r="M451" i="11"/>
  <c r="Z451" i="11"/>
  <c r="L451" i="11"/>
  <c r="W451" i="11"/>
  <c r="U451" i="11"/>
  <c r="T451" i="11"/>
  <c r="K451" i="11"/>
  <c r="J451" i="11"/>
  <c r="G451" i="11"/>
  <c r="AI451" i="11"/>
  <c r="AH451" i="11"/>
  <c r="AE317" i="11"/>
  <c r="W317" i="11"/>
  <c r="O317" i="11"/>
  <c r="G317" i="11"/>
  <c r="AD317" i="11"/>
  <c r="V317" i="11"/>
  <c r="N317" i="11"/>
  <c r="F317" i="11"/>
  <c r="AC317" i="11"/>
  <c r="U317" i="11"/>
  <c r="M317" i="11"/>
  <c r="E317" i="11"/>
  <c r="AB317" i="11"/>
  <c r="T317" i="11"/>
  <c r="L317" i="11"/>
  <c r="AH317" i="11"/>
  <c r="Z317" i="11"/>
  <c r="R317" i="11"/>
  <c r="J317" i="11"/>
  <c r="Y317" i="11"/>
  <c r="X317" i="11"/>
  <c r="S317" i="11"/>
  <c r="Q317" i="11"/>
  <c r="AI317" i="11"/>
  <c r="P317" i="11"/>
  <c r="AG317" i="11"/>
  <c r="K317" i="11"/>
  <c r="AF317" i="11"/>
  <c r="AA317" i="11"/>
  <c r="I317" i="11"/>
  <c r="H317" i="11"/>
  <c r="M286" i="11"/>
  <c r="E286" i="11"/>
  <c r="AB286" i="11"/>
  <c r="AC286" i="11" s="1"/>
  <c r="L286" i="11"/>
  <c r="J286" i="11"/>
  <c r="AF286" i="11"/>
  <c r="H286" i="11"/>
  <c r="O286" i="11"/>
  <c r="N286" i="11"/>
  <c r="K286" i="11"/>
  <c r="I286" i="11"/>
  <c r="G286" i="11"/>
  <c r="F286" i="11"/>
  <c r="AC254" i="11"/>
  <c r="U254" i="11"/>
  <c r="M254" i="11"/>
  <c r="E254" i="11"/>
  <c r="AB254" i="11"/>
  <c r="T254" i="11"/>
  <c r="L254" i="11"/>
  <c r="AH254" i="11"/>
  <c r="Z254" i="11"/>
  <c r="R254" i="11"/>
  <c r="J254" i="11"/>
  <c r="AF254" i="11"/>
  <c r="X254" i="11"/>
  <c r="P254" i="11"/>
  <c r="H254" i="11"/>
  <c r="AI254" i="11"/>
  <c r="S254" i="11"/>
  <c r="AG254" i="11"/>
  <c r="Q254" i="11"/>
  <c r="AE254" i="11"/>
  <c r="O254" i="11"/>
  <c r="AD254" i="11"/>
  <c r="N254" i="11"/>
  <c r="AA254" i="11"/>
  <c r="K254" i="11"/>
  <c r="Y254" i="11"/>
  <c r="I254" i="11"/>
  <c r="W254" i="11"/>
  <c r="V254" i="11"/>
  <c r="G254" i="11"/>
  <c r="F254" i="11"/>
  <c r="AH519" i="11"/>
  <c r="Z519" i="11"/>
  <c r="R519" i="11"/>
  <c r="J519" i="11"/>
  <c r="AG519" i="11"/>
  <c r="Y519" i="11"/>
  <c r="Q519" i="11"/>
  <c r="I519" i="11"/>
  <c r="AF519" i="11"/>
  <c r="X519" i="11"/>
  <c r="P519" i="11"/>
  <c r="H519" i="11"/>
  <c r="AD519" i="11"/>
  <c r="V519" i="11"/>
  <c r="N519" i="11"/>
  <c r="F519" i="11"/>
  <c r="AC519" i="11"/>
  <c r="M519" i="11"/>
  <c r="AB519" i="11"/>
  <c r="L519" i="11"/>
  <c r="AA519" i="11"/>
  <c r="K519" i="11"/>
  <c r="W519" i="11"/>
  <c r="G519" i="11"/>
  <c r="U519" i="11"/>
  <c r="E519" i="11"/>
  <c r="AE519" i="11"/>
  <c r="T519" i="11"/>
  <c r="S519" i="11"/>
  <c r="O519" i="11"/>
  <c r="AI519" i="11"/>
  <c r="I401" i="11"/>
  <c r="AF401" i="11"/>
  <c r="H401" i="11"/>
  <c r="AB401" i="11" s="1"/>
  <c r="AC401" i="11" s="1"/>
  <c r="O401" i="11"/>
  <c r="G401" i="11"/>
  <c r="N401" i="11"/>
  <c r="F401" i="11"/>
  <c r="Q401" i="11" s="1"/>
  <c r="M401" i="11"/>
  <c r="S401" i="11" s="1"/>
  <c r="Y401" i="11" s="1"/>
  <c r="E401" i="11"/>
  <c r="J401" i="11"/>
  <c r="L401" i="11"/>
  <c r="K401" i="11"/>
  <c r="AE309" i="11"/>
  <c r="W309" i="11"/>
  <c r="O309" i="11"/>
  <c r="G309" i="11"/>
  <c r="AD309" i="11"/>
  <c r="V309" i="11"/>
  <c r="N309" i="11"/>
  <c r="F309" i="11"/>
  <c r="AB309" i="11"/>
  <c r="T309" i="11"/>
  <c r="L309" i="11"/>
  <c r="AH309" i="11"/>
  <c r="Z309" i="11"/>
  <c r="R309" i="11"/>
  <c r="J309" i="11"/>
  <c r="X309" i="11"/>
  <c r="H309" i="11"/>
  <c r="U309" i="11"/>
  <c r="E309" i="11"/>
  <c r="AI309" i="11"/>
  <c r="S309" i="11"/>
  <c r="AG309" i="11"/>
  <c r="Q309" i="11"/>
  <c r="AF309" i="11"/>
  <c r="P309" i="11"/>
  <c r="AC309" i="11"/>
  <c r="M309" i="11"/>
  <c r="K309" i="11"/>
  <c r="I309" i="11"/>
  <c r="AA309" i="11"/>
  <c r="Y309" i="11"/>
  <c r="O277" i="11"/>
  <c r="G277" i="11"/>
  <c r="N277" i="11"/>
  <c r="F277" i="11"/>
  <c r="L277" i="11"/>
  <c r="J277" i="11"/>
  <c r="H277" i="11"/>
  <c r="E277" i="11"/>
  <c r="Q277" i="11" s="1"/>
  <c r="AI277" i="11"/>
  <c r="AF277" i="11"/>
  <c r="M277" i="11"/>
  <c r="K277" i="11"/>
  <c r="I277" i="11"/>
  <c r="AC238" i="11"/>
  <c r="U238" i="11"/>
  <c r="M238" i="11"/>
  <c r="E238" i="11"/>
  <c r="AB238" i="11"/>
  <c r="T238" i="11"/>
  <c r="L238" i="11"/>
  <c r="AA238" i="11"/>
  <c r="Q238" i="11"/>
  <c r="G238" i="11"/>
  <c r="Z238" i="11"/>
  <c r="P238" i="11"/>
  <c r="F238" i="11"/>
  <c r="AI238" i="11"/>
  <c r="Y238" i="11"/>
  <c r="O238" i="11"/>
  <c r="AH238" i="11"/>
  <c r="X238" i="11"/>
  <c r="N238" i="11"/>
  <c r="AG238" i="11"/>
  <c r="W238" i="11"/>
  <c r="K238" i="11"/>
  <c r="AF238" i="11"/>
  <c r="V238" i="11"/>
  <c r="J238" i="11"/>
  <c r="AD238" i="11"/>
  <c r="S238" i="11"/>
  <c r="R238" i="11"/>
  <c r="I238" i="11"/>
  <c r="H238" i="11"/>
  <c r="AE238" i="11"/>
  <c r="AF540" i="11"/>
  <c r="X540" i="11"/>
  <c r="P540" i="11"/>
  <c r="H540" i="11"/>
  <c r="AE540" i="11"/>
  <c r="W540" i="11"/>
  <c r="O540" i="11"/>
  <c r="G540" i="11"/>
  <c r="AD540" i="11"/>
  <c r="V540" i="11"/>
  <c r="N540" i="11"/>
  <c r="F540" i="11"/>
  <c r="AC540" i="11"/>
  <c r="U540" i="11"/>
  <c r="M540" i="11"/>
  <c r="E540" i="11"/>
  <c r="AB540" i="11"/>
  <c r="T540" i="11"/>
  <c r="L540" i="11"/>
  <c r="Y540" i="11"/>
  <c r="S540" i="11"/>
  <c r="R540" i="11"/>
  <c r="AI540" i="11"/>
  <c r="Q540" i="11"/>
  <c r="AH540" i="11"/>
  <c r="K540" i="11"/>
  <c r="AG540" i="11"/>
  <c r="AA540" i="11"/>
  <c r="Z540" i="11"/>
  <c r="J540" i="11"/>
  <c r="I540" i="11"/>
  <c r="AG296" i="11"/>
  <c r="Y296" i="11"/>
  <c r="Q296" i="11"/>
  <c r="I296" i="11"/>
  <c r="AF296" i="11"/>
  <c r="X296" i="11"/>
  <c r="P296" i="11"/>
  <c r="H296" i="11"/>
  <c r="AD296" i="11"/>
  <c r="V296" i="11"/>
  <c r="N296" i="11"/>
  <c r="F296" i="11"/>
  <c r="AB296" i="11"/>
  <c r="T296" i="11"/>
  <c r="L296" i="11"/>
  <c r="AA296" i="11"/>
  <c r="K296" i="11"/>
  <c r="Z296" i="11"/>
  <c r="J296" i="11"/>
  <c r="W296" i="11"/>
  <c r="G296" i="11"/>
  <c r="U296" i="11"/>
  <c r="E296" i="11"/>
  <c r="AI296" i="11"/>
  <c r="S296" i="11"/>
  <c r="AH296" i="11"/>
  <c r="R296" i="11"/>
  <c r="AE296" i="11"/>
  <c r="AC296" i="11"/>
  <c r="O296" i="11"/>
  <c r="M296" i="11"/>
  <c r="I264" i="11"/>
  <c r="AF264" i="11"/>
  <c r="H264" i="11"/>
  <c r="N264" i="11"/>
  <c r="F264" i="11"/>
  <c r="L264" i="11"/>
  <c r="K264" i="11"/>
  <c r="J264" i="11"/>
  <c r="G264" i="11"/>
  <c r="E264" i="11"/>
  <c r="Q264" i="11" s="1"/>
  <c r="AI264" i="11"/>
  <c r="O264" i="11"/>
  <c r="M264" i="11"/>
  <c r="AH515" i="11"/>
  <c r="Z515" i="11"/>
  <c r="R515" i="11"/>
  <c r="J515" i="11"/>
  <c r="AG515" i="11"/>
  <c r="Y515" i="11"/>
  <c r="Q515" i="11"/>
  <c r="I515" i="11"/>
  <c r="AF515" i="11"/>
  <c r="X515" i="11"/>
  <c r="P515" i="11"/>
  <c r="H515" i="11"/>
  <c r="AD515" i="11"/>
  <c r="V515" i="11"/>
  <c r="N515" i="11"/>
  <c r="F515" i="11"/>
  <c r="AC515" i="11"/>
  <c r="M515" i="11"/>
  <c r="AB515" i="11"/>
  <c r="L515" i="11"/>
  <c r="AA515" i="11"/>
  <c r="K515" i="11"/>
  <c r="W515" i="11"/>
  <c r="G515" i="11"/>
  <c r="U515" i="11"/>
  <c r="E515" i="11"/>
  <c r="AE515" i="11"/>
  <c r="T515" i="11"/>
  <c r="S515" i="11"/>
  <c r="O515" i="11"/>
  <c r="AI515" i="11"/>
  <c r="I393" i="11"/>
  <c r="AF393" i="11"/>
  <c r="H393" i="11"/>
  <c r="N393" i="11"/>
  <c r="F393" i="11"/>
  <c r="M393" i="11"/>
  <c r="E393" i="11"/>
  <c r="Q393" i="11" s="1"/>
  <c r="O393" i="11"/>
  <c r="L393" i="11"/>
  <c r="K393" i="11"/>
  <c r="J393" i="11"/>
  <c r="G393" i="11"/>
  <c r="I361" i="11"/>
  <c r="AF361" i="11"/>
  <c r="H361" i="11"/>
  <c r="N361" i="11"/>
  <c r="F361" i="11"/>
  <c r="M361" i="11"/>
  <c r="E361" i="11"/>
  <c r="O361" i="11"/>
  <c r="L361" i="11"/>
  <c r="AB361" i="11" s="1"/>
  <c r="AC361" i="11" s="1"/>
  <c r="K361" i="11"/>
  <c r="J361" i="11"/>
  <c r="G361" i="11"/>
  <c r="Q158" i="11"/>
  <c r="I158" i="11"/>
  <c r="AF158" i="11"/>
  <c r="H158" i="11"/>
  <c r="N158" i="11"/>
  <c r="F158" i="11"/>
  <c r="M158" i="11"/>
  <c r="E158" i="11"/>
  <c r="L158" i="11"/>
  <c r="AB158" i="11" s="1"/>
  <c r="AC158" i="11" s="1"/>
  <c r="O158" i="11"/>
  <c r="K158" i="11"/>
  <c r="J158" i="11"/>
  <c r="G158" i="11"/>
  <c r="I126" i="11"/>
  <c r="AF126" i="11"/>
  <c r="H126" i="11"/>
  <c r="N126" i="11"/>
  <c r="F126" i="11"/>
  <c r="Q126" i="11" s="1"/>
  <c r="S126" i="11" s="1"/>
  <c r="M126" i="11"/>
  <c r="E126" i="11"/>
  <c r="L126" i="11"/>
  <c r="AI126" i="11"/>
  <c r="O126" i="11"/>
  <c r="K126" i="11"/>
  <c r="J126" i="11"/>
  <c r="G126" i="11"/>
  <c r="P126" i="11" s="1"/>
  <c r="O187" i="11"/>
  <c r="G187" i="11"/>
  <c r="N187" i="11"/>
  <c r="F187" i="11"/>
  <c r="M187" i="11"/>
  <c r="E187" i="11"/>
  <c r="AB187" i="11"/>
  <c r="AC187" i="11" s="1"/>
  <c r="L187" i="11"/>
  <c r="K187" i="11"/>
  <c r="J187" i="11"/>
  <c r="H187" i="11"/>
  <c r="AF187" i="11"/>
  <c r="I187" i="11"/>
  <c r="AG316" i="11"/>
  <c r="Y316" i="11"/>
  <c r="Q316" i="11"/>
  <c r="I316" i="11"/>
  <c r="AF316" i="11"/>
  <c r="X316" i="11"/>
  <c r="P316" i="11"/>
  <c r="H316" i="11"/>
  <c r="AE316" i="11"/>
  <c r="W316" i="11"/>
  <c r="O316" i="11"/>
  <c r="G316" i="11"/>
  <c r="AD316" i="11"/>
  <c r="V316" i="11"/>
  <c r="N316" i="11"/>
  <c r="F316" i="11"/>
  <c r="AB316" i="11"/>
  <c r="T316" i="11"/>
  <c r="L316" i="11"/>
  <c r="S316" i="11"/>
  <c r="R316" i="11"/>
  <c r="AI316" i="11"/>
  <c r="M316" i="11"/>
  <c r="AH316" i="11"/>
  <c r="K316" i="11"/>
  <c r="AC316" i="11"/>
  <c r="J316" i="11"/>
  <c r="AA316" i="11"/>
  <c r="E316" i="11"/>
  <c r="Z316" i="11"/>
  <c r="U316" i="11"/>
  <c r="O147" i="11"/>
  <c r="G147" i="11"/>
  <c r="N147" i="11"/>
  <c r="F147" i="11"/>
  <c r="L147" i="11"/>
  <c r="AB147" i="11" s="1"/>
  <c r="AC147" i="11" s="1"/>
  <c r="AI147" i="11"/>
  <c r="K147" i="11"/>
  <c r="J147" i="11"/>
  <c r="H147" i="11"/>
  <c r="E147" i="11"/>
  <c r="P147" i="11" s="1"/>
  <c r="M147" i="11"/>
  <c r="AF147" i="11"/>
  <c r="I147" i="11"/>
  <c r="I210" i="11"/>
  <c r="AF210" i="11"/>
  <c r="P210" i="11"/>
  <c r="H210" i="11"/>
  <c r="O210" i="11"/>
  <c r="G210" i="11"/>
  <c r="N210" i="11"/>
  <c r="F210" i="11"/>
  <c r="M210" i="11"/>
  <c r="E210" i="11"/>
  <c r="L210" i="11"/>
  <c r="R210" i="11"/>
  <c r="K210" i="11"/>
  <c r="J210" i="11"/>
  <c r="I178" i="11"/>
  <c r="AF178" i="11"/>
  <c r="H178" i="11"/>
  <c r="AB178" i="11" s="1"/>
  <c r="O178" i="11"/>
  <c r="G178" i="11"/>
  <c r="N178" i="11"/>
  <c r="F178" i="11"/>
  <c r="Q178" i="11" s="1"/>
  <c r="M178" i="11"/>
  <c r="E178" i="11"/>
  <c r="L178" i="11"/>
  <c r="K178" i="11"/>
  <c r="AC178" i="11" s="1"/>
  <c r="J178" i="11"/>
  <c r="AI178" i="11"/>
  <c r="AC156" i="11"/>
  <c r="M156" i="11"/>
  <c r="E156" i="11"/>
  <c r="L156" i="11"/>
  <c r="R156" i="11"/>
  <c r="J156" i="11"/>
  <c r="I156" i="11"/>
  <c r="AF156" i="11"/>
  <c r="P156" i="11"/>
  <c r="H156" i="11"/>
  <c r="AB156" i="11" s="1"/>
  <c r="N156" i="11"/>
  <c r="K156" i="11"/>
  <c r="G156" i="11"/>
  <c r="F156" i="11"/>
  <c r="O156" i="11"/>
  <c r="AG240" i="11"/>
  <c r="Y240" i="11"/>
  <c r="Q240" i="11"/>
  <c r="I240" i="11"/>
  <c r="AF240" i="11"/>
  <c r="X240" i="11"/>
  <c r="P240" i="11"/>
  <c r="H240" i="11"/>
  <c r="AD240" i="11"/>
  <c r="V240" i="11"/>
  <c r="N240" i="11"/>
  <c r="W240" i="11"/>
  <c r="K240" i="11"/>
  <c r="AI240" i="11"/>
  <c r="U240" i="11"/>
  <c r="J240" i="11"/>
  <c r="AH240" i="11"/>
  <c r="T240" i="11"/>
  <c r="G240" i="11"/>
  <c r="AE240" i="11"/>
  <c r="S240" i="11"/>
  <c r="F240" i="11"/>
  <c r="AC240" i="11"/>
  <c r="R240" i="11"/>
  <c r="E240" i="11"/>
  <c r="AB240" i="11"/>
  <c r="O240" i="11"/>
  <c r="AA240" i="11"/>
  <c r="Z240" i="11"/>
  <c r="M240" i="11"/>
  <c r="L240" i="11"/>
  <c r="AG224" i="11"/>
  <c r="Y224" i="11"/>
  <c r="Q224" i="11"/>
  <c r="I224" i="11"/>
  <c r="AF224" i="11"/>
  <c r="X224" i="11"/>
  <c r="P224" i="11"/>
  <c r="H224" i="11"/>
  <c r="AE224" i="11"/>
  <c r="U224" i="11"/>
  <c r="K224" i="11"/>
  <c r="AD224" i="11"/>
  <c r="T224" i="11"/>
  <c r="J224" i="11"/>
  <c r="AC224" i="11"/>
  <c r="S224" i="11"/>
  <c r="G224" i="11"/>
  <c r="AB224" i="11"/>
  <c r="R224" i="11"/>
  <c r="F224" i="11"/>
  <c r="AA224" i="11"/>
  <c r="O224" i="11"/>
  <c r="E224" i="11"/>
  <c r="Z224" i="11"/>
  <c r="N224" i="11"/>
  <c r="AH224" i="11"/>
  <c r="W224" i="11"/>
  <c r="V224" i="11"/>
  <c r="M224" i="11"/>
  <c r="L224" i="11"/>
  <c r="AI224" i="11"/>
  <c r="L100" i="11"/>
  <c r="I100" i="11"/>
  <c r="AI100" i="11"/>
  <c r="Q100" i="11"/>
  <c r="H100" i="11"/>
  <c r="P100" i="11"/>
  <c r="R100" i="11" s="1"/>
  <c r="AG100" i="11" s="1"/>
  <c r="G100" i="11"/>
  <c r="O100" i="11"/>
  <c r="F100" i="11"/>
  <c r="AF100" i="11"/>
  <c r="N100" i="11"/>
  <c r="E100" i="11"/>
  <c r="M100" i="11"/>
  <c r="S100" i="11" s="1"/>
  <c r="Y100" i="11" s="1"/>
  <c r="K100" i="11"/>
  <c r="J100" i="11"/>
  <c r="L68" i="11"/>
  <c r="I68" i="11"/>
  <c r="H68" i="11"/>
  <c r="AB68" i="11" s="1"/>
  <c r="AC68" i="11" s="1"/>
  <c r="P68" i="11"/>
  <c r="R68" i="11" s="1"/>
  <c r="G68" i="11"/>
  <c r="O68" i="11"/>
  <c r="F68" i="11"/>
  <c r="AF68" i="11"/>
  <c r="N68" i="11"/>
  <c r="E68" i="11"/>
  <c r="M68" i="11"/>
  <c r="K68" i="11"/>
  <c r="J68" i="11"/>
  <c r="M196" i="11"/>
  <c r="S196" i="11" s="1"/>
  <c r="Y196" i="11" s="1"/>
  <c r="E196" i="11"/>
  <c r="L196" i="11"/>
  <c r="AI196" i="11"/>
  <c r="K196" i="11"/>
  <c r="J196" i="11"/>
  <c r="I196" i="11"/>
  <c r="AF196" i="11"/>
  <c r="H196" i="11"/>
  <c r="O196" i="11"/>
  <c r="N196" i="11"/>
  <c r="G196" i="11"/>
  <c r="F196" i="11"/>
  <c r="Q196" i="11" s="1"/>
  <c r="J73" i="11"/>
  <c r="K73" i="11"/>
  <c r="AB73" i="11"/>
  <c r="AC73" i="11" s="1"/>
  <c r="I73" i="11"/>
  <c r="Q73" i="11"/>
  <c r="H73" i="11"/>
  <c r="P73" i="11"/>
  <c r="G73" i="11"/>
  <c r="S73" i="11" s="1"/>
  <c r="Y73" i="11" s="1"/>
  <c r="O73" i="11"/>
  <c r="F73" i="11"/>
  <c r="AF73" i="11"/>
  <c r="N73" i="11"/>
  <c r="E73" i="11"/>
  <c r="M73" i="11"/>
  <c r="L73" i="11"/>
  <c r="N55" i="11"/>
  <c r="F55" i="11"/>
  <c r="M55" i="11"/>
  <c r="E55" i="11"/>
  <c r="P55" i="11" s="1"/>
  <c r="AB55" i="11"/>
  <c r="AC55" i="11" s="1"/>
  <c r="L55" i="11"/>
  <c r="R55" i="11" s="1"/>
  <c r="AI55" i="11"/>
  <c r="K55" i="11"/>
  <c r="J55" i="11"/>
  <c r="I55" i="11"/>
  <c r="AF55" i="11"/>
  <c r="X55" i="11"/>
  <c r="H55" i="11"/>
  <c r="O55" i="11"/>
  <c r="G55" i="11"/>
  <c r="AD23" i="11"/>
  <c r="N23" i="11"/>
  <c r="F23" i="11"/>
  <c r="M23" i="11"/>
  <c r="E23" i="11"/>
  <c r="AB23" i="11"/>
  <c r="AC23" i="11" s="1"/>
  <c r="L23" i="11"/>
  <c r="AI23" i="11"/>
  <c r="K23" i="11"/>
  <c r="R23" i="11"/>
  <c r="AG23" i="11" s="1"/>
  <c r="J23" i="11"/>
  <c r="Q23" i="11"/>
  <c r="S23" i="11" s="1"/>
  <c r="Y23" i="11" s="1"/>
  <c r="I23" i="11"/>
  <c r="AF23" i="11"/>
  <c r="P23" i="11"/>
  <c r="H23" i="11"/>
  <c r="O23" i="11"/>
  <c r="G23" i="11"/>
  <c r="AF118" i="11"/>
  <c r="P118" i="11"/>
  <c r="R118" i="11" s="1"/>
  <c r="H118" i="11"/>
  <c r="N118" i="11"/>
  <c r="F118" i="11"/>
  <c r="G118" i="11"/>
  <c r="E118" i="11"/>
  <c r="O118" i="11"/>
  <c r="M118" i="11"/>
  <c r="L118" i="11"/>
  <c r="AB118" i="11" s="1"/>
  <c r="AC118" i="11" s="1"/>
  <c r="K118" i="11"/>
  <c r="J118" i="11"/>
  <c r="I118" i="11"/>
  <c r="L64" i="11"/>
  <c r="AB64" i="11" s="1"/>
  <c r="AC64" i="11" s="1"/>
  <c r="AI64" i="11"/>
  <c r="K64" i="11"/>
  <c r="J64" i="11"/>
  <c r="I64" i="11"/>
  <c r="AF64" i="11"/>
  <c r="H64" i="11"/>
  <c r="O64" i="11"/>
  <c r="G64" i="11"/>
  <c r="N64" i="11"/>
  <c r="F64" i="11"/>
  <c r="Q64" i="11" s="1"/>
  <c r="M64" i="11"/>
  <c r="E64" i="11"/>
  <c r="L32" i="11"/>
  <c r="AI32" i="11"/>
  <c r="K32" i="11"/>
  <c r="J32" i="11"/>
  <c r="I32" i="11"/>
  <c r="AF32" i="11"/>
  <c r="H32" i="11"/>
  <c r="O32" i="11"/>
  <c r="G32" i="11"/>
  <c r="N32" i="11"/>
  <c r="F32" i="11"/>
  <c r="M32" i="11"/>
  <c r="AB32" i="11" s="1"/>
  <c r="AC32" i="11" s="1"/>
  <c r="E32" i="11"/>
  <c r="D976" i="11"/>
  <c r="D972" i="11"/>
  <c r="D968" i="11"/>
  <c r="D951" i="11"/>
  <c r="D947" i="11"/>
  <c r="D943" i="11"/>
  <c r="D959" i="11"/>
  <c r="D949" i="11"/>
  <c r="D945" i="11"/>
  <c r="D955" i="11"/>
  <c r="D963" i="11"/>
  <c r="V32" i="9"/>
  <c r="X32" i="9" s="1"/>
  <c r="AG1203" i="11"/>
  <c r="Y1203" i="11"/>
  <c r="Q1203" i="11"/>
  <c r="I1203" i="11"/>
  <c r="AF1203" i="11"/>
  <c r="X1203" i="11"/>
  <c r="P1203" i="11"/>
  <c r="H1203" i="11"/>
  <c r="AE1203" i="11"/>
  <c r="W1203" i="11"/>
  <c r="O1203" i="11"/>
  <c r="G1203" i="11"/>
  <c r="AD1203" i="11"/>
  <c r="V1203" i="11"/>
  <c r="N1203" i="11"/>
  <c r="F1203" i="11"/>
  <c r="AC1203" i="11"/>
  <c r="U1203" i="11"/>
  <c r="M1203" i="11"/>
  <c r="E1203" i="11"/>
  <c r="Z1203" i="11"/>
  <c r="T1203" i="11"/>
  <c r="S1203" i="11"/>
  <c r="R1203" i="11"/>
  <c r="AI1203" i="11"/>
  <c r="L1203" i="11"/>
  <c r="AH1203" i="11"/>
  <c r="K1203" i="11"/>
  <c r="AB1203" i="11"/>
  <c r="J1203" i="11"/>
  <c r="AA1203" i="11"/>
  <c r="AF1228" i="11"/>
  <c r="X1228" i="11"/>
  <c r="P1228" i="11"/>
  <c r="H1228" i="11"/>
  <c r="AI1228" i="11"/>
  <c r="Z1228" i="11"/>
  <c r="Q1228" i="11"/>
  <c r="G1228" i="11"/>
  <c r="AG1228" i="11"/>
  <c r="W1228" i="11"/>
  <c r="N1228" i="11"/>
  <c r="E1228" i="11"/>
  <c r="AD1228" i="11"/>
  <c r="U1228" i="11"/>
  <c r="L1228" i="11"/>
  <c r="AE1228" i="11"/>
  <c r="R1228" i="11"/>
  <c r="AC1228" i="11"/>
  <c r="O1228" i="11"/>
  <c r="AB1228" i="11"/>
  <c r="M1228" i="11"/>
  <c r="AA1228" i="11"/>
  <c r="K1228" i="11"/>
  <c r="Y1228" i="11"/>
  <c r="J1228" i="11"/>
  <c r="T1228" i="11"/>
  <c r="S1228" i="11"/>
  <c r="I1228" i="11"/>
  <c r="F1228" i="11"/>
  <c r="AH1228" i="11"/>
  <c r="V1228" i="11"/>
  <c r="AI1154" i="11"/>
  <c r="AA1154" i="11"/>
  <c r="S1154" i="11"/>
  <c r="K1154" i="11"/>
  <c r="AH1154" i="11"/>
  <c r="Z1154" i="11"/>
  <c r="R1154" i="11"/>
  <c r="J1154" i="11"/>
  <c r="AG1154" i="11"/>
  <c r="Y1154" i="11"/>
  <c r="Q1154" i="11"/>
  <c r="I1154" i="11"/>
  <c r="AE1154" i="11"/>
  <c r="W1154" i="11"/>
  <c r="O1154" i="11"/>
  <c r="G1154" i="11"/>
  <c r="AC1154" i="11"/>
  <c r="M1154" i="11"/>
  <c r="AB1154" i="11"/>
  <c r="L1154" i="11"/>
  <c r="X1154" i="11"/>
  <c r="H1154" i="11"/>
  <c r="U1154" i="11"/>
  <c r="E1154" i="11"/>
  <c r="AF1154" i="11"/>
  <c r="P1154" i="11"/>
  <c r="AD1154" i="11"/>
  <c r="V1154" i="11"/>
  <c r="T1154" i="11"/>
  <c r="N1154" i="11"/>
  <c r="F1154" i="11"/>
  <c r="M176" i="11"/>
  <c r="E176" i="11"/>
  <c r="AB176" i="11"/>
  <c r="AC176" i="11" s="1"/>
  <c r="L176" i="11"/>
  <c r="K176" i="11"/>
  <c r="J176" i="11"/>
  <c r="I176" i="11"/>
  <c r="AF176" i="11"/>
  <c r="H176" i="11"/>
  <c r="O176" i="11"/>
  <c r="N176" i="11"/>
  <c r="G176" i="11"/>
  <c r="F176" i="11"/>
  <c r="J61" i="11"/>
  <c r="I61" i="11"/>
  <c r="AF61" i="11"/>
  <c r="H61" i="11"/>
  <c r="O61" i="11"/>
  <c r="G61" i="11"/>
  <c r="Q61" i="11" s="1"/>
  <c r="N61" i="11"/>
  <c r="F61" i="11"/>
  <c r="M61" i="11"/>
  <c r="AB61" i="11" s="1"/>
  <c r="AC61" i="11" s="1"/>
  <c r="E61" i="11"/>
  <c r="L61" i="11"/>
  <c r="S61" i="11"/>
  <c r="Y61" i="11" s="1"/>
  <c r="K61" i="11"/>
  <c r="J29" i="11"/>
  <c r="Q29" i="11"/>
  <c r="I29" i="11"/>
  <c r="AF29" i="11"/>
  <c r="P29" i="11"/>
  <c r="H29" i="11"/>
  <c r="O29" i="11"/>
  <c r="G29" i="11"/>
  <c r="N29" i="11"/>
  <c r="F29" i="11"/>
  <c r="M29" i="11"/>
  <c r="S29" i="11" s="1"/>
  <c r="Y29" i="11" s="1"/>
  <c r="E29" i="11"/>
  <c r="L29" i="11"/>
  <c r="AB29" i="11" s="1"/>
  <c r="K29" i="11"/>
  <c r="AE1344" i="11"/>
  <c r="W1344" i="11"/>
  <c r="O1344" i="11"/>
  <c r="G1344" i="11"/>
  <c r="AD1344" i="11"/>
  <c r="V1344" i="11"/>
  <c r="N1344" i="11"/>
  <c r="F1344" i="11"/>
  <c r="AI1344" i="11"/>
  <c r="AA1344" i="11"/>
  <c r="S1344" i="11"/>
  <c r="K1344" i="11"/>
  <c r="AH1344" i="11"/>
  <c r="Z1344" i="11"/>
  <c r="R1344" i="11"/>
  <c r="J1344" i="11"/>
  <c r="AG1344" i="11"/>
  <c r="Q1344" i="11"/>
  <c r="AF1344" i="11"/>
  <c r="P1344" i="11"/>
  <c r="AC1344" i="11"/>
  <c r="M1344" i="11"/>
  <c r="AB1344" i="11"/>
  <c r="L1344" i="11"/>
  <c r="Y1344" i="11"/>
  <c r="I1344" i="11"/>
  <c r="X1344" i="11"/>
  <c r="U1344" i="11"/>
  <c r="T1344" i="11"/>
  <c r="H1344" i="11"/>
  <c r="E1344" i="11"/>
  <c r="AI1356" i="11"/>
  <c r="AA1356" i="11"/>
  <c r="S1356" i="11"/>
  <c r="K1356" i="11"/>
  <c r="AH1356" i="11"/>
  <c r="Z1356" i="11"/>
  <c r="R1356" i="11"/>
  <c r="J1356" i="11"/>
  <c r="AC1356" i="11"/>
  <c r="Q1356" i="11"/>
  <c r="G1356" i="11"/>
  <c r="AB1356" i="11"/>
  <c r="P1356" i="11"/>
  <c r="F1356" i="11"/>
  <c r="Y1356" i="11"/>
  <c r="O1356" i="11"/>
  <c r="E1356" i="11"/>
  <c r="X1356" i="11"/>
  <c r="N1356" i="11"/>
  <c r="AG1356" i="11"/>
  <c r="W1356" i="11"/>
  <c r="M1356" i="11"/>
  <c r="AF1356" i="11"/>
  <c r="V1356" i="11"/>
  <c r="L1356" i="11"/>
  <c r="AE1356" i="11"/>
  <c r="U1356" i="11"/>
  <c r="I1356" i="11"/>
  <c r="AD1356" i="11"/>
  <c r="T1356" i="11"/>
  <c r="H1356" i="11"/>
  <c r="AF1278" i="11"/>
  <c r="X1278" i="11"/>
  <c r="P1278" i="11"/>
  <c r="H1278" i="11"/>
  <c r="AE1278" i="11"/>
  <c r="W1278" i="11"/>
  <c r="O1278" i="11"/>
  <c r="AD1278" i="11"/>
  <c r="V1278" i="11"/>
  <c r="AI1278" i="11"/>
  <c r="U1278" i="11"/>
  <c r="K1278" i="11"/>
  <c r="AH1278" i="11"/>
  <c r="T1278" i="11"/>
  <c r="J1278" i="11"/>
  <c r="AG1278" i="11"/>
  <c r="S1278" i="11"/>
  <c r="I1278" i="11"/>
  <c r="AC1278" i="11"/>
  <c r="R1278" i="11"/>
  <c r="G1278" i="11"/>
  <c r="AB1278" i="11"/>
  <c r="Q1278" i="11"/>
  <c r="F1278" i="11"/>
  <c r="M1278" i="11"/>
  <c r="L1278" i="11"/>
  <c r="E1278" i="11"/>
  <c r="AA1278" i="11"/>
  <c r="Z1278" i="11"/>
  <c r="Y1278" i="11"/>
  <c r="N1278" i="11"/>
  <c r="AF992" i="11"/>
  <c r="P992" i="11"/>
  <c r="H992" i="11"/>
  <c r="O992" i="11"/>
  <c r="G992" i="11"/>
  <c r="N992" i="11"/>
  <c r="X992" i="11" s="1"/>
  <c r="Z992" i="11" s="1"/>
  <c r="AA992" i="11" s="1"/>
  <c r="F992" i="11"/>
  <c r="Q992" i="11" s="1"/>
  <c r="S992" i="11" s="1"/>
  <c r="M992" i="11"/>
  <c r="Y992" i="11" s="1"/>
  <c r="E992" i="11"/>
  <c r="AI992" i="11"/>
  <c r="AD992" i="11" s="1"/>
  <c r="K992" i="11"/>
  <c r="J992" i="11"/>
  <c r="I992" i="11"/>
  <c r="AB992" i="11"/>
  <c r="AC992" i="11" s="1"/>
  <c r="L992" i="11"/>
  <c r="R992" i="11" s="1"/>
  <c r="J834" i="11"/>
  <c r="I834" i="11"/>
  <c r="M834" i="11"/>
  <c r="E834" i="11"/>
  <c r="N834" i="11"/>
  <c r="L834" i="11"/>
  <c r="K834" i="11"/>
  <c r="AI834" i="11"/>
  <c r="H834" i="11"/>
  <c r="AF834" i="11"/>
  <c r="G834" i="11"/>
  <c r="F834" i="11"/>
  <c r="O834" i="11"/>
  <c r="AF692" i="11"/>
  <c r="X692" i="11"/>
  <c r="P692" i="11"/>
  <c r="H692" i="11"/>
  <c r="AE692" i="11"/>
  <c r="W692" i="11"/>
  <c r="O692" i="11"/>
  <c r="G692" i="11"/>
  <c r="AD692" i="11"/>
  <c r="V692" i="11"/>
  <c r="N692" i="11"/>
  <c r="F692" i="11"/>
  <c r="AC692" i="11"/>
  <c r="U692" i="11"/>
  <c r="M692" i="11"/>
  <c r="E692" i="11"/>
  <c r="AB692" i="11"/>
  <c r="T692" i="11"/>
  <c r="L692" i="11"/>
  <c r="AI692" i="11"/>
  <c r="AA692" i="11"/>
  <c r="S692" i="11"/>
  <c r="K692" i="11"/>
  <c r="AH692" i="11"/>
  <c r="Z692" i="11"/>
  <c r="R692" i="11"/>
  <c r="J692" i="11"/>
  <c r="I692" i="11"/>
  <c r="Q692" i="11"/>
  <c r="AG692" i="11"/>
  <c r="Y692" i="11"/>
  <c r="AI711" i="11"/>
  <c r="AA711" i="11"/>
  <c r="S711" i="11"/>
  <c r="K711" i="11"/>
  <c r="AH711" i="11"/>
  <c r="Z711" i="11"/>
  <c r="R711" i="11"/>
  <c r="J711" i="11"/>
  <c r="AG711" i="11"/>
  <c r="Y711" i="11"/>
  <c r="Q711" i="11"/>
  <c r="I711" i="11"/>
  <c r="AF711" i="11"/>
  <c r="X711" i="11"/>
  <c r="P711" i="11"/>
  <c r="H711" i="11"/>
  <c r="AE711" i="11"/>
  <c r="W711" i="11"/>
  <c r="O711" i="11"/>
  <c r="G711" i="11"/>
  <c r="AD711" i="11"/>
  <c r="V711" i="11"/>
  <c r="N711" i="11"/>
  <c r="F711" i="11"/>
  <c r="AC711" i="11"/>
  <c r="AB711" i="11"/>
  <c r="U711" i="11"/>
  <c r="T711" i="11"/>
  <c r="M711" i="11"/>
  <c r="L711" i="11"/>
  <c r="E711" i="11"/>
  <c r="N107" i="11"/>
  <c r="F107" i="11"/>
  <c r="P107" i="11"/>
  <c r="G107" i="11"/>
  <c r="O107" i="11"/>
  <c r="E107" i="11"/>
  <c r="AF107" i="11"/>
  <c r="M107" i="11"/>
  <c r="S107" i="11" s="1"/>
  <c r="Y107" i="11" s="1"/>
  <c r="L107" i="11"/>
  <c r="K107" i="11"/>
  <c r="J107" i="11"/>
  <c r="I107" i="11"/>
  <c r="Q107" i="11"/>
  <c r="H107" i="11"/>
  <c r="AB107" i="11" s="1"/>
  <c r="AC107" i="11" s="1"/>
  <c r="D54" i="11"/>
  <c r="AF22" i="11"/>
  <c r="P22" i="11"/>
  <c r="H22" i="11"/>
  <c r="O22" i="11"/>
  <c r="G22" i="11"/>
  <c r="N22" i="11"/>
  <c r="F22" i="11"/>
  <c r="M22" i="11"/>
  <c r="S22" i="11" s="1"/>
  <c r="E22" i="11"/>
  <c r="L22" i="11"/>
  <c r="AB22" i="11" s="1"/>
  <c r="K22" i="11"/>
  <c r="J22" i="11"/>
  <c r="Q22" i="11"/>
  <c r="I22" i="11"/>
  <c r="AG1187" i="11"/>
  <c r="Y1187" i="11"/>
  <c r="Q1187" i="11"/>
  <c r="I1187" i="11"/>
  <c r="AF1187" i="11"/>
  <c r="X1187" i="11"/>
  <c r="P1187" i="11"/>
  <c r="H1187" i="11"/>
  <c r="AE1187" i="11"/>
  <c r="W1187" i="11"/>
  <c r="O1187" i="11"/>
  <c r="G1187" i="11"/>
  <c r="AD1187" i="11"/>
  <c r="V1187" i="11"/>
  <c r="N1187" i="11"/>
  <c r="F1187" i="11"/>
  <c r="AC1187" i="11"/>
  <c r="U1187" i="11"/>
  <c r="M1187" i="11"/>
  <c r="E1187" i="11"/>
  <c r="Z1187" i="11"/>
  <c r="T1187" i="11"/>
  <c r="S1187" i="11"/>
  <c r="R1187" i="11"/>
  <c r="AI1187" i="11"/>
  <c r="L1187" i="11"/>
  <c r="AH1187" i="11"/>
  <c r="K1187" i="11"/>
  <c r="AB1187" i="11"/>
  <c r="J1187" i="11"/>
  <c r="AA1187" i="11"/>
  <c r="AI1170" i="11"/>
  <c r="AA1170" i="11"/>
  <c r="S1170" i="11"/>
  <c r="K1170" i="11"/>
  <c r="AH1170" i="11"/>
  <c r="Z1170" i="11"/>
  <c r="R1170" i="11"/>
  <c r="J1170" i="11"/>
  <c r="AG1170" i="11"/>
  <c r="Y1170" i="11"/>
  <c r="Q1170" i="11"/>
  <c r="I1170" i="11"/>
  <c r="AF1170" i="11"/>
  <c r="X1170" i="11"/>
  <c r="P1170" i="11"/>
  <c r="H1170" i="11"/>
  <c r="AE1170" i="11"/>
  <c r="W1170" i="11"/>
  <c r="O1170" i="11"/>
  <c r="G1170" i="11"/>
  <c r="N1170" i="11"/>
  <c r="M1170" i="11"/>
  <c r="AD1170" i="11"/>
  <c r="L1170" i="11"/>
  <c r="AC1170" i="11"/>
  <c r="F1170" i="11"/>
  <c r="AB1170" i="11"/>
  <c r="E1170" i="11"/>
  <c r="V1170" i="11"/>
  <c r="U1170" i="11"/>
  <c r="T1170" i="11"/>
  <c r="M1036" i="11"/>
  <c r="E1036" i="11"/>
  <c r="K1036" i="11"/>
  <c r="I1036" i="11"/>
  <c r="AF1036" i="11"/>
  <c r="H1036" i="11"/>
  <c r="O1036" i="11"/>
  <c r="N1036" i="11"/>
  <c r="L1036" i="11"/>
  <c r="AB1036" i="11" s="1"/>
  <c r="AC1036" i="11" s="1"/>
  <c r="J1036" i="11"/>
  <c r="G1036" i="11"/>
  <c r="F1036" i="11"/>
  <c r="O1023" i="11"/>
  <c r="G1023" i="11"/>
  <c r="M1023" i="11"/>
  <c r="E1023" i="11"/>
  <c r="K1023" i="11"/>
  <c r="J1023" i="11"/>
  <c r="I1023" i="11"/>
  <c r="H1023" i="11"/>
  <c r="AF1023" i="11"/>
  <c r="F1023" i="11"/>
  <c r="AB1023" i="11"/>
  <c r="AC1023" i="11" s="1"/>
  <c r="P1023" i="11"/>
  <c r="N1023" i="11"/>
  <c r="L1023" i="11"/>
  <c r="J870" i="11"/>
  <c r="I870" i="11"/>
  <c r="AF870" i="11"/>
  <c r="P870" i="11"/>
  <c r="H870" i="11"/>
  <c r="N870" i="11"/>
  <c r="F870" i="11"/>
  <c r="M870" i="11"/>
  <c r="E870" i="11"/>
  <c r="O870" i="11"/>
  <c r="L870" i="11"/>
  <c r="K870" i="11"/>
  <c r="G870" i="11"/>
  <c r="O903" i="11"/>
  <c r="G903" i="11"/>
  <c r="AC903" i="11"/>
  <c r="M903" i="11"/>
  <c r="E903" i="11"/>
  <c r="AI903" i="11"/>
  <c r="K903" i="11"/>
  <c r="J903" i="11"/>
  <c r="AF903" i="11"/>
  <c r="P903" i="11"/>
  <c r="N903" i="11"/>
  <c r="L903" i="11"/>
  <c r="Y903" i="11"/>
  <c r="I903" i="11"/>
  <c r="H903" i="11"/>
  <c r="AB903" i="11" s="1"/>
  <c r="F903" i="11"/>
  <c r="AI739" i="11"/>
  <c r="AA739" i="11"/>
  <c r="S739" i="11"/>
  <c r="K739" i="11"/>
  <c r="AH739" i="11"/>
  <c r="Z739" i="11"/>
  <c r="R739" i="11"/>
  <c r="J739" i="11"/>
  <c r="AG739" i="11"/>
  <c r="Y739" i="11"/>
  <c r="Q739" i="11"/>
  <c r="I739" i="11"/>
  <c r="AF739" i="11"/>
  <c r="X739" i="11"/>
  <c r="P739" i="11"/>
  <c r="H739" i="11"/>
  <c r="AE739" i="11"/>
  <c r="W739" i="11"/>
  <c r="O739" i="11"/>
  <c r="G739" i="11"/>
  <c r="AD739" i="11"/>
  <c r="V739" i="11"/>
  <c r="N739" i="11"/>
  <c r="F739" i="11"/>
  <c r="AC739" i="11"/>
  <c r="U739" i="11"/>
  <c r="M739" i="11"/>
  <c r="E739" i="11"/>
  <c r="AB739" i="11"/>
  <c r="T739" i="11"/>
  <c r="L739" i="11"/>
  <c r="AF588" i="11"/>
  <c r="X588" i="11"/>
  <c r="P588" i="11"/>
  <c r="H588" i="11"/>
  <c r="AE588" i="11"/>
  <c r="W588" i="11"/>
  <c r="O588" i="11"/>
  <c r="G588" i="11"/>
  <c r="AD588" i="11"/>
  <c r="V588" i="11"/>
  <c r="N588" i="11"/>
  <c r="F588" i="11"/>
  <c r="AC588" i="11"/>
  <c r="U588" i="11"/>
  <c r="M588" i="11"/>
  <c r="E588" i="11"/>
  <c r="AI588" i="11"/>
  <c r="AA588" i="11"/>
  <c r="S588" i="11"/>
  <c r="K588" i="11"/>
  <c r="AH588" i="11"/>
  <c r="Z588" i="11"/>
  <c r="R588" i="11"/>
  <c r="J588" i="11"/>
  <c r="AG588" i="11"/>
  <c r="AB588" i="11"/>
  <c r="Y588" i="11"/>
  <c r="T588" i="11"/>
  <c r="L588" i="11"/>
  <c r="I588" i="11"/>
  <c r="Q588" i="11"/>
  <c r="AI450" i="11"/>
  <c r="AA450" i="11"/>
  <c r="S450" i="11"/>
  <c r="K450" i="11"/>
  <c r="AH450" i="11"/>
  <c r="Z450" i="11"/>
  <c r="R450" i="11"/>
  <c r="J450" i="11"/>
  <c r="AF450" i="11"/>
  <c r="X450" i="11"/>
  <c r="P450" i="11"/>
  <c r="H450" i="11"/>
  <c r="AB450" i="11"/>
  <c r="N450" i="11"/>
  <c r="Y450" i="11"/>
  <c r="M450" i="11"/>
  <c r="W450" i="11"/>
  <c r="L450" i="11"/>
  <c r="V450" i="11"/>
  <c r="I450" i="11"/>
  <c r="AG450" i="11"/>
  <c r="U450" i="11"/>
  <c r="G450" i="11"/>
  <c r="AE450" i="11"/>
  <c r="AD450" i="11"/>
  <c r="AC450" i="11"/>
  <c r="T450" i="11"/>
  <c r="Q450" i="11"/>
  <c r="O450" i="11"/>
  <c r="F450" i="11"/>
  <c r="E450" i="11"/>
  <c r="AI319" i="11"/>
  <c r="AA319" i="11"/>
  <c r="S319" i="11"/>
  <c r="K319" i="11"/>
  <c r="AH319" i="11"/>
  <c r="Z319" i="11"/>
  <c r="R319" i="11"/>
  <c r="J319" i="11"/>
  <c r="AG319" i="11"/>
  <c r="Y319" i="11"/>
  <c r="Q319" i="11"/>
  <c r="I319" i="11"/>
  <c r="AF319" i="11"/>
  <c r="X319" i="11"/>
  <c r="P319" i="11"/>
  <c r="H319" i="11"/>
  <c r="AD319" i="11"/>
  <c r="V319" i="11"/>
  <c r="N319" i="11"/>
  <c r="F319" i="11"/>
  <c r="AE319" i="11"/>
  <c r="L319" i="11"/>
  <c r="AC319" i="11"/>
  <c r="G319" i="11"/>
  <c r="AB319" i="11"/>
  <c r="E319" i="11"/>
  <c r="W319" i="11"/>
  <c r="U319" i="11"/>
  <c r="T319" i="11"/>
  <c r="O319" i="11"/>
  <c r="M319" i="11"/>
  <c r="AI173" i="11"/>
  <c r="K173" i="11"/>
  <c r="J173" i="11"/>
  <c r="AF173" i="11"/>
  <c r="P173" i="11"/>
  <c r="H173" i="11"/>
  <c r="O173" i="11"/>
  <c r="G173" i="11"/>
  <c r="N173" i="11"/>
  <c r="F173" i="11"/>
  <c r="M173" i="11"/>
  <c r="L173" i="11"/>
  <c r="AB173" i="11" s="1"/>
  <c r="AC173" i="11" s="1"/>
  <c r="I173" i="11"/>
  <c r="E173" i="11"/>
  <c r="AF82" i="11"/>
  <c r="H82" i="11"/>
  <c r="M82" i="11"/>
  <c r="L82" i="11"/>
  <c r="K82" i="11"/>
  <c r="J82" i="11"/>
  <c r="I82" i="11"/>
  <c r="G82" i="11"/>
  <c r="O82" i="11"/>
  <c r="F82" i="11"/>
  <c r="N82" i="11"/>
  <c r="E82" i="11"/>
  <c r="AE1322" i="11"/>
  <c r="W1322" i="11"/>
  <c r="O1322" i="11"/>
  <c r="G1322" i="11"/>
  <c r="AD1322" i="11"/>
  <c r="V1322" i="11"/>
  <c r="N1322" i="11"/>
  <c r="F1322" i="11"/>
  <c r="AC1322" i="11"/>
  <c r="U1322" i="11"/>
  <c r="M1322" i="11"/>
  <c r="E1322" i="11"/>
  <c r="AI1322" i="11"/>
  <c r="AA1322" i="11"/>
  <c r="S1322" i="11"/>
  <c r="K1322" i="11"/>
  <c r="AH1322" i="11"/>
  <c r="R1322" i="11"/>
  <c r="AG1322" i="11"/>
  <c r="Q1322" i="11"/>
  <c r="AF1322" i="11"/>
  <c r="P1322" i="11"/>
  <c r="AB1322" i="11"/>
  <c r="L1322" i="11"/>
  <c r="Z1322" i="11"/>
  <c r="J1322" i="11"/>
  <c r="Y1322" i="11"/>
  <c r="I1322" i="11"/>
  <c r="X1322" i="11"/>
  <c r="H1322" i="11"/>
  <c r="T1322" i="11"/>
  <c r="AI1334" i="11"/>
  <c r="AA1334" i="11"/>
  <c r="S1334" i="11"/>
  <c r="K1334" i="11"/>
  <c r="AH1334" i="11"/>
  <c r="Z1334" i="11"/>
  <c r="R1334" i="11"/>
  <c r="J1334" i="11"/>
  <c r="AE1334" i="11"/>
  <c r="W1334" i="11"/>
  <c r="O1334" i="11"/>
  <c r="G1334" i="11"/>
  <c r="AD1334" i="11"/>
  <c r="Q1334" i="11"/>
  <c r="E1334" i="11"/>
  <c r="AC1334" i="11"/>
  <c r="P1334" i="11"/>
  <c r="AB1334" i="11"/>
  <c r="N1334" i="11"/>
  <c r="Y1334" i="11"/>
  <c r="M1334" i="11"/>
  <c r="X1334" i="11"/>
  <c r="L1334" i="11"/>
  <c r="T1334" i="11"/>
  <c r="I1334" i="11"/>
  <c r="H1334" i="11"/>
  <c r="F1334" i="11"/>
  <c r="AG1334" i="11"/>
  <c r="AF1334" i="11"/>
  <c r="V1334" i="11"/>
  <c r="U1334" i="11"/>
  <c r="D794" i="11"/>
  <c r="AF560" i="11"/>
  <c r="X560" i="11"/>
  <c r="P560" i="11"/>
  <c r="H560" i="11"/>
  <c r="AE560" i="11"/>
  <c r="W560" i="11"/>
  <c r="O560" i="11"/>
  <c r="G560" i="11"/>
  <c r="AD560" i="11"/>
  <c r="V560" i="11"/>
  <c r="N560" i="11"/>
  <c r="F560" i="11"/>
  <c r="AI560" i="11"/>
  <c r="AA560" i="11"/>
  <c r="S560" i="11"/>
  <c r="K560" i="11"/>
  <c r="AH560" i="11"/>
  <c r="Z560" i="11"/>
  <c r="R560" i="11"/>
  <c r="J560" i="11"/>
  <c r="M560" i="11"/>
  <c r="AG560" i="11"/>
  <c r="L560" i="11"/>
  <c r="AC560" i="11"/>
  <c r="I560" i="11"/>
  <c r="AB560" i="11"/>
  <c r="E560" i="11"/>
  <c r="Y560" i="11"/>
  <c r="U560" i="11"/>
  <c r="T560" i="11"/>
  <c r="Q560" i="11"/>
  <c r="K434" i="11"/>
  <c r="J434" i="11"/>
  <c r="AF434" i="11"/>
  <c r="H434" i="11"/>
  <c r="AB434" i="11"/>
  <c r="N434" i="11"/>
  <c r="M434" i="11"/>
  <c r="L434" i="11"/>
  <c r="I434" i="11"/>
  <c r="G434" i="11"/>
  <c r="AC434" i="11"/>
  <c r="O434" i="11"/>
  <c r="F434" i="11"/>
  <c r="E434" i="11"/>
  <c r="O911" i="11"/>
  <c r="G911" i="11"/>
  <c r="N911" i="11"/>
  <c r="F911" i="11"/>
  <c r="M911" i="11"/>
  <c r="Y911" i="11" s="1"/>
  <c r="E911" i="11"/>
  <c r="AI911" i="11"/>
  <c r="S911" i="11"/>
  <c r="T911" i="11" s="1"/>
  <c r="K911" i="11"/>
  <c r="R911" i="11"/>
  <c r="J911" i="11"/>
  <c r="Q911" i="11"/>
  <c r="P911" i="11"/>
  <c r="L911" i="11"/>
  <c r="X911" i="11" s="1"/>
  <c r="AF911" i="11"/>
  <c r="I911" i="11"/>
  <c r="H911" i="11"/>
  <c r="K925" i="11"/>
  <c r="J925" i="11"/>
  <c r="I925" i="11"/>
  <c r="O925" i="11"/>
  <c r="G925" i="11"/>
  <c r="N925" i="11"/>
  <c r="F925" i="11"/>
  <c r="AF925" i="11"/>
  <c r="L925" i="11"/>
  <c r="H925" i="11"/>
  <c r="AB925" i="11" s="1"/>
  <c r="AC925" i="11" s="1"/>
  <c r="E925" i="11"/>
  <c r="M925" i="11"/>
  <c r="AI219" i="11"/>
  <c r="K219" i="11"/>
  <c r="J219" i="11"/>
  <c r="M219" i="11"/>
  <c r="AF219" i="11"/>
  <c r="L219" i="11"/>
  <c r="I219" i="11"/>
  <c r="AB219" i="11" s="1"/>
  <c r="AC219" i="11" s="1"/>
  <c r="H219" i="11"/>
  <c r="G219" i="11"/>
  <c r="Q219" i="11" s="1"/>
  <c r="P219" i="11"/>
  <c r="F219" i="11"/>
  <c r="O219" i="11"/>
  <c r="N219" i="11"/>
  <c r="E219" i="11"/>
  <c r="X15" i="9"/>
  <c r="K360" i="11"/>
  <c r="J360" i="11"/>
  <c r="AF360" i="11"/>
  <c r="H360" i="11"/>
  <c r="O360" i="11"/>
  <c r="G360" i="11"/>
  <c r="N360" i="11"/>
  <c r="M360" i="11"/>
  <c r="L360" i="11"/>
  <c r="AB360" i="11" s="1"/>
  <c r="AC360" i="11" s="1"/>
  <c r="I360" i="11"/>
  <c r="F360" i="11"/>
  <c r="E360" i="11"/>
  <c r="AI149" i="11"/>
  <c r="K149" i="11"/>
  <c r="J149" i="11"/>
  <c r="AF149" i="11"/>
  <c r="H149" i="11"/>
  <c r="O149" i="11"/>
  <c r="G149" i="11"/>
  <c r="R149" i="11" s="1"/>
  <c r="N149" i="11"/>
  <c r="F149" i="11"/>
  <c r="P149" i="11" s="1"/>
  <c r="M149" i="11"/>
  <c r="L149" i="11"/>
  <c r="I149" i="11"/>
  <c r="E149" i="11"/>
  <c r="D474" i="11"/>
  <c r="D506" i="11"/>
  <c r="K283" i="11"/>
  <c r="J283" i="11"/>
  <c r="AB283" i="11" s="1"/>
  <c r="AC283" i="11" s="1"/>
  <c r="AF283" i="11"/>
  <c r="H283" i="11"/>
  <c r="N283" i="11"/>
  <c r="F283" i="11"/>
  <c r="M283" i="11"/>
  <c r="L283" i="11"/>
  <c r="I283" i="11"/>
  <c r="G283" i="11"/>
  <c r="E283" i="11"/>
  <c r="O283" i="11"/>
  <c r="D620" i="11"/>
  <c r="D652" i="11"/>
  <c r="AN7" i="7"/>
  <c r="P35" i="2"/>
  <c r="AC1375" i="11"/>
  <c r="AE1375" i="11"/>
  <c r="V1375" i="11"/>
  <c r="N1375" i="11"/>
  <c r="F1375" i="11"/>
  <c r="AD1375" i="11"/>
  <c r="U1375" i="11"/>
  <c r="M1375" i="11"/>
  <c r="E1375" i="11"/>
  <c r="AB1375" i="11"/>
  <c r="T1375" i="11"/>
  <c r="L1375" i="11"/>
  <c r="AA1375" i="11"/>
  <c r="S1375" i="11"/>
  <c r="K1375" i="11"/>
  <c r="AI1375" i="11"/>
  <c r="Z1375" i="11"/>
  <c r="R1375" i="11"/>
  <c r="J1375" i="11"/>
  <c r="AG1375" i="11"/>
  <c r="X1375" i="11"/>
  <c r="P1375" i="11"/>
  <c r="H1375" i="11"/>
  <c r="I1375" i="11"/>
  <c r="G1375" i="11"/>
  <c r="AH1375" i="11"/>
  <c r="AF1375" i="11"/>
  <c r="Y1375" i="11"/>
  <c r="W1375" i="11"/>
  <c r="Q1375" i="11"/>
  <c r="O1375" i="11"/>
  <c r="AD1255" i="11"/>
  <c r="V1255" i="11"/>
  <c r="N1255" i="11"/>
  <c r="F1255" i="11"/>
  <c r="AF1255" i="11"/>
  <c r="W1255" i="11"/>
  <c r="M1255" i="11"/>
  <c r="AE1255" i="11"/>
  <c r="U1255" i="11"/>
  <c r="L1255" i="11"/>
  <c r="AB1255" i="11"/>
  <c r="S1255" i="11"/>
  <c r="J1255" i="11"/>
  <c r="Y1255" i="11"/>
  <c r="I1255" i="11"/>
  <c r="X1255" i="11"/>
  <c r="H1255" i="11"/>
  <c r="AI1255" i="11"/>
  <c r="T1255" i="11"/>
  <c r="G1255" i="11"/>
  <c r="AH1255" i="11"/>
  <c r="R1255" i="11"/>
  <c r="E1255" i="11"/>
  <c r="AG1255" i="11"/>
  <c r="Q1255" i="11"/>
  <c r="AC1255" i="11"/>
  <c r="P1255" i="11"/>
  <c r="AA1255" i="11"/>
  <c r="O1255" i="11"/>
  <c r="Z1255" i="11"/>
  <c r="K1255" i="11"/>
  <c r="AC1139" i="11"/>
  <c r="U1139" i="11"/>
  <c r="M1139" i="11"/>
  <c r="E1139" i="11"/>
  <c r="AB1139" i="11"/>
  <c r="T1139" i="11"/>
  <c r="L1139" i="11"/>
  <c r="AI1139" i="11"/>
  <c r="AA1139" i="11"/>
  <c r="S1139" i="11"/>
  <c r="K1139" i="11"/>
  <c r="AE1139" i="11"/>
  <c r="W1139" i="11"/>
  <c r="O1139" i="11"/>
  <c r="G1139" i="11"/>
  <c r="X1139" i="11"/>
  <c r="H1139" i="11"/>
  <c r="V1139" i="11"/>
  <c r="F1139" i="11"/>
  <c r="AH1139" i="11"/>
  <c r="R1139" i="11"/>
  <c r="AG1139" i="11"/>
  <c r="Q1139" i="11"/>
  <c r="AF1139" i="11"/>
  <c r="P1139" i="11"/>
  <c r="AD1139" i="11"/>
  <c r="N1139" i="11"/>
  <c r="Z1139" i="11"/>
  <c r="J1139" i="11"/>
  <c r="Y1139" i="11"/>
  <c r="I1139" i="11"/>
  <c r="AH1110" i="11"/>
  <c r="Z1110" i="11"/>
  <c r="R1110" i="11"/>
  <c r="J1110" i="11"/>
  <c r="AG1110" i="11"/>
  <c r="Y1110" i="11"/>
  <c r="Q1110" i="11"/>
  <c r="I1110" i="11"/>
  <c r="AF1110" i="11"/>
  <c r="X1110" i="11"/>
  <c r="P1110" i="11"/>
  <c r="H1110" i="11"/>
  <c r="AE1110" i="11"/>
  <c r="W1110" i="11"/>
  <c r="O1110" i="11"/>
  <c r="G1110" i="11"/>
  <c r="AD1110" i="11"/>
  <c r="V1110" i="11"/>
  <c r="N1110" i="11"/>
  <c r="F1110" i="11"/>
  <c r="AB1110" i="11"/>
  <c r="T1110" i="11"/>
  <c r="L1110" i="11"/>
  <c r="M1110" i="11"/>
  <c r="K1110" i="11"/>
  <c r="E1110" i="11"/>
  <c r="AI1110" i="11"/>
  <c r="AC1110" i="11"/>
  <c r="AA1110" i="11"/>
  <c r="U1110" i="11"/>
  <c r="S1110" i="11"/>
  <c r="J999" i="11"/>
  <c r="Y999" i="11"/>
  <c r="I999" i="11"/>
  <c r="AF999" i="11"/>
  <c r="X999" i="11"/>
  <c r="Z999" i="11" s="1"/>
  <c r="AA999" i="11" s="1"/>
  <c r="H999" i="11"/>
  <c r="AB999" i="11" s="1"/>
  <c r="O999" i="11"/>
  <c r="G999" i="11"/>
  <c r="Q999" i="11" s="1"/>
  <c r="AC999" i="11"/>
  <c r="M999" i="11"/>
  <c r="E999" i="11"/>
  <c r="L999" i="11"/>
  <c r="N999" i="11"/>
  <c r="K999" i="11"/>
  <c r="F999" i="11"/>
  <c r="P999" i="11" s="1"/>
  <c r="AI999" i="11"/>
  <c r="AB1391" i="11"/>
  <c r="T1391" i="11"/>
  <c r="L1391" i="11"/>
  <c r="AI1391" i="11"/>
  <c r="AA1391" i="11"/>
  <c r="S1391" i="11"/>
  <c r="K1391" i="11"/>
  <c r="AG1391" i="11"/>
  <c r="W1391" i="11"/>
  <c r="M1391" i="11"/>
  <c r="AF1391" i="11"/>
  <c r="V1391" i="11"/>
  <c r="J1391" i="11"/>
  <c r="AD1391" i="11"/>
  <c r="P1391" i="11"/>
  <c r="AC1391" i="11"/>
  <c r="O1391" i="11"/>
  <c r="Z1391" i="11"/>
  <c r="N1391" i="11"/>
  <c r="X1391" i="11"/>
  <c r="H1391" i="11"/>
  <c r="U1391" i="11"/>
  <c r="G1391" i="11"/>
  <c r="Y1391" i="11"/>
  <c r="R1391" i="11"/>
  <c r="Q1391" i="11"/>
  <c r="I1391" i="11"/>
  <c r="F1391" i="11"/>
  <c r="E1391" i="11"/>
  <c r="AH1391" i="11"/>
  <c r="AE1391" i="11"/>
  <c r="AB1288" i="11"/>
  <c r="T1288" i="11"/>
  <c r="L1288" i="11"/>
  <c r="AI1288" i="11"/>
  <c r="AA1288" i="11"/>
  <c r="S1288" i="11"/>
  <c r="K1288" i="11"/>
  <c r="AH1288" i="11"/>
  <c r="Z1288" i="11"/>
  <c r="R1288" i="11"/>
  <c r="J1288" i="11"/>
  <c r="AF1288" i="11"/>
  <c r="X1288" i="11"/>
  <c r="P1288" i="11"/>
  <c r="H1288" i="11"/>
  <c r="AG1288" i="11"/>
  <c r="Q1288" i="11"/>
  <c r="AE1288" i="11"/>
  <c r="O1288" i="11"/>
  <c r="AD1288" i="11"/>
  <c r="N1288" i="11"/>
  <c r="AC1288" i="11"/>
  <c r="M1288" i="11"/>
  <c r="Y1288" i="11"/>
  <c r="I1288" i="11"/>
  <c r="U1288" i="11"/>
  <c r="G1288" i="11"/>
  <c r="F1288" i="11"/>
  <c r="E1288" i="11"/>
  <c r="W1288" i="11"/>
  <c r="V1288" i="11"/>
  <c r="AE1253" i="11"/>
  <c r="W1253" i="11"/>
  <c r="O1253" i="11"/>
  <c r="G1253" i="11"/>
  <c r="AD1253" i="11"/>
  <c r="V1253" i="11"/>
  <c r="N1253" i="11"/>
  <c r="F1253" i="11"/>
  <c r="AB1253" i="11"/>
  <c r="T1253" i="11"/>
  <c r="L1253" i="11"/>
  <c r="AA1253" i="11"/>
  <c r="P1253" i="11"/>
  <c r="Z1253" i="11"/>
  <c r="M1253" i="11"/>
  <c r="Y1253" i="11"/>
  <c r="K1253" i="11"/>
  <c r="AI1253" i="11"/>
  <c r="X1253" i="11"/>
  <c r="J1253" i="11"/>
  <c r="AH1253" i="11"/>
  <c r="U1253" i="11"/>
  <c r="I1253" i="11"/>
  <c r="AG1253" i="11"/>
  <c r="S1253" i="11"/>
  <c r="H1253" i="11"/>
  <c r="AF1253" i="11"/>
  <c r="R1253" i="11"/>
  <c r="E1253" i="11"/>
  <c r="AC1253" i="11"/>
  <c r="Q1253" i="11"/>
  <c r="AB1127" i="11"/>
  <c r="T1127" i="11"/>
  <c r="L1127" i="11"/>
  <c r="AI1127" i="11"/>
  <c r="AA1127" i="11"/>
  <c r="S1127" i="11"/>
  <c r="K1127" i="11"/>
  <c r="Z1127" i="11"/>
  <c r="P1127" i="11"/>
  <c r="F1127" i="11"/>
  <c r="Y1127" i="11"/>
  <c r="O1127" i="11"/>
  <c r="E1127" i="11"/>
  <c r="AH1127" i="11"/>
  <c r="X1127" i="11"/>
  <c r="N1127" i="11"/>
  <c r="AG1127" i="11"/>
  <c r="W1127" i="11"/>
  <c r="M1127" i="11"/>
  <c r="AF1127" i="11"/>
  <c r="V1127" i="11"/>
  <c r="J1127" i="11"/>
  <c r="AE1127" i="11"/>
  <c r="U1127" i="11"/>
  <c r="I1127" i="11"/>
  <c r="AD1127" i="11"/>
  <c r="R1127" i="11"/>
  <c r="H1127" i="11"/>
  <c r="AC1127" i="11"/>
  <c r="Q1127" i="11"/>
  <c r="G1127" i="11"/>
  <c r="AB1109" i="11"/>
  <c r="T1109" i="11"/>
  <c r="L1109" i="11"/>
  <c r="AI1109" i="11"/>
  <c r="AA1109" i="11"/>
  <c r="S1109" i="11"/>
  <c r="K1109" i="11"/>
  <c r="AH1109" i="11"/>
  <c r="Z1109" i="11"/>
  <c r="R1109" i="11"/>
  <c r="J1109" i="11"/>
  <c r="AG1109" i="11"/>
  <c r="Y1109" i="11"/>
  <c r="Q1109" i="11"/>
  <c r="I1109" i="11"/>
  <c r="AF1109" i="11"/>
  <c r="X1109" i="11"/>
  <c r="P1109" i="11"/>
  <c r="H1109" i="11"/>
  <c r="AD1109" i="11"/>
  <c r="V1109" i="11"/>
  <c r="N1109" i="11"/>
  <c r="F1109" i="11"/>
  <c r="U1109" i="11"/>
  <c r="O1109" i="11"/>
  <c r="M1109" i="11"/>
  <c r="G1109" i="11"/>
  <c r="E1109" i="11"/>
  <c r="AE1109" i="11"/>
  <c r="AC1109" i="11"/>
  <c r="W1109" i="11"/>
  <c r="K1033" i="11"/>
  <c r="I1033" i="11"/>
  <c r="AB1033" i="11" s="1"/>
  <c r="AC1033" i="11" s="1"/>
  <c r="O1033" i="11"/>
  <c r="G1033" i="11"/>
  <c r="N1033" i="11"/>
  <c r="M1033" i="11"/>
  <c r="L1033" i="11"/>
  <c r="J1033" i="11"/>
  <c r="H1033" i="11"/>
  <c r="AF1033" i="11"/>
  <c r="F1033" i="11"/>
  <c r="Q1033" i="11" s="1"/>
  <c r="E1033" i="11"/>
  <c r="L1010" i="11"/>
  <c r="K1010" i="11"/>
  <c r="J1010" i="11"/>
  <c r="I1010" i="11"/>
  <c r="H1010" i="11"/>
  <c r="AB1010" i="11" s="1"/>
  <c r="AC1010" i="11" s="1"/>
  <c r="AI1010" i="11"/>
  <c r="X1010" i="11"/>
  <c r="O1010" i="11"/>
  <c r="G1010" i="11"/>
  <c r="Q1010" i="11" s="1"/>
  <c r="S1010" i="11" s="1"/>
  <c r="N1010" i="11"/>
  <c r="F1010" i="11"/>
  <c r="Y1010" i="11" s="1"/>
  <c r="Z1010" i="11" s="1"/>
  <c r="AA1010" i="11" s="1"/>
  <c r="AF1010" i="11"/>
  <c r="M1010" i="11"/>
  <c r="E1010" i="11"/>
  <c r="AF795" i="11"/>
  <c r="X795" i="11"/>
  <c r="H795" i="11"/>
  <c r="W795" i="11"/>
  <c r="O795" i="11"/>
  <c r="G795" i="11"/>
  <c r="S795" i="11" s="1"/>
  <c r="Z795" i="11"/>
  <c r="AA795" i="11" s="1"/>
  <c r="N795" i="11"/>
  <c r="AI795" i="11"/>
  <c r="R795" i="11" s="1"/>
  <c r="Y795" i="11"/>
  <c r="M795" i="11"/>
  <c r="AG795" i="11"/>
  <c r="K795" i="11"/>
  <c r="T795" i="11"/>
  <c r="V795" i="11" s="1"/>
  <c r="J795" i="11"/>
  <c r="E795" i="11"/>
  <c r="Q795" i="11"/>
  <c r="AH795" i="11"/>
  <c r="L795" i="11"/>
  <c r="AB795" i="11" s="1"/>
  <c r="AC795" i="11" s="1"/>
  <c r="I795" i="11"/>
  <c r="F795" i="11"/>
  <c r="P795" i="11" s="1"/>
  <c r="AD795" i="11" s="1"/>
  <c r="AE757" i="11"/>
  <c r="W757" i="11"/>
  <c r="O757" i="11"/>
  <c r="G757" i="11"/>
  <c r="AD757" i="11"/>
  <c r="V757" i="11"/>
  <c r="N757" i="11"/>
  <c r="F757" i="11"/>
  <c r="AC757" i="11"/>
  <c r="U757" i="11"/>
  <c r="M757" i="11"/>
  <c r="E757" i="11"/>
  <c r="AB757" i="11"/>
  <c r="T757" i="11"/>
  <c r="L757" i="11"/>
  <c r="AI757" i="11"/>
  <c r="AA757" i="11"/>
  <c r="S757" i="11"/>
  <c r="K757" i="11"/>
  <c r="AH757" i="11"/>
  <c r="Z757" i="11"/>
  <c r="R757" i="11"/>
  <c r="J757" i="11"/>
  <c r="AG757" i="11"/>
  <c r="Y757" i="11"/>
  <c r="Q757" i="11"/>
  <c r="I757" i="11"/>
  <c r="H757" i="11"/>
  <c r="AF757" i="11"/>
  <c r="X757" i="11"/>
  <c r="P757" i="11"/>
  <c r="I926" i="11"/>
  <c r="AF926" i="11"/>
  <c r="H926" i="11"/>
  <c r="O926" i="11"/>
  <c r="G926" i="11"/>
  <c r="M926" i="11"/>
  <c r="E926" i="11"/>
  <c r="L926" i="11"/>
  <c r="N926" i="11"/>
  <c r="K926" i="11"/>
  <c r="J926" i="11"/>
  <c r="F926" i="11"/>
  <c r="AH575" i="11"/>
  <c r="Z575" i="11"/>
  <c r="R575" i="11"/>
  <c r="J575" i="11"/>
  <c r="AG575" i="11"/>
  <c r="Y575" i="11"/>
  <c r="Q575" i="11"/>
  <c r="I575" i="11"/>
  <c r="AF575" i="11"/>
  <c r="X575" i="11"/>
  <c r="P575" i="11"/>
  <c r="H575" i="11"/>
  <c r="AC575" i="11"/>
  <c r="U575" i="11"/>
  <c r="M575" i="11"/>
  <c r="E575" i="11"/>
  <c r="AB575" i="11"/>
  <c r="T575" i="11"/>
  <c r="L575" i="11"/>
  <c r="AE575" i="11"/>
  <c r="K575" i="11"/>
  <c r="AD575" i="11"/>
  <c r="G575" i="11"/>
  <c r="AA575" i="11"/>
  <c r="F575" i="11"/>
  <c r="W575" i="11"/>
  <c r="V575" i="11"/>
  <c r="AI575" i="11"/>
  <c r="S575" i="11"/>
  <c r="O575" i="11"/>
  <c r="N575" i="11"/>
  <c r="J651" i="11"/>
  <c r="I651" i="11"/>
  <c r="AF651" i="11"/>
  <c r="H651" i="11"/>
  <c r="O651" i="11"/>
  <c r="G651" i="11"/>
  <c r="Q651" i="11" s="1"/>
  <c r="N651" i="11"/>
  <c r="F651" i="11"/>
  <c r="M651" i="11"/>
  <c r="AB651" i="11" s="1"/>
  <c r="AC651" i="11" s="1"/>
  <c r="E651" i="11"/>
  <c r="L651" i="11"/>
  <c r="K651" i="11"/>
  <c r="AD561" i="11"/>
  <c r="V561" i="11"/>
  <c r="N561" i="11"/>
  <c r="F561" i="11"/>
  <c r="AC561" i="11"/>
  <c r="U561" i="11"/>
  <c r="M561" i="11"/>
  <c r="E561" i="11"/>
  <c r="AB561" i="11"/>
  <c r="T561" i="11"/>
  <c r="L561" i="11"/>
  <c r="AG561" i="11"/>
  <c r="Y561" i="11"/>
  <c r="Q561" i="11"/>
  <c r="I561" i="11"/>
  <c r="AF561" i="11"/>
  <c r="X561" i="11"/>
  <c r="P561" i="11"/>
  <c r="H561" i="11"/>
  <c r="W561" i="11"/>
  <c r="S561" i="11"/>
  <c r="R561" i="11"/>
  <c r="AI561" i="11"/>
  <c r="O561" i="11"/>
  <c r="AH561" i="11"/>
  <c r="K561" i="11"/>
  <c r="G561" i="11"/>
  <c r="AE561" i="11"/>
  <c r="AA561" i="11"/>
  <c r="Z561" i="11"/>
  <c r="J561" i="11"/>
  <c r="AD537" i="11"/>
  <c r="V537" i="11"/>
  <c r="N537" i="11"/>
  <c r="F537" i="11"/>
  <c r="AC537" i="11"/>
  <c r="U537" i="11"/>
  <c r="M537" i="11"/>
  <c r="E537" i="11"/>
  <c r="AB537" i="11"/>
  <c r="T537" i="11"/>
  <c r="L537" i="11"/>
  <c r="AH537" i="11"/>
  <c r="Z537" i="11"/>
  <c r="R537" i="11"/>
  <c r="J537" i="11"/>
  <c r="X537" i="11"/>
  <c r="H537" i="11"/>
  <c r="W537" i="11"/>
  <c r="G537" i="11"/>
  <c r="AI537" i="11"/>
  <c r="S537" i="11"/>
  <c r="AG537" i="11"/>
  <c r="Q537" i="11"/>
  <c r="AF537" i="11"/>
  <c r="P537" i="11"/>
  <c r="AA537" i="11"/>
  <c r="Y537" i="11"/>
  <c r="O537" i="11"/>
  <c r="K537" i="11"/>
  <c r="I537" i="11"/>
  <c r="AE537" i="11"/>
  <c r="AD573" i="11"/>
  <c r="V573" i="11"/>
  <c r="N573" i="11"/>
  <c r="F573" i="11"/>
  <c r="AC573" i="11"/>
  <c r="U573" i="11"/>
  <c r="M573" i="11"/>
  <c r="E573" i="11"/>
  <c r="AB573" i="11"/>
  <c r="T573" i="11"/>
  <c r="L573" i="11"/>
  <c r="AG573" i="11"/>
  <c r="Y573" i="11"/>
  <c r="Q573" i="11"/>
  <c r="I573" i="11"/>
  <c r="AF573" i="11"/>
  <c r="X573" i="11"/>
  <c r="P573" i="11"/>
  <c r="H573" i="11"/>
  <c r="W573" i="11"/>
  <c r="S573" i="11"/>
  <c r="R573" i="11"/>
  <c r="AI573" i="11"/>
  <c r="O573" i="11"/>
  <c r="AH573" i="11"/>
  <c r="K573" i="11"/>
  <c r="Z573" i="11"/>
  <c r="J573" i="11"/>
  <c r="G573" i="11"/>
  <c r="AE573" i="11"/>
  <c r="AA573" i="11"/>
  <c r="AB594" i="11"/>
  <c r="T594" i="11"/>
  <c r="L594" i="11"/>
  <c r="AI594" i="11"/>
  <c r="AA594" i="11"/>
  <c r="S594" i="11"/>
  <c r="K594" i="11"/>
  <c r="AH594" i="11"/>
  <c r="Z594" i="11"/>
  <c r="R594" i="11"/>
  <c r="J594" i="11"/>
  <c r="AG594" i="11"/>
  <c r="Y594" i="11"/>
  <c r="Q594" i="11"/>
  <c r="I594" i="11"/>
  <c r="AE594" i="11"/>
  <c r="W594" i="11"/>
  <c r="O594" i="11"/>
  <c r="G594" i="11"/>
  <c r="AD594" i="11"/>
  <c r="V594" i="11"/>
  <c r="N594" i="11"/>
  <c r="F594" i="11"/>
  <c r="U594" i="11"/>
  <c r="P594" i="11"/>
  <c r="M594" i="11"/>
  <c r="H594" i="11"/>
  <c r="E594" i="11"/>
  <c r="AF594" i="11"/>
  <c r="AC594" i="11"/>
  <c r="X594" i="11"/>
  <c r="AF484" i="11"/>
  <c r="X484" i="11"/>
  <c r="P484" i="11"/>
  <c r="H484" i="11"/>
  <c r="AE484" i="11"/>
  <c r="W484" i="11"/>
  <c r="O484" i="11"/>
  <c r="G484" i="11"/>
  <c r="AD484" i="11"/>
  <c r="V484" i="11"/>
  <c r="N484" i="11"/>
  <c r="F484" i="11"/>
  <c r="AB484" i="11"/>
  <c r="T484" i="11"/>
  <c r="L484" i="11"/>
  <c r="AA484" i="11"/>
  <c r="K484" i="11"/>
  <c r="Z484" i="11"/>
  <c r="J484" i="11"/>
  <c r="Y484" i="11"/>
  <c r="I484" i="11"/>
  <c r="U484" i="11"/>
  <c r="E484" i="11"/>
  <c r="AI484" i="11"/>
  <c r="S484" i="11"/>
  <c r="AG484" i="11"/>
  <c r="AC484" i="11"/>
  <c r="R484" i="11"/>
  <c r="Q484" i="11"/>
  <c r="M484" i="11"/>
  <c r="AH484" i="11"/>
  <c r="N766" i="11"/>
  <c r="F766" i="11"/>
  <c r="M766" i="11"/>
  <c r="E766" i="11"/>
  <c r="AI766" i="11" s="1"/>
  <c r="O766" i="11"/>
  <c r="L766" i="11"/>
  <c r="K766" i="11"/>
  <c r="J766" i="11"/>
  <c r="I766" i="11"/>
  <c r="AF766" i="11"/>
  <c r="H766" i="11"/>
  <c r="AB766" i="11" s="1"/>
  <c r="AC766" i="11" s="1"/>
  <c r="G766" i="11"/>
  <c r="AD597" i="11"/>
  <c r="V597" i="11"/>
  <c r="N597" i="11"/>
  <c r="F597" i="11"/>
  <c r="AC597" i="11"/>
  <c r="U597" i="11"/>
  <c r="M597" i="11"/>
  <c r="E597" i="11"/>
  <c r="AB597" i="11"/>
  <c r="T597" i="11"/>
  <c r="L597" i="11"/>
  <c r="AI597" i="11"/>
  <c r="AA597" i="11"/>
  <c r="S597" i="11"/>
  <c r="K597" i="11"/>
  <c r="AG597" i="11"/>
  <c r="Y597" i="11"/>
  <c r="Q597" i="11"/>
  <c r="I597" i="11"/>
  <c r="AF597" i="11"/>
  <c r="X597" i="11"/>
  <c r="P597" i="11"/>
  <c r="H597" i="11"/>
  <c r="AE597" i="11"/>
  <c r="Z597" i="11"/>
  <c r="W597" i="11"/>
  <c r="R597" i="11"/>
  <c r="O597" i="11"/>
  <c r="AH597" i="11"/>
  <c r="J597" i="11"/>
  <c r="G597" i="11"/>
  <c r="M367" i="11"/>
  <c r="E367" i="11"/>
  <c r="AB367" i="11"/>
  <c r="AC367" i="11" s="1"/>
  <c r="L367" i="11"/>
  <c r="R367" i="11"/>
  <c r="J367" i="11"/>
  <c r="Y367" i="11"/>
  <c r="Q367" i="11"/>
  <c r="I367" i="11"/>
  <c r="G367" i="11"/>
  <c r="AI367" i="11" s="1"/>
  <c r="F367" i="11"/>
  <c r="S367" i="11"/>
  <c r="AF367" i="11"/>
  <c r="P367" i="11"/>
  <c r="O367" i="11"/>
  <c r="N367" i="11"/>
  <c r="K367" i="11"/>
  <c r="H367" i="11"/>
  <c r="AG463" i="11"/>
  <c r="Y463" i="11"/>
  <c r="Q463" i="11"/>
  <c r="I463" i="11"/>
  <c r="AF463" i="11"/>
  <c r="X463" i="11"/>
  <c r="P463" i="11"/>
  <c r="H463" i="11"/>
  <c r="AD463" i="11"/>
  <c r="V463" i="11"/>
  <c r="N463" i="11"/>
  <c r="F463" i="11"/>
  <c r="AE463" i="11"/>
  <c r="S463" i="11"/>
  <c r="E463" i="11"/>
  <c r="AC463" i="11"/>
  <c r="R463" i="11"/>
  <c r="AB463" i="11"/>
  <c r="O463" i="11"/>
  <c r="AA463" i="11"/>
  <c r="M463" i="11"/>
  <c r="Z463" i="11"/>
  <c r="L463" i="11"/>
  <c r="T463" i="11"/>
  <c r="K463" i="11"/>
  <c r="J463" i="11"/>
  <c r="G463" i="11"/>
  <c r="AI463" i="11"/>
  <c r="AH463" i="11"/>
  <c r="W463" i="11"/>
  <c r="U463" i="11"/>
  <c r="O374" i="11"/>
  <c r="G374" i="11"/>
  <c r="N374" i="11"/>
  <c r="F374" i="11"/>
  <c r="L374" i="11"/>
  <c r="AI374" i="11"/>
  <c r="K374" i="11"/>
  <c r="J374" i="11"/>
  <c r="I374" i="11"/>
  <c r="H374" i="11"/>
  <c r="E374" i="11"/>
  <c r="AF374" i="11"/>
  <c r="M374" i="11"/>
  <c r="AB374" i="11" s="1"/>
  <c r="AC374" i="11" s="1"/>
  <c r="AC441" i="11"/>
  <c r="U441" i="11"/>
  <c r="M441" i="11"/>
  <c r="E441" i="11"/>
  <c r="AB441" i="11"/>
  <c r="T441" i="11"/>
  <c r="L441" i="11"/>
  <c r="AH441" i="11"/>
  <c r="Z441" i="11"/>
  <c r="R441" i="11"/>
  <c r="J441" i="11"/>
  <c r="Y441" i="11"/>
  <c r="N441" i="11"/>
  <c r="X441" i="11"/>
  <c r="K441" i="11"/>
  <c r="AI441" i="11"/>
  <c r="W441" i="11"/>
  <c r="I441" i="11"/>
  <c r="AG441" i="11"/>
  <c r="V441" i="11"/>
  <c r="H441" i="11"/>
  <c r="AF441" i="11"/>
  <c r="S441" i="11"/>
  <c r="G441" i="11"/>
  <c r="AD441" i="11"/>
  <c r="AA441" i="11"/>
  <c r="Q441" i="11"/>
  <c r="P441" i="11"/>
  <c r="O441" i="11"/>
  <c r="F441" i="11"/>
  <c r="AE441" i="11"/>
  <c r="AC314" i="11"/>
  <c r="U314" i="11"/>
  <c r="M314" i="11"/>
  <c r="E314" i="11"/>
  <c r="AB314" i="11"/>
  <c r="T314" i="11"/>
  <c r="L314" i="11"/>
  <c r="AH314" i="11"/>
  <c r="Z314" i="11"/>
  <c r="R314" i="11"/>
  <c r="J314" i="11"/>
  <c r="AF314" i="11"/>
  <c r="X314" i="11"/>
  <c r="P314" i="11"/>
  <c r="H314" i="11"/>
  <c r="AI314" i="11"/>
  <c r="S314" i="11"/>
  <c r="AG314" i="11"/>
  <c r="Q314" i="11"/>
  <c r="AE314" i="11"/>
  <c r="O314" i="11"/>
  <c r="AD314" i="11"/>
  <c r="N314" i="11"/>
  <c r="AA314" i="11"/>
  <c r="K314" i="11"/>
  <c r="Y314" i="11"/>
  <c r="I314" i="11"/>
  <c r="W314" i="11"/>
  <c r="V314" i="11"/>
  <c r="G314" i="11"/>
  <c r="F314" i="11"/>
  <c r="AC250" i="11"/>
  <c r="U250" i="11"/>
  <c r="M250" i="11"/>
  <c r="E250" i="11"/>
  <c r="AB250" i="11"/>
  <c r="T250" i="11"/>
  <c r="L250" i="11"/>
  <c r="AH250" i="11"/>
  <c r="Z250" i="11"/>
  <c r="R250" i="11"/>
  <c r="J250" i="11"/>
  <c r="AF250" i="11"/>
  <c r="X250" i="11"/>
  <c r="P250" i="11"/>
  <c r="H250" i="11"/>
  <c r="AI250" i="11"/>
  <c r="S250" i="11"/>
  <c r="AG250" i="11"/>
  <c r="Q250" i="11"/>
  <c r="AE250" i="11"/>
  <c r="O250" i="11"/>
  <c r="AD250" i="11"/>
  <c r="N250" i="11"/>
  <c r="AA250" i="11"/>
  <c r="K250" i="11"/>
  <c r="Y250" i="11"/>
  <c r="I250" i="11"/>
  <c r="W250" i="11"/>
  <c r="V250" i="11"/>
  <c r="G250" i="11"/>
  <c r="F250" i="11"/>
  <c r="AH511" i="11"/>
  <c r="Z511" i="11"/>
  <c r="R511" i="11"/>
  <c r="J511" i="11"/>
  <c r="AG511" i="11"/>
  <c r="Y511" i="11"/>
  <c r="Q511" i="11"/>
  <c r="I511" i="11"/>
  <c r="AF511" i="11"/>
  <c r="X511" i="11"/>
  <c r="P511" i="11"/>
  <c r="H511" i="11"/>
  <c r="AD511" i="11"/>
  <c r="V511" i="11"/>
  <c r="N511" i="11"/>
  <c r="F511" i="11"/>
  <c r="AC511" i="11"/>
  <c r="M511" i="11"/>
  <c r="AB511" i="11"/>
  <c r="L511" i="11"/>
  <c r="AA511" i="11"/>
  <c r="K511" i="11"/>
  <c r="W511" i="11"/>
  <c r="G511" i="11"/>
  <c r="U511" i="11"/>
  <c r="E511" i="11"/>
  <c r="AE511" i="11"/>
  <c r="T511" i="11"/>
  <c r="S511" i="11"/>
  <c r="O511" i="11"/>
  <c r="AI511" i="11"/>
  <c r="AD334" i="11"/>
  <c r="N334" i="11"/>
  <c r="F334" i="11"/>
  <c r="AI334" i="11"/>
  <c r="S334" i="11"/>
  <c r="K334" i="11"/>
  <c r="I334" i="11"/>
  <c r="AB334" i="11" s="1"/>
  <c r="AC334" i="11" s="1"/>
  <c r="AF334" i="11"/>
  <c r="H334" i="11"/>
  <c r="G334" i="11"/>
  <c r="Q334" i="11" s="1"/>
  <c r="P334" i="11"/>
  <c r="E334" i="11"/>
  <c r="O334" i="11"/>
  <c r="Y334" i="11"/>
  <c r="M334" i="11"/>
  <c r="J334" i="11"/>
  <c r="X334" i="11"/>
  <c r="L334" i="11"/>
  <c r="R334" i="11" s="1"/>
  <c r="AE305" i="11"/>
  <c r="W305" i="11"/>
  <c r="O305" i="11"/>
  <c r="G305" i="11"/>
  <c r="AD305" i="11"/>
  <c r="V305" i="11"/>
  <c r="N305" i="11"/>
  <c r="F305" i="11"/>
  <c r="AB305" i="11"/>
  <c r="T305" i="11"/>
  <c r="L305" i="11"/>
  <c r="AH305" i="11"/>
  <c r="Z305" i="11"/>
  <c r="R305" i="11"/>
  <c r="J305" i="11"/>
  <c r="X305" i="11"/>
  <c r="H305" i="11"/>
  <c r="U305" i="11"/>
  <c r="E305" i="11"/>
  <c r="AI305" i="11"/>
  <c r="S305" i="11"/>
  <c r="AG305" i="11"/>
  <c r="Q305" i="11"/>
  <c r="AF305" i="11"/>
  <c r="P305" i="11"/>
  <c r="AC305" i="11"/>
  <c r="M305" i="11"/>
  <c r="K305" i="11"/>
  <c r="I305" i="11"/>
  <c r="AA305" i="11"/>
  <c r="Y305" i="11"/>
  <c r="O273" i="11"/>
  <c r="G273" i="11"/>
  <c r="N273" i="11"/>
  <c r="F273" i="11"/>
  <c r="L273" i="11"/>
  <c r="R273" i="11"/>
  <c r="J273" i="11"/>
  <c r="H273" i="11"/>
  <c r="E273" i="11"/>
  <c r="P273" i="11" s="1"/>
  <c r="AI273" i="11"/>
  <c r="AG273" i="11"/>
  <c r="Q273" i="11"/>
  <c r="AF273" i="11"/>
  <c r="M273" i="11"/>
  <c r="S273" i="11" s="1"/>
  <c r="K273" i="11"/>
  <c r="I273" i="11"/>
  <c r="Y273" i="11"/>
  <c r="AC234" i="11"/>
  <c r="U234" i="11"/>
  <c r="M234" i="11"/>
  <c r="E234" i="11"/>
  <c r="AB234" i="11"/>
  <c r="T234" i="11"/>
  <c r="L234" i="11"/>
  <c r="AA234" i="11"/>
  <c r="Q234" i="11"/>
  <c r="G234" i="11"/>
  <c r="Z234" i="11"/>
  <c r="P234" i="11"/>
  <c r="F234" i="11"/>
  <c r="AI234" i="11"/>
  <c r="Y234" i="11"/>
  <c r="O234" i="11"/>
  <c r="AH234" i="11"/>
  <c r="X234" i="11"/>
  <c r="N234" i="11"/>
  <c r="AG234" i="11"/>
  <c r="W234" i="11"/>
  <c r="K234" i="11"/>
  <c r="AF234" i="11"/>
  <c r="V234" i="11"/>
  <c r="J234" i="11"/>
  <c r="AD234" i="11"/>
  <c r="S234" i="11"/>
  <c r="R234" i="11"/>
  <c r="I234" i="11"/>
  <c r="H234" i="11"/>
  <c r="AE234" i="11"/>
  <c r="AC473" i="11"/>
  <c r="U473" i="11"/>
  <c r="M473" i="11"/>
  <c r="E473" i="11"/>
  <c r="AB473" i="11"/>
  <c r="T473" i="11"/>
  <c r="L473" i="11"/>
  <c r="AH473" i="11"/>
  <c r="Z473" i="11"/>
  <c r="R473" i="11"/>
  <c r="J473" i="11"/>
  <c r="Y473" i="11"/>
  <c r="N473" i="11"/>
  <c r="X473" i="11"/>
  <c r="K473" i="11"/>
  <c r="AI473" i="11"/>
  <c r="W473" i="11"/>
  <c r="I473" i="11"/>
  <c r="AG473" i="11"/>
  <c r="V473" i="11"/>
  <c r="H473" i="11"/>
  <c r="AF473" i="11"/>
  <c r="S473" i="11"/>
  <c r="G473" i="11"/>
  <c r="AD473" i="11"/>
  <c r="AA473" i="11"/>
  <c r="Q473" i="11"/>
  <c r="P473" i="11"/>
  <c r="O473" i="11"/>
  <c r="F473" i="11"/>
  <c r="AE473" i="11"/>
  <c r="I292" i="11"/>
  <c r="AB292" i="11" s="1"/>
  <c r="AC292" i="11" s="1"/>
  <c r="AF292" i="11"/>
  <c r="H292" i="11"/>
  <c r="N292" i="11"/>
  <c r="F292" i="11"/>
  <c r="Q292" i="11" s="1"/>
  <c r="L292" i="11"/>
  <c r="K292" i="11"/>
  <c r="J292" i="11"/>
  <c r="G292" i="11"/>
  <c r="P292" i="11" s="1"/>
  <c r="R292" i="11" s="1"/>
  <c r="X292" i="11" s="1"/>
  <c r="E292" i="11"/>
  <c r="S292" i="11"/>
  <c r="Y292" i="11" s="1"/>
  <c r="O292" i="11"/>
  <c r="M292" i="11"/>
  <c r="Q260" i="11"/>
  <c r="I260" i="11"/>
  <c r="AF260" i="11"/>
  <c r="P260" i="11"/>
  <c r="R260" i="11" s="1"/>
  <c r="H260" i="11"/>
  <c r="N260" i="11"/>
  <c r="F260" i="11"/>
  <c r="L260" i="11"/>
  <c r="K260" i="11"/>
  <c r="J260" i="11"/>
  <c r="G260" i="11"/>
  <c r="E260" i="11"/>
  <c r="O260" i="11"/>
  <c r="M260" i="11"/>
  <c r="AH507" i="11"/>
  <c r="Z507" i="11"/>
  <c r="R507" i="11"/>
  <c r="J507" i="11"/>
  <c r="AG507" i="11"/>
  <c r="Y507" i="11"/>
  <c r="Q507" i="11"/>
  <c r="I507" i="11"/>
  <c r="AF507" i="11"/>
  <c r="X507" i="11"/>
  <c r="P507" i="11"/>
  <c r="H507" i="11"/>
  <c r="AD507" i="11"/>
  <c r="V507" i="11"/>
  <c r="N507" i="11"/>
  <c r="F507" i="11"/>
  <c r="AC507" i="11"/>
  <c r="M507" i="11"/>
  <c r="AB507" i="11"/>
  <c r="L507" i="11"/>
  <c r="AA507" i="11"/>
  <c r="K507" i="11"/>
  <c r="W507" i="11"/>
  <c r="G507" i="11"/>
  <c r="U507" i="11"/>
  <c r="E507" i="11"/>
  <c r="AE507" i="11"/>
  <c r="T507" i="11"/>
  <c r="S507" i="11"/>
  <c r="O507" i="11"/>
  <c r="AI507" i="11"/>
  <c r="I389" i="11"/>
  <c r="AF389" i="11"/>
  <c r="H389" i="11"/>
  <c r="N389" i="11"/>
  <c r="F389" i="11"/>
  <c r="M389" i="11"/>
  <c r="E389" i="11"/>
  <c r="O389" i="11"/>
  <c r="L389" i="11"/>
  <c r="K389" i="11"/>
  <c r="J389" i="11"/>
  <c r="G389" i="11"/>
  <c r="AI389" i="11"/>
  <c r="I357" i="11"/>
  <c r="AF357" i="11"/>
  <c r="H357" i="11"/>
  <c r="N357" i="11"/>
  <c r="F357" i="11"/>
  <c r="M357" i="11"/>
  <c r="E357" i="11"/>
  <c r="O357" i="11"/>
  <c r="L357" i="11"/>
  <c r="AB357" i="11" s="1"/>
  <c r="AC357" i="11" s="1"/>
  <c r="K357" i="11"/>
  <c r="J357" i="11"/>
  <c r="G357" i="11"/>
  <c r="I154" i="11"/>
  <c r="AF154" i="11"/>
  <c r="H154" i="11"/>
  <c r="N154" i="11"/>
  <c r="F154" i="11"/>
  <c r="M154" i="11"/>
  <c r="E154" i="11"/>
  <c r="L154" i="11"/>
  <c r="O154" i="11"/>
  <c r="K154" i="11"/>
  <c r="J154" i="11"/>
  <c r="G154" i="11"/>
  <c r="O215" i="11"/>
  <c r="G215" i="11"/>
  <c r="N215" i="11"/>
  <c r="F215" i="11"/>
  <c r="M215" i="11"/>
  <c r="E215" i="11"/>
  <c r="L215" i="11"/>
  <c r="AI215" i="11"/>
  <c r="K215" i="11"/>
  <c r="J215" i="11"/>
  <c r="H215" i="11"/>
  <c r="AF215" i="11"/>
  <c r="I215" i="11"/>
  <c r="O183" i="11"/>
  <c r="G183" i="11"/>
  <c r="N183" i="11"/>
  <c r="F183" i="11"/>
  <c r="Q183" i="11" s="1"/>
  <c r="M183" i="11"/>
  <c r="E183" i="11"/>
  <c r="L183" i="11"/>
  <c r="AI183" i="11"/>
  <c r="K183" i="11"/>
  <c r="J183" i="11"/>
  <c r="H183" i="11"/>
  <c r="AB183" i="11" s="1"/>
  <c r="AC183" i="11" s="1"/>
  <c r="AF183" i="11"/>
  <c r="I183" i="11"/>
  <c r="AG244" i="11"/>
  <c r="Y244" i="11"/>
  <c r="Q244" i="11"/>
  <c r="I244" i="11"/>
  <c r="AF244" i="11"/>
  <c r="X244" i="11"/>
  <c r="P244" i="11"/>
  <c r="H244" i="11"/>
  <c r="AD244" i="11"/>
  <c r="V244" i="11"/>
  <c r="N244" i="11"/>
  <c r="F244" i="11"/>
  <c r="W244" i="11"/>
  <c r="K244" i="11"/>
  <c r="AI244" i="11"/>
  <c r="U244" i="11"/>
  <c r="J244" i="11"/>
  <c r="AH244" i="11"/>
  <c r="T244" i="11"/>
  <c r="G244" i="11"/>
  <c r="AE244" i="11"/>
  <c r="S244" i="11"/>
  <c r="E244" i="11"/>
  <c r="AC244" i="11"/>
  <c r="R244" i="11"/>
  <c r="AB244" i="11"/>
  <c r="O244" i="11"/>
  <c r="L244" i="11"/>
  <c r="AA244" i="11"/>
  <c r="Z244" i="11"/>
  <c r="M244" i="11"/>
  <c r="O143" i="11"/>
  <c r="G143" i="11"/>
  <c r="N143" i="11"/>
  <c r="F143" i="11"/>
  <c r="L143" i="11"/>
  <c r="AI143" i="11"/>
  <c r="K143" i="11"/>
  <c r="J143" i="11"/>
  <c r="H143" i="11"/>
  <c r="E143" i="11"/>
  <c r="Q143" i="11" s="1"/>
  <c r="M143" i="11"/>
  <c r="AF143" i="11"/>
  <c r="I143" i="11"/>
  <c r="I206" i="11"/>
  <c r="AF206" i="11"/>
  <c r="H206" i="11"/>
  <c r="O206" i="11"/>
  <c r="G206" i="11"/>
  <c r="Q206" i="11" s="1"/>
  <c r="N206" i="11"/>
  <c r="F206" i="11"/>
  <c r="M206" i="11"/>
  <c r="E206" i="11"/>
  <c r="L206" i="11"/>
  <c r="K206" i="11"/>
  <c r="J206" i="11"/>
  <c r="AI206" i="11"/>
  <c r="I174" i="11"/>
  <c r="AB174" i="11" s="1"/>
  <c r="AC174" i="11" s="1"/>
  <c r="AF174" i="11"/>
  <c r="H174" i="11"/>
  <c r="O174" i="11"/>
  <c r="G174" i="11"/>
  <c r="N174" i="11"/>
  <c r="F174" i="11"/>
  <c r="M174" i="11"/>
  <c r="E174" i="11"/>
  <c r="L174" i="11"/>
  <c r="K174" i="11"/>
  <c r="J174" i="11"/>
  <c r="M152" i="11"/>
  <c r="E152" i="11"/>
  <c r="AB152" i="11"/>
  <c r="AC152" i="11" s="1"/>
  <c r="L152" i="11"/>
  <c r="R152" i="11"/>
  <c r="J152" i="11"/>
  <c r="Q152" i="11"/>
  <c r="S152" i="11" s="1"/>
  <c r="Y152" i="11" s="1"/>
  <c r="I152" i="11"/>
  <c r="AF152" i="11"/>
  <c r="P152" i="11"/>
  <c r="H152" i="11"/>
  <c r="N152" i="11"/>
  <c r="K152" i="11"/>
  <c r="G152" i="11"/>
  <c r="F152" i="11"/>
  <c r="O152" i="11"/>
  <c r="AE237" i="11"/>
  <c r="W237" i="11"/>
  <c r="O237" i="11"/>
  <c r="G237" i="11"/>
  <c r="AD237" i="11"/>
  <c r="V237" i="11"/>
  <c r="N237" i="11"/>
  <c r="F237" i="11"/>
  <c r="AC237" i="11"/>
  <c r="S237" i="11"/>
  <c r="I237" i="11"/>
  <c r="AB237" i="11"/>
  <c r="R237" i="11"/>
  <c r="H237" i="11"/>
  <c r="AA237" i="11"/>
  <c r="Q237" i="11"/>
  <c r="E237" i="11"/>
  <c r="Z237" i="11"/>
  <c r="P237" i="11"/>
  <c r="AI237" i="11"/>
  <c r="Y237" i="11"/>
  <c r="M237" i="11"/>
  <c r="AH237" i="11"/>
  <c r="X237" i="11"/>
  <c r="L237" i="11"/>
  <c r="AF237" i="11"/>
  <c r="U237" i="11"/>
  <c r="T237" i="11"/>
  <c r="K237" i="11"/>
  <c r="J237" i="11"/>
  <c r="AG237" i="11"/>
  <c r="O221" i="11"/>
  <c r="G221" i="11"/>
  <c r="N221" i="11"/>
  <c r="F221" i="11"/>
  <c r="I221" i="11"/>
  <c r="AB221" i="11"/>
  <c r="AC221" i="11" s="1"/>
  <c r="H221" i="11"/>
  <c r="E221" i="11"/>
  <c r="M221" i="11"/>
  <c r="L221" i="11"/>
  <c r="AF221" i="11"/>
  <c r="K221" i="11"/>
  <c r="J221" i="11"/>
  <c r="L96" i="11"/>
  <c r="R96" i="11"/>
  <c r="I96" i="11"/>
  <c r="Q96" i="11"/>
  <c r="H96" i="11"/>
  <c r="P96" i="11"/>
  <c r="G96" i="11"/>
  <c r="AI96" i="11" s="1"/>
  <c r="X96" i="11"/>
  <c r="O96" i="11"/>
  <c r="F96" i="11"/>
  <c r="AF96" i="11"/>
  <c r="N96" i="11"/>
  <c r="E96" i="11"/>
  <c r="M96" i="11"/>
  <c r="AB96" i="11" s="1"/>
  <c r="AC96" i="11" s="1"/>
  <c r="K96" i="11"/>
  <c r="J96" i="11"/>
  <c r="AG328" i="11"/>
  <c r="Y328" i="11"/>
  <c r="Q328" i="11"/>
  <c r="I328" i="11"/>
  <c r="AF328" i="11"/>
  <c r="X328" i="11"/>
  <c r="P328" i="11"/>
  <c r="H328" i="11"/>
  <c r="AE328" i="11"/>
  <c r="W328" i="11"/>
  <c r="O328" i="11"/>
  <c r="G328" i="11"/>
  <c r="AD328" i="11"/>
  <c r="V328" i="11"/>
  <c r="N328" i="11"/>
  <c r="F328" i="11"/>
  <c r="AB328" i="11"/>
  <c r="T328" i="11"/>
  <c r="L328" i="11"/>
  <c r="S328" i="11"/>
  <c r="R328" i="11"/>
  <c r="AI328" i="11"/>
  <c r="M328" i="11"/>
  <c r="AH328" i="11"/>
  <c r="K328" i="11"/>
  <c r="AC328" i="11"/>
  <c r="J328" i="11"/>
  <c r="AA328" i="11"/>
  <c r="E328" i="11"/>
  <c r="Z328" i="11"/>
  <c r="U328" i="11"/>
  <c r="M188" i="11"/>
  <c r="E188" i="11"/>
  <c r="L188" i="11"/>
  <c r="AB188" i="11" s="1"/>
  <c r="AC188" i="11" s="1"/>
  <c r="K188" i="11"/>
  <c r="J188" i="11"/>
  <c r="Q188" i="11"/>
  <c r="S188" i="11" s="1"/>
  <c r="I188" i="11"/>
  <c r="AF188" i="11"/>
  <c r="H188" i="11"/>
  <c r="O188" i="11"/>
  <c r="N188" i="11"/>
  <c r="G188" i="11"/>
  <c r="F188" i="11"/>
  <c r="D1258" i="11"/>
  <c r="D1239" i="11"/>
  <c r="D1235" i="11"/>
  <c r="D1251" i="11"/>
  <c r="D1247" i="11"/>
  <c r="D1243" i="11"/>
  <c r="D1240" i="11"/>
  <c r="D1231" i="11"/>
  <c r="D1232" i="11"/>
  <c r="D1236" i="11"/>
  <c r="N51" i="11"/>
  <c r="F51" i="11"/>
  <c r="M51" i="11"/>
  <c r="E51" i="11"/>
  <c r="AB51" i="11"/>
  <c r="AC51" i="11" s="1"/>
  <c r="L51" i="11"/>
  <c r="AI51" i="11"/>
  <c r="K51" i="11"/>
  <c r="J51" i="11"/>
  <c r="Q51" i="11"/>
  <c r="S51" i="11" s="1"/>
  <c r="Y51" i="11" s="1"/>
  <c r="I51" i="11"/>
  <c r="AF51" i="11"/>
  <c r="P51" i="11"/>
  <c r="R51" i="11" s="1"/>
  <c r="H51" i="11"/>
  <c r="O51" i="11"/>
  <c r="G51" i="11"/>
  <c r="N19" i="11"/>
  <c r="F19" i="11"/>
  <c r="M19" i="11"/>
  <c r="E19" i="11"/>
  <c r="L19" i="11"/>
  <c r="K19" i="11"/>
  <c r="R19" i="11"/>
  <c r="J19" i="11"/>
  <c r="I19" i="11"/>
  <c r="AF19" i="11"/>
  <c r="P19" i="11"/>
  <c r="H19" i="11"/>
  <c r="O19" i="11"/>
  <c r="G19" i="11"/>
  <c r="N115" i="11"/>
  <c r="F115" i="11"/>
  <c r="G115" i="11"/>
  <c r="O115" i="11"/>
  <c r="E115" i="11"/>
  <c r="AF115" i="11"/>
  <c r="M115" i="11"/>
  <c r="L115" i="11"/>
  <c r="K115" i="11"/>
  <c r="J115" i="11"/>
  <c r="I115" i="11"/>
  <c r="H115" i="11"/>
  <c r="AB60" i="11"/>
  <c r="AC60" i="11" s="1"/>
  <c r="L60" i="11"/>
  <c r="AI60" i="11"/>
  <c r="K60" i="11"/>
  <c r="J60" i="11"/>
  <c r="I60" i="11"/>
  <c r="AF60" i="11"/>
  <c r="H60" i="11"/>
  <c r="O60" i="11"/>
  <c r="G60" i="11"/>
  <c r="N60" i="11"/>
  <c r="F60" i="11"/>
  <c r="M60" i="11"/>
  <c r="E60" i="11"/>
  <c r="L28" i="11"/>
  <c r="K28" i="11"/>
  <c r="J28" i="11"/>
  <c r="I28" i="11"/>
  <c r="AB28" i="11" s="1"/>
  <c r="AF28" i="11"/>
  <c r="H28" i="11"/>
  <c r="O28" i="11"/>
  <c r="G28" i="11"/>
  <c r="N28" i="11"/>
  <c r="F28" i="11"/>
  <c r="M28" i="11"/>
  <c r="E28" i="11"/>
  <c r="Q28" i="11" s="1"/>
  <c r="S28" i="11" s="1"/>
  <c r="Y28" i="11" s="1"/>
  <c r="AC28" i="11"/>
  <c r="AI1061" i="11"/>
  <c r="AA1061" i="11"/>
  <c r="S1061" i="11"/>
  <c r="K1061" i="11"/>
  <c r="AH1061" i="11"/>
  <c r="Z1061" i="11"/>
  <c r="R1061" i="11"/>
  <c r="J1061" i="11"/>
  <c r="AG1061" i="11"/>
  <c r="Y1061" i="11"/>
  <c r="Q1061" i="11"/>
  <c r="I1061" i="11"/>
  <c r="AF1061" i="11"/>
  <c r="X1061" i="11"/>
  <c r="P1061" i="11"/>
  <c r="H1061" i="11"/>
  <c r="AD1061" i="11"/>
  <c r="V1061" i="11"/>
  <c r="N1061" i="11"/>
  <c r="F1061" i="11"/>
  <c r="U1061" i="11"/>
  <c r="T1061" i="11"/>
  <c r="O1061" i="11"/>
  <c r="M1061" i="11"/>
  <c r="AE1061" i="11"/>
  <c r="L1061" i="11"/>
  <c r="AC1061" i="11"/>
  <c r="G1061" i="11"/>
  <c r="AB1061" i="11"/>
  <c r="E1061" i="11"/>
  <c r="W1061" i="11"/>
  <c r="D832" i="11"/>
  <c r="D828" i="11"/>
  <c r="D824" i="11"/>
  <c r="D820" i="11"/>
  <c r="D818" i="11"/>
  <c r="D810" i="11"/>
  <c r="D804" i="11"/>
  <c r="D800" i="11"/>
  <c r="D816" i="11"/>
  <c r="D806" i="11"/>
  <c r="D802" i="11"/>
  <c r="D798" i="11"/>
  <c r="D814" i="11"/>
  <c r="D808" i="11"/>
  <c r="D826" i="11"/>
  <c r="V28" i="9"/>
  <c r="X28" i="9" s="1"/>
  <c r="AG1199" i="11"/>
  <c r="Y1199" i="11"/>
  <c r="Q1199" i="11"/>
  <c r="I1199" i="11"/>
  <c r="AF1199" i="11"/>
  <c r="X1199" i="11"/>
  <c r="P1199" i="11"/>
  <c r="H1199" i="11"/>
  <c r="AE1199" i="11"/>
  <c r="W1199" i="11"/>
  <c r="O1199" i="11"/>
  <c r="G1199" i="11"/>
  <c r="AD1199" i="11"/>
  <c r="V1199" i="11"/>
  <c r="N1199" i="11"/>
  <c r="F1199" i="11"/>
  <c r="AC1199" i="11"/>
  <c r="U1199" i="11"/>
  <c r="M1199" i="11"/>
  <c r="E1199" i="11"/>
  <c r="Z1199" i="11"/>
  <c r="T1199" i="11"/>
  <c r="S1199" i="11"/>
  <c r="R1199" i="11"/>
  <c r="AI1199" i="11"/>
  <c r="L1199" i="11"/>
  <c r="AH1199" i="11"/>
  <c r="K1199" i="11"/>
  <c r="AB1199" i="11"/>
  <c r="J1199" i="11"/>
  <c r="AA1199" i="11"/>
  <c r="AE1224" i="11"/>
  <c r="W1224" i="11"/>
  <c r="O1224" i="11"/>
  <c r="G1224" i="11"/>
  <c r="AC1224" i="11"/>
  <c r="U1224" i="11"/>
  <c r="M1224" i="11"/>
  <c r="E1224" i="11"/>
  <c r="AI1224" i="11"/>
  <c r="AA1224" i="11"/>
  <c r="S1224" i="11"/>
  <c r="K1224" i="11"/>
  <c r="AB1224" i="11"/>
  <c r="P1224" i="11"/>
  <c r="Z1224" i="11"/>
  <c r="N1224" i="11"/>
  <c r="Y1224" i="11"/>
  <c r="L1224" i="11"/>
  <c r="X1224" i="11"/>
  <c r="J1224" i="11"/>
  <c r="AH1224" i="11"/>
  <c r="V1224" i="11"/>
  <c r="I1224" i="11"/>
  <c r="H1224" i="11"/>
  <c r="F1224" i="11"/>
  <c r="AG1224" i="11"/>
  <c r="AF1224" i="11"/>
  <c r="AD1224" i="11"/>
  <c r="T1224" i="11"/>
  <c r="R1224" i="11"/>
  <c r="Q1224" i="11"/>
  <c r="AI1144" i="11"/>
  <c r="AA1144" i="11"/>
  <c r="S1144" i="11"/>
  <c r="K1144" i="11"/>
  <c r="AH1144" i="11"/>
  <c r="Z1144" i="11"/>
  <c r="R1144" i="11"/>
  <c r="J1144" i="11"/>
  <c r="AG1144" i="11"/>
  <c r="Y1144" i="11"/>
  <c r="Q1144" i="11"/>
  <c r="I1144" i="11"/>
  <c r="AE1144" i="11"/>
  <c r="W1144" i="11"/>
  <c r="O1144" i="11"/>
  <c r="G1144" i="11"/>
  <c r="AC1144" i="11"/>
  <c r="U1144" i="11"/>
  <c r="M1144" i="11"/>
  <c r="E1144" i="11"/>
  <c r="X1144" i="11"/>
  <c r="V1144" i="11"/>
  <c r="T1144" i="11"/>
  <c r="P1144" i="11"/>
  <c r="N1144" i="11"/>
  <c r="AF1144" i="11"/>
  <c r="L1144" i="11"/>
  <c r="AD1144" i="11"/>
  <c r="H1144" i="11"/>
  <c r="AB1144" i="11"/>
  <c r="F1144" i="11"/>
  <c r="J113" i="11"/>
  <c r="K113" i="11"/>
  <c r="I113" i="11"/>
  <c r="H113" i="11"/>
  <c r="AI113" i="11"/>
  <c r="G113" i="11"/>
  <c r="O113" i="11"/>
  <c r="F113" i="11"/>
  <c r="AF113" i="11"/>
  <c r="N113" i="11"/>
  <c r="E113" i="11"/>
  <c r="M113" i="11"/>
  <c r="L113" i="11"/>
  <c r="AB113" i="11" s="1"/>
  <c r="AC113" i="11" s="1"/>
  <c r="J57" i="11"/>
  <c r="I57" i="11"/>
  <c r="AF57" i="11"/>
  <c r="H57" i="11"/>
  <c r="O57" i="11"/>
  <c r="G57" i="11"/>
  <c r="N57" i="11"/>
  <c r="F57" i="11"/>
  <c r="M57" i="11"/>
  <c r="E57" i="11"/>
  <c r="L57" i="11"/>
  <c r="K57" i="11"/>
  <c r="J25" i="11"/>
  <c r="Q25" i="11"/>
  <c r="I25" i="11"/>
  <c r="AF25" i="11"/>
  <c r="H25" i="11"/>
  <c r="AB25" i="11" s="1"/>
  <c r="AC25" i="11" s="1"/>
  <c r="O25" i="11"/>
  <c r="G25" i="11"/>
  <c r="N25" i="11"/>
  <c r="F25" i="11"/>
  <c r="M25" i="11"/>
  <c r="E25" i="11"/>
  <c r="L25" i="11"/>
  <c r="AI25" i="11"/>
  <c r="K25" i="11"/>
  <c r="AI1338" i="11"/>
  <c r="AA1338" i="11"/>
  <c r="S1338" i="11"/>
  <c r="K1338" i="11"/>
  <c r="AH1338" i="11"/>
  <c r="Z1338" i="11"/>
  <c r="R1338" i="11"/>
  <c r="J1338" i="11"/>
  <c r="AE1338" i="11"/>
  <c r="W1338" i="11"/>
  <c r="O1338" i="11"/>
  <c r="G1338" i="11"/>
  <c r="AD1338" i="11"/>
  <c r="V1338" i="11"/>
  <c r="N1338" i="11"/>
  <c r="F1338" i="11"/>
  <c r="Y1338" i="11"/>
  <c r="I1338" i="11"/>
  <c r="X1338" i="11"/>
  <c r="H1338" i="11"/>
  <c r="U1338" i="11"/>
  <c r="E1338" i="11"/>
  <c r="T1338" i="11"/>
  <c r="AG1338" i="11"/>
  <c r="Q1338" i="11"/>
  <c r="AF1338" i="11"/>
  <c r="AC1338" i="11"/>
  <c r="AB1338" i="11"/>
  <c r="P1338" i="11"/>
  <c r="M1338" i="11"/>
  <c r="L1338" i="11"/>
  <c r="AF1362" i="11"/>
  <c r="X1362" i="11"/>
  <c r="P1362" i="11"/>
  <c r="H1362" i="11"/>
  <c r="AE1362" i="11"/>
  <c r="W1362" i="11"/>
  <c r="O1362" i="11"/>
  <c r="G1362" i="11"/>
  <c r="AD1362" i="11"/>
  <c r="V1362" i="11"/>
  <c r="N1362" i="11"/>
  <c r="F1362" i="11"/>
  <c r="AC1362" i="11"/>
  <c r="U1362" i="11"/>
  <c r="M1362" i="11"/>
  <c r="E1362" i="11"/>
  <c r="AB1362" i="11"/>
  <c r="Z1362" i="11"/>
  <c r="J1362" i="11"/>
  <c r="Y1362" i="11"/>
  <c r="I1362" i="11"/>
  <c r="T1362" i="11"/>
  <c r="S1362" i="11"/>
  <c r="AI1362" i="11"/>
  <c r="R1362" i="11"/>
  <c r="AH1362" i="11"/>
  <c r="Q1362" i="11"/>
  <c r="AG1362" i="11"/>
  <c r="L1362" i="11"/>
  <c r="K1362" i="11"/>
  <c r="AA1362" i="11"/>
  <c r="AH1285" i="11"/>
  <c r="Z1285" i="11"/>
  <c r="R1285" i="11"/>
  <c r="J1285" i="11"/>
  <c r="AG1285" i="11"/>
  <c r="Y1285" i="11"/>
  <c r="Q1285" i="11"/>
  <c r="I1285" i="11"/>
  <c r="AF1285" i="11"/>
  <c r="X1285" i="11"/>
  <c r="P1285" i="11"/>
  <c r="H1285" i="11"/>
  <c r="AD1285" i="11"/>
  <c r="V1285" i="11"/>
  <c r="N1285" i="11"/>
  <c r="F1285" i="11"/>
  <c r="AC1285" i="11"/>
  <c r="M1285" i="11"/>
  <c r="AB1285" i="11"/>
  <c r="L1285" i="11"/>
  <c r="AA1285" i="11"/>
  <c r="K1285" i="11"/>
  <c r="W1285" i="11"/>
  <c r="G1285" i="11"/>
  <c r="U1285" i="11"/>
  <c r="E1285" i="11"/>
  <c r="T1285" i="11"/>
  <c r="S1285" i="11"/>
  <c r="O1285" i="11"/>
  <c r="AI1285" i="11"/>
  <c r="AE1285" i="11"/>
  <c r="AF996" i="11"/>
  <c r="H996" i="11"/>
  <c r="O996" i="11"/>
  <c r="G996" i="11"/>
  <c r="N996" i="11"/>
  <c r="F996" i="11"/>
  <c r="M996" i="11"/>
  <c r="E996" i="11"/>
  <c r="K996" i="11"/>
  <c r="J996" i="11"/>
  <c r="I996" i="11"/>
  <c r="AB996" i="11" s="1"/>
  <c r="AC996" i="11" s="1"/>
  <c r="L996" i="11"/>
  <c r="J858" i="11"/>
  <c r="I858" i="11"/>
  <c r="AF858" i="11"/>
  <c r="H858" i="11"/>
  <c r="N858" i="11"/>
  <c r="F858" i="11"/>
  <c r="M858" i="11"/>
  <c r="E858" i="11"/>
  <c r="O858" i="11"/>
  <c r="L858" i="11"/>
  <c r="K858" i="11"/>
  <c r="G858" i="11"/>
  <c r="AF696" i="11"/>
  <c r="X696" i="11"/>
  <c r="P696" i="11"/>
  <c r="H696" i="11"/>
  <c r="AE696" i="11"/>
  <c r="W696" i="11"/>
  <c r="O696" i="11"/>
  <c r="G696" i="11"/>
  <c r="AD696" i="11"/>
  <c r="V696" i="11"/>
  <c r="N696" i="11"/>
  <c r="F696" i="11"/>
  <c r="AC696" i="11"/>
  <c r="U696" i="11"/>
  <c r="M696" i="11"/>
  <c r="E696" i="11"/>
  <c r="AB696" i="11"/>
  <c r="T696" i="11"/>
  <c r="L696" i="11"/>
  <c r="AI696" i="11"/>
  <c r="AA696" i="11"/>
  <c r="S696" i="11"/>
  <c r="K696" i="11"/>
  <c r="AH696" i="11"/>
  <c r="Z696" i="11"/>
  <c r="R696" i="11"/>
  <c r="J696" i="11"/>
  <c r="I696" i="11"/>
  <c r="Y696" i="11"/>
  <c r="Q696" i="11"/>
  <c r="AG696" i="11"/>
  <c r="AE701" i="11"/>
  <c r="W701" i="11"/>
  <c r="O701" i="11"/>
  <c r="G701" i="11"/>
  <c r="AD701" i="11"/>
  <c r="V701" i="11"/>
  <c r="N701" i="11"/>
  <c r="F701" i="11"/>
  <c r="AB701" i="11"/>
  <c r="T701" i="11"/>
  <c r="L701" i="11"/>
  <c r="AI701" i="11"/>
  <c r="AA701" i="11"/>
  <c r="S701" i="11"/>
  <c r="K701" i="11"/>
  <c r="AH701" i="11"/>
  <c r="Z701" i="11"/>
  <c r="R701" i="11"/>
  <c r="J701" i="11"/>
  <c r="Y701" i="11"/>
  <c r="E701" i="11"/>
  <c r="X701" i="11"/>
  <c r="U701" i="11"/>
  <c r="Q701" i="11"/>
  <c r="P701" i="11"/>
  <c r="AG701" i="11"/>
  <c r="M701" i="11"/>
  <c r="AF701" i="11"/>
  <c r="I701" i="11"/>
  <c r="AC701" i="11"/>
  <c r="H701" i="11"/>
  <c r="R101" i="11"/>
  <c r="J101" i="11"/>
  <c r="K101" i="11"/>
  <c r="AB101" i="11"/>
  <c r="AC101" i="11" s="1"/>
  <c r="I101" i="11"/>
  <c r="Q101" i="11"/>
  <c r="H101" i="11"/>
  <c r="AI101" i="11"/>
  <c r="P101" i="11"/>
  <c r="G101" i="11"/>
  <c r="X101" i="11"/>
  <c r="O101" i="11"/>
  <c r="F101" i="11"/>
  <c r="AF101" i="11"/>
  <c r="N101" i="11"/>
  <c r="E101" i="11"/>
  <c r="M101" i="11"/>
  <c r="L101" i="11"/>
  <c r="AF50" i="11"/>
  <c r="H50" i="11"/>
  <c r="O50" i="11"/>
  <c r="G50" i="11"/>
  <c r="N50" i="11"/>
  <c r="F50" i="11"/>
  <c r="Q50" i="11" s="1"/>
  <c r="M50" i="11"/>
  <c r="S50" i="11" s="1"/>
  <c r="E50" i="11"/>
  <c r="AB50" i="11"/>
  <c r="AC50" i="11" s="1"/>
  <c r="L50" i="11"/>
  <c r="AI50" i="11"/>
  <c r="K50" i="11"/>
  <c r="J50" i="11"/>
  <c r="Y50" i="11"/>
  <c r="I50" i="11"/>
  <c r="AF18" i="11"/>
  <c r="H18" i="11"/>
  <c r="O18" i="11"/>
  <c r="G18" i="11"/>
  <c r="Q18" i="11" s="1"/>
  <c r="S18" i="11" s="1"/>
  <c r="Y18" i="11" s="1"/>
  <c r="N18" i="11"/>
  <c r="F18" i="11"/>
  <c r="M18" i="11"/>
  <c r="AB18" i="11" s="1"/>
  <c r="AC18" i="11" s="1"/>
  <c r="E18" i="11"/>
  <c r="L18" i="11"/>
  <c r="K18" i="11"/>
  <c r="J18" i="11"/>
  <c r="I18" i="11"/>
  <c r="AG1167" i="11"/>
  <c r="Y1167" i="11"/>
  <c r="Q1167" i="11"/>
  <c r="I1167" i="11"/>
  <c r="AF1167" i="11"/>
  <c r="X1167" i="11"/>
  <c r="P1167" i="11"/>
  <c r="H1167" i="11"/>
  <c r="AE1167" i="11"/>
  <c r="W1167" i="11"/>
  <c r="O1167" i="11"/>
  <c r="G1167" i="11"/>
  <c r="AD1167" i="11"/>
  <c r="V1167" i="11"/>
  <c r="N1167" i="11"/>
  <c r="F1167" i="11"/>
  <c r="AC1167" i="11"/>
  <c r="U1167" i="11"/>
  <c r="M1167" i="11"/>
  <c r="E1167" i="11"/>
  <c r="Z1167" i="11"/>
  <c r="T1167" i="11"/>
  <c r="S1167" i="11"/>
  <c r="R1167" i="11"/>
  <c r="AI1167" i="11"/>
  <c r="L1167" i="11"/>
  <c r="AH1167" i="11"/>
  <c r="K1167" i="11"/>
  <c r="AB1167" i="11"/>
  <c r="J1167" i="11"/>
  <c r="AA1167" i="11"/>
  <c r="AI1174" i="11"/>
  <c r="AA1174" i="11"/>
  <c r="S1174" i="11"/>
  <c r="K1174" i="11"/>
  <c r="AH1174" i="11"/>
  <c r="Z1174" i="11"/>
  <c r="R1174" i="11"/>
  <c r="J1174" i="11"/>
  <c r="AG1174" i="11"/>
  <c r="Y1174" i="11"/>
  <c r="Q1174" i="11"/>
  <c r="I1174" i="11"/>
  <c r="AF1174" i="11"/>
  <c r="X1174" i="11"/>
  <c r="P1174" i="11"/>
  <c r="H1174" i="11"/>
  <c r="AE1174" i="11"/>
  <c r="W1174" i="11"/>
  <c r="O1174" i="11"/>
  <c r="G1174" i="11"/>
  <c r="N1174" i="11"/>
  <c r="M1174" i="11"/>
  <c r="AD1174" i="11"/>
  <c r="L1174" i="11"/>
  <c r="AC1174" i="11"/>
  <c r="F1174" i="11"/>
  <c r="AB1174" i="11"/>
  <c r="E1174" i="11"/>
  <c r="V1174" i="11"/>
  <c r="U1174" i="11"/>
  <c r="T1174" i="11"/>
  <c r="M1040" i="11"/>
  <c r="E1040" i="11"/>
  <c r="AI1040" i="11"/>
  <c r="K1040" i="11"/>
  <c r="Q1040" i="11"/>
  <c r="I1040" i="11"/>
  <c r="AF1040" i="11"/>
  <c r="H1040" i="11"/>
  <c r="O1040" i="11"/>
  <c r="N1040" i="11"/>
  <c r="L1040" i="11"/>
  <c r="J1040" i="11"/>
  <c r="G1040" i="11"/>
  <c r="F1040" i="11"/>
  <c r="O1027" i="11"/>
  <c r="G1027" i="11"/>
  <c r="M1027" i="11"/>
  <c r="E1027" i="11"/>
  <c r="K1027" i="11"/>
  <c r="J1027" i="11"/>
  <c r="I1027" i="11"/>
  <c r="H1027" i="11"/>
  <c r="AB1027" i="11" s="1"/>
  <c r="AC1027" i="11" s="1"/>
  <c r="AF1027" i="11"/>
  <c r="F1027" i="11"/>
  <c r="N1027" i="11"/>
  <c r="L1027" i="11"/>
  <c r="O895" i="11"/>
  <c r="G895" i="11"/>
  <c r="M895" i="11"/>
  <c r="E895" i="11"/>
  <c r="J895" i="11"/>
  <c r="N895" i="11"/>
  <c r="L895" i="11"/>
  <c r="X895" i="11"/>
  <c r="K895" i="11"/>
  <c r="AI895" i="11"/>
  <c r="I895" i="11"/>
  <c r="H895" i="11"/>
  <c r="AB895" i="11" s="1"/>
  <c r="AC895" i="11" s="1"/>
  <c r="AF895" i="11"/>
  <c r="F895" i="11"/>
  <c r="AI897" i="11"/>
  <c r="K897" i="11"/>
  <c r="Y897" i="11"/>
  <c r="I897" i="11"/>
  <c r="AB897" i="11" s="1"/>
  <c r="AC897" i="11" s="1"/>
  <c r="N897" i="11"/>
  <c r="F897" i="11"/>
  <c r="H897" i="11"/>
  <c r="AF897" i="11"/>
  <c r="G897" i="11"/>
  <c r="E897" i="11"/>
  <c r="O897" i="11"/>
  <c r="M897" i="11"/>
  <c r="L897" i="11"/>
  <c r="J897" i="11"/>
  <c r="AI743" i="11"/>
  <c r="AA743" i="11"/>
  <c r="S743" i="11"/>
  <c r="K743" i="11"/>
  <c r="AH743" i="11"/>
  <c r="Z743" i="11"/>
  <c r="R743" i="11"/>
  <c r="J743" i="11"/>
  <c r="AG743" i="11"/>
  <c r="Y743" i="11"/>
  <c r="Q743" i="11"/>
  <c r="I743" i="11"/>
  <c r="AF743" i="11"/>
  <c r="X743" i="11"/>
  <c r="P743" i="11"/>
  <c r="H743" i="11"/>
  <c r="AE743" i="11"/>
  <c r="W743" i="11"/>
  <c r="O743" i="11"/>
  <c r="G743" i="11"/>
  <c r="AD743" i="11"/>
  <c r="V743" i="11"/>
  <c r="N743" i="11"/>
  <c r="F743" i="11"/>
  <c r="AC743" i="11"/>
  <c r="U743" i="11"/>
  <c r="M743" i="11"/>
  <c r="E743" i="11"/>
  <c r="AB743" i="11"/>
  <c r="T743" i="11"/>
  <c r="L743" i="11"/>
  <c r="AF592" i="11"/>
  <c r="X592" i="11"/>
  <c r="P592" i="11"/>
  <c r="H592" i="11"/>
  <c r="AE592" i="11"/>
  <c r="W592" i="11"/>
  <c r="O592" i="11"/>
  <c r="G592" i="11"/>
  <c r="AD592" i="11"/>
  <c r="V592" i="11"/>
  <c r="N592" i="11"/>
  <c r="F592" i="11"/>
  <c r="AC592" i="11"/>
  <c r="U592" i="11"/>
  <c r="M592" i="11"/>
  <c r="E592" i="11"/>
  <c r="AI592" i="11"/>
  <c r="AA592" i="11"/>
  <c r="S592" i="11"/>
  <c r="K592" i="11"/>
  <c r="AH592" i="11"/>
  <c r="Z592" i="11"/>
  <c r="R592" i="11"/>
  <c r="J592" i="11"/>
  <c r="AG592" i="11"/>
  <c r="AB592" i="11"/>
  <c r="Y592" i="11"/>
  <c r="T592" i="11"/>
  <c r="Q592" i="11"/>
  <c r="L592" i="11"/>
  <c r="I592" i="11"/>
  <c r="AI462" i="11"/>
  <c r="AA462" i="11"/>
  <c r="S462" i="11"/>
  <c r="K462" i="11"/>
  <c r="AH462" i="11"/>
  <c r="Z462" i="11"/>
  <c r="R462" i="11"/>
  <c r="J462" i="11"/>
  <c r="AF462" i="11"/>
  <c r="X462" i="11"/>
  <c r="P462" i="11"/>
  <c r="H462" i="11"/>
  <c r="AB462" i="11"/>
  <c r="N462" i="11"/>
  <c r="Y462" i="11"/>
  <c r="M462" i="11"/>
  <c r="W462" i="11"/>
  <c r="L462" i="11"/>
  <c r="V462" i="11"/>
  <c r="I462" i="11"/>
  <c r="AG462" i="11"/>
  <c r="U462" i="11"/>
  <c r="G462" i="11"/>
  <c r="AC462" i="11"/>
  <c r="T462" i="11"/>
  <c r="Q462" i="11"/>
  <c r="O462" i="11"/>
  <c r="F462" i="11"/>
  <c r="E462" i="11"/>
  <c r="AE462" i="11"/>
  <c r="AD462" i="11"/>
  <c r="AI466" i="11"/>
  <c r="AA466" i="11"/>
  <c r="S466" i="11"/>
  <c r="K466" i="11"/>
  <c r="AH466" i="11"/>
  <c r="Z466" i="11"/>
  <c r="R466" i="11"/>
  <c r="J466" i="11"/>
  <c r="AF466" i="11"/>
  <c r="X466" i="11"/>
  <c r="P466" i="11"/>
  <c r="H466" i="11"/>
  <c r="AB466" i="11"/>
  <c r="N466" i="11"/>
  <c r="Y466" i="11"/>
  <c r="M466" i="11"/>
  <c r="W466" i="11"/>
  <c r="L466" i="11"/>
  <c r="V466" i="11"/>
  <c r="I466" i="11"/>
  <c r="AG466" i="11"/>
  <c r="U466" i="11"/>
  <c r="G466" i="11"/>
  <c r="AE466" i="11"/>
  <c r="AD466" i="11"/>
  <c r="AC466" i="11"/>
  <c r="T466" i="11"/>
  <c r="Q466" i="11"/>
  <c r="O466" i="11"/>
  <c r="F466" i="11"/>
  <c r="E466" i="11"/>
  <c r="AI323" i="11"/>
  <c r="AA323" i="11"/>
  <c r="S323" i="11"/>
  <c r="K323" i="11"/>
  <c r="AH323" i="11"/>
  <c r="Z323" i="11"/>
  <c r="R323" i="11"/>
  <c r="J323" i="11"/>
  <c r="AG323" i="11"/>
  <c r="Y323" i="11"/>
  <c r="Q323" i="11"/>
  <c r="I323" i="11"/>
  <c r="AF323" i="11"/>
  <c r="X323" i="11"/>
  <c r="P323" i="11"/>
  <c r="H323" i="11"/>
  <c r="AD323" i="11"/>
  <c r="V323" i="11"/>
  <c r="N323" i="11"/>
  <c r="F323" i="11"/>
  <c r="AE323" i="11"/>
  <c r="L323" i="11"/>
  <c r="AC323" i="11"/>
  <c r="G323" i="11"/>
  <c r="AB323" i="11"/>
  <c r="E323" i="11"/>
  <c r="W323" i="11"/>
  <c r="U323" i="11"/>
  <c r="T323" i="11"/>
  <c r="O323" i="11"/>
  <c r="M323" i="11"/>
  <c r="AI177" i="11"/>
  <c r="K177" i="11"/>
  <c r="J177" i="11"/>
  <c r="I177" i="11"/>
  <c r="AF177" i="11"/>
  <c r="H177" i="11"/>
  <c r="O177" i="11"/>
  <c r="G177" i="11"/>
  <c r="N177" i="11"/>
  <c r="F177" i="11"/>
  <c r="M177" i="11"/>
  <c r="AB177" i="11" s="1"/>
  <c r="AC177" i="11" s="1"/>
  <c r="L177" i="11"/>
  <c r="E177" i="11"/>
  <c r="AF66" i="11"/>
  <c r="H66" i="11"/>
  <c r="M66" i="11"/>
  <c r="L66" i="11"/>
  <c r="K66" i="11"/>
  <c r="J66" i="11"/>
  <c r="I66" i="11"/>
  <c r="G66" i="11"/>
  <c r="O66" i="11"/>
  <c r="F66" i="11"/>
  <c r="N66" i="11"/>
  <c r="E66" i="11"/>
  <c r="AE1332" i="11"/>
  <c r="W1332" i="11"/>
  <c r="O1332" i="11"/>
  <c r="G1332" i="11"/>
  <c r="AD1332" i="11"/>
  <c r="V1332" i="11"/>
  <c r="N1332" i="11"/>
  <c r="F1332" i="11"/>
  <c r="AI1332" i="11"/>
  <c r="AA1332" i="11"/>
  <c r="S1332" i="11"/>
  <c r="K1332" i="11"/>
  <c r="Y1332" i="11"/>
  <c r="L1332" i="11"/>
  <c r="X1332" i="11"/>
  <c r="J1332" i="11"/>
  <c r="AH1332" i="11"/>
  <c r="U1332" i="11"/>
  <c r="I1332" i="11"/>
  <c r="AG1332" i="11"/>
  <c r="T1332" i="11"/>
  <c r="H1332" i="11"/>
  <c r="AF1332" i="11"/>
  <c r="R1332" i="11"/>
  <c r="E1332" i="11"/>
  <c r="AC1332" i="11"/>
  <c r="AB1332" i="11"/>
  <c r="Z1332" i="11"/>
  <c r="Q1332" i="11"/>
  <c r="P1332" i="11"/>
  <c r="M1332" i="11"/>
  <c r="D1120" i="11"/>
  <c r="D1121" i="11"/>
  <c r="D764" i="11"/>
  <c r="AF564" i="11"/>
  <c r="X564" i="11"/>
  <c r="P564" i="11"/>
  <c r="H564" i="11"/>
  <c r="AE564" i="11"/>
  <c r="W564" i="11"/>
  <c r="O564" i="11"/>
  <c r="G564" i="11"/>
  <c r="AD564" i="11"/>
  <c r="V564" i="11"/>
  <c r="N564" i="11"/>
  <c r="F564" i="11"/>
  <c r="AI564" i="11"/>
  <c r="AA564" i="11"/>
  <c r="S564" i="11"/>
  <c r="K564" i="11"/>
  <c r="AH564" i="11"/>
  <c r="Z564" i="11"/>
  <c r="R564" i="11"/>
  <c r="J564" i="11"/>
  <c r="M564" i="11"/>
  <c r="AG564" i="11"/>
  <c r="L564" i="11"/>
  <c r="AC564" i="11"/>
  <c r="I564" i="11"/>
  <c r="AB564" i="11"/>
  <c r="E564" i="11"/>
  <c r="Y564" i="11"/>
  <c r="U564" i="11"/>
  <c r="T564" i="11"/>
  <c r="Q564" i="11"/>
  <c r="J413" i="11"/>
  <c r="O413" i="11"/>
  <c r="F413" i="11"/>
  <c r="AF413" i="11"/>
  <c r="N413" i="11"/>
  <c r="E413" i="11"/>
  <c r="P413" i="11" s="1"/>
  <c r="M413" i="11"/>
  <c r="L413" i="11"/>
  <c r="AB413" i="11" s="1"/>
  <c r="AC413" i="11" s="1"/>
  <c r="K413" i="11"/>
  <c r="AI413" i="11"/>
  <c r="H413" i="11"/>
  <c r="G413" i="11"/>
  <c r="Q413" i="11"/>
  <c r="I413" i="11"/>
  <c r="O919" i="11"/>
  <c r="G919" i="11"/>
  <c r="P919" i="11" s="1"/>
  <c r="N919" i="11"/>
  <c r="F919" i="11"/>
  <c r="M919" i="11"/>
  <c r="E919" i="11"/>
  <c r="K919" i="11"/>
  <c r="J919" i="11"/>
  <c r="L919" i="11"/>
  <c r="AF919" i="11"/>
  <c r="I919" i="11"/>
  <c r="H919" i="11"/>
  <c r="AI929" i="11"/>
  <c r="R929" i="11" s="1"/>
  <c r="K929" i="11"/>
  <c r="J929" i="11"/>
  <c r="I929" i="11"/>
  <c r="O929" i="11"/>
  <c r="G929" i="11"/>
  <c r="N929" i="11"/>
  <c r="F929" i="11"/>
  <c r="P929" i="11" s="1"/>
  <c r="AF929" i="11"/>
  <c r="L929" i="11"/>
  <c r="H929" i="11"/>
  <c r="E929" i="11"/>
  <c r="M929" i="11"/>
  <c r="AB929" i="11" s="1"/>
  <c r="AC929" i="11" s="1"/>
  <c r="AI189" i="11"/>
  <c r="K189" i="11"/>
  <c r="J189" i="11"/>
  <c r="I189" i="11"/>
  <c r="AF189" i="11"/>
  <c r="H189" i="11"/>
  <c r="O189" i="11"/>
  <c r="G189" i="11"/>
  <c r="N189" i="11"/>
  <c r="F189" i="11"/>
  <c r="P189" i="11" s="1"/>
  <c r="R189" i="11" s="1"/>
  <c r="M189" i="11"/>
  <c r="L189" i="11"/>
  <c r="E189" i="11"/>
  <c r="AB189" i="11"/>
  <c r="AC189" i="11" s="1"/>
  <c r="AI331" i="11"/>
  <c r="K331" i="11"/>
  <c r="J331" i="11"/>
  <c r="Q331" i="11"/>
  <c r="I331" i="11"/>
  <c r="AF331" i="11"/>
  <c r="P331" i="11"/>
  <c r="H331" i="11"/>
  <c r="N331" i="11"/>
  <c r="F331" i="11"/>
  <c r="L331" i="11"/>
  <c r="AB331" i="11" s="1"/>
  <c r="AC331" i="11" s="1"/>
  <c r="G331" i="11"/>
  <c r="E331" i="11"/>
  <c r="O331" i="11"/>
  <c r="M331" i="11"/>
  <c r="S331" i="11" s="1"/>
  <c r="K364" i="11"/>
  <c r="J364" i="11"/>
  <c r="AF364" i="11"/>
  <c r="H364" i="11"/>
  <c r="O364" i="11"/>
  <c r="G364" i="11"/>
  <c r="N364" i="11"/>
  <c r="M364" i="11"/>
  <c r="AB364" i="11"/>
  <c r="AC364" i="11" s="1"/>
  <c r="L364" i="11"/>
  <c r="I364" i="11"/>
  <c r="F364" i="11"/>
  <c r="E364" i="11"/>
  <c r="J121" i="11"/>
  <c r="AF121" i="11"/>
  <c r="H121" i="11"/>
  <c r="I121" i="11"/>
  <c r="G121" i="11"/>
  <c r="F121" i="11"/>
  <c r="Q121" i="11" s="1"/>
  <c r="S121" i="11" s="1"/>
  <c r="Y121" i="11" s="1"/>
  <c r="O121" i="11"/>
  <c r="E121" i="11"/>
  <c r="N121" i="11"/>
  <c r="M121" i="11"/>
  <c r="L121" i="11"/>
  <c r="K121" i="11"/>
  <c r="D478" i="11"/>
  <c r="K287" i="11"/>
  <c r="J287" i="11"/>
  <c r="AF287" i="11"/>
  <c r="H287" i="11"/>
  <c r="N287" i="11"/>
  <c r="F287" i="11"/>
  <c r="M287" i="11"/>
  <c r="AB287" i="11"/>
  <c r="AC287" i="11" s="1"/>
  <c r="L287" i="11"/>
  <c r="I287" i="11"/>
  <c r="G287" i="11"/>
  <c r="E287" i="11"/>
  <c r="O287" i="11"/>
  <c r="D624" i="11"/>
  <c r="AG6" i="7"/>
  <c r="A66" i="4"/>
  <c r="A62" i="4"/>
  <c r="A58" i="4"/>
  <c r="A54" i="4"/>
  <c r="A50" i="4"/>
  <c r="A68" i="4"/>
  <c r="A64" i="4"/>
  <c r="A60" i="4"/>
  <c r="A56" i="4"/>
  <c r="A52" i="4"/>
  <c r="A48" i="4"/>
  <c r="A44" i="4"/>
  <c r="A40" i="4"/>
  <c r="A36" i="4"/>
  <c r="A32" i="4"/>
  <c r="A39" i="4"/>
  <c r="A33" i="4"/>
  <c r="A71" i="4"/>
  <c r="A61" i="4"/>
  <c r="A53" i="4"/>
  <c r="A47" i="4"/>
  <c r="A41" i="4"/>
  <c r="A38" i="4"/>
  <c r="A70" i="4"/>
  <c r="A63" i="4"/>
  <c r="A67" i="4"/>
  <c r="A59" i="4"/>
  <c r="A51" i="4"/>
  <c r="A35" i="4"/>
  <c r="A69" i="4"/>
  <c r="A65" i="4"/>
  <c r="A57" i="4"/>
  <c r="A49" i="4"/>
  <c r="A37" i="4"/>
  <c r="A34" i="4"/>
  <c r="A55" i="4"/>
  <c r="A46" i="4"/>
  <c r="A43" i="4"/>
  <c r="A45" i="4"/>
  <c r="A42" i="4"/>
  <c r="AE1431" i="11"/>
  <c r="W1431" i="11"/>
  <c r="O1431" i="11"/>
  <c r="G1431" i="11"/>
  <c r="AC1431" i="11"/>
  <c r="U1431" i="11"/>
  <c r="M1431" i="11"/>
  <c r="E1431" i="11"/>
  <c r="AB1431" i="11"/>
  <c r="T1431" i="11"/>
  <c r="L1431" i="11"/>
  <c r="AH1431" i="11"/>
  <c r="V1431" i="11"/>
  <c r="I1431" i="11"/>
  <c r="AG1431" i="11"/>
  <c r="S1431" i="11"/>
  <c r="H1431" i="11"/>
  <c r="AD1431" i="11"/>
  <c r="Q1431" i="11"/>
  <c r="AA1431" i="11"/>
  <c r="J1431" i="11"/>
  <c r="Z1431" i="11"/>
  <c r="F1431" i="11"/>
  <c r="Y1431" i="11"/>
  <c r="X1431" i="11"/>
  <c r="R1431" i="11"/>
  <c r="AI1431" i="11"/>
  <c r="AF1431" i="11"/>
  <c r="P1431" i="11"/>
  <c r="N1431" i="11"/>
  <c r="K1431" i="11"/>
  <c r="AC1337" i="11"/>
  <c r="U1337" i="11"/>
  <c r="M1337" i="11"/>
  <c r="E1337" i="11"/>
  <c r="AB1337" i="11"/>
  <c r="T1337" i="11"/>
  <c r="L1337" i="11"/>
  <c r="AG1337" i="11"/>
  <c r="Y1337" i="11"/>
  <c r="Q1337" i="11"/>
  <c r="I1337" i="11"/>
  <c r="AF1337" i="11"/>
  <c r="X1337" i="11"/>
  <c r="AE1337" i="11"/>
  <c r="P1337" i="11"/>
  <c r="AD1337" i="11"/>
  <c r="O1337" i="11"/>
  <c r="AA1337" i="11"/>
  <c r="N1337" i="11"/>
  <c r="Z1337" i="11"/>
  <c r="K1337" i="11"/>
  <c r="W1337" i="11"/>
  <c r="J1337" i="11"/>
  <c r="F1337" i="11"/>
  <c r="AI1337" i="11"/>
  <c r="AH1337" i="11"/>
  <c r="V1337" i="11"/>
  <c r="S1337" i="11"/>
  <c r="R1337" i="11"/>
  <c r="H1337" i="11"/>
  <c r="G1337" i="11"/>
  <c r="AD1279" i="11"/>
  <c r="V1279" i="11"/>
  <c r="N1279" i="11"/>
  <c r="F1279" i="11"/>
  <c r="AC1279" i="11"/>
  <c r="U1279" i="11"/>
  <c r="M1279" i="11"/>
  <c r="E1279" i="11"/>
  <c r="AB1279" i="11"/>
  <c r="T1279" i="11"/>
  <c r="L1279" i="11"/>
  <c r="Z1279" i="11"/>
  <c r="O1279" i="11"/>
  <c r="Y1279" i="11"/>
  <c r="K1279" i="11"/>
  <c r="AI1279" i="11"/>
  <c r="X1279" i="11"/>
  <c r="J1279" i="11"/>
  <c r="AH1279" i="11"/>
  <c r="W1279" i="11"/>
  <c r="I1279" i="11"/>
  <c r="AG1279" i="11"/>
  <c r="S1279" i="11"/>
  <c r="H1279" i="11"/>
  <c r="P1279" i="11"/>
  <c r="G1279" i="11"/>
  <c r="AF1279" i="11"/>
  <c r="AE1279" i="11"/>
  <c r="AA1279" i="11"/>
  <c r="R1279" i="11"/>
  <c r="Q1279" i="11"/>
  <c r="AI1222" i="11"/>
  <c r="AA1222" i="11"/>
  <c r="S1222" i="11"/>
  <c r="K1222" i="11"/>
  <c r="AG1222" i="11"/>
  <c r="Y1222" i="11"/>
  <c r="Q1222" i="11"/>
  <c r="I1222" i="11"/>
  <c r="AE1222" i="11"/>
  <c r="W1222" i="11"/>
  <c r="O1222" i="11"/>
  <c r="G1222" i="11"/>
  <c r="AH1222" i="11"/>
  <c r="U1222" i="11"/>
  <c r="H1222" i="11"/>
  <c r="AF1222" i="11"/>
  <c r="T1222" i="11"/>
  <c r="F1222" i="11"/>
  <c r="AD1222" i="11"/>
  <c r="R1222" i="11"/>
  <c r="E1222" i="11"/>
  <c r="AC1222" i="11"/>
  <c r="P1222" i="11"/>
  <c r="AB1222" i="11"/>
  <c r="N1222" i="11"/>
  <c r="V1222" i="11"/>
  <c r="M1222" i="11"/>
  <c r="L1222" i="11"/>
  <c r="J1222" i="11"/>
  <c r="Z1222" i="11"/>
  <c r="X1222" i="11"/>
  <c r="AB1081" i="11"/>
  <c r="T1081" i="11"/>
  <c r="L1081" i="11"/>
  <c r="AI1081" i="11"/>
  <c r="AA1081" i="11"/>
  <c r="S1081" i="11"/>
  <c r="K1081" i="11"/>
  <c r="AH1081" i="11"/>
  <c r="Z1081" i="11"/>
  <c r="R1081" i="11"/>
  <c r="J1081" i="11"/>
  <c r="AG1081" i="11"/>
  <c r="Y1081" i="11"/>
  <c r="Q1081" i="11"/>
  <c r="I1081" i="11"/>
  <c r="AF1081" i="11"/>
  <c r="X1081" i="11"/>
  <c r="P1081" i="11"/>
  <c r="H1081" i="11"/>
  <c r="AD1081" i="11"/>
  <c r="V1081" i="11"/>
  <c r="N1081" i="11"/>
  <c r="F1081" i="11"/>
  <c r="U1081" i="11"/>
  <c r="O1081" i="11"/>
  <c r="M1081" i="11"/>
  <c r="G1081" i="11"/>
  <c r="E1081" i="11"/>
  <c r="AE1081" i="11"/>
  <c r="AC1081" i="11"/>
  <c r="W1081" i="11"/>
  <c r="N953" i="11"/>
  <c r="F953" i="11"/>
  <c r="Q953" i="11" s="1"/>
  <c r="M953" i="11"/>
  <c r="Y953" i="11" s="1"/>
  <c r="E953" i="11"/>
  <c r="L953" i="11"/>
  <c r="AI953" i="11"/>
  <c r="X953" i="11"/>
  <c r="J953" i="11"/>
  <c r="I953" i="11"/>
  <c r="H953" i="11"/>
  <c r="AB953" i="11" s="1"/>
  <c r="AC953" i="11" s="1"/>
  <c r="AF953" i="11"/>
  <c r="G953" i="11"/>
  <c r="O953" i="11"/>
  <c r="K953" i="11"/>
  <c r="AD1371" i="11"/>
  <c r="V1371" i="11"/>
  <c r="N1371" i="11"/>
  <c r="F1371" i="11"/>
  <c r="AC1371" i="11"/>
  <c r="U1371" i="11"/>
  <c r="M1371" i="11"/>
  <c r="E1371" i="11"/>
  <c r="AB1371" i="11"/>
  <c r="T1371" i="11"/>
  <c r="L1371" i="11"/>
  <c r="AI1371" i="11"/>
  <c r="AA1371" i="11"/>
  <c r="S1371" i="11"/>
  <c r="K1371" i="11"/>
  <c r="AH1371" i="11"/>
  <c r="Z1371" i="11"/>
  <c r="R1371" i="11"/>
  <c r="J1371" i="11"/>
  <c r="AE1371" i="11"/>
  <c r="H1371" i="11"/>
  <c r="Y1371" i="11"/>
  <c r="G1371" i="11"/>
  <c r="X1371" i="11"/>
  <c r="W1371" i="11"/>
  <c r="Q1371" i="11"/>
  <c r="P1371" i="11"/>
  <c r="AG1371" i="11"/>
  <c r="O1371" i="11"/>
  <c r="I1371" i="11"/>
  <c r="AF1371" i="11"/>
  <c r="AF1282" i="11"/>
  <c r="X1282" i="11"/>
  <c r="P1282" i="11"/>
  <c r="H1282" i="11"/>
  <c r="AE1282" i="11"/>
  <c r="W1282" i="11"/>
  <c r="O1282" i="11"/>
  <c r="G1282" i="11"/>
  <c r="AD1282" i="11"/>
  <c r="V1282" i="11"/>
  <c r="N1282" i="11"/>
  <c r="F1282" i="11"/>
  <c r="AB1282" i="11"/>
  <c r="T1282" i="11"/>
  <c r="L1282" i="11"/>
  <c r="AA1282" i="11"/>
  <c r="K1282" i="11"/>
  <c r="Z1282" i="11"/>
  <c r="J1282" i="11"/>
  <c r="Y1282" i="11"/>
  <c r="I1282" i="11"/>
  <c r="U1282" i="11"/>
  <c r="E1282" i="11"/>
  <c r="AI1282" i="11"/>
  <c r="S1282" i="11"/>
  <c r="AC1282" i="11"/>
  <c r="R1282" i="11"/>
  <c r="Q1282" i="11"/>
  <c r="M1282" i="11"/>
  <c r="AH1282" i="11"/>
  <c r="AG1282" i="11"/>
  <c r="AE1164" i="11"/>
  <c r="W1164" i="11"/>
  <c r="O1164" i="11"/>
  <c r="G1164" i="11"/>
  <c r="AD1164" i="11"/>
  <c r="V1164" i="11"/>
  <c r="N1164" i="11"/>
  <c r="F1164" i="11"/>
  <c r="AC1164" i="11"/>
  <c r="U1164" i="11"/>
  <c r="M1164" i="11"/>
  <c r="E1164" i="11"/>
  <c r="AB1164" i="11"/>
  <c r="T1164" i="11"/>
  <c r="L1164" i="11"/>
  <c r="AI1164" i="11"/>
  <c r="AA1164" i="11"/>
  <c r="S1164" i="11"/>
  <c r="K1164" i="11"/>
  <c r="AF1164" i="11"/>
  <c r="I1164" i="11"/>
  <c r="Z1164" i="11"/>
  <c r="H1164" i="11"/>
  <c r="Y1164" i="11"/>
  <c r="X1164" i="11"/>
  <c r="R1164" i="11"/>
  <c r="Q1164" i="11"/>
  <c r="AH1164" i="11"/>
  <c r="P1164" i="11"/>
  <c r="AG1164" i="11"/>
  <c r="J1164" i="11"/>
  <c r="AB1113" i="11"/>
  <c r="T1113" i="11"/>
  <c r="L1113" i="11"/>
  <c r="AI1113" i="11"/>
  <c r="AA1113" i="11"/>
  <c r="S1113" i="11"/>
  <c r="K1113" i="11"/>
  <c r="AH1113" i="11"/>
  <c r="Z1113" i="11"/>
  <c r="R1113" i="11"/>
  <c r="J1113" i="11"/>
  <c r="AG1113" i="11"/>
  <c r="Y1113" i="11"/>
  <c r="Q1113" i="11"/>
  <c r="I1113" i="11"/>
  <c r="AF1113" i="11"/>
  <c r="X1113" i="11"/>
  <c r="P1113" i="11"/>
  <c r="H1113" i="11"/>
  <c r="AE1113" i="11"/>
  <c r="W1113" i="11"/>
  <c r="O1113" i="11"/>
  <c r="G1113" i="11"/>
  <c r="AD1113" i="11"/>
  <c r="V1113" i="11"/>
  <c r="N1113" i="11"/>
  <c r="F1113" i="11"/>
  <c r="E1113" i="11"/>
  <c r="AC1113" i="11"/>
  <c r="U1113" i="11"/>
  <c r="M1113" i="11"/>
  <c r="AD1116" i="11"/>
  <c r="V1116" i="11"/>
  <c r="N1116" i="11"/>
  <c r="F1116" i="11"/>
  <c r="AC1116" i="11"/>
  <c r="U1116" i="11"/>
  <c r="M1116" i="11"/>
  <c r="E1116" i="11"/>
  <c r="AB1116" i="11"/>
  <c r="T1116" i="11"/>
  <c r="L1116" i="11"/>
  <c r="AI1116" i="11"/>
  <c r="AA1116" i="11"/>
  <c r="S1116" i="11"/>
  <c r="K1116" i="11"/>
  <c r="AH1116" i="11"/>
  <c r="Z1116" i="11"/>
  <c r="R1116" i="11"/>
  <c r="J1116" i="11"/>
  <c r="AG1116" i="11"/>
  <c r="Y1116" i="11"/>
  <c r="Q1116" i="11"/>
  <c r="I1116" i="11"/>
  <c r="AF1116" i="11"/>
  <c r="X1116" i="11"/>
  <c r="P1116" i="11"/>
  <c r="H1116" i="11"/>
  <c r="AE1116" i="11"/>
  <c r="W1116" i="11"/>
  <c r="O1116" i="11"/>
  <c r="G1116" i="11"/>
  <c r="AG1058" i="11"/>
  <c r="Y1058" i="11"/>
  <c r="Q1058" i="11"/>
  <c r="I1058" i="11"/>
  <c r="AF1058" i="11"/>
  <c r="X1058" i="11"/>
  <c r="P1058" i="11"/>
  <c r="H1058" i="11"/>
  <c r="AE1058" i="11"/>
  <c r="W1058" i="11"/>
  <c r="O1058" i="11"/>
  <c r="G1058" i="11"/>
  <c r="AD1058" i="11"/>
  <c r="V1058" i="11"/>
  <c r="N1058" i="11"/>
  <c r="F1058" i="11"/>
  <c r="AC1058" i="11"/>
  <c r="M1058" i="11"/>
  <c r="AA1058" i="11"/>
  <c r="K1058" i="11"/>
  <c r="Z1058" i="11"/>
  <c r="J1058" i="11"/>
  <c r="U1058" i="11"/>
  <c r="E1058" i="11"/>
  <c r="T1058" i="11"/>
  <c r="AI1058" i="11"/>
  <c r="S1058" i="11"/>
  <c r="AH1058" i="11"/>
  <c r="AB1058" i="11"/>
  <c r="R1058" i="11"/>
  <c r="L1058" i="11"/>
  <c r="K1025" i="11"/>
  <c r="I1025" i="11"/>
  <c r="O1025" i="11"/>
  <c r="G1025" i="11"/>
  <c r="P1025" i="11"/>
  <c r="N1025" i="11"/>
  <c r="M1025" i="11"/>
  <c r="L1025" i="11"/>
  <c r="AB1025" i="11" s="1"/>
  <c r="AC1025" i="11" s="1"/>
  <c r="J1025" i="11"/>
  <c r="H1025" i="11"/>
  <c r="AF1025" i="11"/>
  <c r="F1025" i="11"/>
  <c r="E1025" i="11"/>
  <c r="L813" i="11"/>
  <c r="AI813" i="11"/>
  <c r="K813" i="11"/>
  <c r="O813" i="11"/>
  <c r="G813" i="11"/>
  <c r="J813" i="11"/>
  <c r="I813" i="11"/>
  <c r="AF813" i="11"/>
  <c r="F813" i="11"/>
  <c r="Q813" i="11"/>
  <c r="E813" i="11"/>
  <c r="P813" i="11" s="1"/>
  <c r="H813" i="11"/>
  <c r="AB813" i="11" s="1"/>
  <c r="AC813" i="11" s="1"/>
  <c r="Y813" i="11"/>
  <c r="N813" i="11"/>
  <c r="M813" i="11"/>
  <c r="AC742" i="11"/>
  <c r="U742" i="11"/>
  <c r="M742" i="11"/>
  <c r="E742" i="11"/>
  <c r="AB742" i="11"/>
  <c r="T742" i="11"/>
  <c r="L742" i="11"/>
  <c r="AI742" i="11"/>
  <c r="AA742" i="11"/>
  <c r="S742" i="11"/>
  <c r="K742" i="11"/>
  <c r="AH742" i="11"/>
  <c r="Z742" i="11"/>
  <c r="R742" i="11"/>
  <c r="J742" i="11"/>
  <c r="AG742" i="11"/>
  <c r="Y742" i="11"/>
  <c r="Q742" i="11"/>
  <c r="I742" i="11"/>
  <c r="AF742" i="11"/>
  <c r="X742" i="11"/>
  <c r="P742" i="11"/>
  <c r="H742" i="11"/>
  <c r="AE742" i="11"/>
  <c r="W742" i="11"/>
  <c r="O742" i="11"/>
  <c r="G742" i="11"/>
  <c r="V742" i="11"/>
  <c r="N742" i="11"/>
  <c r="F742" i="11"/>
  <c r="AD742" i="11"/>
  <c r="AD669" i="11"/>
  <c r="V669" i="11"/>
  <c r="N669" i="11"/>
  <c r="F669" i="11"/>
  <c r="AC669" i="11"/>
  <c r="U669" i="11"/>
  <c r="M669" i="11"/>
  <c r="E669" i="11"/>
  <c r="AB669" i="11"/>
  <c r="T669" i="11"/>
  <c r="L669" i="11"/>
  <c r="AI669" i="11"/>
  <c r="AA669" i="11"/>
  <c r="S669" i="11"/>
  <c r="K669" i="11"/>
  <c r="AH669" i="11"/>
  <c r="Z669" i="11"/>
  <c r="R669" i="11"/>
  <c r="J669" i="11"/>
  <c r="AG669" i="11"/>
  <c r="Y669" i="11"/>
  <c r="Q669" i="11"/>
  <c r="I669" i="11"/>
  <c r="AF669" i="11"/>
  <c r="X669" i="11"/>
  <c r="P669" i="11"/>
  <c r="H669" i="11"/>
  <c r="W669" i="11"/>
  <c r="O669" i="11"/>
  <c r="G669" i="11"/>
  <c r="AE669" i="11"/>
  <c r="AG728" i="11"/>
  <c r="Y728" i="11"/>
  <c r="Q728" i="11"/>
  <c r="I728" i="11"/>
  <c r="AF728" i="11"/>
  <c r="X728" i="11"/>
  <c r="P728" i="11"/>
  <c r="H728" i="11"/>
  <c r="AE728" i="11"/>
  <c r="W728" i="11"/>
  <c r="O728" i="11"/>
  <c r="G728" i="11"/>
  <c r="AD728" i="11"/>
  <c r="V728" i="11"/>
  <c r="N728" i="11"/>
  <c r="F728" i="11"/>
  <c r="AC728" i="11"/>
  <c r="U728" i="11"/>
  <c r="M728" i="11"/>
  <c r="E728" i="11"/>
  <c r="AB728" i="11"/>
  <c r="T728" i="11"/>
  <c r="L728" i="11"/>
  <c r="AI728" i="11"/>
  <c r="AA728" i="11"/>
  <c r="S728" i="11"/>
  <c r="K728" i="11"/>
  <c r="AH728" i="11"/>
  <c r="Z728" i="11"/>
  <c r="R728" i="11"/>
  <c r="J728" i="11"/>
  <c r="AB590" i="11"/>
  <c r="T590" i="11"/>
  <c r="L590" i="11"/>
  <c r="AI590" i="11"/>
  <c r="AA590" i="11"/>
  <c r="S590" i="11"/>
  <c r="K590" i="11"/>
  <c r="AH590" i="11"/>
  <c r="Z590" i="11"/>
  <c r="R590" i="11"/>
  <c r="J590" i="11"/>
  <c r="AG590" i="11"/>
  <c r="Y590" i="11"/>
  <c r="Q590" i="11"/>
  <c r="I590" i="11"/>
  <c r="AE590" i="11"/>
  <c r="W590" i="11"/>
  <c r="O590" i="11"/>
  <c r="G590" i="11"/>
  <c r="AD590" i="11"/>
  <c r="V590" i="11"/>
  <c r="N590" i="11"/>
  <c r="F590" i="11"/>
  <c r="U590" i="11"/>
  <c r="P590" i="11"/>
  <c r="M590" i="11"/>
  <c r="H590" i="11"/>
  <c r="E590" i="11"/>
  <c r="X590" i="11"/>
  <c r="AF590" i="11"/>
  <c r="AC590" i="11"/>
  <c r="AH687" i="11"/>
  <c r="Z687" i="11"/>
  <c r="R687" i="11"/>
  <c r="J687" i="11"/>
  <c r="AG687" i="11"/>
  <c r="Y687" i="11"/>
  <c r="Q687" i="11"/>
  <c r="I687" i="11"/>
  <c r="AF687" i="11"/>
  <c r="X687" i="11"/>
  <c r="P687" i="11"/>
  <c r="H687" i="11"/>
  <c r="AE687" i="11"/>
  <c r="W687" i="11"/>
  <c r="O687" i="11"/>
  <c r="G687" i="11"/>
  <c r="AD687" i="11"/>
  <c r="V687" i="11"/>
  <c r="N687" i="11"/>
  <c r="F687" i="11"/>
  <c r="AC687" i="11"/>
  <c r="U687" i="11"/>
  <c r="M687" i="11"/>
  <c r="E687" i="11"/>
  <c r="AB687" i="11"/>
  <c r="T687" i="11"/>
  <c r="L687" i="11"/>
  <c r="AI687" i="11"/>
  <c r="AA687" i="11"/>
  <c r="S687" i="11"/>
  <c r="K687" i="11"/>
  <c r="AD505" i="11"/>
  <c r="V505" i="11"/>
  <c r="N505" i="11"/>
  <c r="F505" i="11"/>
  <c r="AC505" i="11"/>
  <c r="U505" i="11"/>
  <c r="M505" i="11"/>
  <c r="E505" i="11"/>
  <c r="AB505" i="11"/>
  <c r="T505" i="11"/>
  <c r="L505" i="11"/>
  <c r="AH505" i="11"/>
  <c r="Z505" i="11"/>
  <c r="R505" i="11"/>
  <c r="J505" i="11"/>
  <c r="X505" i="11"/>
  <c r="H505" i="11"/>
  <c r="W505" i="11"/>
  <c r="G505" i="11"/>
  <c r="AI505" i="11"/>
  <c r="S505" i="11"/>
  <c r="AG505" i="11"/>
  <c r="Q505" i="11"/>
  <c r="AF505" i="11"/>
  <c r="P505" i="11"/>
  <c r="AA505" i="11"/>
  <c r="Y505" i="11"/>
  <c r="O505" i="11"/>
  <c r="K505" i="11"/>
  <c r="I505" i="11"/>
  <c r="AE505" i="11"/>
  <c r="AH659" i="11"/>
  <c r="Z659" i="11"/>
  <c r="R659" i="11"/>
  <c r="J659" i="11"/>
  <c r="AG659" i="11"/>
  <c r="Y659" i="11"/>
  <c r="Q659" i="11"/>
  <c r="I659" i="11"/>
  <c r="AF659" i="11"/>
  <c r="X659" i="11"/>
  <c r="P659" i="11"/>
  <c r="H659" i="11"/>
  <c r="AE659" i="11"/>
  <c r="W659" i="11"/>
  <c r="O659" i="11"/>
  <c r="G659" i="11"/>
  <c r="AD659" i="11"/>
  <c r="V659" i="11"/>
  <c r="N659" i="11"/>
  <c r="F659" i="11"/>
  <c r="AC659" i="11"/>
  <c r="U659" i="11"/>
  <c r="M659" i="11"/>
  <c r="E659" i="11"/>
  <c r="AB659" i="11"/>
  <c r="T659" i="11"/>
  <c r="L659" i="11"/>
  <c r="AI659" i="11"/>
  <c r="AA659" i="11"/>
  <c r="S659" i="11"/>
  <c r="K659" i="11"/>
  <c r="AF516" i="11"/>
  <c r="X516" i="11"/>
  <c r="P516" i="11"/>
  <c r="H516" i="11"/>
  <c r="AE516" i="11"/>
  <c r="W516" i="11"/>
  <c r="O516" i="11"/>
  <c r="G516" i="11"/>
  <c r="AD516" i="11"/>
  <c r="V516" i="11"/>
  <c r="N516" i="11"/>
  <c r="F516" i="11"/>
  <c r="AB516" i="11"/>
  <c r="T516" i="11"/>
  <c r="L516" i="11"/>
  <c r="AA516" i="11"/>
  <c r="K516" i="11"/>
  <c r="Z516" i="11"/>
  <c r="J516" i="11"/>
  <c r="Y516" i="11"/>
  <c r="I516" i="11"/>
  <c r="U516" i="11"/>
  <c r="E516" i="11"/>
  <c r="AI516" i="11"/>
  <c r="S516" i="11"/>
  <c r="AG516" i="11"/>
  <c r="AC516" i="11"/>
  <c r="R516" i="11"/>
  <c r="Q516" i="11"/>
  <c r="M516" i="11"/>
  <c r="AH516" i="11"/>
  <c r="AE452" i="11"/>
  <c r="W452" i="11"/>
  <c r="O452" i="11"/>
  <c r="G452" i="11"/>
  <c r="AD452" i="11"/>
  <c r="V452" i="11"/>
  <c r="N452" i="11"/>
  <c r="F452" i="11"/>
  <c r="AB452" i="11"/>
  <c r="T452" i="11"/>
  <c r="L452" i="11"/>
  <c r="AI452" i="11"/>
  <c r="X452" i="11"/>
  <c r="J452" i="11"/>
  <c r="AH452" i="11"/>
  <c r="U452" i="11"/>
  <c r="I452" i="11"/>
  <c r="AG452" i="11"/>
  <c r="S452" i="11"/>
  <c r="H452" i="11"/>
  <c r="AF452" i="11"/>
  <c r="R452" i="11"/>
  <c r="E452" i="11"/>
  <c r="AC452" i="11"/>
  <c r="Q452" i="11"/>
  <c r="Y452" i="11"/>
  <c r="P452" i="11"/>
  <c r="M452" i="11"/>
  <c r="K452" i="11"/>
  <c r="AA452" i="11"/>
  <c r="Z452" i="11"/>
  <c r="AC445" i="11"/>
  <c r="U445" i="11"/>
  <c r="M445" i="11"/>
  <c r="E445" i="11"/>
  <c r="AB445" i="11"/>
  <c r="T445" i="11"/>
  <c r="L445" i="11"/>
  <c r="AH445" i="11"/>
  <c r="Z445" i="11"/>
  <c r="R445" i="11"/>
  <c r="J445" i="11"/>
  <c r="Y445" i="11"/>
  <c r="N445" i="11"/>
  <c r="X445" i="11"/>
  <c r="K445" i="11"/>
  <c r="AI445" i="11"/>
  <c r="W445" i="11"/>
  <c r="I445" i="11"/>
  <c r="AG445" i="11"/>
  <c r="V445" i="11"/>
  <c r="H445" i="11"/>
  <c r="AF445" i="11"/>
  <c r="S445" i="11"/>
  <c r="G445" i="11"/>
  <c r="AE445" i="11"/>
  <c r="AD445" i="11"/>
  <c r="AA445" i="11"/>
  <c r="Q445" i="11"/>
  <c r="P445" i="11"/>
  <c r="F445" i="11"/>
  <c r="O445" i="11"/>
  <c r="AF419" i="11"/>
  <c r="H419" i="11"/>
  <c r="N419" i="11"/>
  <c r="F419" i="11"/>
  <c r="O419" i="11"/>
  <c r="M419" i="11"/>
  <c r="L419" i="11"/>
  <c r="K419" i="11"/>
  <c r="J419" i="11"/>
  <c r="E419" i="11"/>
  <c r="I419" i="11"/>
  <c r="G419" i="11"/>
  <c r="J647" i="11"/>
  <c r="I647" i="11"/>
  <c r="AF647" i="11"/>
  <c r="H647" i="11"/>
  <c r="O647" i="11"/>
  <c r="G647" i="11"/>
  <c r="N647" i="11"/>
  <c r="F647" i="11"/>
  <c r="M647" i="11"/>
  <c r="E647" i="11"/>
  <c r="L647" i="11"/>
  <c r="AB647" i="11" s="1"/>
  <c r="AC647" i="11" s="1"/>
  <c r="K647" i="11"/>
  <c r="O406" i="11"/>
  <c r="G406" i="11"/>
  <c r="N406" i="11"/>
  <c r="F406" i="11"/>
  <c r="M406" i="11"/>
  <c r="E406" i="11"/>
  <c r="L406" i="11"/>
  <c r="K406" i="11"/>
  <c r="J406" i="11"/>
  <c r="AF406" i="11"/>
  <c r="I406" i="11"/>
  <c r="H406" i="11"/>
  <c r="O342" i="11"/>
  <c r="G342" i="11"/>
  <c r="N342" i="11"/>
  <c r="F342" i="11"/>
  <c r="L342" i="11"/>
  <c r="AI342" i="11"/>
  <c r="K342" i="11"/>
  <c r="J342" i="11"/>
  <c r="I342" i="11"/>
  <c r="H342" i="11"/>
  <c r="E342" i="11"/>
  <c r="Q342" i="11"/>
  <c r="AF342" i="11"/>
  <c r="M342" i="11"/>
  <c r="M282" i="11"/>
  <c r="E282" i="11"/>
  <c r="L282" i="11"/>
  <c r="J282" i="11"/>
  <c r="AF282" i="11"/>
  <c r="P282" i="11"/>
  <c r="H282" i="11"/>
  <c r="O282" i="11"/>
  <c r="N282" i="11"/>
  <c r="K282" i="11"/>
  <c r="I282" i="11"/>
  <c r="G282" i="11"/>
  <c r="F282" i="11"/>
  <c r="AE1439" i="11"/>
  <c r="W1439" i="11"/>
  <c r="O1439" i="11"/>
  <c r="G1439" i="11"/>
  <c r="AC1439" i="11"/>
  <c r="U1439" i="11"/>
  <c r="M1439" i="11"/>
  <c r="E1439" i="11"/>
  <c r="AB1439" i="11"/>
  <c r="T1439" i="11"/>
  <c r="L1439" i="11"/>
  <c r="AG1439" i="11"/>
  <c r="Y1439" i="11"/>
  <c r="Q1439" i="11"/>
  <c r="I1439" i="11"/>
  <c r="AD1439" i="11"/>
  <c r="N1439" i="11"/>
  <c r="AA1439" i="11"/>
  <c r="K1439" i="11"/>
  <c r="Z1439" i="11"/>
  <c r="J1439" i="11"/>
  <c r="X1439" i="11"/>
  <c r="H1439" i="11"/>
  <c r="AI1439" i="11"/>
  <c r="AH1439" i="11"/>
  <c r="AF1439" i="11"/>
  <c r="V1439" i="11"/>
  <c r="S1439" i="11"/>
  <c r="R1439" i="11"/>
  <c r="F1439" i="11"/>
  <c r="P1439" i="11"/>
  <c r="AF1421" i="11"/>
  <c r="X1421" i="11"/>
  <c r="P1421" i="11"/>
  <c r="H1421" i="11"/>
  <c r="AE1421" i="11"/>
  <c r="V1421" i="11"/>
  <c r="M1421" i="11"/>
  <c r="AD1421" i="11"/>
  <c r="U1421" i="11"/>
  <c r="L1421" i="11"/>
  <c r="AC1421" i="11"/>
  <c r="T1421" i="11"/>
  <c r="K1421" i="11"/>
  <c r="Z1421" i="11"/>
  <c r="J1421" i="11"/>
  <c r="Y1421" i="11"/>
  <c r="I1421" i="11"/>
  <c r="W1421" i="11"/>
  <c r="G1421" i="11"/>
  <c r="AI1421" i="11"/>
  <c r="S1421" i="11"/>
  <c r="F1421" i="11"/>
  <c r="AH1421" i="11"/>
  <c r="R1421" i="11"/>
  <c r="E1421" i="11"/>
  <c r="AG1421" i="11"/>
  <c r="Q1421" i="11"/>
  <c r="AB1421" i="11"/>
  <c r="O1421" i="11"/>
  <c r="AA1421" i="11"/>
  <c r="N1421" i="11"/>
  <c r="AI1425" i="11"/>
  <c r="AA1425" i="11"/>
  <c r="S1425" i="11"/>
  <c r="K1425" i="11"/>
  <c r="AG1425" i="11"/>
  <c r="Y1425" i="11"/>
  <c r="Q1425" i="11"/>
  <c r="I1425" i="11"/>
  <c r="Z1425" i="11"/>
  <c r="O1425" i="11"/>
  <c r="E1425" i="11"/>
  <c r="AH1425" i="11"/>
  <c r="V1425" i="11"/>
  <c r="J1425" i="11"/>
  <c r="AF1425" i="11"/>
  <c r="U1425" i="11"/>
  <c r="H1425" i="11"/>
  <c r="AE1425" i="11"/>
  <c r="T1425" i="11"/>
  <c r="G1425" i="11"/>
  <c r="AC1425" i="11"/>
  <c r="L1425" i="11"/>
  <c r="AB1425" i="11"/>
  <c r="F1425" i="11"/>
  <c r="X1425" i="11"/>
  <c r="W1425" i="11"/>
  <c r="R1425" i="11"/>
  <c r="P1425" i="11"/>
  <c r="N1425" i="11"/>
  <c r="AD1425" i="11"/>
  <c r="M1425" i="11"/>
  <c r="AD1398" i="11"/>
  <c r="V1398" i="11"/>
  <c r="N1398" i="11"/>
  <c r="F1398" i="11"/>
  <c r="AC1398" i="11"/>
  <c r="U1398" i="11"/>
  <c r="M1398" i="11"/>
  <c r="E1398" i="11"/>
  <c r="Z1398" i="11"/>
  <c r="P1398" i="11"/>
  <c r="AI1398" i="11"/>
  <c r="Y1398" i="11"/>
  <c r="O1398" i="11"/>
  <c r="AH1398" i="11"/>
  <c r="X1398" i="11"/>
  <c r="L1398" i="11"/>
  <c r="AA1398" i="11"/>
  <c r="I1398" i="11"/>
  <c r="W1398" i="11"/>
  <c r="H1398" i="11"/>
  <c r="T1398" i="11"/>
  <c r="G1398" i="11"/>
  <c r="S1398" i="11"/>
  <c r="AG1398" i="11"/>
  <c r="R1398" i="11"/>
  <c r="AF1398" i="11"/>
  <c r="Q1398" i="11"/>
  <c r="AE1398" i="11"/>
  <c r="AB1398" i="11"/>
  <c r="K1398" i="11"/>
  <c r="J1398" i="11"/>
  <c r="AD1418" i="11"/>
  <c r="V1418" i="11"/>
  <c r="N1418" i="11"/>
  <c r="F1418" i="11"/>
  <c r="AH1418" i="11"/>
  <c r="Y1418" i="11"/>
  <c r="P1418" i="11"/>
  <c r="G1418" i="11"/>
  <c r="AG1418" i="11"/>
  <c r="X1418" i="11"/>
  <c r="O1418" i="11"/>
  <c r="E1418" i="11"/>
  <c r="AF1418" i="11"/>
  <c r="W1418" i="11"/>
  <c r="M1418" i="11"/>
  <c r="AE1418" i="11"/>
  <c r="R1418" i="11"/>
  <c r="AC1418" i="11"/>
  <c r="Q1418" i="11"/>
  <c r="AB1418" i="11"/>
  <c r="L1418" i="11"/>
  <c r="AA1418" i="11"/>
  <c r="K1418" i="11"/>
  <c r="Z1418" i="11"/>
  <c r="J1418" i="11"/>
  <c r="T1418" i="11"/>
  <c r="H1418" i="11"/>
  <c r="AI1418" i="11"/>
  <c r="U1418" i="11"/>
  <c r="S1418" i="11"/>
  <c r="I1418" i="11"/>
  <c r="AF1374" i="11"/>
  <c r="X1374" i="11"/>
  <c r="P1374" i="11"/>
  <c r="H1374" i="11"/>
  <c r="AE1374" i="11"/>
  <c r="W1374" i="11"/>
  <c r="O1374" i="11"/>
  <c r="G1374" i="11"/>
  <c r="AD1374" i="11"/>
  <c r="V1374" i="11"/>
  <c r="N1374" i="11"/>
  <c r="F1374" i="11"/>
  <c r="AC1374" i="11"/>
  <c r="U1374" i="11"/>
  <c r="M1374" i="11"/>
  <c r="E1374" i="11"/>
  <c r="AB1374" i="11"/>
  <c r="T1374" i="11"/>
  <c r="L1374" i="11"/>
  <c r="Z1374" i="11"/>
  <c r="Y1374" i="11"/>
  <c r="S1374" i="11"/>
  <c r="R1374" i="11"/>
  <c r="AI1374" i="11"/>
  <c r="Q1374" i="11"/>
  <c r="AH1374" i="11"/>
  <c r="K1374" i="11"/>
  <c r="AG1374" i="11"/>
  <c r="J1374" i="11"/>
  <c r="AA1374" i="11"/>
  <c r="I1374" i="11"/>
  <c r="AD1367" i="11"/>
  <c r="V1367" i="11"/>
  <c r="N1367" i="11"/>
  <c r="F1367" i="11"/>
  <c r="AC1367" i="11"/>
  <c r="U1367" i="11"/>
  <c r="M1367" i="11"/>
  <c r="E1367" i="11"/>
  <c r="AB1367" i="11"/>
  <c r="T1367" i="11"/>
  <c r="L1367" i="11"/>
  <c r="AI1367" i="11"/>
  <c r="AA1367" i="11"/>
  <c r="S1367" i="11"/>
  <c r="K1367" i="11"/>
  <c r="AH1367" i="11"/>
  <c r="Z1367" i="11"/>
  <c r="R1367" i="11"/>
  <c r="J1367" i="11"/>
  <c r="AE1367" i="11"/>
  <c r="H1367" i="11"/>
  <c r="Y1367" i="11"/>
  <c r="G1367" i="11"/>
  <c r="X1367" i="11"/>
  <c r="W1367" i="11"/>
  <c r="Q1367" i="11"/>
  <c r="P1367" i="11"/>
  <c r="AG1367" i="11"/>
  <c r="O1367" i="11"/>
  <c r="AF1367" i="11"/>
  <c r="I1367" i="11"/>
  <c r="AC1329" i="11"/>
  <c r="U1329" i="11"/>
  <c r="M1329" i="11"/>
  <c r="E1329" i="11"/>
  <c r="AB1329" i="11"/>
  <c r="T1329" i="11"/>
  <c r="L1329" i="11"/>
  <c r="AG1329" i="11"/>
  <c r="Y1329" i="11"/>
  <c r="Q1329" i="11"/>
  <c r="I1329" i="11"/>
  <c r="AD1329" i="11"/>
  <c r="P1329" i="11"/>
  <c r="AA1329" i="11"/>
  <c r="O1329" i="11"/>
  <c r="Z1329" i="11"/>
  <c r="N1329" i="11"/>
  <c r="X1329" i="11"/>
  <c r="K1329" i="11"/>
  <c r="AI1329" i="11"/>
  <c r="W1329" i="11"/>
  <c r="J1329" i="11"/>
  <c r="S1329" i="11"/>
  <c r="R1329" i="11"/>
  <c r="H1329" i="11"/>
  <c r="G1329" i="11"/>
  <c r="AH1329" i="11"/>
  <c r="F1329" i="11"/>
  <c r="AF1329" i="11"/>
  <c r="AE1329" i="11"/>
  <c r="V1329" i="11"/>
  <c r="AI1326" i="11"/>
  <c r="AA1326" i="11"/>
  <c r="S1326" i="11"/>
  <c r="AH1326" i="11"/>
  <c r="Z1326" i="11"/>
  <c r="R1326" i="11"/>
  <c r="AE1326" i="11"/>
  <c r="W1326" i="11"/>
  <c r="O1326" i="11"/>
  <c r="G1326" i="11"/>
  <c r="AD1326" i="11"/>
  <c r="Q1326" i="11"/>
  <c r="H1326" i="11"/>
  <c r="AC1326" i="11"/>
  <c r="P1326" i="11"/>
  <c r="F1326" i="11"/>
  <c r="AB1326" i="11"/>
  <c r="N1326" i="11"/>
  <c r="E1326" i="11"/>
  <c r="Y1326" i="11"/>
  <c r="M1326" i="11"/>
  <c r="X1326" i="11"/>
  <c r="L1326" i="11"/>
  <c r="AG1326" i="11"/>
  <c r="AF1326" i="11"/>
  <c r="V1326" i="11"/>
  <c r="U1326" i="11"/>
  <c r="T1326" i="11"/>
  <c r="K1326" i="11"/>
  <c r="J1326" i="11"/>
  <c r="I1326" i="11"/>
  <c r="AG1325" i="11"/>
  <c r="Y1325" i="11"/>
  <c r="Q1325" i="11"/>
  <c r="I1325" i="11"/>
  <c r="AF1325" i="11"/>
  <c r="W1325" i="11"/>
  <c r="N1325" i="11"/>
  <c r="E1325" i="11"/>
  <c r="AE1325" i="11"/>
  <c r="V1325" i="11"/>
  <c r="M1325" i="11"/>
  <c r="AD1325" i="11"/>
  <c r="U1325" i="11"/>
  <c r="L1325" i="11"/>
  <c r="AC1325" i="11"/>
  <c r="T1325" i="11"/>
  <c r="K1325" i="11"/>
  <c r="AB1325" i="11"/>
  <c r="S1325" i="11"/>
  <c r="J1325" i="11"/>
  <c r="P1325" i="11"/>
  <c r="O1325" i="11"/>
  <c r="AI1325" i="11"/>
  <c r="H1325" i="11"/>
  <c r="AH1325" i="11"/>
  <c r="G1325" i="11"/>
  <c r="AA1325" i="11"/>
  <c r="F1325" i="11"/>
  <c r="Z1325" i="11"/>
  <c r="X1325" i="11"/>
  <c r="R1325" i="11"/>
  <c r="AB1284" i="11"/>
  <c r="T1284" i="11"/>
  <c r="L1284" i="11"/>
  <c r="AI1284" i="11"/>
  <c r="AA1284" i="11"/>
  <c r="S1284" i="11"/>
  <c r="K1284" i="11"/>
  <c r="AH1284" i="11"/>
  <c r="Z1284" i="11"/>
  <c r="R1284" i="11"/>
  <c r="J1284" i="11"/>
  <c r="AF1284" i="11"/>
  <c r="X1284" i="11"/>
  <c r="P1284" i="11"/>
  <c r="H1284" i="11"/>
  <c r="AG1284" i="11"/>
  <c r="Q1284" i="11"/>
  <c r="AE1284" i="11"/>
  <c r="O1284" i="11"/>
  <c r="AD1284" i="11"/>
  <c r="N1284" i="11"/>
  <c r="AC1284" i="11"/>
  <c r="M1284" i="11"/>
  <c r="Y1284" i="11"/>
  <c r="I1284" i="11"/>
  <c r="U1284" i="11"/>
  <c r="G1284" i="11"/>
  <c r="F1284" i="11"/>
  <c r="E1284" i="11"/>
  <c r="W1284" i="11"/>
  <c r="V1284" i="11"/>
  <c r="AB1296" i="11"/>
  <c r="T1296" i="11"/>
  <c r="L1296" i="11"/>
  <c r="AI1296" i="11"/>
  <c r="AA1296" i="11"/>
  <c r="S1296" i="11"/>
  <c r="K1296" i="11"/>
  <c r="AH1296" i="11"/>
  <c r="Z1296" i="11"/>
  <c r="R1296" i="11"/>
  <c r="J1296" i="11"/>
  <c r="AF1296" i="11"/>
  <c r="X1296" i="11"/>
  <c r="P1296" i="11"/>
  <c r="H1296" i="11"/>
  <c r="AE1296" i="11"/>
  <c r="W1296" i="11"/>
  <c r="O1296" i="11"/>
  <c r="G1296" i="11"/>
  <c r="AC1296" i="11"/>
  <c r="F1296" i="11"/>
  <c r="Y1296" i="11"/>
  <c r="E1296" i="11"/>
  <c r="V1296" i="11"/>
  <c r="U1296" i="11"/>
  <c r="Q1296" i="11"/>
  <c r="AD1296" i="11"/>
  <c r="N1296" i="11"/>
  <c r="M1296" i="11"/>
  <c r="I1296" i="11"/>
  <c r="AG1296" i="11"/>
  <c r="AB1264" i="11"/>
  <c r="T1264" i="11"/>
  <c r="L1264" i="11"/>
  <c r="AH1264" i="11"/>
  <c r="Y1264" i="11"/>
  <c r="P1264" i="11"/>
  <c r="G1264" i="11"/>
  <c r="AG1264" i="11"/>
  <c r="X1264" i="11"/>
  <c r="O1264" i="11"/>
  <c r="F1264" i="11"/>
  <c r="AF1264" i="11"/>
  <c r="W1264" i="11"/>
  <c r="N1264" i="11"/>
  <c r="E1264" i="11"/>
  <c r="AE1264" i="11"/>
  <c r="V1264" i="11"/>
  <c r="M1264" i="11"/>
  <c r="AD1264" i="11"/>
  <c r="K1264" i="11"/>
  <c r="AC1264" i="11"/>
  <c r="J1264" i="11"/>
  <c r="AA1264" i="11"/>
  <c r="I1264" i="11"/>
  <c r="Z1264" i="11"/>
  <c r="H1264" i="11"/>
  <c r="U1264" i="11"/>
  <c r="S1264" i="11"/>
  <c r="R1264" i="11"/>
  <c r="AI1264" i="11"/>
  <c r="Q1264" i="11"/>
  <c r="AB1238" i="11"/>
  <c r="T1238" i="11"/>
  <c r="L1238" i="11"/>
  <c r="AE1238" i="11"/>
  <c r="V1238" i="11"/>
  <c r="M1238" i="11"/>
  <c r="AD1238" i="11"/>
  <c r="U1238" i="11"/>
  <c r="K1238" i="11"/>
  <c r="AC1238" i="11"/>
  <c r="S1238" i="11"/>
  <c r="J1238" i="11"/>
  <c r="AA1238" i="11"/>
  <c r="R1238" i="11"/>
  <c r="AI1238" i="11"/>
  <c r="Z1238" i="11"/>
  <c r="Q1238" i="11"/>
  <c r="H1238" i="11"/>
  <c r="AH1238" i="11"/>
  <c r="Y1238" i="11"/>
  <c r="P1238" i="11"/>
  <c r="G1238" i="11"/>
  <c r="X1238" i="11"/>
  <c r="W1238" i="11"/>
  <c r="O1238" i="11"/>
  <c r="N1238" i="11"/>
  <c r="I1238" i="11"/>
  <c r="AG1238" i="11"/>
  <c r="AF1238" i="11"/>
  <c r="F1238" i="11"/>
  <c r="E1238" i="11"/>
  <c r="AC1345" i="11"/>
  <c r="U1345" i="11"/>
  <c r="M1345" i="11"/>
  <c r="E1345" i="11"/>
  <c r="AB1345" i="11"/>
  <c r="T1345" i="11"/>
  <c r="L1345" i="11"/>
  <c r="AG1345" i="11"/>
  <c r="Y1345" i="11"/>
  <c r="Q1345" i="11"/>
  <c r="I1345" i="11"/>
  <c r="AF1345" i="11"/>
  <c r="X1345" i="11"/>
  <c r="P1345" i="11"/>
  <c r="H1345" i="11"/>
  <c r="AE1345" i="11"/>
  <c r="W1345" i="11"/>
  <c r="O1345" i="11"/>
  <c r="G1345" i="11"/>
  <c r="V1345" i="11"/>
  <c r="S1345" i="11"/>
  <c r="R1345" i="11"/>
  <c r="AI1345" i="11"/>
  <c r="N1345" i="11"/>
  <c r="AH1345" i="11"/>
  <c r="K1345" i="11"/>
  <c r="AD1345" i="11"/>
  <c r="AA1345" i="11"/>
  <c r="Z1345" i="11"/>
  <c r="J1345" i="11"/>
  <c r="F1345" i="11"/>
  <c r="AC1242" i="11"/>
  <c r="U1242" i="11"/>
  <c r="M1242" i="11"/>
  <c r="E1242" i="11"/>
  <c r="AB1242" i="11"/>
  <c r="T1242" i="11"/>
  <c r="L1242" i="11"/>
  <c r="AF1242" i="11"/>
  <c r="V1242" i="11"/>
  <c r="J1242" i="11"/>
  <c r="AE1242" i="11"/>
  <c r="S1242" i="11"/>
  <c r="I1242" i="11"/>
  <c r="AD1242" i="11"/>
  <c r="R1242" i="11"/>
  <c r="H1242" i="11"/>
  <c r="AA1242" i="11"/>
  <c r="Q1242" i="11"/>
  <c r="G1242" i="11"/>
  <c r="Z1242" i="11"/>
  <c r="P1242" i="11"/>
  <c r="F1242" i="11"/>
  <c r="AI1242" i="11"/>
  <c r="Y1242" i="11"/>
  <c r="O1242" i="11"/>
  <c r="N1242" i="11"/>
  <c r="K1242" i="11"/>
  <c r="AH1242" i="11"/>
  <c r="AG1242" i="11"/>
  <c r="X1242" i="11"/>
  <c r="W1242" i="11"/>
  <c r="AH1265" i="11"/>
  <c r="Z1265" i="11"/>
  <c r="R1265" i="11"/>
  <c r="J1265" i="11"/>
  <c r="AA1265" i="11"/>
  <c r="Q1265" i="11"/>
  <c r="H1265" i="11"/>
  <c r="AI1265" i="11"/>
  <c r="Y1265" i="11"/>
  <c r="P1265" i="11"/>
  <c r="G1265" i="11"/>
  <c r="AG1265" i="11"/>
  <c r="X1265" i="11"/>
  <c r="O1265" i="11"/>
  <c r="F1265" i="11"/>
  <c r="AF1265" i="11"/>
  <c r="W1265" i="11"/>
  <c r="N1265" i="11"/>
  <c r="E1265" i="11"/>
  <c r="AE1265" i="11"/>
  <c r="M1265" i="11"/>
  <c r="AD1265" i="11"/>
  <c r="L1265" i="11"/>
  <c r="AC1265" i="11"/>
  <c r="K1265" i="11"/>
  <c r="AB1265" i="11"/>
  <c r="I1265" i="11"/>
  <c r="V1265" i="11"/>
  <c r="U1265" i="11"/>
  <c r="T1265" i="11"/>
  <c r="S1265" i="11"/>
  <c r="AD1237" i="11"/>
  <c r="V1237" i="11"/>
  <c r="N1237" i="11"/>
  <c r="F1237" i="11"/>
  <c r="AB1237" i="11"/>
  <c r="S1237" i="11"/>
  <c r="J1237" i="11"/>
  <c r="AA1237" i="11"/>
  <c r="R1237" i="11"/>
  <c r="I1237" i="11"/>
  <c r="AI1237" i="11"/>
  <c r="Z1237" i="11"/>
  <c r="Q1237" i="11"/>
  <c r="H1237" i="11"/>
  <c r="AG1237" i="11"/>
  <c r="X1237" i="11"/>
  <c r="O1237" i="11"/>
  <c r="E1237" i="11"/>
  <c r="AF1237" i="11"/>
  <c r="W1237" i="11"/>
  <c r="M1237" i="11"/>
  <c r="L1237" i="11"/>
  <c r="AH1237" i="11"/>
  <c r="K1237" i="11"/>
  <c r="AE1237" i="11"/>
  <c r="G1237" i="11"/>
  <c r="AC1237" i="11"/>
  <c r="Y1237" i="11"/>
  <c r="P1237" i="11"/>
  <c r="U1237" i="11"/>
  <c r="T1237" i="11"/>
  <c r="AE1212" i="11"/>
  <c r="W1212" i="11"/>
  <c r="O1212" i="11"/>
  <c r="G1212" i="11"/>
  <c r="AA1212" i="11"/>
  <c r="R1212" i="11"/>
  <c r="I1212" i="11"/>
  <c r="AI1212" i="11"/>
  <c r="Z1212" i="11"/>
  <c r="Q1212" i="11"/>
  <c r="H1212" i="11"/>
  <c r="AH1212" i="11"/>
  <c r="Y1212" i="11"/>
  <c r="P1212" i="11"/>
  <c r="F1212" i="11"/>
  <c r="AG1212" i="11"/>
  <c r="X1212" i="11"/>
  <c r="N1212" i="11"/>
  <c r="E1212" i="11"/>
  <c r="AF1212" i="11"/>
  <c r="V1212" i="11"/>
  <c r="M1212" i="11"/>
  <c r="AD1212" i="11"/>
  <c r="J1212" i="11"/>
  <c r="AC1212" i="11"/>
  <c r="AB1212" i="11"/>
  <c r="U1212" i="11"/>
  <c r="T1212" i="11"/>
  <c r="S1212" i="11"/>
  <c r="L1212" i="11"/>
  <c r="K1212" i="11"/>
  <c r="AE1192" i="11"/>
  <c r="W1192" i="11"/>
  <c r="O1192" i="11"/>
  <c r="G1192" i="11"/>
  <c r="AD1192" i="11"/>
  <c r="V1192" i="11"/>
  <c r="N1192" i="11"/>
  <c r="F1192" i="11"/>
  <c r="AC1192" i="11"/>
  <c r="U1192" i="11"/>
  <c r="M1192" i="11"/>
  <c r="E1192" i="11"/>
  <c r="AB1192" i="11"/>
  <c r="T1192" i="11"/>
  <c r="L1192" i="11"/>
  <c r="AI1192" i="11"/>
  <c r="AA1192" i="11"/>
  <c r="S1192" i="11"/>
  <c r="K1192" i="11"/>
  <c r="AF1192" i="11"/>
  <c r="I1192" i="11"/>
  <c r="Z1192" i="11"/>
  <c r="H1192" i="11"/>
  <c r="Y1192" i="11"/>
  <c r="X1192" i="11"/>
  <c r="R1192" i="11"/>
  <c r="Q1192" i="11"/>
  <c r="AH1192" i="11"/>
  <c r="P1192" i="11"/>
  <c r="AG1192" i="11"/>
  <c r="J1192" i="11"/>
  <c r="AE1241" i="11"/>
  <c r="W1241" i="11"/>
  <c r="O1241" i="11"/>
  <c r="G1241" i="11"/>
  <c r="AD1241" i="11"/>
  <c r="V1241" i="11"/>
  <c r="N1241" i="11"/>
  <c r="F1241" i="11"/>
  <c r="AH1241" i="11"/>
  <c r="X1241" i="11"/>
  <c r="L1241" i="11"/>
  <c r="AG1241" i="11"/>
  <c r="U1241" i="11"/>
  <c r="K1241" i="11"/>
  <c r="AF1241" i="11"/>
  <c r="T1241" i="11"/>
  <c r="J1241" i="11"/>
  <c r="AC1241" i="11"/>
  <c r="S1241" i="11"/>
  <c r="I1241" i="11"/>
  <c r="AB1241" i="11"/>
  <c r="R1241" i="11"/>
  <c r="H1241" i="11"/>
  <c r="AA1241" i="11"/>
  <c r="Q1241" i="11"/>
  <c r="E1241" i="11"/>
  <c r="M1241" i="11"/>
  <c r="AI1241" i="11"/>
  <c r="Z1241" i="11"/>
  <c r="Y1241" i="11"/>
  <c r="P1241" i="11"/>
  <c r="AC1185" i="11"/>
  <c r="U1185" i="11"/>
  <c r="M1185" i="11"/>
  <c r="E1185" i="11"/>
  <c r="AB1185" i="11"/>
  <c r="T1185" i="11"/>
  <c r="L1185" i="11"/>
  <c r="AI1185" i="11"/>
  <c r="AA1185" i="11"/>
  <c r="S1185" i="11"/>
  <c r="K1185" i="11"/>
  <c r="AH1185" i="11"/>
  <c r="Z1185" i="11"/>
  <c r="R1185" i="11"/>
  <c r="J1185" i="11"/>
  <c r="AG1185" i="11"/>
  <c r="Y1185" i="11"/>
  <c r="Q1185" i="11"/>
  <c r="I1185" i="11"/>
  <c r="AF1185" i="11"/>
  <c r="N1185" i="11"/>
  <c r="AE1185" i="11"/>
  <c r="H1185" i="11"/>
  <c r="AD1185" i="11"/>
  <c r="G1185" i="11"/>
  <c r="X1185" i="11"/>
  <c r="F1185" i="11"/>
  <c r="W1185" i="11"/>
  <c r="V1185" i="11"/>
  <c r="P1185" i="11"/>
  <c r="O1185" i="11"/>
  <c r="AF1274" i="11"/>
  <c r="X1274" i="11"/>
  <c r="P1274" i="11"/>
  <c r="H1274" i="11"/>
  <c r="AC1274" i="11"/>
  <c r="T1274" i="11"/>
  <c r="K1274" i="11"/>
  <c r="AB1274" i="11"/>
  <c r="S1274" i="11"/>
  <c r="J1274" i="11"/>
  <c r="AA1274" i="11"/>
  <c r="R1274" i="11"/>
  <c r="I1274" i="11"/>
  <c r="AI1274" i="11"/>
  <c r="Z1274" i="11"/>
  <c r="Q1274" i="11"/>
  <c r="G1274" i="11"/>
  <c r="AH1274" i="11"/>
  <c r="Y1274" i="11"/>
  <c r="O1274" i="11"/>
  <c r="F1274" i="11"/>
  <c r="U1274" i="11"/>
  <c r="N1274" i="11"/>
  <c r="M1274" i="11"/>
  <c r="AG1274" i="11"/>
  <c r="L1274" i="11"/>
  <c r="AE1274" i="11"/>
  <c r="E1274" i="11"/>
  <c r="AD1274" i="11"/>
  <c r="W1274" i="11"/>
  <c r="V1274" i="11"/>
  <c r="AB1123" i="11"/>
  <c r="T1123" i="11"/>
  <c r="L1123" i="11"/>
  <c r="AI1123" i="11"/>
  <c r="AA1123" i="11"/>
  <c r="S1123" i="11"/>
  <c r="K1123" i="11"/>
  <c r="Z1123" i="11"/>
  <c r="P1123" i="11"/>
  <c r="F1123" i="11"/>
  <c r="Y1123" i="11"/>
  <c r="O1123" i="11"/>
  <c r="E1123" i="11"/>
  <c r="AH1123" i="11"/>
  <c r="X1123" i="11"/>
  <c r="N1123" i="11"/>
  <c r="AG1123" i="11"/>
  <c r="W1123" i="11"/>
  <c r="M1123" i="11"/>
  <c r="AF1123" i="11"/>
  <c r="V1123" i="11"/>
  <c r="J1123" i="11"/>
  <c r="AE1123" i="11"/>
  <c r="U1123" i="11"/>
  <c r="I1123" i="11"/>
  <c r="AD1123" i="11"/>
  <c r="R1123" i="11"/>
  <c r="H1123" i="11"/>
  <c r="AC1123" i="11"/>
  <c r="Q1123" i="11"/>
  <c r="G1123" i="11"/>
  <c r="AC1131" i="11"/>
  <c r="U1131" i="11"/>
  <c r="M1131" i="11"/>
  <c r="E1131" i="11"/>
  <c r="AB1131" i="11"/>
  <c r="T1131" i="11"/>
  <c r="L1131" i="11"/>
  <c r="AI1131" i="11"/>
  <c r="AA1131" i="11"/>
  <c r="S1131" i="11"/>
  <c r="K1131" i="11"/>
  <c r="Y1131" i="11"/>
  <c r="N1131" i="11"/>
  <c r="X1131" i="11"/>
  <c r="J1131" i="11"/>
  <c r="AH1131" i="11"/>
  <c r="W1131" i="11"/>
  <c r="I1131" i="11"/>
  <c r="AG1131" i="11"/>
  <c r="V1131" i="11"/>
  <c r="H1131" i="11"/>
  <c r="AF1131" i="11"/>
  <c r="R1131" i="11"/>
  <c r="G1131" i="11"/>
  <c r="AE1131" i="11"/>
  <c r="Q1131" i="11"/>
  <c r="F1131" i="11"/>
  <c r="AD1131" i="11"/>
  <c r="P1131" i="11"/>
  <c r="O1131" i="11"/>
  <c r="Z1131" i="11"/>
  <c r="AF1111" i="11"/>
  <c r="X1111" i="11"/>
  <c r="P1111" i="11"/>
  <c r="H1111" i="11"/>
  <c r="AE1111" i="11"/>
  <c r="W1111" i="11"/>
  <c r="O1111" i="11"/>
  <c r="G1111" i="11"/>
  <c r="AD1111" i="11"/>
  <c r="V1111" i="11"/>
  <c r="N1111" i="11"/>
  <c r="F1111" i="11"/>
  <c r="AC1111" i="11"/>
  <c r="U1111" i="11"/>
  <c r="M1111" i="11"/>
  <c r="E1111" i="11"/>
  <c r="AB1111" i="11"/>
  <c r="T1111" i="11"/>
  <c r="L1111" i="11"/>
  <c r="AH1111" i="11"/>
  <c r="Z1111" i="11"/>
  <c r="R1111" i="11"/>
  <c r="J1111" i="11"/>
  <c r="I1111" i="11"/>
  <c r="AI1111" i="11"/>
  <c r="AG1111" i="11"/>
  <c r="AA1111" i="11"/>
  <c r="Y1111" i="11"/>
  <c r="S1111" i="11"/>
  <c r="Q1111" i="11"/>
  <c r="K1111" i="11"/>
  <c r="AF1079" i="11"/>
  <c r="X1079" i="11"/>
  <c r="P1079" i="11"/>
  <c r="H1079" i="11"/>
  <c r="AE1079" i="11"/>
  <c r="W1079" i="11"/>
  <c r="O1079" i="11"/>
  <c r="G1079" i="11"/>
  <c r="AD1079" i="11"/>
  <c r="V1079" i="11"/>
  <c r="N1079" i="11"/>
  <c r="F1079" i="11"/>
  <c r="AC1079" i="11"/>
  <c r="U1079" i="11"/>
  <c r="M1079" i="11"/>
  <c r="E1079" i="11"/>
  <c r="AB1079" i="11"/>
  <c r="T1079" i="11"/>
  <c r="L1079" i="11"/>
  <c r="AH1079" i="11"/>
  <c r="Z1079" i="11"/>
  <c r="R1079" i="11"/>
  <c r="J1079" i="11"/>
  <c r="I1079" i="11"/>
  <c r="AI1079" i="11"/>
  <c r="AG1079" i="11"/>
  <c r="AA1079" i="11"/>
  <c r="Y1079" i="11"/>
  <c r="S1079" i="11"/>
  <c r="Q1079" i="11"/>
  <c r="K1079" i="11"/>
  <c r="AG1155" i="11"/>
  <c r="Y1155" i="11"/>
  <c r="Q1155" i="11"/>
  <c r="I1155" i="11"/>
  <c r="AF1155" i="11"/>
  <c r="X1155" i="11"/>
  <c r="P1155" i="11"/>
  <c r="H1155" i="11"/>
  <c r="AE1155" i="11"/>
  <c r="W1155" i="11"/>
  <c r="O1155" i="11"/>
  <c r="G1155" i="11"/>
  <c r="AC1155" i="11"/>
  <c r="U1155" i="11"/>
  <c r="M1155" i="11"/>
  <c r="E1155" i="11"/>
  <c r="AA1155" i="11"/>
  <c r="K1155" i="11"/>
  <c r="Z1155" i="11"/>
  <c r="J1155" i="11"/>
  <c r="V1155" i="11"/>
  <c r="F1155" i="11"/>
  <c r="AI1155" i="11"/>
  <c r="S1155" i="11"/>
  <c r="AD1155" i="11"/>
  <c r="N1155" i="11"/>
  <c r="AH1155" i="11"/>
  <c r="AB1155" i="11"/>
  <c r="T1155" i="11"/>
  <c r="R1155" i="11"/>
  <c r="L1155" i="11"/>
  <c r="AH1102" i="11"/>
  <c r="Z1102" i="11"/>
  <c r="R1102" i="11"/>
  <c r="J1102" i="11"/>
  <c r="AG1102" i="11"/>
  <c r="Y1102" i="11"/>
  <c r="Q1102" i="11"/>
  <c r="I1102" i="11"/>
  <c r="AF1102" i="11"/>
  <c r="X1102" i="11"/>
  <c r="P1102" i="11"/>
  <c r="H1102" i="11"/>
  <c r="AE1102" i="11"/>
  <c r="W1102" i="11"/>
  <c r="O1102" i="11"/>
  <c r="G1102" i="11"/>
  <c r="AD1102" i="11"/>
  <c r="V1102" i="11"/>
  <c r="N1102" i="11"/>
  <c r="F1102" i="11"/>
  <c r="AB1102" i="11"/>
  <c r="T1102" i="11"/>
  <c r="L1102" i="11"/>
  <c r="M1102" i="11"/>
  <c r="K1102" i="11"/>
  <c r="E1102" i="11"/>
  <c r="AI1102" i="11"/>
  <c r="AC1102" i="11"/>
  <c r="AA1102" i="11"/>
  <c r="U1102" i="11"/>
  <c r="S1102" i="11"/>
  <c r="AH1070" i="11"/>
  <c r="Z1070" i="11"/>
  <c r="R1070" i="11"/>
  <c r="J1070" i="11"/>
  <c r="AG1070" i="11"/>
  <c r="Y1070" i="11"/>
  <c r="Q1070" i="11"/>
  <c r="I1070" i="11"/>
  <c r="AF1070" i="11"/>
  <c r="X1070" i="11"/>
  <c r="P1070" i="11"/>
  <c r="H1070" i="11"/>
  <c r="AE1070" i="11"/>
  <c r="W1070" i="11"/>
  <c r="O1070" i="11"/>
  <c r="G1070" i="11"/>
  <c r="AD1070" i="11"/>
  <c r="V1070" i="11"/>
  <c r="N1070" i="11"/>
  <c r="F1070" i="11"/>
  <c r="AB1070" i="11"/>
  <c r="T1070" i="11"/>
  <c r="L1070" i="11"/>
  <c r="M1070" i="11"/>
  <c r="K1070" i="11"/>
  <c r="E1070" i="11"/>
  <c r="AI1070" i="11"/>
  <c r="AC1070" i="11"/>
  <c r="AA1070" i="11"/>
  <c r="U1070" i="11"/>
  <c r="S1070" i="11"/>
  <c r="AB1105" i="11"/>
  <c r="T1105" i="11"/>
  <c r="L1105" i="11"/>
  <c r="AI1105" i="11"/>
  <c r="AA1105" i="11"/>
  <c r="S1105" i="11"/>
  <c r="K1105" i="11"/>
  <c r="AH1105" i="11"/>
  <c r="Z1105" i="11"/>
  <c r="R1105" i="11"/>
  <c r="J1105" i="11"/>
  <c r="AG1105" i="11"/>
  <c r="Y1105" i="11"/>
  <c r="Q1105" i="11"/>
  <c r="I1105" i="11"/>
  <c r="AF1105" i="11"/>
  <c r="X1105" i="11"/>
  <c r="P1105" i="11"/>
  <c r="H1105" i="11"/>
  <c r="AD1105" i="11"/>
  <c r="V1105" i="11"/>
  <c r="N1105" i="11"/>
  <c r="F1105" i="11"/>
  <c r="U1105" i="11"/>
  <c r="O1105" i="11"/>
  <c r="M1105" i="11"/>
  <c r="G1105" i="11"/>
  <c r="E1105" i="11"/>
  <c r="AE1105" i="11"/>
  <c r="AC1105" i="11"/>
  <c r="W1105" i="11"/>
  <c r="AC1143" i="11"/>
  <c r="U1143" i="11"/>
  <c r="M1143" i="11"/>
  <c r="E1143" i="11"/>
  <c r="AB1143" i="11"/>
  <c r="T1143" i="11"/>
  <c r="L1143" i="11"/>
  <c r="AI1143" i="11"/>
  <c r="AA1143" i="11"/>
  <c r="S1143" i="11"/>
  <c r="K1143" i="11"/>
  <c r="AG1143" i="11"/>
  <c r="Y1143" i="11"/>
  <c r="Q1143" i="11"/>
  <c r="I1143" i="11"/>
  <c r="AE1143" i="11"/>
  <c r="W1143" i="11"/>
  <c r="O1143" i="11"/>
  <c r="G1143" i="11"/>
  <c r="V1143" i="11"/>
  <c r="R1143" i="11"/>
  <c r="P1143" i="11"/>
  <c r="AH1143" i="11"/>
  <c r="N1143" i="11"/>
  <c r="AF1143" i="11"/>
  <c r="J1143" i="11"/>
  <c r="AD1143" i="11"/>
  <c r="H1143" i="11"/>
  <c r="Z1143" i="11"/>
  <c r="F1143" i="11"/>
  <c r="X1143" i="11"/>
  <c r="AD1112" i="11"/>
  <c r="V1112" i="11"/>
  <c r="N1112" i="11"/>
  <c r="F1112" i="11"/>
  <c r="AC1112" i="11"/>
  <c r="U1112" i="11"/>
  <c r="M1112" i="11"/>
  <c r="E1112" i="11"/>
  <c r="AB1112" i="11"/>
  <c r="T1112" i="11"/>
  <c r="L1112" i="11"/>
  <c r="AI1112" i="11"/>
  <c r="AA1112" i="11"/>
  <c r="S1112" i="11"/>
  <c r="K1112" i="11"/>
  <c r="AH1112" i="11"/>
  <c r="Z1112" i="11"/>
  <c r="R1112" i="11"/>
  <c r="J1112" i="11"/>
  <c r="AG1112" i="11"/>
  <c r="Y1112" i="11"/>
  <c r="Q1112" i="11"/>
  <c r="I1112" i="11"/>
  <c r="AF1112" i="11"/>
  <c r="X1112" i="11"/>
  <c r="P1112" i="11"/>
  <c r="H1112" i="11"/>
  <c r="AE1112" i="11"/>
  <c r="W1112" i="11"/>
  <c r="O1112" i="11"/>
  <c r="G1112" i="11"/>
  <c r="I1042" i="11"/>
  <c r="O1042" i="11"/>
  <c r="G1042" i="11"/>
  <c r="M1042" i="11"/>
  <c r="E1042" i="11"/>
  <c r="L1042" i="11"/>
  <c r="AB1042" i="11" s="1"/>
  <c r="AC1042" i="11" s="1"/>
  <c r="K1042" i="11"/>
  <c r="J1042" i="11"/>
  <c r="H1042" i="11"/>
  <c r="F1042" i="11"/>
  <c r="P1042" i="11" s="1"/>
  <c r="AI1042" i="11"/>
  <c r="AF1042" i="11"/>
  <c r="N1042" i="11"/>
  <c r="J1003" i="11"/>
  <c r="I1003" i="11"/>
  <c r="AF1003" i="11"/>
  <c r="H1003" i="11"/>
  <c r="O1003" i="11"/>
  <c r="G1003" i="11"/>
  <c r="N1003" i="11"/>
  <c r="F1003" i="11"/>
  <c r="M1003" i="11"/>
  <c r="E1003" i="11"/>
  <c r="Q1003" i="11" s="1"/>
  <c r="AB1003" i="11"/>
  <c r="AC1003" i="11" s="1"/>
  <c r="L1003" i="11"/>
  <c r="K1003" i="11"/>
  <c r="L966" i="11"/>
  <c r="AI966" i="11"/>
  <c r="K966" i="11"/>
  <c r="J966" i="11"/>
  <c r="I966" i="11"/>
  <c r="AF966" i="11"/>
  <c r="P966" i="11"/>
  <c r="O966" i="11"/>
  <c r="N966" i="11"/>
  <c r="M966" i="11"/>
  <c r="H966" i="11"/>
  <c r="AB966" i="11" s="1"/>
  <c r="AC966" i="11" s="1"/>
  <c r="G966" i="11"/>
  <c r="F966" i="11"/>
  <c r="E966" i="11"/>
  <c r="O1011" i="11"/>
  <c r="G1011" i="11"/>
  <c r="AI1011" i="11"/>
  <c r="K1011" i="11"/>
  <c r="Q1011" i="11"/>
  <c r="F1011" i="11"/>
  <c r="X1011" i="11" s="1"/>
  <c r="E1011" i="11"/>
  <c r="N1011" i="11"/>
  <c r="M1011" i="11"/>
  <c r="AB1011" i="11" s="1"/>
  <c r="AC1011" i="11" s="1"/>
  <c r="L1011" i="11"/>
  <c r="AF1011" i="11"/>
  <c r="J1011" i="11"/>
  <c r="I1011" i="11"/>
  <c r="H1011" i="11"/>
  <c r="I1022" i="11"/>
  <c r="O1022" i="11"/>
  <c r="G1022" i="11"/>
  <c r="M1022" i="11"/>
  <c r="E1022" i="11"/>
  <c r="X1022" i="11" s="1"/>
  <c r="H1022" i="11"/>
  <c r="AF1022" i="11"/>
  <c r="F1022" i="11"/>
  <c r="P1022" i="11"/>
  <c r="R1022" i="11" s="1"/>
  <c r="N1022" i="11"/>
  <c r="L1022" i="11"/>
  <c r="K1022" i="11"/>
  <c r="AI1022" i="11"/>
  <c r="J1022" i="11"/>
  <c r="J991" i="11"/>
  <c r="I991" i="11"/>
  <c r="AF991" i="11"/>
  <c r="H991" i="11"/>
  <c r="O991" i="11"/>
  <c r="G991" i="11"/>
  <c r="M991" i="11"/>
  <c r="E991" i="11"/>
  <c r="X991" i="11" s="1"/>
  <c r="L991" i="11"/>
  <c r="AB991" i="11" s="1"/>
  <c r="AC991" i="11" s="1"/>
  <c r="N991" i="11"/>
  <c r="K991" i="11"/>
  <c r="F991" i="11"/>
  <c r="P991" i="11" s="1"/>
  <c r="AI991" i="11"/>
  <c r="AI1053" i="11"/>
  <c r="AA1053" i="11"/>
  <c r="S1053" i="11"/>
  <c r="K1053" i="11"/>
  <c r="AG1053" i="11"/>
  <c r="Y1053" i="11"/>
  <c r="Q1053" i="11"/>
  <c r="I1053" i="11"/>
  <c r="AE1053" i="11"/>
  <c r="W1053" i="11"/>
  <c r="O1053" i="11"/>
  <c r="G1053" i="11"/>
  <c r="AD1053" i="11"/>
  <c r="V1053" i="11"/>
  <c r="N1053" i="11"/>
  <c r="F1053" i="11"/>
  <c r="AC1053" i="11"/>
  <c r="U1053" i="11"/>
  <c r="M1053" i="11"/>
  <c r="E1053" i="11"/>
  <c r="P1053" i="11"/>
  <c r="AH1053" i="11"/>
  <c r="L1053" i="11"/>
  <c r="AF1053" i="11"/>
  <c r="J1053" i="11"/>
  <c r="AB1053" i="11"/>
  <c r="H1053" i="11"/>
  <c r="Z1053" i="11"/>
  <c r="X1053" i="11"/>
  <c r="T1053" i="11"/>
  <c r="R1053" i="11"/>
  <c r="I1030" i="11"/>
  <c r="O1030" i="11"/>
  <c r="G1030" i="11"/>
  <c r="M1030" i="11"/>
  <c r="E1030" i="11"/>
  <c r="P1030" i="11" s="1"/>
  <c r="H1030" i="11"/>
  <c r="AF1030" i="11"/>
  <c r="F1030" i="11"/>
  <c r="AB1030" i="11"/>
  <c r="AC1030" i="11" s="1"/>
  <c r="N1030" i="11"/>
  <c r="L1030" i="11"/>
  <c r="K1030" i="11"/>
  <c r="AI1030" i="11"/>
  <c r="J1030" i="11"/>
  <c r="I942" i="11"/>
  <c r="AF942" i="11"/>
  <c r="H942" i="11"/>
  <c r="O942" i="11"/>
  <c r="G942" i="11"/>
  <c r="Q942" i="11" s="1"/>
  <c r="N942" i="11"/>
  <c r="F942" i="11"/>
  <c r="P942" i="11" s="1"/>
  <c r="M942" i="11"/>
  <c r="E942" i="11"/>
  <c r="L942" i="11"/>
  <c r="AB942" i="11" s="1"/>
  <c r="AC942" i="11" s="1"/>
  <c r="K942" i="11"/>
  <c r="J942" i="11"/>
  <c r="AI942" i="11"/>
  <c r="S942" i="11" s="1"/>
  <c r="M924" i="11"/>
  <c r="E924" i="11"/>
  <c r="L924" i="11"/>
  <c r="AI924" i="11"/>
  <c r="K924" i="11"/>
  <c r="Q924" i="11"/>
  <c r="I924" i="11"/>
  <c r="AF924" i="11"/>
  <c r="H924" i="11"/>
  <c r="G924" i="11"/>
  <c r="F924" i="11"/>
  <c r="P924" i="11" s="1"/>
  <c r="O924" i="11"/>
  <c r="J924" i="11"/>
  <c r="N924" i="11"/>
  <c r="L982" i="11"/>
  <c r="AI982" i="11"/>
  <c r="K982" i="11"/>
  <c r="R982" i="11"/>
  <c r="J982" i="11"/>
  <c r="I982" i="11"/>
  <c r="O982" i="11"/>
  <c r="G982" i="11"/>
  <c r="Y982" i="11" s="1"/>
  <c r="N982" i="11"/>
  <c r="F982" i="11"/>
  <c r="P982" i="11"/>
  <c r="M982" i="11"/>
  <c r="H982" i="11"/>
  <c r="AB982" i="11" s="1"/>
  <c r="AC982" i="11" s="1"/>
  <c r="E982" i="11"/>
  <c r="AF982" i="11"/>
  <c r="L1002" i="11"/>
  <c r="AB1002" i="11" s="1"/>
  <c r="AC1002" i="11" s="1"/>
  <c r="AI1002" i="11"/>
  <c r="K1002" i="11"/>
  <c r="J1002" i="11"/>
  <c r="Y1002" i="11"/>
  <c r="I1002" i="11"/>
  <c r="AF1002" i="11"/>
  <c r="H1002" i="11"/>
  <c r="O1002" i="11"/>
  <c r="G1002" i="11"/>
  <c r="N1002" i="11"/>
  <c r="X1002" i="11" s="1"/>
  <c r="Z1002" i="11" s="1"/>
  <c r="AA1002" i="11" s="1"/>
  <c r="F1002" i="11"/>
  <c r="P1002" i="11" s="1"/>
  <c r="M1002" i="11"/>
  <c r="E1002" i="11"/>
  <c r="Q898" i="11"/>
  <c r="I898" i="11"/>
  <c r="AB898" i="11" s="1"/>
  <c r="AC898" i="11" s="1"/>
  <c r="O898" i="11"/>
  <c r="G898" i="11"/>
  <c r="L898" i="11"/>
  <c r="M898" i="11"/>
  <c r="K898" i="11"/>
  <c r="AI898" i="11"/>
  <c r="J898" i="11"/>
  <c r="H898" i="11"/>
  <c r="AF898" i="11"/>
  <c r="F898" i="11"/>
  <c r="E898" i="11"/>
  <c r="X898" i="11" s="1"/>
  <c r="N898" i="11"/>
  <c r="AF952" i="11"/>
  <c r="N952" i="11"/>
  <c r="M952" i="11"/>
  <c r="E952" i="11"/>
  <c r="L952" i="11"/>
  <c r="AB952" i="11" s="1"/>
  <c r="AC952" i="11" s="1"/>
  <c r="K952" i="11"/>
  <c r="J952" i="11"/>
  <c r="I952" i="11"/>
  <c r="H952" i="11"/>
  <c r="O952" i="11"/>
  <c r="G952" i="11"/>
  <c r="F952" i="11"/>
  <c r="AF859" i="11"/>
  <c r="H859" i="11"/>
  <c r="AB859" i="11" s="1"/>
  <c r="AC859" i="11" s="1"/>
  <c r="O859" i="11"/>
  <c r="G859" i="11"/>
  <c r="N859" i="11"/>
  <c r="F859" i="11"/>
  <c r="P859" i="11" s="1"/>
  <c r="L859" i="11"/>
  <c r="AI859" i="11"/>
  <c r="K859" i="11"/>
  <c r="I859" i="11"/>
  <c r="E859" i="11"/>
  <c r="M859" i="11"/>
  <c r="J859" i="11"/>
  <c r="N852" i="11"/>
  <c r="F852" i="11"/>
  <c r="M852" i="11"/>
  <c r="E852" i="11"/>
  <c r="AB852" i="11"/>
  <c r="AC852" i="11" s="1"/>
  <c r="L852" i="11"/>
  <c r="J852" i="11"/>
  <c r="I852" i="11"/>
  <c r="AI852" i="11"/>
  <c r="O852" i="11"/>
  <c r="S852" i="11" s="1"/>
  <c r="AF852" i="11"/>
  <c r="K852" i="11"/>
  <c r="H852" i="11"/>
  <c r="G852" i="11"/>
  <c r="Q852" i="11" s="1"/>
  <c r="P852" i="11"/>
  <c r="AD852" i="11" s="1"/>
  <c r="M900" i="11"/>
  <c r="E900" i="11"/>
  <c r="AI900" i="11"/>
  <c r="K900" i="11"/>
  <c r="Y900" i="11"/>
  <c r="I900" i="11"/>
  <c r="AF900" i="11"/>
  <c r="H900" i="11"/>
  <c r="N900" i="11"/>
  <c r="L900" i="11"/>
  <c r="AB900" i="11" s="1"/>
  <c r="AC900" i="11" s="1"/>
  <c r="J900" i="11"/>
  <c r="G900" i="11"/>
  <c r="F900" i="11"/>
  <c r="P900" i="11" s="1"/>
  <c r="O900" i="11"/>
  <c r="N884" i="11"/>
  <c r="F884" i="11"/>
  <c r="M884" i="11"/>
  <c r="E884" i="11"/>
  <c r="L884" i="11"/>
  <c r="AB884" i="11" s="1"/>
  <c r="AC884" i="11" s="1"/>
  <c r="K884" i="11"/>
  <c r="J884" i="11"/>
  <c r="I884" i="11"/>
  <c r="O884" i="11"/>
  <c r="H884" i="11"/>
  <c r="G884" i="11"/>
  <c r="Q884" i="11" s="1"/>
  <c r="AF884" i="11"/>
  <c r="L791" i="11"/>
  <c r="K791" i="11"/>
  <c r="I791" i="11"/>
  <c r="AF791" i="11"/>
  <c r="H791" i="11"/>
  <c r="AB791" i="11" s="1"/>
  <c r="AC791" i="11" s="1"/>
  <c r="E791" i="11"/>
  <c r="AI791" i="11" s="1"/>
  <c r="O791" i="11"/>
  <c r="N791" i="11"/>
  <c r="M791" i="11"/>
  <c r="J791" i="11"/>
  <c r="G791" i="11"/>
  <c r="F791" i="11"/>
  <c r="Q791" i="11" s="1"/>
  <c r="L787" i="11"/>
  <c r="X787" i="11" s="1"/>
  <c r="K787" i="11"/>
  <c r="AF787" i="11"/>
  <c r="P787" i="11"/>
  <c r="H787" i="11"/>
  <c r="F787" i="11"/>
  <c r="E787" i="11"/>
  <c r="AI787" i="11" s="1"/>
  <c r="O787" i="11"/>
  <c r="N787" i="11"/>
  <c r="M787" i="11"/>
  <c r="J787" i="11"/>
  <c r="I787" i="11"/>
  <c r="G787" i="11"/>
  <c r="D821" i="11"/>
  <c r="L797" i="11"/>
  <c r="K797" i="11"/>
  <c r="I797" i="11"/>
  <c r="H797" i="11"/>
  <c r="AB797" i="11" s="1"/>
  <c r="AC797" i="11" s="1"/>
  <c r="F797" i="11"/>
  <c r="O797" i="11"/>
  <c r="E797" i="11"/>
  <c r="N797" i="11"/>
  <c r="M797" i="11"/>
  <c r="AF797" i="11"/>
  <c r="J797" i="11"/>
  <c r="G797" i="11"/>
  <c r="AF781" i="11"/>
  <c r="P781" i="11"/>
  <c r="H781" i="11"/>
  <c r="AB781" i="11" s="1"/>
  <c r="AC781" i="11" s="1"/>
  <c r="O781" i="11"/>
  <c r="G781" i="11"/>
  <c r="L781" i="11"/>
  <c r="M781" i="11"/>
  <c r="K781" i="11"/>
  <c r="J781" i="11"/>
  <c r="I781" i="11"/>
  <c r="F781" i="11"/>
  <c r="E781" i="11"/>
  <c r="N781" i="11"/>
  <c r="AE753" i="11"/>
  <c r="W753" i="11"/>
  <c r="O753" i="11"/>
  <c r="G753" i="11"/>
  <c r="AD753" i="11"/>
  <c r="V753" i="11"/>
  <c r="N753" i="11"/>
  <c r="F753" i="11"/>
  <c r="AC753" i="11"/>
  <c r="U753" i="11"/>
  <c r="M753" i="11"/>
  <c r="E753" i="11"/>
  <c r="AB753" i="11"/>
  <c r="T753" i="11"/>
  <c r="L753" i="11"/>
  <c r="AI753" i="11"/>
  <c r="AA753" i="11"/>
  <c r="S753" i="11"/>
  <c r="K753" i="11"/>
  <c r="AH753" i="11"/>
  <c r="Z753" i="11"/>
  <c r="R753" i="11"/>
  <c r="J753" i="11"/>
  <c r="AG753" i="11"/>
  <c r="Y753" i="11"/>
  <c r="Q753" i="11"/>
  <c r="I753" i="11"/>
  <c r="H753" i="11"/>
  <c r="AF753" i="11"/>
  <c r="X753" i="11"/>
  <c r="P753" i="11"/>
  <c r="AE721" i="11"/>
  <c r="W721" i="11"/>
  <c r="O721" i="11"/>
  <c r="G721" i="11"/>
  <c r="AD721" i="11"/>
  <c r="V721" i="11"/>
  <c r="N721" i="11"/>
  <c r="F721" i="11"/>
  <c r="AC721" i="11"/>
  <c r="U721" i="11"/>
  <c r="M721" i="11"/>
  <c r="E721" i="11"/>
  <c r="AB721" i="11"/>
  <c r="T721" i="11"/>
  <c r="L721" i="11"/>
  <c r="AI721" i="11"/>
  <c r="AA721" i="11"/>
  <c r="S721" i="11"/>
  <c r="K721" i="11"/>
  <c r="AH721" i="11"/>
  <c r="Z721" i="11"/>
  <c r="R721" i="11"/>
  <c r="J721" i="11"/>
  <c r="AG721" i="11"/>
  <c r="Y721" i="11"/>
  <c r="Q721" i="11"/>
  <c r="I721" i="11"/>
  <c r="H721" i="11"/>
  <c r="AF721" i="11"/>
  <c r="X721" i="11"/>
  <c r="P721" i="11"/>
  <c r="J788" i="11"/>
  <c r="Q788" i="11"/>
  <c r="I788" i="11"/>
  <c r="N788" i="11"/>
  <c r="F788" i="11"/>
  <c r="AI788" i="11"/>
  <c r="Z788" i="11" s="1"/>
  <c r="AA788" i="11" s="1"/>
  <c r="H788" i="11"/>
  <c r="AF788" i="11"/>
  <c r="G788" i="11"/>
  <c r="E788" i="11"/>
  <c r="P788" i="11"/>
  <c r="O788" i="11"/>
  <c r="M788" i="11"/>
  <c r="L788" i="11"/>
  <c r="K788" i="11"/>
  <c r="AC738" i="11"/>
  <c r="U738" i="11"/>
  <c r="M738" i="11"/>
  <c r="E738" i="11"/>
  <c r="AB738" i="11"/>
  <c r="T738" i="11"/>
  <c r="L738" i="11"/>
  <c r="AI738" i="11"/>
  <c r="AA738" i="11"/>
  <c r="S738" i="11"/>
  <c r="K738" i="11"/>
  <c r="AH738" i="11"/>
  <c r="Z738" i="11"/>
  <c r="R738" i="11"/>
  <c r="J738" i="11"/>
  <c r="AG738" i="11"/>
  <c r="Y738" i="11"/>
  <c r="Q738" i="11"/>
  <c r="I738" i="11"/>
  <c r="AF738" i="11"/>
  <c r="X738" i="11"/>
  <c r="P738" i="11"/>
  <c r="H738" i="11"/>
  <c r="AE738" i="11"/>
  <c r="W738" i="11"/>
  <c r="O738" i="11"/>
  <c r="G738" i="11"/>
  <c r="V738" i="11"/>
  <c r="N738" i="11"/>
  <c r="F738" i="11"/>
  <c r="AD738" i="11"/>
  <c r="AC706" i="11"/>
  <c r="U706" i="11"/>
  <c r="M706" i="11"/>
  <c r="E706" i="11"/>
  <c r="AB706" i="11"/>
  <c r="T706" i="11"/>
  <c r="L706" i="11"/>
  <c r="AH706" i="11"/>
  <c r="Z706" i="11"/>
  <c r="R706" i="11"/>
  <c r="J706" i="11"/>
  <c r="AG706" i="11"/>
  <c r="Y706" i="11"/>
  <c r="Q706" i="11"/>
  <c r="I706" i="11"/>
  <c r="AF706" i="11"/>
  <c r="X706" i="11"/>
  <c r="P706" i="11"/>
  <c r="H706" i="11"/>
  <c r="AE706" i="11"/>
  <c r="K706" i="11"/>
  <c r="AD706" i="11"/>
  <c r="G706" i="11"/>
  <c r="AA706" i="11"/>
  <c r="F706" i="11"/>
  <c r="W706" i="11"/>
  <c r="V706" i="11"/>
  <c r="S706" i="11"/>
  <c r="O706" i="11"/>
  <c r="AI706" i="11"/>
  <c r="N706" i="11"/>
  <c r="L763" i="11"/>
  <c r="AI763" i="11"/>
  <c r="X763" i="11" s="1"/>
  <c r="K763" i="11"/>
  <c r="M763" i="11"/>
  <c r="AB763" i="11" s="1"/>
  <c r="AC763" i="11" s="1"/>
  <c r="AF763" i="11"/>
  <c r="J763" i="11"/>
  <c r="I763" i="11"/>
  <c r="H763" i="11"/>
  <c r="G763" i="11"/>
  <c r="P763" i="11"/>
  <c r="F763" i="11"/>
  <c r="O763" i="11"/>
  <c r="E763" i="11"/>
  <c r="N763" i="11"/>
  <c r="AB562" i="11"/>
  <c r="T562" i="11"/>
  <c r="L562" i="11"/>
  <c r="AI562" i="11"/>
  <c r="AA562" i="11"/>
  <c r="S562" i="11"/>
  <c r="K562" i="11"/>
  <c r="AH562" i="11"/>
  <c r="Z562" i="11"/>
  <c r="R562" i="11"/>
  <c r="J562" i="11"/>
  <c r="AE562" i="11"/>
  <c r="W562" i="11"/>
  <c r="O562" i="11"/>
  <c r="G562" i="11"/>
  <c r="AD562" i="11"/>
  <c r="V562" i="11"/>
  <c r="N562" i="11"/>
  <c r="F562" i="11"/>
  <c r="Y562" i="11"/>
  <c r="E562" i="11"/>
  <c r="X562" i="11"/>
  <c r="U562" i="11"/>
  <c r="Q562" i="11"/>
  <c r="P562" i="11"/>
  <c r="I562" i="11"/>
  <c r="H562" i="11"/>
  <c r="AG562" i="11"/>
  <c r="AF562" i="11"/>
  <c r="AC562" i="11"/>
  <c r="M562" i="11"/>
  <c r="AD697" i="11"/>
  <c r="V697" i="11"/>
  <c r="N697" i="11"/>
  <c r="F697" i="11"/>
  <c r="AC697" i="11"/>
  <c r="U697" i="11"/>
  <c r="M697" i="11"/>
  <c r="E697" i="11"/>
  <c r="AB697" i="11"/>
  <c r="T697" i="11"/>
  <c r="L697" i="11"/>
  <c r="AI697" i="11"/>
  <c r="AA697" i="11"/>
  <c r="S697" i="11"/>
  <c r="K697" i="11"/>
  <c r="AH697" i="11"/>
  <c r="Z697" i="11"/>
  <c r="R697" i="11"/>
  <c r="J697" i="11"/>
  <c r="AG697" i="11"/>
  <c r="Y697" i="11"/>
  <c r="Q697" i="11"/>
  <c r="I697" i="11"/>
  <c r="AF697" i="11"/>
  <c r="X697" i="11"/>
  <c r="P697" i="11"/>
  <c r="H697" i="11"/>
  <c r="W697" i="11"/>
  <c r="O697" i="11"/>
  <c r="G697" i="11"/>
  <c r="AE697" i="11"/>
  <c r="AD665" i="11"/>
  <c r="V665" i="11"/>
  <c r="N665" i="11"/>
  <c r="F665" i="11"/>
  <c r="AC665" i="11"/>
  <c r="U665" i="11"/>
  <c r="M665" i="11"/>
  <c r="E665" i="11"/>
  <c r="AB665" i="11"/>
  <c r="T665" i="11"/>
  <c r="L665" i="11"/>
  <c r="AI665" i="11"/>
  <c r="AA665" i="11"/>
  <c r="S665" i="11"/>
  <c r="K665" i="11"/>
  <c r="AH665" i="11"/>
  <c r="Z665" i="11"/>
  <c r="R665" i="11"/>
  <c r="J665" i="11"/>
  <c r="AG665" i="11"/>
  <c r="Y665" i="11"/>
  <c r="Q665" i="11"/>
  <c r="I665" i="11"/>
  <c r="AF665" i="11"/>
  <c r="X665" i="11"/>
  <c r="P665" i="11"/>
  <c r="H665" i="11"/>
  <c r="W665" i="11"/>
  <c r="O665" i="11"/>
  <c r="G665" i="11"/>
  <c r="AE665" i="11"/>
  <c r="N633" i="11"/>
  <c r="F633" i="11"/>
  <c r="M633" i="11"/>
  <c r="E633" i="11"/>
  <c r="L633" i="11"/>
  <c r="K633" i="11"/>
  <c r="J633" i="11"/>
  <c r="I633" i="11"/>
  <c r="AF633" i="11"/>
  <c r="H633" i="11"/>
  <c r="O633" i="11"/>
  <c r="G633" i="11"/>
  <c r="AH603" i="11"/>
  <c r="Z603" i="11"/>
  <c r="R603" i="11"/>
  <c r="J603" i="11"/>
  <c r="AG603" i="11"/>
  <c r="Y603" i="11"/>
  <c r="Q603" i="11"/>
  <c r="I603" i="11"/>
  <c r="AF603" i="11"/>
  <c r="X603" i="11"/>
  <c r="P603" i="11"/>
  <c r="H603" i="11"/>
  <c r="AE603" i="11"/>
  <c r="W603" i="11"/>
  <c r="O603" i="11"/>
  <c r="G603" i="11"/>
  <c r="AC603" i="11"/>
  <c r="U603" i="11"/>
  <c r="M603" i="11"/>
  <c r="E603" i="11"/>
  <c r="AB603" i="11"/>
  <c r="T603" i="11"/>
  <c r="L603" i="11"/>
  <c r="N603" i="11"/>
  <c r="K603" i="11"/>
  <c r="F603" i="11"/>
  <c r="AI603" i="11"/>
  <c r="AD603" i="11"/>
  <c r="AA603" i="11"/>
  <c r="V603" i="11"/>
  <c r="S603" i="11"/>
  <c r="AH571" i="11"/>
  <c r="Z571" i="11"/>
  <c r="R571" i="11"/>
  <c r="J571" i="11"/>
  <c r="AG571" i="11"/>
  <c r="Y571" i="11"/>
  <c r="Q571" i="11"/>
  <c r="I571" i="11"/>
  <c r="AF571" i="11"/>
  <c r="X571" i="11"/>
  <c r="P571" i="11"/>
  <c r="H571" i="11"/>
  <c r="AC571" i="11"/>
  <c r="U571" i="11"/>
  <c r="M571" i="11"/>
  <c r="E571" i="11"/>
  <c r="AB571" i="11"/>
  <c r="T571" i="11"/>
  <c r="L571" i="11"/>
  <c r="AE571" i="11"/>
  <c r="K571" i="11"/>
  <c r="AD571" i="11"/>
  <c r="G571" i="11"/>
  <c r="AA571" i="11"/>
  <c r="F571" i="11"/>
  <c r="W571" i="11"/>
  <c r="V571" i="11"/>
  <c r="AI571" i="11"/>
  <c r="S571" i="11"/>
  <c r="O571" i="11"/>
  <c r="N571" i="11"/>
  <c r="AG724" i="11"/>
  <c r="Y724" i="11"/>
  <c r="Q724" i="11"/>
  <c r="I724" i="11"/>
  <c r="AF724" i="11"/>
  <c r="X724" i="11"/>
  <c r="P724" i="11"/>
  <c r="H724" i="11"/>
  <c r="AE724" i="11"/>
  <c r="W724" i="11"/>
  <c r="O724" i="11"/>
  <c r="G724" i="11"/>
  <c r="AD724" i="11"/>
  <c r="V724" i="11"/>
  <c r="N724" i="11"/>
  <c r="F724" i="11"/>
  <c r="AC724" i="11"/>
  <c r="U724" i="11"/>
  <c r="M724" i="11"/>
  <c r="E724" i="11"/>
  <c r="AB724" i="11"/>
  <c r="T724" i="11"/>
  <c r="L724" i="11"/>
  <c r="AI724" i="11"/>
  <c r="AA724" i="11"/>
  <c r="S724" i="11"/>
  <c r="K724" i="11"/>
  <c r="AH724" i="11"/>
  <c r="Z724" i="11"/>
  <c r="R724" i="11"/>
  <c r="J724" i="11"/>
  <c r="L646" i="11"/>
  <c r="K646" i="11"/>
  <c r="J646" i="11"/>
  <c r="I646" i="11"/>
  <c r="AB646" i="11" s="1"/>
  <c r="AC646" i="11" s="1"/>
  <c r="AF646" i="11"/>
  <c r="H646" i="11"/>
  <c r="O646" i="11"/>
  <c r="G646" i="11"/>
  <c r="N646" i="11"/>
  <c r="F646" i="11"/>
  <c r="M646" i="11"/>
  <c r="E646" i="11"/>
  <c r="AB582" i="11"/>
  <c r="T582" i="11"/>
  <c r="L582" i="11"/>
  <c r="AI582" i="11"/>
  <c r="AA582" i="11"/>
  <c r="S582" i="11"/>
  <c r="K582" i="11"/>
  <c r="AH582" i="11"/>
  <c r="Z582" i="11"/>
  <c r="R582" i="11"/>
  <c r="J582" i="11"/>
  <c r="AG582" i="11"/>
  <c r="Y582" i="11"/>
  <c r="Q582" i="11"/>
  <c r="I582" i="11"/>
  <c r="AE582" i="11"/>
  <c r="W582" i="11"/>
  <c r="O582" i="11"/>
  <c r="G582" i="11"/>
  <c r="AD582" i="11"/>
  <c r="V582" i="11"/>
  <c r="N582" i="11"/>
  <c r="F582" i="11"/>
  <c r="U582" i="11"/>
  <c r="P582" i="11"/>
  <c r="M582" i="11"/>
  <c r="H582" i="11"/>
  <c r="E582" i="11"/>
  <c r="AC582" i="11"/>
  <c r="X582" i="11"/>
  <c r="AF582" i="11"/>
  <c r="AD545" i="11"/>
  <c r="V545" i="11"/>
  <c r="N545" i="11"/>
  <c r="F545" i="11"/>
  <c r="AC545" i="11"/>
  <c r="U545" i="11"/>
  <c r="M545" i="11"/>
  <c r="E545" i="11"/>
  <c r="AB545" i="11"/>
  <c r="T545" i="11"/>
  <c r="L545" i="11"/>
  <c r="AI545" i="11"/>
  <c r="AA545" i="11"/>
  <c r="S545" i="11"/>
  <c r="K545" i="11"/>
  <c r="AH545" i="11"/>
  <c r="Z545" i="11"/>
  <c r="R545" i="11"/>
  <c r="J545" i="11"/>
  <c r="Y545" i="11"/>
  <c r="G545" i="11"/>
  <c r="X545" i="11"/>
  <c r="W545" i="11"/>
  <c r="Q545" i="11"/>
  <c r="P545" i="11"/>
  <c r="AG545" i="11"/>
  <c r="AF545" i="11"/>
  <c r="AE545" i="11"/>
  <c r="O545" i="11"/>
  <c r="I545" i="11"/>
  <c r="H545" i="11"/>
  <c r="AB682" i="11"/>
  <c r="T682" i="11"/>
  <c r="L682" i="11"/>
  <c r="AI682" i="11"/>
  <c r="AA682" i="11"/>
  <c r="S682" i="11"/>
  <c r="K682" i="11"/>
  <c r="AH682" i="11"/>
  <c r="Z682" i="11"/>
  <c r="R682" i="11"/>
  <c r="J682" i="11"/>
  <c r="AG682" i="11"/>
  <c r="Y682" i="11"/>
  <c r="Q682" i="11"/>
  <c r="I682" i="11"/>
  <c r="AF682" i="11"/>
  <c r="X682" i="11"/>
  <c r="P682" i="11"/>
  <c r="H682" i="11"/>
  <c r="AE682" i="11"/>
  <c r="W682" i="11"/>
  <c r="O682" i="11"/>
  <c r="G682" i="11"/>
  <c r="AD682" i="11"/>
  <c r="V682" i="11"/>
  <c r="N682" i="11"/>
  <c r="F682" i="11"/>
  <c r="AC682" i="11"/>
  <c r="U682" i="11"/>
  <c r="M682" i="11"/>
  <c r="E682" i="11"/>
  <c r="AD533" i="11"/>
  <c r="V533" i="11"/>
  <c r="N533" i="11"/>
  <c r="F533" i="11"/>
  <c r="AC533" i="11"/>
  <c r="U533" i="11"/>
  <c r="M533" i="11"/>
  <c r="E533" i="11"/>
  <c r="AB533" i="11"/>
  <c r="T533" i="11"/>
  <c r="L533" i="11"/>
  <c r="AH533" i="11"/>
  <c r="Z533" i="11"/>
  <c r="R533" i="11"/>
  <c r="J533" i="11"/>
  <c r="X533" i="11"/>
  <c r="H533" i="11"/>
  <c r="W533" i="11"/>
  <c r="G533" i="11"/>
  <c r="AI533" i="11"/>
  <c r="S533" i="11"/>
  <c r="AG533" i="11"/>
  <c r="Q533" i="11"/>
  <c r="AF533" i="11"/>
  <c r="P533" i="11"/>
  <c r="AA533" i="11"/>
  <c r="Y533" i="11"/>
  <c r="O533" i="11"/>
  <c r="K533" i="11"/>
  <c r="I533" i="11"/>
  <c r="AE533" i="11"/>
  <c r="AD501" i="11"/>
  <c r="V501" i="11"/>
  <c r="N501" i="11"/>
  <c r="F501" i="11"/>
  <c r="AC501" i="11"/>
  <c r="U501" i="11"/>
  <c r="M501" i="11"/>
  <c r="E501" i="11"/>
  <c r="AB501" i="11"/>
  <c r="T501" i="11"/>
  <c r="L501" i="11"/>
  <c r="AH501" i="11"/>
  <c r="Z501" i="11"/>
  <c r="R501" i="11"/>
  <c r="J501" i="11"/>
  <c r="X501" i="11"/>
  <c r="H501" i="11"/>
  <c r="W501" i="11"/>
  <c r="G501" i="11"/>
  <c r="AI501" i="11"/>
  <c r="S501" i="11"/>
  <c r="AG501" i="11"/>
  <c r="Q501" i="11"/>
  <c r="AF501" i="11"/>
  <c r="P501" i="11"/>
  <c r="AA501" i="11"/>
  <c r="Y501" i="11"/>
  <c r="O501" i="11"/>
  <c r="K501" i="11"/>
  <c r="I501" i="11"/>
  <c r="AE501" i="11"/>
  <c r="AD557" i="11"/>
  <c r="V557" i="11"/>
  <c r="N557" i="11"/>
  <c r="F557" i="11"/>
  <c r="AC557" i="11"/>
  <c r="U557" i="11"/>
  <c r="M557" i="11"/>
  <c r="E557" i="11"/>
  <c r="AB557" i="11"/>
  <c r="T557" i="11"/>
  <c r="L557" i="11"/>
  <c r="AG557" i="11"/>
  <c r="Y557" i="11"/>
  <c r="Q557" i="11"/>
  <c r="I557" i="11"/>
  <c r="AF557" i="11"/>
  <c r="X557" i="11"/>
  <c r="P557" i="11"/>
  <c r="H557" i="11"/>
  <c r="W557" i="11"/>
  <c r="S557" i="11"/>
  <c r="R557" i="11"/>
  <c r="AI557" i="11"/>
  <c r="O557" i="11"/>
  <c r="AH557" i="11"/>
  <c r="K557" i="11"/>
  <c r="Z557" i="11"/>
  <c r="J557" i="11"/>
  <c r="G557" i="11"/>
  <c r="AA557" i="11"/>
  <c r="AE557" i="11"/>
  <c r="AB654" i="11"/>
  <c r="T654" i="11"/>
  <c r="L654" i="11"/>
  <c r="AI654" i="11"/>
  <c r="AA654" i="11"/>
  <c r="S654" i="11"/>
  <c r="K654" i="11"/>
  <c r="AH654" i="11"/>
  <c r="Z654" i="11"/>
  <c r="R654" i="11"/>
  <c r="J654" i="11"/>
  <c r="AG654" i="11"/>
  <c r="Y654" i="11"/>
  <c r="Q654" i="11"/>
  <c r="I654" i="11"/>
  <c r="AF654" i="11"/>
  <c r="X654" i="11"/>
  <c r="P654" i="11"/>
  <c r="H654" i="11"/>
  <c r="AE654" i="11"/>
  <c r="W654" i="11"/>
  <c r="O654" i="11"/>
  <c r="G654" i="11"/>
  <c r="AD654" i="11"/>
  <c r="V654" i="11"/>
  <c r="N654" i="11"/>
  <c r="F654" i="11"/>
  <c r="AC654" i="11"/>
  <c r="U654" i="11"/>
  <c r="M654" i="11"/>
  <c r="E654" i="11"/>
  <c r="AB586" i="11"/>
  <c r="T586" i="11"/>
  <c r="L586" i="11"/>
  <c r="AI586" i="11"/>
  <c r="AA586" i="11"/>
  <c r="S586" i="11"/>
  <c r="K586" i="11"/>
  <c r="AH586" i="11"/>
  <c r="Z586" i="11"/>
  <c r="R586" i="11"/>
  <c r="J586" i="11"/>
  <c r="AG586" i="11"/>
  <c r="Y586" i="11"/>
  <c r="Q586" i="11"/>
  <c r="I586" i="11"/>
  <c r="AE586" i="11"/>
  <c r="W586" i="11"/>
  <c r="O586" i="11"/>
  <c r="G586" i="11"/>
  <c r="AD586" i="11"/>
  <c r="V586" i="11"/>
  <c r="N586" i="11"/>
  <c r="F586" i="11"/>
  <c r="U586" i="11"/>
  <c r="P586" i="11"/>
  <c r="M586" i="11"/>
  <c r="H586" i="11"/>
  <c r="E586" i="11"/>
  <c r="AF586" i="11"/>
  <c r="AC586" i="11"/>
  <c r="X586" i="11"/>
  <c r="AF512" i="11"/>
  <c r="X512" i="11"/>
  <c r="P512" i="11"/>
  <c r="H512" i="11"/>
  <c r="AE512" i="11"/>
  <c r="W512" i="11"/>
  <c r="O512" i="11"/>
  <c r="G512" i="11"/>
  <c r="AD512" i="11"/>
  <c r="V512" i="11"/>
  <c r="N512" i="11"/>
  <c r="F512" i="11"/>
  <c r="AB512" i="11"/>
  <c r="T512" i="11"/>
  <c r="L512" i="11"/>
  <c r="AA512" i="11"/>
  <c r="K512" i="11"/>
  <c r="Z512" i="11"/>
  <c r="J512" i="11"/>
  <c r="Y512" i="11"/>
  <c r="I512" i="11"/>
  <c r="U512" i="11"/>
  <c r="E512" i="11"/>
  <c r="AI512" i="11"/>
  <c r="S512" i="11"/>
  <c r="AG512" i="11"/>
  <c r="AC512" i="11"/>
  <c r="R512" i="11"/>
  <c r="Q512" i="11"/>
  <c r="M512" i="11"/>
  <c r="AH512" i="11"/>
  <c r="AF480" i="11"/>
  <c r="X480" i="11"/>
  <c r="P480" i="11"/>
  <c r="H480" i="11"/>
  <c r="AE480" i="11"/>
  <c r="W480" i="11"/>
  <c r="O480" i="11"/>
  <c r="G480" i="11"/>
  <c r="AD480" i="11"/>
  <c r="V480" i="11"/>
  <c r="N480" i="11"/>
  <c r="F480" i="11"/>
  <c r="AB480" i="11"/>
  <c r="T480" i="11"/>
  <c r="L480" i="11"/>
  <c r="AA480" i="11"/>
  <c r="K480" i="11"/>
  <c r="Z480" i="11"/>
  <c r="J480" i="11"/>
  <c r="Y480" i="11"/>
  <c r="I480" i="11"/>
  <c r="U480" i="11"/>
  <c r="E480" i="11"/>
  <c r="AI480" i="11"/>
  <c r="S480" i="11"/>
  <c r="AG480" i="11"/>
  <c r="AC480" i="11"/>
  <c r="R480" i="11"/>
  <c r="Q480" i="11"/>
  <c r="M480" i="11"/>
  <c r="AH480" i="11"/>
  <c r="AE448" i="11"/>
  <c r="W448" i="11"/>
  <c r="O448" i="11"/>
  <c r="G448" i="11"/>
  <c r="AD448" i="11"/>
  <c r="V448" i="11"/>
  <c r="N448" i="11"/>
  <c r="F448" i="11"/>
  <c r="AB448" i="11"/>
  <c r="T448" i="11"/>
  <c r="L448" i="11"/>
  <c r="AI448" i="11"/>
  <c r="X448" i="11"/>
  <c r="J448" i="11"/>
  <c r="AH448" i="11"/>
  <c r="U448" i="11"/>
  <c r="I448" i="11"/>
  <c r="AG448" i="11"/>
  <c r="S448" i="11"/>
  <c r="H448" i="11"/>
  <c r="AF448" i="11"/>
  <c r="R448" i="11"/>
  <c r="E448" i="11"/>
  <c r="AC448" i="11"/>
  <c r="Q448" i="11"/>
  <c r="M448" i="11"/>
  <c r="K448" i="11"/>
  <c r="AA448" i="11"/>
  <c r="Z448" i="11"/>
  <c r="Y448" i="11"/>
  <c r="P448" i="11"/>
  <c r="AH695" i="11"/>
  <c r="Z695" i="11"/>
  <c r="R695" i="11"/>
  <c r="J695" i="11"/>
  <c r="AG695" i="11"/>
  <c r="Y695" i="11"/>
  <c r="Q695" i="11"/>
  <c r="I695" i="11"/>
  <c r="AF695" i="11"/>
  <c r="X695" i="11"/>
  <c r="P695" i="11"/>
  <c r="H695" i="11"/>
  <c r="AE695" i="11"/>
  <c r="W695" i="11"/>
  <c r="O695" i="11"/>
  <c r="G695" i="11"/>
  <c r="AD695" i="11"/>
  <c r="V695" i="11"/>
  <c r="N695" i="11"/>
  <c r="F695" i="11"/>
  <c r="AC695" i="11"/>
  <c r="U695" i="11"/>
  <c r="M695" i="11"/>
  <c r="E695" i="11"/>
  <c r="AB695" i="11"/>
  <c r="T695" i="11"/>
  <c r="L695" i="11"/>
  <c r="AI695" i="11"/>
  <c r="AA695" i="11"/>
  <c r="S695" i="11"/>
  <c r="K695" i="11"/>
  <c r="AG439" i="11"/>
  <c r="Y439" i="11"/>
  <c r="Q439" i="11"/>
  <c r="I439" i="11"/>
  <c r="AF439" i="11"/>
  <c r="X439" i="11"/>
  <c r="P439" i="11"/>
  <c r="H439" i="11"/>
  <c r="AD439" i="11"/>
  <c r="V439" i="11"/>
  <c r="N439" i="11"/>
  <c r="F439" i="11"/>
  <c r="AE439" i="11"/>
  <c r="S439" i="11"/>
  <c r="E439" i="11"/>
  <c r="AC439" i="11"/>
  <c r="R439" i="11"/>
  <c r="AB439" i="11"/>
  <c r="O439" i="11"/>
  <c r="AA439" i="11"/>
  <c r="M439" i="11"/>
  <c r="Z439" i="11"/>
  <c r="L439" i="11"/>
  <c r="AI439" i="11"/>
  <c r="AH439" i="11"/>
  <c r="W439" i="11"/>
  <c r="U439" i="11"/>
  <c r="T439" i="11"/>
  <c r="K439" i="11"/>
  <c r="J439" i="11"/>
  <c r="G439" i="11"/>
  <c r="AH543" i="11"/>
  <c r="Z543" i="11"/>
  <c r="R543" i="11"/>
  <c r="J543" i="11"/>
  <c r="AG543" i="11"/>
  <c r="Y543" i="11"/>
  <c r="Q543" i="11"/>
  <c r="I543" i="11"/>
  <c r="AF543" i="11"/>
  <c r="X543" i="11"/>
  <c r="P543" i="11"/>
  <c r="H543" i="11"/>
  <c r="AE543" i="11"/>
  <c r="W543" i="11"/>
  <c r="O543" i="11"/>
  <c r="G543" i="11"/>
  <c r="AD543" i="11"/>
  <c r="V543" i="11"/>
  <c r="N543" i="11"/>
  <c r="F543" i="11"/>
  <c r="M543" i="11"/>
  <c r="AI543" i="11"/>
  <c r="L543" i="11"/>
  <c r="AC543" i="11"/>
  <c r="K543" i="11"/>
  <c r="AB543" i="11"/>
  <c r="E543" i="11"/>
  <c r="AA543" i="11"/>
  <c r="T543" i="11"/>
  <c r="S543" i="11"/>
  <c r="U543" i="11"/>
  <c r="M395" i="11"/>
  <c r="E395" i="11"/>
  <c r="L395" i="11"/>
  <c r="J395" i="11"/>
  <c r="I395" i="11"/>
  <c r="G395" i="11"/>
  <c r="F395" i="11"/>
  <c r="AF395" i="11"/>
  <c r="P395" i="11"/>
  <c r="O395" i="11"/>
  <c r="N395" i="11"/>
  <c r="K395" i="11"/>
  <c r="H395" i="11"/>
  <c r="AC363" i="11"/>
  <c r="M363" i="11"/>
  <c r="E363" i="11"/>
  <c r="L363" i="11"/>
  <c r="AB363" i="11" s="1"/>
  <c r="J363" i="11"/>
  <c r="I363" i="11"/>
  <c r="G363" i="11"/>
  <c r="R363" i="11" s="1"/>
  <c r="F363" i="11"/>
  <c r="AF363" i="11"/>
  <c r="P363" i="11"/>
  <c r="O363" i="11"/>
  <c r="N363" i="11"/>
  <c r="K363" i="11"/>
  <c r="H363" i="11"/>
  <c r="AD589" i="11"/>
  <c r="V589" i="11"/>
  <c r="N589" i="11"/>
  <c r="F589" i="11"/>
  <c r="AC589" i="11"/>
  <c r="U589" i="11"/>
  <c r="M589" i="11"/>
  <c r="E589" i="11"/>
  <c r="AB589" i="11"/>
  <c r="T589" i="11"/>
  <c r="L589" i="11"/>
  <c r="AI589" i="11"/>
  <c r="AA589" i="11"/>
  <c r="S589" i="11"/>
  <c r="K589" i="11"/>
  <c r="AG589" i="11"/>
  <c r="Y589" i="11"/>
  <c r="Q589" i="11"/>
  <c r="I589" i="11"/>
  <c r="AF589" i="11"/>
  <c r="X589" i="11"/>
  <c r="P589" i="11"/>
  <c r="H589" i="11"/>
  <c r="AE589" i="11"/>
  <c r="Z589" i="11"/>
  <c r="W589" i="11"/>
  <c r="R589" i="11"/>
  <c r="O589" i="11"/>
  <c r="AH589" i="11"/>
  <c r="J589" i="11"/>
  <c r="G589" i="11"/>
  <c r="AC453" i="11"/>
  <c r="U453" i="11"/>
  <c r="M453" i="11"/>
  <c r="E453" i="11"/>
  <c r="AB453" i="11"/>
  <c r="T453" i="11"/>
  <c r="L453" i="11"/>
  <c r="AH453" i="11"/>
  <c r="Z453" i="11"/>
  <c r="R453" i="11"/>
  <c r="J453" i="11"/>
  <c r="Y453" i="11"/>
  <c r="N453" i="11"/>
  <c r="X453" i="11"/>
  <c r="K453" i="11"/>
  <c r="AI453" i="11"/>
  <c r="W453" i="11"/>
  <c r="I453" i="11"/>
  <c r="AG453" i="11"/>
  <c r="V453" i="11"/>
  <c r="H453" i="11"/>
  <c r="AF453" i="11"/>
  <c r="S453" i="11"/>
  <c r="G453" i="11"/>
  <c r="Q453" i="11"/>
  <c r="P453" i="11"/>
  <c r="O453" i="11"/>
  <c r="F453" i="11"/>
  <c r="AE453" i="11"/>
  <c r="AD453" i="11"/>
  <c r="AA453" i="11"/>
  <c r="O402" i="11"/>
  <c r="G402" i="11"/>
  <c r="N402" i="11"/>
  <c r="F402" i="11"/>
  <c r="M402" i="11"/>
  <c r="E402" i="11"/>
  <c r="L402" i="11"/>
  <c r="K402" i="11"/>
  <c r="J402" i="11"/>
  <c r="AB402" i="11" s="1"/>
  <c r="AC402" i="11" s="1"/>
  <c r="AF402" i="11"/>
  <c r="I402" i="11"/>
  <c r="H402" i="11"/>
  <c r="Q402" i="11"/>
  <c r="O370" i="11"/>
  <c r="G370" i="11"/>
  <c r="N370" i="11"/>
  <c r="F370" i="11"/>
  <c r="L370" i="11"/>
  <c r="AI370" i="11"/>
  <c r="K370" i="11"/>
  <c r="J370" i="11"/>
  <c r="I370" i="11"/>
  <c r="H370" i="11"/>
  <c r="E370" i="11"/>
  <c r="Q370" i="11"/>
  <c r="AF370" i="11"/>
  <c r="P370" i="11"/>
  <c r="M370" i="11"/>
  <c r="S370" i="11" s="1"/>
  <c r="O338" i="11"/>
  <c r="G338" i="11"/>
  <c r="N338" i="11"/>
  <c r="F338" i="11"/>
  <c r="AB338" i="11"/>
  <c r="L338" i="11"/>
  <c r="K338" i="11"/>
  <c r="J338" i="11"/>
  <c r="I338" i="11"/>
  <c r="H338" i="11"/>
  <c r="E338" i="11"/>
  <c r="AF338" i="11"/>
  <c r="AC338" i="11"/>
  <c r="M338" i="11"/>
  <c r="N420" i="11"/>
  <c r="F420" i="11"/>
  <c r="AB420" i="11"/>
  <c r="AC420" i="11" s="1"/>
  <c r="L420" i="11"/>
  <c r="AI420" i="11"/>
  <c r="M420" i="11"/>
  <c r="K420" i="11"/>
  <c r="J420" i="11"/>
  <c r="AF420" i="11"/>
  <c r="I420" i="11"/>
  <c r="H420" i="11"/>
  <c r="Q420" i="11"/>
  <c r="O420" i="11"/>
  <c r="G420" i="11"/>
  <c r="E420" i="11"/>
  <c r="P420" i="11" s="1"/>
  <c r="AC310" i="11"/>
  <c r="U310" i="11"/>
  <c r="M310" i="11"/>
  <c r="E310" i="11"/>
  <c r="AB310" i="11"/>
  <c r="T310" i="11"/>
  <c r="L310" i="11"/>
  <c r="AH310" i="11"/>
  <c r="Z310" i="11"/>
  <c r="R310" i="11"/>
  <c r="J310" i="11"/>
  <c r="AF310" i="11"/>
  <c r="X310" i="11"/>
  <c r="P310" i="11"/>
  <c r="H310" i="11"/>
  <c r="AI310" i="11"/>
  <c r="S310" i="11"/>
  <c r="AG310" i="11"/>
  <c r="Q310" i="11"/>
  <c r="AE310" i="11"/>
  <c r="O310" i="11"/>
  <c r="AD310" i="11"/>
  <c r="N310" i="11"/>
  <c r="AA310" i="11"/>
  <c r="K310" i="11"/>
  <c r="Y310" i="11"/>
  <c r="I310" i="11"/>
  <c r="W310" i="11"/>
  <c r="V310" i="11"/>
  <c r="G310" i="11"/>
  <c r="F310" i="11"/>
  <c r="M278" i="11"/>
  <c r="S278" i="11" s="1"/>
  <c r="Y278" i="11" s="1"/>
  <c r="E278" i="11"/>
  <c r="L278" i="11"/>
  <c r="J278" i="11"/>
  <c r="AF278" i="11"/>
  <c r="H278" i="11"/>
  <c r="AI278" i="11"/>
  <c r="Q278" i="11"/>
  <c r="O278" i="11"/>
  <c r="N278" i="11"/>
  <c r="K278" i="11"/>
  <c r="I278" i="11"/>
  <c r="G278" i="11"/>
  <c r="F278" i="11"/>
  <c r="AD553" i="11"/>
  <c r="V553" i="11"/>
  <c r="N553" i="11"/>
  <c r="F553" i="11"/>
  <c r="AC553" i="11"/>
  <c r="U553" i="11"/>
  <c r="M553" i="11"/>
  <c r="E553" i="11"/>
  <c r="AB553" i="11"/>
  <c r="T553" i="11"/>
  <c r="L553" i="11"/>
  <c r="AG553" i="11"/>
  <c r="Y553" i="11"/>
  <c r="Q553" i="11"/>
  <c r="I553" i="11"/>
  <c r="AF553" i="11"/>
  <c r="X553" i="11"/>
  <c r="P553" i="11"/>
  <c r="H553" i="11"/>
  <c r="W553" i="11"/>
  <c r="S553" i="11"/>
  <c r="R553" i="11"/>
  <c r="AI553" i="11"/>
  <c r="O553" i="11"/>
  <c r="AH553" i="11"/>
  <c r="K553" i="11"/>
  <c r="AE553" i="11"/>
  <c r="AA553" i="11"/>
  <c r="Z553" i="11"/>
  <c r="J553" i="11"/>
  <c r="G553" i="11"/>
  <c r="AH503" i="11"/>
  <c r="Z503" i="11"/>
  <c r="R503" i="11"/>
  <c r="J503" i="11"/>
  <c r="AG503" i="11"/>
  <c r="Y503" i="11"/>
  <c r="Q503" i="11"/>
  <c r="I503" i="11"/>
  <c r="AF503" i="11"/>
  <c r="X503" i="11"/>
  <c r="P503" i="11"/>
  <c r="H503" i="11"/>
  <c r="AD503" i="11"/>
  <c r="V503" i="11"/>
  <c r="N503" i="11"/>
  <c r="F503" i="11"/>
  <c r="AC503" i="11"/>
  <c r="M503" i="11"/>
  <c r="AB503" i="11"/>
  <c r="L503" i="11"/>
  <c r="AA503" i="11"/>
  <c r="K503" i="11"/>
  <c r="W503" i="11"/>
  <c r="G503" i="11"/>
  <c r="U503" i="11"/>
  <c r="E503" i="11"/>
  <c r="AE503" i="11"/>
  <c r="T503" i="11"/>
  <c r="S503" i="11"/>
  <c r="O503" i="11"/>
  <c r="AI503" i="11"/>
  <c r="M333" i="11"/>
  <c r="G333" i="11"/>
  <c r="O333" i="11"/>
  <c r="F333" i="11"/>
  <c r="AF333" i="11"/>
  <c r="N333" i="11"/>
  <c r="E333" i="11"/>
  <c r="L333" i="11"/>
  <c r="K333" i="11"/>
  <c r="AB333" i="11"/>
  <c r="J333" i="11"/>
  <c r="I333" i="11"/>
  <c r="H333" i="11"/>
  <c r="AI333" i="11"/>
  <c r="AE301" i="11"/>
  <c r="W301" i="11"/>
  <c r="O301" i="11"/>
  <c r="G301" i="11"/>
  <c r="AD301" i="11"/>
  <c r="V301" i="11"/>
  <c r="N301" i="11"/>
  <c r="F301" i="11"/>
  <c r="AB301" i="11"/>
  <c r="T301" i="11"/>
  <c r="L301" i="11"/>
  <c r="AH301" i="11"/>
  <c r="Z301" i="11"/>
  <c r="R301" i="11"/>
  <c r="J301" i="11"/>
  <c r="X301" i="11"/>
  <c r="H301" i="11"/>
  <c r="U301" i="11"/>
  <c r="E301" i="11"/>
  <c r="AI301" i="11"/>
  <c r="S301" i="11"/>
  <c r="AG301" i="11"/>
  <c r="Q301" i="11"/>
  <c r="AF301" i="11"/>
  <c r="P301" i="11"/>
  <c r="AC301" i="11"/>
  <c r="M301" i="11"/>
  <c r="K301" i="11"/>
  <c r="I301" i="11"/>
  <c r="AA301" i="11"/>
  <c r="Y301" i="11"/>
  <c r="O269" i="11"/>
  <c r="G269" i="11"/>
  <c r="N269" i="11"/>
  <c r="F269" i="11"/>
  <c r="L269" i="11"/>
  <c r="J269" i="11"/>
  <c r="H269" i="11"/>
  <c r="AB269" i="11" s="1"/>
  <c r="AC269" i="11" s="1"/>
  <c r="E269" i="11"/>
  <c r="AF269" i="11"/>
  <c r="M269" i="11"/>
  <c r="K269" i="11"/>
  <c r="I269" i="11"/>
  <c r="AC230" i="11"/>
  <c r="U230" i="11"/>
  <c r="M230" i="11"/>
  <c r="E230" i="11"/>
  <c r="AB230" i="11"/>
  <c r="T230" i="11"/>
  <c r="L230" i="11"/>
  <c r="AA230" i="11"/>
  <c r="Q230" i="11"/>
  <c r="G230" i="11"/>
  <c r="Z230" i="11"/>
  <c r="P230" i="11"/>
  <c r="F230" i="11"/>
  <c r="AI230" i="11"/>
  <c r="Y230" i="11"/>
  <c r="O230" i="11"/>
  <c r="AH230" i="11"/>
  <c r="X230" i="11"/>
  <c r="N230" i="11"/>
  <c r="AG230" i="11"/>
  <c r="W230" i="11"/>
  <c r="K230" i="11"/>
  <c r="AF230" i="11"/>
  <c r="V230" i="11"/>
  <c r="J230" i="11"/>
  <c r="AD230" i="11"/>
  <c r="S230" i="11"/>
  <c r="R230" i="11"/>
  <c r="I230" i="11"/>
  <c r="H230" i="11"/>
  <c r="AE230" i="11"/>
  <c r="M407" i="11"/>
  <c r="E407" i="11"/>
  <c r="L407" i="11"/>
  <c r="K407" i="11"/>
  <c r="J407" i="11"/>
  <c r="I407" i="11"/>
  <c r="O407" i="11"/>
  <c r="AF407" i="11"/>
  <c r="N407" i="11"/>
  <c r="H407" i="11"/>
  <c r="G407" i="11"/>
  <c r="F407" i="11"/>
  <c r="I288" i="11"/>
  <c r="AF288" i="11"/>
  <c r="P288" i="11"/>
  <c r="H288" i="11"/>
  <c r="N288" i="11"/>
  <c r="F288" i="11"/>
  <c r="Q288" i="11" s="1"/>
  <c r="L288" i="11"/>
  <c r="K288" i="11"/>
  <c r="J288" i="11"/>
  <c r="G288" i="11"/>
  <c r="E288" i="11"/>
  <c r="AI288" i="11"/>
  <c r="R288" i="11"/>
  <c r="O288" i="11"/>
  <c r="M288" i="11"/>
  <c r="AG256" i="11"/>
  <c r="Y256" i="11"/>
  <c r="Q256" i="11"/>
  <c r="I256" i="11"/>
  <c r="AF256" i="11"/>
  <c r="X256" i="11"/>
  <c r="P256" i="11"/>
  <c r="H256" i="11"/>
  <c r="AD256" i="11"/>
  <c r="V256" i="11"/>
  <c r="N256" i="11"/>
  <c r="F256" i="11"/>
  <c r="AB256" i="11"/>
  <c r="T256" i="11"/>
  <c r="L256" i="11"/>
  <c r="AA256" i="11"/>
  <c r="K256" i="11"/>
  <c r="Z256" i="11"/>
  <c r="J256" i="11"/>
  <c r="W256" i="11"/>
  <c r="G256" i="11"/>
  <c r="U256" i="11"/>
  <c r="E256" i="11"/>
  <c r="AI256" i="11"/>
  <c r="S256" i="11"/>
  <c r="AH256" i="11"/>
  <c r="R256" i="11"/>
  <c r="AE256" i="11"/>
  <c r="AC256" i="11"/>
  <c r="O256" i="11"/>
  <c r="M256" i="11"/>
  <c r="AH499" i="11"/>
  <c r="Z499" i="11"/>
  <c r="R499" i="11"/>
  <c r="J499" i="11"/>
  <c r="AG499" i="11"/>
  <c r="Y499" i="11"/>
  <c r="Q499" i="11"/>
  <c r="I499" i="11"/>
  <c r="AF499" i="11"/>
  <c r="X499" i="11"/>
  <c r="P499" i="11"/>
  <c r="H499" i="11"/>
  <c r="AD499" i="11"/>
  <c r="V499" i="11"/>
  <c r="N499" i="11"/>
  <c r="F499" i="11"/>
  <c r="AC499" i="11"/>
  <c r="M499" i="11"/>
  <c r="AB499" i="11"/>
  <c r="L499" i="11"/>
  <c r="AA499" i="11"/>
  <c r="K499" i="11"/>
  <c r="W499" i="11"/>
  <c r="G499" i="11"/>
  <c r="U499" i="11"/>
  <c r="E499" i="11"/>
  <c r="AE499" i="11"/>
  <c r="T499" i="11"/>
  <c r="S499" i="11"/>
  <c r="O499" i="11"/>
  <c r="AI499" i="11"/>
  <c r="I385" i="11"/>
  <c r="AF385" i="11"/>
  <c r="H385" i="11"/>
  <c r="N385" i="11"/>
  <c r="F385" i="11"/>
  <c r="M385" i="11"/>
  <c r="E385" i="11"/>
  <c r="O385" i="11"/>
  <c r="L385" i="11"/>
  <c r="AB385" i="11" s="1"/>
  <c r="AC385" i="11" s="1"/>
  <c r="K385" i="11"/>
  <c r="J385" i="11"/>
  <c r="G385" i="11"/>
  <c r="I353" i="11"/>
  <c r="AF353" i="11"/>
  <c r="H353" i="11"/>
  <c r="N353" i="11"/>
  <c r="F353" i="11"/>
  <c r="P353" i="11" s="1"/>
  <c r="R353" i="11" s="1"/>
  <c r="M353" i="11"/>
  <c r="E353" i="11"/>
  <c r="O353" i="11"/>
  <c r="L353" i="11"/>
  <c r="AB353" i="11" s="1"/>
  <c r="AC353" i="11" s="1"/>
  <c r="K353" i="11"/>
  <c r="J353" i="11"/>
  <c r="G353" i="11"/>
  <c r="AI353" i="11"/>
  <c r="I150" i="11"/>
  <c r="AB150" i="11" s="1"/>
  <c r="AC150" i="11" s="1"/>
  <c r="AF150" i="11"/>
  <c r="H150" i="11"/>
  <c r="N150" i="11"/>
  <c r="F150" i="11"/>
  <c r="M150" i="11"/>
  <c r="E150" i="11"/>
  <c r="L150" i="11"/>
  <c r="O150" i="11"/>
  <c r="K150" i="11"/>
  <c r="J150" i="11"/>
  <c r="G150" i="11"/>
  <c r="O211" i="11"/>
  <c r="G211" i="11"/>
  <c r="N211" i="11"/>
  <c r="F211" i="11"/>
  <c r="Q211" i="11" s="1"/>
  <c r="S211" i="11" s="1"/>
  <c r="Y211" i="11" s="1"/>
  <c r="AC211" i="11"/>
  <c r="M211" i="11"/>
  <c r="E211" i="11"/>
  <c r="AB211" i="11"/>
  <c r="L211" i="11"/>
  <c r="AI211" i="11"/>
  <c r="K211" i="11"/>
  <c r="J211" i="11"/>
  <c r="H211" i="11"/>
  <c r="AF211" i="11"/>
  <c r="I211" i="11"/>
  <c r="O179" i="11"/>
  <c r="G179" i="11"/>
  <c r="N179" i="11"/>
  <c r="F179" i="11"/>
  <c r="M179" i="11"/>
  <c r="E179" i="11"/>
  <c r="L179" i="11"/>
  <c r="AB179" i="11" s="1"/>
  <c r="AC179" i="11" s="1"/>
  <c r="AI179" i="11"/>
  <c r="K179" i="11"/>
  <c r="J179" i="11"/>
  <c r="H179" i="11"/>
  <c r="AF179" i="11"/>
  <c r="P179" i="11"/>
  <c r="I179" i="11"/>
  <c r="O171" i="11"/>
  <c r="G171" i="11"/>
  <c r="N171" i="11"/>
  <c r="F171" i="11"/>
  <c r="L171" i="11"/>
  <c r="AB171" i="11" s="1"/>
  <c r="AC171" i="11" s="1"/>
  <c r="K171" i="11"/>
  <c r="J171" i="11"/>
  <c r="H171" i="11"/>
  <c r="E171" i="11"/>
  <c r="M171" i="11"/>
  <c r="AF171" i="11"/>
  <c r="I171" i="11"/>
  <c r="O139" i="11"/>
  <c r="G139" i="11"/>
  <c r="N139" i="11"/>
  <c r="F139" i="11"/>
  <c r="L139" i="11"/>
  <c r="AB139" i="11" s="1"/>
  <c r="AC139" i="11" s="1"/>
  <c r="K139" i="11"/>
  <c r="J139" i="11"/>
  <c r="H139" i="11"/>
  <c r="E139" i="11"/>
  <c r="Q139" i="11"/>
  <c r="M139" i="11"/>
  <c r="AF139" i="11"/>
  <c r="I139" i="11"/>
  <c r="I202" i="11"/>
  <c r="AF202" i="11"/>
  <c r="H202" i="11"/>
  <c r="O202" i="11"/>
  <c r="G202" i="11"/>
  <c r="N202" i="11"/>
  <c r="F202" i="11"/>
  <c r="M202" i="11"/>
  <c r="AB202" i="11" s="1"/>
  <c r="AC202" i="11" s="1"/>
  <c r="E202" i="11"/>
  <c r="L202" i="11"/>
  <c r="K202" i="11"/>
  <c r="J202" i="11"/>
  <c r="I349" i="11"/>
  <c r="AF349" i="11"/>
  <c r="H349" i="11"/>
  <c r="N349" i="11"/>
  <c r="F349" i="11"/>
  <c r="Q349" i="11" s="1"/>
  <c r="S349" i="11" s="1"/>
  <c r="Y349" i="11" s="1"/>
  <c r="M349" i="11"/>
  <c r="E349" i="11"/>
  <c r="O349" i="11"/>
  <c r="L349" i="11"/>
  <c r="AB349" i="11" s="1"/>
  <c r="AC349" i="11" s="1"/>
  <c r="K349" i="11"/>
  <c r="J349" i="11"/>
  <c r="G349" i="11"/>
  <c r="AI349" i="11" s="1"/>
  <c r="M148" i="11"/>
  <c r="E148" i="11"/>
  <c r="L148" i="11"/>
  <c r="J148" i="11"/>
  <c r="I148" i="11"/>
  <c r="AB148" i="11" s="1"/>
  <c r="AC148" i="11" s="1"/>
  <c r="AF148" i="11"/>
  <c r="H148" i="11"/>
  <c r="AI148" i="11"/>
  <c r="N148" i="11"/>
  <c r="K148" i="11"/>
  <c r="G148" i="11"/>
  <c r="F148" i="11"/>
  <c r="Q148" i="11" s="1"/>
  <c r="S148" i="11" s="1"/>
  <c r="Y148" i="11" s="1"/>
  <c r="O148" i="11"/>
  <c r="AG236" i="11"/>
  <c r="Y236" i="11"/>
  <c r="Q236" i="11"/>
  <c r="I236" i="11"/>
  <c r="AF236" i="11"/>
  <c r="X236" i="11"/>
  <c r="P236" i="11"/>
  <c r="H236" i="11"/>
  <c r="AE236" i="11"/>
  <c r="U236" i="11"/>
  <c r="K236" i="11"/>
  <c r="AD236" i="11"/>
  <c r="T236" i="11"/>
  <c r="J236" i="11"/>
  <c r="AC236" i="11"/>
  <c r="S236" i="11"/>
  <c r="G236" i="11"/>
  <c r="AB236" i="11"/>
  <c r="R236" i="11"/>
  <c r="F236" i="11"/>
  <c r="AA236" i="11"/>
  <c r="O236" i="11"/>
  <c r="E236" i="11"/>
  <c r="Z236" i="11"/>
  <c r="N236" i="11"/>
  <c r="AH236" i="11"/>
  <c r="W236" i="11"/>
  <c r="V236" i="11"/>
  <c r="M236" i="11"/>
  <c r="L236" i="11"/>
  <c r="AI236" i="11"/>
  <c r="I220" i="11"/>
  <c r="AF220" i="11"/>
  <c r="H220" i="11"/>
  <c r="K220" i="11"/>
  <c r="J220" i="11"/>
  <c r="G220" i="11"/>
  <c r="F220" i="11"/>
  <c r="O220" i="11"/>
  <c r="E220" i="11"/>
  <c r="N220" i="11"/>
  <c r="M220" i="11"/>
  <c r="AB220" i="11" s="1"/>
  <c r="AC220" i="11" s="1"/>
  <c r="L220" i="11"/>
  <c r="L92" i="11"/>
  <c r="AB92" i="11" s="1"/>
  <c r="AC92" i="11" s="1"/>
  <c r="I92" i="11"/>
  <c r="AI92" i="11"/>
  <c r="H92" i="11"/>
  <c r="G92" i="11"/>
  <c r="O92" i="11"/>
  <c r="F92" i="11"/>
  <c r="AF92" i="11"/>
  <c r="N92" i="11"/>
  <c r="E92" i="11"/>
  <c r="M92" i="11"/>
  <c r="K92" i="11"/>
  <c r="J92" i="11"/>
  <c r="AG320" i="11"/>
  <c r="Y320" i="11"/>
  <c r="Q320" i="11"/>
  <c r="I320" i="11"/>
  <c r="AF320" i="11"/>
  <c r="X320" i="11"/>
  <c r="P320" i="11"/>
  <c r="H320" i="11"/>
  <c r="AE320" i="11"/>
  <c r="W320" i="11"/>
  <c r="O320" i="11"/>
  <c r="G320" i="11"/>
  <c r="AD320" i="11"/>
  <c r="V320" i="11"/>
  <c r="N320" i="11"/>
  <c r="F320" i="11"/>
  <c r="AB320" i="11"/>
  <c r="T320" i="11"/>
  <c r="L320" i="11"/>
  <c r="S320" i="11"/>
  <c r="R320" i="11"/>
  <c r="AI320" i="11"/>
  <c r="M320" i="11"/>
  <c r="AH320" i="11"/>
  <c r="K320" i="11"/>
  <c r="AC320" i="11"/>
  <c r="J320" i="11"/>
  <c r="AA320" i="11"/>
  <c r="E320" i="11"/>
  <c r="Z320" i="11"/>
  <c r="U320" i="11"/>
  <c r="M180" i="11"/>
  <c r="E180" i="11"/>
  <c r="AB180" i="11"/>
  <c r="AC180" i="11" s="1"/>
  <c r="L180" i="11"/>
  <c r="K180" i="11"/>
  <c r="J180" i="11"/>
  <c r="I180" i="11"/>
  <c r="AF180" i="11"/>
  <c r="H180" i="11"/>
  <c r="O180" i="11"/>
  <c r="N180" i="11"/>
  <c r="G180" i="11"/>
  <c r="F180" i="11"/>
  <c r="D47" i="11"/>
  <c r="N15" i="11"/>
  <c r="F15" i="11"/>
  <c r="M15" i="11"/>
  <c r="E15" i="11"/>
  <c r="L15" i="11"/>
  <c r="AB15" i="11" s="1"/>
  <c r="AC15" i="11" s="1"/>
  <c r="AI15" i="11"/>
  <c r="K15" i="11"/>
  <c r="J15" i="11"/>
  <c r="I15" i="11"/>
  <c r="AF15" i="11"/>
  <c r="P15" i="11"/>
  <c r="H15" i="11"/>
  <c r="O15" i="11"/>
  <c r="G15" i="11"/>
  <c r="J109" i="11"/>
  <c r="AC109" i="11"/>
  <c r="K109" i="11"/>
  <c r="I109" i="11"/>
  <c r="H109" i="11"/>
  <c r="G109" i="11"/>
  <c r="O109" i="11"/>
  <c r="F109" i="11"/>
  <c r="AF109" i="11"/>
  <c r="N109" i="11"/>
  <c r="E109" i="11"/>
  <c r="M109" i="11"/>
  <c r="L109" i="11"/>
  <c r="AB109" i="11" s="1"/>
  <c r="D56" i="11"/>
  <c r="L24" i="11"/>
  <c r="AB24" i="11" s="1"/>
  <c r="AC24" i="11" s="1"/>
  <c r="AI24" i="11"/>
  <c r="K24" i="11"/>
  <c r="J24" i="11"/>
  <c r="I24" i="11"/>
  <c r="AF24" i="11"/>
  <c r="H24" i="11"/>
  <c r="O24" i="11"/>
  <c r="G24" i="11"/>
  <c r="N24" i="11"/>
  <c r="F24" i="11"/>
  <c r="P24" i="11" s="1"/>
  <c r="M24" i="11"/>
  <c r="E24" i="11"/>
  <c r="Q24" i="11" s="1"/>
  <c r="AI1057" i="11"/>
  <c r="AA1057" i="11"/>
  <c r="S1057" i="11"/>
  <c r="K1057" i="11"/>
  <c r="AH1057" i="11"/>
  <c r="Z1057" i="11"/>
  <c r="R1057" i="11"/>
  <c r="J1057" i="11"/>
  <c r="AG1057" i="11"/>
  <c r="W1057" i="11"/>
  <c r="M1057" i="11"/>
  <c r="AE1057" i="11"/>
  <c r="U1057" i="11"/>
  <c r="I1057" i="11"/>
  <c r="AD1057" i="11"/>
  <c r="T1057" i="11"/>
  <c r="H1057" i="11"/>
  <c r="AC1057" i="11"/>
  <c r="Q1057" i="11"/>
  <c r="G1057" i="11"/>
  <c r="AB1057" i="11"/>
  <c r="P1057" i="11"/>
  <c r="F1057" i="11"/>
  <c r="Y1057" i="11"/>
  <c r="O1057" i="11"/>
  <c r="E1057" i="11"/>
  <c r="AF1057" i="11"/>
  <c r="X1057" i="11"/>
  <c r="V1057" i="11"/>
  <c r="N1057" i="11"/>
  <c r="L1057" i="11"/>
  <c r="D688" i="11"/>
  <c r="D684" i="11"/>
  <c r="D680" i="11"/>
  <c r="D676" i="11"/>
  <c r="D672" i="11"/>
  <c r="D668" i="11"/>
  <c r="D664" i="11"/>
  <c r="D660" i="11"/>
  <c r="D656" i="11"/>
  <c r="V24" i="9"/>
  <c r="X24" i="9" s="1"/>
  <c r="AG1195" i="11"/>
  <c r="Y1195" i="11"/>
  <c r="Q1195" i="11"/>
  <c r="I1195" i="11"/>
  <c r="AF1195" i="11"/>
  <c r="X1195" i="11"/>
  <c r="P1195" i="11"/>
  <c r="H1195" i="11"/>
  <c r="AE1195" i="11"/>
  <c r="W1195" i="11"/>
  <c r="O1195" i="11"/>
  <c r="G1195" i="11"/>
  <c r="AD1195" i="11"/>
  <c r="V1195" i="11"/>
  <c r="N1195" i="11"/>
  <c r="F1195" i="11"/>
  <c r="AC1195" i="11"/>
  <c r="U1195" i="11"/>
  <c r="M1195" i="11"/>
  <c r="E1195" i="11"/>
  <c r="Z1195" i="11"/>
  <c r="T1195" i="11"/>
  <c r="S1195" i="11"/>
  <c r="R1195" i="11"/>
  <c r="AI1195" i="11"/>
  <c r="L1195" i="11"/>
  <c r="AH1195" i="11"/>
  <c r="K1195" i="11"/>
  <c r="AB1195" i="11"/>
  <c r="J1195" i="11"/>
  <c r="AA1195" i="11"/>
  <c r="AI1128" i="11"/>
  <c r="AA1128" i="11"/>
  <c r="S1128" i="11"/>
  <c r="K1128" i="11"/>
  <c r="AH1128" i="11"/>
  <c r="Z1128" i="11"/>
  <c r="R1128" i="11"/>
  <c r="J1128" i="11"/>
  <c r="AG1128" i="11"/>
  <c r="Y1128" i="11"/>
  <c r="Q1128" i="11"/>
  <c r="I1128" i="11"/>
  <c r="AB1128" i="11"/>
  <c r="N1128" i="11"/>
  <c r="X1128" i="11"/>
  <c r="M1128" i="11"/>
  <c r="W1128" i="11"/>
  <c r="L1128" i="11"/>
  <c r="V1128" i="11"/>
  <c r="H1128" i="11"/>
  <c r="AF1128" i="11"/>
  <c r="U1128" i="11"/>
  <c r="G1128" i="11"/>
  <c r="AE1128" i="11"/>
  <c r="T1128" i="11"/>
  <c r="F1128" i="11"/>
  <c r="AD1128" i="11"/>
  <c r="P1128" i="11"/>
  <c r="E1128" i="11"/>
  <c r="AC1128" i="11"/>
  <c r="O1128" i="11"/>
  <c r="AI1146" i="11"/>
  <c r="AA1146" i="11"/>
  <c r="S1146" i="11"/>
  <c r="K1146" i="11"/>
  <c r="AH1146" i="11"/>
  <c r="Z1146" i="11"/>
  <c r="R1146" i="11"/>
  <c r="J1146" i="11"/>
  <c r="AG1146" i="11"/>
  <c r="Y1146" i="11"/>
  <c r="Q1146" i="11"/>
  <c r="I1146" i="11"/>
  <c r="AD1146" i="11"/>
  <c r="P1146" i="11"/>
  <c r="E1146" i="11"/>
  <c r="AC1146" i="11"/>
  <c r="O1146" i="11"/>
  <c r="AB1146" i="11"/>
  <c r="N1146" i="11"/>
  <c r="W1146" i="11"/>
  <c r="L1146" i="11"/>
  <c r="AF1146" i="11"/>
  <c r="U1146" i="11"/>
  <c r="G1146" i="11"/>
  <c r="AE1146" i="11"/>
  <c r="X1146" i="11"/>
  <c r="V1146" i="11"/>
  <c r="T1146" i="11"/>
  <c r="M1146" i="11"/>
  <c r="H1146" i="11"/>
  <c r="F1146" i="11"/>
  <c r="N103" i="11"/>
  <c r="F103" i="11"/>
  <c r="P103" i="11"/>
  <c r="G103" i="11"/>
  <c r="O103" i="11"/>
  <c r="E103" i="11"/>
  <c r="AF103" i="11"/>
  <c r="M103" i="11"/>
  <c r="AB103" i="11" s="1"/>
  <c r="AC103" i="11" s="1"/>
  <c r="L103" i="11"/>
  <c r="K103" i="11"/>
  <c r="J103" i="11"/>
  <c r="I103" i="11"/>
  <c r="Q103" i="11"/>
  <c r="AD103" i="11" s="1"/>
  <c r="H103" i="11"/>
  <c r="AI103" i="11"/>
  <c r="D53" i="11"/>
  <c r="J21" i="11"/>
  <c r="Q21" i="11"/>
  <c r="I21" i="11"/>
  <c r="AF21" i="11"/>
  <c r="H21" i="11"/>
  <c r="O21" i="11"/>
  <c r="G21" i="11"/>
  <c r="N21" i="11"/>
  <c r="F21" i="11"/>
  <c r="M21" i="11"/>
  <c r="E21" i="11"/>
  <c r="AB21" i="11"/>
  <c r="AC21" i="11" s="1"/>
  <c r="L21" i="11"/>
  <c r="K21" i="11"/>
  <c r="AI1342" i="11"/>
  <c r="AA1342" i="11"/>
  <c r="S1342" i="11"/>
  <c r="K1342" i="11"/>
  <c r="AH1342" i="11"/>
  <c r="Z1342" i="11"/>
  <c r="R1342" i="11"/>
  <c r="J1342" i="11"/>
  <c r="AE1342" i="11"/>
  <c r="W1342" i="11"/>
  <c r="O1342" i="11"/>
  <c r="G1342" i="11"/>
  <c r="AD1342" i="11"/>
  <c r="V1342" i="11"/>
  <c r="N1342" i="11"/>
  <c r="F1342" i="11"/>
  <c r="Y1342" i="11"/>
  <c r="I1342" i="11"/>
  <c r="X1342" i="11"/>
  <c r="H1342" i="11"/>
  <c r="U1342" i="11"/>
  <c r="E1342" i="11"/>
  <c r="T1342" i="11"/>
  <c r="AG1342" i="11"/>
  <c r="Q1342" i="11"/>
  <c r="AF1342" i="11"/>
  <c r="AC1342" i="11"/>
  <c r="AB1342" i="11"/>
  <c r="P1342" i="11"/>
  <c r="M1342" i="11"/>
  <c r="L1342" i="11"/>
  <c r="AB1360" i="11"/>
  <c r="T1360" i="11"/>
  <c r="L1360" i="11"/>
  <c r="AI1360" i="11"/>
  <c r="AA1360" i="11"/>
  <c r="S1360" i="11"/>
  <c r="K1360" i="11"/>
  <c r="AH1360" i="11"/>
  <c r="Z1360" i="11"/>
  <c r="R1360" i="11"/>
  <c r="J1360" i="11"/>
  <c r="AG1360" i="11"/>
  <c r="Y1360" i="11"/>
  <c r="Q1360" i="11"/>
  <c r="I1360" i="11"/>
  <c r="AE1360" i="11"/>
  <c r="O1360" i="11"/>
  <c r="AD1360" i="11"/>
  <c r="N1360" i="11"/>
  <c r="AC1360" i="11"/>
  <c r="M1360" i="11"/>
  <c r="X1360" i="11"/>
  <c r="H1360" i="11"/>
  <c r="W1360" i="11"/>
  <c r="G1360" i="11"/>
  <c r="V1360" i="11"/>
  <c r="F1360" i="11"/>
  <c r="U1360" i="11"/>
  <c r="E1360" i="11"/>
  <c r="P1360" i="11"/>
  <c r="AF1360" i="11"/>
  <c r="AH1289" i="11"/>
  <c r="Z1289" i="11"/>
  <c r="R1289" i="11"/>
  <c r="J1289" i="11"/>
  <c r="AG1289" i="11"/>
  <c r="Y1289" i="11"/>
  <c r="Q1289" i="11"/>
  <c r="I1289" i="11"/>
  <c r="AF1289" i="11"/>
  <c r="X1289" i="11"/>
  <c r="P1289" i="11"/>
  <c r="H1289" i="11"/>
  <c r="AD1289" i="11"/>
  <c r="V1289" i="11"/>
  <c r="N1289" i="11"/>
  <c r="F1289" i="11"/>
  <c r="AC1289" i="11"/>
  <c r="M1289" i="11"/>
  <c r="AB1289" i="11"/>
  <c r="L1289" i="11"/>
  <c r="AA1289" i="11"/>
  <c r="K1289" i="11"/>
  <c r="W1289" i="11"/>
  <c r="G1289" i="11"/>
  <c r="U1289" i="11"/>
  <c r="E1289" i="11"/>
  <c r="T1289" i="11"/>
  <c r="S1289" i="11"/>
  <c r="O1289" i="11"/>
  <c r="AI1289" i="11"/>
  <c r="AE1289" i="11"/>
  <c r="K1013" i="11"/>
  <c r="O1013" i="11"/>
  <c r="G1013" i="11"/>
  <c r="L1013" i="11"/>
  <c r="AF1013" i="11"/>
  <c r="J1013" i="11"/>
  <c r="I1013" i="11"/>
  <c r="AB1013" i="11" s="1"/>
  <c r="AC1013" i="11" s="1"/>
  <c r="H1013" i="11"/>
  <c r="F1013" i="11"/>
  <c r="E1013" i="11"/>
  <c r="N1013" i="11"/>
  <c r="M1013" i="11"/>
  <c r="J854" i="11"/>
  <c r="AB854" i="11" s="1"/>
  <c r="AC854" i="11" s="1"/>
  <c r="I854" i="11"/>
  <c r="AF854" i="11"/>
  <c r="H854" i="11"/>
  <c r="N854" i="11"/>
  <c r="F854" i="11"/>
  <c r="M854" i="11"/>
  <c r="E854" i="11"/>
  <c r="O854" i="11"/>
  <c r="L854" i="11"/>
  <c r="K854" i="11"/>
  <c r="G854" i="11"/>
  <c r="AG700" i="11"/>
  <c r="Y700" i="11"/>
  <c r="AF700" i="11"/>
  <c r="X700" i="11"/>
  <c r="AC700" i="11"/>
  <c r="U700" i="11"/>
  <c r="AA700" i="11"/>
  <c r="P700" i="11"/>
  <c r="H700" i="11"/>
  <c r="Z700" i="11"/>
  <c r="O700" i="11"/>
  <c r="G700" i="11"/>
  <c r="W700" i="11"/>
  <c r="N700" i="11"/>
  <c r="F700" i="11"/>
  <c r="AI700" i="11"/>
  <c r="V700" i="11"/>
  <c r="M700" i="11"/>
  <c r="E700" i="11"/>
  <c r="AH700" i="11"/>
  <c r="T700" i="11"/>
  <c r="L700" i="11"/>
  <c r="AE700" i="11"/>
  <c r="S700" i="11"/>
  <c r="K700" i="11"/>
  <c r="AD700" i="11"/>
  <c r="R700" i="11"/>
  <c r="J700" i="11"/>
  <c r="I700" i="11"/>
  <c r="AB700" i="11"/>
  <c r="Q700" i="11"/>
  <c r="AF110" i="11"/>
  <c r="H110" i="11"/>
  <c r="M110" i="11"/>
  <c r="AB110" i="11" s="1"/>
  <c r="AC110" i="11" s="1"/>
  <c r="L110" i="11"/>
  <c r="K110" i="11"/>
  <c r="J110" i="11"/>
  <c r="I110" i="11"/>
  <c r="AI110" i="11"/>
  <c r="G110" i="11"/>
  <c r="O110" i="11"/>
  <c r="F110" i="11"/>
  <c r="N110" i="11"/>
  <c r="E110" i="11"/>
  <c r="N91" i="11"/>
  <c r="F91" i="11"/>
  <c r="G91" i="11"/>
  <c r="O91" i="11"/>
  <c r="E91" i="11"/>
  <c r="AF91" i="11"/>
  <c r="M91" i="11"/>
  <c r="L91" i="11"/>
  <c r="K91" i="11"/>
  <c r="J91" i="11"/>
  <c r="I91" i="11"/>
  <c r="H91" i="11"/>
  <c r="AB91" i="11" s="1"/>
  <c r="AC91" i="11" s="1"/>
  <c r="D46" i="11"/>
  <c r="AF14" i="11"/>
  <c r="H14" i="11"/>
  <c r="AB14" i="11" s="1"/>
  <c r="AC14" i="11" s="1"/>
  <c r="O14" i="11"/>
  <c r="G14" i="11"/>
  <c r="Q14" i="11" s="1"/>
  <c r="S14" i="11" s="1"/>
  <c r="Y14" i="11" s="1"/>
  <c r="N14" i="11"/>
  <c r="F14" i="11"/>
  <c r="M14" i="11"/>
  <c r="E14" i="11"/>
  <c r="L14" i="11"/>
  <c r="AI14" i="11"/>
  <c r="K14" i="11"/>
  <c r="J14" i="11"/>
  <c r="I14" i="11"/>
  <c r="AG1183" i="11"/>
  <c r="Y1183" i="11"/>
  <c r="Q1183" i="11"/>
  <c r="I1183" i="11"/>
  <c r="AF1183" i="11"/>
  <c r="X1183" i="11"/>
  <c r="P1183" i="11"/>
  <c r="H1183" i="11"/>
  <c r="AE1183" i="11"/>
  <c r="W1183" i="11"/>
  <c r="O1183" i="11"/>
  <c r="G1183" i="11"/>
  <c r="AD1183" i="11"/>
  <c r="V1183" i="11"/>
  <c r="N1183" i="11"/>
  <c r="F1183" i="11"/>
  <c r="AC1183" i="11"/>
  <c r="U1183" i="11"/>
  <c r="M1183" i="11"/>
  <c r="E1183" i="11"/>
  <c r="Z1183" i="11"/>
  <c r="T1183" i="11"/>
  <c r="S1183" i="11"/>
  <c r="R1183" i="11"/>
  <c r="AI1183" i="11"/>
  <c r="L1183" i="11"/>
  <c r="AH1183" i="11"/>
  <c r="K1183" i="11"/>
  <c r="AB1183" i="11"/>
  <c r="J1183" i="11"/>
  <c r="AA1183" i="11"/>
  <c r="AI1178" i="11"/>
  <c r="AA1178" i="11"/>
  <c r="S1178" i="11"/>
  <c r="K1178" i="11"/>
  <c r="AH1178" i="11"/>
  <c r="Z1178" i="11"/>
  <c r="R1178" i="11"/>
  <c r="J1178" i="11"/>
  <c r="AG1178" i="11"/>
  <c r="Y1178" i="11"/>
  <c r="Q1178" i="11"/>
  <c r="I1178" i="11"/>
  <c r="AF1178" i="11"/>
  <c r="X1178" i="11"/>
  <c r="P1178" i="11"/>
  <c r="H1178" i="11"/>
  <c r="AE1178" i="11"/>
  <c r="W1178" i="11"/>
  <c r="O1178" i="11"/>
  <c r="G1178" i="11"/>
  <c r="N1178" i="11"/>
  <c r="M1178" i="11"/>
  <c r="AD1178" i="11"/>
  <c r="L1178" i="11"/>
  <c r="AC1178" i="11"/>
  <c r="F1178" i="11"/>
  <c r="AB1178" i="11"/>
  <c r="E1178" i="11"/>
  <c r="V1178" i="11"/>
  <c r="U1178" i="11"/>
  <c r="T1178" i="11"/>
  <c r="M1020" i="11"/>
  <c r="E1020" i="11"/>
  <c r="K1020" i="11"/>
  <c r="I1020" i="11"/>
  <c r="N1020" i="11"/>
  <c r="L1020" i="11"/>
  <c r="J1020" i="11"/>
  <c r="H1020" i="11"/>
  <c r="AF1020" i="11"/>
  <c r="G1020" i="11"/>
  <c r="Q1020" i="11" s="1"/>
  <c r="F1020" i="11"/>
  <c r="O1020" i="11"/>
  <c r="O1031" i="11"/>
  <c r="G1031" i="11"/>
  <c r="M1031" i="11"/>
  <c r="E1031" i="11"/>
  <c r="AI1031" i="11"/>
  <c r="X1031" i="11" s="1"/>
  <c r="K1031" i="11"/>
  <c r="J1031" i="11"/>
  <c r="I1031" i="11"/>
  <c r="H1031" i="11"/>
  <c r="AB1031" i="11" s="1"/>
  <c r="AC1031" i="11" s="1"/>
  <c r="AF1031" i="11"/>
  <c r="F1031" i="11"/>
  <c r="Q1031" i="11"/>
  <c r="P1031" i="11"/>
  <c r="N1031" i="11"/>
  <c r="L1031" i="11"/>
  <c r="J874" i="11"/>
  <c r="Y874" i="11"/>
  <c r="I874" i="11"/>
  <c r="AF874" i="11"/>
  <c r="H874" i="11"/>
  <c r="O874" i="11"/>
  <c r="G874" i="11"/>
  <c r="N874" i="11"/>
  <c r="F874" i="11"/>
  <c r="P874" i="11" s="1"/>
  <c r="R874" i="11" s="1"/>
  <c r="M874" i="11"/>
  <c r="E874" i="11"/>
  <c r="L874" i="11"/>
  <c r="K874" i="11"/>
  <c r="AI874" i="11"/>
  <c r="AB874" i="11"/>
  <c r="AC874" i="11" s="1"/>
  <c r="K901" i="11"/>
  <c r="Q901" i="11"/>
  <c r="I901" i="11"/>
  <c r="O901" i="11"/>
  <c r="G901" i="11"/>
  <c r="N901" i="11"/>
  <c r="F901" i="11"/>
  <c r="J901" i="11"/>
  <c r="H901" i="11"/>
  <c r="AB901" i="11" s="1"/>
  <c r="AC901" i="11" s="1"/>
  <c r="E901" i="11"/>
  <c r="AF901" i="11"/>
  <c r="P901" i="11"/>
  <c r="M901" i="11"/>
  <c r="L901" i="11"/>
  <c r="AI747" i="11"/>
  <c r="AA747" i="11"/>
  <c r="S747" i="11"/>
  <c r="K747" i="11"/>
  <c r="AH747" i="11"/>
  <c r="Z747" i="11"/>
  <c r="R747" i="11"/>
  <c r="J747" i="11"/>
  <c r="AG747" i="11"/>
  <c r="Y747" i="11"/>
  <c r="Q747" i="11"/>
  <c r="I747" i="11"/>
  <c r="AF747" i="11"/>
  <c r="X747" i="11"/>
  <c r="P747" i="11"/>
  <c r="H747" i="11"/>
  <c r="AE747" i="11"/>
  <c r="W747" i="11"/>
  <c r="O747" i="11"/>
  <c r="G747" i="11"/>
  <c r="AD747" i="11"/>
  <c r="V747" i="11"/>
  <c r="N747" i="11"/>
  <c r="F747" i="11"/>
  <c r="AC747" i="11"/>
  <c r="U747" i="11"/>
  <c r="M747" i="11"/>
  <c r="E747" i="11"/>
  <c r="AB747" i="11"/>
  <c r="T747" i="11"/>
  <c r="L747" i="11"/>
  <c r="AF596" i="11"/>
  <c r="X596" i="11"/>
  <c r="P596" i="11"/>
  <c r="H596" i="11"/>
  <c r="AE596" i="11"/>
  <c r="W596" i="11"/>
  <c r="O596" i="11"/>
  <c r="G596" i="11"/>
  <c r="AD596" i="11"/>
  <c r="V596" i="11"/>
  <c r="N596" i="11"/>
  <c r="F596" i="11"/>
  <c r="AC596" i="11"/>
  <c r="U596" i="11"/>
  <c r="M596" i="11"/>
  <c r="E596" i="11"/>
  <c r="AI596" i="11"/>
  <c r="AA596" i="11"/>
  <c r="S596" i="11"/>
  <c r="K596" i="11"/>
  <c r="AH596" i="11"/>
  <c r="Z596" i="11"/>
  <c r="R596" i="11"/>
  <c r="J596" i="11"/>
  <c r="AG596" i="11"/>
  <c r="AB596" i="11"/>
  <c r="Y596" i="11"/>
  <c r="T596" i="11"/>
  <c r="L596" i="11"/>
  <c r="I596" i="11"/>
  <c r="Q596" i="11"/>
  <c r="AI446" i="11"/>
  <c r="AA446" i="11"/>
  <c r="S446" i="11"/>
  <c r="K446" i="11"/>
  <c r="AH446" i="11"/>
  <c r="Z446" i="11"/>
  <c r="R446" i="11"/>
  <c r="J446" i="11"/>
  <c r="AF446" i="11"/>
  <c r="X446" i="11"/>
  <c r="P446" i="11"/>
  <c r="H446" i="11"/>
  <c r="AB446" i="11"/>
  <c r="N446" i="11"/>
  <c r="Y446" i="11"/>
  <c r="M446" i="11"/>
  <c r="W446" i="11"/>
  <c r="L446" i="11"/>
  <c r="V446" i="11"/>
  <c r="I446" i="11"/>
  <c r="AG446" i="11"/>
  <c r="U446" i="11"/>
  <c r="G446" i="11"/>
  <c r="AC446" i="11"/>
  <c r="T446" i="11"/>
  <c r="Q446" i="11"/>
  <c r="O446" i="11"/>
  <c r="F446" i="11"/>
  <c r="E446" i="11"/>
  <c r="AE446" i="11"/>
  <c r="AD446" i="11"/>
  <c r="AI295" i="11"/>
  <c r="AA295" i="11"/>
  <c r="S295" i="11"/>
  <c r="K295" i="11"/>
  <c r="AH295" i="11"/>
  <c r="Z295" i="11"/>
  <c r="R295" i="11"/>
  <c r="J295" i="11"/>
  <c r="AF295" i="11"/>
  <c r="X295" i="11"/>
  <c r="P295" i="11"/>
  <c r="H295" i="11"/>
  <c r="AD295" i="11"/>
  <c r="V295" i="11"/>
  <c r="N295" i="11"/>
  <c r="F295" i="11"/>
  <c r="AC295" i="11"/>
  <c r="M295" i="11"/>
  <c r="AB295" i="11"/>
  <c r="L295" i="11"/>
  <c r="Y295" i="11"/>
  <c r="I295" i="11"/>
  <c r="W295" i="11"/>
  <c r="G295" i="11"/>
  <c r="U295" i="11"/>
  <c r="E295" i="11"/>
  <c r="T295" i="11"/>
  <c r="AG295" i="11"/>
  <c r="AE295" i="11"/>
  <c r="Q295" i="11"/>
  <c r="O295" i="11"/>
  <c r="AI327" i="11"/>
  <c r="AA327" i="11"/>
  <c r="S327" i="11"/>
  <c r="K327" i="11"/>
  <c r="AH327" i="11"/>
  <c r="Z327" i="11"/>
  <c r="R327" i="11"/>
  <c r="J327" i="11"/>
  <c r="AG327" i="11"/>
  <c r="Y327" i="11"/>
  <c r="Q327" i="11"/>
  <c r="I327" i="11"/>
  <c r="AF327" i="11"/>
  <c r="X327" i="11"/>
  <c r="P327" i="11"/>
  <c r="H327" i="11"/>
  <c r="AD327" i="11"/>
  <c r="V327" i="11"/>
  <c r="N327" i="11"/>
  <c r="F327" i="11"/>
  <c r="AE327" i="11"/>
  <c r="L327" i="11"/>
  <c r="AC327" i="11"/>
  <c r="G327" i="11"/>
  <c r="AB327" i="11"/>
  <c r="E327" i="11"/>
  <c r="W327" i="11"/>
  <c r="U327" i="11"/>
  <c r="T327" i="11"/>
  <c r="O327" i="11"/>
  <c r="M327" i="11"/>
  <c r="AI181" i="11"/>
  <c r="K181" i="11"/>
  <c r="J181" i="11"/>
  <c r="I181" i="11"/>
  <c r="AF181" i="11"/>
  <c r="H181" i="11"/>
  <c r="O181" i="11"/>
  <c r="G181" i="11"/>
  <c r="N181" i="11"/>
  <c r="F181" i="11"/>
  <c r="Q181" i="11" s="1"/>
  <c r="S181" i="11" s="1"/>
  <c r="M181" i="11"/>
  <c r="L181" i="11"/>
  <c r="E181" i="11"/>
  <c r="AI1304" i="11"/>
  <c r="AA1304" i="11"/>
  <c r="S1304" i="11"/>
  <c r="K1304" i="11"/>
  <c r="AH1304" i="11"/>
  <c r="Z1304" i="11"/>
  <c r="R1304" i="11"/>
  <c r="J1304" i="11"/>
  <c r="AG1304" i="11"/>
  <c r="W1304" i="11"/>
  <c r="M1304" i="11"/>
  <c r="AF1304" i="11"/>
  <c r="V1304" i="11"/>
  <c r="L1304" i="11"/>
  <c r="AE1304" i="11"/>
  <c r="U1304" i="11"/>
  <c r="I1304" i="11"/>
  <c r="AC1304" i="11"/>
  <c r="Q1304" i="11"/>
  <c r="G1304" i="11"/>
  <c r="AB1304" i="11"/>
  <c r="P1304" i="11"/>
  <c r="F1304" i="11"/>
  <c r="Y1304" i="11"/>
  <c r="O1304" i="11"/>
  <c r="E1304" i="11"/>
  <c r="AD1304" i="11"/>
  <c r="X1304" i="11"/>
  <c r="T1304" i="11"/>
  <c r="N1304" i="11"/>
  <c r="H1304" i="11"/>
  <c r="AE1302" i="11"/>
  <c r="W1302" i="11"/>
  <c r="O1302" i="11"/>
  <c r="G1302" i="11"/>
  <c r="AD1302" i="11"/>
  <c r="V1302" i="11"/>
  <c r="N1302" i="11"/>
  <c r="F1302" i="11"/>
  <c r="AC1302" i="11"/>
  <c r="S1302" i="11"/>
  <c r="I1302" i="11"/>
  <c r="AB1302" i="11"/>
  <c r="R1302" i="11"/>
  <c r="H1302" i="11"/>
  <c r="AA1302" i="11"/>
  <c r="Q1302" i="11"/>
  <c r="E1302" i="11"/>
  <c r="AI1302" i="11"/>
  <c r="Y1302" i="11"/>
  <c r="M1302" i="11"/>
  <c r="AH1302" i="11"/>
  <c r="X1302" i="11"/>
  <c r="L1302" i="11"/>
  <c r="J1302" i="11"/>
  <c r="AG1302" i="11"/>
  <c r="AF1302" i="11"/>
  <c r="Z1302" i="11"/>
  <c r="U1302" i="11"/>
  <c r="K1302" i="11"/>
  <c r="T1302" i="11"/>
  <c r="P1302" i="11"/>
  <c r="D765" i="11"/>
  <c r="AF568" i="11"/>
  <c r="X568" i="11"/>
  <c r="P568" i="11"/>
  <c r="H568" i="11"/>
  <c r="AE568" i="11"/>
  <c r="W568" i="11"/>
  <c r="O568" i="11"/>
  <c r="G568" i="11"/>
  <c r="AD568" i="11"/>
  <c r="V568" i="11"/>
  <c r="N568" i="11"/>
  <c r="F568" i="11"/>
  <c r="AI568" i="11"/>
  <c r="AA568" i="11"/>
  <c r="S568" i="11"/>
  <c r="K568" i="11"/>
  <c r="AH568" i="11"/>
  <c r="Z568" i="11"/>
  <c r="R568" i="11"/>
  <c r="J568" i="11"/>
  <c r="M568" i="11"/>
  <c r="AG568" i="11"/>
  <c r="L568" i="11"/>
  <c r="AC568" i="11"/>
  <c r="I568" i="11"/>
  <c r="AB568" i="11"/>
  <c r="E568" i="11"/>
  <c r="Y568" i="11"/>
  <c r="T568" i="11"/>
  <c r="Q568" i="11"/>
  <c r="U568" i="11"/>
  <c r="K408" i="11"/>
  <c r="J408" i="11"/>
  <c r="I408" i="11"/>
  <c r="AF408" i="11"/>
  <c r="H408" i="11"/>
  <c r="O408" i="11"/>
  <c r="G408" i="11"/>
  <c r="N408" i="11"/>
  <c r="M408" i="11"/>
  <c r="L408" i="11"/>
  <c r="F408" i="11"/>
  <c r="AB408" i="11"/>
  <c r="AC408" i="11" s="1"/>
  <c r="E408" i="11"/>
  <c r="J417" i="11"/>
  <c r="O417" i="11"/>
  <c r="F417" i="11"/>
  <c r="Q417" i="11" s="1"/>
  <c r="AF417" i="11"/>
  <c r="N417" i="11"/>
  <c r="E417" i="11"/>
  <c r="M417" i="11"/>
  <c r="L417" i="11"/>
  <c r="K417" i="11"/>
  <c r="I417" i="11"/>
  <c r="H417" i="11"/>
  <c r="AB417" i="11" s="1"/>
  <c r="AC417" i="11" s="1"/>
  <c r="G417" i="11"/>
  <c r="O927" i="11"/>
  <c r="G927" i="11"/>
  <c r="N927" i="11"/>
  <c r="F927" i="11"/>
  <c r="Q927" i="11" s="1"/>
  <c r="S927" i="11" s="1"/>
  <c r="M927" i="11"/>
  <c r="E927" i="11"/>
  <c r="AI927" i="11"/>
  <c r="K927" i="11"/>
  <c r="J927" i="11"/>
  <c r="X927" i="11"/>
  <c r="L927" i="11"/>
  <c r="AB927" i="11" s="1"/>
  <c r="AC927" i="11" s="1"/>
  <c r="AF927" i="11"/>
  <c r="I927" i="11"/>
  <c r="Y927" i="11"/>
  <c r="H927" i="11"/>
  <c r="K933" i="11"/>
  <c r="J933" i="11"/>
  <c r="I933" i="11"/>
  <c r="O933" i="11"/>
  <c r="G933" i="11"/>
  <c r="N933" i="11"/>
  <c r="F933" i="11"/>
  <c r="AF933" i="11"/>
  <c r="L933" i="11"/>
  <c r="H933" i="11"/>
  <c r="AB933" i="11" s="1"/>
  <c r="AC933" i="11" s="1"/>
  <c r="E933" i="11"/>
  <c r="M933" i="11"/>
  <c r="K193" i="11"/>
  <c r="J193" i="11"/>
  <c r="I193" i="11"/>
  <c r="AF193" i="11"/>
  <c r="H193" i="11"/>
  <c r="O193" i="11"/>
  <c r="G193" i="11"/>
  <c r="N193" i="11"/>
  <c r="F193" i="11"/>
  <c r="P193" i="11" s="1"/>
  <c r="M193" i="11"/>
  <c r="L193" i="11"/>
  <c r="E193" i="11"/>
  <c r="W27" i="9"/>
  <c r="X27" i="9" s="1"/>
  <c r="AI336" i="11"/>
  <c r="K336" i="11"/>
  <c r="J336" i="11"/>
  <c r="AF336" i="11"/>
  <c r="P336" i="11"/>
  <c r="R336" i="11" s="1"/>
  <c r="H336" i="11"/>
  <c r="O336" i="11"/>
  <c r="G336" i="11"/>
  <c r="N336" i="11"/>
  <c r="M336" i="11"/>
  <c r="AB336" i="11"/>
  <c r="AC336" i="11" s="1"/>
  <c r="L336" i="11"/>
  <c r="I336" i="11"/>
  <c r="F336" i="11"/>
  <c r="Q336" i="11" s="1"/>
  <c r="E336" i="11"/>
  <c r="J125" i="11"/>
  <c r="AF125" i="11"/>
  <c r="H125" i="11"/>
  <c r="O125" i="11"/>
  <c r="I125" i="11"/>
  <c r="G125" i="11"/>
  <c r="AI125" i="11"/>
  <c r="F125" i="11"/>
  <c r="E125" i="11"/>
  <c r="N125" i="11"/>
  <c r="M125" i="11"/>
  <c r="L125" i="11"/>
  <c r="AB125" i="11" s="1"/>
  <c r="AC125" i="11" s="1"/>
  <c r="K125" i="11"/>
  <c r="D482" i="11"/>
  <c r="K259" i="11"/>
  <c r="J259" i="11"/>
  <c r="AF259" i="11"/>
  <c r="H259" i="11"/>
  <c r="N259" i="11"/>
  <c r="F259" i="11"/>
  <c r="M259" i="11"/>
  <c r="L259" i="11"/>
  <c r="AB259" i="11" s="1"/>
  <c r="AC259" i="11" s="1"/>
  <c r="I259" i="11"/>
  <c r="G259" i="11"/>
  <c r="Q259" i="11" s="1"/>
  <c r="E259" i="11"/>
  <c r="O259" i="11"/>
  <c r="K291" i="11"/>
  <c r="J291" i="11"/>
  <c r="AF291" i="11"/>
  <c r="P291" i="11"/>
  <c r="H291" i="11"/>
  <c r="N291" i="11"/>
  <c r="F291" i="11"/>
  <c r="M291" i="11"/>
  <c r="L291" i="11"/>
  <c r="AB291" i="11" s="1"/>
  <c r="AC291" i="11" s="1"/>
  <c r="I291" i="11"/>
  <c r="G291" i="11"/>
  <c r="AI291" i="11" s="1"/>
  <c r="E291" i="11"/>
  <c r="O291" i="11"/>
  <c r="D628" i="11"/>
  <c r="A375" i="4"/>
  <c r="A365" i="4"/>
  <c r="A364" i="4"/>
  <c r="A354" i="4"/>
  <c r="A343" i="4"/>
  <c r="A333" i="4"/>
  <c r="A332" i="4"/>
  <c r="A322" i="4"/>
  <c r="A311" i="4"/>
  <c r="A301" i="4"/>
  <c r="A300" i="4"/>
  <c r="A290" i="4"/>
  <c r="A279" i="4"/>
  <c r="A269" i="4"/>
  <c r="A268" i="4"/>
  <c r="A258" i="4"/>
  <c r="A247" i="4"/>
  <c r="A237" i="4"/>
  <c r="A236" i="4"/>
  <c r="A226" i="4"/>
  <c r="A215" i="4"/>
  <c r="A205" i="4"/>
  <c r="A204" i="4"/>
  <c r="A194" i="4"/>
  <c r="A183" i="4"/>
  <c r="A173" i="4"/>
  <c r="A172" i="4"/>
  <c r="A162" i="4"/>
  <c r="A151" i="4"/>
  <c r="A141" i="4"/>
  <c r="A140" i="4"/>
  <c r="A130" i="4"/>
  <c r="A119" i="4"/>
  <c r="A109" i="4"/>
  <c r="A108" i="4"/>
  <c r="A98" i="4"/>
  <c r="A87" i="4"/>
  <c r="A80" i="4"/>
  <c r="A76" i="4"/>
  <c r="A370" i="4"/>
  <c r="A359" i="4"/>
  <c r="A349" i="4"/>
  <c r="A348" i="4"/>
  <c r="A338" i="4"/>
  <c r="A327" i="4"/>
  <c r="A317" i="4"/>
  <c r="A316" i="4"/>
  <c r="A306" i="4"/>
  <c r="A295" i="4"/>
  <c r="A285" i="4"/>
  <c r="A284" i="4"/>
  <c r="A274" i="4"/>
  <c r="A263" i="4"/>
  <c r="A253" i="4"/>
  <c r="A252" i="4"/>
  <c r="A242" i="4"/>
  <c r="A231" i="4"/>
  <c r="A221" i="4"/>
  <c r="A220" i="4"/>
  <c r="A210" i="4"/>
  <c r="A199" i="4"/>
  <c r="A189" i="4"/>
  <c r="A188" i="4"/>
  <c r="A178" i="4"/>
  <c r="A167" i="4"/>
  <c r="A157" i="4"/>
  <c r="A156" i="4"/>
  <c r="A146" i="4"/>
  <c r="A135" i="4"/>
  <c r="A125" i="4"/>
  <c r="A124" i="4"/>
  <c r="A114" i="4"/>
  <c r="A103" i="4"/>
  <c r="A93" i="4"/>
  <c r="A92" i="4"/>
  <c r="A82" i="4"/>
  <c r="A78" i="4"/>
  <c r="A369" i="4"/>
  <c r="A368" i="4"/>
  <c r="A358" i="4"/>
  <c r="A347" i="4"/>
  <c r="A337" i="4"/>
  <c r="A336" i="4"/>
  <c r="A326" i="4"/>
  <c r="A315" i="4"/>
  <c r="A305" i="4"/>
  <c r="A294" i="4"/>
  <c r="A283" i="4"/>
  <c r="A273" i="4"/>
  <c r="A272" i="4"/>
  <c r="A262" i="4"/>
  <c r="A241" i="4"/>
  <c r="A230" i="4"/>
  <c r="A219" i="4"/>
  <c r="A208" i="4"/>
  <c r="A198" i="4"/>
  <c r="A187" i="4"/>
  <c r="A176" i="4"/>
  <c r="A166" i="4"/>
  <c r="A155" i="4"/>
  <c r="A145" i="4"/>
  <c r="A123" i="4"/>
  <c r="A113" i="4"/>
  <c r="A91" i="4"/>
  <c r="A367" i="4"/>
  <c r="A357" i="4"/>
  <c r="A335" i="4"/>
  <c r="A325" i="4"/>
  <c r="A314" i="4"/>
  <c r="A282" i="4"/>
  <c r="A261" i="4"/>
  <c r="A228" i="4"/>
  <c r="A304" i="4"/>
  <c r="A251" i="4"/>
  <c r="A240" i="4"/>
  <c r="A209" i="4"/>
  <c r="A177" i="4"/>
  <c r="A144" i="4"/>
  <c r="A134" i="4"/>
  <c r="A112" i="4"/>
  <c r="A102" i="4"/>
  <c r="A292" i="4"/>
  <c r="A271" i="4"/>
  <c r="A250" i="4"/>
  <c r="A239" i="4"/>
  <c r="A229" i="4"/>
  <c r="A218" i="4"/>
  <c r="A197" i="4"/>
  <c r="A356" i="4"/>
  <c r="A346" i="4"/>
  <c r="A324" i="4"/>
  <c r="A303" i="4"/>
  <c r="A293" i="4"/>
  <c r="A260" i="4"/>
  <c r="A207" i="4"/>
  <c r="A196" i="4"/>
  <c r="A186" i="4"/>
  <c r="A175" i="4"/>
  <c r="A366" i="4"/>
  <c r="A355" i="4"/>
  <c r="A344" i="4"/>
  <c r="A313" i="4"/>
  <c r="A302" i="4"/>
  <c r="A291" i="4"/>
  <c r="A280" i="4"/>
  <c r="A249" i="4"/>
  <c r="A238" i="4"/>
  <c r="A227" i="4"/>
  <c r="A216" i="4"/>
  <c r="A185" i="4"/>
  <c r="A174" i="4"/>
  <c r="A168" i="4"/>
  <c r="A165" i="4"/>
  <c r="A149" i="4"/>
  <c r="A143" i="4"/>
  <c r="A127" i="4"/>
  <c r="A89" i="4"/>
  <c r="A86" i="4"/>
  <c r="A353" i="4"/>
  <c r="A342" i="4"/>
  <c r="A331" i="4"/>
  <c r="A320" i="4"/>
  <c r="A289" i="4"/>
  <c r="A278" i="4"/>
  <c r="A267" i="4"/>
  <c r="A256" i="4"/>
  <c r="A225" i="4"/>
  <c r="A214" i="4"/>
  <c r="A203" i="4"/>
  <c r="A192" i="4"/>
  <c r="A159" i="4"/>
  <c r="A121" i="4"/>
  <c r="A118" i="4"/>
  <c r="A105" i="4"/>
  <c r="A99" i="4"/>
  <c r="A96" i="4"/>
  <c r="A83" i="4"/>
  <c r="A79" i="4"/>
  <c r="A373" i="4"/>
  <c r="A362" i="4"/>
  <c r="A351" i="4"/>
  <c r="A340" i="4"/>
  <c r="A309" i="4"/>
  <c r="A298" i="4"/>
  <c r="A287" i="4"/>
  <c r="A276" i="4"/>
  <c r="A245" i="4"/>
  <c r="A234" i="4"/>
  <c r="A223" i="4"/>
  <c r="A212" i="4"/>
  <c r="A181" i="4"/>
  <c r="A153" i="4"/>
  <c r="A150" i="4"/>
  <c r="A137" i="4"/>
  <c r="A131" i="4"/>
  <c r="A128" i="4"/>
  <c r="A115" i="4"/>
  <c r="A90" i="4"/>
  <c r="A361" i="4"/>
  <c r="A350" i="4"/>
  <c r="A339" i="4"/>
  <c r="A328" i="4"/>
  <c r="A286" i="4"/>
  <c r="A264" i="4"/>
  <c r="A211" i="4"/>
  <c r="A200" i="4"/>
  <c r="A152" i="4"/>
  <c r="A117" i="4"/>
  <c r="A371" i="4"/>
  <c r="A360" i="4"/>
  <c r="A329" i="4"/>
  <c r="A318" i="4"/>
  <c r="A307" i="4"/>
  <c r="A296" i="4"/>
  <c r="A265" i="4"/>
  <c r="A254" i="4"/>
  <c r="A243" i="4"/>
  <c r="A232" i="4"/>
  <c r="A201" i="4"/>
  <c r="A190" i="4"/>
  <c r="A179" i="4"/>
  <c r="A169" i="4"/>
  <c r="A163" i="4"/>
  <c r="A160" i="4"/>
  <c r="A147" i="4"/>
  <c r="A122" i="4"/>
  <c r="A106" i="4"/>
  <c r="A100" i="4"/>
  <c r="A84" i="4"/>
  <c r="A288" i="4"/>
  <c r="A257" i="4"/>
  <c r="A246" i="4"/>
  <c r="A224" i="4"/>
  <c r="A193" i="4"/>
  <c r="A170" i="4"/>
  <c r="A148" i="4"/>
  <c r="A107" i="4"/>
  <c r="A94" i="4"/>
  <c r="A372" i="4"/>
  <c r="A341" i="4"/>
  <c r="A330" i="4"/>
  <c r="A319" i="4"/>
  <c r="A308" i="4"/>
  <c r="A277" i="4"/>
  <c r="A266" i="4"/>
  <c r="A255" i="4"/>
  <c r="A244" i="4"/>
  <c r="A213" i="4"/>
  <c r="A202" i="4"/>
  <c r="A191" i="4"/>
  <c r="A180" i="4"/>
  <c r="A161" i="4"/>
  <c r="A142" i="4"/>
  <c r="A139" i="4"/>
  <c r="A126" i="4"/>
  <c r="A120" i="4"/>
  <c r="A104" i="4"/>
  <c r="A101" i="4"/>
  <c r="A85" i="4"/>
  <c r="A222" i="4"/>
  <c r="A171" i="4"/>
  <c r="A158" i="4"/>
  <c r="A136" i="4"/>
  <c r="A95" i="4"/>
  <c r="A345" i="4"/>
  <c r="A334" i="4"/>
  <c r="A323" i="4"/>
  <c r="A312" i="4"/>
  <c r="A281" i="4"/>
  <c r="A270" i="4"/>
  <c r="A259" i="4"/>
  <c r="A248" i="4"/>
  <c r="A217" i="4"/>
  <c r="A206" i="4"/>
  <c r="A195" i="4"/>
  <c r="A184" i="4"/>
  <c r="A154" i="4"/>
  <c r="A138" i="4"/>
  <c r="A132" i="4"/>
  <c r="A116" i="4"/>
  <c r="A97" i="4"/>
  <c r="A81" i="4"/>
  <c r="A374" i="4"/>
  <c r="A363" i="4"/>
  <c r="A352" i="4"/>
  <c r="A321" i="4"/>
  <c r="A310" i="4"/>
  <c r="A299" i="4"/>
  <c r="A235" i="4"/>
  <c r="A182" i="4"/>
  <c r="A164" i="4"/>
  <c r="A129" i="4"/>
  <c r="A110" i="4"/>
  <c r="A88" i="4"/>
  <c r="A77" i="4"/>
  <c r="A297" i="4"/>
  <c r="A275" i="4"/>
  <c r="A233" i="4"/>
  <c r="A133" i="4"/>
  <c r="A111" i="4"/>
  <c r="J7" i="4"/>
  <c r="AB1395" i="11"/>
  <c r="T1395" i="11"/>
  <c r="L1395" i="11"/>
  <c r="AI1395" i="11"/>
  <c r="AA1395" i="11"/>
  <c r="S1395" i="11"/>
  <c r="K1395" i="11"/>
  <c r="AG1395" i="11"/>
  <c r="W1395" i="11"/>
  <c r="M1395" i="11"/>
  <c r="AF1395" i="11"/>
  <c r="V1395" i="11"/>
  <c r="J1395" i="11"/>
  <c r="AE1395" i="11"/>
  <c r="AD1395" i="11"/>
  <c r="P1395" i="11"/>
  <c r="AC1395" i="11"/>
  <c r="O1395" i="11"/>
  <c r="Z1395" i="11"/>
  <c r="N1395" i="11"/>
  <c r="Y1395" i="11"/>
  <c r="I1395" i="11"/>
  <c r="X1395" i="11"/>
  <c r="H1395" i="11"/>
  <c r="U1395" i="11"/>
  <c r="G1395" i="11"/>
  <c r="AH1395" i="11"/>
  <c r="R1395" i="11"/>
  <c r="Q1395" i="11"/>
  <c r="F1395" i="11"/>
  <c r="E1395" i="11"/>
  <c r="AB1292" i="11"/>
  <c r="T1292" i="11"/>
  <c r="L1292" i="11"/>
  <c r="AI1292" i="11"/>
  <c r="AA1292" i="11"/>
  <c r="S1292" i="11"/>
  <c r="K1292" i="11"/>
  <c r="AH1292" i="11"/>
  <c r="Z1292" i="11"/>
  <c r="R1292" i="11"/>
  <c r="J1292" i="11"/>
  <c r="AF1292" i="11"/>
  <c r="X1292" i="11"/>
  <c r="P1292" i="11"/>
  <c r="H1292" i="11"/>
  <c r="AG1292" i="11"/>
  <c r="Q1292" i="11"/>
  <c r="AE1292" i="11"/>
  <c r="O1292" i="11"/>
  <c r="AD1292" i="11"/>
  <c r="N1292" i="11"/>
  <c r="AC1292" i="11"/>
  <c r="M1292" i="11"/>
  <c r="Y1292" i="11"/>
  <c r="I1292" i="11"/>
  <c r="U1292" i="11"/>
  <c r="G1292" i="11"/>
  <c r="F1292" i="11"/>
  <c r="E1292" i="11"/>
  <c r="W1292" i="11"/>
  <c r="V1292" i="11"/>
  <c r="AC1149" i="11"/>
  <c r="U1149" i="11"/>
  <c r="M1149" i="11"/>
  <c r="E1149" i="11"/>
  <c r="AB1149" i="11"/>
  <c r="T1149" i="11"/>
  <c r="L1149" i="11"/>
  <c r="AI1149" i="11"/>
  <c r="AA1149" i="11"/>
  <c r="S1149" i="11"/>
  <c r="K1149" i="11"/>
  <c r="AG1149" i="11"/>
  <c r="Y1149" i="11"/>
  <c r="Q1149" i="11"/>
  <c r="I1149" i="11"/>
  <c r="AH1149" i="11"/>
  <c r="R1149" i="11"/>
  <c r="AF1149" i="11"/>
  <c r="P1149" i="11"/>
  <c r="AE1149" i="11"/>
  <c r="O1149" i="11"/>
  <c r="Z1149" i="11"/>
  <c r="J1149" i="11"/>
  <c r="W1149" i="11"/>
  <c r="G1149" i="11"/>
  <c r="AD1149" i="11"/>
  <c r="X1149" i="11"/>
  <c r="V1149" i="11"/>
  <c r="N1149" i="11"/>
  <c r="H1149" i="11"/>
  <c r="F1149" i="11"/>
  <c r="AH1078" i="11"/>
  <c r="Z1078" i="11"/>
  <c r="R1078" i="11"/>
  <c r="J1078" i="11"/>
  <c r="AG1078" i="11"/>
  <c r="Y1078" i="11"/>
  <c r="Q1078" i="11"/>
  <c r="I1078" i="11"/>
  <c r="AF1078" i="11"/>
  <c r="X1078" i="11"/>
  <c r="P1078" i="11"/>
  <c r="H1078" i="11"/>
  <c r="AE1078" i="11"/>
  <c r="W1078" i="11"/>
  <c r="O1078" i="11"/>
  <c r="G1078" i="11"/>
  <c r="AD1078" i="11"/>
  <c r="V1078" i="11"/>
  <c r="N1078" i="11"/>
  <c r="F1078" i="11"/>
  <c r="AB1078" i="11"/>
  <c r="T1078" i="11"/>
  <c r="L1078" i="11"/>
  <c r="M1078" i="11"/>
  <c r="K1078" i="11"/>
  <c r="E1078" i="11"/>
  <c r="AI1078" i="11"/>
  <c r="AC1078" i="11"/>
  <c r="AA1078" i="11"/>
  <c r="U1078" i="11"/>
  <c r="S1078" i="11"/>
  <c r="K1049" i="11"/>
  <c r="I1049" i="11"/>
  <c r="O1049" i="11"/>
  <c r="G1049" i="11"/>
  <c r="N1049" i="11"/>
  <c r="F1049" i="11"/>
  <c r="M1049" i="11"/>
  <c r="E1049" i="11"/>
  <c r="L1049" i="11"/>
  <c r="AB1049" i="11" s="1"/>
  <c r="AC1049" i="11" s="1"/>
  <c r="AF1049" i="11"/>
  <c r="J1049" i="11"/>
  <c r="H1049" i="11"/>
  <c r="AD1402" i="11"/>
  <c r="V1402" i="11"/>
  <c r="N1402" i="11"/>
  <c r="F1402" i="11"/>
  <c r="AC1402" i="11"/>
  <c r="U1402" i="11"/>
  <c r="M1402" i="11"/>
  <c r="E1402" i="11"/>
  <c r="AB1402" i="11"/>
  <c r="T1402" i="11"/>
  <c r="L1402" i="11"/>
  <c r="Y1402" i="11"/>
  <c r="K1402" i="11"/>
  <c r="AI1402" i="11"/>
  <c r="X1402" i="11"/>
  <c r="J1402" i="11"/>
  <c r="AH1402" i="11"/>
  <c r="W1402" i="11"/>
  <c r="I1402" i="11"/>
  <c r="AG1402" i="11"/>
  <c r="S1402" i="11"/>
  <c r="H1402" i="11"/>
  <c r="P1402" i="11"/>
  <c r="O1402" i="11"/>
  <c r="AF1402" i="11"/>
  <c r="G1402" i="11"/>
  <c r="AE1402" i="11"/>
  <c r="AA1402" i="11"/>
  <c r="Z1402" i="11"/>
  <c r="Q1402" i="11"/>
  <c r="R1402" i="11"/>
  <c r="AG1335" i="11"/>
  <c r="Y1335" i="11"/>
  <c r="Q1335" i="11"/>
  <c r="I1335" i="11"/>
  <c r="AF1335" i="11"/>
  <c r="X1335" i="11"/>
  <c r="P1335" i="11"/>
  <c r="H1335" i="11"/>
  <c r="AC1335" i="11"/>
  <c r="U1335" i="11"/>
  <c r="M1335" i="11"/>
  <c r="E1335" i="11"/>
  <c r="AI1335" i="11"/>
  <c r="V1335" i="11"/>
  <c r="J1335" i="11"/>
  <c r="AH1335" i="11"/>
  <c r="T1335" i="11"/>
  <c r="G1335" i="11"/>
  <c r="AE1335" i="11"/>
  <c r="S1335" i="11"/>
  <c r="F1335" i="11"/>
  <c r="AD1335" i="11"/>
  <c r="R1335" i="11"/>
  <c r="AB1335" i="11"/>
  <c r="O1335" i="11"/>
  <c r="L1335" i="11"/>
  <c r="K1335" i="11"/>
  <c r="AA1335" i="11"/>
  <c r="Z1335" i="11"/>
  <c r="W1335" i="11"/>
  <c r="N1335" i="11"/>
  <c r="AE1249" i="11"/>
  <c r="W1249" i="11"/>
  <c r="O1249" i="11"/>
  <c r="G1249" i="11"/>
  <c r="AD1249" i="11"/>
  <c r="V1249" i="11"/>
  <c r="N1249" i="11"/>
  <c r="F1249" i="11"/>
  <c r="AB1249" i="11"/>
  <c r="T1249" i="11"/>
  <c r="L1249" i="11"/>
  <c r="AA1249" i="11"/>
  <c r="P1249" i="11"/>
  <c r="Z1249" i="11"/>
  <c r="M1249" i="11"/>
  <c r="Y1249" i="11"/>
  <c r="K1249" i="11"/>
  <c r="AI1249" i="11"/>
  <c r="X1249" i="11"/>
  <c r="J1249" i="11"/>
  <c r="AH1249" i="11"/>
  <c r="U1249" i="11"/>
  <c r="I1249" i="11"/>
  <c r="AG1249" i="11"/>
  <c r="S1249" i="11"/>
  <c r="H1249" i="11"/>
  <c r="AF1249" i="11"/>
  <c r="R1249" i="11"/>
  <c r="E1249" i="11"/>
  <c r="AC1249" i="11"/>
  <c r="Q1249" i="11"/>
  <c r="AC1135" i="11"/>
  <c r="U1135" i="11"/>
  <c r="M1135" i="11"/>
  <c r="E1135" i="11"/>
  <c r="AB1135" i="11"/>
  <c r="T1135" i="11"/>
  <c r="L1135" i="11"/>
  <c r="AI1135" i="11"/>
  <c r="AA1135" i="11"/>
  <c r="S1135" i="11"/>
  <c r="K1135" i="11"/>
  <c r="Y1135" i="11"/>
  <c r="N1135" i="11"/>
  <c r="X1135" i="11"/>
  <c r="J1135" i="11"/>
  <c r="AH1135" i="11"/>
  <c r="W1135" i="11"/>
  <c r="I1135" i="11"/>
  <c r="AG1135" i="11"/>
  <c r="V1135" i="11"/>
  <c r="H1135" i="11"/>
  <c r="AF1135" i="11"/>
  <c r="R1135" i="11"/>
  <c r="G1135" i="11"/>
  <c r="AE1135" i="11"/>
  <c r="Q1135" i="11"/>
  <c r="F1135" i="11"/>
  <c r="AD1135" i="11"/>
  <c r="P1135" i="11"/>
  <c r="Z1135" i="11"/>
  <c r="O1135" i="11"/>
  <c r="AB1077" i="11"/>
  <c r="T1077" i="11"/>
  <c r="L1077" i="11"/>
  <c r="AI1077" i="11"/>
  <c r="AA1077" i="11"/>
  <c r="S1077" i="11"/>
  <c r="K1077" i="11"/>
  <c r="AH1077" i="11"/>
  <c r="Z1077" i="11"/>
  <c r="R1077" i="11"/>
  <c r="J1077" i="11"/>
  <c r="AG1077" i="11"/>
  <c r="Y1077" i="11"/>
  <c r="Q1077" i="11"/>
  <c r="I1077" i="11"/>
  <c r="AF1077" i="11"/>
  <c r="X1077" i="11"/>
  <c r="P1077" i="11"/>
  <c r="H1077" i="11"/>
  <c r="AD1077" i="11"/>
  <c r="V1077" i="11"/>
  <c r="N1077" i="11"/>
  <c r="F1077" i="11"/>
  <c r="U1077" i="11"/>
  <c r="O1077" i="11"/>
  <c r="M1077" i="11"/>
  <c r="G1077" i="11"/>
  <c r="E1077" i="11"/>
  <c r="AE1077" i="11"/>
  <c r="AC1077" i="11"/>
  <c r="W1077" i="11"/>
  <c r="J995" i="11"/>
  <c r="Q995" i="11"/>
  <c r="I995" i="11"/>
  <c r="AF995" i="11"/>
  <c r="X995" i="11"/>
  <c r="H995" i="11"/>
  <c r="O995" i="11"/>
  <c r="Y995" i="11" s="1"/>
  <c r="G995" i="11"/>
  <c r="M995" i="11"/>
  <c r="E995" i="11"/>
  <c r="L995" i="11"/>
  <c r="AB995" i="11" s="1"/>
  <c r="AC995" i="11" s="1"/>
  <c r="N995" i="11"/>
  <c r="K995" i="11"/>
  <c r="F995" i="11"/>
  <c r="P995" i="11" s="1"/>
  <c r="AI995" i="11"/>
  <c r="R995" i="11" s="1"/>
  <c r="N844" i="11"/>
  <c r="F844" i="11"/>
  <c r="M844" i="11"/>
  <c r="E844" i="11"/>
  <c r="L844" i="11"/>
  <c r="AB844" i="11" s="1"/>
  <c r="AC844" i="11" s="1"/>
  <c r="I844" i="11"/>
  <c r="AI844" i="11"/>
  <c r="X844" i="11" s="1"/>
  <c r="Z844" i="11" s="1"/>
  <c r="AA844" i="11" s="1"/>
  <c r="AF844" i="11"/>
  <c r="O844" i="11"/>
  <c r="K844" i="11"/>
  <c r="J844" i="11"/>
  <c r="H844" i="11"/>
  <c r="G844" i="11"/>
  <c r="Y844" i="11" s="1"/>
  <c r="L829" i="11"/>
  <c r="AB829" i="11" s="1"/>
  <c r="AC829" i="11" s="1"/>
  <c r="AI829" i="11"/>
  <c r="K829" i="11"/>
  <c r="O829" i="11"/>
  <c r="G829" i="11"/>
  <c r="R829" i="11" s="1"/>
  <c r="J829" i="11"/>
  <c r="I829" i="11"/>
  <c r="H829" i="11"/>
  <c r="AF829" i="11"/>
  <c r="F829" i="11"/>
  <c r="E829" i="11"/>
  <c r="P829" i="11"/>
  <c r="N829" i="11"/>
  <c r="M829" i="11"/>
  <c r="AC710" i="11"/>
  <c r="U710" i="11"/>
  <c r="M710" i="11"/>
  <c r="E710" i="11"/>
  <c r="AB710" i="11"/>
  <c r="T710" i="11"/>
  <c r="L710" i="11"/>
  <c r="AI710" i="11"/>
  <c r="AA710" i="11"/>
  <c r="S710" i="11"/>
  <c r="K710" i="11"/>
  <c r="AH710" i="11"/>
  <c r="Z710" i="11"/>
  <c r="R710" i="11"/>
  <c r="J710" i="11"/>
  <c r="AG710" i="11"/>
  <c r="Y710" i="11"/>
  <c r="Q710" i="11"/>
  <c r="I710" i="11"/>
  <c r="AF710" i="11"/>
  <c r="X710" i="11"/>
  <c r="P710" i="11"/>
  <c r="H710" i="11"/>
  <c r="N710" i="11"/>
  <c r="G710" i="11"/>
  <c r="F710" i="11"/>
  <c r="AE710" i="11"/>
  <c r="AD710" i="11"/>
  <c r="W710" i="11"/>
  <c r="V710" i="11"/>
  <c r="O710" i="11"/>
  <c r="AE1435" i="11"/>
  <c r="W1435" i="11"/>
  <c r="O1435" i="11"/>
  <c r="G1435" i="11"/>
  <c r="AC1435" i="11"/>
  <c r="U1435" i="11"/>
  <c r="M1435" i="11"/>
  <c r="E1435" i="11"/>
  <c r="AB1435" i="11"/>
  <c r="T1435" i="11"/>
  <c r="L1435" i="11"/>
  <c r="AG1435" i="11"/>
  <c r="Y1435" i="11"/>
  <c r="Q1435" i="11"/>
  <c r="I1435" i="11"/>
  <c r="AD1435" i="11"/>
  <c r="N1435" i="11"/>
  <c r="AA1435" i="11"/>
  <c r="K1435" i="11"/>
  <c r="X1435" i="11"/>
  <c r="H1435" i="11"/>
  <c r="AI1435" i="11"/>
  <c r="J1435" i="11"/>
  <c r="AH1435" i="11"/>
  <c r="F1435" i="11"/>
  <c r="AF1435" i="11"/>
  <c r="Z1435" i="11"/>
  <c r="V1435" i="11"/>
  <c r="S1435" i="11"/>
  <c r="P1435" i="11"/>
  <c r="R1435" i="11"/>
  <c r="AF1370" i="11"/>
  <c r="X1370" i="11"/>
  <c r="P1370" i="11"/>
  <c r="H1370" i="11"/>
  <c r="AE1370" i="11"/>
  <c r="W1370" i="11"/>
  <c r="O1370" i="11"/>
  <c r="G1370" i="11"/>
  <c r="AD1370" i="11"/>
  <c r="V1370" i="11"/>
  <c r="N1370" i="11"/>
  <c r="F1370" i="11"/>
  <c r="AC1370" i="11"/>
  <c r="U1370" i="11"/>
  <c r="M1370" i="11"/>
  <c r="E1370" i="11"/>
  <c r="AB1370" i="11"/>
  <c r="T1370" i="11"/>
  <c r="L1370" i="11"/>
  <c r="Z1370" i="11"/>
  <c r="Y1370" i="11"/>
  <c r="S1370" i="11"/>
  <c r="R1370" i="11"/>
  <c r="AI1370" i="11"/>
  <c r="Q1370" i="11"/>
  <c r="AH1370" i="11"/>
  <c r="K1370" i="11"/>
  <c r="AG1370" i="11"/>
  <c r="J1370" i="11"/>
  <c r="AA1370" i="11"/>
  <c r="I1370" i="11"/>
  <c r="AH1373" i="11"/>
  <c r="Z1373" i="11"/>
  <c r="R1373" i="11"/>
  <c r="J1373" i="11"/>
  <c r="AG1373" i="11"/>
  <c r="Y1373" i="11"/>
  <c r="Q1373" i="11"/>
  <c r="I1373" i="11"/>
  <c r="AF1373" i="11"/>
  <c r="X1373" i="11"/>
  <c r="P1373" i="11"/>
  <c r="H1373" i="11"/>
  <c r="AE1373" i="11"/>
  <c r="W1373" i="11"/>
  <c r="O1373" i="11"/>
  <c r="G1373" i="11"/>
  <c r="AD1373" i="11"/>
  <c r="V1373" i="11"/>
  <c r="N1373" i="11"/>
  <c r="F1373" i="11"/>
  <c r="S1373" i="11"/>
  <c r="M1373" i="11"/>
  <c r="AI1373" i="11"/>
  <c r="L1373" i="11"/>
  <c r="AC1373" i="11"/>
  <c r="K1373" i="11"/>
  <c r="AB1373" i="11"/>
  <c r="E1373" i="11"/>
  <c r="AA1373" i="11"/>
  <c r="U1373" i="11"/>
  <c r="T1373" i="11"/>
  <c r="AH1365" i="11"/>
  <c r="Z1365" i="11"/>
  <c r="R1365" i="11"/>
  <c r="J1365" i="11"/>
  <c r="AG1365" i="11"/>
  <c r="Y1365" i="11"/>
  <c r="Q1365" i="11"/>
  <c r="I1365" i="11"/>
  <c r="AF1365" i="11"/>
  <c r="X1365" i="11"/>
  <c r="P1365" i="11"/>
  <c r="H1365" i="11"/>
  <c r="AE1365" i="11"/>
  <c r="W1365" i="11"/>
  <c r="O1365" i="11"/>
  <c r="G1365" i="11"/>
  <c r="AD1365" i="11"/>
  <c r="V1365" i="11"/>
  <c r="N1365" i="11"/>
  <c r="F1365" i="11"/>
  <c r="S1365" i="11"/>
  <c r="M1365" i="11"/>
  <c r="AI1365" i="11"/>
  <c r="L1365" i="11"/>
  <c r="AC1365" i="11"/>
  <c r="K1365" i="11"/>
  <c r="AB1365" i="11"/>
  <c r="E1365" i="11"/>
  <c r="AA1365" i="11"/>
  <c r="U1365" i="11"/>
  <c r="T1365" i="11"/>
  <c r="AC1323" i="11"/>
  <c r="U1323" i="11"/>
  <c r="M1323" i="11"/>
  <c r="E1323" i="11"/>
  <c r="AB1323" i="11"/>
  <c r="T1323" i="11"/>
  <c r="L1323" i="11"/>
  <c r="AI1323" i="11"/>
  <c r="AA1323" i="11"/>
  <c r="S1323" i="11"/>
  <c r="K1323" i="11"/>
  <c r="AG1323" i="11"/>
  <c r="Y1323" i="11"/>
  <c r="Q1323" i="11"/>
  <c r="I1323" i="11"/>
  <c r="AE1323" i="11"/>
  <c r="O1323" i="11"/>
  <c r="AD1323" i="11"/>
  <c r="N1323" i="11"/>
  <c r="Z1323" i="11"/>
  <c r="J1323" i="11"/>
  <c r="X1323" i="11"/>
  <c r="H1323" i="11"/>
  <c r="W1323" i="11"/>
  <c r="G1323" i="11"/>
  <c r="V1323" i="11"/>
  <c r="F1323" i="11"/>
  <c r="AH1323" i="11"/>
  <c r="R1323" i="11"/>
  <c r="P1323" i="11"/>
  <c r="AF1323" i="11"/>
  <c r="AB1280" i="11"/>
  <c r="T1280" i="11"/>
  <c r="L1280" i="11"/>
  <c r="AI1280" i="11"/>
  <c r="AA1280" i="11"/>
  <c r="S1280" i="11"/>
  <c r="K1280" i="11"/>
  <c r="AH1280" i="11"/>
  <c r="Z1280" i="11"/>
  <c r="R1280" i="11"/>
  <c r="J1280" i="11"/>
  <c r="AC1280" i="11"/>
  <c r="O1280" i="11"/>
  <c r="Y1280" i="11"/>
  <c r="N1280" i="11"/>
  <c r="X1280" i="11"/>
  <c r="M1280" i="11"/>
  <c r="W1280" i="11"/>
  <c r="I1280" i="11"/>
  <c r="AG1280" i="11"/>
  <c r="V1280" i="11"/>
  <c r="H1280" i="11"/>
  <c r="AF1280" i="11"/>
  <c r="E1280" i="11"/>
  <c r="AE1280" i="11"/>
  <c r="AD1280" i="11"/>
  <c r="U1280" i="11"/>
  <c r="Q1280" i="11"/>
  <c r="P1280" i="11"/>
  <c r="G1280" i="11"/>
  <c r="F1280" i="11"/>
  <c r="AD1295" i="11"/>
  <c r="V1295" i="11"/>
  <c r="N1295" i="11"/>
  <c r="F1295" i="11"/>
  <c r="AC1295" i="11"/>
  <c r="U1295" i="11"/>
  <c r="M1295" i="11"/>
  <c r="E1295" i="11"/>
  <c r="AB1295" i="11"/>
  <c r="T1295" i="11"/>
  <c r="L1295" i="11"/>
  <c r="AH1295" i="11"/>
  <c r="Z1295" i="11"/>
  <c r="R1295" i="11"/>
  <c r="J1295" i="11"/>
  <c r="AG1295" i="11"/>
  <c r="Y1295" i="11"/>
  <c r="X1295" i="11"/>
  <c r="H1295" i="11"/>
  <c r="W1295" i="11"/>
  <c r="G1295" i="11"/>
  <c r="S1295" i="11"/>
  <c r="Q1295" i="11"/>
  <c r="AI1295" i="11"/>
  <c r="P1295" i="11"/>
  <c r="AA1295" i="11"/>
  <c r="O1295" i="11"/>
  <c r="K1295" i="11"/>
  <c r="I1295" i="11"/>
  <c r="AF1295" i="11"/>
  <c r="AE1295" i="11"/>
  <c r="AB1260" i="11"/>
  <c r="T1260" i="11"/>
  <c r="L1260" i="11"/>
  <c r="AH1260" i="11"/>
  <c r="Y1260" i="11"/>
  <c r="P1260" i="11"/>
  <c r="G1260" i="11"/>
  <c r="AG1260" i="11"/>
  <c r="X1260" i="11"/>
  <c r="O1260" i="11"/>
  <c r="F1260" i="11"/>
  <c r="AF1260" i="11"/>
  <c r="W1260" i="11"/>
  <c r="N1260" i="11"/>
  <c r="E1260" i="11"/>
  <c r="AE1260" i="11"/>
  <c r="V1260" i="11"/>
  <c r="M1260" i="11"/>
  <c r="AD1260" i="11"/>
  <c r="K1260" i="11"/>
  <c r="AC1260" i="11"/>
  <c r="J1260" i="11"/>
  <c r="AA1260" i="11"/>
  <c r="I1260" i="11"/>
  <c r="Z1260" i="11"/>
  <c r="H1260" i="11"/>
  <c r="U1260" i="11"/>
  <c r="S1260" i="11"/>
  <c r="R1260" i="11"/>
  <c r="AI1260" i="11"/>
  <c r="Q1260" i="11"/>
  <c r="AB1234" i="11"/>
  <c r="T1234" i="11"/>
  <c r="L1234" i="11"/>
  <c r="AE1234" i="11"/>
  <c r="V1234" i="11"/>
  <c r="M1234" i="11"/>
  <c r="AD1234" i="11"/>
  <c r="U1234" i="11"/>
  <c r="K1234" i="11"/>
  <c r="AC1234" i="11"/>
  <c r="S1234" i="11"/>
  <c r="J1234" i="11"/>
  <c r="AI1234" i="11"/>
  <c r="Z1234" i="11"/>
  <c r="Q1234" i="11"/>
  <c r="H1234" i="11"/>
  <c r="AH1234" i="11"/>
  <c r="Y1234" i="11"/>
  <c r="P1234" i="11"/>
  <c r="G1234" i="11"/>
  <c r="AA1234" i="11"/>
  <c r="E1234" i="11"/>
  <c r="X1234" i="11"/>
  <c r="W1234" i="11"/>
  <c r="R1234" i="11"/>
  <c r="O1234" i="11"/>
  <c r="AF1234" i="11"/>
  <c r="N1234" i="11"/>
  <c r="I1234" i="11"/>
  <c r="F1234" i="11"/>
  <c r="AG1234" i="11"/>
  <c r="AC1341" i="11"/>
  <c r="U1341" i="11"/>
  <c r="M1341" i="11"/>
  <c r="E1341" i="11"/>
  <c r="AB1341" i="11"/>
  <c r="T1341" i="11"/>
  <c r="L1341" i="11"/>
  <c r="AG1341" i="11"/>
  <c r="Y1341" i="11"/>
  <c r="Q1341" i="11"/>
  <c r="I1341" i="11"/>
  <c r="AF1341" i="11"/>
  <c r="X1341" i="11"/>
  <c r="P1341" i="11"/>
  <c r="H1341" i="11"/>
  <c r="AE1341" i="11"/>
  <c r="O1341" i="11"/>
  <c r="AD1341" i="11"/>
  <c r="N1341" i="11"/>
  <c r="AA1341" i="11"/>
  <c r="K1341" i="11"/>
  <c r="Z1341" i="11"/>
  <c r="J1341" i="11"/>
  <c r="W1341" i="11"/>
  <c r="G1341" i="11"/>
  <c r="AI1341" i="11"/>
  <c r="AH1341" i="11"/>
  <c r="V1341" i="11"/>
  <c r="S1341" i="11"/>
  <c r="R1341" i="11"/>
  <c r="F1341" i="11"/>
  <c r="AG1301" i="11"/>
  <c r="Y1301" i="11"/>
  <c r="Q1301" i="11"/>
  <c r="I1301" i="11"/>
  <c r="AF1301" i="11"/>
  <c r="X1301" i="11"/>
  <c r="P1301" i="11"/>
  <c r="H1301" i="11"/>
  <c r="AE1301" i="11"/>
  <c r="U1301" i="11"/>
  <c r="K1301" i="11"/>
  <c r="AD1301" i="11"/>
  <c r="T1301" i="11"/>
  <c r="J1301" i="11"/>
  <c r="AC1301" i="11"/>
  <c r="S1301" i="11"/>
  <c r="G1301" i="11"/>
  <c r="AA1301" i="11"/>
  <c r="O1301" i="11"/>
  <c r="E1301" i="11"/>
  <c r="Z1301" i="11"/>
  <c r="N1301" i="11"/>
  <c r="V1301" i="11"/>
  <c r="R1301" i="11"/>
  <c r="M1301" i="11"/>
  <c r="L1301" i="11"/>
  <c r="AI1301" i="11"/>
  <c r="F1301" i="11"/>
  <c r="AH1301" i="11"/>
  <c r="AB1301" i="11"/>
  <c r="W1301" i="11"/>
  <c r="AH1261" i="11"/>
  <c r="Z1261" i="11"/>
  <c r="R1261" i="11"/>
  <c r="J1261" i="11"/>
  <c r="AA1261" i="11"/>
  <c r="Q1261" i="11"/>
  <c r="H1261" i="11"/>
  <c r="AI1261" i="11"/>
  <c r="Y1261" i="11"/>
  <c r="P1261" i="11"/>
  <c r="G1261" i="11"/>
  <c r="AG1261" i="11"/>
  <c r="X1261" i="11"/>
  <c r="O1261" i="11"/>
  <c r="F1261" i="11"/>
  <c r="AF1261" i="11"/>
  <c r="W1261" i="11"/>
  <c r="N1261" i="11"/>
  <c r="E1261" i="11"/>
  <c r="AE1261" i="11"/>
  <c r="M1261" i="11"/>
  <c r="AD1261" i="11"/>
  <c r="L1261" i="11"/>
  <c r="AC1261" i="11"/>
  <c r="K1261" i="11"/>
  <c r="AB1261" i="11"/>
  <c r="I1261" i="11"/>
  <c r="V1261" i="11"/>
  <c r="U1261" i="11"/>
  <c r="T1261" i="11"/>
  <c r="S1261" i="11"/>
  <c r="AE1245" i="11"/>
  <c r="W1245" i="11"/>
  <c r="O1245" i="11"/>
  <c r="G1245" i="11"/>
  <c r="AD1245" i="11"/>
  <c r="V1245" i="11"/>
  <c r="N1245" i="11"/>
  <c r="F1245" i="11"/>
  <c r="AH1245" i="11"/>
  <c r="X1245" i="11"/>
  <c r="L1245" i="11"/>
  <c r="AG1245" i="11"/>
  <c r="U1245" i="11"/>
  <c r="K1245" i="11"/>
  <c r="AF1245" i="11"/>
  <c r="T1245" i="11"/>
  <c r="J1245" i="11"/>
  <c r="AC1245" i="11"/>
  <c r="S1245" i="11"/>
  <c r="I1245" i="11"/>
  <c r="AB1245" i="11"/>
  <c r="R1245" i="11"/>
  <c r="H1245" i="11"/>
  <c r="AA1245" i="11"/>
  <c r="Q1245" i="11"/>
  <c r="E1245" i="11"/>
  <c r="M1245" i="11"/>
  <c r="AI1245" i="11"/>
  <c r="Z1245" i="11"/>
  <c r="Y1245" i="11"/>
  <c r="P1245" i="11"/>
  <c r="AE1220" i="11"/>
  <c r="W1220" i="11"/>
  <c r="O1220" i="11"/>
  <c r="G1220" i="11"/>
  <c r="AI1220" i="11"/>
  <c r="AA1220" i="11"/>
  <c r="S1220" i="11"/>
  <c r="K1220" i="11"/>
  <c r="AC1220" i="11"/>
  <c r="R1220" i="11"/>
  <c r="H1220" i="11"/>
  <c r="AB1220" i="11"/>
  <c r="Q1220" i="11"/>
  <c r="F1220" i="11"/>
  <c r="Z1220" i="11"/>
  <c r="P1220" i="11"/>
  <c r="E1220" i="11"/>
  <c r="Y1220" i="11"/>
  <c r="N1220" i="11"/>
  <c r="AH1220" i="11"/>
  <c r="X1220" i="11"/>
  <c r="M1220" i="11"/>
  <c r="AG1220" i="11"/>
  <c r="I1220" i="11"/>
  <c r="AF1220" i="11"/>
  <c r="AD1220" i="11"/>
  <c r="V1220" i="11"/>
  <c r="U1220" i="11"/>
  <c r="T1220" i="11"/>
  <c r="L1220" i="11"/>
  <c r="J1220" i="11"/>
  <c r="AE1188" i="11"/>
  <c r="W1188" i="11"/>
  <c r="O1188" i="11"/>
  <c r="G1188" i="11"/>
  <c r="AD1188" i="11"/>
  <c r="V1188" i="11"/>
  <c r="N1188" i="11"/>
  <c r="F1188" i="11"/>
  <c r="AC1188" i="11"/>
  <c r="U1188" i="11"/>
  <c r="M1188" i="11"/>
  <c r="E1188" i="11"/>
  <c r="AB1188" i="11"/>
  <c r="T1188" i="11"/>
  <c r="L1188" i="11"/>
  <c r="AI1188" i="11"/>
  <c r="AA1188" i="11"/>
  <c r="S1188" i="11"/>
  <c r="K1188" i="11"/>
  <c r="AF1188" i="11"/>
  <c r="I1188" i="11"/>
  <c r="Z1188" i="11"/>
  <c r="H1188" i="11"/>
  <c r="Y1188" i="11"/>
  <c r="X1188" i="11"/>
  <c r="R1188" i="11"/>
  <c r="Q1188" i="11"/>
  <c r="AH1188" i="11"/>
  <c r="P1188" i="11"/>
  <c r="AG1188" i="11"/>
  <c r="J1188" i="11"/>
  <c r="AD1229" i="11"/>
  <c r="V1229" i="11"/>
  <c r="N1229" i="11"/>
  <c r="F1229" i="11"/>
  <c r="AB1229" i="11"/>
  <c r="S1229" i="11"/>
  <c r="J1229" i="11"/>
  <c r="AI1229" i="11"/>
  <c r="Z1229" i="11"/>
  <c r="Q1229" i="11"/>
  <c r="H1229" i="11"/>
  <c r="AG1229" i="11"/>
  <c r="X1229" i="11"/>
  <c r="O1229" i="11"/>
  <c r="E1229" i="11"/>
  <c r="AA1229" i="11"/>
  <c r="L1229" i="11"/>
  <c r="Y1229" i="11"/>
  <c r="K1229" i="11"/>
  <c r="W1229" i="11"/>
  <c r="I1229" i="11"/>
  <c r="U1229" i="11"/>
  <c r="G1229" i="11"/>
  <c r="AH1229" i="11"/>
  <c r="T1229" i="11"/>
  <c r="AC1229" i="11"/>
  <c r="R1229" i="11"/>
  <c r="P1229" i="11"/>
  <c r="M1229" i="11"/>
  <c r="AF1229" i="11"/>
  <c r="AE1229" i="11"/>
  <c r="AC1181" i="11"/>
  <c r="U1181" i="11"/>
  <c r="M1181" i="11"/>
  <c r="E1181" i="11"/>
  <c r="AB1181" i="11"/>
  <c r="T1181" i="11"/>
  <c r="L1181" i="11"/>
  <c r="AI1181" i="11"/>
  <c r="AA1181" i="11"/>
  <c r="S1181" i="11"/>
  <c r="K1181" i="11"/>
  <c r="AH1181" i="11"/>
  <c r="Z1181" i="11"/>
  <c r="R1181" i="11"/>
  <c r="J1181" i="11"/>
  <c r="AG1181" i="11"/>
  <c r="Y1181" i="11"/>
  <c r="Q1181" i="11"/>
  <c r="I1181" i="11"/>
  <c r="AF1181" i="11"/>
  <c r="N1181" i="11"/>
  <c r="AE1181" i="11"/>
  <c r="H1181" i="11"/>
  <c r="AD1181" i="11"/>
  <c r="G1181" i="11"/>
  <c r="X1181" i="11"/>
  <c r="F1181" i="11"/>
  <c r="W1181" i="11"/>
  <c r="V1181" i="11"/>
  <c r="P1181" i="11"/>
  <c r="O1181" i="11"/>
  <c r="AF1266" i="11"/>
  <c r="X1266" i="11"/>
  <c r="P1266" i="11"/>
  <c r="H1266" i="11"/>
  <c r="AC1266" i="11"/>
  <c r="T1266" i="11"/>
  <c r="K1266" i="11"/>
  <c r="AB1266" i="11"/>
  <c r="S1266" i="11"/>
  <c r="J1266" i="11"/>
  <c r="AA1266" i="11"/>
  <c r="R1266" i="11"/>
  <c r="I1266" i="11"/>
  <c r="AI1266" i="11"/>
  <c r="Z1266" i="11"/>
  <c r="Q1266" i="11"/>
  <c r="G1266" i="11"/>
  <c r="AG1266" i="11"/>
  <c r="N1266" i="11"/>
  <c r="AE1266" i="11"/>
  <c r="M1266" i="11"/>
  <c r="AD1266" i="11"/>
  <c r="L1266" i="11"/>
  <c r="Y1266" i="11"/>
  <c r="F1266" i="11"/>
  <c r="W1266" i="11"/>
  <c r="E1266" i="11"/>
  <c r="V1266" i="11"/>
  <c r="U1266" i="11"/>
  <c r="AH1266" i="11"/>
  <c r="O1266" i="11"/>
  <c r="AC1221" i="11"/>
  <c r="U1221" i="11"/>
  <c r="M1221" i="11"/>
  <c r="E1221" i="11"/>
  <c r="AI1221" i="11"/>
  <c r="AA1221" i="11"/>
  <c r="S1221" i="11"/>
  <c r="K1221" i="11"/>
  <c r="AG1221" i="11"/>
  <c r="Y1221" i="11"/>
  <c r="Q1221" i="11"/>
  <c r="I1221" i="11"/>
  <c r="AE1221" i="11"/>
  <c r="R1221" i="11"/>
  <c r="F1221" i="11"/>
  <c r="AD1221" i="11"/>
  <c r="P1221" i="11"/>
  <c r="AB1221" i="11"/>
  <c r="O1221" i="11"/>
  <c r="Z1221" i="11"/>
  <c r="N1221" i="11"/>
  <c r="X1221" i="11"/>
  <c r="L1221" i="11"/>
  <c r="W1221" i="11"/>
  <c r="V1221" i="11"/>
  <c r="T1221" i="11"/>
  <c r="J1221" i="11"/>
  <c r="H1221" i="11"/>
  <c r="G1221" i="11"/>
  <c r="AH1221" i="11"/>
  <c r="AF1221" i="11"/>
  <c r="AC1145" i="11"/>
  <c r="U1145" i="11"/>
  <c r="AB1145" i="11"/>
  <c r="T1145" i="11"/>
  <c r="L1145" i="11"/>
  <c r="AI1145" i="11"/>
  <c r="AD1145" i="11"/>
  <c r="R1145" i="11"/>
  <c r="I1145" i="11"/>
  <c r="AA1145" i="11"/>
  <c r="Q1145" i="11"/>
  <c r="H1145" i="11"/>
  <c r="Z1145" i="11"/>
  <c r="P1145" i="11"/>
  <c r="G1145" i="11"/>
  <c r="AH1145" i="11"/>
  <c r="X1145" i="11"/>
  <c r="N1145" i="11"/>
  <c r="E1145" i="11"/>
  <c r="AF1145" i="11"/>
  <c r="V1145" i="11"/>
  <c r="K1145" i="11"/>
  <c r="J1145" i="11"/>
  <c r="AG1145" i="11"/>
  <c r="F1145" i="11"/>
  <c r="AE1145" i="11"/>
  <c r="Y1145" i="11"/>
  <c r="W1145" i="11"/>
  <c r="S1145" i="11"/>
  <c r="O1145" i="11"/>
  <c r="M1145" i="11"/>
  <c r="AF1107" i="11"/>
  <c r="X1107" i="11"/>
  <c r="P1107" i="11"/>
  <c r="H1107" i="11"/>
  <c r="AE1107" i="11"/>
  <c r="W1107" i="11"/>
  <c r="O1107" i="11"/>
  <c r="G1107" i="11"/>
  <c r="AD1107" i="11"/>
  <c r="V1107" i="11"/>
  <c r="N1107" i="11"/>
  <c r="F1107" i="11"/>
  <c r="AC1107" i="11"/>
  <c r="U1107" i="11"/>
  <c r="M1107" i="11"/>
  <c r="E1107" i="11"/>
  <c r="AB1107" i="11"/>
  <c r="T1107" i="11"/>
  <c r="L1107" i="11"/>
  <c r="AH1107" i="11"/>
  <c r="Z1107" i="11"/>
  <c r="R1107" i="11"/>
  <c r="J1107" i="11"/>
  <c r="I1107" i="11"/>
  <c r="AI1107" i="11"/>
  <c r="AG1107" i="11"/>
  <c r="AA1107" i="11"/>
  <c r="Y1107" i="11"/>
  <c r="S1107" i="11"/>
  <c r="Q1107" i="11"/>
  <c r="K1107" i="11"/>
  <c r="AF1075" i="11"/>
  <c r="X1075" i="11"/>
  <c r="P1075" i="11"/>
  <c r="H1075" i="11"/>
  <c r="AE1075" i="11"/>
  <c r="W1075" i="11"/>
  <c r="O1075" i="11"/>
  <c r="G1075" i="11"/>
  <c r="AD1075" i="11"/>
  <c r="V1075" i="11"/>
  <c r="N1075" i="11"/>
  <c r="F1075" i="11"/>
  <c r="AC1075" i="11"/>
  <c r="U1075" i="11"/>
  <c r="M1075" i="11"/>
  <c r="E1075" i="11"/>
  <c r="AB1075" i="11"/>
  <c r="T1075" i="11"/>
  <c r="L1075" i="11"/>
  <c r="AH1075" i="11"/>
  <c r="Z1075" i="11"/>
  <c r="R1075" i="11"/>
  <c r="J1075" i="11"/>
  <c r="I1075" i="11"/>
  <c r="AI1075" i="11"/>
  <c r="AG1075" i="11"/>
  <c r="AA1075" i="11"/>
  <c r="Y1075" i="11"/>
  <c r="S1075" i="11"/>
  <c r="Q1075" i="11"/>
  <c r="K1075" i="11"/>
  <c r="AG1151" i="11"/>
  <c r="Y1151" i="11"/>
  <c r="Q1151" i="11"/>
  <c r="I1151" i="11"/>
  <c r="AF1151" i="11"/>
  <c r="X1151" i="11"/>
  <c r="P1151" i="11"/>
  <c r="H1151" i="11"/>
  <c r="AE1151" i="11"/>
  <c r="W1151" i="11"/>
  <c r="O1151" i="11"/>
  <c r="G1151" i="11"/>
  <c r="AC1151" i="11"/>
  <c r="U1151" i="11"/>
  <c r="M1151" i="11"/>
  <c r="E1151" i="11"/>
  <c r="AA1151" i="11"/>
  <c r="K1151" i="11"/>
  <c r="Z1151" i="11"/>
  <c r="J1151" i="11"/>
  <c r="V1151" i="11"/>
  <c r="F1151" i="11"/>
  <c r="AI1151" i="11"/>
  <c r="S1151" i="11"/>
  <c r="AD1151" i="11"/>
  <c r="N1151" i="11"/>
  <c r="AH1151" i="11"/>
  <c r="AB1151" i="11"/>
  <c r="T1151" i="11"/>
  <c r="R1151" i="11"/>
  <c r="L1151" i="11"/>
  <c r="AH1098" i="11"/>
  <c r="Z1098" i="11"/>
  <c r="R1098" i="11"/>
  <c r="J1098" i="11"/>
  <c r="AG1098" i="11"/>
  <c r="Y1098" i="11"/>
  <c r="Q1098" i="11"/>
  <c r="I1098" i="11"/>
  <c r="AF1098" i="11"/>
  <c r="X1098" i="11"/>
  <c r="P1098" i="11"/>
  <c r="H1098" i="11"/>
  <c r="AE1098" i="11"/>
  <c r="W1098" i="11"/>
  <c r="O1098" i="11"/>
  <c r="G1098" i="11"/>
  <c r="AD1098" i="11"/>
  <c r="V1098" i="11"/>
  <c r="N1098" i="11"/>
  <c r="F1098" i="11"/>
  <c r="AB1098" i="11"/>
  <c r="T1098" i="11"/>
  <c r="L1098" i="11"/>
  <c r="M1098" i="11"/>
  <c r="K1098" i="11"/>
  <c r="E1098" i="11"/>
  <c r="AI1098" i="11"/>
  <c r="AC1098" i="11"/>
  <c r="AA1098" i="11"/>
  <c r="U1098" i="11"/>
  <c r="S1098" i="11"/>
  <c r="AH1066" i="11"/>
  <c r="Z1066" i="11"/>
  <c r="R1066" i="11"/>
  <c r="J1066" i="11"/>
  <c r="AG1066" i="11"/>
  <c r="Y1066" i="11"/>
  <c r="Q1066" i="11"/>
  <c r="I1066" i="11"/>
  <c r="AF1066" i="11"/>
  <c r="X1066" i="11"/>
  <c r="P1066" i="11"/>
  <c r="H1066" i="11"/>
  <c r="AE1066" i="11"/>
  <c r="W1066" i="11"/>
  <c r="O1066" i="11"/>
  <c r="G1066" i="11"/>
  <c r="AD1066" i="11"/>
  <c r="V1066" i="11"/>
  <c r="N1066" i="11"/>
  <c r="F1066" i="11"/>
  <c r="AB1066" i="11"/>
  <c r="T1066" i="11"/>
  <c r="L1066" i="11"/>
  <c r="M1066" i="11"/>
  <c r="K1066" i="11"/>
  <c r="E1066" i="11"/>
  <c r="AI1066" i="11"/>
  <c r="AC1066" i="11"/>
  <c r="AA1066" i="11"/>
  <c r="U1066" i="11"/>
  <c r="S1066" i="11"/>
  <c r="AB1101" i="11"/>
  <c r="T1101" i="11"/>
  <c r="L1101" i="11"/>
  <c r="AI1101" i="11"/>
  <c r="AA1101" i="11"/>
  <c r="S1101" i="11"/>
  <c r="K1101" i="11"/>
  <c r="AH1101" i="11"/>
  <c r="Z1101" i="11"/>
  <c r="R1101" i="11"/>
  <c r="J1101" i="11"/>
  <c r="AG1101" i="11"/>
  <c r="Y1101" i="11"/>
  <c r="Q1101" i="11"/>
  <c r="I1101" i="11"/>
  <c r="AF1101" i="11"/>
  <c r="X1101" i="11"/>
  <c r="P1101" i="11"/>
  <c r="H1101" i="11"/>
  <c r="AD1101" i="11"/>
  <c r="V1101" i="11"/>
  <c r="N1101" i="11"/>
  <c r="F1101" i="11"/>
  <c r="U1101" i="11"/>
  <c r="O1101" i="11"/>
  <c r="M1101" i="11"/>
  <c r="G1101" i="11"/>
  <c r="E1101" i="11"/>
  <c r="AE1101" i="11"/>
  <c r="AC1101" i="11"/>
  <c r="W1101" i="11"/>
  <c r="AG1141" i="11"/>
  <c r="Y1141" i="11"/>
  <c r="Q1141" i="11"/>
  <c r="I1141" i="11"/>
  <c r="AF1141" i="11"/>
  <c r="X1141" i="11"/>
  <c r="P1141" i="11"/>
  <c r="H1141" i="11"/>
  <c r="AE1141" i="11"/>
  <c r="W1141" i="11"/>
  <c r="O1141" i="11"/>
  <c r="G1141" i="11"/>
  <c r="AC1141" i="11"/>
  <c r="AI1141" i="11"/>
  <c r="AA1141" i="11"/>
  <c r="S1141" i="11"/>
  <c r="K1141" i="11"/>
  <c r="AD1141" i="11"/>
  <c r="M1141" i="11"/>
  <c r="AB1141" i="11"/>
  <c r="L1141" i="11"/>
  <c r="Z1141" i="11"/>
  <c r="J1141" i="11"/>
  <c r="V1141" i="11"/>
  <c r="F1141" i="11"/>
  <c r="U1141" i="11"/>
  <c r="E1141" i="11"/>
  <c r="T1141" i="11"/>
  <c r="R1141" i="11"/>
  <c r="AH1141" i="11"/>
  <c r="N1141" i="11"/>
  <c r="AD1108" i="11"/>
  <c r="V1108" i="11"/>
  <c r="N1108" i="11"/>
  <c r="F1108" i="11"/>
  <c r="AC1108" i="11"/>
  <c r="U1108" i="11"/>
  <c r="M1108" i="11"/>
  <c r="E1108" i="11"/>
  <c r="AB1108" i="11"/>
  <c r="T1108" i="11"/>
  <c r="L1108" i="11"/>
  <c r="AI1108" i="11"/>
  <c r="AA1108" i="11"/>
  <c r="S1108" i="11"/>
  <c r="K1108" i="11"/>
  <c r="AH1108" i="11"/>
  <c r="Z1108" i="11"/>
  <c r="R1108" i="11"/>
  <c r="J1108" i="11"/>
  <c r="AF1108" i="11"/>
  <c r="X1108" i="11"/>
  <c r="P1108" i="11"/>
  <c r="H1108" i="11"/>
  <c r="AE1108" i="11"/>
  <c r="Y1108" i="11"/>
  <c r="W1108" i="11"/>
  <c r="Q1108" i="11"/>
  <c r="O1108" i="11"/>
  <c r="I1108" i="11"/>
  <c r="G1108" i="11"/>
  <c r="AG1108" i="11"/>
  <c r="Y1038" i="11"/>
  <c r="I1038" i="11"/>
  <c r="O1038" i="11"/>
  <c r="G1038" i="11"/>
  <c r="M1038" i="11"/>
  <c r="E1038" i="11"/>
  <c r="L1038" i="11"/>
  <c r="K1038" i="11"/>
  <c r="J1038" i="11"/>
  <c r="H1038" i="11"/>
  <c r="F1038" i="11"/>
  <c r="Q1038" i="11" s="1"/>
  <c r="S1038" i="11" s="1"/>
  <c r="AI1038" i="11"/>
  <c r="AF1038" i="11"/>
  <c r="N1038" i="11"/>
  <c r="N997" i="11"/>
  <c r="F997" i="11"/>
  <c r="M997" i="11"/>
  <c r="E997" i="11"/>
  <c r="L997" i="11"/>
  <c r="AB997" i="11" s="1"/>
  <c r="AC997" i="11" s="1"/>
  <c r="K997" i="11"/>
  <c r="Q997" i="11"/>
  <c r="I997" i="11"/>
  <c r="AF997" i="11"/>
  <c r="H997" i="11"/>
  <c r="O997" i="11"/>
  <c r="J997" i="11"/>
  <c r="G997" i="11"/>
  <c r="AI997" i="11" s="1"/>
  <c r="AG1054" i="11"/>
  <c r="Y1054" i="11"/>
  <c r="Q1054" i="11"/>
  <c r="I1054" i="11"/>
  <c r="AE1054" i="11"/>
  <c r="W1054" i="11"/>
  <c r="O1054" i="11"/>
  <c r="G1054" i="11"/>
  <c r="AC1054" i="11"/>
  <c r="U1054" i="11"/>
  <c r="M1054" i="11"/>
  <c r="E1054" i="11"/>
  <c r="AB1054" i="11"/>
  <c r="T1054" i="11"/>
  <c r="L1054" i="11"/>
  <c r="AI1054" i="11"/>
  <c r="AA1054" i="11"/>
  <c r="S1054" i="11"/>
  <c r="K1054" i="11"/>
  <c r="V1054" i="11"/>
  <c r="R1054" i="11"/>
  <c r="P1054" i="11"/>
  <c r="AH1054" i="11"/>
  <c r="N1054" i="11"/>
  <c r="AF1054" i="11"/>
  <c r="J1054" i="11"/>
  <c r="AD1054" i="11"/>
  <c r="H1054" i="11"/>
  <c r="Z1054" i="11"/>
  <c r="F1054" i="11"/>
  <c r="X1054" i="11"/>
  <c r="N981" i="11"/>
  <c r="F981" i="11"/>
  <c r="Q981" i="11" s="1"/>
  <c r="AC981" i="11"/>
  <c r="M981" i="11"/>
  <c r="E981" i="11"/>
  <c r="AB981" i="11"/>
  <c r="L981" i="11"/>
  <c r="AI981" i="11"/>
  <c r="T981" i="11" s="1"/>
  <c r="K981" i="11"/>
  <c r="AF981" i="11"/>
  <c r="X981" i="11"/>
  <c r="P981" i="11"/>
  <c r="R981" i="11" s="1"/>
  <c r="H981" i="11"/>
  <c r="G981" i="11"/>
  <c r="S981" i="11" s="1"/>
  <c r="O981" i="11"/>
  <c r="J981" i="11"/>
  <c r="I981" i="11"/>
  <c r="AI1017" i="11"/>
  <c r="K1017" i="11"/>
  <c r="Y1017" i="11"/>
  <c r="I1017" i="11"/>
  <c r="O1017" i="11"/>
  <c r="G1017" i="11"/>
  <c r="N1017" i="11"/>
  <c r="M1017" i="11"/>
  <c r="L1017" i="11"/>
  <c r="J1017" i="11"/>
  <c r="H1017" i="11"/>
  <c r="AB1017" i="11" s="1"/>
  <c r="AC1017" i="11" s="1"/>
  <c r="AF1017" i="11"/>
  <c r="F1017" i="11"/>
  <c r="E1017" i="11"/>
  <c r="Q1017" i="11" s="1"/>
  <c r="S1017" i="11" s="1"/>
  <c r="J987" i="11"/>
  <c r="Q987" i="11"/>
  <c r="I987" i="11"/>
  <c r="AF987" i="11"/>
  <c r="H987" i="11"/>
  <c r="O987" i="11"/>
  <c r="Y987" i="11" s="1"/>
  <c r="G987" i="11"/>
  <c r="M987" i="11"/>
  <c r="E987" i="11"/>
  <c r="L987" i="11"/>
  <c r="AB987" i="11" s="1"/>
  <c r="AC987" i="11" s="1"/>
  <c r="N987" i="11"/>
  <c r="K987" i="11"/>
  <c r="F987" i="11"/>
  <c r="P987" i="11" s="1"/>
  <c r="AI987" i="11"/>
  <c r="S987" i="11" s="1"/>
  <c r="I1046" i="11"/>
  <c r="O1046" i="11"/>
  <c r="G1046" i="11"/>
  <c r="M1046" i="11"/>
  <c r="E1046" i="11"/>
  <c r="L1046" i="11"/>
  <c r="AB1046" i="11" s="1"/>
  <c r="AC1046" i="11" s="1"/>
  <c r="K1046" i="11"/>
  <c r="N1046" i="11"/>
  <c r="AF1046" i="11"/>
  <c r="J1046" i="11"/>
  <c r="H1046" i="11"/>
  <c r="F1046" i="11"/>
  <c r="AF964" i="11"/>
  <c r="H964" i="11"/>
  <c r="AB964" i="11" s="1"/>
  <c r="AC964" i="11" s="1"/>
  <c r="O964" i="11"/>
  <c r="G964" i="11"/>
  <c r="N964" i="11"/>
  <c r="F964" i="11"/>
  <c r="E964" i="11"/>
  <c r="M964" i="11"/>
  <c r="L964" i="11"/>
  <c r="K964" i="11"/>
  <c r="J964" i="11"/>
  <c r="I964" i="11"/>
  <c r="I938" i="11"/>
  <c r="AF938" i="11"/>
  <c r="P938" i="11"/>
  <c r="H938" i="11"/>
  <c r="O938" i="11"/>
  <c r="G938" i="11"/>
  <c r="Q938" i="11" s="1"/>
  <c r="N938" i="11"/>
  <c r="F938" i="11"/>
  <c r="M938" i="11"/>
  <c r="E938" i="11"/>
  <c r="L938" i="11"/>
  <c r="AB938" i="11" s="1"/>
  <c r="AC938" i="11" s="1"/>
  <c r="K938" i="11"/>
  <c r="J938" i="11"/>
  <c r="AI938" i="11"/>
  <c r="AD938" i="11" s="1"/>
  <c r="M920" i="11"/>
  <c r="E920" i="11"/>
  <c r="L920" i="11"/>
  <c r="AB920" i="11" s="1"/>
  <c r="AC920" i="11" s="1"/>
  <c r="AI920" i="11"/>
  <c r="K920" i="11"/>
  <c r="I920" i="11"/>
  <c r="AF920" i="11"/>
  <c r="P920" i="11"/>
  <c r="R920" i="11" s="1"/>
  <c r="H920" i="11"/>
  <c r="G920" i="11"/>
  <c r="F920" i="11"/>
  <c r="Q920" i="11" s="1"/>
  <c r="O920" i="11"/>
  <c r="N920" i="11"/>
  <c r="J920" i="11"/>
  <c r="J979" i="11"/>
  <c r="I979" i="11"/>
  <c r="AF979" i="11"/>
  <c r="P979" i="11"/>
  <c r="H979" i="11"/>
  <c r="O979" i="11"/>
  <c r="G979" i="11"/>
  <c r="M979" i="11"/>
  <c r="L979" i="11"/>
  <c r="AB979" i="11" s="1"/>
  <c r="AC979" i="11" s="1"/>
  <c r="K979" i="11"/>
  <c r="F979" i="11"/>
  <c r="E979" i="11"/>
  <c r="AI979" i="11"/>
  <c r="N979" i="11"/>
  <c r="L962" i="11"/>
  <c r="K962" i="11"/>
  <c r="J962" i="11"/>
  <c r="M962" i="11"/>
  <c r="I962" i="11"/>
  <c r="H962" i="11"/>
  <c r="AB962" i="11" s="1"/>
  <c r="AC962" i="11" s="1"/>
  <c r="AF962" i="11"/>
  <c r="G962" i="11"/>
  <c r="F962" i="11"/>
  <c r="E962" i="11"/>
  <c r="O962" i="11"/>
  <c r="N962" i="11"/>
  <c r="M892" i="11"/>
  <c r="E892" i="11"/>
  <c r="I892" i="11"/>
  <c r="AI892" i="11"/>
  <c r="T892" i="11" s="1"/>
  <c r="H892" i="11"/>
  <c r="Y892" i="11"/>
  <c r="P892" i="11"/>
  <c r="R892" i="11" s="1"/>
  <c r="G892" i="11"/>
  <c r="O892" i="11"/>
  <c r="F892" i="11"/>
  <c r="Q892" i="11" s="1"/>
  <c r="S892" i="11" s="1"/>
  <c r="AF892" i="11"/>
  <c r="N892" i="11"/>
  <c r="L892" i="11"/>
  <c r="X892" i="11" s="1"/>
  <c r="Z892" i="11" s="1"/>
  <c r="AA892" i="11" s="1"/>
  <c r="AB892" i="11"/>
  <c r="AC892" i="11" s="1"/>
  <c r="K892" i="11"/>
  <c r="J892" i="11"/>
  <c r="M944" i="11"/>
  <c r="E944" i="11"/>
  <c r="L944" i="11"/>
  <c r="AB944" i="11" s="1"/>
  <c r="AC944" i="11" s="1"/>
  <c r="K944" i="11"/>
  <c r="J944" i="11"/>
  <c r="I944" i="11"/>
  <c r="AF944" i="11"/>
  <c r="H944" i="11"/>
  <c r="O944" i="11"/>
  <c r="N944" i="11"/>
  <c r="G944" i="11"/>
  <c r="AI944" i="11" s="1"/>
  <c r="F944" i="11"/>
  <c r="AF855" i="11"/>
  <c r="H855" i="11"/>
  <c r="O855" i="11"/>
  <c r="G855" i="11"/>
  <c r="N855" i="11"/>
  <c r="F855" i="11"/>
  <c r="L855" i="11"/>
  <c r="K855" i="11"/>
  <c r="I855" i="11"/>
  <c r="E855" i="11"/>
  <c r="M855" i="11"/>
  <c r="AB855" i="11" s="1"/>
  <c r="AC855" i="11" s="1"/>
  <c r="J855" i="11"/>
  <c r="AB889" i="11"/>
  <c r="AC889" i="11" s="1"/>
  <c r="L889" i="11"/>
  <c r="AI889" i="11"/>
  <c r="K889" i="11"/>
  <c r="J889" i="11"/>
  <c r="Q889" i="11"/>
  <c r="S889" i="11" s="1"/>
  <c r="I889" i="11"/>
  <c r="AF889" i="11"/>
  <c r="X889" i="11"/>
  <c r="H889" i="11"/>
  <c r="O889" i="11"/>
  <c r="Y889" i="11" s="1"/>
  <c r="G889" i="11"/>
  <c r="N889" i="11"/>
  <c r="M889" i="11"/>
  <c r="F889" i="11"/>
  <c r="P889" i="11" s="1"/>
  <c r="AD889" i="11" s="1"/>
  <c r="E889" i="11"/>
  <c r="L873" i="11"/>
  <c r="K873" i="11"/>
  <c r="J873" i="11"/>
  <c r="AF873" i="11"/>
  <c r="P873" i="11"/>
  <c r="H873" i="11"/>
  <c r="AB873" i="11" s="1"/>
  <c r="AC873" i="11" s="1"/>
  <c r="O873" i="11"/>
  <c r="G873" i="11"/>
  <c r="N873" i="11"/>
  <c r="M873" i="11"/>
  <c r="I873" i="11"/>
  <c r="F873" i="11"/>
  <c r="E873" i="11"/>
  <c r="N876" i="11"/>
  <c r="F876" i="11"/>
  <c r="M876" i="11"/>
  <c r="E876" i="11"/>
  <c r="L876" i="11"/>
  <c r="AB876" i="11" s="1"/>
  <c r="AC876" i="11" s="1"/>
  <c r="K876" i="11"/>
  <c r="J876" i="11"/>
  <c r="I876" i="11"/>
  <c r="P876" i="11"/>
  <c r="O876" i="11"/>
  <c r="H876" i="11"/>
  <c r="G876" i="11"/>
  <c r="AI876" i="11" s="1"/>
  <c r="AF876" i="11"/>
  <c r="M940" i="11"/>
  <c r="E940" i="11"/>
  <c r="L940" i="11"/>
  <c r="AB940" i="11" s="1"/>
  <c r="AC940" i="11" s="1"/>
  <c r="K940" i="11"/>
  <c r="J940" i="11"/>
  <c r="I940" i="11"/>
  <c r="AF940" i="11"/>
  <c r="H940" i="11"/>
  <c r="O940" i="11"/>
  <c r="N940" i="11"/>
  <c r="G940" i="11"/>
  <c r="F940" i="11"/>
  <c r="L783" i="11"/>
  <c r="AI783" i="11"/>
  <c r="K783" i="11"/>
  <c r="AF783" i="11"/>
  <c r="P783" i="11"/>
  <c r="H783" i="11"/>
  <c r="R783" i="11"/>
  <c r="F783" i="11"/>
  <c r="E783" i="11"/>
  <c r="Q783" i="11" s="1"/>
  <c r="O783" i="11"/>
  <c r="N783" i="11"/>
  <c r="M783" i="11"/>
  <c r="J783" i="11"/>
  <c r="I783" i="11"/>
  <c r="AB783" i="11" s="1"/>
  <c r="AC783" i="11" s="1"/>
  <c r="G783" i="11"/>
  <c r="S783" i="11" s="1"/>
  <c r="AF807" i="11"/>
  <c r="P807" i="11"/>
  <c r="H807" i="11"/>
  <c r="O807" i="11"/>
  <c r="G807" i="11"/>
  <c r="Q807" i="11" s="1"/>
  <c r="N807" i="11"/>
  <c r="AI807" i="11"/>
  <c r="M807" i="11"/>
  <c r="K807" i="11"/>
  <c r="J807" i="11"/>
  <c r="I807" i="11"/>
  <c r="AB807" i="11" s="1"/>
  <c r="AC807" i="11" s="1"/>
  <c r="L807" i="11"/>
  <c r="F807" i="11"/>
  <c r="E807" i="11"/>
  <c r="R807" i="11"/>
  <c r="L793" i="11"/>
  <c r="AB793" i="11" s="1"/>
  <c r="AC793" i="11" s="1"/>
  <c r="K793" i="11"/>
  <c r="I793" i="11"/>
  <c r="H793" i="11"/>
  <c r="P793" i="11"/>
  <c r="F793" i="11"/>
  <c r="O793" i="11"/>
  <c r="E793" i="11"/>
  <c r="N793" i="11"/>
  <c r="M793" i="11"/>
  <c r="AF793" i="11"/>
  <c r="J793" i="11"/>
  <c r="G793" i="11"/>
  <c r="AF777" i="11"/>
  <c r="H777" i="11"/>
  <c r="O777" i="11"/>
  <c r="G777" i="11"/>
  <c r="L777" i="11"/>
  <c r="AB777" i="11" s="1"/>
  <c r="AC777" i="11" s="1"/>
  <c r="M777" i="11"/>
  <c r="K777" i="11"/>
  <c r="J777" i="11"/>
  <c r="I777" i="11"/>
  <c r="F777" i="11"/>
  <c r="E777" i="11"/>
  <c r="N777" i="11"/>
  <c r="AE749" i="11"/>
  <c r="W749" i="11"/>
  <c r="O749" i="11"/>
  <c r="G749" i="11"/>
  <c r="AD749" i="11"/>
  <c r="V749" i="11"/>
  <c r="N749" i="11"/>
  <c r="F749" i="11"/>
  <c r="AC749" i="11"/>
  <c r="U749" i="11"/>
  <c r="M749" i="11"/>
  <c r="E749" i="11"/>
  <c r="AB749" i="11"/>
  <c r="T749" i="11"/>
  <c r="L749" i="11"/>
  <c r="AI749" i="11"/>
  <c r="AA749" i="11"/>
  <c r="S749" i="11"/>
  <c r="K749" i="11"/>
  <c r="AH749" i="11"/>
  <c r="Z749" i="11"/>
  <c r="R749" i="11"/>
  <c r="J749" i="11"/>
  <c r="AG749" i="11"/>
  <c r="Y749" i="11"/>
  <c r="Q749" i="11"/>
  <c r="I749" i="11"/>
  <c r="H749" i="11"/>
  <c r="AF749" i="11"/>
  <c r="X749" i="11"/>
  <c r="P749" i="11"/>
  <c r="AE717" i="11"/>
  <c r="W717" i="11"/>
  <c r="O717" i="11"/>
  <c r="G717" i="11"/>
  <c r="AD717" i="11"/>
  <c r="V717" i="11"/>
  <c r="N717" i="11"/>
  <c r="F717" i="11"/>
  <c r="AC717" i="11"/>
  <c r="U717" i="11"/>
  <c r="M717" i="11"/>
  <c r="E717" i="11"/>
  <c r="AB717" i="11"/>
  <c r="T717" i="11"/>
  <c r="L717" i="11"/>
  <c r="AI717" i="11"/>
  <c r="AA717" i="11"/>
  <c r="S717" i="11"/>
  <c r="K717" i="11"/>
  <c r="AH717" i="11"/>
  <c r="Z717" i="11"/>
  <c r="R717" i="11"/>
  <c r="J717" i="11"/>
  <c r="AG717" i="11"/>
  <c r="Y717" i="11"/>
  <c r="Q717" i="11"/>
  <c r="I717" i="11"/>
  <c r="H717" i="11"/>
  <c r="AF717" i="11"/>
  <c r="X717" i="11"/>
  <c r="P717" i="11"/>
  <c r="J772" i="11"/>
  <c r="I772" i="11"/>
  <c r="N772" i="11"/>
  <c r="F772" i="11"/>
  <c r="H772" i="11"/>
  <c r="AF772" i="11"/>
  <c r="G772" i="11"/>
  <c r="E772" i="11"/>
  <c r="O772" i="11"/>
  <c r="M772" i="11"/>
  <c r="AB772" i="11" s="1"/>
  <c r="AC772" i="11" s="1"/>
  <c r="L772" i="11"/>
  <c r="K772" i="11"/>
  <c r="AC734" i="11"/>
  <c r="U734" i="11"/>
  <c r="M734" i="11"/>
  <c r="E734" i="11"/>
  <c r="AB734" i="11"/>
  <c r="T734" i="11"/>
  <c r="L734" i="11"/>
  <c r="AI734" i="11"/>
  <c r="AA734" i="11"/>
  <c r="S734" i="11"/>
  <c r="K734" i="11"/>
  <c r="AH734" i="11"/>
  <c r="Z734" i="11"/>
  <c r="R734" i="11"/>
  <c r="J734" i="11"/>
  <c r="AG734" i="11"/>
  <c r="Y734" i="11"/>
  <c r="Q734" i="11"/>
  <c r="I734" i="11"/>
  <c r="AF734" i="11"/>
  <c r="X734" i="11"/>
  <c r="P734" i="11"/>
  <c r="H734" i="11"/>
  <c r="AE734" i="11"/>
  <c r="W734" i="11"/>
  <c r="O734" i="11"/>
  <c r="G734" i="11"/>
  <c r="V734" i="11"/>
  <c r="N734" i="11"/>
  <c r="F734" i="11"/>
  <c r="AD734" i="11"/>
  <c r="AC702" i="11"/>
  <c r="U702" i="11"/>
  <c r="M702" i="11"/>
  <c r="E702" i="11"/>
  <c r="AB702" i="11"/>
  <c r="T702" i="11"/>
  <c r="L702" i="11"/>
  <c r="AH702" i="11"/>
  <c r="Z702" i="11"/>
  <c r="R702" i="11"/>
  <c r="J702" i="11"/>
  <c r="AG702" i="11"/>
  <c r="Y702" i="11"/>
  <c r="Q702" i="11"/>
  <c r="I702" i="11"/>
  <c r="AF702" i="11"/>
  <c r="X702" i="11"/>
  <c r="P702" i="11"/>
  <c r="H702" i="11"/>
  <c r="AE702" i="11"/>
  <c r="K702" i="11"/>
  <c r="AD702" i="11"/>
  <c r="G702" i="11"/>
  <c r="AA702" i="11"/>
  <c r="F702" i="11"/>
  <c r="W702" i="11"/>
  <c r="V702" i="11"/>
  <c r="S702" i="11"/>
  <c r="O702" i="11"/>
  <c r="AI702" i="11"/>
  <c r="N702" i="11"/>
  <c r="AG752" i="11"/>
  <c r="Y752" i="11"/>
  <c r="Q752" i="11"/>
  <c r="I752" i="11"/>
  <c r="AF752" i="11"/>
  <c r="X752" i="11"/>
  <c r="P752" i="11"/>
  <c r="H752" i="11"/>
  <c r="AE752" i="11"/>
  <c r="W752" i="11"/>
  <c r="O752" i="11"/>
  <c r="G752" i="11"/>
  <c r="AD752" i="11"/>
  <c r="V752" i="11"/>
  <c r="N752" i="11"/>
  <c r="F752" i="11"/>
  <c r="AC752" i="11"/>
  <c r="U752" i="11"/>
  <c r="M752" i="11"/>
  <c r="E752" i="11"/>
  <c r="AB752" i="11"/>
  <c r="T752" i="11"/>
  <c r="L752" i="11"/>
  <c r="AI752" i="11"/>
  <c r="AA752" i="11"/>
  <c r="S752" i="11"/>
  <c r="K752" i="11"/>
  <c r="AH752" i="11"/>
  <c r="Z752" i="11"/>
  <c r="R752" i="11"/>
  <c r="J752" i="11"/>
  <c r="AB558" i="11"/>
  <c r="T558" i="11"/>
  <c r="L558" i="11"/>
  <c r="AI558" i="11"/>
  <c r="AA558" i="11"/>
  <c r="S558" i="11"/>
  <c r="K558" i="11"/>
  <c r="AH558" i="11"/>
  <c r="Z558" i="11"/>
  <c r="R558" i="11"/>
  <c r="J558" i="11"/>
  <c r="AE558" i="11"/>
  <c r="W558" i="11"/>
  <c r="O558" i="11"/>
  <c r="G558" i="11"/>
  <c r="AD558" i="11"/>
  <c r="V558" i="11"/>
  <c r="N558" i="11"/>
  <c r="F558" i="11"/>
  <c r="Y558" i="11"/>
  <c r="E558" i="11"/>
  <c r="X558" i="11"/>
  <c r="U558" i="11"/>
  <c r="Q558" i="11"/>
  <c r="P558" i="11"/>
  <c r="AC558" i="11"/>
  <c r="M558" i="11"/>
  <c r="I558" i="11"/>
  <c r="H558" i="11"/>
  <c r="AG558" i="11"/>
  <c r="AF558" i="11"/>
  <c r="AD693" i="11"/>
  <c r="V693" i="11"/>
  <c r="N693" i="11"/>
  <c r="F693" i="11"/>
  <c r="AC693" i="11"/>
  <c r="U693" i="11"/>
  <c r="M693" i="11"/>
  <c r="E693" i="11"/>
  <c r="AB693" i="11"/>
  <c r="T693" i="11"/>
  <c r="L693" i="11"/>
  <c r="AI693" i="11"/>
  <c r="AA693" i="11"/>
  <c r="S693" i="11"/>
  <c r="K693" i="11"/>
  <c r="AH693" i="11"/>
  <c r="Z693" i="11"/>
  <c r="R693" i="11"/>
  <c r="J693" i="11"/>
  <c r="AG693" i="11"/>
  <c r="Y693" i="11"/>
  <c r="Q693" i="11"/>
  <c r="I693" i="11"/>
  <c r="AF693" i="11"/>
  <c r="X693" i="11"/>
  <c r="P693" i="11"/>
  <c r="H693" i="11"/>
  <c r="W693" i="11"/>
  <c r="O693" i="11"/>
  <c r="G693" i="11"/>
  <c r="AE693" i="11"/>
  <c r="AD661" i="11"/>
  <c r="V661" i="11"/>
  <c r="N661" i="11"/>
  <c r="F661" i="11"/>
  <c r="AC661" i="11"/>
  <c r="U661" i="11"/>
  <c r="M661" i="11"/>
  <c r="E661" i="11"/>
  <c r="AB661" i="11"/>
  <c r="T661" i="11"/>
  <c r="L661" i="11"/>
  <c r="AI661" i="11"/>
  <c r="AA661" i="11"/>
  <c r="S661" i="11"/>
  <c r="K661" i="11"/>
  <c r="AH661" i="11"/>
  <c r="Z661" i="11"/>
  <c r="R661" i="11"/>
  <c r="J661" i="11"/>
  <c r="AG661" i="11"/>
  <c r="Y661" i="11"/>
  <c r="Q661" i="11"/>
  <c r="I661" i="11"/>
  <c r="AF661" i="11"/>
  <c r="X661" i="11"/>
  <c r="P661" i="11"/>
  <c r="H661" i="11"/>
  <c r="W661" i="11"/>
  <c r="O661" i="11"/>
  <c r="G661" i="11"/>
  <c r="AE661" i="11"/>
  <c r="N629" i="11"/>
  <c r="F629" i="11"/>
  <c r="M629" i="11"/>
  <c r="AB629" i="11" s="1"/>
  <c r="AC629" i="11" s="1"/>
  <c r="E629" i="11"/>
  <c r="L629" i="11"/>
  <c r="K629" i="11"/>
  <c r="J629" i="11"/>
  <c r="I629" i="11"/>
  <c r="AF629" i="11"/>
  <c r="P629" i="11"/>
  <c r="R629" i="11" s="1"/>
  <c r="H629" i="11"/>
  <c r="O629" i="11"/>
  <c r="G629" i="11"/>
  <c r="AI629" i="11" s="1"/>
  <c r="AH599" i="11"/>
  <c r="Z599" i="11"/>
  <c r="R599" i="11"/>
  <c r="J599" i="11"/>
  <c r="AG599" i="11"/>
  <c r="Y599" i="11"/>
  <c r="Q599" i="11"/>
  <c r="I599" i="11"/>
  <c r="AF599" i="11"/>
  <c r="X599" i="11"/>
  <c r="P599" i="11"/>
  <c r="H599" i="11"/>
  <c r="AE599" i="11"/>
  <c r="W599" i="11"/>
  <c r="O599" i="11"/>
  <c r="G599" i="11"/>
  <c r="AC599" i="11"/>
  <c r="U599" i="11"/>
  <c r="M599" i="11"/>
  <c r="E599" i="11"/>
  <c r="AB599" i="11"/>
  <c r="T599" i="11"/>
  <c r="L599" i="11"/>
  <c r="N599" i="11"/>
  <c r="K599" i="11"/>
  <c r="F599" i="11"/>
  <c r="AI599" i="11"/>
  <c r="AD599" i="11"/>
  <c r="AA599" i="11"/>
  <c r="V599" i="11"/>
  <c r="S599" i="11"/>
  <c r="AH567" i="11"/>
  <c r="Z567" i="11"/>
  <c r="R567" i="11"/>
  <c r="J567" i="11"/>
  <c r="AG567" i="11"/>
  <c r="Y567" i="11"/>
  <c r="Q567" i="11"/>
  <c r="I567" i="11"/>
  <c r="AF567" i="11"/>
  <c r="X567" i="11"/>
  <c r="P567" i="11"/>
  <c r="H567" i="11"/>
  <c r="AC567" i="11"/>
  <c r="U567" i="11"/>
  <c r="M567" i="11"/>
  <c r="E567" i="11"/>
  <c r="AB567" i="11"/>
  <c r="T567" i="11"/>
  <c r="L567" i="11"/>
  <c r="AE567" i="11"/>
  <c r="K567" i="11"/>
  <c r="AD567" i="11"/>
  <c r="G567" i="11"/>
  <c r="AA567" i="11"/>
  <c r="F567" i="11"/>
  <c r="W567" i="11"/>
  <c r="V567" i="11"/>
  <c r="AI567" i="11"/>
  <c r="S567" i="11"/>
  <c r="O567" i="11"/>
  <c r="N567" i="11"/>
  <c r="AH699" i="11"/>
  <c r="Z699" i="11"/>
  <c r="R699" i="11"/>
  <c r="J699" i="11"/>
  <c r="AG699" i="11"/>
  <c r="Y699" i="11"/>
  <c r="Q699" i="11"/>
  <c r="I699" i="11"/>
  <c r="AF699" i="11"/>
  <c r="X699" i="11"/>
  <c r="P699" i="11"/>
  <c r="H699" i="11"/>
  <c r="AE699" i="11"/>
  <c r="W699" i="11"/>
  <c r="O699" i="11"/>
  <c r="G699" i="11"/>
  <c r="AD699" i="11"/>
  <c r="V699" i="11"/>
  <c r="N699" i="11"/>
  <c r="F699" i="11"/>
  <c r="AC699" i="11"/>
  <c r="U699" i="11"/>
  <c r="M699" i="11"/>
  <c r="E699" i="11"/>
  <c r="AB699" i="11"/>
  <c r="T699" i="11"/>
  <c r="L699" i="11"/>
  <c r="AI699" i="11"/>
  <c r="AA699" i="11"/>
  <c r="S699" i="11"/>
  <c r="K699" i="11"/>
  <c r="J635" i="11"/>
  <c r="I635" i="11"/>
  <c r="AF635" i="11"/>
  <c r="P635" i="11"/>
  <c r="H635" i="11"/>
  <c r="O635" i="11"/>
  <c r="G635" i="11"/>
  <c r="Q635" i="11" s="1"/>
  <c r="S635" i="11" s="1"/>
  <c r="Y635" i="11" s="1"/>
  <c r="N635" i="11"/>
  <c r="F635" i="11"/>
  <c r="M635" i="11"/>
  <c r="E635" i="11"/>
  <c r="L635" i="11"/>
  <c r="AB635" i="11" s="1"/>
  <c r="AC635" i="11" s="1"/>
  <c r="K635" i="11"/>
  <c r="AD617" i="11"/>
  <c r="V617" i="11"/>
  <c r="N617" i="11"/>
  <c r="F617" i="11"/>
  <c r="AC617" i="11"/>
  <c r="U617" i="11"/>
  <c r="M617" i="11"/>
  <c r="E617" i="11"/>
  <c r="AB617" i="11"/>
  <c r="T617" i="11"/>
  <c r="L617" i="11"/>
  <c r="AI617" i="11"/>
  <c r="AA617" i="11"/>
  <c r="S617" i="11"/>
  <c r="K617" i="11"/>
  <c r="AG617" i="11"/>
  <c r="Y617" i="11"/>
  <c r="Q617" i="11"/>
  <c r="I617" i="11"/>
  <c r="AF617" i="11"/>
  <c r="X617" i="11"/>
  <c r="P617" i="11"/>
  <c r="H617" i="11"/>
  <c r="AE617" i="11"/>
  <c r="Z617" i="11"/>
  <c r="W617" i="11"/>
  <c r="R617" i="11"/>
  <c r="O617" i="11"/>
  <c r="G617" i="11"/>
  <c r="AH617" i="11"/>
  <c r="J617" i="11"/>
  <c r="AD541" i="11"/>
  <c r="V541" i="11"/>
  <c r="N541" i="11"/>
  <c r="F541" i="11"/>
  <c r="AC541" i="11"/>
  <c r="U541" i="11"/>
  <c r="M541" i="11"/>
  <c r="E541" i="11"/>
  <c r="AB541" i="11"/>
  <c r="T541" i="11"/>
  <c r="L541" i="11"/>
  <c r="AI541" i="11"/>
  <c r="AA541" i="11"/>
  <c r="S541" i="11"/>
  <c r="K541" i="11"/>
  <c r="AH541" i="11"/>
  <c r="Z541" i="11"/>
  <c r="R541" i="11"/>
  <c r="J541" i="11"/>
  <c r="Y541" i="11"/>
  <c r="G541" i="11"/>
  <c r="X541" i="11"/>
  <c r="W541" i="11"/>
  <c r="Q541" i="11"/>
  <c r="P541" i="11"/>
  <c r="AG541" i="11"/>
  <c r="AF541" i="11"/>
  <c r="AE541" i="11"/>
  <c r="O541" i="11"/>
  <c r="H541" i="11"/>
  <c r="I541" i="11"/>
  <c r="AH671" i="11"/>
  <c r="Z671" i="11"/>
  <c r="R671" i="11"/>
  <c r="J671" i="11"/>
  <c r="AG671" i="11"/>
  <c r="Y671" i="11"/>
  <c r="Q671" i="11"/>
  <c r="I671" i="11"/>
  <c r="AF671" i="11"/>
  <c r="X671" i="11"/>
  <c r="P671" i="11"/>
  <c r="H671" i="11"/>
  <c r="AE671" i="11"/>
  <c r="W671" i="11"/>
  <c r="O671" i="11"/>
  <c r="G671" i="11"/>
  <c r="AD671" i="11"/>
  <c r="V671" i="11"/>
  <c r="N671" i="11"/>
  <c r="F671" i="11"/>
  <c r="AC671" i="11"/>
  <c r="U671" i="11"/>
  <c r="M671" i="11"/>
  <c r="E671" i="11"/>
  <c r="AB671" i="11"/>
  <c r="T671" i="11"/>
  <c r="L671" i="11"/>
  <c r="AI671" i="11"/>
  <c r="AA671" i="11"/>
  <c r="S671" i="11"/>
  <c r="K671" i="11"/>
  <c r="AD529" i="11"/>
  <c r="V529" i="11"/>
  <c r="N529" i="11"/>
  <c r="F529" i="11"/>
  <c r="AC529" i="11"/>
  <c r="U529" i="11"/>
  <c r="M529" i="11"/>
  <c r="E529" i="11"/>
  <c r="AB529" i="11"/>
  <c r="T529" i="11"/>
  <c r="L529" i="11"/>
  <c r="AH529" i="11"/>
  <c r="Z529" i="11"/>
  <c r="R529" i="11"/>
  <c r="J529" i="11"/>
  <c r="X529" i="11"/>
  <c r="H529" i="11"/>
  <c r="W529" i="11"/>
  <c r="G529" i="11"/>
  <c r="AI529" i="11"/>
  <c r="S529" i="11"/>
  <c r="AG529" i="11"/>
  <c r="Q529" i="11"/>
  <c r="AF529" i="11"/>
  <c r="P529" i="11"/>
  <c r="AA529" i="11"/>
  <c r="Y529" i="11"/>
  <c r="O529" i="11"/>
  <c r="K529" i="11"/>
  <c r="I529" i="11"/>
  <c r="AE529" i="11"/>
  <c r="AD497" i="11"/>
  <c r="V497" i="11"/>
  <c r="N497" i="11"/>
  <c r="F497" i="11"/>
  <c r="AC497" i="11"/>
  <c r="U497" i="11"/>
  <c r="M497" i="11"/>
  <c r="E497" i="11"/>
  <c r="AB497" i="11"/>
  <c r="T497" i="11"/>
  <c r="L497" i="11"/>
  <c r="AH497" i="11"/>
  <c r="Z497" i="11"/>
  <c r="R497" i="11"/>
  <c r="J497" i="11"/>
  <c r="X497" i="11"/>
  <c r="H497" i="11"/>
  <c r="W497" i="11"/>
  <c r="G497" i="11"/>
  <c r="AI497" i="11"/>
  <c r="S497" i="11"/>
  <c r="AG497" i="11"/>
  <c r="Q497" i="11"/>
  <c r="AF497" i="11"/>
  <c r="P497" i="11"/>
  <c r="AA497" i="11"/>
  <c r="Y497" i="11"/>
  <c r="O497" i="11"/>
  <c r="K497" i="11"/>
  <c r="I497" i="11"/>
  <c r="AE497" i="11"/>
  <c r="D812" i="11"/>
  <c r="J643" i="11"/>
  <c r="I643" i="11"/>
  <c r="AF643" i="11"/>
  <c r="P643" i="11"/>
  <c r="H643" i="11"/>
  <c r="O643" i="11"/>
  <c r="G643" i="11"/>
  <c r="AI643" i="11" s="1"/>
  <c r="N643" i="11"/>
  <c r="F643" i="11"/>
  <c r="M643" i="11"/>
  <c r="E643" i="11"/>
  <c r="L643" i="11"/>
  <c r="R643" i="11" s="1"/>
  <c r="K643" i="11"/>
  <c r="AB578" i="11"/>
  <c r="T578" i="11"/>
  <c r="L578" i="11"/>
  <c r="AI578" i="11"/>
  <c r="AA578" i="11"/>
  <c r="S578" i="11"/>
  <c r="K578" i="11"/>
  <c r="AH578" i="11"/>
  <c r="Z578" i="11"/>
  <c r="R578" i="11"/>
  <c r="J578" i="11"/>
  <c r="AG578" i="11"/>
  <c r="Y578" i="11"/>
  <c r="Q578" i="11"/>
  <c r="I578" i="11"/>
  <c r="AE578" i="11"/>
  <c r="W578" i="11"/>
  <c r="O578" i="11"/>
  <c r="G578" i="11"/>
  <c r="AD578" i="11"/>
  <c r="V578" i="11"/>
  <c r="N578" i="11"/>
  <c r="F578" i="11"/>
  <c r="U578" i="11"/>
  <c r="P578" i="11"/>
  <c r="M578" i="11"/>
  <c r="H578" i="11"/>
  <c r="E578" i="11"/>
  <c r="AF578" i="11"/>
  <c r="AC578" i="11"/>
  <c r="X578" i="11"/>
  <c r="AF508" i="11"/>
  <c r="X508" i="11"/>
  <c r="P508" i="11"/>
  <c r="H508" i="11"/>
  <c r="AE508" i="11"/>
  <c r="W508" i="11"/>
  <c r="O508" i="11"/>
  <c r="G508" i="11"/>
  <c r="AD508" i="11"/>
  <c r="V508" i="11"/>
  <c r="N508" i="11"/>
  <c r="F508" i="11"/>
  <c r="AB508" i="11"/>
  <c r="T508" i="11"/>
  <c r="L508" i="11"/>
  <c r="AA508" i="11"/>
  <c r="K508" i="11"/>
  <c r="Z508" i="11"/>
  <c r="J508" i="11"/>
  <c r="Y508" i="11"/>
  <c r="I508" i="11"/>
  <c r="U508" i="11"/>
  <c r="E508" i="11"/>
  <c r="AI508" i="11"/>
  <c r="S508" i="11"/>
  <c r="AG508" i="11"/>
  <c r="AC508" i="11"/>
  <c r="R508" i="11"/>
  <c r="Q508" i="11"/>
  <c r="M508" i="11"/>
  <c r="AH508" i="11"/>
  <c r="AF476" i="11"/>
  <c r="X476" i="11"/>
  <c r="P476" i="11"/>
  <c r="H476" i="11"/>
  <c r="AE476" i="11"/>
  <c r="W476" i="11"/>
  <c r="O476" i="11"/>
  <c r="G476" i="11"/>
  <c r="AD476" i="11"/>
  <c r="V476" i="11"/>
  <c r="N476" i="11"/>
  <c r="F476" i="11"/>
  <c r="AB476" i="11"/>
  <c r="T476" i="11"/>
  <c r="L476" i="11"/>
  <c r="AA476" i="11"/>
  <c r="K476" i="11"/>
  <c r="Z476" i="11"/>
  <c r="J476" i="11"/>
  <c r="Y476" i="11"/>
  <c r="I476" i="11"/>
  <c r="U476" i="11"/>
  <c r="E476" i="11"/>
  <c r="AI476" i="11"/>
  <c r="S476" i="11"/>
  <c r="AG476" i="11"/>
  <c r="AC476" i="11"/>
  <c r="R476" i="11"/>
  <c r="Q476" i="11"/>
  <c r="M476" i="11"/>
  <c r="AH476" i="11"/>
  <c r="AE444" i="11"/>
  <c r="W444" i="11"/>
  <c r="O444" i="11"/>
  <c r="G444" i="11"/>
  <c r="AD444" i="11"/>
  <c r="V444" i="11"/>
  <c r="N444" i="11"/>
  <c r="F444" i="11"/>
  <c r="AB444" i="11"/>
  <c r="T444" i="11"/>
  <c r="L444" i="11"/>
  <c r="AI444" i="11"/>
  <c r="X444" i="11"/>
  <c r="J444" i="11"/>
  <c r="AH444" i="11"/>
  <c r="U444" i="11"/>
  <c r="I444" i="11"/>
  <c r="AG444" i="11"/>
  <c r="S444" i="11"/>
  <c r="H444" i="11"/>
  <c r="AF444" i="11"/>
  <c r="R444" i="11"/>
  <c r="E444" i="11"/>
  <c r="AC444" i="11"/>
  <c r="Q444" i="11"/>
  <c r="AA444" i="11"/>
  <c r="Z444" i="11"/>
  <c r="Y444" i="11"/>
  <c r="P444" i="11"/>
  <c r="M444" i="11"/>
  <c r="K444" i="11"/>
  <c r="L642" i="11"/>
  <c r="AB642" i="11" s="1"/>
  <c r="AC642" i="11" s="1"/>
  <c r="K642" i="11"/>
  <c r="J642" i="11"/>
  <c r="I642" i="11"/>
  <c r="AF642" i="11"/>
  <c r="H642" i="11"/>
  <c r="O642" i="11"/>
  <c r="G642" i="11"/>
  <c r="N642" i="11"/>
  <c r="F642" i="11"/>
  <c r="M642" i="11"/>
  <c r="E642" i="11"/>
  <c r="M429" i="11"/>
  <c r="E429" i="11"/>
  <c r="L429" i="11"/>
  <c r="J429" i="11"/>
  <c r="N429" i="11"/>
  <c r="K429" i="11"/>
  <c r="I429" i="11"/>
  <c r="H429" i="11"/>
  <c r="AB429" i="11" s="1"/>
  <c r="AC429" i="11" s="1"/>
  <c r="AF429" i="11"/>
  <c r="G429" i="11"/>
  <c r="O429" i="11"/>
  <c r="F429" i="11"/>
  <c r="AC465" i="11"/>
  <c r="U465" i="11"/>
  <c r="M465" i="11"/>
  <c r="E465" i="11"/>
  <c r="AB465" i="11"/>
  <c r="T465" i="11"/>
  <c r="L465" i="11"/>
  <c r="AH465" i="11"/>
  <c r="Z465" i="11"/>
  <c r="R465" i="11"/>
  <c r="J465" i="11"/>
  <c r="Y465" i="11"/>
  <c r="N465" i="11"/>
  <c r="X465" i="11"/>
  <c r="K465" i="11"/>
  <c r="AI465" i="11"/>
  <c r="W465" i="11"/>
  <c r="I465" i="11"/>
  <c r="AG465" i="11"/>
  <c r="V465" i="11"/>
  <c r="H465" i="11"/>
  <c r="AF465" i="11"/>
  <c r="S465" i="11"/>
  <c r="G465" i="11"/>
  <c r="O465" i="11"/>
  <c r="F465" i="11"/>
  <c r="AE465" i="11"/>
  <c r="AD465" i="11"/>
  <c r="AA465" i="11"/>
  <c r="Q465" i="11"/>
  <c r="P465" i="11"/>
  <c r="M391" i="11"/>
  <c r="S391" i="11" s="1"/>
  <c r="Y391" i="11" s="1"/>
  <c r="E391" i="11"/>
  <c r="L391" i="11"/>
  <c r="AB391" i="11" s="1"/>
  <c r="AC391" i="11" s="1"/>
  <c r="J391" i="11"/>
  <c r="I391" i="11"/>
  <c r="G391" i="11"/>
  <c r="F391" i="11"/>
  <c r="Q391" i="11" s="1"/>
  <c r="AI391" i="11"/>
  <c r="AF391" i="11"/>
  <c r="O391" i="11"/>
  <c r="N391" i="11"/>
  <c r="K391" i="11"/>
  <c r="H391" i="11"/>
  <c r="M359" i="11"/>
  <c r="E359" i="11"/>
  <c r="L359" i="11"/>
  <c r="AB359" i="11" s="1"/>
  <c r="AC359" i="11" s="1"/>
  <c r="J359" i="11"/>
  <c r="I359" i="11"/>
  <c r="G359" i="11"/>
  <c r="F359" i="11"/>
  <c r="AI359" i="11"/>
  <c r="AF359" i="11"/>
  <c r="O359" i="11"/>
  <c r="N359" i="11"/>
  <c r="K359" i="11"/>
  <c r="H359" i="11"/>
  <c r="AD569" i="11"/>
  <c r="V569" i="11"/>
  <c r="N569" i="11"/>
  <c r="F569" i="11"/>
  <c r="AC569" i="11"/>
  <c r="U569" i="11"/>
  <c r="M569" i="11"/>
  <c r="E569" i="11"/>
  <c r="AB569" i="11"/>
  <c r="T569" i="11"/>
  <c r="L569" i="11"/>
  <c r="AG569" i="11"/>
  <c r="Y569" i="11"/>
  <c r="Q569" i="11"/>
  <c r="I569" i="11"/>
  <c r="AF569" i="11"/>
  <c r="X569" i="11"/>
  <c r="P569" i="11"/>
  <c r="H569" i="11"/>
  <c r="W569" i="11"/>
  <c r="S569" i="11"/>
  <c r="R569" i="11"/>
  <c r="AI569" i="11"/>
  <c r="O569" i="11"/>
  <c r="AH569" i="11"/>
  <c r="K569" i="11"/>
  <c r="AE569" i="11"/>
  <c r="AA569" i="11"/>
  <c r="Z569" i="11"/>
  <c r="J569" i="11"/>
  <c r="G569" i="11"/>
  <c r="AG447" i="11"/>
  <c r="Y447" i="11"/>
  <c r="Q447" i="11"/>
  <c r="I447" i="11"/>
  <c r="AF447" i="11"/>
  <c r="X447" i="11"/>
  <c r="P447" i="11"/>
  <c r="H447" i="11"/>
  <c r="AD447" i="11"/>
  <c r="V447" i="11"/>
  <c r="N447" i="11"/>
  <c r="F447" i="11"/>
  <c r="AE447" i="11"/>
  <c r="S447" i="11"/>
  <c r="E447" i="11"/>
  <c r="AC447" i="11"/>
  <c r="R447" i="11"/>
  <c r="AB447" i="11"/>
  <c r="O447" i="11"/>
  <c r="AA447" i="11"/>
  <c r="M447" i="11"/>
  <c r="Z447" i="11"/>
  <c r="L447" i="11"/>
  <c r="T447" i="11"/>
  <c r="K447" i="11"/>
  <c r="J447" i="11"/>
  <c r="G447" i="11"/>
  <c r="AI447" i="11"/>
  <c r="AH447" i="11"/>
  <c r="W447" i="11"/>
  <c r="U447" i="11"/>
  <c r="O398" i="11"/>
  <c r="G398" i="11"/>
  <c r="AI398" i="11" s="1"/>
  <c r="N398" i="11"/>
  <c r="F398" i="11"/>
  <c r="M398" i="11"/>
  <c r="E398" i="11"/>
  <c r="L398" i="11"/>
  <c r="AB398" i="11" s="1"/>
  <c r="AC398" i="11" s="1"/>
  <c r="K398" i="11"/>
  <c r="J398" i="11"/>
  <c r="AF398" i="11"/>
  <c r="I398" i="11"/>
  <c r="H398" i="11"/>
  <c r="Q398" i="11"/>
  <c r="O366" i="11"/>
  <c r="G366" i="11"/>
  <c r="N366" i="11"/>
  <c r="F366" i="11"/>
  <c r="L366" i="11"/>
  <c r="AB366" i="11" s="1"/>
  <c r="AC366" i="11" s="1"/>
  <c r="AI366" i="11"/>
  <c r="K366" i="11"/>
  <c r="J366" i="11"/>
  <c r="I366" i="11"/>
  <c r="H366" i="11"/>
  <c r="E366" i="11"/>
  <c r="AF366" i="11"/>
  <c r="M366" i="11"/>
  <c r="AG744" i="11"/>
  <c r="Y744" i="11"/>
  <c r="Q744" i="11"/>
  <c r="I744" i="11"/>
  <c r="AF744" i="11"/>
  <c r="X744" i="11"/>
  <c r="P744" i="11"/>
  <c r="H744" i="11"/>
  <c r="AE744" i="11"/>
  <c r="W744" i="11"/>
  <c r="O744" i="11"/>
  <c r="G744" i="11"/>
  <c r="AD744" i="11"/>
  <c r="V744" i="11"/>
  <c r="N744" i="11"/>
  <c r="F744" i="11"/>
  <c r="AC744" i="11"/>
  <c r="U744" i="11"/>
  <c r="M744" i="11"/>
  <c r="E744" i="11"/>
  <c r="AB744" i="11"/>
  <c r="T744" i="11"/>
  <c r="L744" i="11"/>
  <c r="AI744" i="11"/>
  <c r="AA744" i="11"/>
  <c r="S744" i="11"/>
  <c r="K744" i="11"/>
  <c r="AH744" i="11"/>
  <c r="Z744" i="11"/>
  <c r="R744" i="11"/>
  <c r="J744" i="11"/>
  <c r="M411" i="11"/>
  <c r="E411" i="11"/>
  <c r="L411" i="11"/>
  <c r="K411" i="11"/>
  <c r="J411" i="11"/>
  <c r="Q411" i="11"/>
  <c r="S411" i="11" s="1"/>
  <c r="Y411" i="11" s="1"/>
  <c r="I411" i="11"/>
  <c r="O411" i="11"/>
  <c r="N411" i="11"/>
  <c r="AF411" i="11"/>
  <c r="H411" i="11"/>
  <c r="AB411" i="11" s="1"/>
  <c r="AC411" i="11" s="1"/>
  <c r="G411" i="11"/>
  <c r="AI411" i="11" s="1"/>
  <c r="F411" i="11"/>
  <c r="AC306" i="11"/>
  <c r="U306" i="11"/>
  <c r="M306" i="11"/>
  <c r="E306" i="11"/>
  <c r="AB306" i="11"/>
  <c r="T306" i="11"/>
  <c r="L306" i="11"/>
  <c r="AH306" i="11"/>
  <c r="Z306" i="11"/>
  <c r="R306" i="11"/>
  <c r="J306" i="11"/>
  <c r="AF306" i="11"/>
  <c r="X306" i="11"/>
  <c r="P306" i="11"/>
  <c r="H306" i="11"/>
  <c r="AI306" i="11"/>
  <c r="S306" i="11"/>
  <c r="AG306" i="11"/>
  <c r="Q306" i="11"/>
  <c r="AE306" i="11"/>
  <c r="O306" i="11"/>
  <c r="AD306" i="11"/>
  <c r="N306" i="11"/>
  <c r="AA306" i="11"/>
  <c r="K306" i="11"/>
  <c r="Y306" i="11"/>
  <c r="I306" i="11"/>
  <c r="W306" i="11"/>
  <c r="V306" i="11"/>
  <c r="G306" i="11"/>
  <c r="F306" i="11"/>
  <c r="M274" i="11"/>
  <c r="E274" i="11"/>
  <c r="Q274" i="11" s="1"/>
  <c r="S274" i="11" s="1"/>
  <c r="L274" i="11"/>
  <c r="AB274" i="11" s="1"/>
  <c r="AC274" i="11" s="1"/>
  <c r="J274" i="11"/>
  <c r="AF274" i="11"/>
  <c r="H274" i="11"/>
  <c r="AI274" i="11"/>
  <c r="O274" i="11"/>
  <c r="N274" i="11"/>
  <c r="K274" i="11"/>
  <c r="I274" i="11"/>
  <c r="G274" i="11"/>
  <c r="P274" i="11" s="1"/>
  <c r="F274" i="11"/>
  <c r="AC246" i="11"/>
  <c r="U246" i="11"/>
  <c r="M246" i="11"/>
  <c r="E246" i="11"/>
  <c r="AB246" i="11"/>
  <c r="T246" i="11"/>
  <c r="L246" i="11"/>
  <c r="AH246" i="11"/>
  <c r="Z246" i="11"/>
  <c r="R246" i="11"/>
  <c r="J246" i="11"/>
  <c r="AF246" i="11"/>
  <c r="X246" i="11"/>
  <c r="P246" i="11"/>
  <c r="AI246" i="11"/>
  <c r="S246" i="11"/>
  <c r="F246" i="11"/>
  <c r="AG246" i="11"/>
  <c r="Q246" i="11"/>
  <c r="AE246" i="11"/>
  <c r="O246" i="11"/>
  <c r="AD246" i="11"/>
  <c r="N246" i="11"/>
  <c r="AA246" i="11"/>
  <c r="K246" i="11"/>
  <c r="Y246" i="11"/>
  <c r="I246" i="11"/>
  <c r="W246" i="11"/>
  <c r="V246" i="11"/>
  <c r="H246" i="11"/>
  <c r="G246" i="11"/>
  <c r="AH495" i="11"/>
  <c r="Z495" i="11"/>
  <c r="R495" i="11"/>
  <c r="J495" i="11"/>
  <c r="AG495" i="11"/>
  <c r="Y495" i="11"/>
  <c r="Q495" i="11"/>
  <c r="I495" i="11"/>
  <c r="AF495" i="11"/>
  <c r="X495" i="11"/>
  <c r="P495" i="11"/>
  <c r="H495" i="11"/>
  <c r="AD495" i="11"/>
  <c r="V495" i="11"/>
  <c r="N495" i="11"/>
  <c r="F495" i="11"/>
  <c r="AC495" i="11"/>
  <c r="M495" i="11"/>
  <c r="AB495" i="11"/>
  <c r="L495" i="11"/>
  <c r="AA495" i="11"/>
  <c r="K495" i="11"/>
  <c r="W495" i="11"/>
  <c r="G495" i="11"/>
  <c r="U495" i="11"/>
  <c r="E495" i="11"/>
  <c r="AE495" i="11"/>
  <c r="T495" i="11"/>
  <c r="S495" i="11"/>
  <c r="O495" i="11"/>
  <c r="AI495" i="11"/>
  <c r="M330" i="11"/>
  <c r="E330" i="11"/>
  <c r="L330" i="11"/>
  <c r="AI330" i="11"/>
  <c r="K330" i="11"/>
  <c r="J330" i="11"/>
  <c r="AF330" i="11"/>
  <c r="H330" i="11"/>
  <c r="G330" i="11"/>
  <c r="F330" i="11"/>
  <c r="P330" i="11" s="1"/>
  <c r="O330" i="11"/>
  <c r="N330" i="11"/>
  <c r="I330" i="11"/>
  <c r="AE297" i="11"/>
  <c r="W297" i="11"/>
  <c r="O297" i="11"/>
  <c r="G297" i="11"/>
  <c r="AD297" i="11"/>
  <c r="V297" i="11"/>
  <c r="N297" i="11"/>
  <c r="F297" i="11"/>
  <c r="AB297" i="11"/>
  <c r="T297" i="11"/>
  <c r="L297" i="11"/>
  <c r="AH297" i="11"/>
  <c r="Z297" i="11"/>
  <c r="R297" i="11"/>
  <c r="J297" i="11"/>
  <c r="X297" i="11"/>
  <c r="H297" i="11"/>
  <c r="U297" i="11"/>
  <c r="E297" i="11"/>
  <c r="AI297" i="11"/>
  <c r="S297" i="11"/>
  <c r="AG297" i="11"/>
  <c r="Q297" i="11"/>
  <c r="AF297" i="11"/>
  <c r="P297" i="11"/>
  <c r="AC297" i="11"/>
  <c r="M297" i="11"/>
  <c r="K297" i="11"/>
  <c r="I297" i="11"/>
  <c r="AA297" i="11"/>
  <c r="Y297" i="11"/>
  <c r="O265" i="11"/>
  <c r="G265" i="11"/>
  <c r="Q265" i="11" s="1"/>
  <c r="S265" i="11" s="1"/>
  <c r="N265" i="11"/>
  <c r="F265" i="11"/>
  <c r="L265" i="11"/>
  <c r="J265" i="11"/>
  <c r="H265" i="11"/>
  <c r="AB265" i="11" s="1"/>
  <c r="AC265" i="11" s="1"/>
  <c r="E265" i="11"/>
  <c r="AI265" i="11"/>
  <c r="AF265" i="11"/>
  <c r="P265" i="11"/>
  <c r="AD265" i="11" s="1"/>
  <c r="M265" i="11"/>
  <c r="K265" i="11"/>
  <c r="I265" i="11"/>
  <c r="AC226" i="11"/>
  <c r="U226" i="11"/>
  <c r="M226" i="11"/>
  <c r="E226" i="11"/>
  <c r="AB226" i="11"/>
  <c r="T226" i="11"/>
  <c r="L226" i="11"/>
  <c r="AA226" i="11"/>
  <c r="Q226" i="11"/>
  <c r="G226" i="11"/>
  <c r="Z226" i="11"/>
  <c r="P226" i="11"/>
  <c r="F226" i="11"/>
  <c r="AI226" i="11"/>
  <c r="Y226" i="11"/>
  <c r="O226" i="11"/>
  <c r="AH226" i="11"/>
  <c r="X226" i="11"/>
  <c r="N226" i="11"/>
  <c r="AG226" i="11"/>
  <c r="W226" i="11"/>
  <c r="K226" i="11"/>
  <c r="AF226" i="11"/>
  <c r="V226" i="11"/>
  <c r="J226" i="11"/>
  <c r="AD226" i="11"/>
  <c r="S226" i="11"/>
  <c r="R226" i="11"/>
  <c r="I226" i="11"/>
  <c r="H226" i="11"/>
  <c r="AE226" i="11"/>
  <c r="M399" i="11"/>
  <c r="E399" i="11"/>
  <c r="L399" i="11"/>
  <c r="AB399" i="11" s="1"/>
  <c r="AC399" i="11" s="1"/>
  <c r="K399" i="11"/>
  <c r="J399" i="11"/>
  <c r="I399" i="11"/>
  <c r="O399" i="11"/>
  <c r="AF399" i="11"/>
  <c r="N399" i="11"/>
  <c r="H399" i="11"/>
  <c r="G399" i="11"/>
  <c r="P399" i="11" s="1"/>
  <c r="F399" i="11"/>
  <c r="I284" i="11"/>
  <c r="AF284" i="11"/>
  <c r="H284" i="11"/>
  <c r="N284" i="11"/>
  <c r="F284" i="11"/>
  <c r="P284" i="11" s="1"/>
  <c r="L284" i="11"/>
  <c r="AB284" i="11" s="1"/>
  <c r="AC284" i="11" s="1"/>
  <c r="K284" i="11"/>
  <c r="J284" i="11"/>
  <c r="G284" i="11"/>
  <c r="E284" i="11"/>
  <c r="AI284" i="11"/>
  <c r="O284" i="11"/>
  <c r="M284" i="11"/>
  <c r="AG252" i="11"/>
  <c r="Y252" i="11"/>
  <c r="Q252" i="11"/>
  <c r="I252" i="11"/>
  <c r="AF252" i="11"/>
  <c r="X252" i="11"/>
  <c r="P252" i="11"/>
  <c r="H252" i="11"/>
  <c r="AD252" i="11"/>
  <c r="V252" i="11"/>
  <c r="N252" i="11"/>
  <c r="F252" i="11"/>
  <c r="AB252" i="11"/>
  <c r="T252" i="11"/>
  <c r="L252" i="11"/>
  <c r="AA252" i="11"/>
  <c r="K252" i="11"/>
  <c r="Z252" i="11"/>
  <c r="J252" i="11"/>
  <c r="W252" i="11"/>
  <c r="G252" i="11"/>
  <c r="U252" i="11"/>
  <c r="E252" i="11"/>
  <c r="AI252" i="11"/>
  <c r="S252" i="11"/>
  <c r="AH252" i="11"/>
  <c r="R252" i="11"/>
  <c r="AE252" i="11"/>
  <c r="AC252" i="11"/>
  <c r="O252" i="11"/>
  <c r="M252" i="11"/>
  <c r="AH491" i="11"/>
  <c r="Z491" i="11"/>
  <c r="R491" i="11"/>
  <c r="J491" i="11"/>
  <c r="AG491" i="11"/>
  <c r="Y491" i="11"/>
  <c r="Q491" i="11"/>
  <c r="I491" i="11"/>
  <c r="AF491" i="11"/>
  <c r="X491" i="11"/>
  <c r="P491" i="11"/>
  <c r="H491" i="11"/>
  <c r="AD491" i="11"/>
  <c r="V491" i="11"/>
  <c r="N491" i="11"/>
  <c r="F491" i="11"/>
  <c r="AC491" i="11"/>
  <c r="M491" i="11"/>
  <c r="AB491" i="11"/>
  <c r="L491" i="11"/>
  <c r="AA491" i="11"/>
  <c r="K491" i="11"/>
  <c r="W491" i="11"/>
  <c r="G491" i="11"/>
  <c r="U491" i="11"/>
  <c r="E491" i="11"/>
  <c r="AE491" i="11"/>
  <c r="T491" i="11"/>
  <c r="S491" i="11"/>
  <c r="O491" i="11"/>
  <c r="AI491" i="11"/>
  <c r="I381" i="11"/>
  <c r="AF381" i="11"/>
  <c r="P381" i="11"/>
  <c r="R381" i="11" s="1"/>
  <c r="H381" i="11"/>
  <c r="N381" i="11"/>
  <c r="F381" i="11"/>
  <c r="Q381" i="11" s="1"/>
  <c r="M381" i="11"/>
  <c r="S381" i="11" s="1"/>
  <c r="E381" i="11"/>
  <c r="O381" i="11"/>
  <c r="L381" i="11"/>
  <c r="AB381" i="11" s="1"/>
  <c r="AC381" i="11" s="1"/>
  <c r="K381" i="11"/>
  <c r="J381" i="11"/>
  <c r="G381" i="11"/>
  <c r="AI381" i="11"/>
  <c r="I345" i="11"/>
  <c r="AF345" i="11"/>
  <c r="H345" i="11"/>
  <c r="N345" i="11"/>
  <c r="F345" i="11"/>
  <c r="Q345" i="11" s="1"/>
  <c r="M345" i="11"/>
  <c r="E345" i="11"/>
  <c r="P345" i="11" s="1"/>
  <c r="R345" i="11" s="1"/>
  <c r="O345" i="11"/>
  <c r="L345" i="11"/>
  <c r="AB345" i="11" s="1"/>
  <c r="AC345" i="11" s="1"/>
  <c r="K345" i="11"/>
  <c r="J345" i="11"/>
  <c r="G345" i="11"/>
  <c r="AI345" i="11"/>
  <c r="AD345" i="11" s="1"/>
  <c r="I146" i="11"/>
  <c r="AF146" i="11"/>
  <c r="H146" i="11"/>
  <c r="N146" i="11"/>
  <c r="F146" i="11"/>
  <c r="Q146" i="11" s="1"/>
  <c r="S146" i="11" s="1"/>
  <c r="Y146" i="11" s="1"/>
  <c r="M146" i="11"/>
  <c r="E146" i="11"/>
  <c r="AB146" i="11"/>
  <c r="AC146" i="11" s="1"/>
  <c r="L146" i="11"/>
  <c r="AI146" i="11"/>
  <c r="O146" i="11"/>
  <c r="K146" i="11"/>
  <c r="J146" i="11"/>
  <c r="G146" i="11"/>
  <c r="P146" i="11" s="1"/>
  <c r="AD146" i="11" s="1"/>
  <c r="O207" i="11"/>
  <c r="G207" i="11"/>
  <c r="AI207" i="11" s="1"/>
  <c r="N207" i="11"/>
  <c r="F207" i="11"/>
  <c r="M207" i="11"/>
  <c r="E207" i="11"/>
  <c r="L207" i="11"/>
  <c r="AB207" i="11" s="1"/>
  <c r="AC207" i="11" s="1"/>
  <c r="S207" i="11"/>
  <c r="Y207" i="11" s="1"/>
  <c r="K207" i="11"/>
  <c r="J207" i="11"/>
  <c r="H207" i="11"/>
  <c r="AF207" i="11"/>
  <c r="Q207" i="11"/>
  <c r="P207" i="11"/>
  <c r="I207" i="11"/>
  <c r="O175" i="11"/>
  <c r="G175" i="11"/>
  <c r="N175" i="11"/>
  <c r="F175" i="11"/>
  <c r="P175" i="11" s="1"/>
  <c r="M175" i="11"/>
  <c r="E175" i="11"/>
  <c r="L175" i="11"/>
  <c r="AB175" i="11" s="1"/>
  <c r="AC175" i="11" s="1"/>
  <c r="AI175" i="11"/>
  <c r="K175" i="11"/>
  <c r="J175" i="11"/>
  <c r="H175" i="11"/>
  <c r="AF175" i="11"/>
  <c r="I175" i="11"/>
  <c r="O167" i="11"/>
  <c r="G167" i="11"/>
  <c r="N167" i="11"/>
  <c r="F167" i="11"/>
  <c r="AB167" i="11"/>
  <c r="L167" i="11"/>
  <c r="K167" i="11"/>
  <c r="J167" i="11"/>
  <c r="AC167" i="11"/>
  <c r="H167" i="11"/>
  <c r="E167" i="11"/>
  <c r="M167" i="11"/>
  <c r="AF167" i="11"/>
  <c r="I167" i="11"/>
  <c r="O135" i="11"/>
  <c r="G135" i="11"/>
  <c r="S135" i="11" s="1"/>
  <c r="N135" i="11"/>
  <c r="F135" i="11"/>
  <c r="L135" i="11"/>
  <c r="K135" i="11"/>
  <c r="J135" i="11"/>
  <c r="H135" i="11"/>
  <c r="AB135" i="11" s="1"/>
  <c r="AC135" i="11" s="1"/>
  <c r="E135" i="11"/>
  <c r="Q135" i="11"/>
  <c r="M135" i="11"/>
  <c r="AF135" i="11"/>
  <c r="I135" i="11"/>
  <c r="Q198" i="11"/>
  <c r="I198" i="11"/>
  <c r="AF198" i="11"/>
  <c r="P198" i="11"/>
  <c r="H198" i="11"/>
  <c r="O198" i="11"/>
  <c r="G198" i="11"/>
  <c r="N198" i="11"/>
  <c r="F198" i="11"/>
  <c r="M198" i="11"/>
  <c r="S198" i="11" s="1"/>
  <c r="Y198" i="11" s="1"/>
  <c r="E198" i="11"/>
  <c r="L198" i="11"/>
  <c r="R198" i="11" s="1"/>
  <c r="K198" i="11"/>
  <c r="J198" i="11"/>
  <c r="AI198" i="11"/>
  <c r="AD198" i="11" s="1"/>
  <c r="I341" i="11"/>
  <c r="AF341" i="11"/>
  <c r="P341" i="11"/>
  <c r="R341" i="11" s="1"/>
  <c r="H341" i="11"/>
  <c r="N341" i="11"/>
  <c r="F341" i="11"/>
  <c r="Q341" i="11" s="1"/>
  <c r="M341" i="11"/>
  <c r="S341" i="11" s="1"/>
  <c r="E341" i="11"/>
  <c r="O341" i="11"/>
  <c r="L341" i="11"/>
  <c r="AB341" i="11" s="1"/>
  <c r="AC341" i="11" s="1"/>
  <c r="K341" i="11"/>
  <c r="J341" i="11"/>
  <c r="G341" i="11"/>
  <c r="AD341" i="11" s="1"/>
  <c r="AI341" i="11"/>
  <c r="M144" i="11"/>
  <c r="E144" i="11"/>
  <c r="AB144" i="11"/>
  <c r="AC144" i="11" s="1"/>
  <c r="L144" i="11"/>
  <c r="J144" i="11"/>
  <c r="I144" i="11"/>
  <c r="AF144" i="11"/>
  <c r="H144" i="11"/>
  <c r="AI144" i="11"/>
  <c r="N144" i="11"/>
  <c r="K144" i="11"/>
  <c r="G144" i="11"/>
  <c r="F144" i="11"/>
  <c r="O144" i="11"/>
  <c r="AE233" i="11"/>
  <c r="W233" i="11"/>
  <c r="O233" i="11"/>
  <c r="G233" i="11"/>
  <c r="AD233" i="11"/>
  <c r="V233" i="11"/>
  <c r="N233" i="11"/>
  <c r="F233" i="11"/>
  <c r="AC233" i="11"/>
  <c r="S233" i="11"/>
  <c r="I233" i="11"/>
  <c r="AB233" i="11"/>
  <c r="R233" i="11"/>
  <c r="H233" i="11"/>
  <c r="AA233" i="11"/>
  <c r="Q233" i="11"/>
  <c r="E233" i="11"/>
  <c r="Z233" i="11"/>
  <c r="P233" i="11"/>
  <c r="AI233" i="11"/>
  <c r="Y233" i="11"/>
  <c r="M233" i="11"/>
  <c r="AH233" i="11"/>
  <c r="X233" i="11"/>
  <c r="L233" i="11"/>
  <c r="AF233" i="11"/>
  <c r="U233" i="11"/>
  <c r="T233" i="11"/>
  <c r="K233" i="11"/>
  <c r="J233" i="11"/>
  <c r="AG233" i="11"/>
  <c r="O217" i="11"/>
  <c r="G217" i="11"/>
  <c r="Q217" i="11" s="1"/>
  <c r="S217" i="11" s="1"/>
  <c r="Y217" i="11" s="1"/>
  <c r="N217" i="11"/>
  <c r="F217" i="11"/>
  <c r="I217" i="11"/>
  <c r="H217" i="11"/>
  <c r="E217" i="11"/>
  <c r="P217" i="11" s="1"/>
  <c r="AI217" i="11"/>
  <c r="M217" i="11"/>
  <c r="L217" i="11"/>
  <c r="AB217" i="11" s="1"/>
  <c r="AC217" i="11" s="1"/>
  <c r="AF217" i="11"/>
  <c r="K217" i="11"/>
  <c r="J217" i="11"/>
  <c r="L88" i="11"/>
  <c r="AB88" i="11" s="1"/>
  <c r="AC88" i="11" s="1"/>
  <c r="I88" i="11"/>
  <c r="AI88" i="11"/>
  <c r="H88" i="11"/>
  <c r="G88" i="11"/>
  <c r="O88" i="11"/>
  <c r="F88" i="11"/>
  <c r="AF88" i="11"/>
  <c r="N88" i="11"/>
  <c r="E88" i="11"/>
  <c r="M88" i="11"/>
  <c r="K88" i="11"/>
  <c r="J88" i="11"/>
  <c r="AB658" i="11"/>
  <c r="T658" i="11"/>
  <c r="L658" i="11"/>
  <c r="AI658" i="11"/>
  <c r="AA658" i="11"/>
  <c r="S658" i="11"/>
  <c r="K658" i="11"/>
  <c r="AH658" i="11"/>
  <c r="Z658" i="11"/>
  <c r="R658" i="11"/>
  <c r="J658" i="11"/>
  <c r="AG658" i="11"/>
  <c r="Y658" i="11"/>
  <c r="Q658" i="11"/>
  <c r="I658" i="11"/>
  <c r="AF658" i="11"/>
  <c r="X658" i="11"/>
  <c r="P658" i="11"/>
  <c r="H658" i="11"/>
  <c r="AE658" i="11"/>
  <c r="W658" i="11"/>
  <c r="O658" i="11"/>
  <c r="G658" i="11"/>
  <c r="AD658" i="11"/>
  <c r="V658" i="11"/>
  <c r="N658" i="11"/>
  <c r="F658" i="11"/>
  <c r="AC658" i="11"/>
  <c r="U658" i="11"/>
  <c r="M658" i="11"/>
  <c r="E658" i="11"/>
  <c r="N111" i="11"/>
  <c r="F111" i="11"/>
  <c r="G111" i="11"/>
  <c r="O111" i="11"/>
  <c r="E111" i="11"/>
  <c r="AF111" i="11"/>
  <c r="M111" i="11"/>
  <c r="L111" i="11"/>
  <c r="AB111" i="11" s="1"/>
  <c r="AC111" i="11" s="1"/>
  <c r="K111" i="11"/>
  <c r="J111" i="11"/>
  <c r="I111" i="11"/>
  <c r="AI111" i="11"/>
  <c r="H111" i="11"/>
  <c r="AF102" i="11"/>
  <c r="H102" i="11"/>
  <c r="M102" i="11"/>
  <c r="L102" i="11"/>
  <c r="K102" i="11"/>
  <c r="AB102" i="11"/>
  <c r="AC102" i="11" s="1"/>
  <c r="J102" i="11"/>
  <c r="I102" i="11"/>
  <c r="Q102" i="11"/>
  <c r="G102" i="11"/>
  <c r="S102" i="11" s="1"/>
  <c r="Y102" i="11" s="1"/>
  <c r="O102" i="11"/>
  <c r="F102" i="11"/>
  <c r="P102" i="11" s="1"/>
  <c r="R102" i="11" s="1"/>
  <c r="E102" i="11"/>
  <c r="N102" i="11"/>
  <c r="D43" i="11"/>
  <c r="N11" i="11"/>
  <c r="F11" i="11"/>
  <c r="M11" i="11"/>
  <c r="E11" i="11"/>
  <c r="L11" i="11"/>
  <c r="AB11" i="11" s="1"/>
  <c r="AC11" i="11" s="1"/>
  <c r="K11" i="11"/>
  <c r="J11" i="11"/>
  <c r="Q11" i="11"/>
  <c r="S11" i="11" s="1"/>
  <c r="Y11" i="11" s="1"/>
  <c r="I11" i="11"/>
  <c r="AF11" i="11"/>
  <c r="P11" i="11"/>
  <c r="H11" i="11"/>
  <c r="O11" i="11"/>
  <c r="G11" i="11"/>
  <c r="AI11" i="11" s="1"/>
  <c r="N99" i="11"/>
  <c r="F99" i="11"/>
  <c r="P99" i="11"/>
  <c r="R99" i="11" s="1"/>
  <c r="G99" i="11"/>
  <c r="O99" i="11"/>
  <c r="E99" i="11"/>
  <c r="AF99" i="11"/>
  <c r="M99" i="11"/>
  <c r="S99" i="11" s="1"/>
  <c r="Y99" i="11" s="1"/>
  <c r="L99" i="11"/>
  <c r="K99" i="11"/>
  <c r="J99" i="11"/>
  <c r="I99" i="11"/>
  <c r="H99" i="11"/>
  <c r="AB99" i="11" s="1"/>
  <c r="AC99" i="11" s="1"/>
  <c r="Q99" i="11"/>
  <c r="D52" i="11"/>
  <c r="L20" i="11"/>
  <c r="AB20" i="11" s="1"/>
  <c r="AC20" i="11" s="1"/>
  <c r="K20" i="11"/>
  <c r="J20" i="11"/>
  <c r="I20" i="11"/>
  <c r="AF20" i="11"/>
  <c r="H20" i="11"/>
  <c r="O20" i="11"/>
  <c r="G20" i="11"/>
  <c r="N20" i="11"/>
  <c r="F20" i="11"/>
  <c r="M20" i="11"/>
  <c r="E20" i="11"/>
  <c r="AE1051" i="11"/>
  <c r="W1051" i="11"/>
  <c r="O1051" i="11"/>
  <c r="G1051" i="11"/>
  <c r="AC1051" i="11"/>
  <c r="U1051" i="11"/>
  <c r="M1051" i="11"/>
  <c r="E1051" i="11"/>
  <c r="AI1051" i="11"/>
  <c r="AA1051" i="11"/>
  <c r="S1051" i="11"/>
  <c r="K1051" i="11"/>
  <c r="AH1051" i="11"/>
  <c r="Z1051" i="11"/>
  <c r="R1051" i="11"/>
  <c r="J1051" i="11"/>
  <c r="AG1051" i="11"/>
  <c r="Y1051" i="11"/>
  <c r="Q1051" i="11"/>
  <c r="I1051" i="11"/>
  <c r="X1051" i="11"/>
  <c r="V1051" i="11"/>
  <c r="T1051" i="11"/>
  <c r="P1051" i="11"/>
  <c r="N1051" i="11"/>
  <c r="AF1051" i="11"/>
  <c r="L1051" i="11"/>
  <c r="AD1051" i="11"/>
  <c r="H1051" i="11"/>
  <c r="AB1051" i="11"/>
  <c r="F1051" i="11"/>
  <c r="AB124" i="11"/>
  <c r="AC124" i="11" s="1"/>
  <c r="L124" i="11"/>
  <c r="J124" i="11"/>
  <c r="M124" i="11"/>
  <c r="AF124" i="11"/>
  <c r="K124" i="11"/>
  <c r="I124" i="11"/>
  <c r="H124" i="11"/>
  <c r="G124" i="11"/>
  <c r="F124" i="11"/>
  <c r="O124" i="11"/>
  <c r="E124" i="11"/>
  <c r="N124" i="11"/>
  <c r="AC1209" i="11"/>
  <c r="U1209" i="11"/>
  <c r="M1209" i="11"/>
  <c r="E1209" i="11"/>
  <c r="AD1209" i="11"/>
  <c r="T1209" i="11"/>
  <c r="K1209" i="11"/>
  <c r="AB1209" i="11"/>
  <c r="S1209" i="11"/>
  <c r="J1209" i="11"/>
  <c r="AA1209" i="11"/>
  <c r="R1209" i="11"/>
  <c r="I1209" i="11"/>
  <c r="AI1209" i="11"/>
  <c r="Z1209" i="11"/>
  <c r="Q1209" i="11"/>
  <c r="H1209" i="11"/>
  <c r="AH1209" i="11"/>
  <c r="Y1209" i="11"/>
  <c r="P1209" i="11"/>
  <c r="G1209" i="11"/>
  <c r="X1209" i="11"/>
  <c r="W1209" i="11"/>
  <c r="V1209" i="11"/>
  <c r="O1209" i="11"/>
  <c r="N1209" i="11"/>
  <c r="AG1209" i="11"/>
  <c r="L1209" i="11"/>
  <c r="AF1209" i="11"/>
  <c r="F1209" i="11"/>
  <c r="AE1209" i="11"/>
  <c r="AI1132" i="11"/>
  <c r="AA1132" i="11"/>
  <c r="S1132" i="11"/>
  <c r="K1132" i="11"/>
  <c r="AH1132" i="11"/>
  <c r="Z1132" i="11"/>
  <c r="R1132" i="11"/>
  <c r="J1132" i="11"/>
  <c r="AG1132" i="11"/>
  <c r="Y1132" i="11"/>
  <c r="Q1132" i="11"/>
  <c r="I1132" i="11"/>
  <c r="AB1132" i="11"/>
  <c r="N1132" i="11"/>
  <c r="X1132" i="11"/>
  <c r="M1132" i="11"/>
  <c r="W1132" i="11"/>
  <c r="L1132" i="11"/>
  <c r="V1132" i="11"/>
  <c r="H1132" i="11"/>
  <c r="AF1132" i="11"/>
  <c r="U1132" i="11"/>
  <c r="G1132" i="11"/>
  <c r="AE1132" i="11"/>
  <c r="T1132" i="11"/>
  <c r="F1132" i="11"/>
  <c r="AD1132" i="11"/>
  <c r="P1132" i="11"/>
  <c r="E1132" i="11"/>
  <c r="AC1132" i="11"/>
  <c r="O1132" i="11"/>
  <c r="J97" i="11"/>
  <c r="K97" i="11"/>
  <c r="I97" i="11"/>
  <c r="Q97" i="11"/>
  <c r="H97" i="11"/>
  <c r="G97" i="11"/>
  <c r="O97" i="11"/>
  <c r="F97" i="11"/>
  <c r="AF97" i="11"/>
  <c r="N97" i="11"/>
  <c r="E97" i="11"/>
  <c r="M97" i="11"/>
  <c r="AB97" i="11" s="1"/>
  <c r="AC97" i="11" s="1"/>
  <c r="L97" i="11"/>
  <c r="D49" i="11"/>
  <c r="J17" i="11"/>
  <c r="I17" i="11"/>
  <c r="AF17" i="11"/>
  <c r="H17" i="11"/>
  <c r="AB17" i="11" s="1"/>
  <c r="AC17" i="11" s="1"/>
  <c r="O17" i="11"/>
  <c r="G17" i="11"/>
  <c r="N17" i="11"/>
  <c r="F17" i="11"/>
  <c r="P17" i="11" s="1"/>
  <c r="M17" i="11"/>
  <c r="E17" i="11"/>
  <c r="L17" i="11"/>
  <c r="AI17" i="11"/>
  <c r="K17" i="11"/>
  <c r="AE1358" i="11"/>
  <c r="W1358" i="11"/>
  <c r="O1358" i="11"/>
  <c r="G1358" i="11"/>
  <c r="AD1358" i="11"/>
  <c r="V1358" i="11"/>
  <c r="N1358" i="11"/>
  <c r="F1358" i="11"/>
  <c r="AI1358" i="11"/>
  <c r="Y1358" i="11"/>
  <c r="M1358" i="11"/>
  <c r="AH1358" i="11"/>
  <c r="X1358" i="11"/>
  <c r="L1358" i="11"/>
  <c r="AG1358" i="11"/>
  <c r="U1358" i="11"/>
  <c r="K1358" i="11"/>
  <c r="AF1358" i="11"/>
  <c r="T1358" i="11"/>
  <c r="J1358" i="11"/>
  <c r="AC1358" i="11"/>
  <c r="S1358" i="11"/>
  <c r="I1358" i="11"/>
  <c r="AB1358" i="11"/>
  <c r="R1358" i="11"/>
  <c r="H1358" i="11"/>
  <c r="AA1358" i="11"/>
  <c r="Q1358" i="11"/>
  <c r="E1358" i="11"/>
  <c r="P1358" i="11"/>
  <c r="Z1358" i="11"/>
  <c r="AB1364" i="11"/>
  <c r="T1364" i="11"/>
  <c r="L1364" i="11"/>
  <c r="AI1364" i="11"/>
  <c r="AA1364" i="11"/>
  <c r="S1364" i="11"/>
  <c r="K1364" i="11"/>
  <c r="AH1364" i="11"/>
  <c r="Z1364" i="11"/>
  <c r="R1364" i="11"/>
  <c r="J1364" i="11"/>
  <c r="AG1364" i="11"/>
  <c r="Y1364" i="11"/>
  <c r="Q1364" i="11"/>
  <c r="I1364" i="11"/>
  <c r="AF1364" i="11"/>
  <c r="X1364" i="11"/>
  <c r="P1364" i="11"/>
  <c r="H1364" i="11"/>
  <c r="AE1364" i="11"/>
  <c r="M1364" i="11"/>
  <c r="AD1364" i="11"/>
  <c r="G1364" i="11"/>
  <c r="AC1364" i="11"/>
  <c r="F1364" i="11"/>
  <c r="W1364" i="11"/>
  <c r="E1364" i="11"/>
  <c r="V1364" i="11"/>
  <c r="U1364" i="11"/>
  <c r="O1364" i="11"/>
  <c r="N1364" i="11"/>
  <c r="AH1293" i="11"/>
  <c r="Z1293" i="11"/>
  <c r="R1293" i="11"/>
  <c r="J1293" i="11"/>
  <c r="AG1293" i="11"/>
  <c r="Y1293" i="11"/>
  <c r="Q1293" i="11"/>
  <c r="I1293" i="11"/>
  <c r="AF1293" i="11"/>
  <c r="X1293" i="11"/>
  <c r="P1293" i="11"/>
  <c r="H1293" i="11"/>
  <c r="AD1293" i="11"/>
  <c r="V1293" i="11"/>
  <c r="N1293" i="11"/>
  <c r="F1293" i="11"/>
  <c r="AC1293" i="11"/>
  <c r="M1293" i="11"/>
  <c r="AB1293" i="11"/>
  <c r="L1293" i="11"/>
  <c r="AA1293" i="11"/>
  <c r="K1293" i="11"/>
  <c r="W1293" i="11"/>
  <c r="G1293" i="11"/>
  <c r="U1293" i="11"/>
  <c r="E1293" i="11"/>
  <c r="T1293" i="11"/>
  <c r="S1293" i="11"/>
  <c r="O1293" i="11"/>
  <c r="AI1293" i="11"/>
  <c r="AE1293" i="11"/>
  <c r="AF1000" i="11"/>
  <c r="H1000" i="11"/>
  <c r="O1000" i="11"/>
  <c r="G1000" i="11"/>
  <c r="N1000" i="11"/>
  <c r="F1000" i="11"/>
  <c r="M1000" i="11"/>
  <c r="E1000" i="11"/>
  <c r="L1000" i="11"/>
  <c r="AB1000" i="11" s="1"/>
  <c r="AC1000" i="11" s="1"/>
  <c r="K1000" i="11"/>
  <c r="J1000" i="11"/>
  <c r="I1000" i="11"/>
  <c r="J850" i="11"/>
  <c r="I850" i="11"/>
  <c r="AB850" i="11" s="1"/>
  <c r="AC850" i="11" s="1"/>
  <c r="AF850" i="11"/>
  <c r="H850" i="11"/>
  <c r="N850" i="11"/>
  <c r="F850" i="11"/>
  <c r="M850" i="11"/>
  <c r="E850" i="11"/>
  <c r="O850" i="11"/>
  <c r="AI850" i="11"/>
  <c r="L850" i="11"/>
  <c r="K850" i="11"/>
  <c r="G850" i="11"/>
  <c r="X850" i="11" s="1"/>
  <c r="AI703" i="11"/>
  <c r="AA703" i="11"/>
  <c r="S703" i="11"/>
  <c r="K703" i="11"/>
  <c r="AH703" i="11"/>
  <c r="Z703" i="11"/>
  <c r="R703" i="11"/>
  <c r="J703" i="11"/>
  <c r="AF703" i="11"/>
  <c r="X703" i="11"/>
  <c r="P703" i="11"/>
  <c r="H703" i="11"/>
  <c r="AE703" i="11"/>
  <c r="W703" i="11"/>
  <c r="O703" i="11"/>
  <c r="G703" i="11"/>
  <c r="AD703" i="11"/>
  <c r="V703" i="11"/>
  <c r="N703" i="11"/>
  <c r="F703" i="11"/>
  <c r="M703" i="11"/>
  <c r="AG703" i="11"/>
  <c r="L703" i="11"/>
  <c r="AC703" i="11"/>
  <c r="I703" i="11"/>
  <c r="AB703" i="11"/>
  <c r="E703" i="11"/>
  <c r="Y703" i="11"/>
  <c r="U703" i="11"/>
  <c r="T703" i="11"/>
  <c r="Q703" i="11"/>
  <c r="AF94" i="11"/>
  <c r="H94" i="11"/>
  <c r="M94" i="11"/>
  <c r="L94" i="11"/>
  <c r="AB94" i="11" s="1"/>
  <c r="AC94" i="11" s="1"/>
  <c r="K94" i="11"/>
  <c r="J94" i="11"/>
  <c r="I94" i="11"/>
  <c r="G94" i="11"/>
  <c r="AI94" i="11" s="1"/>
  <c r="O94" i="11"/>
  <c r="F94" i="11"/>
  <c r="P94" i="11" s="1"/>
  <c r="R94" i="11" s="1"/>
  <c r="N94" i="11"/>
  <c r="E94" i="11"/>
  <c r="J85" i="11"/>
  <c r="K85" i="11"/>
  <c r="I85" i="11"/>
  <c r="Q85" i="11"/>
  <c r="H85" i="11"/>
  <c r="G85" i="11"/>
  <c r="O85" i="11"/>
  <c r="F85" i="11"/>
  <c r="AF85" i="11"/>
  <c r="N85" i="11"/>
  <c r="E85" i="11"/>
  <c r="M85" i="11"/>
  <c r="AB85" i="11" s="1"/>
  <c r="AC85" i="11" s="1"/>
  <c r="L85" i="11"/>
  <c r="AF10" i="11"/>
  <c r="H10" i="11"/>
  <c r="AB10" i="11" s="1"/>
  <c r="AC10" i="11" s="1"/>
  <c r="O10" i="11"/>
  <c r="G10" i="11"/>
  <c r="N10" i="11"/>
  <c r="F10" i="11"/>
  <c r="M10" i="11"/>
  <c r="E10" i="11"/>
  <c r="L10" i="11"/>
  <c r="AI10" i="11"/>
  <c r="K10" i="11"/>
  <c r="J10" i="11"/>
  <c r="I10" i="11"/>
  <c r="AG1163" i="11"/>
  <c r="Y1163" i="11"/>
  <c r="Q1163" i="11"/>
  <c r="I1163" i="11"/>
  <c r="AF1163" i="11"/>
  <c r="X1163" i="11"/>
  <c r="P1163" i="11"/>
  <c r="H1163" i="11"/>
  <c r="AE1163" i="11"/>
  <c r="W1163" i="11"/>
  <c r="O1163" i="11"/>
  <c r="G1163" i="11"/>
  <c r="AD1163" i="11"/>
  <c r="V1163" i="11"/>
  <c r="N1163" i="11"/>
  <c r="F1163" i="11"/>
  <c r="AC1163" i="11"/>
  <c r="U1163" i="11"/>
  <c r="M1163" i="11"/>
  <c r="E1163" i="11"/>
  <c r="Z1163" i="11"/>
  <c r="T1163" i="11"/>
  <c r="S1163" i="11"/>
  <c r="R1163" i="11"/>
  <c r="AI1163" i="11"/>
  <c r="L1163" i="11"/>
  <c r="AH1163" i="11"/>
  <c r="K1163" i="11"/>
  <c r="AB1163" i="11"/>
  <c r="J1163" i="11"/>
  <c r="AA1163" i="11"/>
  <c r="AI1182" i="11"/>
  <c r="AA1182" i="11"/>
  <c r="S1182" i="11"/>
  <c r="K1182" i="11"/>
  <c r="AH1182" i="11"/>
  <c r="Z1182" i="11"/>
  <c r="R1182" i="11"/>
  <c r="J1182" i="11"/>
  <c r="AG1182" i="11"/>
  <c r="Y1182" i="11"/>
  <c r="Q1182" i="11"/>
  <c r="I1182" i="11"/>
  <c r="AF1182" i="11"/>
  <c r="X1182" i="11"/>
  <c r="P1182" i="11"/>
  <c r="H1182" i="11"/>
  <c r="AE1182" i="11"/>
  <c r="W1182" i="11"/>
  <c r="O1182" i="11"/>
  <c r="G1182" i="11"/>
  <c r="N1182" i="11"/>
  <c r="M1182" i="11"/>
  <c r="AD1182" i="11"/>
  <c r="L1182" i="11"/>
  <c r="AC1182" i="11"/>
  <c r="F1182" i="11"/>
  <c r="AB1182" i="11"/>
  <c r="E1182" i="11"/>
  <c r="V1182" i="11"/>
  <c r="U1182" i="11"/>
  <c r="T1182" i="11"/>
  <c r="M1024" i="11"/>
  <c r="E1024" i="11"/>
  <c r="K1024" i="11"/>
  <c r="I1024" i="11"/>
  <c r="N1024" i="11"/>
  <c r="L1024" i="11"/>
  <c r="AB1024" i="11" s="1"/>
  <c r="AC1024" i="11" s="1"/>
  <c r="J1024" i="11"/>
  <c r="H1024" i="11"/>
  <c r="AF1024" i="11"/>
  <c r="G1024" i="11"/>
  <c r="F1024" i="11"/>
  <c r="O1024" i="11"/>
  <c r="O1035" i="11"/>
  <c r="G1035" i="11"/>
  <c r="S1035" i="11" s="1"/>
  <c r="M1035" i="11"/>
  <c r="E1035" i="11"/>
  <c r="AI1035" i="11"/>
  <c r="Y1035" i="11" s="1"/>
  <c r="K1035" i="11"/>
  <c r="J1035" i="11"/>
  <c r="I1035" i="11"/>
  <c r="H1035" i="11"/>
  <c r="AB1035" i="11" s="1"/>
  <c r="AC1035" i="11" s="1"/>
  <c r="AF1035" i="11"/>
  <c r="F1035" i="11"/>
  <c r="Q1035" i="11"/>
  <c r="N1035" i="11"/>
  <c r="L1035" i="11"/>
  <c r="J878" i="11"/>
  <c r="Q878" i="11"/>
  <c r="S878" i="11" s="1"/>
  <c r="I878" i="11"/>
  <c r="AF878" i="11"/>
  <c r="X878" i="11"/>
  <c r="P878" i="11"/>
  <c r="H878" i="11"/>
  <c r="O878" i="11"/>
  <c r="G878" i="11"/>
  <c r="N878" i="11"/>
  <c r="F878" i="11"/>
  <c r="M878" i="11"/>
  <c r="Y878" i="11" s="1"/>
  <c r="E878" i="11"/>
  <c r="L878" i="11"/>
  <c r="AB878" i="11" s="1"/>
  <c r="AC878" i="11" s="1"/>
  <c r="K878" i="11"/>
  <c r="AI878" i="11"/>
  <c r="R878" i="11" s="1"/>
  <c r="K905" i="11"/>
  <c r="I905" i="11"/>
  <c r="O905" i="11"/>
  <c r="G905" i="11"/>
  <c r="N905" i="11"/>
  <c r="F905" i="11"/>
  <c r="Q905" i="11" s="1"/>
  <c r="J905" i="11"/>
  <c r="H905" i="11"/>
  <c r="E905" i="11"/>
  <c r="AF905" i="11"/>
  <c r="P905" i="11"/>
  <c r="M905" i="11"/>
  <c r="L905" i="11"/>
  <c r="AB905" i="11" s="1"/>
  <c r="AC905" i="11" s="1"/>
  <c r="AI751" i="11"/>
  <c r="AA751" i="11"/>
  <c r="S751" i="11"/>
  <c r="K751" i="11"/>
  <c r="AH751" i="11"/>
  <c r="Z751" i="11"/>
  <c r="R751" i="11"/>
  <c r="J751" i="11"/>
  <c r="AG751" i="11"/>
  <c r="Y751" i="11"/>
  <c r="Q751" i="11"/>
  <c r="I751" i="11"/>
  <c r="AF751" i="11"/>
  <c r="X751" i="11"/>
  <c r="P751" i="11"/>
  <c r="H751" i="11"/>
  <c r="AE751" i="11"/>
  <c r="W751" i="11"/>
  <c r="O751" i="11"/>
  <c r="G751" i="11"/>
  <c r="AD751" i="11"/>
  <c r="V751" i="11"/>
  <c r="N751" i="11"/>
  <c r="F751" i="11"/>
  <c r="AC751" i="11"/>
  <c r="U751" i="11"/>
  <c r="M751" i="11"/>
  <c r="E751" i="11"/>
  <c r="AB751" i="11"/>
  <c r="T751" i="11"/>
  <c r="L751" i="11"/>
  <c r="AF600" i="11"/>
  <c r="X600" i="11"/>
  <c r="P600" i="11"/>
  <c r="H600" i="11"/>
  <c r="AE600" i="11"/>
  <c r="W600" i="11"/>
  <c r="O600" i="11"/>
  <c r="G600" i="11"/>
  <c r="AD600" i="11"/>
  <c r="V600" i="11"/>
  <c r="N600" i="11"/>
  <c r="F600" i="11"/>
  <c r="AC600" i="11"/>
  <c r="U600" i="11"/>
  <c r="M600" i="11"/>
  <c r="E600" i="11"/>
  <c r="AI600" i="11"/>
  <c r="AA600" i="11"/>
  <c r="S600" i="11"/>
  <c r="K600" i="11"/>
  <c r="AH600" i="11"/>
  <c r="Z600" i="11"/>
  <c r="R600" i="11"/>
  <c r="J600" i="11"/>
  <c r="AG600" i="11"/>
  <c r="AB600" i="11"/>
  <c r="Y600" i="11"/>
  <c r="T600" i="11"/>
  <c r="Q600" i="11"/>
  <c r="L600" i="11"/>
  <c r="I600" i="11"/>
  <c r="AI442" i="11"/>
  <c r="AA442" i="11"/>
  <c r="S442" i="11"/>
  <c r="K442" i="11"/>
  <c r="AH442" i="11"/>
  <c r="Z442" i="11"/>
  <c r="R442" i="11"/>
  <c r="J442" i="11"/>
  <c r="AF442" i="11"/>
  <c r="X442" i="11"/>
  <c r="P442" i="11"/>
  <c r="H442" i="11"/>
  <c r="AB442" i="11"/>
  <c r="N442" i="11"/>
  <c r="Y442" i="11"/>
  <c r="M442" i="11"/>
  <c r="W442" i="11"/>
  <c r="L442" i="11"/>
  <c r="V442" i="11"/>
  <c r="I442" i="11"/>
  <c r="AG442" i="11"/>
  <c r="U442" i="11"/>
  <c r="G442" i="11"/>
  <c r="Q442" i="11"/>
  <c r="O442" i="11"/>
  <c r="F442" i="11"/>
  <c r="E442" i="11"/>
  <c r="AE442" i="11"/>
  <c r="AD442" i="11"/>
  <c r="AC442" i="11"/>
  <c r="T442" i="11"/>
  <c r="AI299" i="11"/>
  <c r="AA299" i="11"/>
  <c r="S299" i="11"/>
  <c r="K299" i="11"/>
  <c r="AH299" i="11"/>
  <c r="Z299" i="11"/>
  <c r="R299" i="11"/>
  <c r="J299" i="11"/>
  <c r="AF299" i="11"/>
  <c r="X299" i="11"/>
  <c r="P299" i="11"/>
  <c r="H299" i="11"/>
  <c r="AD299" i="11"/>
  <c r="V299" i="11"/>
  <c r="N299" i="11"/>
  <c r="F299" i="11"/>
  <c r="AC299" i="11"/>
  <c r="M299" i="11"/>
  <c r="AB299" i="11"/>
  <c r="L299" i="11"/>
  <c r="Y299" i="11"/>
  <c r="I299" i="11"/>
  <c r="W299" i="11"/>
  <c r="G299" i="11"/>
  <c r="U299" i="11"/>
  <c r="E299" i="11"/>
  <c r="T299" i="11"/>
  <c r="AG299" i="11"/>
  <c r="AE299" i="11"/>
  <c r="Q299" i="11"/>
  <c r="O299" i="11"/>
  <c r="K153" i="11"/>
  <c r="J153" i="11"/>
  <c r="AF153" i="11"/>
  <c r="H153" i="11"/>
  <c r="O153" i="11"/>
  <c r="G153" i="11"/>
  <c r="AI153" i="11" s="1"/>
  <c r="N153" i="11"/>
  <c r="F153" i="11"/>
  <c r="M153" i="11"/>
  <c r="L153" i="11"/>
  <c r="AB153" i="11" s="1"/>
  <c r="AC153" i="11" s="1"/>
  <c r="I153" i="11"/>
  <c r="E153" i="11"/>
  <c r="AI185" i="11"/>
  <c r="K185" i="11"/>
  <c r="J185" i="11"/>
  <c r="I185" i="11"/>
  <c r="AF185" i="11"/>
  <c r="H185" i="11"/>
  <c r="O185" i="11"/>
  <c r="G185" i="11"/>
  <c r="N185" i="11"/>
  <c r="F185" i="11"/>
  <c r="M185" i="11"/>
  <c r="L185" i="11"/>
  <c r="E185" i="11"/>
  <c r="AB185" i="11"/>
  <c r="AC185" i="11" s="1"/>
  <c r="AI1308" i="11"/>
  <c r="AA1308" i="11"/>
  <c r="S1308" i="11"/>
  <c r="K1308" i="11"/>
  <c r="AH1308" i="11"/>
  <c r="Z1308" i="11"/>
  <c r="R1308" i="11"/>
  <c r="J1308" i="11"/>
  <c r="AG1308" i="11"/>
  <c r="Y1308" i="11"/>
  <c r="Q1308" i="11"/>
  <c r="I1308" i="11"/>
  <c r="AE1308" i="11"/>
  <c r="W1308" i="11"/>
  <c r="O1308" i="11"/>
  <c r="G1308" i="11"/>
  <c r="X1308" i="11"/>
  <c r="H1308" i="11"/>
  <c r="V1308" i="11"/>
  <c r="F1308" i="11"/>
  <c r="U1308" i="11"/>
  <c r="E1308" i="11"/>
  <c r="AF1308" i="11"/>
  <c r="P1308" i="11"/>
  <c r="AD1308" i="11"/>
  <c r="N1308" i="11"/>
  <c r="AC1308" i="11"/>
  <c r="M1308" i="11"/>
  <c r="AB1308" i="11"/>
  <c r="T1308" i="11"/>
  <c r="L1308" i="11"/>
  <c r="AI1312" i="11"/>
  <c r="AA1312" i="11"/>
  <c r="S1312" i="11"/>
  <c r="K1312" i="11"/>
  <c r="AH1312" i="11"/>
  <c r="Z1312" i="11"/>
  <c r="R1312" i="11"/>
  <c r="J1312" i="11"/>
  <c r="AG1312" i="11"/>
  <c r="Y1312" i="11"/>
  <c r="Q1312" i="11"/>
  <c r="I1312" i="11"/>
  <c r="AE1312" i="11"/>
  <c r="W1312" i="11"/>
  <c r="O1312" i="11"/>
  <c r="G1312" i="11"/>
  <c r="X1312" i="11"/>
  <c r="H1312" i="11"/>
  <c r="V1312" i="11"/>
  <c r="F1312" i="11"/>
  <c r="U1312" i="11"/>
  <c r="E1312" i="11"/>
  <c r="T1312" i="11"/>
  <c r="AF1312" i="11"/>
  <c r="P1312" i="11"/>
  <c r="AD1312" i="11"/>
  <c r="N1312" i="11"/>
  <c r="AC1312" i="11"/>
  <c r="M1312" i="11"/>
  <c r="AB1312" i="11"/>
  <c r="L1312" i="11"/>
  <c r="D782" i="11"/>
  <c r="D790" i="11"/>
  <c r="AF572" i="11"/>
  <c r="X572" i="11"/>
  <c r="P572" i="11"/>
  <c r="H572" i="11"/>
  <c r="AE572" i="11"/>
  <c r="W572" i="11"/>
  <c r="O572" i="11"/>
  <c r="G572" i="11"/>
  <c r="AD572" i="11"/>
  <c r="V572" i="11"/>
  <c r="N572" i="11"/>
  <c r="F572" i="11"/>
  <c r="AI572" i="11"/>
  <c r="AA572" i="11"/>
  <c r="S572" i="11"/>
  <c r="K572" i="11"/>
  <c r="AH572" i="11"/>
  <c r="Z572" i="11"/>
  <c r="R572" i="11"/>
  <c r="J572" i="11"/>
  <c r="M572" i="11"/>
  <c r="AG572" i="11"/>
  <c r="L572" i="11"/>
  <c r="AC572" i="11"/>
  <c r="I572" i="11"/>
  <c r="AB572" i="11"/>
  <c r="E572" i="11"/>
  <c r="Y572" i="11"/>
  <c r="U572" i="11"/>
  <c r="T572" i="11"/>
  <c r="Q572" i="11"/>
  <c r="K404" i="11"/>
  <c r="J404" i="11"/>
  <c r="Q404" i="11"/>
  <c r="S404" i="11" s="1"/>
  <c r="Y404" i="11" s="1"/>
  <c r="I404" i="11"/>
  <c r="AF404" i="11"/>
  <c r="H404" i="11"/>
  <c r="O404" i="11"/>
  <c r="G404" i="11"/>
  <c r="AI404" i="11" s="1"/>
  <c r="N404" i="11"/>
  <c r="M404" i="11"/>
  <c r="L404" i="11"/>
  <c r="AB404" i="11" s="1"/>
  <c r="AC404" i="11" s="1"/>
  <c r="F404" i="11"/>
  <c r="E404" i="11"/>
  <c r="P404" i="11" s="1"/>
  <c r="AJ164" i="7"/>
  <c r="O931" i="11"/>
  <c r="G931" i="11"/>
  <c r="N931" i="11"/>
  <c r="F931" i="11"/>
  <c r="Q931" i="11" s="1"/>
  <c r="M931" i="11"/>
  <c r="E931" i="11"/>
  <c r="K931" i="11"/>
  <c r="J931" i="11"/>
  <c r="P931" i="11"/>
  <c r="L931" i="11"/>
  <c r="AB931" i="11" s="1"/>
  <c r="AC931" i="11" s="1"/>
  <c r="AF931" i="11"/>
  <c r="I931" i="11"/>
  <c r="H931" i="11"/>
  <c r="K937" i="11"/>
  <c r="J937" i="11"/>
  <c r="I937" i="11"/>
  <c r="AF937" i="11"/>
  <c r="H937" i="11"/>
  <c r="AB937" i="11" s="1"/>
  <c r="AC937" i="11" s="1"/>
  <c r="O937" i="11"/>
  <c r="G937" i="11"/>
  <c r="N937" i="11"/>
  <c r="F937" i="11"/>
  <c r="M937" i="11"/>
  <c r="L937" i="11"/>
  <c r="E937" i="11"/>
  <c r="K197" i="11"/>
  <c r="J197" i="11"/>
  <c r="I197" i="11"/>
  <c r="AF197" i="11"/>
  <c r="H197" i="11"/>
  <c r="AB197" i="11" s="1"/>
  <c r="AC197" i="11" s="1"/>
  <c r="O197" i="11"/>
  <c r="G197" i="11"/>
  <c r="N197" i="11"/>
  <c r="F197" i="11"/>
  <c r="M197" i="11"/>
  <c r="L197" i="11"/>
  <c r="E197" i="11"/>
  <c r="AI340" i="11"/>
  <c r="K340" i="11"/>
  <c r="J340" i="11"/>
  <c r="AF340" i="11"/>
  <c r="P340" i="11"/>
  <c r="R340" i="11" s="1"/>
  <c r="H340" i="11"/>
  <c r="O340" i="11"/>
  <c r="G340" i="11"/>
  <c r="Q340" i="11"/>
  <c r="N340" i="11"/>
  <c r="M340" i="11"/>
  <c r="AB340" i="11" s="1"/>
  <c r="AC340" i="11" s="1"/>
  <c r="L340" i="11"/>
  <c r="I340" i="11"/>
  <c r="F340" i="11"/>
  <c r="E340" i="11"/>
  <c r="K129" i="11"/>
  <c r="J129" i="11"/>
  <c r="AF129" i="11"/>
  <c r="H129" i="11"/>
  <c r="AB129" i="11" s="1"/>
  <c r="AC129" i="11" s="1"/>
  <c r="O129" i="11"/>
  <c r="G129" i="11"/>
  <c r="AI129" i="11" s="1"/>
  <c r="N129" i="11"/>
  <c r="F129" i="11"/>
  <c r="P129" i="11" s="1"/>
  <c r="R129" i="11" s="1"/>
  <c r="M129" i="11"/>
  <c r="L129" i="11"/>
  <c r="I129" i="11"/>
  <c r="E129" i="11"/>
  <c r="X19" i="9"/>
  <c r="D486" i="11"/>
  <c r="AI263" i="11"/>
  <c r="K263" i="11"/>
  <c r="J263" i="11"/>
  <c r="AF263" i="11"/>
  <c r="H263" i="11"/>
  <c r="N263" i="11"/>
  <c r="F263" i="11"/>
  <c r="M263" i="11"/>
  <c r="L263" i="11"/>
  <c r="AB263" i="11" s="1"/>
  <c r="AC263" i="11" s="1"/>
  <c r="I263" i="11"/>
  <c r="G263" i="11"/>
  <c r="Q263" i="11" s="1"/>
  <c r="E263" i="11"/>
  <c r="O263" i="11"/>
  <c r="D243" i="11"/>
  <c r="D255" i="11"/>
  <c r="D251" i="11"/>
  <c r="D247" i="11"/>
  <c r="D239" i="11"/>
  <c r="D235" i="11"/>
  <c r="D231" i="11"/>
  <c r="D227" i="11"/>
  <c r="D223" i="11"/>
  <c r="V12" i="9"/>
  <c r="X12" i="9" s="1"/>
  <c r="D632" i="11"/>
  <c r="AF1409" i="11"/>
  <c r="X1409" i="11"/>
  <c r="P1409" i="11"/>
  <c r="H1409" i="11"/>
  <c r="AE1409" i="11"/>
  <c r="W1409" i="11"/>
  <c r="O1409" i="11"/>
  <c r="G1409" i="11"/>
  <c r="AD1409" i="11"/>
  <c r="V1409" i="11"/>
  <c r="N1409" i="11"/>
  <c r="F1409" i="11"/>
  <c r="AH1409" i="11"/>
  <c r="T1409" i="11"/>
  <c r="I1409" i="11"/>
  <c r="AG1409" i="11"/>
  <c r="S1409" i="11"/>
  <c r="E1409" i="11"/>
  <c r="AC1409" i="11"/>
  <c r="R1409" i="11"/>
  <c r="AB1409" i="11"/>
  <c r="Q1409" i="11"/>
  <c r="AA1409" i="11"/>
  <c r="M1409" i="11"/>
  <c r="Z1409" i="11"/>
  <c r="Y1409" i="11"/>
  <c r="U1409" i="11"/>
  <c r="L1409" i="11"/>
  <c r="K1409" i="11"/>
  <c r="J1409" i="11"/>
  <c r="AI1409" i="11"/>
  <c r="AG1313" i="11"/>
  <c r="Y1313" i="11"/>
  <c r="Q1313" i="11"/>
  <c r="I1313" i="11"/>
  <c r="AF1313" i="11"/>
  <c r="X1313" i="11"/>
  <c r="P1313" i="11"/>
  <c r="H1313" i="11"/>
  <c r="AE1313" i="11"/>
  <c r="W1313" i="11"/>
  <c r="O1313" i="11"/>
  <c r="G1313" i="11"/>
  <c r="AC1313" i="11"/>
  <c r="U1313" i="11"/>
  <c r="M1313" i="11"/>
  <c r="E1313" i="11"/>
  <c r="V1313" i="11"/>
  <c r="F1313" i="11"/>
  <c r="T1313" i="11"/>
  <c r="AI1313" i="11"/>
  <c r="S1313" i="11"/>
  <c r="AH1313" i="11"/>
  <c r="R1313" i="11"/>
  <c r="AD1313" i="11"/>
  <c r="N1313" i="11"/>
  <c r="AB1313" i="11"/>
  <c r="L1313" i="11"/>
  <c r="AA1313" i="11"/>
  <c r="K1313" i="11"/>
  <c r="J1313" i="11"/>
  <c r="Z1313" i="11"/>
  <c r="AE1168" i="11"/>
  <c r="W1168" i="11"/>
  <c r="O1168" i="11"/>
  <c r="G1168" i="11"/>
  <c r="AD1168" i="11"/>
  <c r="V1168" i="11"/>
  <c r="N1168" i="11"/>
  <c r="F1168" i="11"/>
  <c r="AC1168" i="11"/>
  <c r="U1168" i="11"/>
  <c r="M1168" i="11"/>
  <c r="E1168" i="11"/>
  <c r="AB1168" i="11"/>
  <c r="T1168" i="11"/>
  <c r="L1168" i="11"/>
  <c r="AI1168" i="11"/>
  <c r="AA1168" i="11"/>
  <c r="S1168" i="11"/>
  <c r="K1168" i="11"/>
  <c r="AF1168" i="11"/>
  <c r="I1168" i="11"/>
  <c r="Z1168" i="11"/>
  <c r="H1168" i="11"/>
  <c r="Y1168" i="11"/>
  <c r="X1168" i="11"/>
  <c r="R1168" i="11"/>
  <c r="Q1168" i="11"/>
  <c r="AH1168" i="11"/>
  <c r="P1168" i="11"/>
  <c r="AG1168" i="11"/>
  <c r="J1168" i="11"/>
  <c r="AF1087" i="11"/>
  <c r="X1087" i="11"/>
  <c r="P1087" i="11"/>
  <c r="H1087" i="11"/>
  <c r="AE1087" i="11"/>
  <c r="W1087" i="11"/>
  <c r="O1087" i="11"/>
  <c r="G1087" i="11"/>
  <c r="AD1087" i="11"/>
  <c r="V1087" i="11"/>
  <c r="N1087" i="11"/>
  <c r="F1087" i="11"/>
  <c r="AC1087" i="11"/>
  <c r="U1087" i="11"/>
  <c r="M1087" i="11"/>
  <c r="E1087" i="11"/>
  <c r="AB1087" i="11"/>
  <c r="T1087" i="11"/>
  <c r="L1087" i="11"/>
  <c r="AH1087" i="11"/>
  <c r="Z1087" i="11"/>
  <c r="R1087" i="11"/>
  <c r="J1087" i="11"/>
  <c r="I1087" i="11"/>
  <c r="AI1087" i="11"/>
  <c r="AG1087" i="11"/>
  <c r="AA1087" i="11"/>
  <c r="Y1087" i="11"/>
  <c r="S1087" i="11"/>
  <c r="Q1087" i="11"/>
  <c r="K1087" i="11"/>
  <c r="AD1064" i="11"/>
  <c r="V1064" i="11"/>
  <c r="N1064" i="11"/>
  <c r="F1064" i="11"/>
  <c r="AC1064" i="11"/>
  <c r="U1064" i="11"/>
  <c r="M1064" i="11"/>
  <c r="E1064" i="11"/>
  <c r="AB1064" i="11"/>
  <c r="T1064" i="11"/>
  <c r="L1064" i="11"/>
  <c r="AI1064" i="11"/>
  <c r="AA1064" i="11"/>
  <c r="S1064" i="11"/>
  <c r="K1064" i="11"/>
  <c r="AH1064" i="11"/>
  <c r="Z1064" i="11"/>
  <c r="R1064" i="11"/>
  <c r="J1064" i="11"/>
  <c r="AF1064" i="11"/>
  <c r="X1064" i="11"/>
  <c r="P1064" i="11"/>
  <c r="H1064" i="11"/>
  <c r="AE1064" i="11"/>
  <c r="Y1064" i="11"/>
  <c r="W1064" i="11"/>
  <c r="Q1064" i="11"/>
  <c r="O1064" i="11"/>
  <c r="I1064" i="11"/>
  <c r="G1064" i="11"/>
  <c r="AG1064" i="11"/>
  <c r="AB1415" i="11"/>
  <c r="T1415" i="11"/>
  <c r="L1415" i="11"/>
  <c r="AA1415" i="11"/>
  <c r="R1415" i="11"/>
  <c r="I1415" i="11"/>
  <c r="AI1415" i="11"/>
  <c r="Z1415" i="11"/>
  <c r="Q1415" i="11"/>
  <c r="H1415" i="11"/>
  <c r="AH1415" i="11"/>
  <c r="Y1415" i="11"/>
  <c r="P1415" i="11"/>
  <c r="G1415" i="11"/>
  <c r="W1415" i="11"/>
  <c r="J1415" i="11"/>
  <c r="V1415" i="11"/>
  <c r="F1415" i="11"/>
  <c r="AG1415" i="11"/>
  <c r="U1415" i="11"/>
  <c r="E1415" i="11"/>
  <c r="AF1415" i="11"/>
  <c r="S1415" i="11"/>
  <c r="AE1415" i="11"/>
  <c r="O1415" i="11"/>
  <c r="AD1415" i="11"/>
  <c r="AC1415" i="11"/>
  <c r="X1415" i="11"/>
  <c r="N1415" i="11"/>
  <c r="M1415" i="11"/>
  <c r="K1415" i="11"/>
  <c r="AG1331" i="11"/>
  <c r="Y1331" i="11"/>
  <c r="Q1331" i="11"/>
  <c r="I1331" i="11"/>
  <c r="AF1331" i="11"/>
  <c r="X1331" i="11"/>
  <c r="P1331" i="11"/>
  <c r="H1331" i="11"/>
  <c r="AC1331" i="11"/>
  <c r="U1331" i="11"/>
  <c r="M1331" i="11"/>
  <c r="E1331" i="11"/>
  <c r="AI1331" i="11"/>
  <c r="V1331" i="11"/>
  <c r="J1331" i="11"/>
  <c r="AH1331" i="11"/>
  <c r="T1331" i="11"/>
  <c r="G1331" i="11"/>
  <c r="AE1331" i="11"/>
  <c r="S1331" i="11"/>
  <c r="F1331" i="11"/>
  <c r="AD1331" i="11"/>
  <c r="R1331" i="11"/>
  <c r="AB1331" i="11"/>
  <c r="O1331" i="11"/>
  <c r="AA1331" i="11"/>
  <c r="Z1331" i="11"/>
  <c r="W1331" i="11"/>
  <c r="N1331" i="11"/>
  <c r="L1331" i="11"/>
  <c r="K1331" i="11"/>
  <c r="AC1246" i="11"/>
  <c r="U1246" i="11"/>
  <c r="M1246" i="11"/>
  <c r="E1246" i="11"/>
  <c r="AB1246" i="11"/>
  <c r="T1246" i="11"/>
  <c r="L1246" i="11"/>
  <c r="AF1246" i="11"/>
  <c r="V1246" i="11"/>
  <c r="J1246" i="11"/>
  <c r="AE1246" i="11"/>
  <c r="S1246" i="11"/>
  <c r="I1246" i="11"/>
  <c r="AD1246" i="11"/>
  <c r="R1246" i="11"/>
  <c r="H1246" i="11"/>
  <c r="AA1246" i="11"/>
  <c r="Q1246" i="11"/>
  <c r="G1246" i="11"/>
  <c r="Z1246" i="11"/>
  <c r="P1246" i="11"/>
  <c r="F1246" i="11"/>
  <c r="AI1246" i="11"/>
  <c r="Y1246" i="11"/>
  <c r="O1246" i="11"/>
  <c r="AH1246" i="11"/>
  <c r="X1246" i="11"/>
  <c r="N1246" i="11"/>
  <c r="W1246" i="11"/>
  <c r="K1246" i="11"/>
  <c r="AG1246" i="11"/>
  <c r="AG1211" i="11"/>
  <c r="Y1211" i="11"/>
  <c r="Q1211" i="11"/>
  <c r="I1211" i="11"/>
  <c r="AH1211" i="11"/>
  <c r="X1211" i="11"/>
  <c r="O1211" i="11"/>
  <c r="F1211" i="11"/>
  <c r="AF1211" i="11"/>
  <c r="W1211" i="11"/>
  <c r="N1211" i="11"/>
  <c r="E1211" i="11"/>
  <c r="AE1211" i="11"/>
  <c r="V1211" i="11"/>
  <c r="M1211" i="11"/>
  <c r="AD1211" i="11"/>
  <c r="U1211" i="11"/>
  <c r="L1211" i="11"/>
  <c r="AC1211" i="11"/>
  <c r="T1211" i="11"/>
  <c r="K1211" i="11"/>
  <c r="R1211" i="11"/>
  <c r="P1211" i="11"/>
  <c r="J1211" i="11"/>
  <c r="AI1211" i="11"/>
  <c r="H1211" i="11"/>
  <c r="AB1211" i="11"/>
  <c r="G1211" i="11"/>
  <c r="AA1211" i="11"/>
  <c r="Z1211" i="11"/>
  <c r="S1211" i="11"/>
  <c r="AH1106" i="11"/>
  <c r="Z1106" i="11"/>
  <c r="R1106" i="11"/>
  <c r="J1106" i="11"/>
  <c r="AG1106" i="11"/>
  <c r="Y1106" i="11"/>
  <c r="Q1106" i="11"/>
  <c r="I1106" i="11"/>
  <c r="AF1106" i="11"/>
  <c r="X1106" i="11"/>
  <c r="P1106" i="11"/>
  <c r="H1106" i="11"/>
  <c r="AE1106" i="11"/>
  <c r="W1106" i="11"/>
  <c r="O1106" i="11"/>
  <c r="G1106" i="11"/>
  <c r="AD1106" i="11"/>
  <c r="V1106" i="11"/>
  <c r="N1106" i="11"/>
  <c r="F1106" i="11"/>
  <c r="AB1106" i="11"/>
  <c r="T1106" i="11"/>
  <c r="L1106" i="11"/>
  <c r="M1106" i="11"/>
  <c r="K1106" i="11"/>
  <c r="E1106" i="11"/>
  <c r="AI1106" i="11"/>
  <c r="AC1106" i="11"/>
  <c r="AA1106" i="11"/>
  <c r="U1106" i="11"/>
  <c r="S1106" i="11"/>
  <c r="L970" i="11"/>
  <c r="AI970" i="11"/>
  <c r="K970" i="11"/>
  <c r="J970" i="11"/>
  <c r="I970" i="11"/>
  <c r="AF970" i="11"/>
  <c r="O970" i="11"/>
  <c r="N970" i="11"/>
  <c r="M970" i="11"/>
  <c r="H970" i="11"/>
  <c r="AB970" i="11" s="1"/>
  <c r="AC970" i="11" s="1"/>
  <c r="G970" i="11"/>
  <c r="Y970" i="11" s="1"/>
  <c r="F970" i="11"/>
  <c r="P970" i="11" s="1"/>
  <c r="E970" i="11"/>
  <c r="M928" i="11"/>
  <c r="E928" i="11"/>
  <c r="AB928" i="11"/>
  <c r="AC928" i="11" s="1"/>
  <c r="L928" i="11"/>
  <c r="K928" i="11"/>
  <c r="I928" i="11"/>
  <c r="AF928" i="11"/>
  <c r="H928" i="11"/>
  <c r="G928" i="11"/>
  <c r="Q928" i="11" s="1"/>
  <c r="F928" i="11"/>
  <c r="O928" i="11"/>
  <c r="N928" i="11"/>
  <c r="J928" i="11"/>
  <c r="L849" i="11"/>
  <c r="AB849" i="11" s="1"/>
  <c r="AC849" i="11" s="1"/>
  <c r="K849" i="11"/>
  <c r="J849" i="11"/>
  <c r="AF849" i="11"/>
  <c r="P849" i="11"/>
  <c r="H849" i="11"/>
  <c r="O849" i="11"/>
  <c r="G849" i="11"/>
  <c r="N849" i="11"/>
  <c r="M849" i="11"/>
  <c r="I849" i="11"/>
  <c r="F849" i="11"/>
  <c r="E849" i="11"/>
  <c r="J792" i="11"/>
  <c r="Q792" i="11"/>
  <c r="I792" i="11"/>
  <c r="O792" i="11"/>
  <c r="G792" i="11"/>
  <c r="N792" i="11"/>
  <c r="F792" i="11"/>
  <c r="AF792" i="11"/>
  <c r="M792" i="11"/>
  <c r="L792" i="11"/>
  <c r="AB792" i="11" s="1"/>
  <c r="AC792" i="11" s="1"/>
  <c r="K792" i="11"/>
  <c r="H792" i="11"/>
  <c r="E792" i="11"/>
  <c r="N637" i="11"/>
  <c r="F637" i="11"/>
  <c r="P637" i="11" s="1"/>
  <c r="M637" i="11"/>
  <c r="E637" i="11"/>
  <c r="L637" i="11"/>
  <c r="AB637" i="11" s="1"/>
  <c r="AC637" i="11" s="1"/>
  <c r="AI637" i="11"/>
  <c r="K637" i="11"/>
  <c r="J637" i="11"/>
  <c r="I637" i="11"/>
  <c r="AF637" i="11"/>
  <c r="H637" i="11"/>
  <c r="O637" i="11"/>
  <c r="G637" i="11"/>
  <c r="AF1397" i="11"/>
  <c r="X1397" i="11"/>
  <c r="P1397" i="11"/>
  <c r="H1397" i="11"/>
  <c r="AE1397" i="11"/>
  <c r="W1397" i="11"/>
  <c r="O1397" i="11"/>
  <c r="G1397" i="11"/>
  <c r="AB1397" i="11"/>
  <c r="R1397" i="11"/>
  <c r="F1397" i="11"/>
  <c r="AA1397" i="11"/>
  <c r="Q1397" i="11"/>
  <c r="E1397" i="11"/>
  <c r="Z1397" i="11"/>
  <c r="N1397" i="11"/>
  <c r="AD1397" i="11"/>
  <c r="L1397" i="11"/>
  <c r="AC1397" i="11"/>
  <c r="K1397" i="11"/>
  <c r="Y1397" i="11"/>
  <c r="J1397" i="11"/>
  <c r="V1397" i="11"/>
  <c r="I1397" i="11"/>
  <c r="U1397" i="11"/>
  <c r="AI1397" i="11"/>
  <c r="T1397" i="11"/>
  <c r="AG1397" i="11"/>
  <c r="S1397" i="11"/>
  <c r="M1397" i="11"/>
  <c r="AH1397" i="11"/>
  <c r="AB1423" i="11"/>
  <c r="T1423" i="11"/>
  <c r="L1423" i="11"/>
  <c r="AA1423" i="11"/>
  <c r="R1423" i="11"/>
  <c r="I1423" i="11"/>
  <c r="AI1423" i="11"/>
  <c r="Z1423" i="11"/>
  <c r="Q1423" i="11"/>
  <c r="H1423" i="11"/>
  <c r="AH1423" i="11"/>
  <c r="Y1423" i="11"/>
  <c r="P1423" i="11"/>
  <c r="G1423" i="11"/>
  <c r="AE1423" i="11"/>
  <c r="O1423" i="11"/>
  <c r="AD1423" i="11"/>
  <c r="N1423" i="11"/>
  <c r="AC1423" i="11"/>
  <c r="M1423" i="11"/>
  <c r="X1423" i="11"/>
  <c r="K1423" i="11"/>
  <c r="W1423" i="11"/>
  <c r="J1423" i="11"/>
  <c r="V1423" i="11"/>
  <c r="F1423" i="11"/>
  <c r="AG1423" i="11"/>
  <c r="U1423" i="11"/>
  <c r="E1423" i="11"/>
  <c r="AF1423" i="11"/>
  <c r="S1423" i="11"/>
  <c r="AF1366" i="11"/>
  <c r="X1366" i="11"/>
  <c r="P1366" i="11"/>
  <c r="H1366" i="11"/>
  <c r="AE1366" i="11"/>
  <c r="W1366" i="11"/>
  <c r="O1366" i="11"/>
  <c r="G1366" i="11"/>
  <c r="AD1366" i="11"/>
  <c r="V1366" i="11"/>
  <c r="N1366" i="11"/>
  <c r="F1366" i="11"/>
  <c r="AC1366" i="11"/>
  <c r="U1366" i="11"/>
  <c r="M1366" i="11"/>
  <c r="E1366" i="11"/>
  <c r="AB1366" i="11"/>
  <c r="T1366" i="11"/>
  <c r="L1366" i="11"/>
  <c r="Z1366" i="11"/>
  <c r="Y1366" i="11"/>
  <c r="S1366" i="11"/>
  <c r="R1366" i="11"/>
  <c r="AI1366" i="11"/>
  <c r="Q1366" i="11"/>
  <c r="AH1366" i="11"/>
  <c r="K1366" i="11"/>
  <c r="AG1366" i="11"/>
  <c r="J1366" i="11"/>
  <c r="AA1366" i="11"/>
  <c r="I1366" i="11"/>
  <c r="AC1307" i="11"/>
  <c r="U1307" i="11"/>
  <c r="M1307" i="11"/>
  <c r="E1307" i="11"/>
  <c r="AB1307" i="11"/>
  <c r="T1307" i="11"/>
  <c r="L1307" i="11"/>
  <c r="AI1307" i="11"/>
  <c r="AA1307" i="11"/>
  <c r="S1307" i="11"/>
  <c r="K1307" i="11"/>
  <c r="AF1307" i="11"/>
  <c r="R1307" i="11"/>
  <c r="G1307" i="11"/>
  <c r="AE1307" i="11"/>
  <c r="Q1307" i="11"/>
  <c r="F1307" i="11"/>
  <c r="AD1307" i="11"/>
  <c r="P1307" i="11"/>
  <c r="Y1307" i="11"/>
  <c r="N1307" i="11"/>
  <c r="X1307" i="11"/>
  <c r="J1307" i="11"/>
  <c r="AH1307" i="11"/>
  <c r="W1307" i="11"/>
  <c r="I1307" i="11"/>
  <c r="AG1307" i="11"/>
  <c r="Z1307" i="11"/>
  <c r="V1307" i="11"/>
  <c r="O1307" i="11"/>
  <c r="H1307" i="11"/>
  <c r="AD1291" i="11"/>
  <c r="V1291" i="11"/>
  <c r="N1291" i="11"/>
  <c r="F1291" i="11"/>
  <c r="AC1291" i="11"/>
  <c r="U1291" i="11"/>
  <c r="M1291" i="11"/>
  <c r="E1291" i="11"/>
  <c r="AB1291" i="11"/>
  <c r="T1291" i="11"/>
  <c r="L1291" i="11"/>
  <c r="AH1291" i="11"/>
  <c r="Z1291" i="11"/>
  <c r="R1291" i="11"/>
  <c r="J1291" i="11"/>
  <c r="X1291" i="11"/>
  <c r="H1291" i="11"/>
  <c r="W1291" i="11"/>
  <c r="G1291" i="11"/>
  <c r="AI1291" i="11"/>
  <c r="S1291" i="11"/>
  <c r="AG1291" i="11"/>
  <c r="Q1291" i="11"/>
  <c r="AF1291" i="11"/>
  <c r="P1291" i="11"/>
  <c r="Y1291" i="11"/>
  <c r="O1291" i="11"/>
  <c r="K1291" i="11"/>
  <c r="I1291" i="11"/>
  <c r="AE1291" i="11"/>
  <c r="AA1291" i="11"/>
  <c r="AH1281" i="11"/>
  <c r="Z1281" i="11"/>
  <c r="R1281" i="11"/>
  <c r="J1281" i="11"/>
  <c r="AG1281" i="11"/>
  <c r="Y1281" i="11"/>
  <c r="Q1281" i="11"/>
  <c r="I1281" i="11"/>
  <c r="AF1281" i="11"/>
  <c r="X1281" i="11"/>
  <c r="P1281" i="11"/>
  <c r="H1281" i="11"/>
  <c r="AD1281" i="11"/>
  <c r="S1281" i="11"/>
  <c r="E1281" i="11"/>
  <c r="AC1281" i="11"/>
  <c r="O1281" i="11"/>
  <c r="AB1281" i="11"/>
  <c r="N1281" i="11"/>
  <c r="AA1281" i="11"/>
  <c r="M1281" i="11"/>
  <c r="W1281" i="11"/>
  <c r="L1281" i="11"/>
  <c r="V1281" i="11"/>
  <c r="U1281" i="11"/>
  <c r="T1281" i="11"/>
  <c r="K1281" i="11"/>
  <c r="G1281" i="11"/>
  <c r="F1281" i="11"/>
  <c r="AI1281" i="11"/>
  <c r="AE1281" i="11"/>
  <c r="AE1184" i="11"/>
  <c r="W1184" i="11"/>
  <c r="O1184" i="11"/>
  <c r="G1184" i="11"/>
  <c r="AD1184" i="11"/>
  <c r="V1184" i="11"/>
  <c r="N1184" i="11"/>
  <c r="F1184" i="11"/>
  <c r="AC1184" i="11"/>
  <c r="U1184" i="11"/>
  <c r="M1184" i="11"/>
  <c r="E1184" i="11"/>
  <c r="AB1184" i="11"/>
  <c r="T1184" i="11"/>
  <c r="L1184" i="11"/>
  <c r="AI1184" i="11"/>
  <c r="AA1184" i="11"/>
  <c r="S1184" i="11"/>
  <c r="K1184" i="11"/>
  <c r="AF1184" i="11"/>
  <c r="I1184" i="11"/>
  <c r="Z1184" i="11"/>
  <c r="H1184" i="11"/>
  <c r="Y1184" i="11"/>
  <c r="X1184" i="11"/>
  <c r="R1184" i="11"/>
  <c r="Q1184" i="11"/>
  <c r="AH1184" i="11"/>
  <c r="P1184" i="11"/>
  <c r="AG1184" i="11"/>
  <c r="J1184" i="11"/>
  <c r="AC1213" i="11"/>
  <c r="U1213" i="11"/>
  <c r="M1213" i="11"/>
  <c r="E1213" i="11"/>
  <c r="AD1213" i="11"/>
  <c r="T1213" i="11"/>
  <c r="K1213" i="11"/>
  <c r="AB1213" i="11"/>
  <c r="S1213" i="11"/>
  <c r="J1213" i="11"/>
  <c r="AA1213" i="11"/>
  <c r="R1213" i="11"/>
  <c r="I1213" i="11"/>
  <c r="AI1213" i="11"/>
  <c r="Z1213" i="11"/>
  <c r="Q1213" i="11"/>
  <c r="H1213" i="11"/>
  <c r="AH1213" i="11"/>
  <c r="Y1213" i="11"/>
  <c r="P1213" i="11"/>
  <c r="G1213" i="11"/>
  <c r="V1213" i="11"/>
  <c r="O1213" i="11"/>
  <c r="N1213" i="11"/>
  <c r="AG1213" i="11"/>
  <c r="L1213" i="11"/>
  <c r="AF1213" i="11"/>
  <c r="F1213" i="11"/>
  <c r="AE1213" i="11"/>
  <c r="X1213" i="11"/>
  <c r="W1213" i="11"/>
  <c r="AG1147" i="11"/>
  <c r="Y1147" i="11"/>
  <c r="Q1147" i="11"/>
  <c r="I1147" i="11"/>
  <c r="AF1147" i="11"/>
  <c r="X1147" i="11"/>
  <c r="P1147" i="11"/>
  <c r="H1147" i="11"/>
  <c r="AE1147" i="11"/>
  <c r="W1147" i="11"/>
  <c r="O1147" i="11"/>
  <c r="G1147" i="11"/>
  <c r="AC1147" i="11"/>
  <c r="U1147" i="11"/>
  <c r="M1147" i="11"/>
  <c r="E1147" i="11"/>
  <c r="AA1147" i="11"/>
  <c r="K1147" i="11"/>
  <c r="Z1147" i="11"/>
  <c r="J1147" i="11"/>
  <c r="V1147" i="11"/>
  <c r="F1147" i="11"/>
  <c r="AI1147" i="11"/>
  <c r="S1147" i="11"/>
  <c r="AD1147" i="11"/>
  <c r="N1147" i="11"/>
  <c r="AH1147" i="11"/>
  <c r="AB1147" i="11"/>
  <c r="T1147" i="11"/>
  <c r="R1147" i="11"/>
  <c r="L1147" i="11"/>
  <c r="AE1130" i="11"/>
  <c r="W1130" i="11"/>
  <c r="O1130" i="11"/>
  <c r="G1130" i="11"/>
  <c r="AD1130" i="11"/>
  <c r="V1130" i="11"/>
  <c r="N1130" i="11"/>
  <c r="F1130" i="11"/>
  <c r="AC1130" i="11"/>
  <c r="U1130" i="11"/>
  <c r="M1130" i="11"/>
  <c r="E1130" i="11"/>
  <c r="AI1130" i="11"/>
  <c r="X1130" i="11"/>
  <c r="J1130" i="11"/>
  <c r="AH1130" i="11"/>
  <c r="T1130" i="11"/>
  <c r="I1130" i="11"/>
  <c r="AG1130" i="11"/>
  <c r="S1130" i="11"/>
  <c r="H1130" i="11"/>
  <c r="AF1130" i="11"/>
  <c r="R1130" i="11"/>
  <c r="AB1130" i="11"/>
  <c r="Q1130" i="11"/>
  <c r="AA1130" i="11"/>
  <c r="P1130" i="11"/>
  <c r="Z1130" i="11"/>
  <c r="L1130" i="11"/>
  <c r="Y1130" i="11"/>
  <c r="K1130" i="11"/>
  <c r="AC1052" i="11"/>
  <c r="U1052" i="11"/>
  <c r="M1052" i="11"/>
  <c r="E1052" i="11"/>
  <c r="AI1052" i="11"/>
  <c r="AA1052" i="11"/>
  <c r="S1052" i="11"/>
  <c r="K1052" i="11"/>
  <c r="AG1052" i="11"/>
  <c r="Y1052" i="11"/>
  <c r="Q1052" i="11"/>
  <c r="I1052" i="11"/>
  <c r="AF1052" i="11"/>
  <c r="X1052" i="11"/>
  <c r="P1052" i="11"/>
  <c r="H1052" i="11"/>
  <c r="AE1052" i="11"/>
  <c r="W1052" i="11"/>
  <c r="O1052" i="11"/>
  <c r="G1052" i="11"/>
  <c r="AD1052" i="11"/>
  <c r="J1052" i="11"/>
  <c r="AB1052" i="11"/>
  <c r="F1052" i="11"/>
  <c r="Z1052" i="11"/>
  <c r="V1052" i="11"/>
  <c r="T1052" i="11"/>
  <c r="R1052" i="11"/>
  <c r="N1052" i="11"/>
  <c r="AH1052" i="11"/>
  <c r="L1052" i="11"/>
  <c r="M1044" i="11"/>
  <c r="E1044" i="11"/>
  <c r="K1044" i="11"/>
  <c r="I1044" i="11"/>
  <c r="AF1044" i="11"/>
  <c r="H1044" i="11"/>
  <c r="O1044" i="11"/>
  <c r="G1044" i="11"/>
  <c r="AI1044" i="11" s="1"/>
  <c r="J1044" i="11"/>
  <c r="F1044" i="11"/>
  <c r="N1044" i="11"/>
  <c r="L1044" i="11"/>
  <c r="AB1044" i="11" s="1"/>
  <c r="AC1044" i="11" s="1"/>
  <c r="J975" i="11"/>
  <c r="I975" i="11"/>
  <c r="AF975" i="11"/>
  <c r="X975" i="11"/>
  <c r="H975" i="11"/>
  <c r="O975" i="11"/>
  <c r="G975" i="11"/>
  <c r="Y975" i="11" s="1"/>
  <c r="M975" i="11"/>
  <c r="L975" i="11"/>
  <c r="AB975" i="11" s="1"/>
  <c r="AC975" i="11" s="1"/>
  <c r="K975" i="11"/>
  <c r="F975" i="11"/>
  <c r="E975" i="11"/>
  <c r="AI975" i="11"/>
  <c r="N975" i="11"/>
  <c r="L885" i="11"/>
  <c r="AB885" i="11" s="1"/>
  <c r="AC885" i="11" s="1"/>
  <c r="K885" i="11"/>
  <c r="J885" i="11"/>
  <c r="Q885" i="11"/>
  <c r="I885" i="11"/>
  <c r="AF885" i="11"/>
  <c r="H885" i="11"/>
  <c r="O885" i="11"/>
  <c r="G885" i="11"/>
  <c r="AI885" i="11" s="1"/>
  <c r="N885" i="11"/>
  <c r="M885" i="11"/>
  <c r="F885" i="11"/>
  <c r="P885" i="11" s="1"/>
  <c r="E885" i="11"/>
  <c r="L779" i="11"/>
  <c r="AB779" i="11" s="1"/>
  <c r="AC779" i="11" s="1"/>
  <c r="K779" i="11"/>
  <c r="AF779" i="11"/>
  <c r="H779" i="11"/>
  <c r="F779" i="11"/>
  <c r="E779" i="11"/>
  <c r="O779" i="11"/>
  <c r="N779" i="11"/>
  <c r="M779" i="11"/>
  <c r="J779" i="11"/>
  <c r="I779" i="11"/>
  <c r="G779" i="11"/>
  <c r="Q779" i="11" s="1"/>
  <c r="AF773" i="11"/>
  <c r="H773" i="11"/>
  <c r="O773" i="11"/>
  <c r="G773" i="11"/>
  <c r="L773" i="11"/>
  <c r="AB773" i="11" s="1"/>
  <c r="AC773" i="11" s="1"/>
  <c r="M773" i="11"/>
  <c r="K773" i="11"/>
  <c r="J773" i="11"/>
  <c r="I773" i="11"/>
  <c r="F773" i="11"/>
  <c r="E773" i="11"/>
  <c r="N773" i="11"/>
  <c r="N762" i="11"/>
  <c r="F762" i="11"/>
  <c r="M762" i="11"/>
  <c r="P762" i="11"/>
  <c r="E762" i="11"/>
  <c r="AI762" i="11" s="1"/>
  <c r="O762" i="11"/>
  <c r="L762" i="11"/>
  <c r="AB762" i="11" s="1"/>
  <c r="AC762" i="11" s="1"/>
  <c r="K762" i="11"/>
  <c r="AF762" i="11"/>
  <c r="J762" i="11"/>
  <c r="I762" i="11"/>
  <c r="H762" i="11"/>
  <c r="Q762" i="11"/>
  <c r="G762" i="11"/>
  <c r="AG736" i="11"/>
  <c r="Y736" i="11"/>
  <c r="Q736" i="11"/>
  <c r="I736" i="11"/>
  <c r="AF736" i="11"/>
  <c r="X736" i="11"/>
  <c r="P736" i="11"/>
  <c r="H736" i="11"/>
  <c r="AE736" i="11"/>
  <c r="W736" i="11"/>
  <c r="O736" i="11"/>
  <c r="G736" i="11"/>
  <c r="AD736" i="11"/>
  <c r="V736" i="11"/>
  <c r="N736" i="11"/>
  <c r="F736" i="11"/>
  <c r="AC736" i="11"/>
  <c r="U736" i="11"/>
  <c r="M736" i="11"/>
  <c r="E736" i="11"/>
  <c r="AB736" i="11"/>
  <c r="T736" i="11"/>
  <c r="L736" i="11"/>
  <c r="AI736" i="11"/>
  <c r="AA736" i="11"/>
  <c r="S736" i="11"/>
  <c r="K736" i="11"/>
  <c r="AH736" i="11"/>
  <c r="Z736" i="11"/>
  <c r="R736" i="11"/>
  <c r="J736" i="11"/>
  <c r="AD657" i="11"/>
  <c r="V657" i="11"/>
  <c r="N657" i="11"/>
  <c r="F657" i="11"/>
  <c r="AC657" i="11"/>
  <c r="U657" i="11"/>
  <c r="M657" i="11"/>
  <c r="E657" i="11"/>
  <c r="AB657" i="11"/>
  <c r="T657" i="11"/>
  <c r="L657" i="11"/>
  <c r="AI657" i="11"/>
  <c r="AA657" i="11"/>
  <c r="S657" i="11"/>
  <c r="K657" i="11"/>
  <c r="AH657" i="11"/>
  <c r="Z657" i="11"/>
  <c r="R657" i="11"/>
  <c r="J657" i="11"/>
  <c r="AG657" i="11"/>
  <c r="Y657" i="11"/>
  <c r="Q657" i="11"/>
  <c r="I657" i="11"/>
  <c r="AF657" i="11"/>
  <c r="X657" i="11"/>
  <c r="P657" i="11"/>
  <c r="H657" i="11"/>
  <c r="W657" i="11"/>
  <c r="O657" i="11"/>
  <c r="G657" i="11"/>
  <c r="AE657" i="11"/>
  <c r="AH563" i="11"/>
  <c r="Z563" i="11"/>
  <c r="R563" i="11"/>
  <c r="J563" i="11"/>
  <c r="AG563" i="11"/>
  <c r="Y563" i="11"/>
  <c r="Q563" i="11"/>
  <c r="I563" i="11"/>
  <c r="AF563" i="11"/>
  <c r="X563" i="11"/>
  <c r="P563" i="11"/>
  <c r="H563" i="11"/>
  <c r="AC563" i="11"/>
  <c r="U563" i="11"/>
  <c r="M563" i="11"/>
  <c r="E563" i="11"/>
  <c r="AB563" i="11"/>
  <c r="T563" i="11"/>
  <c r="L563" i="11"/>
  <c r="AE563" i="11"/>
  <c r="K563" i="11"/>
  <c r="AD563" i="11"/>
  <c r="G563" i="11"/>
  <c r="AA563" i="11"/>
  <c r="F563" i="11"/>
  <c r="W563" i="11"/>
  <c r="V563" i="11"/>
  <c r="O563" i="11"/>
  <c r="N563" i="11"/>
  <c r="AI563" i="11"/>
  <c r="S563" i="11"/>
  <c r="AD609" i="11"/>
  <c r="V609" i="11"/>
  <c r="N609" i="11"/>
  <c r="F609" i="11"/>
  <c r="AC609" i="11"/>
  <c r="U609" i="11"/>
  <c r="M609" i="11"/>
  <c r="E609" i="11"/>
  <c r="AB609" i="11"/>
  <c r="T609" i="11"/>
  <c r="L609" i="11"/>
  <c r="AI609" i="11"/>
  <c r="AA609" i="11"/>
  <c r="S609" i="11"/>
  <c r="K609" i="11"/>
  <c r="AG609" i="11"/>
  <c r="Y609" i="11"/>
  <c r="Q609" i="11"/>
  <c r="I609" i="11"/>
  <c r="AF609" i="11"/>
  <c r="X609" i="11"/>
  <c r="P609" i="11"/>
  <c r="H609" i="11"/>
  <c r="AE609" i="11"/>
  <c r="Z609" i="11"/>
  <c r="W609" i="11"/>
  <c r="R609" i="11"/>
  <c r="O609" i="11"/>
  <c r="G609" i="11"/>
  <c r="AH609" i="11"/>
  <c r="J609" i="11"/>
  <c r="AD525" i="11"/>
  <c r="V525" i="11"/>
  <c r="N525" i="11"/>
  <c r="F525" i="11"/>
  <c r="AC525" i="11"/>
  <c r="U525" i="11"/>
  <c r="M525" i="11"/>
  <c r="E525" i="11"/>
  <c r="AB525" i="11"/>
  <c r="T525" i="11"/>
  <c r="L525" i="11"/>
  <c r="AH525" i="11"/>
  <c r="Z525" i="11"/>
  <c r="R525" i="11"/>
  <c r="J525" i="11"/>
  <c r="X525" i="11"/>
  <c r="H525" i="11"/>
  <c r="W525" i="11"/>
  <c r="G525" i="11"/>
  <c r="AI525" i="11"/>
  <c r="S525" i="11"/>
  <c r="AG525" i="11"/>
  <c r="Q525" i="11"/>
  <c r="AF525" i="11"/>
  <c r="P525" i="11"/>
  <c r="AA525" i="11"/>
  <c r="Y525" i="11"/>
  <c r="O525" i="11"/>
  <c r="K525" i="11"/>
  <c r="I525" i="11"/>
  <c r="AE525" i="11"/>
  <c r="L638" i="11"/>
  <c r="AB638" i="11" s="1"/>
  <c r="AC638" i="11" s="1"/>
  <c r="K638" i="11"/>
  <c r="J638" i="11"/>
  <c r="I638" i="11"/>
  <c r="AF638" i="11"/>
  <c r="H638" i="11"/>
  <c r="O638" i="11"/>
  <c r="G638" i="11"/>
  <c r="N638" i="11"/>
  <c r="F638" i="11"/>
  <c r="M638" i="11"/>
  <c r="E638" i="11"/>
  <c r="AE472" i="11"/>
  <c r="W472" i="11"/>
  <c r="O472" i="11"/>
  <c r="G472" i="11"/>
  <c r="AD472" i="11"/>
  <c r="V472" i="11"/>
  <c r="N472" i="11"/>
  <c r="F472" i="11"/>
  <c r="AB472" i="11"/>
  <c r="T472" i="11"/>
  <c r="L472" i="11"/>
  <c r="AI472" i="11"/>
  <c r="X472" i="11"/>
  <c r="J472" i="11"/>
  <c r="AH472" i="11"/>
  <c r="U472" i="11"/>
  <c r="I472" i="11"/>
  <c r="AG472" i="11"/>
  <c r="S472" i="11"/>
  <c r="H472" i="11"/>
  <c r="AF472" i="11"/>
  <c r="R472" i="11"/>
  <c r="E472" i="11"/>
  <c r="AC472" i="11"/>
  <c r="Q472" i="11"/>
  <c r="AA472" i="11"/>
  <c r="Z472" i="11"/>
  <c r="Y472" i="11"/>
  <c r="P472" i="11"/>
  <c r="M472" i="11"/>
  <c r="K472" i="11"/>
  <c r="I423" i="11"/>
  <c r="AF423" i="11"/>
  <c r="H423" i="11"/>
  <c r="AB423" i="11" s="1"/>
  <c r="AC423" i="11" s="1"/>
  <c r="N423" i="11"/>
  <c r="F423" i="11"/>
  <c r="Q423" i="11" s="1"/>
  <c r="S423" i="11" s="1"/>
  <c r="Y423" i="11" s="1"/>
  <c r="E423" i="11"/>
  <c r="O423" i="11"/>
  <c r="M423" i="11"/>
  <c r="L423" i="11"/>
  <c r="AI423" i="11"/>
  <c r="K423" i="11"/>
  <c r="J423" i="11"/>
  <c r="G423" i="11"/>
  <c r="P423" i="11" s="1"/>
  <c r="M355" i="11"/>
  <c r="E355" i="11"/>
  <c r="L355" i="11"/>
  <c r="AB355" i="11" s="1"/>
  <c r="AC355" i="11" s="1"/>
  <c r="R355" i="11"/>
  <c r="J355" i="11"/>
  <c r="I355" i="11"/>
  <c r="G355" i="11"/>
  <c r="AI355" i="11" s="1"/>
  <c r="F355" i="11"/>
  <c r="AF355" i="11"/>
  <c r="P355" i="11"/>
  <c r="O355" i="11"/>
  <c r="N355" i="11"/>
  <c r="K355" i="11"/>
  <c r="H355" i="11"/>
  <c r="O394" i="11"/>
  <c r="G394" i="11"/>
  <c r="N394" i="11"/>
  <c r="F394" i="11"/>
  <c r="P394" i="11" s="1"/>
  <c r="L394" i="11"/>
  <c r="AB394" i="11" s="1"/>
  <c r="AC394" i="11" s="1"/>
  <c r="AI394" i="11"/>
  <c r="K394" i="11"/>
  <c r="J394" i="11"/>
  <c r="I394" i="11"/>
  <c r="H394" i="11"/>
  <c r="E394" i="11"/>
  <c r="Q394" i="11"/>
  <c r="AF394" i="11"/>
  <c r="M394" i="11"/>
  <c r="S394" i="11" s="1"/>
  <c r="Y394" i="11" s="1"/>
  <c r="M403" i="11"/>
  <c r="E403" i="11"/>
  <c r="L403" i="11"/>
  <c r="AB403" i="11" s="1"/>
  <c r="AC403" i="11" s="1"/>
  <c r="K403" i="11"/>
  <c r="J403" i="11"/>
  <c r="I403" i="11"/>
  <c r="P403" i="11"/>
  <c r="O403" i="11"/>
  <c r="AF403" i="11"/>
  <c r="N403" i="11"/>
  <c r="H403" i="11"/>
  <c r="G403" i="11"/>
  <c r="F403" i="11"/>
  <c r="AC242" i="11"/>
  <c r="U242" i="11"/>
  <c r="M242" i="11"/>
  <c r="E242" i="11"/>
  <c r="AB242" i="11"/>
  <c r="T242" i="11"/>
  <c r="L242" i="11"/>
  <c r="AH242" i="11"/>
  <c r="Z242" i="11"/>
  <c r="R242" i="11"/>
  <c r="J242" i="11"/>
  <c r="AE242" i="11"/>
  <c r="Q242" i="11"/>
  <c r="F242" i="11"/>
  <c r="AD242" i="11"/>
  <c r="P242" i="11"/>
  <c r="AA242" i="11"/>
  <c r="O242" i="11"/>
  <c r="Y242" i="11"/>
  <c r="N242" i="11"/>
  <c r="X242" i="11"/>
  <c r="K242" i="11"/>
  <c r="AI242" i="11"/>
  <c r="W242" i="11"/>
  <c r="I242" i="11"/>
  <c r="AG242" i="11"/>
  <c r="AF242" i="11"/>
  <c r="V242" i="11"/>
  <c r="S242" i="11"/>
  <c r="H242" i="11"/>
  <c r="G242" i="11"/>
  <c r="O293" i="11"/>
  <c r="G293" i="11"/>
  <c r="N293" i="11"/>
  <c r="F293" i="11"/>
  <c r="L293" i="11"/>
  <c r="AB293" i="11" s="1"/>
  <c r="AC293" i="11" s="1"/>
  <c r="J293" i="11"/>
  <c r="H293" i="11"/>
  <c r="E293" i="11"/>
  <c r="Q293" i="11" s="1"/>
  <c r="AI293" i="11"/>
  <c r="AF293" i="11"/>
  <c r="M293" i="11"/>
  <c r="S293" i="11" s="1"/>
  <c r="Y293" i="11" s="1"/>
  <c r="K293" i="11"/>
  <c r="I293" i="11"/>
  <c r="AG312" i="11"/>
  <c r="Y312" i="11"/>
  <c r="Q312" i="11"/>
  <c r="I312" i="11"/>
  <c r="AF312" i="11"/>
  <c r="X312" i="11"/>
  <c r="P312" i="11"/>
  <c r="H312" i="11"/>
  <c r="AD312" i="11"/>
  <c r="V312" i="11"/>
  <c r="N312" i="11"/>
  <c r="F312" i="11"/>
  <c r="AB312" i="11"/>
  <c r="T312" i="11"/>
  <c r="L312" i="11"/>
  <c r="AA312" i="11"/>
  <c r="K312" i="11"/>
  <c r="Z312" i="11"/>
  <c r="J312" i="11"/>
  <c r="W312" i="11"/>
  <c r="G312" i="11"/>
  <c r="U312" i="11"/>
  <c r="E312" i="11"/>
  <c r="AI312" i="11"/>
  <c r="S312" i="11"/>
  <c r="AH312" i="11"/>
  <c r="R312" i="11"/>
  <c r="AE312" i="11"/>
  <c r="AC312" i="11"/>
  <c r="O312" i="11"/>
  <c r="M312" i="11"/>
  <c r="I280" i="11"/>
  <c r="AF280" i="11"/>
  <c r="H280" i="11"/>
  <c r="AB280" i="11" s="1"/>
  <c r="AC280" i="11" s="1"/>
  <c r="N280" i="11"/>
  <c r="F280" i="11"/>
  <c r="L280" i="11"/>
  <c r="K280" i="11"/>
  <c r="J280" i="11"/>
  <c r="G280" i="11"/>
  <c r="E280" i="11"/>
  <c r="AI280" i="11"/>
  <c r="O280" i="11"/>
  <c r="M280" i="11"/>
  <c r="AG248" i="11"/>
  <c r="Y248" i="11"/>
  <c r="Q248" i="11"/>
  <c r="I248" i="11"/>
  <c r="AF248" i="11"/>
  <c r="X248" i="11"/>
  <c r="P248" i="11"/>
  <c r="H248" i="11"/>
  <c r="AD248" i="11"/>
  <c r="V248" i="11"/>
  <c r="N248" i="11"/>
  <c r="F248" i="11"/>
  <c r="AB248" i="11"/>
  <c r="T248" i="11"/>
  <c r="L248" i="11"/>
  <c r="AA248" i="11"/>
  <c r="K248" i="11"/>
  <c r="Z248" i="11"/>
  <c r="J248" i="11"/>
  <c r="W248" i="11"/>
  <c r="G248" i="11"/>
  <c r="U248" i="11"/>
  <c r="E248" i="11"/>
  <c r="AI248" i="11"/>
  <c r="S248" i="11"/>
  <c r="AH248" i="11"/>
  <c r="R248" i="11"/>
  <c r="AE248" i="11"/>
  <c r="AC248" i="11"/>
  <c r="O248" i="11"/>
  <c r="M248" i="11"/>
  <c r="I337" i="11"/>
  <c r="AF337" i="11"/>
  <c r="H337" i="11"/>
  <c r="N337" i="11"/>
  <c r="F337" i="11"/>
  <c r="M337" i="11"/>
  <c r="AB337" i="11" s="1"/>
  <c r="AC337" i="11" s="1"/>
  <c r="E337" i="11"/>
  <c r="O337" i="11"/>
  <c r="L337" i="11"/>
  <c r="K337" i="11"/>
  <c r="J337" i="11"/>
  <c r="G337" i="11"/>
  <c r="Q337" i="11" s="1"/>
  <c r="Q142" i="11"/>
  <c r="I142" i="11"/>
  <c r="AF142" i="11"/>
  <c r="H142" i="11"/>
  <c r="N142" i="11"/>
  <c r="F142" i="11"/>
  <c r="M142" i="11"/>
  <c r="E142" i="11"/>
  <c r="L142" i="11"/>
  <c r="AB142" i="11" s="1"/>
  <c r="AC142" i="11" s="1"/>
  <c r="AI142" i="11"/>
  <c r="O142" i="11"/>
  <c r="K142" i="11"/>
  <c r="J142" i="11"/>
  <c r="G142" i="11"/>
  <c r="O203" i="11"/>
  <c r="G203" i="11"/>
  <c r="N203" i="11"/>
  <c r="F203" i="11"/>
  <c r="M203" i="11"/>
  <c r="E203" i="11"/>
  <c r="L203" i="11"/>
  <c r="AB203" i="11" s="1"/>
  <c r="AC203" i="11" s="1"/>
  <c r="K203" i="11"/>
  <c r="J203" i="11"/>
  <c r="H203" i="11"/>
  <c r="AF203" i="11"/>
  <c r="I203" i="11"/>
  <c r="N123" i="11"/>
  <c r="F123" i="11"/>
  <c r="Q123" i="11" s="1"/>
  <c r="S123" i="11" s="1"/>
  <c r="Y123" i="11" s="1"/>
  <c r="AB123" i="11"/>
  <c r="AC123" i="11" s="1"/>
  <c r="L123" i="11"/>
  <c r="E123" i="11"/>
  <c r="O123" i="11"/>
  <c r="M123" i="11"/>
  <c r="K123" i="11"/>
  <c r="AF123" i="11"/>
  <c r="J123" i="11"/>
  <c r="I123" i="11"/>
  <c r="H123" i="11"/>
  <c r="G123" i="11"/>
  <c r="O163" i="11"/>
  <c r="G163" i="11"/>
  <c r="N163" i="11"/>
  <c r="F163" i="11"/>
  <c r="L163" i="11"/>
  <c r="R163" i="11" s="1"/>
  <c r="AI163" i="11"/>
  <c r="S163" i="11"/>
  <c r="K163" i="11"/>
  <c r="J163" i="11"/>
  <c r="H163" i="11"/>
  <c r="Y163" i="11"/>
  <c r="E163" i="11"/>
  <c r="Q163" i="11"/>
  <c r="P163" i="11"/>
  <c r="M163" i="11"/>
  <c r="AF163" i="11"/>
  <c r="I163" i="11"/>
  <c r="O131" i="11"/>
  <c r="G131" i="11"/>
  <c r="N131" i="11"/>
  <c r="F131" i="11"/>
  <c r="L131" i="11"/>
  <c r="AB131" i="11" s="1"/>
  <c r="AC131" i="11" s="1"/>
  <c r="K131" i="11"/>
  <c r="J131" i="11"/>
  <c r="H131" i="11"/>
  <c r="E131" i="11"/>
  <c r="M131" i="11"/>
  <c r="AF131" i="11"/>
  <c r="I131" i="11"/>
  <c r="I194" i="11"/>
  <c r="AF194" i="11"/>
  <c r="H194" i="11"/>
  <c r="AB194" i="11" s="1"/>
  <c r="AC194" i="11" s="1"/>
  <c r="O194" i="11"/>
  <c r="G194" i="11"/>
  <c r="N194" i="11"/>
  <c r="F194" i="11"/>
  <c r="P194" i="11" s="1"/>
  <c r="R194" i="11" s="1"/>
  <c r="M194" i="11"/>
  <c r="E194" i="11"/>
  <c r="L194" i="11"/>
  <c r="K194" i="11"/>
  <c r="J194" i="11"/>
  <c r="AC172" i="11"/>
  <c r="M172" i="11"/>
  <c r="E172" i="11"/>
  <c r="AB172" i="11"/>
  <c r="L172" i="11"/>
  <c r="J172" i="11"/>
  <c r="I172" i="11"/>
  <c r="AF172" i="11"/>
  <c r="H172" i="11"/>
  <c r="N172" i="11"/>
  <c r="K172" i="11"/>
  <c r="G172" i="11"/>
  <c r="F172" i="11"/>
  <c r="O172" i="11"/>
  <c r="M140" i="11"/>
  <c r="E140" i="11"/>
  <c r="L140" i="11"/>
  <c r="AB140" i="11" s="1"/>
  <c r="AC140" i="11" s="1"/>
  <c r="J140" i="11"/>
  <c r="I140" i="11"/>
  <c r="AF140" i="11"/>
  <c r="P140" i="11"/>
  <c r="R140" i="11" s="1"/>
  <c r="H140" i="11"/>
  <c r="N140" i="11"/>
  <c r="K140" i="11"/>
  <c r="G140" i="11"/>
  <c r="Q140" i="11" s="1"/>
  <c r="F140" i="11"/>
  <c r="O140" i="11"/>
  <c r="AG232" i="11"/>
  <c r="Y232" i="11"/>
  <c r="Q232" i="11"/>
  <c r="I232" i="11"/>
  <c r="AF232" i="11"/>
  <c r="X232" i="11"/>
  <c r="P232" i="11"/>
  <c r="H232" i="11"/>
  <c r="AE232" i="11"/>
  <c r="U232" i="11"/>
  <c r="K232" i="11"/>
  <c r="AD232" i="11"/>
  <c r="T232" i="11"/>
  <c r="J232" i="11"/>
  <c r="AC232" i="11"/>
  <c r="S232" i="11"/>
  <c r="G232" i="11"/>
  <c r="AB232" i="11"/>
  <c r="R232" i="11"/>
  <c r="F232" i="11"/>
  <c r="AA232" i="11"/>
  <c r="O232" i="11"/>
  <c r="E232" i="11"/>
  <c r="Z232" i="11"/>
  <c r="N232" i="11"/>
  <c r="AH232" i="11"/>
  <c r="W232" i="11"/>
  <c r="V232" i="11"/>
  <c r="M232" i="11"/>
  <c r="L232" i="11"/>
  <c r="AI232" i="11"/>
  <c r="L116" i="11"/>
  <c r="R116" i="11" s="1"/>
  <c r="I116" i="11"/>
  <c r="AI116" i="11"/>
  <c r="Q116" i="11"/>
  <c r="H116" i="11"/>
  <c r="P116" i="11"/>
  <c r="G116" i="11"/>
  <c r="AD116" i="11" s="1"/>
  <c r="O116" i="11"/>
  <c r="F116" i="11"/>
  <c r="AF116" i="11"/>
  <c r="N116" i="11"/>
  <c r="E116" i="11"/>
  <c r="M116" i="11"/>
  <c r="AB116" i="11" s="1"/>
  <c r="AC116" i="11" s="1"/>
  <c r="K116" i="11"/>
  <c r="J116" i="11"/>
  <c r="L84" i="11"/>
  <c r="I84" i="11"/>
  <c r="H84" i="11"/>
  <c r="AB84" i="11" s="1"/>
  <c r="AC84" i="11" s="1"/>
  <c r="P84" i="11"/>
  <c r="R84" i="11" s="1"/>
  <c r="G84" i="11"/>
  <c r="AI84" i="11" s="1"/>
  <c r="O84" i="11"/>
  <c r="F84" i="11"/>
  <c r="Q84" i="11" s="1"/>
  <c r="AF84" i="11"/>
  <c r="N84" i="11"/>
  <c r="E84" i="11"/>
  <c r="M84" i="11"/>
  <c r="K84" i="11"/>
  <c r="J84" i="11"/>
  <c r="AE241" i="11"/>
  <c r="W241" i="11"/>
  <c r="O241" i="11"/>
  <c r="G241" i="11"/>
  <c r="AD241" i="11"/>
  <c r="V241" i="11"/>
  <c r="N241" i="11"/>
  <c r="F241" i="11"/>
  <c r="AB241" i="11"/>
  <c r="T241" i="11"/>
  <c r="L241" i="11"/>
  <c r="AA241" i="11"/>
  <c r="P241" i="11"/>
  <c r="Z241" i="11"/>
  <c r="M241" i="11"/>
  <c r="Y241" i="11"/>
  <c r="K241" i="11"/>
  <c r="AI241" i="11"/>
  <c r="X241" i="11"/>
  <c r="J241" i="11"/>
  <c r="AH241" i="11"/>
  <c r="U241" i="11"/>
  <c r="I241" i="11"/>
  <c r="AG241" i="11"/>
  <c r="S241" i="11"/>
  <c r="H241" i="11"/>
  <c r="AF241" i="11"/>
  <c r="AC241" i="11"/>
  <c r="R241" i="11"/>
  <c r="Q241" i="11"/>
  <c r="E241" i="11"/>
  <c r="J105" i="11"/>
  <c r="K105" i="11"/>
  <c r="I105" i="11"/>
  <c r="Q105" i="11"/>
  <c r="H105" i="11"/>
  <c r="AI105" i="11"/>
  <c r="P105" i="11"/>
  <c r="G105" i="11"/>
  <c r="S105" i="11" s="1"/>
  <c r="Y105" i="11" s="1"/>
  <c r="O105" i="11"/>
  <c r="F105" i="11"/>
  <c r="AF105" i="11"/>
  <c r="N105" i="11"/>
  <c r="E105" i="11"/>
  <c r="M105" i="11"/>
  <c r="L105" i="11"/>
  <c r="AB105" i="11" s="1"/>
  <c r="AC105" i="11" s="1"/>
  <c r="AF86" i="11"/>
  <c r="H86" i="11"/>
  <c r="M86" i="11"/>
  <c r="L86" i="11"/>
  <c r="AB86" i="11" s="1"/>
  <c r="AC86" i="11" s="1"/>
  <c r="K86" i="11"/>
  <c r="J86" i="11"/>
  <c r="I86" i="11"/>
  <c r="G86" i="11"/>
  <c r="O86" i="11"/>
  <c r="F86" i="11"/>
  <c r="E86" i="11"/>
  <c r="N86" i="11"/>
  <c r="N39" i="11"/>
  <c r="F39" i="11"/>
  <c r="P39" i="11" s="1"/>
  <c r="M39" i="11"/>
  <c r="E39" i="11"/>
  <c r="AB39" i="11"/>
  <c r="AC39" i="11" s="1"/>
  <c r="L39" i="11"/>
  <c r="AI39" i="11"/>
  <c r="K39" i="11"/>
  <c r="J39" i="11"/>
  <c r="Q39" i="11"/>
  <c r="S39" i="11" s="1"/>
  <c r="Y39" i="11" s="1"/>
  <c r="I39" i="11"/>
  <c r="AF39" i="11"/>
  <c r="H39" i="11"/>
  <c r="O39" i="11"/>
  <c r="G39" i="11"/>
  <c r="N7" i="11"/>
  <c r="F7" i="11"/>
  <c r="M7" i="11"/>
  <c r="AB7" i="11" s="1"/>
  <c r="AC7" i="11" s="1"/>
  <c r="E7" i="11"/>
  <c r="L7" i="11"/>
  <c r="K7" i="11"/>
  <c r="J7" i="11"/>
  <c r="I7" i="11"/>
  <c r="AF7" i="11"/>
  <c r="P7" i="11"/>
  <c r="R7" i="11" s="1"/>
  <c r="H7" i="11"/>
  <c r="O7" i="11"/>
  <c r="G7" i="11"/>
  <c r="AI7" i="11" s="1"/>
  <c r="R93" i="11"/>
  <c r="J93" i="11"/>
  <c r="K93" i="11"/>
  <c r="AB93" i="11"/>
  <c r="AC93" i="11" s="1"/>
  <c r="I93" i="11"/>
  <c r="Q93" i="11"/>
  <c r="H93" i="11"/>
  <c r="AI93" i="11"/>
  <c r="P93" i="11"/>
  <c r="AD93" i="11" s="1"/>
  <c r="G93" i="11"/>
  <c r="S93" i="11" s="1"/>
  <c r="Y93" i="11" s="1"/>
  <c r="X93" i="11"/>
  <c r="Z93" i="11" s="1"/>
  <c r="AA93" i="11" s="1"/>
  <c r="O93" i="11"/>
  <c r="F93" i="11"/>
  <c r="AF93" i="11"/>
  <c r="N93" i="11"/>
  <c r="E93" i="11"/>
  <c r="M93" i="11"/>
  <c r="L93" i="11"/>
  <c r="L48" i="11"/>
  <c r="AI48" i="11"/>
  <c r="K48" i="11"/>
  <c r="J48" i="11"/>
  <c r="I48" i="11"/>
  <c r="AF48" i="11"/>
  <c r="H48" i="11"/>
  <c r="O48" i="11"/>
  <c r="G48" i="11"/>
  <c r="N48" i="11"/>
  <c r="F48" i="11"/>
  <c r="M48" i="11"/>
  <c r="AB48" i="11" s="1"/>
  <c r="AC48" i="11" s="1"/>
  <c r="E48" i="11"/>
  <c r="L16" i="11"/>
  <c r="AI16" i="11"/>
  <c r="K16" i="11"/>
  <c r="J16" i="11"/>
  <c r="I16" i="11"/>
  <c r="AF16" i="11"/>
  <c r="H16" i="11"/>
  <c r="O16" i="11"/>
  <c r="G16" i="11"/>
  <c r="N16" i="11"/>
  <c r="F16" i="11"/>
  <c r="M16" i="11"/>
  <c r="E16" i="11"/>
  <c r="Q16" i="11" s="1"/>
  <c r="AE1055" i="11"/>
  <c r="W1055" i="11"/>
  <c r="O1055" i="11"/>
  <c r="G1055" i="11"/>
  <c r="AC1055" i="11"/>
  <c r="U1055" i="11"/>
  <c r="M1055" i="11"/>
  <c r="E1055" i="11"/>
  <c r="AI1055" i="11"/>
  <c r="AA1055" i="11"/>
  <c r="S1055" i="11"/>
  <c r="K1055" i="11"/>
  <c r="AH1055" i="11"/>
  <c r="Z1055" i="11"/>
  <c r="R1055" i="11"/>
  <c r="J1055" i="11"/>
  <c r="AG1055" i="11"/>
  <c r="Y1055" i="11"/>
  <c r="Q1055" i="11"/>
  <c r="I1055" i="11"/>
  <c r="X1055" i="11"/>
  <c r="V1055" i="11"/>
  <c r="T1055" i="11"/>
  <c r="P1055" i="11"/>
  <c r="N1055" i="11"/>
  <c r="AF1055" i="11"/>
  <c r="L1055" i="11"/>
  <c r="AD1055" i="11"/>
  <c r="H1055" i="11"/>
  <c r="AB1055" i="11"/>
  <c r="F1055" i="11"/>
  <c r="AF106" i="11"/>
  <c r="H106" i="11"/>
  <c r="AB106" i="11" s="1"/>
  <c r="AC106" i="11" s="1"/>
  <c r="M106" i="11"/>
  <c r="L106" i="11"/>
  <c r="K106" i="11"/>
  <c r="J106" i="11"/>
  <c r="I106" i="11"/>
  <c r="G106" i="11"/>
  <c r="O106" i="11"/>
  <c r="F106" i="11"/>
  <c r="N106" i="11"/>
  <c r="E106" i="11"/>
  <c r="AI1194" i="11"/>
  <c r="AA1194" i="11"/>
  <c r="S1194" i="11"/>
  <c r="K1194" i="11"/>
  <c r="AH1194" i="11"/>
  <c r="Z1194" i="11"/>
  <c r="R1194" i="11"/>
  <c r="J1194" i="11"/>
  <c r="AG1194" i="11"/>
  <c r="Y1194" i="11"/>
  <c r="Q1194" i="11"/>
  <c r="I1194" i="11"/>
  <c r="AF1194" i="11"/>
  <c r="X1194" i="11"/>
  <c r="P1194" i="11"/>
  <c r="H1194" i="11"/>
  <c r="AE1194" i="11"/>
  <c r="W1194" i="11"/>
  <c r="O1194" i="11"/>
  <c r="G1194" i="11"/>
  <c r="N1194" i="11"/>
  <c r="M1194" i="11"/>
  <c r="AD1194" i="11"/>
  <c r="L1194" i="11"/>
  <c r="AC1194" i="11"/>
  <c r="F1194" i="11"/>
  <c r="AB1194" i="11"/>
  <c r="E1194" i="11"/>
  <c r="V1194" i="11"/>
  <c r="U1194" i="11"/>
  <c r="T1194" i="11"/>
  <c r="AH1124" i="11"/>
  <c r="Z1124" i="11"/>
  <c r="R1124" i="11"/>
  <c r="J1124" i="11"/>
  <c r="AG1124" i="11"/>
  <c r="Y1124" i="11"/>
  <c r="Q1124" i="11"/>
  <c r="I1124" i="11"/>
  <c r="AI1124" i="11"/>
  <c r="W1124" i="11"/>
  <c r="M1124" i="11"/>
  <c r="AF1124" i="11"/>
  <c r="V1124" i="11"/>
  <c r="L1124" i="11"/>
  <c r="AE1124" i="11"/>
  <c r="U1124" i="11"/>
  <c r="K1124" i="11"/>
  <c r="AD1124" i="11"/>
  <c r="T1124" i="11"/>
  <c r="H1124" i="11"/>
  <c r="AC1124" i="11"/>
  <c r="S1124" i="11"/>
  <c r="G1124" i="11"/>
  <c r="AB1124" i="11"/>
  <c r="P1124" i="11"/>
  <c r="F1124" i="11"/>
  <c r="AA1124" i="11"/>
  <c r="O1124" i="11"/>
  <c r="E1124" i="11"/>
  <c r="X1124" i="11"/>
  <c r="N1124" i="11"/>
  <c r="M208" i="11"/>
  <c r="E208" i="11"/>
  <c r="L208" i="11"/>
  <c r="K208" i="11"/>
  <c r="J208" i="11"/>
  <c r="Q208" i="11"/>
  <c r="S208" i="11" s="1"/>
  <c r="Y208" i="11" s="1"/>
  <c r="I208" i="11"/>
  <c r="AF208" i="11"/>
  <c r="H208" i="11"/>
  <c r="O208" i="11"/>
  <c r="N208" i="11"/>
  <c r="G208" i="11"/>
  <c r="F208" i="11"/>
  <c r="P208" i="11" s="1"/>
  <c r="N87" i="11"/>
  <c r="F87" i="11"/>
  <c r="G87" i="11"/>
  <c r="Q87" i="11" s="1"/>
  <c r="O87" i="11"/>
  <c r="E87" i="11"/>
  <c r="AF87" i="11"/>
  <c r="M87" i="11"/>
  <c r="L87" i="11"/>
  <c r="AB87" i="11" s="1"/>
  <c r="AC87" i="11" s="1"/>
  <c r="K87" i="11"/>
  <c r="J87" i="11"/>
  <c r="I87" i="11"/>
  <c r="H87" i="11"/>
  <c r="J45" i="11"/>
  <c r="I45" i="11"/>
  <c r="AF45" i="11"/>
  <c r="H45" i="11"/>
  <c r="AB45" i="11" s="1"/>
  <c r="AC45" i="11" s="1"/>
  <c r="O45" i="11"/>
  <c r="G45" i="11"/>
  <c r="N45" i="11"/>
  <c r="F45" i="11"/>
  <c r="P45" i="11" s="1"/>
  <c r="M45" i="11"/>
  <c r="E45" i="11"/>
  <c r="L45" i="11"/>
  <c r="AI45" i="11"/>
  <c r="K45" i="11"/>
  <c r="J13" i="11"/>
  <c r="I13" i="11"/>
  <c r="AF13" i="11"/>
  <c r="H13" i="11"/>
  <c r="AB13" i="11" s="1"/>
  <c r="AC13" i="11" s="1"/>
  <c r="O13" i="11"/>
  <c r="G13" i="11"/>
  <c r="Q13" i="11" s="1"/>
  <c r="S13" i="11" s="1"/>
  <c r="Y13" i="11" s="1"/>
  <c r="N13" i="11"/>
  <c r="F13" i="11"/>
  <c r="M13" i="11"/>
  <c r="E13" i="11"/>
  <c r="L13" i="11"/>
  <c r="AI13" i="11"/>
  <c r="K13" i="11"/>
  <c r="AI1346" i="11"/>
  <c r="AA1346" i="11"/>
  <c r="S1346" i="11"/>
  <c r="K1346" i="11"/>
  <c r="AH1346" i="11"/>
  <c r="Z1346" i="11"/>
  <c r="R1346" i="11"/>
  <c r="J1346" i="11"/>
  <c r="AE1346" i="11"/>
  <c r="W1346" i="11"/>
  <c r="O1346" i="11"/>
  <c r="G1346" i="11"/>
  <c r="AD1346" i="11"/>
  <c r="V1346" i="11"/>
  <c r="N1346" i="11"/>
  <c r="F1346" i="11"/>
  <c r="AC1346" i="11"/>
  <c r="U1346" i="11"/>
  <c r="M1346" i="11"/>
  <c r="E1346" i="11"/>
  <c r="Y1346" i="11"/>
  <c r="X1346" i="11"/>
  <c r="T1346" i="11"/>
  <c r="Q1346" i="11"/>
  <c r="P1346" i="11"/>
  <c r="AG1346" i="11"/>
  <c r="AF1346" i="11"/>
  <c r="AB1346" i="11"/>
  <c r="L1346" i="11"/>
  <c r="I1346" i="11"/>
  <c r="H1346" i="11"/>
  <c r="AB1368" i="11"/>
  <c r="T1368" i="11"/>
  <c r="L1368" i="11"/>
  <c r="AI1368" i="11"/>
  <c r="AA1368" i="11"/>
  <c r="S1368" i="11"/>
  <c r="K1368" i="11"/>
  <c r="AH1368" i="11"/>
  <c r="Z1368" i="11"/>
  <c r="R1368" i="11"/>
  <c r="J1368" i="11"/>
  <c r="AG1368" i="11"/>
  <c r="Y1368" i="11"/>
  <c r="Q1368" i="11"/>
  <c r="I1368" i="11"/>
  <c r="AF1368" i="11"/>
  <c r="X1368" i="11"/>
  <c r="P1368" i="11"/>
  <c r="H1368" i="11"/>
  <c r="AE1368" i="11"/>
  <c r="M1368" i="11"/>
  <c r="AD1368" i="11"/>
  <c r="G1368" i="11"/>
  <c r="AC1368" i="11"/>
  <c r="F1368" i="11"/>
  <c r="W1368" i="11"/>
  <c r="E1368" i="11"/>
  <c r="V1368" i="11"/>
  <c r="U1368" i="11"/>
  <c r="O1368" i="11"/>
  <c r="N1368" i="11"/>
  <c r="AI1300" i="11"/>
  <c r="AA1300" i="11"/>
  <c r="S1300" i="11"/>
  <c r="K1300" i="11"/>
  <c r="AH1300" i="11"/>
  <c r="Z1300" i="11"/>
  <c r="R1300" i="11"/>
  <c r="J1300" i="11"/>
  <c r="AG1300" i="11"/>
  <c r="W1300" i="11"/>
  <c r="M1300" i="11"/>
  <c r="AF1300" i="11"/>
  <c r="V1300" i="11"/>
  <c r="L1300" i="11"/>
  <c r="AE1300" i="11"/>
  <c r="U1300" i="11"/>
  <c r="I1300" i="11"/>
  <c r="AC1300" i="11"/>
  <c r="Q1300" i="11"/>
  <c r="G1300" i="11"/>
  <c r="AB1300" i="11"/>
  <c r="P1300" i="11"/>
  <c r="F1300" i="11"/>
  <c r="Y1300" i="11"/>
  <c r="X1300" i="11"/>
  <c r="T1300" i="11"/>
  <c r="O1300" i="11"/>
  <c r="N1300" i="11"/>
  <c r="AD1300" i="11"/>
  <c r="H1300" i="11"/>
  <c r="E1300" i="11"/>
  <c r="AF1004" i="11"/>
  <c r="H1004" i="11"/>
  <c r="O1004" i="11"/>
  <c r="G1004" i="11"/>
  <c r="N1004" i="11"/>
  <c r="F1004" i="11"/>
  <c r="M1004" i="11"/>
  <c r="E1004" i="11"/>
  <c r="AB1004" i="11"/>
  <c r="AC1004" i="11" s="1"/>
  <c r="L1004" i="11"/>
  <c r="K1004" i="11"/>
  <c r="J1004" i="11"/>
  <c r="I1004" i="11"/>
  <c r="J866" i="11"/>
  <c r="Q866" i="11"/>
  <c r="S866" i="11" s="1"/>
  <c r="I866" i="11"/>
  <c r="AF866" i="11"/>
  <c r="H866" i="11"/>
  <c r="N866" i="11"/>
  <c r="F866" i="11"/>
  <c r="M866" i="11"/>
  <c r="E866" i="11"/>
  <c r="O866" i="11"/>
  <c r="AI866" i="11"/>
  <c r="L866" i="11"/>
  <c r="AB866" i="11" s="1"/>
  <c r="AC866" i="11" s="1"/>
  <c r="K866" i="11"/>
  <c r="G866" i="11"/>
  <c r="AI707" i="11"/>
  <c r="AA707" i="11"/>
  <c r="S707" i="11"/>
  <c r="K707" i="11"/>
  <c r="AH707" i="11"/>
  <c r="Z707" i="11"/>
  <c r="R707" i="11"/>
  <c r="J707" i="11"/>
  <c r="AF707" i="11"/>
  <c r="X707" i="11"/>
  <c r="P707" i="11"/>
  <c r="H707" i="11"/>
  <c r="AE707" i="11"/>
  <c r="W707" i="11"/>
  <c r="O707" i="11"/>
  <c r="G707" i="11"/>
  <c r="AD707" i="11"/>
  <c r="V707" i="11"/>
  <c r="N707" i="11"/>
  <c r="F707" i="11"/>
  <c r="M707" i="11"/>
  <c r="AG707" i="11"/>
  <c r="L707" i="11"/>
  <c r="AC707" i="11"/>
  <c r="I707" i="11"/>
  <c r="AB707" i="11"/>
  <c r="E707" i="11"/>
  <c r="Y707" i="11"/>
  <c r="U707" i="11"/>
  <c r="T707" i="11"/>
  <c r="Q707" i="11"/>
  <c r="AF78" i="11"/>
  <c r="H78" i="11"/>
  <c r="AB78" i="11" s="1"/>
  <c r="AC78" i="11" s="1"/>
  <c r="M78" i="11"/>
  <c r="L78" i="11"/>
  <c r="K78" i="11"/>
  <c r="J78" i="11"/>
  <c r="I78" i="11"/>
  <c r="AI78" i="11"/>
  <c r="G78" i="11"/>
  <c r="Q78" i="11" s="1"/>
  <c r="O78" i="11"/>
  <c r="F78" i="11"/>
  <c r="P78" i="11" s="1"/>
  <c r="N78" i="11"/>
  <c r="E78" i="11"/>
  <c r="N75" i="11"/>
  <c r="F75" i="11"/>
  <c r="Q75" i="11" s="1"/>
  <c r="G75" i="11"/>
  <c r="P75" i="11" s="1"/>
  <c r="O75" i="11"/>
  <c r="E75" i="11"/>
  <c r="AF75" i="11"/>
  <c r="M75" i="11"/>
  <c r="L75" i="11"/>
  <c r="AB75" i="11" s="1"/>
  <c r="AC75" i="11" s="1"/>
  <c r="K75" i="11"/>
  <c r="J75" i="11"/>
  <c r="I75" i="11"/>
  <c r="AI75" i="11"/>
  <c r="H75" i="11"/>
  <c r="AF38" i="11"/>
  <c r="P38" i="11"/>
  <c r="H38" i="11"/>
  <c r="O38" i="11"/>
  <c r="G38" i="11"/>
  <c r="AI38" i="11" s="1"/>
  <c r="N38" i="11"/>
  <c r="F38" i="11"/>
  <c r="M38" i="11"/>
  <c r="E38" i="11"/>
  <c r="L38" i="11"/>
  <c r="R38" i="11" s="1"/>
  <c r="K38" i="11"/>
  <c r="J38" i="11"/>
  <c r="Q38" i="11"/>
  <c r="S38" i="11" s="1"/>
  <c r="Y38" i="11" s="1"/>
  <c r="I38" i="11"/>
  <c r="AF6" i="11"/>
  <c r="H6" i="11"/>
  <c r="O6" i="11"/>
  <c r="G6" i="11"/>
  <c r="N6" i="11"/>
  <c r="F6" i="11"/>
  <c r="M6" i="11"/>
  <c r="E6" i="11"/>
  <c r="L6" i="11"/>
  <c r="AB6" i="11" s="1"/>
  <c r="AC6" i="11" s="1"/>
  <c r="AI6" i="11"/>
  <c r="K6" i="11"/>
  <c r="J6" i="11"/>
  <c r="I6" i="11"/>
  <c r="AG1179" i="11"/>
  <c r="Y1179" i="11"/>
  <c r="Q1179" i="11"/>
  <c r="I1179" i="11"/>
  <c r="AF1179" i="11"/>
  <c r="X1179" i="11"/>
  <c r="P1179" i="11"/>
  <c r="H1179" i="11"/>
  <c r="AE1179" i="11"/>
  <c r="W1179" i="11"/>
  <c r="O1179" i="11"/>
  <c r="G1179" i="11"/>
  <c r="AD1179" i="11"/>
  <c r="V1179" i="11"/>
  <c r="N1179" i="11"/>
  <c r="F1179" i="11"/>
  <c r="AC1179" i="11"/>
  <c r="U1179" i="11"/>
  <c r="M1179" i="11"/>
  <c r="E1179" i="11"/>
  <c r="Z1179" i="11"/>
  <c r="T1179" i="11"/>
  <c r="S1179" i="11"/>
  <c r="R1179" i="11"/>
  <c r="AI1179" i="11"/>
  <c r="L1179" i="11"/>
  <c r="AH1179" i="11"/>
  <c r="K1179" i="11"/>
  <c r="AB1179" i="11"/>
  <c r="J1179" i="11"/>
  <c r="AA1179" i="11"/>
  <c r="AI1186" i="11"/>
  <c r="AA1186" i="11"/>
  <c r="S1186" i="11"/>
  <c r="K1186" i="11"/>
  <c r="AH1186" i="11"/>
  <c r="Z1186" i="11"/>
  <c r="R1186" i="11"/>
  <c r="J1186" i="11"/>
  <c r="AG1186" i="11"/>
  <c r="Y1186" i="11"/>
  <c r="Q1186" i="11"/>
  <c r="I1186" i="11"/>
  <c r="AF1186" i="11"/>
  <c r="X1186" i="11"/>
  <c r="P1186" i="11"/>
  <c r="H1186" i="11"/>
  <c r="AE1186" i="11"/>
  <c r="W1186" i="11"/>
  <c r="O1186" i="11"/>
  <c r="G1186" i="11"/>
  <c r="N1186" i="11"/>
  <c r="M1186" i="11"/>
  <c r="AD1186" i="11"/>
  <c r="L1186" i="11"/>
  <c r="AC1186" i="11"/>
  <c r="F1186" i="11"/>
  <c r="AB1186" i="11"/>
  <c r="E1186" i="11"/>
  <c r="V1186" i="11"/>
  <c r="U1186" i="11"/>
  <c r="T1186" i="11"/>
  <c r="M1028" i="11"/>
  <c r="E1028" i="11"/>
  <c r="AI1028" i="11"/>
  <c r="K1028" i="11"/>
  <c r="Y1028" i="11"/>
  <c r="I1028" i="11"/>
  <c r="N1028" i="11"/>
  <c r="X1028" i="11"/>
  <c r="L1028" i="11"/>
  <c r="J1028" i="11"/>
  <c r="AB1028" i="11" s="1"/>
  <c r="AC1028" i="11" s="1"/>
  <c r="H1028" i="11"/>
  <c r="AF1028" i="11"/>
  <c r="G1028" i="11"/>
  <c r="F1028" i="11"/>
  <c r="Q1028" i="11" s="1"/>
  <c r="S1028" i="11" s="1"/>
  <c r="O1028" i="11"/>
  <c r="O1039" i="11"/>
  <c r="G1039" i="11"/>
  <c r="Q1039" i="11" s="1"/>
  <c r="M1039" i="11"/>
  <c r="E1039" i="11"/>
  <c r="K1039" i="11"/>
  <c r="J1039" i="11"/>
  <c r="F1039" i="11"/>
  <c r="P1039" i="11" s="1"/>
  <c r="AF1039" i="11"/>
  <c r="N1039" i="11"/>
  <c r="L1039" i="11"/>
  <c r="AB1039" i="11" s="1"/>
  <c r="AC1039" i="11" s="1"/>
  <c r="I1039" i="11"/>
  <c r="H1039" i="11"/>
  <c r="J882" i="11"/>
  <c r="I882" i="11"/>
  <c r="AF882" i="11"/>
  <c r="H882" i="11"/>
  <c r="AB882" i="11" s="1"/>
  <c r="AC882" i="11" s="1"/>
  <c r="O882" i="11"/>
  <c r="G882" i="11"/>
  <c r="N882" i="11"/>
  <c r="F882" i="11"/>
  <c r="P882" i="11" s="1"/>
  <c r="M882" i="11"/>
  <c r="E882" i="11"/>
  <c r="L882" i="11"/>
  <c r="K882" i="11"/>
  <c r="AI882" i="11"/>
  <c r="AI755" i="11"/>
  <c r="AA755" i="11"/>
  <c r="S755" i="11"/>
  <c r="K755" i="11"/>
  <c r="AH755" i="11"/>
  <c r="Z755" i="11"/>
  <c r="R755" i="11"/>
  <c r="J755" i="11"/>
  <c r="AG755" i="11"/>
  <c r="Y755" i="11"/>
  <c r="Q755" i="11"/>
  <c r="I755" i="11"/>
  <c r="AF755" i="11"/>
  <c r="X755" i="11"/>
  <c r="P755" i="11"/>
  <c r="H755" i="11"/>
  <c r="AE755" i="11"/>
  <c r="W755" i="11"/>
  <c r="O755" i="11"/>
  <c r="G755" i="11"/>
  <c r="AD755" i="11"/>
  <c r="V755" i="11"/>
  <c r="N755" i="11"/>
  <c r="F755" i="11"/>
  <c r="AC755" i="11"/>
  <c r="U755" i="11"/>
  <c r="M755" i="11"/>
  <c r="E755" i="11"/>
  <c r="AB755" i="11"/>
  <c r="T755" i="11"/>
  <c r="L755" i="11"/>
  <c r="AF604" i="11"/>
  <c r="X604" i="11"/>
  <c r="P604" i="11"/>
  <c r="H604" i="11"/>
  <c r="AE604" i="11"/>
  <c r="W604" i="11"/>
  <c r="O604" i="11"/>
  <c r="G604" i="11"/>
  <c r="AD604" i="11"/>
  <c r="V604" i="11"/>
  <c r="N604" i="11"/>
  <c r="F604" i="11"/>
  <c r="AC604" i="11"/>
  <c r="U604" i="11"/>
  <c r="M604" i="11"/>
  <c r="E604" i="11"/>
  <c r="AI604" i="11"/>
  <c r="AA604" i="11"/>
  <c r="S604" i="11"/>
  <c r="K604" i="11"/>
  <c r="AH604" i="11"/>
  <c r="Z604" i="11"/>
  <c r="R604" i="11"/>
  <c r="J604" i="11"/>
  <c r="AG604" i="11"/>
  <c r="AB604" i="11"/>
  <c r="Y604" i="11"/>
  <c r="T604" i="11"/>
  <c r="L604" i="11"/>
  <c r="I604" i="11"/>
  <c r="Q604" i="11"/>
  <c r="AI458" i="11"/>
  <c r="AA458" i="11"/>
  <c r="S458" i="11"/>
  <c r="K458" i="11"/>
  <c r="AH458" i="11"/>
  <c r="Z458" i="11"/>
  <c r="R458" i="11"/>
  <c r="J458" i="11"/>
  <c r="AF458" i="11"/>
  <c r="X458" i="11"/>
  <c r="P458" i="11"/>
  <c r="H458" i="11"/>
  <c r="AB458" i="11"/>
  <c r="N458" i="11"/>
  <c r="Y458" i="11"/>
  <c r="M458" i="11"/>
  <c r="W458" i="11"/>
  <c r="L458" i="11"/>
  <c r="V458" i="11"/>
  <c r="I458" i="11"/>
  <c r="AG458" i="11"/>
  <c r="U458" i="11"/>
  <c r="G458" i="11"/>
  <c r="Q458" i="11"/>
  <c r="O458" i="11"/>
  <c r="F458" i="11"/>
  <c r="E458" i="11"/>
  <c r="AE458" i="11"/>
  <c r="AD458" i="11"/>
  <c r="AC458" i="11"/>
  <c r="T458" i="11"/>
  <c r="AI303" i="11"/>
  <c r="AA303" i="11"/>
  <c r="S303" i="11"/>
  <c r="K303" i="11"/>
  <c r="AH303" i="11"/>
  <c r="Z303" i="11"/>
  <c r="R303" i="11"/>
  <c r="J303" i="11"/>
  <c r="AF303" i="11"/>
  <c r="X303" i="11"/>
  <c r="P303" i="11"/>
  <c r="H303" i="11"/>
  <c r="AD303" i="11"/>
  <c r="V303" i="11"/>
  <c r="N303" i="11"/>
  <c r="F303" i="11"/>
  <c r="AC303" i="11"/>
  <c r="M303" i="11"/>
  <c r="AB303" i="11"/>
  <c r="L303" i="11"/>
  <c r="Y303" i="11"/>
  <c r="I303" i="11"/>
  <c r="W303" i="11"/>
  <c r="G303" i="11"/>
  <c r="U303" i="11"/>
  <c r="E303" i="11"/>
  <c r="T303" i="11"/>
  <c r="AG303" i="11"/>
  <c r="AE303" i="11"/>
  <c r="Q303" i="11"/>
  <c r="O303" i="11"/>
  <c r="AI157" i="11"/>
  <c r="K157" i="11"/>
  <c r="J157" i="11"/>
  <c r="AF157" i="11"/>
  <c r="H157" i="11"/>
  <c r="O157" i="11"/>
  <c r="G157" i="11"/>
  <c r="N157" i="11"/>
  <c r="F157" i="11"/>
  <c r="M157" i="11"/>
  <c r="L157" i="11"/>
  <c r="AB157" i="11" s="1"/>
  <c r="AC157" i="11" s="1"/>
  <c r="I157" i="11"/>
  <c r="E157" i="11"/>
  <c r="AE1306" i="11"/>
  <c r="W1306" i="11"/>
  <c r="O1306" i="11"/>
  <c r="G1306" i="11"/>
  <c r="AD1306" i="11"/>
  <c r="V1306" i="11"/>
  <c r="N1306" i="11"/>
  <c r="F1306" i="11"/>
  <c r="AC1306" i="11"/>
  <c r="S1306" i="11"/>
  <c r="I1306" i="11"/>
  <c r="AB1306" i="11"/>
  <c r="R1306" i="11"/>
  <c r="H1306" i="11"/>
  <c r="AA1306" i="11"/>
  <c r="Q1306" i="11"/>
  <c r="E1306" i="11"/>
  <c r="AI1306" i="11"/>
  <c r="Y1306" i="11"/>
  <c r="M1306" i="11"/>
  <c r="AH1306" i="11"/>
  <c r="X1306" i="11"/>
  <c r="L1306" i="11"/>
  <c r="AG1306" i="11"/>
  <c r="U1306" i="11"/>
  <c r="K1306" i="11"/>
  <c r="AF1306" i="11"/>
  <c r="Z1306" i="11"/>
  <c r="T1306" i="11"/>
  <c r="P1306" i="11"/>
  <c r="J1306" i="11"/>
  <c r="AI1316" i="11"/>
  <c r="AA1316" i="11"/>
  <c r="S1316" i="11"/>
  <c r="K1316" i="11"/>
  <c r="AH1316" i="11"/>
  <c r="Z1316" i="11"/>
  <c r="R1316" i="11"/>
  <c r="J1316" i="11"/>
  <c r="AG1316" i="11"/>
  <c r="Y1316" i="11"/>
  <c r="Q1316" i="11"/>
  <c r="I1316" i="11"/>
  <c r="AE1316" i="11"/>
  <c r="W1316" i="11"/>
  <c r="O1316" i="11"/>
  <c r="G1316" i="11"/>
  <c r="X1316" i="11"/>
  <c r="H1316" i="11"/>
  <c r="V1316" i="11"/>
  <c r="F1316" i="11"/>
  <c r="U1316" i="11"/>
  <c r="E1316" i="11"/>
  <c r="T1316" i="11"/>
  <c r="AF1316" i="11"/>
  <c r="P1316" i="11"/>
  <c r="AD1316" i="11"/>
  <c r="N1316" i="11"/>
  <c r="AC1316" i="11"/>
  <c r="M1316" i="11"/>
  <c r="AB1316" i="11"/>
  <c r="L1316" i="11"/>
  <c r="D770" i="11"/>
  <c r="AF576" i="11"/>
  <c r="X576" i="11"/>
  <c r="P576" i="11"/>
  <c r="H576" i="11"/>
  <c r="AE576" i="11"/>
  <c r="W576" i="11"/>
  <c r="O576" i="11"/>
  <c r="G576" i="11"/>
  <c r="AD576" i="11"/>
  <c r="V576" i="11"/>
  <c r="N576" i="11"/>
  <c r="F576" i="11"/>
  <c r="AI576" i="11"/>
  <c r="AA576" i="11"/>
  <c r="S576" i="11"/>
  <c r="K576" i="11"/>
  <c r="AH576" i="11"/>
  <c r="Z576" i="11"/>
  <c r="R576" i="11"/>
  <c r="J576" i="11"/>
  <c r="M576" i="11"/>
  <c r="AG576" i="11"/>
  <c r="L576" i="11"/>
  <c r="AC576" i="11"/>
  <c r="I576" i="11"/>
  <c r="AB576" i="11"/>
  <c r="E576" i="11"/>
  <c r="Y576" i="11"/>
  <c r="U576" i="11"/>
  <c r="T576" i="11"/>
  <c r="Q576" i="11"/>
  <c r="AI430" i="11"/>
  <c r="K430" i="11"/>
  <c r="J430" i="11"/>
  <c r="AF430" i="11"/>
  <c r="H430" i="11"/>
  <c r="AB430" i="11" s="1"/>
  <c r="AC430" i="11" s="1"/>
  <c r="N430" i="11"/>
  <c r="M430" i="11"/>
  <c r="L430" i="11"/>
  <c r="I430" i="11"/>
  <c r="G430" i="11"/>
  <c r="O430" i="11"/>
  <c r="F430" i="11"/>
  <c r="P430" i="11" s="1"/>
  <c r="E430" i="11"/>
  <c r="X31" i="9"/>
  <c r="K909" i="11"/>
  <c r="I909" i="11"/>
  <c r="O909" i="11"/>
  <c r="G909" i="11"/>
  <c r="N909" i="11"/>
  <c r="F909" i="11"/>
  <c r="J909" i="11"/>
  <c r="H909" i="11"/>
  <c r="AB909" i="11" s="1"/>
  <c r="AC909" i="11" s="1"/>
  <c r="E909" i="11"/>
  <c r="AF909" i="11"/>
  <c r="M909" i="11"/>
  <c r="L909" i="11"/>
  <c r="K941" i="11"/>
  <c r="J941" i="11"/>
  <c r="I941" i="11"/>
  <c r="AF941" i="11"/>
  <c r="H941" i="11"/>
  <c r="O941" i="11"/>
  <c r="G941" i="11"/>
  <c r="N941" i="11"/>
  <c r="F941" i="11"/>
  <c r="M941" i="11"/>
  <c r="L941" i="11"/>
  <c r="E941" i="11"/>
  <c r="AB941" i="11"/>
  <c r="AC941" i="11" s="1"/>
  <c r="AI201" i="11"/>
  <c r="K201" i="11"/>
  <c r="J201" i="11"/>
  <c r="Q201" i="11"/>
  <c r="S201" i="11" s="1"/>
  <c r="Y201" i="11" s="1"/>
  <c r="I201" i="11"/>
  <c r="AF201" i="11"/>
  <c r="P201" i="11"/>
  <c r="H201" i="11"/>
  <c r="O201" i="11"/>
  <c r="G201" i="11"/>
  <c r="N201" i="11"/>
  <c r="F201" i="11"/>
  <c r="M201" i="11"/>
  <c r="L201" i="11"/>
  <c r="R201" i="11" s="1"/>
  <c r="E201" i="11"/>
  <c r="AB201" i="11"/>
  <c r="AC201" i="11" s="1"/>
  <c r="F12" i="5"/>
  <c r="AI344" i="11"/>
  <c r="K344" i="11"/>
  <c r="J344" i="11"/>
  <c r="AF344" i="11"/>
  <c r="P344" i="11"/>
  <c r="R344" i="11" s="1"/>
  <c r="H344" i="11"/>
  <c r="O344" i="11"/>
  <c r="G344" i="11"/>
  <c r="Q344" i="11"/>
  <c r="N344" i="11"/>
  <c r="M344" i="11"/>
  <c r="AB344" i="11" s="1"/>
  <c r="AC344" i="11" s="1"/>
  <c r="L344" i="11"/>
  <c r="I344" i="11"/>
  <c r="F344" i="11"/>
  <c r="E344" i="11"/>
  <c r="K133" i="11"/>
  <c r="J133" i="11"/>
  <c r="AF133" i="11"/>
  <c r="H133" i="11"/>
  <c r="AB133" i="11" s="1"/>
  <c r="AC133" i="11" s="1"/>
  <c r="O133" i="11"/>
  <c r="G133" i="11"/>
  <c r="AI133" i="11" s="1"/>
  <c r="N133" i="11"/>
  <c r="F133" i="11"/>
  <c r="P133" i="11" s="1"/>
  <c r="R133" i="11" s="1"/>
  <c r="M133" i="11"/>
  <c r="L133" i="11"/>
  <c r="I133" i="11"/>
  <c r="E133" i="11"/>
  <c r="D475" i="11"/>
  <c r="K267" i="11"/>
  <c r="R267" i="11"/>
  <c r="J267" i="11"/>
  <c r="AF267" i="11"/>
  <c r="P267" i="11"/>
  <c r="H267" i="11"/>
  <c r="N267" i="11"/>
  <c r="F267" i="11"/>
  <c r="M267" i="11"/>
  <c r="L267" i="11"/>
  <c r="AB267" i="11" s="1"/>
  <c r="AC267" i="11" s="1"/>
  <c r="I267" i="11"/>
  <c r="G267" i="11"/>
  <c r="AI267" i="11" s="1"/>
  <c r="E267" i="11"/>
  <c r="Q267" i="11"/>
  <c r="S267" i="11" s="1"/>
  <c r="O267" i="11"/>
  <c r="A68" i="3"/>
  <c r="A60" i="3"/>
  <c r="A52" i="3"/>
  <c r="A44" i="3"/>
  <c r="A36" i="3"/>
  <c r="A67" i="3"/>
  <c r="A59" i="3"/>
  <c r="A51" i="3"/>
  <c r="A43" i="3"/>
  <c r="A35" i="3"/>
  <c r="A70" i="3"/>
  <c r="A64" i="3"/>
  <c r="A58" i="3"/>
  <c r="A38" i="3"/>
  <c r="A71" i="3"/>
  <c r="A65" i="3"/>
  <c r="A45" i="3"/>
  <c r="A39" i="3"/>
  <c r="A72" i="3"/>
  <c r="A66" i="3"/>
  <c r="A46" i="3"/>
  <c r="A40" i="3"/>
  <c r="A34" i="3"/>
  <c r="A69" i="3"/>
  <c r="A63" i="3"/>
  <c r="A57" i="3"/>
  <c r="A73" i="3"/>
  <c r="A53" i="3"/>
  <c r="A47" i="3"/>
  <c r="A41" i="3"/>
  <c r="A55" i="3"/>
  <c r="A62" i="3"/>
  <c r="A56" i="3"/>
  <c r="A50" i="3"/>
  <c r="A54" i="3"/>
  <c r="A48" i="3"/>
  <c r="A42" i="3"/>
  <c r="A61" i="3"/>
  <c r="A49" i="3"/>
  <c r="A37" i="3"/>
  <c r="AG341" i="11" l="1"/>
  <c r="X341" i="11"/>
  <c r="AE911" i="11"/>
  <c r="W911" i="11"/>
  <c r="U911" i="11"/>
  <c r="V911" i="11"/>
  <c r="AG878" i="11"/>
  <c r="T878" i="11"/>
  <c r="X118" i="11"/>
  <c r="AG783" i="11"/>
  <c r="Y867" i="11"/>
  <c r="AD84" i="11"/>
  <c r="X629" i="11"/>
  <c r="Z629" i="11" s="1"/>
  <c r="AA629" i="11" s="1"/>
  <c r="Z995" i="11"/>
  <c r="AA995" i="11" s="1"/>
  <c r="X363" i="11"/>
  <c r="U981" i="11"/>
  <c r="V981" i="11"/>
  <c r="W981" i="11"/>
  <c r="AH981" i="11" s="1"/>
  <c r="R791" i="11"/>
  <c r="Z791" i="11"/>
  <c r="AA791" i="11" s="1"/>
  <c r="Y791" i="11"/>
  <c r="T791" i="11"/>
  <c r="AE892" i="11"/>
  <c r="V892" i="11"/>
  <c r="U892" i="11"/>
  <c r="W892" i="11"/>
  <c r="T267" i="11"/>
  <c r="R45" i="11"/>
  <c r="AG93" i="11"/>
  <c r="AD75" i="11"/>
  <c r="S84" i="11"/>
  <c r="Y84" i="11" s="1"/>
  <c r="X163" i="11"/>
  <c r="Z163" i="11" s="1"/>
  <c r="AA163" i="11" s="1"/>
  <c r="T163" i="11"/>
  <c r="AG163" i="11"/>
  <c r="AD394" i="11"/>
  <c r="Z975" i="11"/>
  <c r="AA975" i="11" s="1"/>
  <c r="T381" i="11"/>
  <c r="X284" i="11"/>
  <c r="AD920" i="11"/>
  <c r="S24" i="11"/>
  <c r="Y24" i="11" s="1"/>
  <c r="AG634" i="11"/>
  <c r="T634" i="11"/>
  <c r="X634" i="11"/>
  <c r="Z634" i="11" s="1"/>
  <c r="AA634" i="11" s="1"/>
  <c r="R284" i="11"/>
  <c r="X38" i="11"/>
  <c r="AG38" i="11"/>
  <c r="S16" i="11"/>
  <c r="Y16" i="11" s="1"/>
  <c r="AG51" i="11"/>
  <c r="X51" i="11"/>
  <c r="Z51" i="11" s="1"/>
  <c r="AA51" i="11" s="1"/>
  <c r="T51" i="11"/>
  <c r="AG99" i="11"/>
  <c r="X99" i="11"/>
  <c r="AG84" i="11"/>
  <c r="X84" i="11"/>
  <c r="Z84" i="11" s="1"/>
  <c r="AA84" i="11" s="1"/>
  <c r="R208" i="11"/>
  <c r="AG208" i="11" s="1"/>
  <c r="T93" i="11"/>
  <c r="R423" i="11"/>
  <c r="AD423" i="11"/>
  <c r="AG267" i="11"/>
  <c r="X116" i="11"/>
  <c r="Z878" i="11"/>
  <c r="AA878" i="11" s="1"/>
  <c r="AD11" i="11"/>
  <c r="T341" i="11"/>
  <c r="AD381" i="11"/>
  <c r="R876" i="11"/>
  <c r="Z889" i="11"/>
  <c r="AA889" i="11" s="1"/>
  <c r="S920" i="11"/>
  <c r="T920" i="11" s="1"/>
  <c r="AG981" i="11"/>
  <c r="AD420" i="11"/>
  <c r="R420" i="11"/>
  <c r="Y768" i="11"/>
  <c r="X768" i="11"/>
  <c r="Z768" i="11" s="1"/>
  <c r="AA768" i="11" s="1"/>
  <c r="R762" i="11"/>
  <c r="AG762" i="11" s="1"/>
  <c r="AD762" i="11"/>
  <c r="Y762" i="11"/>
  <c r="S762" i="11"/>
  <c r="R885" i="11"/>
  <c r="X885" i="11"/>
  <c r="Z885" i="11" s="1"/>
  <c r="AA885" i="11" s="1"/>
  <c r="T885" i="11"/>
  <c r="S885" i="11"/>
  <c r="Y885" i="11"/>
  <c r="AD885" i="11"/>
  <c r="R39" i="11"/>
  <c r="AD39" i="11"/>
  <c r="X129" i="11"/>
  <c r="X94" i="11"/>
  <c r="X102" i="11"/>
  <c r="AG102" i="11"/>
  <c r="X198" i="11"/>
  <c r="Z198" i="11" s="1"/>
  <c r="AA198" i="11" s="1"/>
  <c r="AG198" i="11"/>
  <c r="T198" i="11"/>
  <c r="AD783" i="11"/>
  <c r="AG920" i="11"/>
  <c r="X340" i="11"/>
  <c r="X353" i="11"/>
  <c r="X344" i="11"/>
  <c r="T201" i="11"/>
  <c r="AG201" i="11"/>
  <c r="X201" i="11"/>
  <c r="Z201" i="11" s="1"/>
  <c r="AA201" i="11" s="1"/>
  <c r="AD38" i="11"/>
  <c r="T38" i="11"/>
  <c r="Z38" i="11"/>
  <c r="AA38" i="11" s="1"/>
  <c r="X762" i="11"/>
  <c r="Z762" i="11" s="1"/>
  <c r="AA762" i="11" s="1"/>
  <c r="R17" i="11"/>
  <c r="AD207" i="11"/>
  <c r="AG381" i="11"/>
  <c r="X381" i="11"/>
  <c r="AG892" i="11"/>
  <c r="X336" i="11"/>
  <c r="S288" i="11"/>
  <c r="Y288" i="11" s="1"/>
  <c r="Y766" i="11"/>
  <c r="B59" i="3"/>
  <c r="D59" i="3"/>
  <c r="C59" i="3"/>
  <c r="E59" i="3"/>
  <c r="X866" i="11"/>
  <c r="F142" i="4"/>
  <c r="I142" i="4"/>
  <c r="D142" i="4"/>
  <c r="C142" i="4"/>
  <c r="J142" i="4"/>
  <c r="H142" i="4"/>
  <c r="G142" i="4"/>
  <c r="B142" i="4"/>
  <c r="E142" i="4"/>
  <c r="J84" i="4"/>
  <c r="B84" i="4"/>
  <c r="D84" i="4"/>
  <c r="H84" i="4"/>
  <c r="G84" i="4"/>
  <c r="F84" i="4"/>
  <c r="E84" i="4"/>
  <c r="C84" i="4"/>
  <c r="I84" i="4"/>
  <c r="D307" i="4"/>
  <c r="E307" i="4"/>
  <c r="I307" i="4"/>
  <c r="H307" i="4"/>
  <c r="G307" i="4"/>
  <c r="F307" i="4"/>
  <c r="C307" i="4"/>
  <c r="B307" i="4"/>
  <c r="J307" i="4"/>
  <c r="D223" i="4"/>
  <c r="C223" i="4"/>
  <c r="H223" i="4"/>
  <c r="G223" i="4"/>
  <c r="F223" i="4"/>
  <c r="E223" i="4"/>
  <c r="B223" i="4"/>
  <c r="I223" i="4"/>
  <c r="J223" i="4"/>
  <c r="F118" i="4"/>
  <c r="B118" i="4"/>
  <c r="G118" i="4"/>
  <c r="E118" i="4"/>
  <c r="C118" i="4"/>
  <c r="I118" i="4"/>
  <c r="H118" i="4"/>
  <c r="J118" i="4"/>
  <c r="D118" i="4"/>
  <c r="J216" i="4"/>
  <c r="B216" i="4"/>
  <c r="I216" i="4"/>
  <c r="E216" i="4"/>
  <c r="D216" i="4"/>
  <c r="C216" i="4"/>
  <c r="G216" i="4"/>
  <c r="H216" i="4"/>
  <c r="F216" i="4"/>
  <c r="H177" i="4"/>
  <c r="F177" i="4"/>
  <c r="B177" i="4"/>
  <c r="J177" i="4"/>
  <c r="I177" i="4"/>
  <c r="G177" i="4"/>
  <c r="E177" i="4"/>
  <c r="D177" i="4"/>
  <c r="C177" i="4"/>
  <c r="F230" i="4"/>
  <c r="G230" i="4"/>
  <c r="B230" i="4"/>
  <c r="I230" i="4"/>
  <c r="J230" i="4"/>
  <c r="H230" i="4"/>
  <c r="E230" i="4"/>
  <c r="D230" i="4"/>
  <c r="C230" i="4"/>
  <c r="D315" i="4"/>
  <c r="G315" i="4"/>
  <c r="B315" i="4"/>
  <c r="J315" i="4"/>
  <c r="I315" i="4"/>
  <c r="E315" i="4"/>
  <c r="H315" i="4"/>
  <c r="F315" i="4"/>
  <c r="C315" i="4"/>
  <c r="D199" i="4"/>
  <c r="F199" i="4"/>
  <c r="J199" i="4"/>
  <c r="I199" i="4"/>
  <c r="H199" i="4"/>
  <c r="G199" i="4"/>
  <c r="E199" i="4"/>
  <c r="C199" i="4"/>
  <c r="B199" i="4"/>
  <c r="D327" i="4"/>
  <c r="F327" i="4"/>
  <c r="J327" i="4"/>
  <c r="I327" i="4"/>
  <c r="H327" i="4"/>
  <c r="G327" i="4"/>
  <c r="E327" i="4"/>
  <c r="C327" i="4"/>
  <c r="B327" i="4"/>
  <c r="D215" i="4"/>
  <c r="J215" i="4"/>
  <c r="F215" i="4"/>
  <c r="E215" i="4"/>
  <c r="C215" i="4"/>
  <c r="I215" i="4"/>
  <c r="H215" i="4"/>
  <c r="G215" i="4"/>
  <c r="B215" i="4"/>
  <c r="D343" i="4"/>
  <c r="J343" i="4"/>
  <c r="F343" i="4"/>
  <c r="E343" i="4"/>
  <c r="C343" i="4"/>
  <c r="I343" i="4"/>
  <c r="H343" i="4"/>
  <c r="G343" i="4"/>
  <c r="B343" i="4"/>
  <c r="AI408" i="11"/>
  <c r="Q854" i="11"/>
  <c r="Q1013" i="11"/>
  <c r="AF660" i="11"/>
  <c r="X660" i="11"/>
  <c r="P660" i="11"/>
  <c r="H660" i="11"/>
  <c r="AE660" i="11"/>
  <c r="W660" i="11"/>
  <c r="O660" i="11"/>
  <c r="G660" i="11"/>
  <c r="AD660" i="11"/>
  <c r="V660" i="11"/>
  <c r="N660" i="11"/>
  <c r="F660" i="11"/>
  <c r="AC660" i="11"/>
  <c r="U660" i="11"/>
  <c r="M660" i="11"/>
  <c r="E660" i="11"/>
  <c r="AB660" i="11"/>
  <c r="T660" i="11"/>
  <c r="L660" i="11"/>
  <c r="AI660" i="11"/>
  <c r="AA660" i="11"/>
  <c r="S660" i="11"/>
  <c r="K660" i="11"/>
  <c r="AH660" i="11"/>
  <c r="Z660" i="11"/>
  <c r="R660" i="11"/>
  <c r="J660" i="11"/>
  <c r="I660" i="11"/>
  <c r="AG660" i="11"/>
  <c r="Y660" i="11"/>
  <c r="Q660" i="11"/>
  <c r="P109" i="11"/>
  <c r="AI402" i="11"/>
  <c r="P633" i="11"/>
  <c r="R633" i="11" s="1"/>
  <c r="AD924" i="11"/>
  <c r="S924" i="11"/>
  <c r="R924" i="11"/>
  <c r="AG924" i="11" s="1"/>
  <c r="Q1022" i="11"/>
  <c r="S1022" i="11" s="1"/>
  <c r="AI647" i="11"/>
  <c r="Q647" i="11"/>
  <c r="S647" i="11" s="1"/>
  <c r="Y647" i="11" s="1"/>
  <c r="Q287" i="11"/>
  <c r="S287" i="11" s="1"/>
  <c r="Y287" i="11" s="1"/>
  <c r="AI364" i="11"/>
  <c r="P364" i="11"/>
  <c r="Q996" i="11"/>
  <c r="N800" i="11"/>
  <c r="F800" i="11"/>
  <c r="M800" i="11"/>
  <c r="E800" i="11"/>
  <c r="L800" i="11"/>
  <c r="AB800" i="11" s="1"/>
  <c r="AC800" i="11" s="1"/>
  <c r="K800" i="11"/>
  <c r="I800" i="11"/>
  <c r="H800" i="11"/>
  <c r="AF800" i="11"/>
  <c r="J800" i="11"/>
  <c r="G800" i="11"/>
  <c r="Q800" i="11" s="1"/>
  <c r="P800" i="11"/>
  <c r="O800" i="11"/>
  <c r="P28" i="11"/>
  <c r="R28" i="11" s="1"/>
  <c r="AG28" i="11" s="1"/>
  <c r="AD51" i="11"/>
  <c r="AH1235" i="11"/>
  <c r="Z1235" i="11"/>
  <c r="R1235" i="11"/>
  <c r="J1235" i="11"/>
  <c r="AF1235" i="11"/>
  <c r="W1235" i="11"/>
  <c r="N1235" i="11"/>
  <c r="E1235" i="11"/>
  <c r="AE1235" i="11"/>
  <c r="V1235" i="11"/>
  <c r="M1235" i="11"/>
  <c r="AD1235" i="11"/>
  <c r="U1235" i="11"/>
  <c r="L1235" i="11"/>
  <c r="AB1235" i="11"/>
  <c r="S1235" i="11"/>
  <c r="I1235" i="11"/>
  <c r="AA1235" i="11"/>
  <c r="Q1235" i="11"/>
  <c r="H1235" i="11"/>
  <c r="O1235" i="11"/>
  <c r="AI1235" i="11"/>
  <c r="K1235" i="11"/>
  <c r="AG1235" i="11"/>
  <c r="G1235" i="11"/>
  <c r="AC1235" i="11"/>
  <c r="F1235" i="11"/>
  <c r="Y1235" i="11"/>
  <c r="X1235" i="11"/>
  <c r="T1235" i="11"/>
  <c r="P1235" i="11"/>
  <c r="P221" i="11"/>
  <c r="R221" i="11" s="1"/>
  <c r="AI154" i="11"/>
  <c r="X926" i="11"/>
  <c r="AI926" i="11"/>
  <c r="R926" i="11" s="1"/>
  <c r="P926" i="11"/>
  <c r="AD926" i="11" s="1"/>
  <c r="Y926" i="11"/>
  <c r="P283" i="11"/>
  <c r="R283" i="11" s="1"/>
  <c r="Q283" i="11"/>
  <c r="S283" i="11" s="1"/>
  <c r="Y283" i="11" s="1"/>
  <c r="X360" i="11"/>
  <c r="Q360" i="11"/>
  <c r="S360" i="11"/>
  <c r="P360" i="11"/>
  <c r="AD360" i="11"/>
  <c r="R360" i="11"/>
  <c r="AI360" i="11"/>
  <c r="S219" i="11"/>
  <c r="Y219" i="11" s="1"/>
  <c r="AI82" i="11"/>
  <c r="AD82" i="11" s="1"/>
  <c r="Q82" i="11"/>
  <c r="T992" i="11"/>
  <c r="P176" i="11"/>
  <c r="R176" i="11" s="1"/>
  <c r="AI176" i="11"/>
  <c r="AD176" i="11"/>
  <c r="S176" i="11"/>
  <c r="Y176" i="11" s="1"/>
  <c r="Q176" i="11"/>
  <c r="Y837" i="11"/>
  <c r="Q899" i="11"/>
  <c r="X899" i="11"/>
  <c r="P899" i="11"/>
  <c r="R899" i="11" s="1"/>
  <c r="Z343" i="11"/>
  <c r="AA343" i="11" s="1"/>
  <c r="AD343" i="11"/>
  <c r="V978" i="11"/>
  <c r="U978" i="11"/>
  <c r="R621" i="11"/>
  <c r="AD621" i="11"/>
  <c r="Y965" i="11"/>
  <c r="R891" i="11"/>
  <c r="AD891" i="11"/>
  <c r="X12" i="11"/>
  <c r="X35" i="11"/>
  <c r="AG276" i="11"/>
  <c r="X276" i="11"/>
  <c r="R872" i="11"/>
  <c r="AD872" i="11"/>
  <c r="AL71" i="3"/>
  <c r="AD71" i="3"/>
  <c r="V71" i="3"/>
  <c r="N71" i="3"/>
  <c r="F71" i="3"/>
  <c r="AC71" i="3"/>
  <c r="U71" i="3"/>
  <c r="E71" i="3"/>
  <c r="AK71" i="3"/>
  <c r="M71" i="3"/>
  <c r="AH71" i="3"/>
  <c r="X71" i="3"/>
  <c r="L71" i="3"/>
  <c r="B71" i="3"/>
  <c r="AG71" i="3"/>
  <c r="W71" i="3"/>
  <c r="K71" i="3"/>
  <c r="AF71" i="3"/>
  <c r="T71" i="3"/>
  <c r="J71" i="3"/>
  <c r="P71" i="3"/>
  <c r="AI71" i="3"/>
  <c r="Y71" i="3"/>
  <c r="O71" i="3"/>
  <c r="C71" i="3"/>
  <c r="AO71" i="3"/>
  <c r="AE71" i="3"/>
  <c r="S71" i="3"/>
  <c r="I71" i="3"/>
  <c r="AM71" i="3"/>
  <c r="Q71" i="3"/>
  <c r="G71" i="3"/>
  <c r="AJ71" i="3"/>
  <c r="Z71" i="3"/>
  <c r="D71" i="3"/>
  <c r="AN71" i="3"/>
  <c r="AB71" i="3"/>
  <c r="R71" i="3"/>
  <c r="H71" i="3"/>
  <c r="AA71" i="3"/>
  <c r="X829" i="11"/>
  <c r="Z829" i="11" s="1"/>
  <c r="AA829" i="11" s="1"/>
  <c r="F110" i="4"/>
  <c r="I110" i="4"/>
  <c r="D110" i="4"/>
  <c r="C110" i="4"/>
  <c r="J110" i="4"/>
  <c r="H110" i="4"/>
  <c r="G110" i="4"/>
  <c r="E110" i="4"/>
  <c r="B110" i="4"/>
  <c r="D171" i="4"/>
  <c r="B171" i="4"/>
  <c r="G171" i="4"/>
  <c r="F171" i="4"/>
  <c r="J171" i="4"/>
  <c r="I171" i="4"/>
  <c r="C171" i="4"/>
  <c r="H171" i="4"/>
  <c r="E171" i="4"/>
  <c r="D107" i="4"/>
  <c r="B107" i="4"/>
  <c r="G107" i="4"/>
  <c r="F107" i="4"/>
  <c r="J107" i="4"/>
  <c r="I107" i="4"/>
  <c r="H107" i="4"/>
  <c r="E107" i="4"/>
  <c r="C107" i="4"/>
  <c r="D211" i="4"/>
  <c r="E211" i="4"/>
  <c r="I211" i="4"/>
  <c r="H211" i="4"/>
  <c r="G211" i="4"/>
  <c r="J211" i="4"/>
  <c r="B211" i="4"/>
  <c r="F211" i="4"/>
  <c r="C211" i="4"/>
  <c r="D351" i="4"/>
  <c r="C351" i="4"/>
  <c r="H351" i="4"/>
  <c r="G351" i="4"/>
  <c r="F351" i="4"/>
  <c r="E351" i="4"/>
  <c r="B351" i="4"/>
  <c r="I351" i="4"/>
  <c r="J351" i="4"/>
  <c r="D267" i="4"/>
  <c r="B267" i="4"/>
  <c r="G267" i="4"/>
  <c r="F267" i="4"/>
  <c r="E267" i="4"/>
  <c r="C267" i="4"/>
  <c r="I267" i="4"/>
  <c r="H267" i="4"/>
  <c r="J267" i="4"/>
  <c r="J344" i="4"/>
  <c r="B344" i="4"/>
  <c r="I344" i="4"/>
  <c r="E344" i="4"/>
  <c r="D344" i="4"/>
  <c r="C344" i="4"/>
  <c r="F344" i="4"/>
  <c r="G344" i="4"/>
  <c r="H344" i="4"/>
  <c r="D239" i="4"/>
  <c r="H239" i="4"/>
  <c r="C239" i="4"/>
  <c r="B239" i="4"/>
  <c r="J239" i="4"/>
  <c r="I239" i="4"/>
  <c r="G239" i="4"/>
  <c r="F239" i="4"/>
  <c r="E239" i="4"/>
  <c r="H145" i="4"/>
  <c r="F145" i="4"/>
  <c r="B145" i="4"/>
  <c r="J145" i="4"/>
  <c r="I145" i="4"/>
  <c r="G145" i="4"/>
  <c r="E145" i="4"/>
  <c r="D145" i="4"/>
  <c r="C145" i="4"/>
  <c r="E78" i="4"/>
  <c r="I78" i="4"/>
  <c r="H78" i="4"/>
  <c r="J78" i="4"/>
  <c r="G78" i="4"/>
  <c r="D78" i="4"/>
  <c r="C78" i="4"/>
  <c r="F78" i="4"/>
  <c r="B78" i="4"/>
  <c r="D263" i="4"/>
  <c r="F263" i="4"/>
  <c r="J263" i="4"/>
  <c r="I263" i="4"/>
  <c r="H263" i="4"/>
  <c r="G263" i="4"/>
  <c r="E263" i="4"/>
  <c r="C263" i="4"/>
  <c r="B263" i="4"/>
  <c r="D87" i="4"/>
  <c r="J87" i="4"/>
  <c r="F87" i="4"/>
  <c r="E87" i="4"/>
  <c r="G87" i="4"/>
  <c r="C87" i="4"/>
  <c r="B87" i="4"/>
  <c r="I87" i="4"/>
  <c r="H87" i="4"/>
  <c r="D279" i="4"/>
  <c r="J279" i="4"/>
  <c r="F279" i="4"/>
  <c r="E279" i="4"/>
  <c r="C279" i="4"/>
  <c r="I279" i="4"/>
  <c r="H279" i="4"/>
  <c r="G279" i="4"/>
  <c r="B279" i="4"/>
  <c r="E61" i="3"/>
  <c r="D61" i="3"/>
  <c r="C61" i="3"/>
  <c r="B61" i="3"/>
  <c r="D41" i="3"/>
  <c r="C41" i="3"/>
  <c r="E41" i="3"/>
  <c r="B41" i="3"/>
  <c r="E40" i="3"/>
  <c r="D40" i="3"/>
  <c r="C40" i="3"/>
  <c r="B40" i="3"/>
  <c r="C38" i="3"/>
  <c r="E38" i="3"/>
  <c r="D38" i="3"/>
  <c r="B38" i="3"/>
  <c r="AH67" i="3"/>
  <c r="Z67" i="3"/>
  <c r="R67" i="3"/>
  <c r="J67" i="3"/>
  <c r="B67" i="3"/>
  <c r="AO67" i="3"/>
  <c r="Y67" i="3"/>
  <c r="Q67" i="3"/>
  <c r="AG67" i="3"/>
  <c r="I67" i="3"/>
  <c r="AL67" i="3"/>
  <c r="AB67" i="3"/>
  <c r="P67" i="3"/>
  <c r="F67" i="3"/>
  <c r="AK67" i="3"/>
  <c r="AA67" i="3"/>
  <c r="O67" i="3"/>
  <c r="E67" i="3"/>
  <c r="AJ67" i="3"/>
  <c r="X67" i="3"/>
  <c r="N67" i="3"/>
  <c r="D67" i="3"/>
  <c r="AD67" i="3"/>
  <c r="AC67" i="3"/>
  <c r="G67" i="3"/>
  <c r="AI67" i="3"/>
  <c r="W67" i="3"/>
  <c r="M67" i="3"/>
  <c r="C67" i="3"/>
  <c r="AE67" i="3"/>
  <c r="K67" i="3"/>
  <c r="AN67" i="3"/>
  <c r="T67" i="3"/>
  <c r="H67" i="3"/>
  <c r="AF67" i="3"/>
  <c r="V67" i="3"/>
  <c r="L67" i="3"/>
  <c r="U67" i="3"/>
  <c r="AM67" i="3"/>
  <c r="S67" i="3"/>
  <c r="R882" i="11"/>
  <c r="Q106" i="11"/>
  <c r="S106" i="11" s="1"/>
  <c r="Y106" i="11" s="1"/>
  <c r="Q638" i="11"/>
  <c r="P124" i="11"/>
  <c r="Q20" i="11"/>
  <c r="S20" i="11" s="1"/>
  <c r="P167" i="11"/>
  <c r="R167" i="11" s="1"/>
  <c r="R330" i="11"/>
  <c r="AI429" i="11"/>
  <c r="X643" i="11"/>
  <c r="X962" i="11"/>
  <c r="AI962" i="11"/>
  <c r="D111" i="4"/>
  <c r="H111" i="4"/>
  <c r="C111" i="4"/>
  <c r="B111" i="4"/>
  <c r="J111" i="4"/>
  <c r="I111" i="4"/>
  <c r="E111" i="4"/>
  <c r="G111" i="4"/>
  <c r="F111" i="4"/>
  <c r="H129" i="4"/>
  <c r="B129" i="4"/>
  <c r="F129" i="4"/>
  <c r="E129" i="4"/>
  <c r="J129" i="4"/>
  <c r="I129" i="4"/>
  <c r="G129" i="4"/>
  <c r="D129" i="4"/>
  <c r="C129" i="4"/>
  <c r="D363" i="4"/>
  <c r="B363" i="4"/>
  <c r="G363" i="4"/>
  <c r="F363" i="4"/>
  <c r="E363" i="4"/>
  <c r="J363" i="4"/>
  <c r="I363" i="4"/>
  <c r="H363" i="4"/>
  <c r="C363" i="4"/>
  <c r="J184" i="4"/>
  <c r="B184" i="4"/>
  <c r="I184" i="4"/>
  <c r="E184" i="4"/>
  <c r="D184" i="4"/>
  <c r="C184" i="4"/>
  <c r="H184" i="4"/>
  <c r="G184" i="4"/>
  <c r="F184" i="4"/>
  <c r="J312" i="4"/>
  <c r="B312" i="4"/>
  <c r="I312" i="4"/>
  <c r="E312" i="4"/>
  <c r="D312" i="4"/>
  <c r="C312" i="4"/>
  <c r="H312" i="4"/>
  <c r="G312" i="4"/>
  <c r="F312" i="4"/>
  <c r="F222" i="4"/>
  <c r="D222" i="4"/>
  <c r="I222" i="4"/>
  <c r="H222" i="4"/>
  <c r="G222" i="4"/>
  <c r="J222" i="4"/>
  <c r="B222" i="4"/>
  <c r="E222" i="4"/>
  <c r="C222" i="4"/>
  <c r="H161" i="4"/>
  <c r="B161" i="4"/>
  <c r="F161" i="4"/>
  <c r="E161" i="4"/>
  <c r="J161" i="4"/>
  <c r="I161" i="4"/>
  <c r="G161" i="4"/>
  <c r="C161" i="4"/>
  <c r="D161" i="4"/>
  <c r="H277" i="4"/>
  <c r="C277" i="4"/>
  <c r="G277" i="4"/>
  <c r="F277" i="4"/>
  <c r="E277" i="4"/>
  <c r="J277" i="4"/>
  <c r="I277" i="4"/>
  <c r="D277" i="4"/>
  <c r="B277" i="4"/>
  <c r="J148" i="4"/>
  <c r="B148" i="4"/>
  <c r="D148" i="4"/>
  <c r="H148" i="4"/>
  <c r="G148" i="4"/>
  <c r="I148" i="4"/>
  <c r="F148" i="4"/>
  <c r="E148" i="4"/>
  <c r="C148" i="4"/>
  <c r="J100" i="4"/>
  <c r="B100" i="4"/>
  <c r="H100" i="4"/>
  <c r="D100" i="4"/>
  <c r="C100" i="4"/>
  <c r="G100" i="4"/>
  <c r="F100" i="4"/>
  <c r="E100" i="4"/>
  <c r="I100" i="4"/>
  <c r="F190" i="4"/>
  <c r="D190" i="4"/>
  <c r="I190" i="4"/>
  <c r="H190" i="4"/>
  <c r="G190" i="4"/>
  <c r="E190" i="4"/>
  <c r="C190" i="4"/>
  <c r="B190" i="4"/>
  <c r="J190" i="4"/>
  <c r="F318" i="4"/>
  <c r="D318" i="4"/>
  <c r="I318" i="4"/>
  <c r="H318" i="4"/>
  <c r="G318" i="4"/>
  <c r="E318" i="4"/>
  <c r="C318" i="4"/>
  <c r="B318" i="4"/>
  <c r="J318" i="4"/>
  <c r="J264" i="4"/>
  <c r="B264" i="4"/>
  <c r="E264" i="4"/>
  <c r="I264" i="4"/>
  <c r="H264" i="4"/>
  <c r="G264" i="4"/>
  <c r="C264" i="4"/>
  <c r="F264" i="4"/>
  <c r="D264" i="4"/>
  <c r="J128" i="4"/>
  <c r="B128" i="4"/>
  <c r="C128" i="4"/>
  <c r="G128" i="4"/>
  <c r="F128" i="4"/>
  <c r="E128" i="4"/>
  <c r="D128" i="4"/>
  <c r="I128" i="4"/>
  <c r="H128" i="4"/>
  <c r="F234" i="4"/>
  <c r="C234" i="4"/>
  <c r="H234" i="4"/>
  <c r="G234" i="4"/>
  <c r="E234" i="4"/>
  <c r="D234" i="4"/>
  <c r="B234" i="4"/>
  <c r="J234" i="4"/>
  <c r="I234" i="4"/>
  <c r="F362" i="4"/>
  <c r="C362" i="4"/>
  <c r="H362" i="4"/>
  <c r="G362" i="4"/>
  <c r="E362" i="4"/>
  <c r="D362" i="4"/>
  <c r="B362" i="4"/>
  <c r="I362" i="4"/>
  <c r="J362" i="4"/>
  <c r="H121" i="4"/>
  <c r="I121" i="4"/>
  <c r="D121" i="4"/>
  <c r="C121" i="4"/>
  <c r="B121" i="4"/>
  <c r="E121" i="4"/>
  <c r="F121" i="4"/>
  <c r="J121" i="4"/>
  <c r="G121" i="4"/>
  <c r="F278" i="4"/>
  <c r="B278" i="4"/>
  <c r="G278" i="4"/>
  <c r="E278" i="4"/>
  <c r="D278" i="4"/>
  <c r="C278" i="4"/>
  <c r="H278" i="4"/>
  <c r="I278" i="4"/>
  <c r="J278" i="4"/>
  <c r="D127" i="4"/>
  <c r="C127" i="4"/>
  <c r="H127" i="4"/>
  <c r="G127" i="4"/>
  <c r="B127" i="4"/>
  <c r="J127" i="4"/>
  <c r="F127" i="4"/>
  <c r="E127" i="4"/>
  <c r="I127" i="4"/>
  <c r="D227" i="4"/>
  <c r="I227" i="4"/>
  <c r="E227" i="4"/>
  <c r="C227" i="4"/>
  <c r="B227" i="4"/>
  <c r="F227" i="4"/>
  <c r="G227" i="4"/>
  <c r="J227" i="4"/>
  <c r="H227" i="4"/>
  <c r="D355" i="4"/>
  <c r="I355" i="4"/>
  <c r="E355" i="4"/>
  <c r="C355" i="4"/>
  <c r="B355" i="4"/>
  <c r="F355" i="4"/>
  <c r="G355" i="4"/>
  <c r="J355" i="4"/>
  <c r="H355" i="4"/>
  <c r="D303" i="4"/>
  <c r="H303" i="4"/>
  <c r="C303" i="4"/>
  <c r="B303" i="4"/>
  <c r="J303" i="4"/>
  <c r="I303" i="4"/>
  <c r="G303" i="4"/>
  <c r="F303" i="4"/>
  <c r="E303" i="4"/>
  <c r="F250" i="4"/>
  <c r="H250" i="4"/>
  <c r="C250" i="4"/>
  <c r="B250" i="4"/>
  <c r="J250" i="4"/>
  <c r="I250" i="4"/>
  <c r="G250" i="4"/>
  <c r="E250" i="4"/>
  <c r="D250" i="4"/>
  <c r="H209" i="4"/>
  <c r="F209" i="4"/>
  <c r="B209" i="4"/>
  <c r="J209" i="4"/>
  <c r="I209" i="4"/>
  <c r="E209" i="4"/>
  <c r="D209" i="4"/>
  <c r="G209" i="4"/>
  <c r="C209" i="4"/>
  <c r="H325" i="4"/>
  <c r="G325" i="4"/>
  <c r="C325" i="4"/>
  <c r="B325" i="4"/>
  <c r="J325" i="4"/>
  <c r="I325" i="4"/>
  <c r="F325" i="4"/>
  <c r="E325" i="4"/>
  <c r="D325" i="4"/>
  <c r="D155" i="4"/>
  <c r="G155" i="4"/>
  <c r="B155" i="4"/>
  <c r="J155" i="4"/>
  <c r="I155" i="4"/>
  <c r="H155" i="4"/>
  <c r="C155" i="4"/>
  <c r="F155" i="4"/>
  <c r="E155" i="4"/>
  <c r="H241" i="4"/>
  <c r="F241" i="4"/>
  <c r="B241" i="4"/>
  <c r="J241" i="4"/>
  <c r="I241" i="4"/>
  <c r="G241" i="4"/>
  <c r="E241" i="4"/>
  <c r="D241" i="4"/>
  <c r="C241" i="4"/>
  <c r="F326" i="4"/>
  <c r="G326" i="4"/>
  <c r="B326" i="4"/>
  <c r="J326" i="4"/>
  <c r="I326" i="4"/>
  <c r="D326" i="4"/>
  <c r="H326" i="4"/>
  <c r="E326" i="4"/>
  <c r="C326" i="4"/>
  <c r="F82" i="4"/>
  <c r="E82" i="4"/>
  <c r="J82" i="4"/>
  <c r="I82" i="4"/>
  <c r="H82" i="4"/>
  <c r="G82" i="4"/>
  <c r="B82" i="4"/>
  <c r="D82" i="4"/>
  <c r="C82" i="4"/>
  <c r="F146" i="4"/>
  <c r="E146" i="4"/>
  <c r="J146" i="4"/>
  <c r="I146" i="4"/>
  <c r="B146" i="4"/>
  <c r="D146" i="4"/>
  <c r="H146" i="4"/>
  <c r="G146" i="4"/>
  <c r="C146" i="4"/>
  <c r="F210" i="4"/>
  <c r="E210" i="4"/>
  <c r="J210" i="4"/>
  <c r="H210" i="4"/>
  <c r="I210" i="4"/>
  <c r="G210" i="4"/>
  <c r="D210" i="4"/>
  <c r="C210" i="4"/>
  <c r="B210" i="4"/>
  <c r="F274" i="4"/>
  <c r="E274" i="4"/>
  <c r="J274" i="4"/>
  <c r="I274" i="4"/>
  <c r="H274" i="4"/>
  <c r="G274" i="4"/>
  <c r="D274" i="4"/>
  <c r="C274" i="4"/>
  <c r="B274" i="4"/>
  <c r="F338" i="4"/>
  <c r="E338" i="4"/>
  <c r="J338" i="4"/>
  <c r="I338" i="4"/>
  <c r="H338" i="4"/>
  <c r="G338" i="4"/>
  <c r="D338" i="4"/>
  <c r="C338" i="4"/>
  <c r="B338" i="4"/>
  <c r="F98" i="4"/>
  <c r="J98" i="4"/>
  <c r="E98" i="4"/>
  <c r="D98" i="4"/>
  <c r="I98" i="4"/>
  <c r="H98" i="4"/>
  <c r="B98" i="4"/>
  <c r="G98" i="4"/>
  <c r="C98" i="4"/>
  <c r="F162" i="4"/>
  <c r="J162" i="4"/>
  <c r="E162" i="4"/>
  <c r="D162" i="4"/>
  <c r="B162" i="4"/>
  <c r="H162" i="4"/>
  <c r="G162" i="4"/>
  <c r="C162" i="4"/>
  <c r="I162" i="4"/>
  <c r="F226" i="4"/>
  <c r="J226" i="4"/>
  <c r="E226" i="4"/>
  <c r="D226" i="4"/>
  <c r="C226" i="4"/>
  <c r="I226" i="4"/>
  <c r="H226" i="4"/>
  <c r="G226" i="4"/>
  <c r="B226" i="4"/>
  <c r="F290" i="4"/>
  <c r="J290" i="4"/>
  <c r="E290" i="4"/>
  <c r="D290" i="4"/>
  <c r="C290" i="4"/>
  <c r="I290" i="4"/>
  <c r="H290" i="4"/>
  <c r="G290" i="4"/>
  <c r="B290" i="4"/>
  <c r="F354" i="4"/>
  <c r="J354" i="4"/>
  <c r="E354" i="4"/>
  <c r="D354" i="4"/>
  <c r="C354" i="4"/>
  <c r="I354" i="4"/>
  <c r="H354" i="4"/>
  <c r="G354" i="4"/>
  <c r="B354" i="4"/>
  <c r="P91" i="11"/>
  <c r="R91" i="11" s="1"/>
  <c r="P1013" i="11"/>
  <c r="X21" i="11"/>
  <c r="R21" i="11"/>
  <c r="P21" i="11"/>
  <c r="AF664" i="11"/>
  <c r="X664" i="11"/>
  <c r="P664" i="11"/>
  <c r="H664" i="11"/>
  <c r="AE664" i="11"/>
  <c r="W664" i="11"/>
  <c r="O664" i="11"/>
  <c r="G664" i="11"/>
  <c r="AD664" i="11"/>
  <c r="V664" i="11"/>
  <c r="N664" i="11"/>
  <c r="F664" i="11"/>
  <c r="AC664" i="11"/>
  <c r="U664" i="11"/>
  <c r="M664" i="11"/>
  <c r="E664" i="11"/>
  <c r="AB664" i="11"/>
  <c r="T664" i="11"/>
  <c r="L664" i="11"/>
  <c r="AI664" i="11"/>
  <c r="AA664" i="11"/>
  <c r="S664" i="11"/>
  <c r="K664" i="11"/>
  <c r="AH664" i="11"/>
  <c r="Z664" i="11"/>
  <c r="R664" i="11"/>
  <c r="J664" i="11"/>
  <c r="I664" i="11"/>
  <c r="Y664" i="11"/>
  <c r="Q664" i="11"/>
  <c r="AG664" i="11"/>
  <c r="AI109" i="11"/>
  <c r="Q220" i="11"/>
  <c r="Q150" i="11"/>
  <c r="S150" i="11"/>
  <c r="Y150" i="11" s="1"/>
  <c r="P385" i="11"/>
  <c r="AB370" i="11"/>
  <c r="AC370" i="11" s="1"/>
  <c r="S646" i="11"/>
  <c r="Y646" i="11" s="1"/>
  <c r="Q646" i="11"/>
  <c r="R787" i="11"/>
  <c r="AB924" i="11"/>
  <c r="AC924" i="11" s="1"/>
  <c r="R1030" i="11"/>
  <c r="Y1022" i="11"/>
  <c r="Z1022" i="11" s="1"/>
  <c r="AA1022" i="11" s="1"/>
  <c r="S813" i="11"/>
  <c r="Q1025" i="11"/>
  <c r="AI1025" i="11"/>
  <c r="AD1025" i="11" s="1"/>
  <c r="E42" i="4"/>
  <c r="D42" i="4"/>
  <c r="I42" i="4"/>
  <c r="H42" i="4"/>
  <c r="G42" i="4"/>
  <c r="F42" i="4"/>
  <c r="C42" i="4"/>
  <c r="B42" i="4"/>
  <c r="G57" i="4"/>
  <c r="C57" i="4"/>
  <c r="B57" i="4"/>
  <c r="I57" i="4"/>
  <c r="H57" i="4"/>
  <c r="F57" i="4"/>
  <c r="E57" i="4"/>
  <c r="D57" i="4"/>
  <c r="C70" i="4"/>
  <c r="G70" i="4"/>
  <c r="F70" i="4"/>
  <c r="I70" i="4"/>
  <c r="H70" i="4"/>
  <c r="D70" i="4"/>
  <c r="B70" i="4"/>
  <c r="E70" i="4"/>
  <c r="G39" i="4"/>
  <c r="F39" i="4"/>
  <c r="H39" i="4"/>
  <c r="C39" i="4"/>
  <c r="B39" i="4"/>
  <c r="E39" i="4"/>
  <c r="E60" i="4"/>
  <c r="I60" i="4"/>
  <c r="H60" i="4"/>
  <c r="D60" i="4"/>
  <c r="C60" i="4"/>
  <c r="B60" i="4"/>
  <c r="F60" i="4"/>
  <c r="G60" i="4"/>
  <c r="F10" i="5"/>
  <c r="AI287" i="11"/>
  <c r="S413" i="11"/>
  <c r="Y413" i="11" s="1"/>
  <c r="P1027" i="11"/>
  <c r="S101" i="11"/>
  <c r="Y101" i="11" s="1"/>
  <c r="AI996" i="11"/>
  <c r="S25" i="11"/>
  <c r="Y25" i="11" s="1"/>
  <c r="Q57" i="11"/>
  <c r="S57" i="11" s="1"/>
  <c r="Y57" i="11" s="1"/>
  <c r="J826" i="11"/>
  <c r="I826" i="11"/>
  <c r="M826" i="11"/>
  <c r="E826" i="11"/>
  <c r="N826" i="11"/>
  <c r="L826" i="11"/>
  <c r="AB826" i="11" s="1"/>
  <c r="AC826" i="11" s="1"/>
  <c r="K826" i="11"/>
  <c r="H826" i="11"/>
  <c r="AF826" i="11"/>
  <c r="G826" i="11"/>
  <c r="F826" i="11"/>
  <c r="O826" i="11"/>
  <c r="N804" i="11"/>
  <c r="F804" i="11"/>
  <c r="M804" i="11"/>
  <c r="E804" i="11"/>
  <c r="L804" i="11"/>
  <c r="K804" i="11"/>
  <c r="I804" i="11"/>
  <c r="H804" i="11"/>
  <c r="AB804" i="11" s="1"/>
  <c r="AC804" i="11" s="1"/>
  <c r="AF804" i="11"/>
  <c r="J804" i="11"/>
  <c r="G804" i="11"/>
  <c r="P804" i="11" s="1"/>
  <c r="O804" i="11"/>
  <c r="AI19" i="11"/>
  <c r="Q19" i="11"/>
  <c r="S19" i="11" s="1"/>
  <c r="X19" i="11"/>
  <c r="Q221" i="11"/>
  <c r="S221" i="11" s="1"/>
  <c r="Y221" i="11" s="1"/>
  <c r="AG152" i="11"/>
  <c r="S183" i="11"/>
  <c r="Y183" i="11" s="1"/>
  <c r="AB215" i="11"/>
  <c r="AC215" i="11" s="1"/>
  <c r="AD367" i="11"/>
  <c r="Z911" i="11"/>
  <c r="AA911" i="11" s="1"/>
  <c r="AB834" i="11"/>
  <c r="AC834" i="11" s="1"/>
  <c r="T23" i="11"/>
  <c r="AB196" i="11"/>
  <c r="AC196" i="11" s="1"/>
  <c r="R187" i="11"/>
  <c r="P187" i="11"/>
  <c r="AI187" i="11"/>
  <c r="S346" i="11"/>
  <c r="Y346" i="11" s="1"/>
  <c r="T378" i="11"/>
  <c r="T371" i="11"/>
  <c r="Q837" i="11"/>
  <c r="P837" i="11"/>
  <c r="AD837" i="11" s="1"/>
  <c r="Q908" i="11"/>
  <c r="X908" i="11"/>
  <c r="P908" i="11"/>
  <c r="T279" i="11"/>
  <c r="Y893" i="11"/>
  <c r="X26" i="11"/>
  <c r="Z26" i="11" s="1"/>
  <c r="AA26" i="11" s="1"/>
  <c r="R204" i="11"/>
  <c r="AB182" i="11"/>
  <c r="AC182" i="11" s="1"/>
  <c r="R214" i="11"/>
  <c r="AB214" i="11"/>
  <c r="AC214" i="11" s="1"/>
  <c r="P268" i="11"/>
  <c r="AI268" i="11"/>
  <c r="AD268" i="11"/>
  <c r="Q268" i="11"/>
  <c r="S268" i="11" s="1"/>
  <c r="Y268" i="11" s="1"/>
  <c r="R268" i="11"/>
  <c r="X645" i="11"/>
  <c r="W978" i="11"/>
  <c r="AH978" i="11" s="1"/>
  <c r="AF644" i="11"/>
  <c r="H644" i="11"/>
  <c r="O644" i="11"/>
  <c r="G644" i="11"/>
  <c r="N644" i="11"/>
  <c r="F644" i="11"/>
  <c r="M644" i="11"/>
  <c r="E644" i="11"/>
  <c r="AB644" i="11"/>
  <c r="AC644" i="11" s="1"/>
  <c r="L644" i="11"/>
  <c r="K644" i="11"/>
  <c r="J644" i="11"/>
  <c r="I644" i="11"/>
  <c r="X415" i="11"/>
  <c r="Z623" i="11"/>
  <c r="AA623" i="11" s="1"/>
  <c r="X906" i="11"/>
  <c r="Y906" i="11"/>
  <c r="Z906" i="11"/>
  <c r="AA906" i="11" s="1"/>
  <c r="R906" i="11"/>
  <c r="T437" i="11"/>
  <c r="AD437" i="11"/>
  <c r="AG437" i="11"/>
  <c r="X437" i="11"/>
  <c r="S856" i="11"/>
  <c r="Y856" i="11"/>
  <c r="J352" i="4"/>
  <c r="B352" i="4"/>
  <c r="C352" i="4"/>
  <c r="G352" i="4"/>
  <c r="F352" i="4"/>
  <c r="E352" i="4"/>
  <c r="I352" i="4"/>
  <c r="H352" i="4"/>
  <c r="D352" i="4"/>
  <c r="F266" i="4"/>
  <c r="C266" i="4"/>
  <c r="H266" i="4"/>
  <c r="G266" i="4"/>
  <c r="E266" i="4"/>
  <c r="J266" i="4"/>
  <c r="I266" i="4"/>
  <c r="B266" i="4"/>
  <c r="D266" i="4"/>
  <c r="D179" i="4"/>
  <c r="E179" i="4"/>
  <c r="I179" i="4"/>
  <c r="H179" i="4"/>
  <c r="G179" i="4"/>
  <c r="F179" i="4"/>
  <c r="C179" i="4"/>
  <c r="B179" i="4"/>
  <c r="J179" i="4"/>
  <c r="D115" i="4"/>
  <c r="E115" i="4"/>
  <c r="I115" i="4"/>
  <c r="H115" i="4"/>
  <c r="C115" i="4"/>
  <c r="B115" i="4"/>
  <c r="J115" i="4"/>
  <c r="G115" i="4"/>
  <c r="F115" i="4"/>
  <c r="H89" i="4"/>
  <c r="I89" i="4"/>
  <c r="D89" i="4"/>
  <c r="C89" i="4"/>
  <c r="B89" i="4"/>
  <c r="J89" i="4"/>
  <c r="E89" i="4"/>
  <c r="G89" i="4"/>
  <c r="F89" i="4"/>
  <c r="H293" i="4"/>
  <c r="G293" i="4"/>
  <c r="C293" i="4"/>
  <c r="B293" i="4"/>
  <c r="J293" i="4"/>
  <c r="D293" i="4"/>
  <c r="F293" i="4"/>
  <c r="E293" i="4"/>
  <c r="I293" i="4"/>
  <c r="F314" i="4"/>
  <c r="H314" i="4"/>
  <c r="C314" i="4"/>
  <c r="B314" i="4"/>
  <c r="J314" i="4"/>
  <c r="I314" i="4"/>
  <c r="G314" i="4"/>
  <c r="E314" i="4"/>
  <c r="D314" i="4"/>
  <c r="D135" i="4"/>
  <c r="F135" i="4"/>
  <c r="J135" i="4"/>
  <c r="I135" i="4"/>
  <c r="H135" i="4"/>
  <c r="G135" i="4"/>
  <c r="E135" i="4"/>
  <c r="C135" i="4"/>
  <c r="B135" i="4"/>
  <c r="D151" i="4"/>
  <c r="J151" i="4"/>
  <c r="F151" i="4"/>
  <c r="E151" i="4"/>
  <c r="I151" i="4"/>
  <c r="H151" i="4"/>
  <c r="G151" i="4"/>
  <c r="C151" i="4"/>
  <c r="B151" i="4"/>
  <c r="AD201" i="11"/>
  <c r="P909" i="11"/>
  <c r="X909" i="11"/>
  <c r="Q6" i="11"/>
  <c r="S6" i="11" s="1"/>
  <c r="X7" i="11"/>
  <c r="X140" i="11"/>
  <c r="AD163" i="11"/>
  <c r="P280" i="11"/>
  <c r="AD280" i="11" s="1"/>
  <c r="S638" i="11"/>
  <c r="Y638" i="11" s="1"/>
  <c r="Q1044" i="11"/>
  <c r="AI792" i="11"/>
  <c r="Y792" i="11" s="1"/>
  <c r="AI239" i="11"/>
  <c r="AA239" i="11"/>
  <c r="S239" i="11"/>
  <c r="K239" i="11"/>
  <c r="AH239" i="11"/>
  <c r="Z239" i="11"/>
  <c r="R239" i="11"/>
  <c r="J239" i="11"/>
  <c r="AG239" i="11"/>
  <c r="W239" i="11"/>
  <c r="M239" i="11"/>
  <c r="AF239" i="11"/>
  <c r="V239" i="11"/>
  <c r="L239" i="11"/>
  <c r="AE239" i="11"/>
  <c r="U239" i="11"/>
  <c r="I239" i="11"/>
  <c r="AD239" i="11"/>
  <c r="T239" i="11"/>
  <c r="H239" i="11"/>
  <c r="AC239" i="11"/>
  <c r="Q239" i="11"/>
  <c r="G239" i="11"/>
  <c r="AB239" i="11"/>
  <c r="P239" i="11"/>
  <c r="F239" i="11"/>
  <c r="X239" i="11"/>
  <c r="O239" i="11"/>
  <c r="N239" i="11"/>
  <c r="E239" i="11"/>
  <c r="Y239" i="11"/>
  <c r="Q937" i="11"/>
  <c r="AD878" i="11"/>
  <c r="AB198" i="11"/>
  <c r="AC198" i="11" s="1"/>
  <c r="AI135" i="11"/>
  <c r="Q284" i="11"/>
  <c r="S284" i="11" s="1"/>
  <c r="Q399" i="11"/>
  <c r="S399" i="11"/>
  <c r="S807" i="11"/>
  <c r="AG807" i="11" s="1"/>
  <c r="P944" i="11"/>
  <c r="AD944" i="11" s="1"/>
  <c r="R944" i="11"/>
  <c r="R979" i="11"/>
  <c r="C42" i="3"/>
  <c r="B42" i="3"/>
  <c r="E42" i="3"/>
  <c r="D42" i="3"/>
  <c r="E47" i="3"/>
  <c r="D47" i="3"/>
  <c r="C47" i="3"/>
  <c r="B47" i="3"/>
  <c r="C46" i="3"/>
  <c r="B46" i="3"/>
  <c r="E46" i="3"/>
  <c r="D46" i="3"/>
  <c r="C58" i="3"/>
  <c r="B58" i="3"/>
  <c r="E58" i="3"/>
  <c r="D58" i="3"/>
  <c r="E36" i="3"/>
  <c r="D36" i="3"/>
  <c r="C36" i="3"/>
  <c r="B36" i="3"/>
  <c r="AE267" i="11"/>
  <c r="Y267" i="11"/>
  <c r="AD267" i="11"/>
  <c r="Q133" i="11"/>
  <c r="S133" i="11" s="1"/>
  <c r="Q941" i="11"/>
  <c r="Q430" i="11"/>
  <c r="S430" i="11" s="1"/>
  <c r="X882" i="11"/>
  <c r="AI1039" i="11"/>
  <c r="R78" i="11"/>
  <c r="X78" i="11" s="1"/>
  <c r="Z78" i="11" s="1"/>
  <c r="AA78" i="11" s="1"/>
  <c r="P13" i="11"/>
  <c r="AD13" i="11" s="1"/>
  <c r="R13" i="11"/>
  <c r="X45" i="11"/>
  <c r="AI208" i="11"/>
  <c r="P48" i="11"/>
  <c r="R48" i="11" s="1"/>
  <c r="Q86" i="11"/>
  <c r="S86" i="11" s="1"/>
  <c r="Y86" i="11" s="1"/>
  <c r="AD105" i="11"/>
  <c r="X194" i="11"/>
  <c r="AI123" i="11"/>
  <c r="Q403" i="11"/>
  <c r="S403" i="11"/>
  <c r="Y403" i="11" s="1"/>
  <c r="R394" i="11"/>
  <c r="AE885" i="11"/>
  <c r="P975" i="11"/>
  <c r="R975" i="11"/>
  <c r="Y1044" i="11"/>
  <c r="Q637" i="11"/>
  <c r="AD637" i="11" s="1"/>
  <c r="Q849" i="11"/>
  <c r="AI849" i="11"/>
  <c r="X849" i="11" s="1"/>
  <c r="R970" i="11"/>
  <c r="AI247" i="11"/>
  <c r="AA247" i="11"/>
  <c r="S247" i="11"/>
  <c r="K247" i="11"/>
  <c r="AH247" i="11"/>
  <c r="Z247" i="11"/>
  <c r="R247" i="11"/>
  <c r="J247" i="11"/>
  <c r="AF247" i="11"/>
  <c r="X247" i="11"/>
  <c r="P247" i="11"/>
  <c r="H247" i="11"/>
  <c r="AD247" i="11"/>
  <c r="V247" i="11"/>
  <c r="N247" i="11"/>
  <c r="F247" i="11"/>
  <c r="AC247" i="11"/>
  <c r="M247" i="11"/>
  <c r="AB247" i="11"/>
  <c r="L247" i="11"/>
  <c r="Y247" i="11"/>
  <c r="I247" i="11"/>
  <c r="W247" i="11"/>
  <c r="G247" i="11"/>
  <c r="U247" i="11"/>
  <c r="E247" i="11"/>
  <c r="T247" i="11"/>
  <c r="AG247" i="11"/>
  <c r="AE247" i="11"/>
  <c r="Q247" i="11"/>
  <c r="O247" i="11"/>
  <c r="P263" i="11"/>
  <c r="AD263" i="11" s="1"/>
  <c r="S263" i="11"/>
  <c r="Y263" i="11" s="1"/>
  <c r="Q129" i="11"/>
  <c r="S129" i="11" s="1"/>
  <c r="Q197" i="11"/>
  <c r="S197" i="11"/>
  <c r="Y197" i="11" s="1"/>
  <c r="AD404" i="11"/>
  <c r="N790" i="11"/>
  <c r="F790" i="11"/>
  <c r="M790" i="11"/>
  <c r="E790" i="11"/>
  <c r="K790" i="11"/>
  <c r="J790" i="11"/>
  <c r="H790" i="11"/>
  <c r="G790" i="11"/>
  <c r="AF790" i="11"/>
  <c r="O790" i="11"/>
  <c r="L790" i="11"/>
  <c r="AB790" i="11" s="1"/>
  <c r="AC790" i="11" s="1"/>
  <c r="I790" i="11"/>
  <c r="P185" i="11"/>
  <c r="AD185" i="11" s="1"/>
  <c r="R185" i="11"/>
  <c r="R905" i="11"/>
  <c r="AI905" i="11"/>
  <c r="AD905" i="11" s="1"/>
  <c r="P10" i="11"/>
  <c r="R10" i="11" s="1"/>
  <c r="Q850" i="11"/>
  <c r="S850" i="11" s="1"/>
  <c r="X17" i="11"/>
  <c r="AI99" i="11"/>
  <c r="AI102" i="11"/>
  <c r="Q88" i="11"/>
  <c r="S88" i="11" s="1"/>
  <c r="Y88" i="11" s="1"/>
  <c r="S144" i="11"/>
  <c r="Y144" i="11" s="1"/>
  <c r="Q144" i="11"/>
  <c r="P135" i="11"/>
  <c r="R135" i="11" s="1"/>
  <c r="AG135" i="11" s="1"/>
  <c r="Q167" i="11"/>
  <c r="R146" i="11"/>
  <c r="T146" i="11" s="1"/>
  <c r="S345" i="11"/>
  <c r="Y345" i="11" s="1"/>
  <c r="X345" i="11"/>
  <c r="Y284" i="11"/>
  <c r="Z284" i="11" s="1"/>
  <c r="AA284" i="11" s="1"/>
  <c r="Y399" i="11"/>
  <c r="Y265" i="11"/>
  <c r="AB330" i="11"/>
  <c r="AC330" i="11" s="1"/>
  <c r="Y274" i="11"/>
  <c r="R274" i="11"/>
  <c r="P366" i="11"/>
  <c r="P398" i="11"/>
  <c r="AD398" i="11" s="1"/>
  <c r="Q642" i="11"/>
  <c r="S642" i="11"/>
  <c r="Y642" i="11" s="1"/>
  <c r="AB643" i="11"/>
  <c r="AC643" i="11" s="1"/>
  <c r="AI635" i="11"/>
  <c r="Y807" i="11"/>
  <c r="Q940" i="11"/>
  <c r="X876" i="11"/>
  <c r="Z876" i="11" s="1"/>
  <c r="AA876" i="11" s="1"/>
  <c r="X944" i="11"/>
  <c r="Z944" i="11" s="1"/>
  <c r="AA944" i="11" s="1"/>
  <c r="X979" i="11"/>
  <c r="Z979" i="11" s="1"/>
  <c r="AA979" i="11" s="1"/>
  <c r="X920" i="11"/>
  <c r="P1046" i="11"/>
  <c r="AD987" i="11"/>
  <c r="Y997" i="11"/>
  <c r="S995" i="11"/>
  <c r="AG995" i="11" s="1"/>
  <c r="H133" i="4"/>
  <c r="G133" i="4"/>
  <c r="C133" i="4"/>
  <c r="B133" i="4"/>
  <c r="J133" i="4"/>
  <c r="I133" i="4"/>
  <c r="E133" i="4"/>
  <c r="D133" i="4"/>
  <c r="F133" i="4"/>
  <c r="J164" i="4"/>
  <c r="B164" i="4"/>
  <c r="H164" i="4"/>
  <c r="D164" i="4"/>
  <c r="C164" i="4"/>
  <c r="I164" i="4"/>
  <c r="G164" i="4"/>
  <c r="F164" i="4"/>
  <c r="E164" i="4"/>
  <c r="F374" i="4"/>
  <c r="B374" i="4"/>
  <c r="G374" i="4"/>
  <c r="E374" i="4"/>
  <c r="D374" i="4"/>
  <c r="J374" i="4"/>
  <c r="I374" i="4"/>
  <c r="H374" i="4"/>
  <c r="C374" i="4"/>
  <c r="D195" i="4"/>
  <c r="I195" i="4"/>
  <c r="E195" i="4"/>
  <c r="B195" i="4"/>
  <c r="C195" i="4"/>
  <c r="J195" i="4"/>
  <c r="H195" i="4"/>
  <c r="G195" i="4"/>
  <c r="F195" i="4"/>
  <c r="D323" i="4"/>
  <c r="I323" i="4"/>
  <c r="E323" i="4"/>
  <c r="C323" i="4"/>
  <c r="B323" i="4"/>
  <c r="J323" i="4"/>
  <c r="H323" i="4"/>
  <c r="G323" i="4"/>
  <c r="F323" i="4"/>
  <c r="H85" i="4"/>
  <c r="C85" i="4"/>
  <c r="G85" i="4"/>
  <c r="F85" i="4"/>
  <c r="J85" i="4"/>
  <c r="I85" i="4"/>
  <c r="E85" i="4"/>
  <c r="D85" i="4"/>
  <c r="B85" i="4"/>
  <c r="J180" i="4"/>
  <c r="B180" i="4"/>
  <c r="D180" i="4"/>
  <c r="H180" i="4"/>
  <c r="F180" i="4"/>
  <c r="G180" i="4"/>
  <c r="I180" i="4"/>
  <c r="C180" i="4"/>
  <c r="E180" i="4"/>
  <c r="J308" i="4"/>
  <c r="B308" i="4"/>
  <c r="D308" i="4"/>
  <c r="H308" i="4"/>
  <c r="G308" i="4"/>
  <c r="F308" i="4"/>
  <c r="I308" i="4"/>
  <c r="C308" i="4"/>
  <c r="E308" i="4"/>
  <c r="F170" i="4"/>
  <c r="C170" i="4"/>
  <c r="H170" i="4"/>
  <c r="G170" i="4"/>
  <c r="J170" i="4"/>
  <c r="I170" i="4"/>
  <c r="E170" i="4"/>
  <c r="D170" i="4"/>
  <c r="B170" i="4"/>
  <c r="F106" i="4"/>
  <c r="C106" i="4"/>
  <c r="H106" i="4"/>
  <c r="G106" i="4"/>
  <c r="E106" i="4"/>
  <c r="D106" i="4"/>
  <c r="B106" i="4"/>
  <c r="J106" i="4"/>
  <c r="I106" i="4"/>
  <c r="H201" i="4"/>
  <c r="D201" i="4"/>
  <c r="I201" i="4"/>
  <c r="G201" i="4"/>
  <c r="F201" i="4"/>
  <c r="E201" i="4"/>
  <c r="C201" i="4"/>
  <c r="B201" i="4"/>
  <c r="J201" i="4"/>
  <c r="H329" i="4"/>
  <c r="D329" i="4"/>
  <c r="I329" i="4"/>
  <c r="G329" i="4"/>
  <c r="F329" i="4"/>
  <c r="E329" i="4"/>
  <c r="C329" i="4"/>
  <c r="B329" i="4"/>
  <c r="J329" i="4"/>
  <c r="F286" i="4"/>
  <c r="D286" i="4"/>
  <c r="I286" i="4"/>
  <c r="H286" i="4"/>
  <c r="G286" i="4"/>
  <c r="J286" i="4"/>
  <c r="B286" i="4"/>
  <c r="E286" i="4"/>
  <c r="C286" i="4"/>
  <c r="D131" i="4"/>
  <c r="I131" i="4"/>
  <c r="E131" i="4"/>
  <c r="C131" i="4"/>
  <c r="F131" i="4"/>
  <c r="B131" i="4"/>
  <c r="G131" i="4"/>
  <c r="H131" i="4"/>
  <c r="J131" i="4"/>
  <c r="H245" i="4"/>
  <c r="C245" i="4"/>
  <c r="G245" i="4"/>
  <c r="F245" i="4"/>
  <c r="E245" i="4"/>
  <c r="D245" i="4"/>
  <c r="B245" i="4"/>
  <c r="I245" i="4"/>
  <c r="J245" i="4"/>
  <c r="H373" i="4"/>
  <c r="C373" i="4"/>
  <c r="G373" i="4"/>
  <c r="F373" i="4"/>
  <c r="E373" i="4"/>
  <c r="D373" i="4"/>
  <c r="B373" i="4"/>
  <c r="I373" i="4"/>
  <c r="J373" i="4"/>
  <c r="D159" i="4"/>
  <c r="C159" i="4"/>
  <c r="H159" i="4"/>
  <c r="G159" i="4"/>
  <c r="B159" i="4"/>
  <c r="I159" i="4"/>
  <c r="F159" i="4"/>
  <c r="J159" i="4"/>
  <c r="E159" i="4"/>
  <c r="H289" i="4"/>
  <c r="B289" i="4"/>
  <c r="F289" i="4"/>
  <c r="E289" i="4"/>
  <c r="D289" i="4"/>
  <c r="C289" i="4"/>
  <c r="I289" i="4"/>
  <c r="G289" i="4"/>
  <c r="J289" i="4"/>
  <c r="D143" i="4"/>
  <c r="H143" i="4"/>
  <c r="C143" i="4"/>
  <c r="B143" i="4"/>
  <c r="E143" i="4"/>
  <c r="J143" i="4"/>
  <c r="F143" i="4"/>
  <c r="I143" i="4"/>
  <c r="G143" i="4"/>
  <c r="F238" i="4"/>
  <c r="I238" i="4"/>
  <c r="D238" i="4"/>
  <c r="C238" i="4"/>
  <c r="B238" i="4"/>
  <c r="H238" i="4"/>
  <c r="G238" i="4"/>
  <c r="E238" i="4"/>
  <c r="J238" i="4"/>
  <c r="F366" i="4"/>
  <c r="I366" i="4"/>
  <c r="D366" i="4"/>
  <c r="C366" i="4"/>
  <c r="B366" i="4"/>
  <c r="E366" i="4"/>
  <c r="G366" i="4"/>
  <c r="J366" i="4"/>
  <c r="H366" i="4"/>
  <c r="J324" i="4"/>
  <c r="B324" i="4"/>
  <c r="H324" i="4"/>
  <c r="D324" i="4"/>
  <c r="C324" i="4"/>
  <c r="E324" i="4"/>
  <c r="F324" i="4"/>
  <c r="I324" i="4"/>
  <c r="G324" i="4"/>
  <c r="D271" i="4"/>
  <c r="H271" i="4"/>
  <c r="C271" i="4"/>
  <c r="B271" i="4"/>
  <c r="J271" i="4"/>
  <c r="F271" i="4"/>
  <c r="E271" i="4"/>
  <c r="I271" i="4"/>
  <c r="G271" i="4"/>
  <c r="J240" i="4"/>
  <c r="B240" i="4"/>
  <c r="G240" i="4"/>
  <c r="C240" i="4"/>
  <c r="I240" i="4"/>
  <c r="D240" i="4"/>
  <c r="E240" i="4"/>
  <c r="H240" i="4"/>
  <c r="F240" i="4"/>
  <c r="D335" i="4"/>
  <c r="H335" i="4"/>
  <c r="C335" i="4"/>
  <c r="B335" i="4"/>
  <c r="J335" i="4"/>
  <c r="F335" i="4"/>
  <c r="E335" i="4"/>
  <c r="I335" i="4"/>
  <c r="G335" i="4"/>
  <c r="F166" i="4"/>
  <c r="G166" i="4"/>
  <c r="B166" i="4"/>
  <c r="J166" i="4"/>
  <c r="E166" i="4"/>
  <c r="D166" i="4"/>
  <c r="C166" i="4"/>
  <c r="I166" i="4"/>
  <c r="H166" i="4"/>
  <c r="F262" i="4"/>
  <c r="G262" i="4"/>
  <c r="B262" i="4"/>
  <c r="J262" i="4"/>
  <c r="I262" i="4"/>
  <c r="E262" i="4"/>
  <c r="D262" i="4"/>
  <c r="C262" i="4"/>
  <c r="H262" i="4"/>
  <c r="J336" i="4"/>
  <c r="B336" i="4"/>
  <c r="G336" i="4"/>
  <c r="C336" i="4"/>
  <c r="I336" i="4"/>
  <c r="H336" i="4"/>
  <c r="F336" i="4"/>
  <c r="E336" i="4"/>
  <c r="D336" i="4"/>
  <c r="J92" i="4"/>
  <c r="B92" i="4"/>
  <c r="F92" i="4"/>
  <c r="I92" i="4"/>
  <c r="H92" i="4"/>
  <c r="D92" i="4"/>
  <c r="G92" i="4"/>
  <c r="E92" i="4"/>
  <c r="C92" i="4"/>
  <c r="J156" i="4"/>
  <c r="B156" i="4"/>
  <c r="F156" i="4"/>
  <c r="I156" i="4"/>
  <c r="D156" i="4"/>
  <c r="C156" i="4"/>
  <c r="H156" i="4"/>
  <c r="G156" i="4"/>
  <c r="E156" i="4"/>
  <c r="J220" i="4"/>
  <c r="B220" i="4"/>
  <c r="F220" i="4"/>
  <c r="I220" i="4"/>
  <c r="H220" i="4"/>
  <c r="C220" i="4"/>
  <c r="D220" i="4"/>
  <c r="G220" i="4"/>
  <c r="E220" i="4"/>
  <c r="J284" i="4"/>
  <c r="B284" i="4"/>
  <c r="F284" i="4"/>
  <c r="I284" i="4"/>
  <c r="H284" i="4"/>
  <c r="D284" i="4"/>
  <c r="C284" i="4"/>
  <c r="G284" i="4"/>
  <c r="E284" i="4"/>
  <c r="J348" i="4"/>
  <c r="B348" i="4"/>
  <c r="F348" i="4"/>
  <c r="I348" i="4"/>
  <c r="H348" i="4"/>
  <c r="C348" i="4"/>
  <c r="D348" i="4"/>
  <c r="G348" i="4"/>
  <c r="E348" i="4"/>
  <c r="J108" i="4"/>
  <c r="B108" i="4"/>
  <c r="F108" i="4"/>
  <c r="E108" i="4"/>
  <c r="C108" i="4"/>
  <c r="I108" i="4"/>
  <c r="G108" i="4"/>
  <c r="D108" i="4"/>
  <c r="H108" i="4"/>
  <c r="J172" i="4"/>
  <c r="B172" i="4"/>
  <c r="F172" i="4"/>
  <c r="E172" i="4"/>
  <c r="D172" i="4"/>
  <c r="G172" i="4"/>
  <c r="C172" i="4"/>
  <c r="H172" i="4"/>
  <c r="I172" i="4"/>
  <c r="J236" i="4"/>
  <c r="B236" i="4"/>
  <c r="F236" i="4"/>
  <c r="E236" i="4"/>
  <c r="D236" i="4"/>
  <c r="C236" i="4"/>
  <c r="G236" i="4"/>
  <c r="H236" i="4"/>
  <c r="I236" i="4"/>
  <c r="J300" i="4"/>
  <c r="B300" i="4"/>
  <c r="F300" i="4"/>
  <c r="E300" i="4"/>
  <c r="D300" i="4"/>
  <c r="C300" i="4"/>
  <c r="G300" i="4"/>
  <c r="I300" i="4"/>
  <c r="H300" i="4"/>
  <c r="J364" i="4"/>
  <c r="B364" i="4"/>
  <c r="F364" i="4"/>
  <c r="E364" i="4"/>
  <c r="D364" i="4"/>
  <c r="C364" i="4"/>
  <c r="G364" i="4"/>
  <c r="H364" i="4"/>
  <c r="I364" i="4"/>
  <c r="Q193" i="11"/>
  <c r="S193" i="11" s="1"/>
  <c r="Y193" i="11" s="1"/>
  <c r="AI193" i="11"/>
  <c r="Z927" i="11"/>
  <c r="AA927" i="11" s="1"/>
  <c r="S417" i="11"/>
  <c r="Y417" i="11" s="1"/>
  <c r="P854" i="11"/>
  <c r="X103" i="11"/>
  <c r="R103" i="11"/>
  <c r="AF668" i="11"/>
  <c r="X668" i="11"/>
  <c r="P668" i="11"/>
  <c r="H668" i="11"/>
  <c r="AE668" i="11"/>
  <c r="W668" i="11"/>
  <c r="O668" i="11"/>
  <c r="G668" i="11"/>
  <c r="AD668" i="11"/>
  <c r="V668" i="11"/>
  <c r="N668" i="11"/>
  <c r="F668" i="11"/>
  <c r="AC668" i="11"/>
  <c r="U668" i="11"/>
  <c r="M668" i="11"/>
  <c r="E668" i="11"/>
  <c r="AB668" i="11"/>
  <c r="T668" i="11"/>
  <c r="L668" i="11"/>
  <c r="AI668" i="11"/>
  <c r="AA668" i="11"/>
  <c r="S668" i="11"/>
  <c r="K668" i="11"/>
  <c r="AH668" i="11"/>
  <c r="Z668" i="11"/>
  <c r="R668" i="11"/>
  <c r="J668" i="11"/>
  <c r="I668" i="11"/>
  <c r="AG668" i="11"/>
  <c r="Y668" i="11"/>
  <c r="Q668" i="11"/>
  <c r="R24" i="11"/>
  <c r="R15" i="11"/>
  <c r="N47" i="11"/>
  <c r="F47" i="11"/>
  <c r="P47" i="11" s="1"/>
  <c r="M47" i="11"/>
  <c r="E47" i="11"/>
  <c r="AB47" i="11"/>
  <c r="AC47" i="11" s="1"/>
  <c r="L47" i="11"/>
  <c r="AI47" i="11"/>
  <c r="K47" i="11"/>
  <c r="J47" i="11"/>
  <c r="Q47" i="11"/>
  <c r="S47" i="11" s="1"/>
  <c r="Y47" i="11" s="1"/>
  <c r="I47" i="11"/>
  <c r="AF47" i="11"/>
  <c r="H47" i="11"/>
  <c r="O47" i="11"/>
  <c r="G47" i="11"/>
  <c r="S220" i="11"/>
  <c r="P220" i="11"/>
  <c r="R220" i="11" s="1"/>
  <c r="P139" i="11"/>
  <c r="R139" i="11" s="1"/>
  <c r="AI171" i="11"/>
  <c r="P407" i="11"/>
  <c r="Q407" i="11"/>
  <c r="S407" i="11" s="1"/>
  <c r="Y407" i="11" s="1"/>
  <c r="AI407" i="11"/>
  <c r="AI269" i="11"/>
  <c r="Q333" i="11"/>
  <c r="S333" i="11" s="1"/>
  <c r="Y333" i="11" s="1"/>
  <c r="P402" i="11"/>
  <c r="R402" i="11" s="1"/>
  <c r="AI363" i="11"/>
  <c r="L821" i="11"/>
  <c r="AB821" i="11" s="1"/>
  <c r="AC821" i="11" s="1"/>
  <c r="AI821" i="11"/>
  <c r="K821" i="11"/>
  <c r="O821" i="11"/>
  <c r="G821" i="11"/>
  <c r="S821" i="11" s="1"/>
  <c r="J821" i="11"/>
  <c r="I821" i="11"/>
  <c r="H821" i="11"/>
  <c r="AF821" i="11"/>
  <c r="R821" i="11"/>
  <c r="AG821" i="11" s="1"/>
  <c r="F821" i="11"/>
  <c r="Q821" i="11"/>
  <c r="E821" i="11"/>
  <c r="P821" i="11"/>
  <c r="N821" i="11"/>
  <c r="X821" i="11" s="1"/>
  <c r="M821" i="11"/>
  <c r="AD821" i="11" s="1"/>
  <c r="AB787" i="11"/>
  <c r="AC787" i="11" s="1"/>
  <c r="R900" i="11"/>
  <c r="X859" i="11"/>
  <c r="R859" i="11"/>
  <c r="Y898" i="11"/>
  <c r="Z898" i="11" s="1"/>
  <c r="AA898" i="11" s="1"/>
  <c r="X924" i="11"/>
  <c r="T924" i="11"/>
  <c r="Y991" i="11"/>
  <c r="Z991" i="11" s="1"/>
  <c r="AA991" i="11" s="1"/>
  <c r="P1011" i="11"/>
  <c r="AD1011" i="11" s="1"/>
  <c r="X966" i="11"/>
  <c r="Z966" i="11" s="1"/>
  <c r="AA966" i="11" s="1"/>
  <c r="S342" i="11"/>
  <c r="Y342" i="11" s="1"/>
  <c r="AD406" i="11"/>
  <c r="P406" i="11"/>
  <c r="R406" i="11" s="1"/>
  <c r="X406" i="11" s="1"/>
  <c r="Q406" i="11"/>
  <c r="S406" i="11" s="1"/>
  <c r="Y406" i="11" s="1"/>
  <c r="AI406" i="11"/>
  <c r="C45" i="4"/>
  <c r="B45" i="4"/>
  <c r="I45" i="4"/>
  <c r="H45" i="4"/>
  <c r="G45" i="4"/>
  <c r="F45" i="4"/>
  <c r="E45" i="4"/>
  <c r="D45" i="4"/>
  <c r="G65" i="4"/>
  <c r="C65" i="4"/>
  <c r="B65" i="4"/>
  <c r="I65" i="4"/>
  <c r="H65" i="4"/>
  <c r="F65" i="4"/>
  <c r="E65" i="4"/>
  <c r="D65" i="4"/>
  <c r="C38" i="4"/>
  <c r="B38" i="4"/>
  <c r="E38" i="4" s="1"/>
  <c r="G38" i="4"/>
  <c r="F38" i="4"/>
  <c r="H38" i="4"/>
  <c r="E32" i="4"/>
  <c r="C32" i="4"/>
  <c r="B32" i="4"/>
  <c r="G32" i="4"/>
  <c r="H32" i="4" s="1"/>
  <c r="E64" i="4"/>
  <c r="I64" i="4"/>
  <c r="H64" i="4"/>
  <c r="G64" i="4"/>
  <c r="F64" i="4"/>
  <c r="C64" i="4"/>
  <c r="B64" i="4"/>
  <c r="D64" i="4"/>
  <c r="AF624" i="11"/>
  <c r="P624" i="11"/>
  <c r="H624" i="11"/>
  <c r="O624" i="11"/>
  <c r="G624" i="11"/>
  <c r="Q624" i="11" s="1"/>
  <c r="N624" i="11"/>
  <c r="F624" i="11"/>
  <c r="M624" i="11"/>
  <c r="E624" i="11"/>
  <c r="L624" i="11"/>
  <c r="AB624" i="11" s="1"/>
  <c r="AC624" i="11" s="1"/>
  <c r="K624" i="11"/>
  <c r="J624" i="11"/>
  <c r="I624" i="11"/>
  <c r="AB478" i="11"/>
  <c r="T478" i="11"/>
  <c r="L478" i="11"/>
  <c r="AI478" i="11"/>
  <c r="AA478" i="11"/>
  <c r="S478" i="11"/>
  <c r="K478" i="11"/>
  <c r="AH478" i="11"/>
  <c r="Z478" i="11"/>
  <c r="R478" i="11"/>
  <c r="J478" i="11"/>
  <c r="AF478" i="11"/>
  <c r="X478" i="11"/>
  <c r="P478" i="11"/>
  <c r="H478" i="11"/>
  <c r="AG478" i="11"/>
  <c r="Q478" i="11"/>
  <c r="AE478" i="11"/>
  <c r="O478" i="11"/>
  <c r="AD478" i="11"/>
  <c r="N478" i="11"/>
  <c r="AC478" i="11"/>
  <c r="M478" i="11"/>
  <c r="Y478" i="11"/>
  <c r="I478" i="11"/>
  <c r="V478" i="11"/>
  <c r="U478" i="11"/>
  <c r="G478" i="11"/>
  <c r="F478" i="11"/>
  <c r="E478" i="11"/>
  <c r="W478" i="11"/>
  <c r="Q177" i="11"/>
  <c r="S177" i="11" s="1"/>
  <c r="Y177" i="11" s="1"/>
  <c r="AD177" i="11"/>
  <c r="R177" i="11"/>
  <c r="P177" i="11"/>
  <c r="Q897" i="11"/>
  <c r="S897" i="11" s="1"/>
  <c r="P897" i="11"/>
  <c r="R897" i="11" s="1"/>
  <c r="AI57" i="11"/>
  <c r="AB115" i="11"/>
  <c r="AC115" i="11" s="1"/>
  <c r="AB19" i="11"/>
  <c r="AC19" i="11" s="1"/>
  <c r="S143" i="11"/>
  <c r="Q154" i="11"/>
  <c r="AG292" i="11"/>
  <c r="AF652" i="11"/>
  <c r="H652" i="11"/>
  <c r="O652" i="11"/>
  <c r="G652" i="11"/>
  <c r="AI652" i="11" s="1"/>
  <c r="N652" i="11"/>
  <c r="F652" i="11"/>
  <c r="M652" i="11"/>
  <c r="E652" i="11"/>
  <c r="L652" i="11"/>
  <c r="AB652" i="11" s="1"/>
  <c r="AC652" i="11" s="1"/>
  <c r="K652" i="11"/>
  <c r="J652" i="11"/>
  <c r="I652" i="11"/>
  <c r="Y360" i="11"/>
  <c r="AD911" i="11"/>
  <c r="R82" i="11"/>
  <c r="P82" i="11"/>
  <c r="AG992" i="11"/>
  <c r="O943" i="11"/>
  <c r="G943" i="11"/>
  <c r="N943" i="11"/>
  <c r="F943" i="11"/>
  <c r="M943" i="11"/>
  <c r="E943" i="11"/>
  <c r="L943" i="11"/>
  <c r="AB943" i="11" s="1"/>
  <c r="AC943" i="11" s="1"/>
  <c r="K943" i="11"/>
  <c r="J943" i="11"/>
  <c r="AF943" i="11"/>
  <c r="Q943" i="11"/>
  <c r="I943" i="11"/>
  <c r="H943" i="11"/>
  <c r="P196" i="11"/>
  <c r="AD196" i="11" s="1"/>
  <c r="AI156" i="11"/>
  <c r="Q156" i="11"/>
  <c r="S156" i="11" s="1"/>
  <c r="AD156" i="11"/>
  <c r="Q187" i="11"/>
  <c r="S187" i="11" s="1"/>
  <c r="Y187" i="11" s="1"/>
  <c r="AB126" i="11"/>
  <c r="AC126" i="11" s="1"/>
  <c r="AB393" i="11"/>
  <c r="AC393" i="11" s="1"/>
  <c r="P264" i="11"/>
  <c r="Z371" i="11"/>
  <c r="AA371" i="11" s="1"/>
  <c r="AD371" i="11"/>
  <c r="AB427" i="11"/>
  <c r="AC427" i="11" s="1"/>
  <c r="AB780" i="11"/>
  <c r="AC780" i="11" s="1"/>
  <c r="AB830" i="11"/>
  <c r="AC830" i="11" s="1"/>
  <c r="R837" i="11"/>
  <c r="R799" i="11"/>
  <c r="AI990" i="11"/>
  <c r="AD990" i="11" s="1"/>
  <c r="Q1026" i="11"/>
  <c r="S1026" i="11" s="1"/>
  <c r="P1026" i="11"/>
  <c r="Y921" i="11"/>
  <c r="Q921" i="11"/>
  <c r="S921" i="11" s="1"/>
  <c r="X921" i="11"/>
  <c r="Z921" i="11" s="1"/>
  <c r="AA921" i="11" s="1"/>
  <c r="P921" i="11"/>
  <c r="AD921" i="11" s="1"/>
  <c r="AB510" i="11"/>
  <c r="T510" i="11"/>
  <c r="L510" i="11"/>
  <c r="AI510" i="11"/>
  <c r="AA510" i="11"/>
  <c r="S510" i="11"/>
  <c r="K510" i="11"/>
  <c r="AH510" i="11"/>
  <c r="Z510" i="11"/>
  <c r="R510" i="11"/>
  <c r="J510" i="11"/>
  <c r="AF510" i="11"/>
  <c r="X510" i="11"/>
  <c r="P510" i="11"/>
  <c r="H510" i="11"/>
  <c r="AG510" i="11"/>
  <c r="Q510" i="11"/>
  <c r="AE510" i="11"/>
  <c r="O510" i="11"/>
  <c r="AD510" i="11"/>
  <c r="N510" i="11"/>
  <c r="AC510" i="11"/>
  <c r="M510" i="11"/>
  <c r="Y510" i="11"/>
  <c r="I510" i="11"/>
  <c r="V510" i="11"/>
  <c r="U510" i="11"/>
  <c r="G510" i="11"/>
  <c r="F510" i="11"/>
  <c r="E510" i="11"/>
  <c r="W510" i="11"/>
  <c r="AB542" i="11"/>
  <c r="T542" i="11"/>
  <c r="L542" i="11"/>
  <c r="AI542" i="11"/>
  <c r="AA542" i="11"/>
  <c r="S542" i="11"/>
  <c r="K542" i="11"/>
  <c r="AH542" i="11"/>
  <c r="Z542" i="11"/>
  <c r="R542" i="11"/>
  <c r="J542" i="11"/>
  <c r="AG542" i="11"/>
  <c r="Y542" i="11"/>
  <c r="Q542" i="11"/>
  <c r="I542" i="11"/>
  <c r="AF542" i="11"/>
  <c r="X542" i="11"/>
  <c r="P542" i="11"/>
  <c r="H542" i="11"/>
  <c r="AD542" i="11"/>
  <c r="G542" i="11"/>
  <c r="AC542" i="11"/>
  <c r="F542" i="11"/>
  <c r="W542" i="11"/>
  <c r="E542" i="11"/>
  <c r="V542" i="11"/>
  <c r="U542" i="11"/>
  <c r="AE542" i="11"/>
  <c r="O542" i="11"/>
  <c r="N542" i="11"/>
  <c r="M542" i="11"/>
  <c r="N778" i="11"/>
  <c r="F778" i="11"/>
  <c r="M778" i="11"/>
  <c r="E778" i="11"/>
  <c r="J778" i="11"/>
  <c r="AB778" i="11"/>
  <c r="AC778" i="11" s="1"/>
  <c r="P778" i="11"/>
  <c r="O778" i="11"/>
  <c r="L778" i="11"/>
  <c r="K778" i="11"/>
  <c r="I778" i="11"/>
  <c r="H778" i="11"/>
  <c r="AF778" i="11"/>
  <c r="G778" i="11"/>
  <c r="AI778" i="11" s="1"/>
  <c r="X184" i="11"/>
  <c r="X204" i="11"/>
  <c r="X268" i="11"/>
  <c r="AB433" i="11"/>
  <c r="AC433" i="11" s="1"/>
  <c r="R428" i="11"/>
  <c r="Q845" i="11"/>
  <c r="P845" i="11"/>
  <c r="AD845" i="11" s="1"/>
  <c r="AD841" i="11"/>
  <c r="R841" i="11"/>
  <c r="AB957" i="11"/>
  <c r="AC957" i="11" s="1"/>
  <c r="AG209" i="11"/>
  <c r="T209" i="11"/>
  <c r="X209" i="11"/>
  <c r="Z209" i="11" s="1"/>
  <c r="AA209" i="11" s="1"/>
  <c r="X164" i="11"/>
  <c r="X985" i="11"/>
  <c r="Z985" i="11" s="1"/>
  <c r="AA985" i="11" s="1"/>
  <c r="R127" i="11"/>
  <c r="AI167" i="11"/>
  <c r="AI855" i="11"/>
  <c r="AD855" i="11" s="1"/>
  <c r="Y938" i="11"/>
  <c r="H281" i="4"/>
  <c r="I281" i="4"/>
  <c r="D281" i="4"/>
  <c r="C281" i="4"/>
  <c r="B281" i="4"/>
  <c r="J281" i="4"/>
  <c r="G281" i="4"/>
  <c r="F281" i="4"/>
  <c r="E281" i="4"/>
  <c r="AI66" i="3"/>
  <c r="AA66" i="3"/>
  <c r="S66" i="3"/>
  <c r="K66" i="3"/>
  <c r="C66" i="3"/>
  <c r="AH66" i="3"/>
  <c r="Z66" i="3"/>
  <c r="R66" i="3"/>
  <c r="J66" i="3"/>
  <c r="B66" i="3"/>
  <c r="AK66" i="3"/>
  <c r="Y66" i="3"/>
  <c r="O66" i="3"/>
  <c r="E66" i="3"/>
  <c r="AJ66" i="3"/>
  <c r="X66" i="3"/>
  <c r="N66" i="3"/>
  <c r="D66" i="3"/>
  <c r="AG66" i="3"/>
  <c r="W66" i="3"/>
  <c r="M66" i="3"/>
  <c r="AM66" i="3"/>
  <c r="Q66" i="3"/>
  <c r="AB66" i="3"/>
  <c r="F66" i="3"/>
  <c r="AF66" i="3"/>
  <c r="V66" i="3"/>
  <c r="L66" i="3"/>
  <c r="AN66" i="3"/>
  <c r="T66" i="3"/>
  <c r="AC66" i="3"/>
  <c r="G66" i="3"/>
  <c r="AO66" i="3"/>
  <c r="AE66" i="3"/>
  <c r="U66" i="3"/>
  <c r="I66" i="3"/>
  <c r="AD66" i="3"/>
  <c r="H66" i="3"/>
  <c r="AL66" i="3"/>
  <c r="P66" i="3"/>
  <c r="B44" i="3"/>
  <c r="C44" i="3"/>
  <c r="E44" i="3"/>
  <c r="D44" i="3"/>
  <c r="AD344" i="11"/>
  <c r="S344" i="11"/>
  <c r="Y344" i="11" s="1"/>
  <c r="AI909" i="11"/>
  <c r="AI106" i="11"/>
  <c r="P16" i="11"/>
  <c r="R16" i="11" s="1"/>
  <c r="P337" i="11"/>
  <c r="AD340" i="11"/>
  <c r="S340" i="11"/>
  <c r="Y340" i="11" s="1"/>
  <c r="N782" i="11"/>
  <c r="F782" i="11"/>
  <c r="M782" i="11"/>
  <c r="E782" i="11"/>
  <c r="J782" i="11"/>
  <c r="AB782" i="11"/>
  <c r="AC782" i="11" s="1"/>
  <c r="P782" i="11"/>
  <c r="O782" i="11"/>
  <c r="L782" i="11"/>
  <c r="K782" i="11"/>
  <c r="I782" i="11"/>
  <c r="H782" i="11"/>
  <c r="AF782" i="11"/>
  <c r="G782" i="11"/>
  <c r="AI782" i="11" s="1"/>
  <c r="Q153" i="11"/>
  <c r="Y850" i="11"/>
  <c r="Z850" i="11" s="1"/>
  <c r="AA850" i="11" s="1"/>
  <c r="AI399" i="11"/>
  <c r="AD399" i="11" s="1"/>
  <c r="R265" i="11"/>
  <c r="N812" i="11"/>
  <c r="F812" i="11"/>
  <c r="M812" i="11"/>
  <c r="E812" i="11"/>
  <c r="L812" i="11"/>
  <c r="K812" i="11"/>
  <c r="I812" i="11"/>
  <c r="H812" i="11"/>
  <c r="AB812" i="11" s="1"/>
  <c r="AC812" i="11" s="1"/>
  <c r="Q812" i="11"/>
  <c r="G812" i="11"/>
  <c r="P812" i="11"/>
  <c r="O812" i="11"/>
  <c r="J812" i="11"/>
  <c r="AF812" i="11"/>
  <c r="R635" i="11"/>
  <c r="Q777" i="11"/>
  <c r="Q793" i="11"/>
  <c r="AI793" i="11"/>
  <c r="S793" i="11" s="1"/>
  <c r="T783" i="11"/>
  <c r="P962" i="11"/>
  <c r="R962" i="11" s="1"/>
  <c r="R938" i="11"/>
  <c r="X1017" i="11"/>
  <c r="Z1017" i="11" s="1"/>
  <c r="AA1017" i="11" s="1"/>
  <c r="AI1049" i="11"/>
  <c r="H233" i="4"/>
  <c r="D233" i="4"/>
  <c r="I233" i="4"/>
  <c r="G233" i="4"/>
  <c r="F233" i="4"/>
  <c r="J233" i="4"/>
  <c r="C233" i="4"/>
  <c r="B233" i="4"/>
  <c r="E233" i="4"/>
  <c r="F182" i="4"/>
  <c r="B182" i="4"/>
  <c r="G182" i="4"/>
  <c r="E182" i="4"/>
  <c r="D182" i="4"/>
  <c r="J182" i="4"/>
  <c r="I182" i="4"/>
  <c r="H182" i="4"/>
  <c r="C182" i="4"/>
  <c r="G81" i="4"/>
  <c r="C81" i="4"/>
  <c r="J81" i="4"/>
  <c r="B81" i="4"/>
  <c r="H81" i="4"/>
  <c r="F81" i="4"/>
  <c r="E81" i="4"/>
  <c r="D81" i="4"/>
  <c r="I81" i="4"/>
  <c r="F206" i="4"/>
  <c r="I206" i="4"/>
  <c r="D206" i="4"/>
  <c r="B206" i="4"/>
  <c r="C206" i="4"/>
  <c r="J206" i="4"/>
  <c r="H206" i="4"/>
  <c r="G206" i="4"/>
  <c r="E206" i="4"/>
  <c r="F334" i="4"/>
  <c r="I334" i="4"/>
  <c r="D334" i="4"/>
  <c r="C334" i="4"/>
  <c r="B334" i="4"/>
  <c r="J334" i="4"/>
  <c r="H334" i="4"/>
  <c r="G334" i="4"/>
  <c r="E334" i="4"/>
  <c r="H101" i="4"/>
  <c r="G101" i="4"/>
  <c r="C101" i="4"/>
  <c r="B101" i="4"/>
  <c r="J101" i="4"/>
  <c r="I101" i="4"/>
  <c r="F101" i="4"/>
  <c r="D101" i="4"/>
  <c r="E101" i="4"/>
  <c r="D191" i="4"/>
  <c r="C191" i="4"/>
  <c r="H191" i="4"/>
  <c r="G191" i="4"/>
  <c r="F191" i="4"/>
  <c r="J191" i="4"/>
  <c r="I191" i="4"/>
  <c r="E191" i="4"/>
  <c r="B191" i="4"/>
  <c r="D319" i="4"/>
  <c r="C319" i="4"/>
  <c r="H319" i="4"/>
  <c r="G319" i="4"/>
  <c r="F319" i="4"/>
  <c r="J319" i="4"/>
  <c r="I319" i="4"/>
  <c r="E319" i="4"/>
  <c r="B319" i="4"/>
  <c r="H193" i="4"/>
  <c r="B193" i="4"/>
  <c r="F193" i="4"/>
  <c r="E193" i="4"/>
  <c r="D193" i="4"/>
  <c r="J193" i="4"/>
  <c r="I193" i="4"/>
  <c r="G193" i="4"/>
  <c r="C193" i="4"/>
  <c r="F122" i="4"/>
  <c r="H122" i="4"/>
  <c r="C122" i="4"/>
  <c r="B122" i="4"/>
  <c r="G122" i="4"/>
  <c r="E122" i="4"/>
  <c r="D122" i="4"/>
  <c r="J122" i="4"/>
  <c r="I122" i="4"/>
  <c r="J232" i="4"/>
  <c r="B232" i="4"/>
  <c r="E232" i="4"/>
  <c r="I232" i="4"/>
  <c r="H232" i="4"/>
  <c r="G232" i="4"/>
  <c r="F232" i="4"/>
  <c r="D232" i="4"/>
  <c r="C232" i="4"/>
  <c r="J360" i="4"/>
  <c r="B360" i="4"/>
  <c r="E360" i="4"/>
  <c r="I360" i="4"/>
  <c r="H360" i="4"/>
  <c r="G360" i="4"/>
  <c r="F360" i="4"/>
  <c r="D360" i="4"/>
  <c r="C360" i="4"/>
  <c r="J328" i="4"/>
  <c r="B328" i="4"/>
  <c r="E328" i="4"/>
  <c r="I328" i="4"/>
  <c r="H328" i="4"/>
  <c r="G328" i="4"/>
  <c r="C328" i="4"/>
  <c r="F328" i="4"/>
  <c r="D328" i="4"/>
  <c r="H137" i="4"/>
  <c r="D137" i="4"/>
  <c r="I137" i="4"/>
  <c r="G137" i="4"/>
  <c r="C137" i="4"/>
  <c r="B137" i="4"/>
  <c r="J137" i="4"/>
  <c r="F137" i="4"/>
  <c r="E137" i="4"/>
  <c r="J276" i="4"/>
  <c r="B276" i="4"/>
  <c r="D276" i="4"/>
  <c r="H276" i="4"/>
  <c r="G276" i="4"/>
  <c r="F276" i="4"/>
  <c r="E276" i="4"/>
  <c r="C276" i="4"/>
  <c r="I276" i="4"/>
  <c r="C79" i="4"/>
  <c r="G79" i="4"/>
  <c r="F79" i="4"/>
  <c r="B79" i="4"/>
  <c r="D79" i="4"/>
  <c r="J79" i="4"/>
  <c r="E79" i="4"/>
  <c r="I79" i="4"/>
  <c r="H79" i="4"/>
  <c r="J192" i="4"/>
  <c r="B192" i="4"/>
  <c r="C192" i="4"/>
  <c r="G192" i="4"/>
  <c r="F192" i="4"/>
  <c r="E192" i="4"/>
  <c r="D192" i="4"/>
  <c r="I192" i="4"/>
  <c r="H192" i="4"/>
  <c r="J320" i="4"/>
  <c r="B320" i="4"/>
  <c r="C320" i="4"/>
  <c r="G320" i="4"/>
  <c r="F320" i="4"/>
  <c r="E320" i="4"/>
  <c r="D320" i="4"/>
  <c r="H320" i="4"/>
  <c r="I320" i="4"/>
  <c r="H149" i="4"/>
  <c r="C149" i="4"/>
  <c r="G149" i="4"/>
  <c r="F149" i="4"/>
  <c r="J149" i="4"/>
  <c r="D149" i="4"/>
  <c r="B149" i="4"/>
  <c r="I149" i="4"/>
  <c r="E149" i="4"/>
  <c r="H249" i="4"/>
  <c r="I249" i="4"/>
  <c r="D249" i="4"/>
  <c r="C249" i="4"/>
  <c r="B249" i="4"/>
  <c r="E249" i="4"/>
  <c r="F249" i="4"/>
  <c r="J249" i="4"/>
  <c r="G249" i="4"/>
  <c r="D175" i="4"/>
  <c r="H175" i="4"/>
  <c r="C175" i="4"/>
  <c r="B175" i="4"/>
  <c r="J175" i="4"/>
  <c r="I175" i="4"/>
  <c r="G175" i="4"/>
  <c r="F175" i="4"/>
  <c r="E175" i="4"/>
  <c r="F346" i="4"/>
  <c r="H346" i="4"/>
  <c r="C346" i="4"/>
  <c r="B346" i="4"/>
  <c r="J346" i="4"/>
  <c r="D346" i="4"/>
  <c r="E346" i="4"/>
  <c r="I346" i="4"/>
  <c r="G346" i="4"/>
  <c r="J292" i="4"/>
  <c r="B292" i="4"/>
  <c r="H292" i="4"/>
  <c r="D292" i="4"/>
  <c r="C292" i="4"/>
  <c r="I292" i="4"/>
  <c r="G292" i="4"/>
  <c r="F292" i="4"/>
  <c r="E292" i="4"/>
  <c r="D251" i="4"/>
  <c r="G251" i="4"/>
  <c r="B251" i="4"/>
  <c r="J251" i="4"/>
  <c r="I251" i="4"/>
  <c r="F251" i="4"/>
  <c r="E251" i="4"/>
  <c r="C251" i="4"/>
  <c r="H251" i="4"/>
  <c r="H357" i="4"/>
  <c r="G357" i="4"/>
  <c r="C357" i="4"/>
  <c r="B357" i="4"/>
  <c r="J357" i="4"/>
  <c r="D357" i="4"/>
  <c r="E357" i="4"/>
  <c r="I357" i="4"/>
  <c r="F357" i="4"/>
  <c r="J176" i="4"/>
  <c r="B176" i="4"/>
  <c r="G176" i="4"/>
  <c r="C176" i="4"/>
  <c r="I176" i="4"/>
  <c r="E176" i="4"/>
  <c r="H176" i="4"/>
  <c r="F176" i="4"/>
  <c r="D176" i="4"/>
  <c r="J272" i="4"/>
  <c r="B272" i="4"/>
  <c r="G272" i="4"/>
  <c r="C272" i="4"/>
  <c r="I272" i="4"/>
  <c r="H272" i="4"/>
  <c r="F272" i="4"/>
  <c r="E272" i="4"/>
  <c r="D272" i="4"/>
  <c r="H337" i="4"/>
  <c r="F337" i="4"/>
  <c r="B337" i="4"/>
  <c r="J337" i="4"/>
  <c r="I337" i="4"/>
  <c r="C337" i="4"/>
  <c r="D337" i="4"/>
  <c r="G337" i="4"/>
  <c r="E337" i="4"/>
  <c r="H93" i="4"/>
  <c r="E93" i="4"/>
  <c r="J93" i="4"/>
  <c r="I93" i="4"/>
  <c r="D93" i="4"/>
  <c r="C93" i="4"/>
  <c r="B93" i="4"/>
  <c r="F93" i="4"/>
  <c r="G93" i="4"/>
  <c r="H157" i="4"/>
  <c r="E157" i="4"/>
  <c r="J157" i="4"/>
  <c r="I157" i="4"/>
  <c r="G157" i="4"/>
  <c r="F157" i="4"/>
  <c r="D157" i="4"/>
  <c r="C157" i="4"/>
  <c r="B157" i="4"/>
  <c r="H221" i="4"/>
  <c r="E221" i="4"/>
  <c r="J221" i="4"/>
  <c r="I221" i="4"/>
  <c r="G221" i="4"/>
  <c r="F221" i="4"/>
  <c r="D221" i="4"/>
  <c r="C221" i="4"/>
  <c r="B221" i="4"/>
  <c r="H285" i="4"/>
  <c r="E285" i="4"/>
  <c r="J285" i="4"/>
  <c r="I285" i="4"/>
  <c r="G285" i="4"/>
  <c r="F285" i="4"/>
  <c r="D285" i="4"/>
  <c r="C285" i="4"/>
  <c r="B285" i="4"/>
  <c r="H349" i="4"/>
  <c r="E349" i="4"/>
  <c r="J349" i="4"/>
  <c r="I349" i="4"/>
  <c r="G349" i="4"/>
  <c r="F349" i="4"/>
  <c r="D349" i="4"/>
  <c r="C349" i="4"/>
  <c r="B349" i="4"/>
  <c r="H109" i="4"/>
  <c r="J109" i="4"/>
  <c r="E109" i="4"/>
  <c r="D109" i="4"/>
  <c r="F109" i="4"/>
  <c r="C109" i="4"/>
  <c r="B109" i="4"/>
  <c r="I109" i="4"/>
  <c r="G109" i="4"/>
  <c r="H173" i="4"/>
  <c r="J173" i="4"/>
  <c r="E173" i="4"/>
  <c r="D173" i="4"/>
  <c r="I173" i="4"/>
  <c r="G173" i="4"/>
  <c r="F173" i="4"/>
  <c r="B173" i="4"/>
  <c r="C173" i="4"/>
  <c r="H237" i="4"/>
  <c r="J237" i="4"/>
  <c r="E237" i="4"/>
  <c r="D237" i="4"/>
  <c r="C237" i="4"/>
  <c r="I237" i="4"/>
  <c r="G237" i="4"/>
  <c r="F237" i="4"/>
  <c r="B237" i="4"/>
  <c r="H301" i="4"/>
  <c r="J301" i="4"/>
  <c r="E301" i="4"/>
  <c r="D301" i="4"/>
  <c r="C301" i="4"/>
  <c r="I301" i="4"/>
  <c r="G301" i="4"/>
  <c r="F301" i="4"/>
  <c r="B301" i="4"/>
  <c r="H365" i="4"/>
  <c r="J365" i="4"/>
  <c r="E365" i="4"/>
  <c r="D365" i="4"/>
  <c r="C365" i="4"/>
  <c r="I365" i="4"/>
  <c r="G365" i="4"/>
  <c r="F365" i="4"/>
  <c r="B365" i="4"/>
  <c r="AD336" i="11"/>
  <c r="P408" i="11"/>
  <c r="R408" i="11" s="1"/>
  <c r="AF46" i="11"/>
  <c r="P46" i="11"/>
  <c r="H46" i="11"/>
  <c r="O46" i="11"/>
  <c r="G46" i="11"/>
  <c r="N46" i="11"/>
  <c r="F46" i="11"/>
  <c r="M46" i="11"/>
  <c r="E46" i="11"/>
  <c r="L46" i="11"/>
  <c r="AB46" i="11" s="1"/>
  <c r="AC46" i="11" s="1"/>
  <c r="K46" i="11"/>
  <c r="J46" i="11"/>
  <c r="I46" i="11"/>
  <c r="AF672" i="11"/>
  <c r="X672" i="11"/>
  <c r="P672" i="11"/>
  <c r="H672" i="11"/>
  <c r="AE672" i="11"/>
  <c r="W672" i="11"/>
  <c r="O672" i="11"/>
  <c r="G672" i="11"/>
  <c r="AD672" i="11"/>
  <c r="V672" i="11"/>
  <c r="N672" i="11"/>
  <c r="F672" i="11"/>
  <c r="AC672" i="11"/>
  <c r="U672" i="11"/>
  <c r="M672" i="11"/>
  <c r="E672" i="11"/>
  <c r="AB672" i="11"/>
  <c r="T672" i="11"/>
  <c r="L672" i="11"/>
  <c r="AI672" i="11"/>
  <c r="AA672" i="11"/>
  <c r="S672" i="11"/>
  <c r="K672" i="11"/>
  <c r="AH672" i="11"/>
  <c r="Z672" i="11"/>
  <c r="R672" i="11"/>
  <c r="J672" i="11"/>
  <c r="I672" i="11"/>
  <c r="AG672" i="11"/>
  <c r="Y672" i="11"/>
  <c r="Q672" i="11"/>
  <c r="Q109" i="11"/>
  <c r="R109" i="11"/>
  <c r="X109" i="11" s="1"/>
  <c r="P202" i="11"/>
  <c r="S202" i="11"/>
  <c r="Y202" i="11" s="1"/>
  <c r="R202" i="11"/>
  <c r="Q202" i="11"/>
  <c r="R179" i="11"/>
  <c r="Q353" i="11"/>
  <c r="AD353" i="11" s="1"/>
  <c r="T288" i="11"/>
  <c r="AB288" i="11"/>
  <c r="AC288" i="11" s="1"/>
  <c r="AB407" i="11"/>
  <c r="AC407" i="11" s="1"/>
  <c r="AC333" i="11"/>
  <c r="AB395" i="11"/>
  <c r="AC395" i="11" s="1"/>
  <c r="S788" i="11"/>
  <c r="X852" i="11"/>
  <c r="Y852" i="11"/>
  <c r="Q952" i="11"/>
  <c r="AI952" i="11"/>
  <c r="S952" i="11" s="1"/>
  <c r="Y952" i="11"/>
  <c r="X952" i="11"/>
  <c r="X942" i="11"/>
  <c r="Y1030" i="11"/>
  <c r="Q991" i="11"/>
  <c r="S991" i="11" s="1"/>
  <c r="P1003" i="11"/>
  <c r="Y1042" i="11"/>
  <c r="P419" i="11"/>
  <c r="AI419" i="11"/>
  <c r="AD419" i="11" s="1"/>
  <c r="S419" i="11"/>
  <c r="Y419" i="11" s="1"/>
  <c r="Q419" i="11"/>
  <c r="X813" i="11"/>
  <c r="Z813" i="11" s="1"/>
  <c r="AA813" i="11" s="1"/>
  <c r="P287" i="11"/>
  <c r="AD287" i="11" s="1"/>
  <c r="AD331" i="11"/>
  <c r="AD413" i="11"/>
  <c r="R413" i="11"/>
  <c r="AI66" i="11"/>
  <c r="Q66" i="11"/>
  <c r="S66" i="11" s="1"/>
  <c r="Y66" i="11"/>
  <c r="AB66" i="11"/>
  <c r="AC66" i="11" s="1"/>
  <c r="P895" i="11"/>
  <c r="Q1027" i="11"/>
  <c r="AB1040" i="11"/>
  <c r="AC1040" i="11" s="1"/>
  <c r="P18" i="11"/>
  <c r="AI18" i="11"/>
  <c r="AD101" i="11"/>
  <c r="Z101" i="11"/>
  <c r="AA101" i="11" s="1"/>
  <c r="AB57" i="11"/>
  <c r="AC57" i="11" s="1"/>
  <c r="AH1231" i="11"/>
  <c r="Z1231" i="11"/>
  <c r="R1231" i="11"/>
  <c r="J1231" i="11"/>
  <c r="AF1231" i="11"/>
  <c r="W1231" i="11"/>
  <c r="N1231" i="11"/>
  <c r="E1231" i="11"/>
  <c r="AD1231" i="11"/>
  <c r="U1231" i="11"/>
  <c r="L1231" i="11"/>
  <c r="AB1231" i="11"/>
  <c r="S1231" i="11"/>
  <c r="I1231" i="11"/>
  <c r="AA1231" i="11"/>
  <c r="Q1231" i="11"/>
  <c r="H1231" i="11"/>
  <c r="V1231" i="11"/>
  <c r="T1231" i="11"/>
  <c r="AI1231" i="11"/>
  <c r="P1231" i="11"/>
  <c r="AG1231" i="11"/>
  <c r="O1231" i="11"/>
  <c r="AE1231" i="11"/>
  <c r="M1231" i="11"/>
  <c r="X1231" i="11"/>
  <c r="K1231" i="11"/>
  <c r="G1231" i="11"/>
  <c r="F1231" i="11"/>
  <c r="AC1231" i="11"/>
  <c r="Y1231" i="11"/>
  <c r="AB260" i="11"/>
  <c r="AC260" i="11" s="1"/>
  <c r="AG334" i="11"/>
  <c r="P766" i="11"/>
  <c r="R766" i="11" s="1"/>
  <c r="Q766" i="11"/>
  <c r="S766" i="11" s="1"/>
  <c r="AF620" i="11"/>
  <c r="H620" i="11"/>
  <c r="O620" i="11"/>
  <c r="G620" i="11"/>
  <c r="P620" i="11" s="1"/>
  <c r="N620" i="11"/>
  <c r="F620" i="11"/>
  <c r="M620" i="11"/>
  <c r="E620" i="11"/>
  <c r="AI620" i="11"/>
  <c r="K620" i="11"/>
  <c r="J620" i="11"/>
  <c r="L620" i="11"/>
  <c r="AB620" i="11" s="1"/>
  <c r="AC620" i="11" s="1"/>
  <c r="I620" i="11"/>
  <c r="X82" i="11"/>
  <c r="AB870" i="11"/>
  <c r="AC870" i="11" s="1"/>
  <c r="AC22" i="11"/>
  <c r="Y834" i="11"/>
  <c r="AC29" i="11"/>
  <c r="O947" i="11"/>
  <c r="G947" i="11"/>
  <c r="N947" i="11"/>
  <c r="F947" i="11"/>
  <c r="M947" i="11"/>
  <c r="E947" i="11"/>
  <c r="L947" i="11"/>
  <c r="AB947" i="11" s="1"/>
  <c r="AC947" i="11" s="1"/>
  <c r="K947" i="11"/>
  <c r="J947" i="11"/>
  <c r="AF947" i="11"/>
  <c r="Q947" i="11"/>
  <c r="I947" i="11"/>
  <c r="H947" i="11"/>
  <c r="S64" i="11"/>
  <c r="Y64" i="11" s="1"/>
  <c r="Q118" i="11"/>
  <c r="S118" i="11"/>
  <c r="Y118" i="11" s="1"/>
  <c r="AI118" i="11"/>
  <c r="AD118" i="11" s="1"/>
  <c r="X187" i="11"/>
  <c r="AI286" i="11"/>
  <c r="Q286" i="11"/>
  <c r="S286" i="11" s="1"/>
  <c r="Y286" i="11" s="1"/>
  <c r="P286" i="11"/>
  <c r="R286" i="11" s="1"/>
  <c r="Y780" i="11"/>
  <c r="Z780" i="11" s="1"/>
  <c r="AA780" i="11" s="1"/>
  <c r="Y830" i="11"/>
  <c r="X830" i="11"/>
  <c r="S837" i="11"/>
  <c r="Y908" i="11"/>
  <c r="AB867" i="11"/>
  <c r="AC867" i="11" s="1"/>
  <c r="AI848" i="11"/>
  <c r="AD848" i="11" s="1"/>
  <c r="R848" i="11"/>
  <c r="AB990" i="11"/>
  <c r="AC990" i="11" s="1"/>
  <c r="AD279" i="11"/>
  <c r="Z279" i="11"/>
  <c r="AA279" i="11" s="1"/>
  <c r="AG279" i="11"/>
  <c r="AB514" i="11"/>
  <c r="T514" i="11"/>
  <c r="L514" i="11"/>
  <c r="AI514" i="11"/>
  <c r="AA514" i="11"/>
  <c r="S514" i="11"/>
  <c r="K514" i="11"/>
  <c r="AH514" i="11"/>
  <c r="Z514" i="11"/>
  <c r="R514" i="11"/>
  <c r="J514" i="11"/>
  <c r="AF514" i="11"/>
  <c r="X514" i="11"/>
  <c r="P514" i="11"/>
  <c r="H514" i="11"/>
  <c r="AG514" i="11"/>
  <c r="Q514" i="11"/>
  <c r="AE514" i="11"/>
  <c r="O514" i="11"/>
  <c r="AD514" i="11"/>
  <c r="N514" i="11"/>
  <c r="AC514" i="11"/>
  <c r="M514" i="11"/>
  <c r="Y514" i="11"/>
  <c r="I514" i="11"/>
  <c r="V514" i="11"/>
  <c r="U514" i="11"/>
  <c r="G514" i="11"/>
  <c r="F514" i="11"/>
  <c r="E514" i="11"/>
  <c r="W514" i="11"/>
  <c r="AC98" i="11"/>
  <c r="R117" i="11"/>
  <c r="X117" i="11"/>
  <c r="Q117" i="11"/>
  <c r="S117" i="11" s="1"/>
  <c r="Y117" i="11" s="1"/>
  <c r="AI117" i="11"/>
  <c r="AD117" i="11"/>
  <c r="AI128" i="11"/>
  <c r="Q128" i="11"/>
  <c r="S128" i="11" s="1"/>
  <c r="Y128" i="11" s="1"/>
  <c r="AB397" i="11"/>
  <c r="AC397" i="11" s="1"/>
  <c r="Z350" i="11"/>
  <c r="AA350" i="11" s="1"/>
  <c r="S994" i="11"/>
  <c r="AB1018" i="11"/>
  <c r="AC1018" i="11" s="1"/>
  <c r="Q916" i="11"/>
  <c r="AI916" i="11"/>
  <c r="S916" i="11" s="1"/>
  <c r="X916" i="11"/>
  <c r="P916" i="11"/>
  <c r="AB993" i="11"/>
  <c r="AC993" i="11" s="1"/>
  <c r="X986" i="11"/>
  <c r="Z986" i="11"/>
  <c r="AA986" i="11" s="1"/>
  <c r="T986" i="11"/>
  <c r="R986" i="11"/>
  <c r="AG986" i="11" s="1"/>
  <c r="Y986" i="11"/>
  <c r="AB974" i="11"/>
  <c r="AC974" i="11" s="1"/>
  <c r="AG114" i="11"/>
  <c r="X114" i="11"/>
  <c r="X272" i="11"/>
  <c r="X347" i="11"/>
  <c r="X432" i="11"/>
  <c r="Y877" i="11"/>
  <c r="R877" i="11"/>
  <c r="S1015" i="11"/>
  <c r="AD205" i="11"/>
  <c r="AD216" i="11"/>
  <c r="AD276" i="11"/>
  <c r="AD390" i="11"/>
  <c r="AI235" i="11"/>
  <c r="AA235" i="11"/>
  <c r="S235" i="11"/>
  <c r="K235" i="11"/>
  <c r="AH235" i="11"/>
  <c r="Z235" i="11"/>
  <c r="R235" i="11"/>
  <c r="J235" i="11"/>
  <c r="AG235" i="11"/>
  <c r="W235" i="11"/>
  <c r="M235" i="11"/>
  <c r="AF235" i="11"/>
  <c r="V235" i="11"/>
  <c r="L235" i="11"/>
  <c r="AE235" i="11"/>
  <c r="U235" i="11"/>
  <c r="I235" i="11"/>
  <c r="AD235" i="11"/>
  <c r="T235" i="11"/>
  <c r="H235" i="11"/>
  <c r="AC235" i="11"/>
  <c r="Q235" i="11"/>
  <c r="G235" i="11"/>
  <c r="AB235" i="11"/>
  <c r="P235" i="11"/>
  <c r="F235" i="11"/>
  <c r="X235" i="11"/>
  <c r="O235" i="11"/>
  <c r="N235" i="11"/>
  <c r="E235" i="11"/>
  <c r="Y235" i="11"/>
  <c r="N770" i="11"/>
  <c r="F770" i="11"/>
  <c r="M770" i="11"/>
  <c r="E770" i="11"/>
  <c r="J770" i="11"/>
  <c r="AB770" i="11"/>
  <c r="AC770" i="11" s="1"/>
  <c r="O770" i="11"/>
  <c r="L770" i="11"/>
  <c r="K770" i="11"/>
  <c r="I770" i="11"/>
  <c r="H770" i="11"/>
  <c r="AF770" i="11"/>
  <c r="G770" i="11"/>
  <c r="AI251" i="11"/>
  <c r="AA251" i="11"/>
  <c r="S251" i="11"/>
  <c r="K251" i="11"/>
  <c r="AH251" i="11"/>
  <c r="Z251" i="11"/>
  <c r="R251" i="11"/>
  <c r="J251" i="11"/>
  <c r="AF251" i="11"/>
  <c r="X251" i="11"/>
  <c r="P251" i="11"/>
  <c r="H251" i="11"/>
  <c r="AD251" i="11"/>
  <c r="V251" i="11"/>
  <c r="N251" i="11"/>
  <c r="F251" i="11"/>
  <c r="AC251" i="11"/>
  <c r="M251" i="11"/>
  <c r="AB251" i="11"/>
  <c r="L251" i="11"/>
  <c r="Y251" i="11"/>
  <c r="I251" i="11"/>
  <c r="W251" i="11"/>
  <c r="G251" i="11"/>
  <c r="U251" i="11"/>
  <c r="E251" i="11"/>
  <c r="T251" i="11"/>
  <c r="AG251" i="11"/>
  <c r="AE251" i="11"/>
  <c r="Q251" i="11"/>
  <c r="O251" i="11"/>
  <c r="X1035" i="11"/>
  <c r="S97" i="11"/>
  <c r="X124" i="11"/>
  <c r="R124" i="11"/>
  <c r="AI20" i="11"/>
  <c r="AI941" i="11"/>
  <c r="X941" i="11" s="1"/>
  <c r="P87" i="11"/>
  <c r="R87" i="11" s="1"/>
  <c r="AI203" i="11"/>
  <c r="AD203" i="11" s="1"/>
  <c r="R142" i="11"/>
  <c r="P142" i="11"/>
  <c r="AD142" i="11" s="1"/>
  <c r="AI403" i="11"/>
  <c r="R404" i="11"/>
  <c r="T404" i="11" s="1"/>
  <c r="S94" i="11"/>
  <c r="T94" i="11" s="1"/>
  <c r="Q1000" i="11"/>
  <c r="AI1000" i="11"/>
  <c r="J49" i="11"/>
  <c r="Q49" i="11"/>
  <c r="I49" i="11"/>
  <c r="AF49" i="11"/>
  <c r="H49" i="11"/>
  <c r="O49" i="11"/>
  <c r="G49" i="11"/>
  <c r="AD49" i="11" s="1"/>
  <c r="N49" i="11"/>
  <c r="F49" i="11"/>
  <c r="P49" i="11" s="1"/>
  <c r="M49" i="11"/>
  <c r="S49" i="11" s="1"/>
  <c r="Y49" i="11" s="1"/>
  <c r="E49" i="11"/>
  <c r="L49" i="11"/>
  <c r="R49" i="11" s="1"/>
  <c r="AI49" i="11"/>
  <c r="K49" i="11"/>
  <c r="P97" i="11"/>
  <c r="R97" i="11" s="1"/>
  <c r="AI124" i="11"/>
  <c r="Q124" i="11"/>
  <c r="S124" i="11" s="1"/>
  <c r="Y124" i="11" s="1"/>
  <c r="R11" i="11"/>
  <c r="T11" i="11" s="1"/>
  <c r="R207" i="11"/>
  <c r="P391" i="11"/>
  <c r="P429" i="11"/>
  <c r="R429" i="11" s="1"/>
  <c r="AI642" i="11"/>
  <c r="Q643" i="11"/>
  <c r="AD643" i="11" s="1"/>
  <c r="Q629" i="11"/>
  <c r="AD629" i="11" s="1"/>
  <c r="S629" i="11"/>
  <c r="T629" i="11" s="1"/>
  <c r="P772" i="11"/>
  <c r="Q772" i="11"/>
  <c r="T807" i="11"/>
  <c r="X807" i="11"/>
  <c r="Z807" i="11" s="1"/>
  <c r="AA807" i="11" s="1"/>
  <c r="X783" i="11"/>
  <c r="AI940" i="11"/>
  <c r="Q873" i="11"/>
  <c r="AD892" i="11"/>
  <c r="S938" i="11"/>
  <c r="T938" i="11"/>
  <c r="X938" i="11"/>
  <c r="Z938" i="11" s="1"/>
  <c r="AA938" i="11" s="1"/>
  <c r="R987" i="11"/>
  <c r="Y981" i="11"/>
  <c r="Z981" i="11" s="1"/>
  <c r="AA981" i="11" s="1"/>
  <c r="AD981" i="11"/>
  <c r="Q829" i="11"/>
  <c r="D275" i="4"/>
  <c r="E275" i="4"/>
  <c r="I275" i="4"/>
  <c r="H275" i="4"/>
  <c r="G275" i="4"/>
  <c r="J275" i="4"/>
  <c r="C275" i="4"/>
  <c r="B275" i="4"/>
  <c r="F275" i="4"/>
  <c r="D235" i="4"/>
  <c r="B235" i="4"/>
  <c r="G235" i="4"/>
  <c r="F235" i="4"/>
  <c r="E235" i="4"/>
  <c r="J235" i="4"/>
  <c r="I235" i="4"/>
  <c r="H235" i="4"/>
  <c r="C235" i="4"/>
  <c r="H97" i="4"/>
  <c r="B97" i="4"/>
  <c r="F97" i="4"/>
  <c r="E97" i="4"/>
  <c r="I97" i="4"/>
  <c r="G97" i="4"/>
  <c r="D97" i="4"/>
  <c r="C97" i="4"/>
  <c r="J97" i="4"/>
  <c r="H217" i="4"/>
  <c r="I217" i="4"/>
  <c r="D217" i="4"/>
  <c r="C217" i="4"/>
  <c r="B217" i="4"/>
  <c r="J217" i="4"/>
  <c r="G217" i="4"/>
  <c r="F217" i="4"/>
  <c r="E217" i="4"/>
  <c r="H345" i="4"/>
  <c r="I345" i="4"/>
  <c r="D345" i="4"/>
  <c r="C345" i="4"/>
  <c r="B345" i="4"/>
  <c r="J345" i="4"/>
  <c r="G345" i="4"/>
  <c r="F345" i="4"/>
  <c r="E345" i="4"/>
  <c r="J104" i="4"/>
  <c r="B104" i="4"/>
  <c r="E104" i="4"/>
  <c r="I104" i="4"/>
  <c r="H104" i="4"/>
  <c r="G104" i="4"/>
  <c r="F104" i="4"/>
  <c r="D104" i="4"/>
  <c r="C104" i="4"/>
  <c r="F202" i="4"/>
  <c r="C202" i="4"/>
  <c r="H202" i="4"/>
  <c r="E202" i="4"/>
  <c r="G202" i="4"/>
  <c r="J202" i="4"/>
  <c r="I202" i="4"/>
  <c r="B202" i="4"/>
  <c r="D202" i="4"/>
  <c r="F330" i="4"/>
  <c r="C330" i="4"/>
  <c r="H330" i="4"/>
  <c r="G330" i="4"/>
  <c r="E330" i="4"/>
  <c r="J330" i="4"/>
  <c r="I330" i="4"/>
  <c r="D330" i="4"/>
  <c r="B330" i="4"/>
  <c r="J224" i="4"/>
  <c r="B224" i="4"/>
  <c r="C224" i="4"/>
  <c r="G224" i="4"/>
  <c r="F224" i="4"/>
  <c r="E224" i="4"/>
  <c r="I224" i="4"/>
  <c r="H224" i="4"/>
  <c r="D224" i="4"/>
  <c r="D147" i="4"/>
  <c r="E147" i="4"/>
  <c r="I147" i="4"/>
  <c r="H147" i="4"/>
  <c r="F147" i="4"/>
  <c r="C147" i="4"/>
  <c r="B147" i="4"/>
  <c r="J147" i="4"/>
  <c r="G147" i="4"/>
  <c r="D243" i="4"/>
  <c r="E243" i="4"/>
  <c r="I243" i="4"/>
  <c r="H243" i="4"/>
  <c r="G243" i="4"/>
  <c r="F243" i="4"/>
  <c r="C243" i="4"/>
  <c r="B243" i="4"/>
  <c r="J243" i="4"/>
  <c r="D371" i="4"/>
  <c r="E371" i="4"/>
  <c r="I371" i="4"/>
  <c r="H371" i="4"/>
  <c r="G371" i="4"/>
  <c r="F371" i="4"/>
  <c r="C371" i="4"/>
  <c r="B371" i="4"/>
  <c r="J371" i="4"/>
  <c r="D339" i="4"/>
  <c r="E339" i="4"/>
  <c r="I339" i="4"/>
  <c r="H339" i="4"/>
  <c r="G339" i="4"/>
  <c r="J339" i="4"/>
  <c r="B339" i="4"/>
  <c r="F339" i="4"/>
  <c r="C339" i="4"/>
  <c r="F150" i="4"/>
  <c r="B150" i="4"/>
  <c r="G150" i="4"/>
  <c r="E150" i="4"/>
  <c r="D150" i="4"/>
  <c r="C150" i="4"/>
  <c r="J150" i="4"/>
  <c r="I150" i="4"/>
  <c r="H150" i="4"/>
  <c r="D287" i="4"/>
  <c r="C287" i="4"/>
  <c r="H287" i="4"/>
  <c r="G287" i="4"/>
  <c r="F287" i="4"/>
  <c r="E287" i="4"/>
  <c r="B287" i="4"/>
  <c r="I287" i="4"/>
  <c r="J287" i="4"/>
  <c r="D83" i="4"/>
  <c r="E83" i="4"/>
  <c r="I83" i="4"/>
  <c r="H83" i="4"/>
  <c r="B83" i="4"/>
  <c r="C83" i="4"/>
  <c r="G83" i="4"/>
  <c r="F83" i="4"/>
  <c r="J83" i="4"/>
  <c r="D203" i="4"/>
  <c r="B203" i="4"/>
  <c r="G203" i="4"/>
  <c r="F203" i="4"/>
  <c r="E203" i="4"/>
  <c r="C203" i="4"/>
  <c r="H203" i="4"/>
  <c r="I203" i="4"/>
  <c r="J203" i="4"/>
  <c r="D331" i="4"/>
  <c r="B331" i="4"/>
  <c r="G331" i="4"/>
  <c r="F331" i="4"/>
  <c r="E331" i="4"/>
  <c r="C331" i="4"/>
  <c r="H331" i="4"/>
  <c r="J331" i="4"/>
  <c r="I331" i="4"/>
  <c r="H165" i="4"/>
  <c r="G165" i="4"/>
  <c r="C165" i="4"/>
  <c r="B165" i="4"/>
  <c r="D165" i="4"/>
  <c r="J165" i="4"/>
  <c r="F165" i="4"/>
  <c r="E165" i="4"/>
  <c r="I165" i="4"/>
  <c r="J280" i="4"/>
  <c r="B280" i="4"/>
  <c r="I280" i="4"/>
  <c r="E280" i="4"/>
  <c r="D280" i="4"/>
  <c r="C280" i="4"/>
  <c r="G280" i="4"/>
  <c r="F280" i="4"/>
  <c r="H280" i="4"/>
  <c r="F186" i="4"/>
  <c r="H186" i="4"/>
  <c r="C186" i="4"/>
  <c r="B186" i="4"/>
  <c r="J186" i="4"/>
  <c r="I186" i="4"/>
  <c r="G186" i="4"/>
  <c r="E186" i="4"/>
  <c r="D186" i="4"/>
  <c r="J356" i="4"/>
  <c r="B356" i="4"/>
  <c r="H356" i="4"/>
  <c r="D356" i="4"/>
  <c r="C356" i="4"/>
  <c r="I356" i="4"/>
  <c r="G356" i="4"/>
  <c r="F356" i="4"/>
  <c r="E356" i="4"/>
  <c r="F102" i="4"/>
  <c r="G102" i="4"/>
  <c r="B102" i="4"/>
  <c r="J102" i="4"/>
  <c r="C102" i="4"/>
  <c r="E102" i="4"/>
  <c r="I102" i="4"/>
  <c r="H102" i="4"/>
  <c r="D102" i="4"/>
  <c r="J304" i="4"/>
  <c r="B304" i="4"/>
  <c r="G304" i="4"/>
  <c r="C304" i="4"/>
  <c r="I304" i="4"/>
  <c r="D304" i="4"/>
  <c r="E304" i="4"/>
  <c r="H304" i="4"/>
  <c r="F304" i="4"/>
  <c r="D367" i="4"/>
  <c r="H367" i="4"/>
  <c r="C367" i="4"/>
  <c r="B367" i="4"/>
  <c r="J367" i="4"/>
  <c r="I367" i="4"/>
  <c r="G367" i="4"/>
  <c r="F367" i="4"/>
  <c r="E367" i="4"/>
  <c r="D187" i="4"/>
  <c r="G187" i="4"/>
  <c r="B187" i="4"/>
  <c r="I187" i="4"/>
  <c r="J187" i="4"/>
  <c r="C187" i="4"/>
  <c r="E187" i="4"/>
  <c r="H187" i="4"/>
  <c r="F187" i="4"/>
  <c r="H273" i="4"/>
  <c r="F273" i="4"/>
  <c r="B273" i="4"/>
  <c r="J273" i="4"/>
  <c r="I273" i="4"/>
  <c r="C273" i="4"/>
  <c r="D273" i="4"/>
  <c r="G273" i="4"/>
  <c r="E273" i="4"/>
  <c r="D347" i="4"/>
  <c r="G347" i="4"/>
  <c r="B347" i="4"/>
  <c r="J347" i="4"/>
  <c r="I347" i="4"/>
  <c r="H347" i="4"/>
  <c r="F347" i="4"/>
  <c r="E347" i="4"/>
  <c r="C347" i="4"/>
  <c r="D103" i="4"/>
  <c r="F103" i="4"/>
  <c r="J103" i="4"/>
  <c r="I103" i="4"/>
  <c r="G103" i="4"/>
  <c r="E103" i="4"/>
  <c r="C103" i="4"/>
  <c r="B103" i="4"/>
  <c r="H103" i="4"/>
  <c r="D167" i="4"/>
  <c r="F167" i="4"/>
  <c r="J167" i="4"/>
  <c r="I167" i="4"/>
  <c r="H167" i="4"/>
  <c r="G167" i="4"/>
  <c r="E167" i="4"/>
  <c r="C167" i="4"/>
  <c r="B167" i="4"/>
  <c r="D231" i="4"/>
  <c r="F231" i="4"/>
  <c r="J231" i="4"/>
  <c r="I231" i="4"/>
  <c r="H231" i="4"/>
  <c r="B231" i="4"/>
  <c r="E231" i="4"/>
  <c r="C231" i="4"/>
  <c r="G231" i="4"/>
  <c r="D295" i="4"/>
  <c r="F295" i="4"/>
  <c r="J295" i="4"/>
  <c r="I295" i="4"/>
  <c r="H295" i="4"/>
  <c r="E295" i="4"/>
  <c r="C295" i="4"/>
  <c r="B295" i="4"/>
  <c r="G295" i="4"/>
  <c r="D359" i="4"/>
  <c r="F359" i="4"/>
  <c r="J359" i="4"/>
  <c r="I359" i="4"/>
  <c r="H359" i="4"/>
  <c r="C359" i="4"/>
  <c r="G359" i="4"/>
  <c r="E359" i="4"/>
  <c r="B359" i="4"/>
  <c r="D119" i="4"/>
  <c r="J119" i="4"/>
  <c r="F119" i="4"/>
  <c r="E119" i="4"/>
  <c r="H119" i="4"/>
  <c r="G119" i="4"/>
  <c r="C119" i="4"/>
  <c r="B119" i="4"/>
  <c r="I119" i="4"/>
  <c r="D183" i="4"/>
  <c r="J183" i="4"/>
  <c r="F183" i="4"/>
  <c r="C183" i="4"/>
  <c r="E183" i="4"/>
  <c r="B183" i="4"/>
  <c r="H183" i="4"/>
  <c r="G183" i="4"/>
  <c r="I183" i="4"/>
  <c r="D247" i="4"/>
  <c r="J247" i="4"/>
  <c r="F247" i="4"/>
  <c r="E247" i="4"/>
  <c r="C247" i="4"/>
  <c r="B247" i="4"/>
  <c r="H247" i="4"/>
  <c r="G247" i="4"/>
  <c r="I247" i="4"/>
  <c r="D311" i="4"/>
  <c r="J311" i="4"/>
  <c r="F311" i="4"/>
  <c r="E311" i="4"/>
  <c r="C311" i="4"/>
  <c r="B311" i="4"/>
  <c r="H311" i="4"/>
  <c r="I311" i="4"/>
  <c r="G311" i="4"/>
  <c r="D375" i="4"/>
  <c r="J375" i="4"/>
  <c r="F375" i="4"/>
  <c r="E375" i="4"/>
  <c r="C375" i="4"/>
  <c r="B375" i="4"/>
  <c r="G375" i="4"/>
  <c r="H375" i="4"/>
  <c r="I375" i="4"/>
  <c r="S259" i="11"/>
  <c r="Y259" i="11" s="1"/>
  <c r="Q125" i="11"/>
  <c r="S125" i="11" s="1"/>
  <c r="Y125" i="11" s="1"/>
  <c r="P125" i="11"/>
  <c r="P933" i="11"/>
  <c r="Q933" i="11"/>
  <c r="P417" i="11"/>
  <c r="R417" i="11"/>
  <c r="AG417" i="11" s="1"/>
  <c r="X181" i="11"/>
  <c r="Z181" i="11" s="1"/>
  <c r="AA181" i="11" s="1"/>
  <c r="R181" i="11"/>
  <c r="P181" i="11"/>
  <c r="AD181" i="11" s="1"/>
  <c r="Y181" i="11"/>
  <c r="AD1031" i="11"/>
  <c r="S1013" i="11"/>
  <c r="AF676" i="11"/>
  <c r="X676" i="11"/>
  <c r="P676" i="11"/>
  <c r="H676" i="11"/>
  <c r="AE676" i="11"/>
  <c r="W676" i="11"/>
  <c r="O676" i="11"/>
  <c r="G676" i="11"/>
  <c r="AD676" i="11"/>
  <c r="V676" i="11"/>
  <c r="N676" i="11"/>
  <c r="F676" i="11"/>
  <c r="AC676" i="11"/>
  <c r="U676" i="11"/>
  <c r="M676" i="11"/>
  <c r="E676" i="11"/>
  <c r="AB676" i="11"/>
  <c r="T676" i="11"/>
  <c r="L676" i="11"/>
  <c r="AI676" i="11"/>
  <c r="AA676" i="11"/>
  <c r="S676" i="11"/>
  <c r="K676" i="11"/>
  <c r="AH676" i="11"/>
  <c r="Z676" i="11"/>
  <c r="R676" i="11"/>
  <c r="J676" i="11"/>
  <c r="I676" i="11"/>
  <c r="Y676" i="11"/>
  <c r="Q676" i="11"/>
  <c r="AG676" i="11"/>
  <c r="R180" i="11"/>
  <c r="X180" i="11" s="1"/>
  <c r="P180" i="11"/>
  <c r="R92" i="11"/>
  <c r="T92" i="11" s="1"/>
  <c r="P92" i="11"/>
  <c r="AD349" i="11"/>
  <c r="P349" i="11"/>
  <c r="R385" i="11"/>
  <c r="R395" i="11"/>
  <c r="AI395" i="11"/>
  <c r="S633" i="11"/>
  <c r="AB788" i="11"/>
  <c r="AC788" i="11" s="1"/>
  <c r="R788" i="11"/>
  <c r="AG788" i="11" s="1"/>
  <c r="AD788" i="11"/>
  <c r="Q781" i="11"/>
  <c r="AI781" i="11"/>
  <c r="X791" i="11"/>
  <c r="AI884" i="11"/>
  <c r="Y884" i="11" s="1"/>
  <c r="S282" i="11"/>
  <c r="R282" i="11"/>
  <c r="AG282" i="11" s="1"/>
  <c r="Y282" i="11"/>
  <c r="P647" i="11"/>
  <c r="R647" i="11" s="1"/>
  <c r="R813" i="11"/>
  <c r="AG813" i="11" s="1"/>
  <c r="Y1025" i="11"/>
  <c r="Z953" i="11"/>
  <c r="AA953" i="11" s="1"/>
  <c r="R331" i="11"/>
  <c r="T331" i="11" s="1"/>
  <c r="Y929" i="11"/>
  <c r="AG101" i="11"/>
  <c r="P858" i="11"/>
  <c r="Q858" i="11"/>
  <c r="P996" i="11"/>
  <c r="Q113" i="11"/>
  <c r="S113" i="11" s="1"/>
  <c r="Y113" i="11" s="1"/>
  <c r="P113" i="11"/>
  <c r="J798" i="11"/>
  <c r="I798" i="11"/>
  <c r="F798" i="11"/>
  <c r="O798" i="11"/>
  <c r="E798" i="11"/>
  <c r="M798" i="11"/>
  <c r="AF798" i="11"/>
  <c r="L798" i="11"/>
  <c r="AB798" i="11" s="1"/>
  <c r="AC798" i="11" s="1"/>
  <c r="N798" i="11"/>
  <c r="K798" i="11"/>
  <c r="H798" i="11"/>
  <c r="G798" i="11"/>
  <c r="N820" i="11"/>
  <c r="F820" i="11"/>
  <c r="M820" i="11"/>
  <c r="E820" i="11"/>
  <c r="X820" i="11" s="1"/>
  <c r="Z820" i="11" s="1"/>
  <c r="AA820" i="11" s="1"/>
  <c r="I820" i="11"/>
  <c r="H820" i="11"/>
  <c r="AF820" i="11"/>
  <c r="G820" i="11"/>
  <c r="Y820" i="11" s="1"/>
  <c r="AB820" i="11"/>
  <c r="AC820" i="11" s="1"/>
  <c r="P820" i="11"/>
  <c r="O820" i="11"/>
  <c r="L820" i="11"/>
  <c r="J820" i="11"/>
  <c r="AI820" i="11"/>
  <c r="R820" i="11" s="1"/>
  <c r="K820" i="11"/>
  <c r="X28" i="11"/>
  <c r="P174" i="11"/>
  <c r="R174" i="11"/>
  <c r="X174" i="11" s="1"/>
  <c r="Q174" i="11"/>
  <c r="S174" i="11" s="1"/>
  <c r="Y174" i="11" s="1"/>
  <c r="AI174" i="11"/>
  <c r="AD174" i="11" s="1"/>
  <c r="P389" i="11"/>
  <c r="Q389" i="11"/>
  <c r="S389" i="11" s="1"/>
  <c r="Y389" i="11" s="1"/>
  <c r="Z334" i="11"/>
  <c r="AA334" i="11" s="1"/>
  <c r="R374" i="11"/>
  <c r="T374" i="11" s="1"/>
  <c r="Q374" i="11"/>
  <c r="S374" i="11" s="1"/>
  <c r="Y374" i="11" s="1"/>
  <c r="P374" i="11"/>
  <c r="AD374" i="11" s="1"/>
  <c r="S82" i="11"/>
  <c r="Y82" i="11" s="1"/>
  <c r="Q361" i="11"/>
  <c r="S361" i="11" s="1"/>
  <c r="Y361" i="11" s="1"/>
  <c r="AI361" i="11"/>
  <c r="X361" i="11"/>
  <c r="P361" i="11"/>
  <c r="R361" i="11"/>
  <c r="Q780" i="11"/>
  <c r="P780" i="11"/>
  <c r="R780" i="11" s="1"/>
  <c r="Y990" i="11"/>
  <c r="Q990" i="11"/>
  <c r="S990" i="11" s="1"/>
  <c r="X990" i="11"/>
  <c r="P990" i="11"/>
  <c r="R990" i="11" s="1"/>
  <c r="AG990" i="11" s="1"/>
  <c r="AD1026" i="11"/>
  <c r="Z356" i="11"/>
  <c r="AA356" i="11" s="1"/>
  <c r="T356" i="11"/>
  <c r="AI422" i="11"/>
  <c r="AD422" i="11" s="1"/>
  <c r="S422" i="11"/>
  <c r="Y422" i="11" s="1"/>
  <c r="P422" i="11"/>
  <c r="R422" i="11" s="1"/>
  <c r="AD960" i="11"/>
  <c r="AI275" i="11"/>
  <c r="P275" i="11"/>
  <c r="R275" i="11" s="1"/>
  <c r="Q275" i="11"/>
  <c r="AD275" i="11" s="1"/>
  <c r="R910" i="11"/>
  <c r="X216" i="11"/>
  <c r="S136" i="11"/>
  <c r="Y136" i="11" s="1"/>
  <c r="AD815" i="11"/>
  <c r="X42" i="11"/>
  <c r="E55" i="3"/>
  <c r="D55" i="3"/>
  <c r="C55" i="3"/>
  <c r="B55" i="3"/>
  <c r="Y962" i="11"/>
  <c r="P1017" i="11"/>
  <c r="R1017" i="11" s="1"/>
  <c r="F154" i="4"/>
  <c r="H154" i="4"/>
  <c r="C154" i="4"/>
  <c r="B154" i="4"/>
  <c r="I154" i="4"/>
  <c r="G154" i="4"/>
  <c r="E154" i="4"/>
  <c r="J154" i="4"/>
  <c r="D154" i="4"/>
  <c r="D53" i="3"/>
  <c r="C53" i="3"/>
  <c r="B53" i="3"/>
  <c r="E53" i="3"/>
  <c r="AK64" i="3"/>
  <c r="AC64" i="3"/>
  <c r="U64" i="3"/>
  <c r="M64" i="3"/>
  <c r="E64" i="3"/>
  <c r="AB64" i="3"/>
  <c r="L64" i="3"/>
  <c r="AJ64" i="3"/>
  <c r="T64" i="3"/>
  <c r="D64" i="3"/>
  <c r="AG64" i="3"/>
  <c r="W64" i="3"/>
  <c r="K64" i="3"/>
  <c r="AF64" i="3"/>
  <c r="V64" i="3"/>
  <c r="J64" i="3"/>
  <c r="AO64" i="3"/>
  <c r="AE64" i="3"/>
  <c r="S64" i="3"/>
  <c r="I64" i="3"/>
  <c r="AI64" i="3"/>
  <c r="O64" i="3"/>
  <c r="AH64" i="3"/>
  <c r="N64" i="3"/>
  <c r="B64" i="3"/>
  <c r="AN64" i="3"/>
  <c r="AD64" i="3"/>
  <c r="R64" i="3"/>
  <c r="H64" i="3"/>
  <c r="AL64" i="3"/>
  <c r="P64" i="3"/>
  <c r="Y64" i="3"/>
  <c r="C64" i="3"/>
  <c r="AM64" i="3"/>
  <c r="AA64" i="3"/>
  <c r="Q64" i="3"/>
  <c r="G64" i="3"/>
  <c r="Z64" i="3"/>
  <c r="F64" i="3"/>
  <c r="X64" i="3"/>
  <c r="R909" i="11"/>
  <c r="P928" i="11"/>
  <c r="AI937" i="11"/>
  <c r="X937" i="11" s="1"/>
  <c r="AI1024" i="11"/>
  <c r="E54" i="3"/>
  <c r="D54" i="3"/>
  <c r="C54" i="3"/>
  <c r="B54" i="3"/>
  <c r="AM70" i="3"/>
  <c r="AE70" i="3"/>
  <c r="W70" i="3"/>
  <c r="O70" i="3"/>
  <c r="G70" i="3"/>
  <c r="AL70" i="3"/>
  <c r="V70" i="3"/>
  <c r="F70" i="3"/>
  <c r="AD70" i="3"/>
  <c r="N70" i="3"/>
  <c r="AG70" i="3"/>
  <c r="U70" i="3"/>
  <c r="K70" i="3"/>
  <c r="AF70" i="3"/>
  <c r="T70" i="3"/>
  <c r="J70" i="3"/>
  <c r="AO70" i="3"/>
  <c r="AC70" i="3"/>
  <c r="S70" i="3"/>
  <c r="I70" i="3"/>
  <c r="M70" i="3"/>
  <c r="AH70" i="3"/>
  <c r="X70" i="3"/>
  <c r="L70" i="3"/>
  <c r="B70" i="3"/>
  <c r="AN70" i="3"/>
  <c r="AB70" i="3"/>
  <c r="R70" i="3"/>
  <c r="H70" i="3"/>
  <c r="AJ70" i="3"/>
  <c r="Z70" i="3"/>
  <c r="D70" i="3"/>
  <c r="AI70" i="3"/>
  <c r="Y70" i="3"/>
  <c r="C70" i="3"/>
  <c r="AK70" i="3"/>
  <c r="AA70" i="3"/>
  <c r="Q70" i="3"/>
  <c r="E70" i="3"/>
  <c r="P70" i="3"/>
  <c r="Q157" i="11"/>
  <c r="P123" i="11"/>
  <c r="R123" i="11" s="1"/>
  <c r="S337" i="11"/>
  <c r="Y337" i="11" s="1"/>
  <c r="Q355" i="11"/>
  <c r="AD355" i="11" s="1"/>
  <c r="AI197" i="11"/>
  <c r="D57" i="3"/>
  <c r="C57" i="3"/>
  <c r="B57" i="3"/>
  <c r="E57" i="3"/>
  <c r="B35" i="3"/>
  <c r="E35" i="3"/>
  <c r="D35" i="3"/>
  <c r="C35" i="3"/>
  <c r="X267" i="11"/>
  <c r="Z267" i="11" s="1"/>
  <c r="AA267" i="11" s="1"/>
  <c r="R430" i="11"/>
  <c r="X430" i="11" s="1"/>
  <c r="Z430" i="11" s="1"/>
  <c r="AA430" i="11" s="1"/>
  <c r="Q882" i="11"/>
  <c r="AD882" i="11" s="1"/>
  <c r="X1039" i="11"/>
  <c r="Z1028" i="11"/>
  <c r="AA1028" i="11" s="1"/>
  <c r="AB208" i="11"/>
  <c r="AC208" i="11" s="1"/>
  <c r="AD16" i="11"/>
  <c r="P86" i="11"/>
  <c r="AI172" i="11"/>
  <c r="AI194" i="11"/>
  <c r="Q194" i="11"/>
  <c r="S194" i="11" s="1"/>
  <c r="AG194" i="11" s="1"/>
  <c r="Q131" i="11"/>
  <c r="S131" i="11" s="1"/>
  <c r="Y131" i="11" s="1"/>
  <c r="R131" i="11"/>
  <c r="X131" i="11" s="1"/>
  <c r="AB163" i="11"/>
  <c r="AC163" i="11" s="1"/>
  <c r="S142" i="11"/>
  <c r="Y142" i="11" s="1"/>
  <c r="X142" i="11"/>
  <c r="Z142" i="11" s="1"/>
  <c r="AA142" i="11" s="1"/>
  <c r="R280" i="11"/>
  <c r="X280" i="11" s="1"/>
  <c r="Q280" i="11"/>
  <c r="P293" i="11"/>
  <c r="R293" i="11" s="1"/>
  <c r="P638" i="11"/>
  <c r="R638" i="11"/>
  <c r="AG638" i="11" s="1"/>
  <c r="P773" i="11"/>
  <c r="P779" i="11"/>
  <c r="P1044" i="11"/>
  <c r="R1044" i="11" s="1"/>
  <c r="S1044" i="11"/>
  <c r="P792" i="11"/>
  <c r="AI928" i="11"/>
  <c r="S928" i="11" s="1"/>
  <c r="AI223" i="11"/>
  <c r="AA223" i="11"/>
  <c r="S223" i="11"/>
  <c r="K223" i="11"/>
  <c r="AH223" i="11"/>
  <c r="Z223" i="11"/>
  <c r="R223" i="11"/>
  <c r="J223" i="11"/>
  <c r="AG223" i="11"/>
  <c r="W223" i="11"/>
  <c r="M223" i="11"/>
  <c r="AF223" i="11"/>
  <c r="V223" i="11"/>
  <c r="L223" i="11"/>
  <c r="AE223" i="11"/>
  <c r="U223" i="11"/>
  <c r="I223" i="11"/>
  <c r="AD223" i="11"/>
  <c r="T223" i="11"/>
  <c r="H223" i="11"/>
  <c r="AC223" i="11"/>
  <c r="Q223" i="11"/>
  <c r="G223" i="11"/>
  <c r="AB223" i="11"/>
  <c r="P223" i="11"/>
  <c r="F223" i="11"/>
  <c r="X223" i="11"/>
  <c r="O223" i="11"/>
  <c r="N223" i="11"/>
  <c r="E223" i="11"/>
  <c r="Y223" i="11"/>
  <c r="AI243" i="11"/>
  <c r="AA243" i="11"/>
  <c r="S243" i="11"/>
  <c r="K243" i="11"/>
  <c r="AH243" i="11"/>
  <c r="Z243" i="11"/>
  <c r="R243" i="11"/>
  <c r="J243" i="11"/>
  <c r="AF243" i="11"/>
  <c r="X243" i="11"/>
  <c r="P243" i="11"/>
  <c r="H243" i="11"/>
  <c r="AE243" i="11"/>
  <c r="T243" i="11"/>
  <c r="F243" i="11"/>
  <c r="AD243" i="11"/>
  <c r="Q243" i="11"/>
  <c r="E243" i="11"/>
  <c r="AC243" i="11"/>
  <c r="O243" i="11"/>
  <c r="AB243" i="11"/>
  <c r="N243" i="11"/>
  <c r="Y243" i="11"/>
  <c r="M243" i="11"/>
  <c r="W243" i="11"/>
  <c r="L243" i="11"/>
  <c r="AG243" i="11"/>
  <c r="V243" i="11"/>
  <c r="U243" i="11"/>
  <c r="I243" i="11"/>
  <c r="G243" i="11"/>
  <c r="AB486" i="11"/>
  <c r="T486" i="11"/>
  <c r="L486" i="11"/>
  <c r="AI486" i="11"/>
  <c r="AA486" i="11"/>
  <c r="S486" i="11"/>
  <c r="K486" i="11"/>
  <c r="AH486" i="11"/>
  <c r="Z486" i="11"/>
  <c r="R486" i="11"/>
  <c r="J486" i="11"/>
  <c r="AF486" i="11"/>
  <c r="X486" i="11"/>
  <c r="P486" i="11"/>
  <c r="H486" i="11"/>
  <c r="AG486" i="11"/>
  <c r="Q486" i="11"/>
  <c r="AE486" i="11"/>
  <c r="O486" i="11"/>
  <c r="AD486" i="11"/>
  <c r="N486" i="11"/>
  <c r="AC486" i="11"/>
  <c r="M486" i="11"/>
  <c r="Y486" i="11"/>
  <c r="I486" i="11"/>
  <c r="V486" i="11"/>
  <c r="U486" i="11"/>
  <c r="G486" i="11"/>
  <c r="F486" i="11"/>
  <c r="E486" i="11"/>
  <c r="W486" i="11"/>
  <c r="P937" i="11"/>
  <c r="P153" i="11"/>
  <c r="R153" i="11" s="1"/>
  <c r="S153" i="11"/>
  <c r="Z1035" i="11"/>
  <c r="AA1035" i="11" s="1"/>
  <c r="Q1024" i="11"/>
  <c r="AD1024" i="11" s="1"/>
  <c r="Q94" i="11"/>
  <c r="AD94" i="11" s="1"/>
  <c r="P1000" i="11"/>
  <c r="Q17" i="11"/>
  <c r="AD17" i="11" s="1"/>
  <c r="Y97" i="11"/>
  <c r="P20" i="11"/>
  <c r="R20" i="11"/>
  <c r="R217" i="11"/>
  <c r="AD217" i="11"/>
  <c r="Y341" i="11"/>
  <c r="X135" i="11"/>
  <c r="R175" i="11"/>
  <c r="T345" i="11"/>
  <c r="Y381" i="11"/>
  <c r="R399" i="11"/>
  <c r="AG399" i="11" s="1"/>
  <c r="Q330" i="11"/>
  <c r="AD330" i="11" s="1"/>
  <c r="Q366" i="11"/>
  <c r="S366" i="11" s="1"/>
  <c r="Y366" i="11" s="1"/>
  <c r="S398" i="11"/>
  <c r="Y398" i="11" s="1"/>
  <c r="P359" i="11"/>
  <c r="AD359" i="11" s="1"/>
  <c r="Q429" i="11"/>
  <c r="S429" i="11" s="1"/>
  <c r="Y429" i="11" s="1"/>
  <c r="Y629" i="11"/>
  <c r="P777" i="11"/>
  <c r="AD807" i="11"/>
  <c r="Q876" i="11"/>
  <c r="AD876" i="11" s="1"/>
  <c r="Q855" i="11"/>
  <c r="P855" i="11"/>
  <c r="Q944" i="11"/>
  <c r="S944" i="11" s="1"/>
  <c r="Q979" i="11"/>
  <c r="S979" i="11" s="1"/>
  <c r="T979" i="11" s="1"/>
  <c r="Q1046" i="11"/>
  <c r="X987" i="11"/>
  <c r="Z987" i="11"/>
  <c r="AA987" i="11" s="1"/>
  <c r="AE981" i="11"/>
  <c r="P997" i="11"/>
  <c r="AD997" i="11" s="1"/>
  <c r="S997" i="11"/>
  <c r="P1038" i="11"/>
  <c r="R1038" i="11" s="1"/>
  <c r="AB1038" i="11"/>
  <c r="AC1038" i="11" s="1"/>
  <c r="Y829" i="11"/>
  <c r="AD829" i="11"/>
  <c r="Q844" i="11"/>
  <c r="S844" i="11" s="1"/>
  <c r="AD995" i="11"/>
  <c r="Q1049" i="11"/>
  <c r="H297" i="4"/>
  <c r="D297" i="4"/>
  <c r="I297" i="4"/>
  <c r="G297" i="4"/>
  <c r="F297" i="4"/>
  <c r="J297" i="4"/>
  <c r="C297" i="4"/>
  <c r="B297" i="4"/>
  <c r="E297" i="4"/>
  <c r="D299" i="4"/>
  <c r="B299" i="4"/>
  <c r="G299" i="4"/>
  <c r="F299" i="4"/>
  <c r="E299" i="4"/>
  <c r="J299" i="4"/>
  <c r="I299" i="4"/>
  <c r="H299" i="4"/>
  <c r="C299" i="4"/>
  <c r="J116" i="4"/>
  <c r="B116" i="4"/>
  <c r="D116" i="4"/>
  <c r="H116" i="4"/>
  <c r="G116" i="4"/>
  <c r="I116" i="4"/>
  <c r="F116" i="4"/>
  <c r="E116" i="4"/>
  <c r="C116" i="4"/>
  <c r="J248" i="4"/>
  <c r="B248" i="4"/>
  <c r="I248" i="4"/>
  <c r="E248" i="4"/>
  <c r="D248" i="4"/>
  <c r="C248" i="4"/>
  <c r="H248" i="4"/>
  <c r="G248" i="4"/>
  <c r="F248" i="4"/>
  <c r="D95" i="4"/>
  <c r="C95" i="4"/>
  <c r="H95" i="4"/>
  <c r="G95" i="4"/>
  <c r="J95" i="4"/>
  <c r="I95" i="4"/>
  <c r="B95" i="4"/>
  <c r="F95" i="4"/>
  <c r="E95" i="4"/>
  <c r="J120" i="4"/>
  <c r="B120" i="4"/>
  <c r="I120" i="4"/>
  <c r="E120" i="4"/>
  <c r="D120" i="4"/>
  <c r="H120" i="4"/>
  <c r="G120" i="4"/>
  <c r="C120" i="4"/>
  <c r="F120" i="4"/>
  <c r="H213" i="4"/>
  <c r="C213" i="4"/>
  <c r="G213" i="4"/>
  <c r="F213" i="4"/>
  <c r="E213" i="4"/>
  <c r="J213" i="4"/>
  <c r="I213" i="4"/>
  <c r="B213" i="4"/>
  <c r="D213" i="4"/>
  <c r="H341" i="4"/>
  <c r="C341" i="4"/>
  <c r="G341" i="4"/>
  <c r="F341" i="4"/>
  <c r="E341" i="4"/>
  <c r="J341" i="4"/>
  <c r="I341" i="4"/>
  <c r="D341" i="4"/>
  <c r="B341" i="4"/>
  <c r="F246" i="4"/>
  <c r="B246" i="4"/>
  <c r="G246" i="4"/>
  <c r="E246" i="4"/>
  <c r="D246" i="4"/>
  <c r="J246" i="4"/>
  <c r="I246" i="4"/>
  <c r="H246" i="4"/>
  <c r="C246" i="4"/>
  <c r="J160" i="4"/>
  <c r="B160" i="4"/>
  <c r="C160" i="4"/>
  <c r="G160" i="4"/>
  <c r="F160" i="4"/>
  <c r="H160" i="4"/>
  <c r="E160" i="4"/>
  <c r="D160" i="4"/>
  <c r="I160" i="4"/>
  <c r="F254" i="4"/>
  <c r="D254" i="4"/>
  <c r="I254" i="4"/>
  <c r="H254" i="4"/>
  <c r="G254" i="4"/>
  <c r="E254" i="4"/>
  <c r="C254" i="4"/>
  <c r="B254" i="4"/>
  <c r="J254" i="4"/>
  <c r="H117" i="4"/>
  <c r="C117" i="4"/>
  <c r="G117" i="4"/>
  <c r="F117" i="4"/>
  <c r="J117" i="4"/>
  <c r="I117" i="4"/>
  <c r="B117" i="4"/>
  <c r="E117" i="4"/>
  <c r="D117" i="4"/>
  <c r="F350" i="4"/>
  <c r="D350" i="4"/>
  <c r="I350" i="4"/>
  <c r="H350" i="4"/>
  <c r="G350" i="4"/>
  <c r="J350" i="4"/>
  <c r="B350" i="4"/>
  <c r="E350" i="4"/>
  <c r="C350" i="4"/>
  <c r="H153" i="4"/>
  <c r="I153" i="4"/>
  <c r="D153" i="4"/>
  <c r="C153" i="4"/>
  <c r="E153" i="4"/>
  <c r="B153" i="4"/>
  <c r="J153" i="4"/>
  <c r="G153" i="4"/>
  <c r="F153" i="4"/>
  <c r="F298" i="4"/>
  <c r="C298" i="4"/>
  <c r="H298" i="4"/>
  <c r="G298" i="4"/>
  <c r="E298" i="4"/>
  <c r="D298" i="4"/>
  <c r="B298" i="4"/>
  <c r="J298" i="4"/>
  <c r="I298" i="4"/>
  <c r="J96" i="4"/>
  <c r="B96" i="4"/>
  <c r="C96" i="4"/>
  <c r="G96" i="4"/>
  <c r="F96" i="4"/>
  <c r="D96" i="4"/>
  <c r="I96" i="4"/>
  <c r="H96" i="4"/>
  <c r="E96" i="4"/>
  <c r="F214" i="4"/>
  <c r="B214" i="4"/>
  <c r="G214" i="4"/>
  <c r="E214" i="4"/>
  <c r="D214" i="4"/>
  <c r="C214" i="4"/>
  <c r="H214" i="4"/>
  <c r="J214" i="4"/>
  <c r="I214" i="4"/>
  <c r="F342" i="4"/>
  <c r="B342" i="4"/>
  <c r="G342" i="4"/>
  <c r="E342" i="4"/>
  <c r="D342" i="4"/>
  <c r="C342" i="4"/>
  <c r="H342" i="4"/>
  <c r="I342" i="4"/>
  <c r="J342" i="4"/>
  <c r="J168" i="4"/>
  <c r="B168" i="4"/>
  <c r="E168" i="4"/>
  <c r="I168" i="4"/>
  <c r="H168" i="4"/>
  <c r="C168" i="4"/>
  <c r="D168" i="4"/>
  <c r="G168" i="4"/>
  <c r="F168" i="4"/>
  <c r="D291" i="4"/>
  <c r="I291" i="4"/>
  <c r="E291" i="4"/>
  <c r="C291" i="4"/>
  <c r="B291" i="4"/>
  <c r="F291" i="4"/>
  <c r="H291" i="4"/>
  <c r="G291" i="4"/>
  <c r="J291" i="4"/>
  <c r="J196" i="4"/>
  <c r="B196" i="4"/>
  <c r="H196" i="4"/>
  <c r="D196" i="4"/>
  <c r="C196" i="4"/>
  <c r="G196" i="4"/>
  <c r="F196" i="4"/>
  <c r="I196" i="4"/>
  <c r="E196" i="4"/>
  <c r="H197" i="4"/>
  <c r="G197" i="4"/>
  <c r="C197" i="4"/>
  <c r="J197" i="4"/>
  <c r="B197" i="4"/>
  <c r="I197" i="4"/>
  <c r="F197" i="4"/>
  <c r="E197" i="4"/>
  <c r="D197" i="4"/>
  <c r="J112" i="4"/>
  <c r="B112" i="4"/>
  <c r="G112" i="4"/>
  <c r="C112" i="4"/>
  <c r="E112" i="4"/>
  <c r="D112" i="4"/>
  <c r="I112" i="4"/>
  <c r="H112" i="4"/>
  <c r="F112" i="4"/>
  <c r="J228" i="4"/>
  <c r="B228" i="4"/>
  <c r="H228" i="4"/>
  <c r="D228" i="4"/>
  <c r="C228" i="4"/>
  <c r="I228" i="4"/>
  <c r="G228" i="4"/>
  <c r="F228" i="4"/>
  <c r="E228" i="4"/>
  <c r="D91" i="4"/>
  <c r="G91" i="4"/>
  <c r="B91" i="4"/>
  <c r="J91" i="4"/>
  <c r="I91" i="4"/>
  <c r="H91" i="4"/>
  <c r="F91" i="4"/>
  <c r="E91" i="4"/>
  <c r="C91" i="4"/>
  <c r="F198" i="4"/>
  <c r="G198" i="4"/>
  <c r="B198" i="4"/>
  <c r="J198" i="4"/>
  <c r="I198" i="4"/>
  <c r="D198" i="4"/>
  <c r="C198" i="4"/>
  <c r="H198" i="4"/>
  <c r="E198" i="4"/>
  <c r="D283" i="4"/>
  <c r="G283" i="4"/>
  <c r="B283" i="4"/>
  <c r="J283" i="4"/>
  <c r="I283" i="4"/>
  <c r="H283" i="4"/>
  <c r="F283" i="4"/>
  <c r="E283" i="4"/>
  <c r="C283" i="4"/>
  <c r="F358" i="4"/>
  <c r="G358" i="4"/>
  <c r="B358" i="4"/>
  <c r="J358" i="4"/>
  <c r="I358" i="4"/>
  <c r="H358" i="4"/>
  <c r="E358" i="4"/>
  <c r="D358" i="4"/>
  <c r="C358" i="4"/>
  <c r="F114" i="4"/>
  <c r="E114" i="4"/>
  <c r="J114" i="4"/>
  <c r="I114" i="4"/>
  <c r="H114" i="4"/>
  <c r="C114" i="4"/>
  <c r="G114" i="4"/>
  <c r="D114" i="4"/>
  <c r="B114" i="4"/>
  <c r="F178" i="4"/>
  <c r="E178" i="4"/>
  <c r="J178" i="4"/>
  <c r="H178" i="4"/>
  <c r="I178" i="4"/>
  <c r="D178" i="4"/>
  <c r="C178" i="4"/>
  <c r="B178" i="4"/>
  <c r="G178" i="4"/>
  <c r="F242" i="4"/>
  <c r="E242" i="4"/>
  <c r="J242" i="4"/>
  <c r="I242" i="4"/>
  <c r="H242" i="4"/>
  <c r="C242" i="4"/>
  <c r="B242" i="4"/>
  <c r="G242" i="4"/>
  <c r="D242" i="4"/>
  <c r="F306" i="4"/>
  <c r="E306" i="4"/>
  <c r="J306" i="4"/>
  <c r="I306" i="4"/>
  <c r="H306" i="4"/>
  <c r="C306" i="4"/>
  <c r="G306" i="4"/>
  <c r="D306" i="4"/>
  <c r="B306" i="4"/>
  <c r="F370" i="4"/>
  <c r="E370" i="4"/>
  <c r="J370" i="4"/>
  <c r="I370" i="4"/>
  <c r="H370" i="4"/>
  <c r="B370" i="4"/>
  <c r="C370" i="4"/>
  <c r="G370" i="4"/>
  <c r="D370" i="4"/>
  <c r="F130" i="4"/>
  <c r="J130" i="4"/>
  <c r="E130" i="4"/>
  <c r="D130" i="4"/>
  <c r="B130" i="4"/>
  <c r="I130" i="4"/>
  <c r="G130" i="4"/>
  <c r="C130" i="4"/>
  <c r="H130" i="4"/>
  <c r="F194" i="4"/>
  <c r="J194" i="4"/>
  <c r="E194" i="4"/>
  <c r="C194" i="4"/>
  <c r="D194" i="4"/>
  <c r="B194" i="4"/>
  <c r="G194" i="4"/>
  <c r="H194" i="4"/>
  <c r="I194" i="4"/>
  <c r="F258" i="4"/>
  <c r="J258" i="4"/>
  <c r="E258" i="4"/>
  <c r="D258" i="4"/>
  <c r="C258" i="4"/>
  <c r="B258" i="4"/>
  <c r="I258" i="4"/>
  <c r="H258" i="4"/>
  <c r="G258" i="4"/>
  <c r="F322" i="4"/>
  <c r="J322" i="4"/>
  <c r="E322" i="4"/>
  <c r="D322" i="4"/>
  <c r="C322" i="4"/>
  <c r="B322" i="4"/>
  <c r="H322" i="4"/>
  <c r="I322" i="4"/>
  <c r="G322" i="4"/>
  <c r="AF628" i="11"/>
  <c r="H628" i="11"/>
  <c r="O628" i="11"/>
  <c r="G628" i="11"/>
  <c r="P628" i="11" s="1"/>
  <c r="R628" i="11" s="1"/>
  <c r="N628" i="11"/>
  <c r="F628" i="11"/>
  <c r="M628" i="11"/>
  <c r="S628" i="11" s="1"/>
  <c r="Y628" i="11" s="1"/>
  <c r="E628" i="11"/>
  <c r="L628" i="11"/>
  <c r="K628" i="11"/>
  <c r="J628" i="11"/>
  <c r="I628" i="11"/>
  <c r="Q628" i="11"/>
  <c r="R291" i="11"/>
  <c r="X291" i="11" s="1"/>
  <c r="P259" i="11"/>
  <c r="R259" i="11" s="1"/>
  <c r="AB193" i="11"/>
  <c r="AC193" i="11" s="1"/>
  <c r="AI933" i="11"/>
  <c r="P927" i="11"/>
  <c r="AD927" i="11" s="1"/>
  <c r="X874" i="11"/>
  <c r="Z874" i="11" s="1"/>
  <c r="AA874" i="11" s="1"/>
  <c r="R1031" i="11"/>
  <c r="Y1031" i="11"/>
  <c r="Z1031" i="11" s="1"/>
  <c r="AA1031" i="11" s="1"/>
  <c r="P14" i="11"/>
  <c r="AD14" i="11" s="1"/>
  <c r="Q91" i="11"/>
  <c r="S91" i="11" s="1"/>
  <c r="Y91" i="11" s="1"/>
  <c r="AI854" i="11"/>
  <c r="R854" i="11" s="1"/>
  <c r="S21" i="11"/>
  <c r="Y21" i="11" s="1"/>
  <c r="J53" i="11"/>
  <c r="Q53" i="11"/>
  <c r="I53" i="11"/>
  <c r="AF53" i="11"/>
  <c r="H53" i="11"/>
  <c r="O53" i="11"/>
  <c r="G53" i="11"/>
  <c r="N53" i="11"/>
  <c r="F53" i="11"/>
  <c r="M53" i="11"/>
  <c r="S53" i="11" s="1"/>
  <c r="Y53" i="11" s="1"/>
  <c r="E53" i="11"/>
  <c r="L53" i="11"/>
  <c r="K53" i="11"/>
  <c r="S103" i="11"/>
  <c r="Y103" i="11" s="1"/>
  <c r="AF680" i="11"/>
  <c r="X680" i="11"/>
  <c r="P680" i="11"/>
  <c r="H680" i="11"/>
  <c r="AE680" i="11"/>
  <c r="W680" i="11"/>
  <c r="O680" i="11"/>
  <c r="G680" i="11"/>
  <c r="AD680" i="11"/>
  <c r="V680" i="11"/>
  <c r="N680" i="11"/>
  <c r="F680" i="11"/>
  <c r="AC680" i="11"/>
  <c r="U680" i="11"/>
  <c r="M680" i="11"/>
  <c r="E680" i="11"/>
  <c r="AB680" i="11"/>
  <c r="T680" i="11"/>
  <c r="L680" i="11"/>
  <c r="AI680" i="11"/>
  <c r="AA680" i="11"/>
  <c r="S680" i="11"/>
  <c r="K680" i="11"/>
  <c r="AH680" i="11"/>
  <c r="Z680" i="11"/>
  <c r="R680" i="11"/>
  <c r="J680" i="11"/>
  <c r="I680" i="11"/>
  <c r="Y680" i="11"/>
  <c r="Q680" i="11"/>
  <c r="AG680" i="11"/>
  <c r="AI202" i="11"/>
  <c r="Q385" i="11"/>
  <c r="S385" i="11" s="1"/>
  <c r="Y385" i="11" s="1"/>
  <c r="X288" i="11"/>
  <c r="Z288" i="11" s="1"/>
  <c r="AA288" i="11" s="1"/>
  <c r="P269" i="11"/>
  <c r="S420" i="11"/>
  <c r="Y420" i="11" s="1"/>
  <c r="Y338" i="11"/>
  <c r="Q338" i="11"/>
  <c r="S338" i="11" s="1"/>
  <c r="AD370" i="11"/>
  <c r="S402" i="11"/>
  <c r="Y402" i="11" s="1"/>
  <c r="S363" i="11"/>
  <c r="Y363" i="11" s="1"/>
  <c r="Q363" i="11"/>
  <c r="P646" i="11"/>
  <c r="R646" i="11" s="1"/>
  <c r="R763" i="11"/>
  <c r="X788" i="11"/>
  <c r="T788" i="11"/>
  <c r="AI797" i="11"/>
  <c r="Q900" i="11"/>
  <c r="S900" i="11" s="1"/>
  <c r="T900" i="11" s="1"/>
  <c r="X900" i="11"/>
  <c r="Z900" i="11" s="1"/>
  <c r="AA900" i="11" s="1"/>
  <c r="R852" i="11"/>
  <c r="AG852" i="11" s="1"/>
  <c r="Q859" i="11"/>
  <c r="S859" i="11" s="1"/>
  <c r="P952" i="11"/>
  <c r="S898" i="11"/>
  <c r="R1002" i="11"/>
  <c r="X982" i="11"/>
  <c r="Z982" i="11" s="1"/>
  <c r="AA982" i="11" s="1"/>
  <c r="T942" i="11"/>
  <c r="AD942" i="11"/>
  <c r="AB1022" i="11"/>
  <c r="AC1022" i="11" s="1"/>
  <c r="R966" i="11"/>
  <c r="Q282" i="11"/>
  <c r="AB342" i="11"/>
  <c r="AC342" i="11" s="1"/>
  <c r="R419" i="11"/>
  <c r="AG419" i="11" s="1"/>
  <c r="AB419" i="11"/>
  <c r="AC419" i="11" s="1"/>
  <c r="AD813" i="11"/>
  <c r="R1025" i="11"/>
  <c r="AG1025" i="11" s="1"/>
  <c r="X1025" i="11"/>
  <c r="C55" i="4"/>
  <c r="G55" i="4"/>
  <c r="F55" i="4"/>
  <c r="I55" i="4"/>
  <c r="H55" i="4"/>
  <c r="D55" i="4"/>
  <c r="E55" i="4"/>
  <c r="B55" i="4"/>
  <c r="C51" i="4"/>
  <c r="G51" i="4"/>
  <c r="F51" i="4"/>
  <c r="E51" i="4"/>
  <c r="D51" i="4"/>
  <c r="B51" i="4"/>
  <c r="H51" i="4"/>
  <c r="I51" i="4"/>
  <c r="G53" i="4"/>
  <c r="C53" i="4"/>
  <c r="B53" i="4"/>
  <c r="D53" i="4"/>
  <c r="H53" i="4"/>
  <c r="E53" i="4"/>
  <c r="I53" i="4"/>
  <c r="F53" i="4"/>
  <c r="I44" i="4"/>
  <c r="H44" i="4"/>
  <c r="D44" i="4"/>
  <c r="C44" i="4"/>
  <c r="B44" i="4"/>
  <c r="F44" i="4"/>
  <c r="G44" i="4"/>
  <c r="E44" i="4"/>
  <c r="I54" i="4"/>
  <c r="E54" i="4"/>
  <c r="D54" i="4"/>
  <c r="H54" i="4"/>
  <c r="F54" i="4"/>
  <c r="B54" i="4"/>
  <c r="G54" i="4"/>
  <c r="C54" i="4"/>
  <c r="AB121" i="11"/>
  <c r="AC121" i="11" s="1"/>
  <c r="AI919" i="11"/>
  <c r="X919" i="11" s="1"/>
  <c r="Q919" i="11"/>
  <c r="AD897" i="11"/>
  <c r="R1027" i="11"/>
  <c r="AI1027" i="11"/>
  <c r="R18" i="11"/>
  <c r="P57" i="11"/>
  <c r="R57" i="11" s="1"/>
  <c r="AD96" i="11"/>
  <c r="P206" i="11"/>
  <c r="AD206" i="11" s="1"/>
  <c r="S206" i="11"/>
  <c r="Y206" i="11"/>
  <c r="R154" i="11"/>
  <c r="P357" i="11"/>
  <c r="R357" i="11" s="1"/>
  <c r="Q357" i="11"/>
  <c r="S357" i="11" s="1"/>
  <c r="Y357" i="11" s="1"/>
  <c r="AI357" i="11"/>
  <c r="AD357" i="11" s="1"/>
  <c r="X273" i="11"/>
  <c r="Z273" i="11" s="1"/>
  <c r="AA273" i="11" s="1"/>
  <c r="T273" i="11"/>
  <c r="T334" i="11"/>
  <c r="X367" i="11"/>
  <c r="Z367" i="11" s="1"/>
  <c r="AA367" i="11" s="1"/>
  <c r="AG367" i="11"/>
  <c r="AB926" i="11"/>
  <c r="AC926" i="11" s="1"/>
  <c r="Q926" i="11"/>
  <c r="S926" i="11" s="1"/>
  <c r="AE795" i="11"/>
  <c r="U795" i="11"/>
  <c r="AD219" i="11"/>
  <c r="AB911" i="11"/>
  <c r="AC911" i="11" s="1"/>
  <c r="Q147" i="11"/>
  <c r="S147" i="11" s="1"/>
  <c r="Y147" i="11" s="1"/>
  <c r="S264" i="11"/>
  <c r="Y264" i="11" s="1"/>
  <c r="AD264" i="11"/>
  <c r="R264" i="11"/>
  <c r="AB264" i="11"/>
  <c r="AC264" i="11" s="1"/>
  <c r="S277" i="11"/>
  <c r="Y277" i="11" s="1"/>
  <c r="AB277" i="11"/>
  <c r="AC277" i="11" s="1"/>
  <c r="AB346" i="11"/>
  <c r="AC346" i="11" s="1"/>
  <c r="AD634" i="11"/>
  <c r="Z830" i="11"/>
  <c r="AA830" i="11" s="1"/>
  <c r="Y805" i="11"/>
  <c r="Y785" i="11"/>
  <c r="AC145" i="11"/>
  <c r="Y899" i="11"/>
  <c r="S899" i="11"/>
  <c r="T899" i="11" s="1"/>
  <c r="P160" i="11"/>
  <c r="R160" i="11" s="1"/>
  <c r="AI160" i="11"/>
  <c r="Q160" i="11"/>
  <c r="S160" i="11"/>
  <c r="Y160" i="11" s="1"/>
  <c r="X151" i="11"/>
  <c r="Z151" i="11" s="1"/>
  <c r="AA151" i="11" s="1"/>
  <c r="T151" i="11"/>
  <c r="AG151" i="11"/>
  <c r="AI258" i="11"/>
  <c r="AD258" i="11" s="1"/>
  <c r="S258" i="11"/>
  <c r="R258" i="11"/>
  <c r="Y258" i="11"/>
  <c r="Q258" i="11"/>
  <c r="P258" i="11"/>
  <c r="S335" i="11"/>
  <c r="Y335" i="11" s="1"/>
  <c r="P335" i="11"/>
  <c r="R335" i="11" s="1"/>
  <c r="AI335" i="11"/>
  <c r="T350" i="11"/>
  <c r="Q428" i="11"/>
  <c r="S428" i="11" s="1"/>
  <c r="Y428" i="11" s="1"/>
  <c r="T428" i="11"/>
  <c r="Q768" i="11"/>
  <c r="S768" i="11" s="1"/>
  <c r="R845" i="11"/>
  <c r="AD994" i="11"/>
  <c r="R994" i="11"/>
  <c r="P958" i="11"/>
  <c r="X958" i="11"/>
  <c r="Q958" i="11"/>
  <c r="Y958" i="11"/>
  <c r="R869" i="11"/>
  <c r="X869" i="11"/>
  <c r="R983" i="11"/>
  <c r="AG414" i="11"/>
  <c r="T414" i="11"/>
  <c r="X414" i="11"/>
  <c r="AG421" i="11"/>
  <c r="X421" i="11"/>
  <c r="Z861" i="11"/>
  <c r="AA861" i="11" s="1"/>
  <c r="AG623" i="11"/>
  <c r="T623" i="11"/>
  <c r="S630" i="11"/>
  <c r="Y630" i="11" s="1"/>
  <c r="R839" i="11"/>
  <c r="X351" i="11"/>
  <c r="S1034" i="11"/>
  <c r="Y801" i="11"/>
  <c r="D49" i="3"/>
  <c r="C49" i="3"/>
  <c r="E49" i="3"/>
  <c r="B49" i="3"/>
  <c r="AI773" i="11"/>
  <c r="Y773" i="11" s="1"/>
  <c r="AI777" i="11"/>
  <c r="AI1046" i="11"/>
  <c r="Y1046" i="11" s="1"/>
  <c r="X355" i="11"/>
  <c r="AI638" i="11"/>
  <c r="AI779" i="11"/>
  <c r="S85" i="11"/>
  <c r="Y85" i="11" s="1"/>
  <c r="AJ73" i="3"/>
  <c r="AB73" i="3"/>
  <c r="T73" i="3"/>
  <c r="L73" i="3"/>
  <c r="D73" i="3"/>
  <c r="C73" i="3"/>
  <c r="AI73" i="3"/>
  <c r="AA73" i="3"/>
  <c r="S73" i="3"/>
  <c r="K73" i="3"/>
  <c r="AL73" i="3"/>
  <c r="Z73" i="3"/>
  <c r="P73" i="3"/>
  <c r="F73" i="3"/>
  <c r="AK73" i="3"/>
  <c r="Y73" i="3"/>
  <c r="O73" i="3"/>
  <c r="E73" i="3"/>
  <c r="AH73" i="3"/>
  <c r="X73" i="3"/>
  <c r="N73" i="3"/>
  <c r="B73" i="3"/>
  <c r="AM73" i="3"/>
  <c r="AC73" i="3"/>
  <c r="Q73" i="3"/>
  <c r="G73" i="3"/>
  <c r="AG73" i="3"/>
  <c r="W73" i="3"/>
  <c r="M73" i="3"/>
  <c r="AO73" i="3"/>
  <c r="AE73" i="3"/>
  <c r="U73" i="3"/>
  <c r="I73" i="3"/>
  <c r="AN73" i="3"/>
  <c r="AD73" i="3"/>
  <c r="R73" i="3"/>
  <c r="H73" i="3"/>
  <c r="AF73" i="3"/>
  <c r="V73" i="3"/>
  <c r="J73" i="3"/>
  <c r="AK72" i="3"/>
  <c r="AC72" i="3"/>
  <c r="U72" i="3"/>
  <c r="M72" i="3"/>
  <c r="E72" i="3"/>
  <c r="AB72" i="3"/>
  <c r="L72" i="3"/>
  <c r="D72" i="3"/>
  <c r="AJ72" i="3"/>
  <c r="T72" i="3"/>
  <c r="AI72" i="3"/>
  <c r="Y72" i="3"/>
  <c r="O72" i="3"/>
  <c r="C72" i="3"/>
  <c r="AH72" i="3"/>
  <c r="X72" i="3"/>
  <c r="N72" i="3"/>
  <c r="B72" i="3"/>
  <c r="AG72" i="3"/>
  <c r="W72" i="3"/>
  <c r="K72" i="3"/>
  <c r="AL72" i="3"/>
  <c r="Z72" i="3"/>
  <c r="P72" i="3"/>
  <c r="F72" i="3"/>
  <c r="AF72" i="3"/>
  <c r="V72" i="3"/>
  <c r="J72" i="3"/>
  <c r="AN72" i="3"/>
  <c r="AD72" i="3"/>
  <c r="R72" i="3"/>
  <c r="H72" i="3"/>
  <c r="AM72" i="3"/>
  <c r="AA72" i="3"/>
  <c r="Q72" i="3"/>
  <c r="G72" i="3"/>
  <c r="AO72" i="3"/>
  <c r="AE72" i="3"/>
  <c r="S72" i="3"/>
  <c r="I72" i="3"/>
  <c r="C52" i="3"/>
  <c r="B52" i="3"/>
  <c r="E52" i="3"/>
  <c r="D52" i="3"/>
  <c r="P6" i="11"/>
  <c r="R6" i="11" s="1"/>
  <c r="AI87" i="11"/>
  <c r="S87" i="11"/>
  <c r="P106" i="11"/>
  <c r="R106" i="11" s="1"/>
  <c r="Q7" i="11"/>
  <c r="S7" i="11" s="1"/>
  <c r="R105" i="11"/>
  <c r="T105" i="11" s="1"/>
  <c r="R849" i="11"/>
  <c r="X928" i="11"/>
  <c r="X970" i="11"/>
  <c r="Z970" i="11" s="1"/>
  <c r="AA970" i="11" s="1"/>
  <c r="AI255" i="11"/>
  <c r="AA255" i="11"/>
  <c r="S255" i="11"/>
  <c r="K255" i="11"/>
  <c r="AH255" i="11"/>
  <c r="Z255" i="11"/>
  <c r="R255" i="11"/>
  <c r="J255" i="11"/>
  <c r="AF255" i="11"/>
  <c r="X255" i="11"/>
  <c r="P255" i="11"/>
  <c r="H255" i="11"/>
  <c r="AD255" i="11"/>
  <c r="V255" i="11"/>
  <c r="N255" i="11"/>
  <c r="F255" i="11"/>
  <c r="AC255" i="11"/>
  <c r="M255" i="11"/>
  <c r="AB255" i="11"/>
  <c r="L255" i="11"/>
  <c r="Y255" i="11"/>
  <c r="I255" i="11"/>
  <c r="W255" i="11"/>
  <c r="G255" i="11"/>
  <c r="U255" i="11"/>
  <c r="E255" i="11"/>
  <c r="T255" i="11"/>
  <c r="AG255" i="11"/>
  <c r="AE255" i="11"/>
  <c r="Q255" i="11"/>
  <c r="O255" i="11"/>
  <c r="P85" i="11"/>
  <c r="R85" i="11" s="1"/>
  <c r="C50" i="3"/>
  <c r="B50" i="3"/>
  <c r="D50" i="3"/>
  <c r="E50" i="3"/>
  <c r="E39" i="3"/>
  <c r="B39" i="3"/>
  <c r="D39" i="3"/>
  <c r="C39" i="3"/>
  <c r="E60" i="3"/>
  <c r="D60" i="3"/>
  <c r="C60" i="3"/>
  <c r="B60" i="3"/>
  <c r="X133" i="11"/>
  <c r="Q909" i="11"/>
  <c r="AD430" i="11"/>
  <c r="Y430" i="11"/>
  <c r="P1028" i="11"/>
  <c r="R1028" i="11" s="1"/>
  <c r="AB38" i="11"/>
  <c r="AC38" i="11" s="1"/>
  <c r="S78" i="11"/>
  <c r="Y78" i="11" s="1"/>
  <c r="Q1004" i="11"/>
  <c r="AI1004" i="11"/>
  <c r="Y1004" i="11" s="1"/>
  <c r="Q45" i="11"/>
  <c r="AD45" i="11" s="1"/>
  <c r="Y87" i="11"/>
  <c r="E56" i="3"/>
  <c r="D56" i="3"/>
  <c r="B56" i="3"/>
  <c r="C56" i="3"/>
  <c r="E63" i="3"/>
  <c r="B63" i="3"/>
  <c r="D63" i="3"/>
  <c r="C63" i="3"/>
  <c r="B45" i="3"/>
  <c r="D45" i="3"/>
  <c r="C45" i="3"/>
  <c r="E45" i="3"/>
  <c r="B43" i="3"/>
  <c r="E43" i="3"/>
  <c r="C43" i="3"/>
  <c r="D43" i="3"/>
  <c r="AO68" i="3"/>
  <c r="AG68" i="3"/>
  <c r="Y68" i="3"/>
  <c r="Q68" i="3"/>
  <c r="I68" i="3"/>
  <c r="AF68" i="3"/>
  <c r="X68" i="3"/>
  <c r="H68" i="3"/>
  <c r="AN68" i="3"/>
  <c r="P68" i="3"/>
  <c r="AM68" i="3"/>
  <c r="AC68" i="3"/>
  <c r="S68" i="3"/>
  <c r="G68" i="3"/>
  <c r="AL68" i="3"/>
  <c r="AB68" i="3"/>
  <c r="R68" i="3"/>
  <c r="F68" i="3"/>
  <c r="AK68" i="3"/>
  <c r="AA68" i="3"/>
  <c r="O68" i="3"/>
  <c r="E68" i="3"/>
  <c r="AE68" i="3"/>
  <c r="K68" i="3"/>
  <c r="J68" i="3"/>
  <c r="AJ68" i="3"/>
  <c r="Z68" i="3"/>
  <c r="N68" i="3"/>
  <c r="D68" i="3"/>
  <c r="AH68" i="3"/>
  <c r="L68" i="3"/>
  <c r="U68" i="3"/>
  <c r="AI68" i="3"/>
  <c r="W68" i="3"/>
  <c r="M68" i="3"/>
  <c r="C68" i="3"/>
  <c r="V68" i="3"/>
  <c r="B68" i="3"/>
  <c r="AD68" i="3"/>
  <c r="T68" i="3"/>
  <c r="AD133" i="11"/>
  <c r="P941" i="11"/>
  <c r="R941" i="11"/>
  <c r="Y909" i="11"/>
  <c r="P157" i="11"/>
  <c r="AD157" i="11" s="1"/>
  <c r="S157" i="11"/>
  <c r="Y157" i="11" s="1"/>
  <c r="Y882" i="11"/>
  <c r="Z882" i="11" s="1"/>
  <c r="AA882" i="11" s="1"/>
  <c r="S75" i="11"/>
  <c r="Y75" i="11" s="1"/>
  <c r="P1004" i="11"/>
  <c r="S45" i="11"/>
  <c r="T45" i="11" s="1"/>
  <c r="Y45" i="11"/>
  <c r="Z45" i="11" s="1"/>
  <c r="AA45" i="11" s="1"/>
  <c r="Q48" i="11"/>
  <c r="AD48" i="11" s="1"/>
  <c r="S48" i="11"/>
  <c r="Y48" i="11" s="1"/>
  <c r="R86" i="11"/>
  <c r="X86" i="11" s="1"/>
  <c r="S116" i="11"/>
  <c r="Y116" i="11" s="1"/>
  <c r="AI140" i="11"/>
  <c r="AD140" i="11" s="1"/>
  <c r="P203" i="11"/>
  <c r="R203" i="11" s="1"/>
  <c r="AI337" i="11"/>
  <c r="AD337" i="11" s="1"/>
  <c r="R403" i="11"/>
  <c r="R773" i="11"/>
  <c r="X773" i="11"/>
  <c r="X779" i="11"/>
  <c r="Q975" i="11"/>
  <c r="X1044" i="11"/>
  <c r="Z1044" i="11" s="1"/>
  <c r="AA1044" i="11" s="1"/>
  <c r="R637" i="11"/>
  <c r="X792" i="11"/>
  <c r="AD849" i="11"/>
  <c r="Q970" i="11"/>
  <c r="AD970" i="11" s="1"/>
  <c r="AI227" i="11"/>
  <c r="AA227" i="11"/>
  <c r="S227" i="11"/>
  <c r="K227" i="11"/>
  <c r="AH227" i="11"/>
  <c r="Z227" i="11"/>
  <c r="R227" i="11"/>
  <c r="J227" i="11"/>
  <c r="AG227" i="11"/>
  <c r="W227" i="11"/>
  <c r="M227" i="11"/>
  <c r="AF227" i="11"/>
  <c r="V227" i="11"/>
  <c r="L227" i="11"/>
  <c r="AE227" i="11"/>
  <c r="U227" i="11"/>
  <c r="I227" i="11"/>
  <c r="AD227" i="11"/>
  <c r="T227" i="11"/>
  <c r="H227" i="11"/>
  <c r="AC227" i="11"/>
  <c r="Q227" i="11"/>
  <c r="G227" i="11"/>
  <c r="AB227" i="11"/>
  <c r="P227" i="11"/>
  <c r="F227" i="11"/>
  <c r="X227" i="11"/>
  <c r="O227" i="11"/>
  <c r="N227" i="11"/>
  <c r="E227" i="11"/>
  <c r="Y227" i="11"/>
  <c r="R263" i="11"/>
  <c r="T263" i="11" s="1"/>
  <c r="AD129" i="11"/>
  <c r="P197" i="11"/>
  <c r="R197" i="11" s="1"/>
  <c r="AI931" i="11"/>
  <c r="AD931" i="11" s="1"/>
  <c r="Q185" i="11"/>
  <c r="S185" i="11" s="1"/>
  <c r="Y185" i="11" s="1"/>
  <c r="P1035" i="11"/>
  <c r="R1035" i="11" s="1"/>
  <c r="Y1024" i="11"/>
  <c r="AI85" i="11"/>
  <c r="AD85" i="11" s="1"/>
  <c r="P850" i="11"/>
  <c r="AD850" i="11" s="1"/>
  <c r="R850" i="11"/>
  <c r="R1000" i="11"/>
  <c r="X1000" i="11"/>
  <c r="S17" i="11"/>
  <c r="T17" i="11" s="1"/>
  <c r="Y17" i="11"/>
  <c r="Z17" i="11" s="1"/>
  <c r="AA17" i="11" s="1"/>
  <c r="AI97" i="11"/>
  <c r="X20" i="11"/>
  <c r="N43" i="11"/>
  <c r="F43" i="11"/>
  <c r="M43" i="11"/>
  <c r="AB43" i="11" s="1"/>
  <c r="AC43" i="11" s="1"/>
  <c r="E43" i="11"/>
  <c r="L43" i="11"/>
  <c r="K43" i="11"/>
  <c r="J43" i="11"/>
  <c r="I43" i="11"/>
  <c r="AF43" i="11"/>
  <c r="P43" i="11"/>
  <c r="R43" i="11" s="1"/>
  <c r="H43" i="11"/>
  <c r="O43" i="11"/>
  <c r="G43" i="11"/>
  <c r="AD102" i="11"/>
  <c r="P111" i="11"/>
  <c r="AD111" i="11" s="1"/>
  <c r="P88" i="11"/>
  <c r="AD88" i="11" s="1"/>
  <c r="P144" i="11"/>
  <c r="AD144" i="11" s="1"/>
  <c r="R144" i="11"/>
  <c r="AG144" i="11" s="1"/>
  <c r="AE341" i="11"/>
  <c r="S167" i="11"/>
  <c r="Y167" i="11" s="1"/>
  <c r="Q175" i="11"/>
  <c r="S175" i="11" s="1"/>
  <c r="AE381" i="11"/>
  <c r="AD274" i="11"/>
  <c r="P411" i="11"/>
  <c r="R411" i="11" s="1"/>
  <c r="AG411" i="11" s="1"/>
  <c r="Q359" i="11"/>
  <c r="P642" i="11"/>
  <c r="R642" i="11" s="1"/>
  <c r="AI772" i="11"/>
  <c r="R777" i="11"/>
  <c r="X777" i="11"/>
  <c r="Y793" i="11"/>
  <c r="P940" i="11"/>
  <c r="AD940" i="11" s="1"/>
  <c r="Y876" i="11"/>
  <c r="AI873" i="11"/>
  <c r="X873" i="11" s="1"/>
  <c r="R855" i="11"/>
  <c r="AG855" i="11" s="1"/>
  <c r="S855" i="11"/>
  <c r="X855" i="11"/>
  <c r="Y944" i="11"/>
  <c r="Q962" i="11"/>
  <c r="Y979" i="11"/>
  <c r="Y920" i="11"/>
  <c r="Z920" i="11" s="1"/>
  <c r="AA920" i="11" s="1"/>
  <c r="Q964" i="11"/>
  <c r="P964" i="11"/>
  <c r="S1046" i="11"/>
  <c r="X997" i="11"/>
  <c r="Z997" i="11" s="1"/>
  <c r="AA997" i="11" s="1"/>
  <c r="X1038" i="11"/>
  <c r="Z1038" i="11" s="1"/>
  <c r="AA1038" i="11" s="1"/>
  <c r="S829" i="11"/>
  <c r="AG829" i="11" s="1"/>
  <c r="P844" i="11"/>
  <c r="R844" i="11" s="1"/>
  <c r="Y1049" i="11"/>
  <c r="G77" i="4"/>
  <c r="C77" i="4"/>
  <c r="J77" i="4"/>
  <c r="B77" i="4"/>
  <c r="I77" i="4"/>
  <c r="H77" i="4"/>
  <c r="F77" i="4"/>
  <c r="E77" i="4"/>
  <c r="D77" i="4"/>
  <c r="F310" i="4"/>
  <c r="B310" i="4"/>
  <c r="G310" i="4"/>
  <c r="E310" i="4"/>
  <c r="D310" i="4"/>
  <c r="J310" i="4"/>
  <c r="I310" i="4"/>
  <c r="H310" i="4"/>
  <c r="C310" i="4"/>
  <c r="J132" i="4"/>
  <c r="B132" i="4"/>
  <c r="H132" i="4"/>
  <c r="D132" i="4"/>
  <c r="C132" i="4"/>
  <c r="I132" i="4"/>
  <c r="G132" i="4"/>
  <c r="F132" i="4"/>
  <c r="E132" i="4"/>
  <c r="D259" i="4"/>
  <c r="I259" i="4"/>
  <c r="E259" i="4"/>
  <c r="C259" i="4"/>
  <c r="B259" i="4"/>
  <c r="J259" i="4"/>
  <c r="H259" i="4"/>
  <c r="G259" i="4"/>
  <c r="F259" i="4"/>
  <c r="J136" i="4"/>
  <c r="B136" i="4"/>
  <c r="E136" i="4"/>
  <c r="I136" i="4"/>
  <c r="H136" i="4"/>
  <c r="G136" i="4"/>
  <c r="C136" i="4"/>
  <c r="F136" i="4"/>
  <c r="D136" i="4"/>
  <c r="F126" i="4"/>
  <c r="D126" i="4"/>
  <c r="I126" i="4"/>
  <c r="H126" i="4"/>
  <c r="J126" i="4"/>
  <c r="G126" i="4"/>
  <c r="E126" i="4"/>
  <c r="B126" i="4"/>
  <c r="C126" i="4"/>
  <c r="J244" i="4"/>
  <c r="B244" i="4"/>
  <c r="D244" i="4"/>
  <c r="H244" i="4"/>
  <c r="G244" i="4"/>
  <c r="F244" i="4"/>
  <c r="I244" i="4"/>
  <c r="E244" i="4"/>
  <c r="C244" i="4"/>
  <c r="J372" i="4"/>
  <c r="B372" i="4"/>
  <c r="D372" i="4"/>
  <c r="H372" i="4"/>
  <c r="G372" i="4"/>
  <c r="F372" i="4"/>
  <c r="I372" i="4"/>
  <c r="E372" i="4"/>
  <c r="C372" i="4"/>
  <c r="H257" i="4"/>
  <c r="B257" i="4"/>
  <c r="F257" i="4"/>
  <c r="E257" i="4"/>
  <c r="D257" i="4"/>
  <c r="J257" i="4"/>
  <c r="I257" i="4"/>
  <c r="G257" i="4"/>
  <c r="C257" i="4"/>
  <c r="D163" i="4"/>
  <c r="I163" i="4"/>
  <c r="E163" i="4"/>
  <c r="C163" i="4"/>
  <c r="G163" i="4"/>
  <c r="F163" i="4"/>
  <c r="B163" i="4"/>
  <c r="J163" i="4"/>
  <c r="H163" i="4"/>
  <c r="H265" i="4"/>
  <c r="D265" i="4"/>
  <c r="I265" i="4"/>
  <c r="G265" i="4"/>
  <c r="F265" i="4"/>
  <c r="E265" i="4"/>
  <c r="C265" i="4"/>
  <c r="B265" i="4"/>
  <c r="J265" i="4"/>
  <c r="J152" i="4"/>
  <c r="B152" i="4"/>
  <c r="I152" i="4"/>
  <c r="E152" i="4"/>
  <c r="D152" i="4"/>
  <c r="H152" i="4"/>
  <c r="C152" i="4"/>
  <c r="G152" i="4"/>
  <c r="F152" i="4"/>
  <c r="H361" i="4"/>
  <c r="D361" i="4"/>
  <c r="I361" i="4"/>
  <c r="G361" i="4"/>
  <c r="F361" i="4"/>
  <c r="J361" i="4"/>
  <c r="B361" i="4"/>
  <c r="E361" i="4"/>
  <c r="C361" i="4"/>
  <c r="H181" i="4"/>
  <c r="C181" i="4"/>
  <c r="G181" i="4"/>
  <c r="E181" i="4"/>
  <c r="F181" i="4"/>
  <c r="D181" i="4"/>
  <c r="B181" i="4"/>
  <c r="J181" i="4"/>
  <c r="I181" i="4"/>
  <c r="H309" i="4"/>
  <c r="C309" i="4"/>
  <c r="G309" i="4"/>
  <c r="F309" i="4"/>
  <c r="E309" i="4"/>
  <c r="D309" i="4"/>
  <c r="B309" i="4"/>
  <c r="I309" i="4"/>
  <c r="J309" i="4"/>
  <c r="D99" i="4"/>
  <c r="I99" i="4"/>
  <c r="E99" i="4"/>
  <c r="C99" i="4"/>
  <c r="B99" i="4"/>
  <c r="F99" i="4"/>
  <c r="G99" i="4"/>
  <c r="J99" i="4"/>
  <c r="H99" i="4"/>
  <c r="H225" i="4"/>
  <c r="B225" i="4"/>
  <c r="F225" i="4"/>
  <c r="E225" i="4"/>
  <c r="D225" i="4"/>
  <c r="C225" i="4"/>
  <c r="J225" i="4"/>
  <c r="I225" i="4"/>
  <c r="G225" i="4"/>
  <c r="H353" i="4"/>
  <c r="B353" i="4"/>
  <c r="F353" i="4"/>
  <c r="E353" i="4"/>
  <c r="D353" i="4"/>
  <c r="C353" i="4"/>
  <c r="G353" i="4"/>
  <c r="I353" i="4"/>
  <c r="J353" i="4"/>
  <c r="F174" i="4"/>
  <c r="I174" i="4"/>
  <c r="D174" i="4"/>
  <c r="C174" i="4"/>
  <c r="B174" i="4"/>
  <c r="H174" i="4"/>
  <c r="G174" i="4"/>
  <c r="E174" i="4"/>
  <c r="J174" i="4"/>
  <c r="F302" i="4"/>
  <c r="I302" i="4"/>
  <c r="D302" i="4"/>
  <c r="C302" i="4"/>
  <c r="B302" i="4"/>
  <c r="G302" i="4"/>
  <c r="J302" i="4"/>
  <c r="H302" i="4"/>
  <c r="E302" i="4"/>
  <c r="D207" i="4"/>
  <c r="H207" i="4"/>
  <c r="C207" i="4"/>
  <c r="B207" i="4"/>
  <c r="J207" i="4"/>
  <c r="E207" i="4"/>
  <c r="F207" i="4"/>
  <c r="I207" i="4"/>
  <c r="G207" i="4"/>
  <c r="F218" i="4"/>
  <c r="H218" i="4"/>
  <c r="C218" i="4"/>
  <c r="J218" i="4"/>
  <c r="B218" i="4"/>
  <c r="D218" i="4"/>
  <c r="G218" i="4"/>
  <c r="E218" i="4"/>
  <c r="I218" i="4"/>
  <c r="F134" i="4"/>
  <c r="G134" i="4"/>
  <c r="B134" i="4"/>
  <c r="J134" i="4"/>
  <c r="D134" i="4"/>
  <c r="C134" i="4"/>
  <c r="E134" i="4"/>
  <c r="I134" i="4"/>
  <c r="H134" i="4"/>
  <c r="H261" i="4"/>
  <c r="G261" i="4"/>
  <c r="C261" i="4"/>
  <c r="B261" i="4"/>
  <c r="J261" i="4"/>
  <c r="I261" i="4"/>
  <c r="F261" i="4"/>
  <c r="E261" i="4"/>
  <c r="D261" i="4"/>
  <c r="H113" i="4"/>
  <c r="F113" i="4"/>
  <c r="B113" i="4"/>
  <c r="J113" i="4"/>
  <c r="I113" i="4"/>
  <c r="G113" i="4"/>
  <c r="E113" i="4"/>
  <c r="D113" i="4"/>
  <c r="C113" i="4"/>
  <c r="J208" i="4"/>
  <c r="B208" i="4"/>
  <c r="G208" i="4"/>
  <c r="C208" i="4"/>
  <c r="I208" i="4"/>
  <c r="H208" i="4"/>
  <c r="F208" i="4"/>
  <c r="E208" i="4"/>
  <c r="D208" i="4"/>
  <c r="F294" i="4"/>
  <c r="G294" i="4"/>
  <c r="B294" i="4"/>
  <c r="J294" i="4"/>
  <c r="I294" i="4"/>
  <c r="H294" i="4"/>
  <c r="E294" i="4"/>
  <c r="D294" i="4"/>
  <c r="C294" i="4"/>
  <c r="J368" i="4"/>
  <c r="B368" i="4"/>
  <c r="G368" i="4"/>
  <c r="C368" i="4"/>
  <c r="I368" i="4"/>
  <c r="D368" i="4"/>
  <c r="E368" i="4"/>
  <c r="H368" i="4"/>
  <c r="F368" i="4"/>
  <c r="J124" i="4"/>
  <c r="B124" i="4"/>
  <c r="F124" i="4"/>
  <c r="I124" i="4"/>
  <c r="C124" i="4"/>
  <c r="D124" i="4"/>
  <c r="G124" i="4"/>
  <c r="E124" i="4"/>
  <c r="H124" i="4"/>
  <c r="J188" i="4"/>
  <c r="B188" i="4"/>
  <c r="F188" i="4"/>
  <c r="I188" i="4"/>
  <c r="H188" i="4"/>
  <c r="G188" i="4"/>
  <c r="E188" i="4"/>
  <c r="D188" i="4"/>
  <c r="C188" i="4"/>
  <c r="J252" i="4"/>
  <c r="B252" i="4"/>
  <c r="F252" i="4"/>
  <c r="H252" i="4"/>
  <c r="I252" i="4"/>
  <c r="G252" i="4"/>
  <c r="E252" i="4"/>
  <c r="D252" i="4"/>
  <c r="C252" i="4"/>
  <c r="J316" i="4"/>
  <c r="B316" i="4"/>
  <c r="F316" i="4"/>
  <c r="I316" i="4"/>
  <c r="H316" i="4"/>
  <c r="G316" i="4"/>
  <c r="E316" i="4"/>
  <c r="D316" i="4"/>
  <c r="C316" i="4"/>
  <c r="I76" i="4"/>
  <c r="E76" i="4"/>
  <c r="D76" i="4"/>
  <c r="G76" i="4"/>
  <c r="F76" i="4"/>
  <c r="C76" i="4"/>
  <c r="B76" i="4"/>
  <c r="J76" i="4"/>
  <c r="H76" i="4"/>
  <c r="J140" i="4"/>
  <c r="B140" i="4"/>
  <c r="F140" i="4"/>
  <c r="E140" i="4"/>
  <c r="C140" i="4"/>
  <c r="G140" i="4"/>
  <c r="I140" i="4"/>
  <c r="H140" i="4"/>
  <c r="D140" i="4"/>
  <c r="J204" i="4"/>
  <c r="B204" i="4"/>
  <c r="F204" i="4"/>
  <c r="D204" i="4"/>
  <c r="E204" i="4"/>
  <c r="I204" i="4"/>
  <c r="H204" i="4"/>
  <c r="G204" i="4"/>
  <c r="C204" i="4"/>
  <c r="J268" i="4"/>
  <c r="B268" i="4"/>
  <c r="F268" i="4"/>
  <c r="E268" i="4"/>
  <c r="D268" i="4"/>
  <c r="I268" i="4"/>
  <c r="H268" i="4"/>
  <c r="G268" i="4"/>
  <c r="C268" i="4"/>
  <c r="AI259" i="11"/>
  <c r="R193" i="11"/>
  <c r="AG193" i="11" s="1"/>
  <c r="AB181" i="11"/>
  <c r="AC181" i="11" s="1"/>
  <c r="AI1020" i="11"/>
  <c r="AD1020" i="11" s="1"/>
  <c r="P1020" i="11"/>
  <c r="AB1020" i="11"/>
  <c r="AC1020" i="11" s="1"/>
  <c r="Y854" i="11"/>
  <c r="R1013" i="11"/>
  <c r="AG1013" i="11" s="1"/>
  <c r="AI1013" i="11"/>
  <c r="S109" i="11"/>
  <c r="Y109" i="11" s="1"/>
  <c r="Q180" i="11"/>
  <c r="S180" i="11" s="1"/>
  <c r="AI220" i="11"/>
  <c r="Y220" i="11"/>
  <c r="S139" i="11"/>
  <c r="Y139" i="11"/>
  <c r="P171" i="11"/>
  <c r="R171" i="11"/>
  <c r="X171" i="11" s="1"/>
  <c r="P211" i="11"/>
  <c r="R211" i="11" s="1"/>
  <c r="T211" i="11" s="1"/>
  <c r="P150" i="11"/>
  <c r="R150" i="11" s="1"/>
  <c r="AG150" i="11" s="1"/>
  <c r="R407" i="11"/>
  <c r="AG407" i="11" s="1"/>
  <c r="AB278" i="11"/>
  <c r="AC278" i="11" s="1"/>
  <c r="AI338" i="11"/>
  <c r="R370" i="11"/>
  <c r="Y370" i="11"/>
  <c r="Q633" i="11"/>
  <c r="AI633" i="11"/>
  <c r="Y763" i="11"/>
  <c r="Z763" i="11" s="1"/>
  <c r="AA763" i="11" s="1"/>
  <c r="Z852" i="11"/>
  <c r="AA852" i="11" s="1"/>
  <c r="Y859" i="11"/>
  <c r="R942" i="11"/>
  <c r="AG942" i="11" s="1"/>
  <c r="Y942" i="11"/>
  <c r="R991" i="11"/>
  <c r="Q1042" i="11"/>
  <c r="S1042" i="11" s="1"/>
  <c r="R1042" i="11"/>
  <c r="X1042" i="11"/>
  <c r="Z1042" i="11" s="1"/>
  <c r="AA1042" i="11" s="1"/>
  <c r="AI282" i="11"/>
  <c r="S1025" i="11"/>
  <c r="S953" i="11"/>
  <c r="P953" i="11"/>
  <c r="R953" i="11" s="1"/>
  <c r="R364" i="11"/>
  <c r="Y331" i="11"/>
  <c r="X189" i="11"/>
  <c r="AB919" i="11"/>
  <c r="AC919" i="11" s="1"/>
  <c r="AH1120" i="11"/>
  <c r="Z1120" i="11"/>
  <c r="R1120" i="11"/>
  <c r="J1120" i="11"/>
  <c r="AB1120" i="11"/>
  <c r="S1120" i="11"/>
  <c r="I1120" i="11"/>
  <c r="AA1120" i="11"/>
  <c r="Q1120" i="11"/>
  <c r="H1120" i="11"/>
  <c r="AI1120" i="11"/>
  <c r="Y1120" i="11"/>
  <c r="P1120" i="11"/>
  <c r="G1120" i="11"/>
  <c r="AG1120" i="11"/>
  <c r="X1120" i="11"/>
  <c r="O1120" i="11"/>
  <c r="F1120" i="11"/>
  <c r="AF1120" i="11"/>
  <c r="W1120" i="11"/>
  <c r="N1120" i="11"/>
  <c r="E1120" i="11"/>
  <c r="AE1120" i="11"/>
  <c r="V1120" i="11"/>
  <c r="M1120" i="11"/>
  <c r="AD1120" i="11"/>
  <c r="U1120" i="11"/>
  <c r="L1120" i="11"/>
  <c r="AC1120" i="11"/>
  <c r="T1120" i="11"/>
  <c r="K1120" i="11"/>
  <c r="X897" i="11"/>
  <c r="Z897" i="11" s="1"/>
  <c r="AA897" i="11" s="1"/>
  <c r="R895" i="11"/>
  <c r="AB858" i="11"/>
  <c r="AC858" i="11" s="1"/>
  <c r="J806" i="11"/>
  <c r="I806" i="11"/>
  <c r="F806" i="11"/>
  <c r="O806" i="11"/>
  <c r="E806" i="11"/>
  <c r="M806" i="11"/>
  <c r="AF806" i="11"/>
  <c r="L806" i="11"/>
  <c r="AB806" i="11" s="1"/>
  <c r="AC806" i="11" s="1"/>
  <c r="N806" i="11"/>
  <c r="K806" i="11"/>
  <c r="H806" i="11"/>
  <c r="G806" i="11"/>
  <c r="P806" i="11" s="1"/>
  <c r="AI115" i="11"/>
  <c r="P115" i="11"/>
  <c r="R115" i="11" s="1"/>
  <c r="Q115" i="11"/>
  <c r="S115" i="11" s="1"/>
  <c r="Y115" i="11" s="1"/>
  <c r="AD115" i="11"/>
  <c r="X152" i="11"/>
  <c r="P143" i="11"/>
  <c r="R143" i="11" s="1"/>
  <c r="AB143" i="11"/>
  <c r="AC143" i="11" s="1"/>
  <c r="Q215" i="11"/>
  <c r="S215" i="11" s="1"/>
  <c r="Y215" i="11" s="1"/>
  <c r="P215" i="11"/>
  <c r="AD215" i="11" s="1"/>
  <c r="S154" i="11"/>
  <c r="Y154" i="11" s="1"/>
  <c r="P154" i="11"/>
  <c r="AD154" i="11" s="1"/>
  <c r="R389" i="11"/>
  <c r="AB389" i="11"/>
  <c r="AC389" i="11" s="1"/>
  <c r="AD389" i="11"/>
  <c r="AB273" i="11"/>
  <c r="AC273" i="11" s="1"/>
  <c r="AD273" i="11"/>
  <c r="AI1033" i="11"/>
  <c r="S1033" i="11"/>
  <c r="X1033" i="11"/>
  <c r="R1033" i="11"/>
  <c r="AG1033" i="11" s="1"/>
  <c r="Y1033" i="11"/>
  <c r="P1033" i="11"/>
  <c r="AI283" i="11"/>
  <c r="AB149" i="11"/>
  <c r="AC149" i="11" s="1"/>
  <c r="AG911" i="11"/>
  <c r="Q1036" i="11"/>
  <c r="X196" i="11"/>
  <c r="Z196" i="11" s="1"/>
  <c r="AA196" i="11" s="1"/>
  <c r="R196" i="11"/>
  <c r="R410" i="11"/>
  <c r="P830" i="11"/>
  <c r="R830" i="11" s="1"/>
  <c r="Q830" i="11"/>
  <c r="AB837" i="11"/>
  <c r="AC837" i="11" s="1"/>
  <c r="AB853" i="11"/>
  <c r="AC853" i="11" s="1"/>
  <c r="S908" i="11"/>
  <c r="X867" i="11"/>
  <c r="Z867" i="11" s="1"/>
  <c r="AA867" i="11" s="1"/>
  <c r="R867" i="11"/>
  <c r="P867" i="11"/>
  <c r="AD867" i="11" s="1"/>
  <c r="Q867" i="11"/>
  <c r="S867" i="11" s="1"/>
  <c r="S98" i="11"/>
  <c r="R1019" i="11"/>
  <c r="AG1019" i="11" s="1"/>
  <c r="Y1019" i="11"/>
  <c r="AD1019" i="11"/>
  <c r="AI1019" i="11"/>
  <c r="Q1019" i="11"/>
  <c r="S1019" i="11"/>
  <c r="P1019" i="11"/>
  <c r="T26" i="11"/>
  <c r="AB840" i="11"/>
  <c r="AC840" i="11" s="1"/>
  <c r="Z842" i="11"/>
  <c r="AA842" i="11" s="1"/>
  <c r="R842" i="11"/>
  <c r="R33" i="11"/>
  <c r="AB191" i="11"/>
  <c r="AC191" i="11" s="1"/>
  <c r="R639" i="11"/>
  <c r="AG639" i="11" s="1"/>
  <c r="P639" i="11"/>
  <c r="AI639" i="11"/>
  <c r="S639" i="11"/>
  <c r="Y639" i="11" s="1"/>
  <c r="Q639" i="11"/>
  <c r="R896" i="11"/>
  <c r="S958" i="11"/>
  <c r="AE978" i="11"/>
  <c r="AB983" i="11"/>
  <c r="AC983" i="11" s="1"/>
  <c r="AB498" i="11"/>
  <c r="T498" i="11"/>
  <c r="L498" i="11"/>
  <c r="AI498" i="11"/>
  <c r="AA498" i="11"/>
  <c r="S498" i="11"/>
  <c r="K498" i="11"/>
  <c r="AH498" i="11"/>
  <c r="Z498" i="11"/>
  <c r="R498" i="11"/>
  <c r="J498" i="11"/>
  <c r="AF498" i="11"/>
  <c r="X498" i="11"/>
  <c r="P498" i="11"/>
  <c r="H498" i="11"/>
  <c r="AG498" i="11"/>
  <c r="Q498" i="11"/>
  <c r="AE498" i="11"/>
  <c r="O498" i="11"/>
  <c r="AD498" i="11"/>
  <c r="N498" i="11"/>
  <c r="AC498" i="11"/>
  <c r="M498" i="11"/>
  <c r="Y498" i="11"/>
  <c r="I498" i="11"/>
  <c r="V498" i="11"/>
  <c r="U498" i="11"/>
  <c r="G498" i="11"/>
  <c r="F498" i="11"/>
  <c r="E498" i="11"/>
  <c r="W498" i="11"/>
  <c r="Z775" i="11"/>
  <c r="AA775" i="11" s="1"/>
  <c r="R775" i="11"/>
  <c r="AG775" i="11" s="1"/>
  <c r="S775" i="11"/>
  <c r="Y775" i="11"/>
  <c r="X775" i="11"/>
  <c r="T775" i="11"/>
  <c r="R1043" i="11"/>
  <c r="AG815" i="11"/>
  <c r="C34" i="3"/>
  <c r="B34" i="3"/>
  <c r="E34" i="3"/>
  <c r="D34" i="3"/>
  <c r="E48" i="3"/>
  <c r="D48" i="3"/>
  <c r="C48" i="3"/>
  <c r="B48" i="3"/>
  <c r="R75" i="11"/>
  <c r="Q172" i="11"/>
  <c r="S172" i="11" s="1"/>
  <c r="Y172" i="11" s="1"/>
  <c r="AI131" i="11"/>
  <c r="R337" i="11"/>
  <c r="AG337" i="11" s="1"/>
  <c r="Q773" i="11"/>
  <c r="R928" i="11"/>
  <c r="AG928" i="11" s="1"/>
  <c r="AF632" i="11"/>
  <c r="H632" i="11"/>
  <c r="O632" i="11"/>
  <c r="G632" i="11"/>
  <c r="N632" i="11"/>
  <c r="F632" i="11"/>
  <c r="P632" i="11" s="1"/>
  <c r="M632" i="11"/>
  <c r="E632" i="11"/>
  <c r="L632" i="11"/>
  <c r="AI632" i="11"/>
  <c r="K632" i="11"/>
  <c r="J632" i="11"/>
  <c r="I632" i="11"/>
  <c r="Y153" i="11"/>
  <c r="P1024" i="11"/>
  <c r="R1024" i="11" s="1"/>
  <c r="AD78" i="11"/>
  <c r="Y866" i="11"/>
  <c r="AB16" i="11"/>
  <c r="AC16" i="11" s="1"/>
  <c r="AI86" i="11"/>
  <c r="S140" i="11"/>
  <c r="P131" i="11"/>
  <c r="E37" i="3"/>
  <c r="B37" i="3"/>
  <c r="D37" i="3"/>
  <c r="C37" i="3"/>
  <c r="E62" i="3"/>
  <c r="D62" i="3"/>
  <c r="C62" i="3"/>
  <c r="B62" i="3"/>
  <c r="AN69" i="3"/>
  <c r="AF69" i="3"/>
  <c r="X69" i="3"/>
  <c r="P69" i="3"/>
  <c r="H69" i="3"/>
  <c r="AE69" i="3"/>
  <c r="O69" i="3"/>
  <c r="G69" i="3"/>
  <c r="AM69" i="3"/>
  <c r="W69" i="3"/>
  <c r="AD69" i="3"/>
  <c r="T69" i="3"/>
  <c r="J69" i="3"/>
  <c r="AO69" i="3"/>
  <c r="AC69" i="3"/>
  <c r="S69" i="3"/>
  <c r="I69" i="3"/>
  <c r="AL69" i="3"/>
  <c r="AB69" i="3"/>
  <c r="R69" i="3"/>
  <c r="F69" i="3"/>
  <c r="AH69" i="3"/>
  <c r="L69" i="3"/>
  <c r="AG69" i="3"/>
  <c r="U69" i="3"/>
  <c r="AK69" i="3"/>
  <c r="AA69" i="3"/>
  <c r="Q69" i="3"/>
  <c r="E69" i="3"/>
  <c r="AI69" i="3"/>
  <c r="M69" i="3"/>
  <c r="C69" i="3"/>
  <c r="V69" i="3"/>
  <c r="B69" i="3"/>
  <c r="AJ69" i="3"/>
  <c r="Z69" i="3"/>
  <c r="N69" i="3"/>
  <c r="D69" i="3"/>
  <c r="Y69" i="3"/>
  <c r="K69" i="3"/>
  <c r="AJ65" i="3"/>
  <c r="AB65" i="3"/>
  <c r="T65" i="3"/>
  <c r="L65" i="3"/>
  <c r="D65" i="3"/>
  <c r="AA65" i="3"/>
  <c r="AI65" i="3"/>
  <c r="S65" i="3"/>
  <c r="K65" i="3"/>
  <c r="C65" i="3"/>
  <c r="AH65" i="3"/>
  <c r="X65" i="3"/>
  <c r="N65" i="3"/>
  <c r="B65" i="3"/>
  <c r="AG65" i="3"/>
  <c r="W65" i="3"/>
  <c r="M65" i="3"/>
  <c r="AF65" i="3"/>
  <c r="V65" i="3"/>
  <c r="J65" i="3"/>
  <c r="AL65" i="3"/>
  <c r="Z65" i="3"/>
  <c r="P65" i="3"/>
  <c r="O65" i="3"/>
  <c r="AO65" i="3"/>
  <c r="AE65" i="3"/>
  <c r="U65" i="3"/>
  <c r="I65" i="3"/>
  <c r="AM65" i="3"/>
  <c r="Q65" i="3"/>
  <c r="F65" i="3"/>
  <c r="AN65" i="3"/>
  <c r="AD65" i="3"/>
  <c r="R65" i="3"/>
  <c r="H65" i="3"/>
  <c r="AC65" i="3"/>
  <c r="G65" i="3"/>
  <c r="AK65" i="3"/>
  <c r="Y65" i="3"/>
  <c r="E65" i="3"/>
  <c r="B51" i="3"/>
  <c r="D51" i="3"/>
  <c r="E51" i="3"/>
  <c r="C51" i="3"/>
  <c r="AH475" i="11"/>
  <c r="Z475" i="11"/>
  <c r="R475" i="11"/>
  <c r="J475" i="11"/>
  <c r="AG475" i="11"/>
  <c r="Y475" i="11"/>
  <c r="Q475" i="11"/>
  <c r="I475" i="11"/>
  <c r="AF475" i="11"/>
  <c r="X475" i="11"/>
  <c r="P475" i="11"/>
  <c r="H475" i="11"/>
  <c r="AD475" i="11"/>
  <c r="V475" i="11"/>
  <c r="N475" i="11"/>
  <c r="F475" i="11"/>
  <c r="AC475" i="11"/>
  <c r="M475" i="11"/>
  <c r="AB475" i="11"/>
  <c r="L475" i="11"/>
  <c r="AA475" i="11"/>
  <c r="K475" i="11"/>
  <c r="W475" i="11"/>
  <c r="G475" i="11"/>
  <c r="U475" i="11"/>
  <c r="E475" i="11"/>
  <c r="AE475" i="11"/>
  <c r="T475" i="11"/>
  <c r="S475" i="11"/>
  <c r="O475" i="11"/>
  <c r="AI475" i="11"/>
  <c r="P866" i="11"/>
  <c r="R1004" i="11"/>
  <c r="P172" i="11"/>
  <c r="R172" i="11" s="1"/>
  <c r="Q203" i="11"/>
  <c r="S203" i="11" s="1"/>
  <c r="Y203" i="11" s="1"/>
  <c r="S280" i="11"/>
  <c r="Y280" i="11" s="1"/>
  <c r="S975" i="11"/>
  <c r="AD1044" i="11"/>
  <c r="AI231" i="11"/>
  <c r="AA231" i="11"/>
  <c r="S231" i="11"/>
  <c r="K231" i="11"/>
  <c r="AH231" i="11"/>
  <c r="Z231" i="11"/>
  <c r="R231" i="11"/>
  <c r="J231" i="11"/>
  <c r="AG231" i="11"/>
  <c r="W231" i="11"/>
  <c r="M231" i="11"/>
  <c r="AF231" i="11"/>
  <c r="V231" i="11"/>
  <c r="L231" i="11"/>
  <c r="AE231" i="11"/>
  <c r="U231" i="11"/>
  <c r="I231" i="11"/>
  <c r="AD231" i="11"/>
  <c r="T231" i="11"/>
  <c r="H231" i="11"/>
  <c r="AC231" i="11"/>
  <c r="Q231" i="11"/>
  <c r="G231" i="11"/>
  <c r="AB231" i="11"/>
  <c r="P231" i="11"/>
  <c r="F231" i="11"/>
  <c r="X231" i="11"/>
  <c r="O231" i="11"/>
  <c r="N231" i="11"/>
  <c r="E231" i="11"/>
  <c r="Y231" i="11"/>
  <c r="AD153" i="11"/>
  <c r="Q10" i="11"/>
  <c r="S10" i="11" s="1"/>
  <c r="L52" i="11"/>
  <c r="AB52" i="11" s="1"/>
  <c r="AC52" i="11" s="1"/>
  <c r="AI52" i="11"/>
  <c r="K52" i="11"/>
  <c r="J52" i="11"/>
  <c r="I52" i="11"/>
  <c r="AF52" i="11"/>
  <c r="H52" i="11"/>
  <c r="O52" i="11"/>
  <c r="G52" i="11"/>
  <c r="N52" i="11"/>
  <c r="F52" i="11"/>
  <c r="M52" i="11"/>
  <c r="E52" i="11"/>
  <c r="Q111" i="11"/>
  <c r="S111" i="11" s="1"/>
  <c r="Y111" i="11" s="1"/>
  <c r="Y135" i="11"/>
  <c r="X399" i="11"/>
  <c r="R366" i="11"/>
  <c r="S359" i="11"/>
  <c r="Y359" i="11" s="1"/>
  <c r="AD429" i="11"/>
  <c r="X772" i="11"/>
  <c r="Y783" i="11"/>
  <c r="R889" i="11"/>
  <c r="AG889" i="11" s="1"/>
  <c r="AD979" i="11"/>
  <c r="AI964" i="11"/>
  <c r="R997" i="11"/>
  <c r="X1049" i="11"/>
  <c r="P1049" i="11"/>
  <c r="R1049" i="11" s="1"/>
  <c r="J88" i="4"/>
  <c r="B88" i="4"/>
  <c r="I88" i="4"/>
  <c r="E88" i="4"/>
  <c r="D88" i="4"/>
  <c r="H88" i="4"/>
  <c r="G88" i="4"/>
  <c r="F88" i="4"/>
  <c r="C88" i="4"/>
  <c r="H321" i="4"/>
  <c r="B321" i="4"/>
  <c r="F321" i="4"/>
  <c r="E321" i="4"/>
  <c r="D321" i="4"/>
  <c r="J321" i="4"/>
  <c r="I321" i="4"/>
  <c r="G321" i="4"/>
  <c r="C321" i="4"/>
  <c r="F138" i="4"/>
  <c r="C138" i="4"/>
  <c r="H138" i="4"/>
  <c r="G138" i="4"/>
  <c r="I138" i="4"/>
  <c r="E138" i="4"/>
  <c r="D138" i="4"/>
  <c r="J138" i="4"/>
  <c r="B138" i="4"/>
  <c r="F270" i="4"/>
  <c r="I270" i="4"/>
  <c r="D270" i="4"/>
  <c r="C270" i="4"/>
  <c r="B270" i="4"/>
  <c r="J270" i="4"/>
  <c r="H270" i="4"/>
  <c r="G270" i="4"/>
  <c r="E270" i="4"/>
  <c r="F158" i="4"/>
  <c r="D158" i="4"/>
  <c r="I158" i="4"/>
  <c r="H158" i="4"/>
  <c r="J158" i="4"/>
  <c r="G158" i="4"/>
  <c r="B158" i="4"/>
  <c r="E158" i="4"/>
  <c r="C158" i="4"/>
  <c r="D139" i="4"/>
  <c r="B139" i="4"/>
  <c r="G139" i="4"/>
  <c r="F139" i="4"/>
  <c r="J139" i="4"/>
  <c r="I139" i="4"/>
  <c r="H139" i="4"/>
  <c r="E139" i="4"/>
  <c r="C139" i="4"/>
  <c r="D255" i="4"/>
  <c r="C255" i="4"/>
  <c r="H255" i="4"/>
  <c r="G255" i="4"/>
  <c r="F255" i="4"/>
  <c r="J255" i="4"/>
  <c r="I255" i="4"/>
  <c r="E255" i="4"/>
  <c r="B255" i="4"/>
  <c r="F94" i="4"/>
  <c r="D94" i="4"/>
  <c r="I94" i="4"/>
  <c r="H94" i="4"/>
  <c r="J94" i="4"/>
  <c r="G94" i="4"/>
  <c r="E94" i="4"/>
  <c r="C94" i="4"/>
  <c r="B94" i="4"/>
  <c r="J288" i="4"/>
  <c r="B288" i="4"/>
  <c r="C288" i="4"/>
  <c r="G288" i="4"/>
  <c r="F288" i="4"/>
  <c r="E288" i="4"/>
  <c r="I288" i="4"/>
  <c r="H288" i="4"/>
  <c r="D288" i="4"/>
  <c r="H169" i="4"/>
  <c r="D169" i="4"/>
  <c r="I169" i="4"/>
  <c r="G169" i="4"/>
  <c r="E169" i="4"/>
  <c r="C169" i="4"/>
  <c r="B169" i="4"/>
  <c r="J169" i="4"/>
  <c r="F169" i="4"/>
  <c r="J296" i="4"/>
  <c r="B296" i="4"/>
  <c r="E296" i="4"/>
  <c r="I296" i="4"/>
  <c r="H296" i="4"/>
  <c r="G296" i="4"/>
  <c r="F296" i="4"/>
  <c r="D296" i="4"/>
  <c r="C296" i="4"/>
  <c r="J200" i="4"/>
  <c r="B200" i="4"/>
  <c r="E200" i="4"/>
  <c r="I200" i="4"/>
  <c r="G200" i="4"/>
  <c r="H200" i="4"/>
  <c r="D200" i="4"/>
  <c r="C200" i="4"/>
  <c r="F200" i="4"/>
  <c r="F90" i="4"/>
  <c r="H90" i="4"/>
  <c r="C90" i="4"/>
  <c r="B90" i="4"/>
  <c r="E90" i="4"/>
  <c r="D90" i="4"/>
  <c r="I90" i="4"/>
  <c r="J90" i="4"/>
  <c r="G90" i="4"/>
  <c r="J212" i="4"/>
  <c r="B212" i="4"/>
  <c r="D212" i="4"/>
  <c r="H212" i="4"/>
  <c r="G212" i="4"/>
  <c r="F212" i="4"/>
  <c r="E212" i="4"/>
  <c r="C212" i="4"/>
  <c r="I212" i="4"/>
  <c r="J340" i="4"/>
  <c r="B340" i="4"/>
  <c r="D340" i="4"/>
  <c r="H340" i="4"/>
  <c r="G340" i="4"/>
  <c r="F340" i="4"/>
  <c r="E340" i="4"/>
  <c r="C340" i="4"/>
  <c r="I340" i="4"/>
  <c r="H105" i="4"/>
  <c r="D105" i="4"/>
  <c r="I105" i="4"/>
  <c r="G105" i="4"/>
  <c r="B105" i="4"/>
  <c r="C105" i="4"/>
  <c r="E105" i="4"/>
  <c r="J105" i="4"/>
  <c r="F105" i="4"/>
  <c r="J256" i="4"/>
  <c r="B256" i="4"/>
  <c r="C256" i="4"/>
  <c r="G256" i="4"/>
  <c r="F256" i="4"/>
  <c r="E256" i="4"/>
  <c r="D256" i="4"/>
  <c r="I256" i="4"/>
  <c r="H256" i="4"/>
  <c r="F86" i="4"/>
  <c r="B86" i="4"/>
  <c r="G86" i="4"/>
  <c r="E86" i="4"/>
  <c r="J86" i="4"/>
  <c r="H86" i="4"/>
  <c r="D86" i="4"/>
  <c r="I86" i="4"/>
  <c r="C86" i="4"/>
  <c r="H185" i="4"/>
  <c r="I185" i="4"/>
  <c r="D185" i="4"/>
  <c r="B185" i="4"/>
  <c r="C185" i="4"/>
  <c r="G185" i="4"/>
  <c r="F185" i="4"/>
  <c r="E185" i="4"/>
  <c r="J185" i="4"/>
  <c r="H313" i="4"/>
  <c r="I313" i="4"/>
  <c r="D313" i="4"/>
  <c r="C313" i="4"/>
  <c r="B313" i="4"/>
  <c r="E313" i="4"/>
  <c r="F313" i="4"/>
  <c r="J313" i="4"/>
  <c r="G313" i="4"/>
  <c r="J260" i="4"/>
  <c r="B260" i="4"/>
  <c r="H260" i="4"/>
  <c r="D260" i="4"/>
  <c r="C260" i="4"/>
  <c r="F260" i="4"/>
  <c r="E260" i="4"/>
  <c r="I260" i="4"/>
  <c r="G260" i="4"/>
  <c r="H229" i="4"/>
  <c r="G229" i="4"/>
  <c r="C229" i="4"/>
  <c r="B229" i="4"/>
  <c r="J229" i="4"/>
  <c r="F229" i="4"/>
  <c r="E229" i="4"/>
  <c r="D229" i="4"/>
  <c r="I229" i="4"/>
  <c r="J144" i="4"/>
  <c r="B144" i="4"/>
  <c r="G144" i="4"/>
  <c r="C144" i="4"/>
  <c r="F144" i="4"/>
  <c r="E144" i="4"/>
  <c r="D144" i="4"/>
  <c r="I144" i="4"/>
  <c r="H144" i="4"/>
  <c r="F282" i="4"/>
  <c r="H282" i="4"/>
  <c r="C282" i="4"/>
  <c r="B282" i="4"/>
  <c r="J282" i="4"/>
  <c r="E282" i="4"/>
  <c r="D282" i="4"/>
  <c r="I282" i="4"/>
  <c r="G282" i="4"/>
  <c r="D123" i="4"/>
  <c r="G123" i="4"/>
  <c r="B123" i="4"/>
  <c r="J123" i="4"/>
  <c r="I123" i="4"/>
  <c r="H123" i="4"/>
  <c r="F123" i="4"/>
  <c r="C123" i="4"/>
  <c r="E123" i="4"/>
  <c r="D219" i="4"/>
  <c r="G219" i="4"/>
  <c r="B219" i="4"/>
  <c r="J219" i="4"/>
  <c r="I219" i="4"/>
  <c r="H219" i="4"/>
  <c r="F219" i="4"/>
  <c r="E219" i="4"/>
  <c r="C219" i="4"/>
  <c r="H305" i="4"/>
  <c r="F305" i="4"/>
  <c r="B305" i="4"/>
  <c r="J305" i="4"/>
  <c r="I305" i="4"/>
  <c r="G305" i="4"/>
  <c r="E305" i="4"/>
  <c r="D305" i="4"/>
  <c r="C305" i="4"/>
  <c r="H369" i="4"/>
  <c r="F369" i="4"/>
  <c r="B369" i="4"/>
  <c r="J369" i="4"/>
  <c r="I369" i="4"/>
  <c r="G369" i="4"/>
  <c r="E369" i="4"/>
  <c r="D369" i="4"/>
  <c r="C369" i="4"/>
  <c r="H125" i="4"/>
  <c r="E125" i="4"/>
  <c r="J125" i="4"/>
  <c r="I125" i="4"/>
  <c r="F125" i="4"/>
  <c r="D125" i="4"/>
  <c r="C125" i="4"/>
  <c r="B125" i="4"/>
  <c r="G125" i="4"/>
  <c r="H189" i="4"/>
  <c r="E189" i="4"/>
  <c r="J189" i="4"/>
  <c r="I189" i="4"/>
  <c r="G189" i="4"/>
  <c r="C189" i="4"/>
  <c r="F189" i="4"/>
  <c r="D189" i="4"/>
  <c r="B189" i="4"/>
  <c r="H253" i="4"/>
  <c r="E253" i="4"/>
  <c r="J253" i="4"/>
  <c r="I253" i="4"/>
  <c r="G253" i="4"/>
  <c r="B253" i="4"/>
  <c r="C253" i="4"/>
  <c r="F253" i="4"/>
  <c r="D253" i="4"/>
  <c r="H317" i="4"/>
  <c r="E317" i="4"/>
  <c r="J317" i="4"/>
  <c r="I317" i="4"/>
  <c r="G317" i="4"/>
  <c r="B317" i="4"/>
  <c r="C317" i="4"/>
  <c r="F317" i="4"/>
  <c r="D317" i="4"/>
  <c r="I80" i="4"/>
  <c r="E80" i="4"/>
  <c r="D80" i="4"/>
  <c r="F80" i="4"/>
  <c r="C80" i="4"/>
  <c r="B80" i="4"/>
  <c r="J80" i="4"/>
  <c r="H80" i="4"/>
  <c r="G80" i="4"/>
  <c r="H141" i="4"/>
  <c r="J141" i="4"/>
  <c r="E141" i="4"/>
  <c r="D141" i="4"/>
  <c r="G141" i="4"/>
  <c r="F141" i="4"/>
  <c r="C141" i="4"/>
  <c r="B141" i="4"/>
  <c r="I141" i="4"/>
  <c r="H205" i="4"/>
  <c r="J205" i="4"/>
  <c r="E205" i="4"/>
  <c r="D205" i="4"/>
  <c r="C205" i="4"/>
  <c r="B205" i="4"/>
  <c r="I205" i="4"/>
  <c r="G205" i="4"/>
  <c r="F205" i="4"/>
  <c r="H269" i="4"/>
  <c r="J269" i="4"/>
  <c r="E269" i="4"/>
  <c r="D269" i="4"/>
  <c r="C269" i="4"/>
  <c r="B269" i="4"/>
  <c r="F269" i="4"/>
  <c r="I269" i="4"/>
  <c r="G269" i="4"/>
  <c r="H333" i="4"/>
  <c r="J333" i="4"/>
  <c r="E333" i="4"/>
  <c r="D333" i="4"/>
  <c r="C333" i="4"/>
  <c r="B333" i="4"/>
  <c r="F333" i="4"/>
  <c r="G333" i="4"/>
  <c r="I333" i="4"/>
  <c r="Q291" i="11"/>
  <c r="S291" i="11" s="1"/>
  <c r="Y291" i="11"/>
  <c r="AD291" i="11"/>
  <c r="AB482" i="11"/>
  <c r="T482" i="11"/>
  <c r="L482" i="11"/>
  <c r="AI482" i="11"/>
  <c r="AA482" i="11"/>
  <c r="S482" i="11"/>
  <c r="K482" i="11"/>
  <c r="AH482" i="11"/>
  <c r="Z482" i="11"/>
  <c r="R482" i="11"/>
  <c r="J482" i="11"/>
  <c r="AF482" i="11"/>
  <c r="X482" i="11"/>
  <c r="P482" i="11"/>
  <c r="H482" i="11"/>
  <c r="AG482" i="11"/>
  <c r="Q482" i="11"/>
  <c r="AE482" i="11"/>
  <c r="O482" i="11"/>
  <c r="AD482" i="11"/>
  <c r="N482" i="11"/>
  <c r="AC482" i="11"/>
  <c r="M482" i="11"/>
  <c r="Y482" i="11"/>
  <c r="I482" i="11"/>
  <c r="V482" i="11"/>
  <c r="U482" i="11"/>
  <c r="G482" i="11"/>
  <c r="F482" i="11"/>
  <c r="E482" i="11"/>
  <c r="W482" i="11"/>
  <c r="R125" i="11"/>
  <c r="S336" i="11"/>
  <c r="Y336" i="11" s="1"/>
  <c r="Z336" i="11" s="1"/>
  <c r="AA336" i="11" s="1"/>
  <c r="AD933" i="11"/>
  <c r="AI417" i="11"/>
  <c r="Q408" i="11"/>
  <c r="S408" i="11" s="1"/>
  <c r="Y408" i="11" s="1"/>
  <c r="AI901" i="11"/>
  <c r="R901" i="11"/>
  <c r="Q874" i="11"/>
  <c r="AD874" i="11" s="1"/>
  <c r="S1031" i="11"/>
  <c r="X1020" i="11"/>
  <c r="AI91" i="11"/>
  <c r="Q110" i="11"/>
  <c r="S110" i="11" s="1"/>
  <c r="Y110" i="11" s="1"/>
  <c r="P110" i="11"/>
  <c r="Y1013" i="11"/>
  <c r="AI21" i="11"/>
  <c r="AD24" i="11"/>
  <c r="Y180" i="11"/>
  <c r="AI180" i="11"/>
  <c r="Q92" i="11"/>
  <c r="S92" i="11" s="1"/>
  <c r="Y92" i="11" s="1"/>
  <c r="R349" i="11"/>
  <c r="AI139" i="11"/>
  <c r="Q171" i="11"/>
  <c r="S171" i="11" s="1"/>
  <c r="Y171" i="11" s="1"/>
  <c r="AI150" i="11"/>
  <c r="X150" i="11"/>
  <c r="AI385" i="11"/>
  <c r="AD288" i="11"/>
  <c r="Q269" i="11"/>
  <c r="S269" i="11" s="1"/>
  <c r="Y269" i="11" s="1"/>
  <c r="R269" i="11"/>
  <c r="P333" i="11"/>
  <c r="P338" i="11"/>
  <c r="R338" i="11" s="1"/>
  <c r="AG338" i="11" s="1"/>
  <c r="X338" i="11"/>
  <c r="AD402" i="11"/>
  <c r="Q395" i="11"/>
  <c r="AI646" i="11"/>
  <c r="Y633" i="11"/>
  <c r="AB633" i="11"/>
  <c r="AC633" i="11" s="1"/>
  <c r="Q763" i="11"/>
  <c r="Y788" i="11"/>
  <c r="Q787" i="11"/>
  <c r="S787" i="11" s="1"/>
  <c r="P884" i="11"/>
  <c r="AD952" i="11"/>
  <c r="Z924" i="11"/>
  <c r="AA924" i="11" s="1"/>
  <c r="Y966" i="11"/>
  <c r="AI1003" i="11"/>
  <c r="AB282" i="11"/>
  <c r="AC282" i="11" s="1"/>
  <c r="AB406" i="11"/>
  <c r="AC406" i="11" s="1"/>
  <c r="AD647" i="11"/>
  <c r="C37" i="4"/>
  <c r="B37" i="4"/>
  <c r="H37" i="4"/>
  <c r="G37" i="4"/>
  <c r="C67" i="4"/>
  <c r="G67" i="4"/>
  <c r="F67" i="4"/>
  <c r="E67" i="4"/>
  <c r="D67" i="4"/>
  <c r="B67" i="4"/>
  <c r="I67" i="4"/>
  <c r="H67" i="4"/>
  <c r="B71" i="4"/>
  <c r="F71" i="4"/>
  <c r="E71" i="4"/>
  <c r="C71" i="4"/>
  <c r="H71" i="4"/>
  <c r="G71" i="4"/>
  <c r="I71" i="4"/>
  <c r="D71" i="4"/>
  <c r="E52" i="4"/>
  <c r="I52" i="4"/>
  <c r="H52" i="4"/>
  <c r="D52" i="4"/>
  <c r="C52" i="4"/>
  <c r="B52" i="4"/>
  <c r="F52" i="4"/>
  <c r="G52" i="4"/>
  <c r="I62" i="4"/>
  <c r="E62" i="4"/>
  <c r="D62" i="4"/>
  <c r="B62" i="4"/>
  <c r="H62" i="4"/>
  <c r="F62" i="4"/>
  <c r="C62" i="4"/>
  <c r="G62" i="4"/>
  <c r="Q364" i="11"/>
  <c r="P66" i="11"/>
  <c r="Z895" i="11"/>
  <c r="AA895" i="11" s="1"/>
  <c r="Y1027" i="11"/>
  <c r="X1040" i="11"/>
  <c r="Z1040" i="11" s="1"/>
  <c r="AA1040" i="11" s="1"/>
  <c r="Y1040" i="11"/>
  <c r="AI858" i="11"/>
  <c r="AD996" i="11"/>
  <c r="AI1251" i="11"/>
  <c r="AA1251" i="11"/>
  <c r="S1251" i="11"/>
  <c r="K1251" i="11"/>
  <c r="AH1251" i="11"/>
  <c r="Z1251" i="11"/>
  <c r="R1251" i="11"/>
  <c r="J1251" i="11"/>
  <c r="AF1251" i="11"/>
  <c r="X1251" i="11"/>
  <c r="P1251" i="11"/>
  <c r="H1251" i="11"/>
  <c r="AE1251" i="11"/>
  <c r="T1251" i="11"/>
  <c r="F1251" i="11"/>
  <c r="AD1251" i="11"/>
  <c r="Q1251" i="11"/>
  <c r="E1251" i="11"/>
  <c r="AC1251" i="11"/>
  <c r="O1251" i="11"/>
  <c r="AB1251" i="11"/>
  <c r="N1251" i="11"/>
  <c r="Y1251" i="11"/>
  <c r="M1251" i="11"/>
  <c r="W1251" i="11"/>
  <c r="L1251" i="11"/>
  <c r="V1251" i="11"/>
  <c r="I1251" i="11"/>
  <c r="AG1251" i="11"/>
  <c r="U1251" i="11"/>
  <c r="G1251" i="11"/>
  <c r="AI221" i="11"/>
  <c r="R206" i="11"/>
  <c r="AB206" i="11"/>
  <c r="AC206" i="11" s="1"/>
  <c r="AB154" i="11"/>
  <c r="AC154" i="11" s="1"/>
  <c r="X154" i="11"/>
  <c r="T367" i="11"/>
  <c r="R999" i="11"/>
  <c r="AB506" i="11"/>
  <c r="T506" i="11"/>
  <c r="L506" i="11"/>
  <c r="AI506" i="11"/>
  <c r="AA506" i="11"/>
  <c r="S506" i="11"/>
  <c r="K506" i="11"/>
  <c r="AH506" i="11"/>
  <c r="Z506" i="11"/>
  <c r="R506" i="11"/>
  <c r="J506" i="11"/>
  <c r="AF506" i="11"/>
  <c r="X506" i="11"/>
  <c r="P506" i="11"/>
  <c r="H506" i="11"/>
  <c r="AG506" i="11"/>
  <c r="Q506" i="11"/>
  <c r="AE506" i="11"/>
  <c r="O506" i="11"/>
  <c r="AD506" i="11"/>
  <c r="N506" i="11"/>
  <c r="AC506" i="11"/>
  <c r="M506" i="11"/>
  <c r="Y506" i="11"/>
  <c r="I506" i="11"/>
  <c r="V506" i="11"/>
  <c r="U506" i="11"/>
  <c r="G506" i="11"/>
  <c r="F506" i="11"/>
  <c r="E506" i="11"/>
  <c r="W506" i="11"/>
  <c r="X149" i="11"/>
  <c r="AI925" i="11"/>
  <c r="AD925" i="11"/>
  <c r="Y925" i="11"/>
  <c r="Q925" i="11"/>
  <c r="X925" i="11"/>
  <c r="P925" i="11"/>
  <c r="AB82" i="11"/>
  <c r="AC82" i="11" s="1"/>
  <c r="R903" i="11"/>
  <c r="Q903" i="11"/>
  <c r="X903" i="11"/>
  <c r="Z903" i="11" s="1"/>
  <c r="AA903" i="11" s="1"/>
  <c r="AD64" i="11"/>
  <c r="X23" i="11"/>
  <c r="Z23" i="11" s="1"/>
  <c r="AA23" i="11" s="1"/>
  <c r="AI68" i="11"/>
  <c r="X68" i="11"/>
  <c r="Q68" i="11"/>
  <c r="S68" i="11" s="1"/>
  <c r="AG68" i="11" s="1"/>
  <c r="AD68" i="11"/>
  <c r="X100" i="11"/>
  <c r="Z100" i="11" s="1"/>
  <c r="AA100" i="11" s="1"/>
  <c r="X156" i="11"/>
  <c r="AB210" i="11"/>
  <c r="AC210" i="11" s="1"/>
  <c r="AG378" i="11"/>
  <c r="Z378" i="11"/>
  <c r="AA378" i="11" s="1"/>
  <c r="S780" i="11"/>
  <c r="S830" i="11"/>
  <c r="AI789" i="11"/>
  <c r="P789" i="11"/>
  <c r="Z805" i="11"/>
  <c r="AA805" i="11" s="1"/>
  <c r="AI853" i="11"/>
  <c r="Q853" i="11"/>
  <c r="Y853" i="11"/>
  <c r="X853" i="11"/>
  <c r="P853" i="11"/>
  <c r="AB875" i="11"/>
  <c r="AC875" i="11" s="1"/>
  <c r="P1016" i="11"/>
  <c r="AD1016" i="11" s="1"/>
  <c r="Y1016" i="11"/>
  <c r="S1016" i="11"/>
  <c r="Q1016" i="11"/>
  <c r="X1016" i="11"/>
  <c r="AG356" i="11"/>
  <c r="AD899" i="11"/>
  <c r="Q79" i="11"/>
  <c r="S79" i="11" s="1"/>
  <c r="Y79" i="11" s="1"/>
  <c r="P79" i="11"/>
  <c r="P128" i="11"/>
  <c r="R128" i="11" s="1"/>
  <c r="Q191" i="11"/>
  <c r="S191" i="11" s="1"/>
  <c r="Y191" i="11" s="1"/>
  <c r="P191" i="11"/>
  <c r="R191" i="11" s="1"/>
  <c r="AI191" i="11"/>
  <c r="AB409" i="11"/>
  <c r="AC409" i="11" s="1"/>
  <c r="T343" i="11"/>
  <c r="AF827" i="11"/>
  <c r="P827" i="11"/>
  <c r="H827" i="11"/>
  <c r="O827" i="11"/>
  <c r="G827" i="11"/>
  <c r="K827" i="11"/>
  <c r="N827" i="11"/>
  <c r="M827" i="11"/>
  <c r="L827" i="11"/>
  <c r="AB827" i="11" s="1"/>
  <c r="AC827" i="11" s="1"/>
  <c r="J827" i="11"/>
  <c r="I827" i="11"/>
  <c r="E827" i="11"/>
  <c r="F827" i="11"/>
  <c r="Q827" i="11" s="1"/>
  <c r="Y896" i="11"/>
  <c r="Z958" i="11"/>
  <c r="AA958" i="11" s="1"/>
  <c r="Y916" i="11"/>
  <c r="T114" i="11"/>
  <c r="AG40" i="11"/>
  <c r="X40" i="11"/>
  <c r="Z40" i="11" s="1"/>
  <c r="AA40" i="11" s="1"/>
  <c r="T40" i="11"/>
  <c r="S195" i="11"/>
  <c r="Y195" i="11" s="1"/>
  <c r="Z414" i="11"/>
  <c r="AA414" i="11" s="1"/>
  <c r="S989" i="11"/>
  <c r="AD977" i="11"/>
  <c r="X935" i="11"/>
  <c r="AD168" i="11"/>
  <c r="S425" i="11"/>
  <c r="S266" i="11"/>
  <c r="Y266" i="11" s="1"/>
  <c r="S261" i="11"/>
  <c r="Y261" i="11" s="1"/>
  <c r="T939" i="11"/>
  <c r="R836" i="11"/>
  <c r="R31" i="11"/>
  <c r="AB108" i="11"/>
  <c r="AC108" i="11" s="1"/>
  <c r="R166" i="11"/>
  <c r="P166" i="11"/>
  <c r="P262" i="11"/>
  <c r="AD262" i="11" s="1"/>
  <c r="AD485" i="11"/>
  <c r="V485" i="11"/>
  <c r="N485" i="11"/>
  <c r="F485" i="11"/>
  <c r="AC485" i="11"/>
  <c r="U485" i="11"/>
  <c r="M485" i="11"/>
  <c r="E485" i="11"/>
  <c r="AB485" i="11"/>
  <c r="T485" i="11"/>
  <c r="L485" i="11"/>
  <c r="AH485" i="11"/>
  <c r="Z485" i="11"/>
  <c r="R485" i="11"/>
  <c r="J485" i="11"/>
  <c r="X485" i="11"/>
  <c r="H485" i="11"/>
  <c r="W485" i="11"/>
  <c r="G485" i="11"/>
  <c r="AI485" i="11"/>
  <c r="S485" i="11"/>
  <c r="AG485" i="11"/>
  <c r="Q485" i="11"/>
  <c r="AF485" i="11"/>
  <c r="P485" i="11"/>
  <c r="AA485" i="11"/>
  <c r="Y485" i="11"/>
  <c r="O485" i="11"/>
  <c r="K485" i="11"/>
  <c r="I485" i="11"/>
  <c r="AE485" i="11"/>
  <c r="Q653" i="11"/>
  <c r="S653" i="11" s="1"/>
  <c r="Y653" i="11" s="1"/>
  <c r="X934" i="11"/>
  <c r="Z934" i="11" s="1"/>
  <c r="AA934" i="11" s="1"/>
  <c r="AB851" i="11"/>
  <c r="AC851" i="11" s="1"/>
  <c r="Q910" i="11"/>
  <c r="AD910" i="11" s="1"/>
  <c r="AB863" i="11"/>
  <c r="AC863" i="11" s="1"/>
  <c r="R1007" i="11"/>
  <c r="K400" i="11"/>
  <c r="J400" i="11"/>
  <c r="I400" i="11"/>
  <c r="AF400" i="11"/>
  <c r="H400" i="11"/>
  <c r="AB400" i="11" s="1"/>
  <c r="AC400" i="11" s="1"/>
  <c r="O400" i="11"/>
  <c r="G400" i="11"/>
  <c r="Q400" i="11" s="1"/>
  <c r="N400" i="11"/>
  <c r="M400" i="11"/>
  <c r="L400" i="11"/>
  <c r="F400" i="11"/>
  <c r="E400" i="11"/>
  <c r="K396" i="11"/>
  <c r="J396" i="11"/>
  <c r="AF396" i="11"/>
  <c r="H396" i="11"/>
  <c r="O396" i="11"/>
  <c r="G396" i="11"/>
  <c r="N396" i="11"/>
  <c r="M396" i="11"/>
  <c r="L396" i="11"/>
  <c r="AB396" i="11" s="1"/>
  <c r="AC396" i="11" s="1"/>
  <c r="I396" i="11"/>
  <c r="F396" i="11"/>
  <c r="E396" i="11"/>
  <c r="R120" i="11"/>
  <c r="AI1429" i="11"/>
  <c r="AA1429" i="11"/>
  <c r="S1429" i="11"/>
  <c r="K1429" i="11"/>
  <c r="AG1429" i="11"/>
  <c r="Y1429" i="11"/>
  <c r="Q1429" i="11"/>
  <c r="I1429" i="11"/>
  <c r="AF1429" i="11"/>
  <c r="X1429" i="11"/>
  <c r="P1429" i="11"/>
  <c r="H1429" i="11"/>
  <c r="Z1429" i="11"/>
  <c r="M1429" i="11"/>
  <c r="W1429" i="11"/>
  <c r="L1429" i="11"/>
  <c r="AC1429" i="11"/>
  <c r="J1429" i="11"/>
  <c r="AB1429" i="11"/>
  <c r="G1429" i="11"/>
  <c r="V1429" i="11"/>
  <c r="F1429" i="11"/>
  <c r="U1429" i="11"/>
  <c r="E1429" i="11"/>
  <c r="T1429" i="11"/>
  <c r="AH1429" i="11"/>
  <c r="AE1429" i="11"/>
  <c r="AD1429" i="11"/>
  <c r="R1429" i="11"/>
  <c r="O1429" i="11"/>
  <c r="N1429" i="11"/>
  <c r="Y846" i="11"/>
  <c r="P90" i="11"/>
  <c r="R90" i="11" s="1"/>
  <c r="AH1404" i="11"/>
  <c r="Z1404" i="11"/>
  <c r="R1404" i="11"/>
  <c r="J1404" i="11"/>
  <c r="AG1404" i="11"/>
  <c r="Y1404" i="11"/>
  <c r="Q1404" i="11"/>
  <c r="I1404" i="11"/>
  <c r="AF1404" i="11"/>
  <c r="X1404" i="11"/>
  <c r="P1404" i="11"/>
  <c r="H1404" i="11"/>
  <c r="AC1404" i="11"/>
  <c r="O1404" i="11"/>
  <c r="AB1404" i="11"/>
  <c r="N1404" i="11"/>
  <c r="AA1404" i="11"/>
  <c r="M1404" i="11"/>
  <c r="W1404" i="11"/>
  <c r="L1404" i="11"/>
  <c r="AI1404" i="11"/>
  <c r="G1404" i="11"/>
  <c r="AE1404" i="11"/>
  <c r="F1404" i="11"/>
  <c r="AD1404" i="11"/>
  <c r="E1404" i="11"/>
  <c r="V1404" i="11"/>
  <c r="U1404" i="11"/>
  <c r="T1404" i="11"/>
  <c r="K1404" i="11"/>
  <c r="S1404" i="11"/>
  <c r="R199" i="11"/>
  <c r="Q1012" i="11"/>
  <c r="S1012" i="11" s="1"/>
  <c r="L809" i="11"/>
  <c r="K809" i="11"/>
  <c r="I809" i="11"/>
  <c r="AB809" i="11" s="1"/>
  <c r="AC809" i="11" s="1"/>
  <c r="H809" i="11"/>
  <c r="F809" i="11"/>
  <c r="P809" i="11" s="1"/>
  <c r="O809" i="11"/>
  <c r="E809" i="11"/>
  <c r="Q809" i="11" s="1"/>
  <c r="N809" i="11"/>
  <c r="M809" i="11"/>
  <c r="J809" i="11"/>
  <c r="G809" i="11"/>
  <c r="AI809" i="11" s="1"/>
  <c r="AD809" i="11" s="1"/>
  <c r="AF809" i="11"/>
  <c r="AF803" i="11"/>
  <c r="H803" i="11"/>
  <c r="O803" i="11"/>
  <c r="G803" i="11"/>
  <c r="N803" i="11"/>
  <c r="M803" i="11"/>
  <c r="K803" i="11"/>
  <c r="J803" i="11"/>
  <c r="E803" i="11"/>
  <c r="L803" i="11"/>
  <c r="AB803" i="11" s="1"/>
  <c r="AC803" i="11" s="1"/>
  <c r="I803" i="11"/>
  <c r="F803" i="11"/>
  <c r="AB871" i="11"/>
  <c r="AC871" i="11" s="1"/>
  <c r="AH483" i="11"/>
  <c r="Z483" i="11"/>
  <c r="R483" i="11"/>
  <c r="J483" i="11"/>
  <c r="AG483" i="11"/>
  <c r="Y483" i="11"/>
  <c r="Q483" i="11"/>
  <c r="I483" i="11"/>
  <c r="AF483" i="11"/>
  <c r="X483" i="11"/>
  <c r="P483" i="11"/>
  <c r="H483" i="11"/>
  <c r="AD483" i="11"/>
  <c r="V483" i="11"/>
  <c r="N483" i="11"/>
  <c r="F483" i="11"/>
  <c r="AC483" i="11"/>
  <c r="M483" i="11"/>
  <c r="AB483" i="11"/>
  <c r="L483" i="11"/>
  <c r="AA483" i="11"/>
  <c r="K483" i="11"/>
  <c r="W483" i="11"/>
  <c r="G483" i="11"/>
  <c r="U483" i="11"/>
  <c r="E483" i="11"/>
  <c r="AE483" i="11"/>
  <c r="T483" i="11"/>
  <c r="S483" i="11"/>
  <c r="O483" i="11"/>
  <c r="AI483" i="11"/>
  <c r="R890" i="11"/>
  <c r="AD122" i="11"/>
  <c r="Q836" i="11"/>
  <c r="X192" i="11"/>
  <c r="R8" i="11"/>
  <c r="L76" i="11"/>
  <c r="AB76" i="11" s="1"/>
  <c r="AC76" i="11" s="1"/>
  <c r="I76" i="11"/>
  <c r="H76" i="11"/>
  <c r="G76" i="11"/>
  <c r="O76" i="11"/>
  <c r="F76" i="11"/>
  <c r="AF76" i="11"/>
  <c r="N76" i="11"/>
  <c r="E76" i="11"/>
  <c r="M76" i="11"/>
  <c r="K76" i="11"/>
  <c r="J76" i="11"/>
  <c r="R155" i="11"/>
  <c r="R134" i="11"/>
  <c r="P134" i="11"/>
  <c r="Q354" i="11"/>
  <c r="Q650" i="11"/>
  <c r="S650" i="11"/>
  <c r="Q619" i="11"/>
  <c r="S619" i="11" s="1"/>
  <c r="Y619" i="11" s="1"/>
  <c r="Q649" i="11"/>
  <c r="S649" i="11" s="1"/>
  <c r="Y649" i="11" s="1"/>
  <c r="X930" i="11"/>
  <c r="Z930" i="11" s="1"/>
  <c r="AA930" i="11" s="1"/>
  <c r="R838" i="11"/>
  <c r="X922" i="11"/>
  <c r="Z922" i="11" s="1"/>
  <c r="AA922" i="11" s="1"/>
  <c r="R934" i="11"/>
  <c r="S377" i="11"/>
  <c r="X377" i="11"/>
  <c r="Q833" i="11"/>
  <c r="S833" i="11" s="1"/>
  <c r="Q839" i="11"/>
  <c r="Y910" i="11"/>
  <c r="Z910" i="11" s="1"/>
  <c r="AA910" i="11" s="1"/>
  <c r="Q946" i="11"/>
  <c r="X1007" i="11"/>
  <c r="Z1007" i="11" s="1"/>
  <c r="AA1007" i="11" s="1"/>
  <c r="P1015" i="11"/>
  <c r="R1015" i="11" s="1"/>
  <c r="K368" i="11"/>
  <c r="J368" i="11"/>
  <c r="AF368" i="11"/>
  <c r="H368" i="11"/>
  <c r="O368" i="11"/>
  <c r="G368" i="11"/>
  <c r="Q368" i="11"/>
  <c r="N368" i="11"/>
  <c r="M368" i="11"/>
  <c r="L368" i="11"/>
  <c r="I368" i="11"/>
  <c r="F368" i="11"/>
  <c r="E368" i="11"/>
  <c r="AI120" i="11"/>
  <c r="Q120" i="11"/>
  <c r="J69" i="11"/>
  <c r="K69" i="11"/>
  <c r="I69" i="11"/>
  <c r="AB69" i="11" s="1"/>
  <c r="AC69" i="11" s="1"/>
  <c r="H69" i="11"/>
  <c r="G69" i="11"/>
  <c r="O69" i="11"/>
  <c r="F69" i="11"/>
  <c r="AF69" i="11"/>
  <c r="N69" i="11"/>
  <c r="E69" i="11"/>
  <c r="M69" i="11"/>
  <c r="L69" i="11"/>
  <c r="AC1432" i="11"/>
  <c r="U1432" i="11"/>
  <c r="M1432" i="11"/>
  <c r="E1432" i="11"/>
  <c r="AI1432" i="11"/>
  <c r="AA1432" i="11"/>
  <c r="S1432" i="11"/>
  <c r="K1432" i="11"/>
  <c r="AH1432" i="11"/>
  <c r="Z1432" i="11"/>
  <c r="R1432" i="11"/>
  <c r="J1432" i="11"/>
  <c r="W1432" i="11"/>
  <c r="I1432" i="11"/>
  <c r="AG1432" i="11"/>
  <c r="V1432" i="11"/>
  <c r="H1432" i="11"/>
  <c r="AE1432" i="11"/>
  <c r="Q1432" i="11"/>
  <c r="F1432" i="11"/>
  <c r="AF1432" i="11"/>
  <c r="N1432" i="11"/>
  <c r="AD1432" i="11"/>
  <c r="L1432" i="11"/>
  <c r="AB1432" i="11"/>
  <c r="G1432" i="11"/>
  <c r="Y1432" i="11"/>
  <c r="X1432" i="11"/>
  <c r="T1432" i="11"/>
  <c r="P1432" i="11"/>
  <c r="O1432" i="11"/>
  <c r="P980" i="11"/>
  <c r="R980" i="11" s="1"/>
  <c r="Q41" i="11"/>
  <c r="X200" i="11"/>
  <c r="L44" i="11"/>
  <c r="AI44" i="11"/>
  <c r="K44" i="11"/>
  <c r="J44" i="11"/>
  <c r="I44" i="11"/>
  <c r="AF44" i="11"/>
  <c r="H44" i="11"/>
  <c r="O44" i="11"/>
  <c r="G44" i="11"/>
  <c r="N44" i="11"/>
  <c r="F44" i="11"/>
  <c r="M44" i="11"/>
  <c r="AB44" i="11" s="1"/>
  <c r="AC44" i="11" s="1"/>
  <c r="E44" i="11"/>
  <c r="Q28" i="5" s="1"/>
  <c r="AI1384" i="11"/>
  <c r="AA1384" i="11"/>
  <c r="S1384" i="11"/>
  <c r="K1384" i="11"/>
  <c r="AH1384" i="11"/>
  <c r="Z1384" i="11"/>
  <c r="R1384" i="11"/>
  <c r="J1384" i="11"/>
  <c r="AF1384" i="11"/>
  <c r="V1384" i="11"/>
  <c r="L1384" i="11"/>
  <c r="AE1384" i="11"/>
  <c r="U1384" i="11"/>
  <c r="I1384" i="11"/>
  <c r="AD1384" i="11"/>
  <c r="T1384" i="11"/>
  <c r="H1384" i="11"/>
  <c r="AB1384" i="11"/>
  <c r="P1384" i="11"/>
  <c r="F1384" i="11"/>
  <c r="Y1384" i="11"/>
  <c r="O1384" i="11"/>
  <c r="E1384" i="11"/>
  <c r="X1384" i="11"/>
  <c r="W1384" i="11"/>
  <c r="Q1384" i="11"/>
  <c r="N1384" i="11"/>
  <c r="M1384" i="11"/>
  <c r="AG1384" i="11"/>
  <c r="AC1384" i="11"/>
  <c r="G1384" i="11"/>
  <c r="AH1408" i="11"/>
  <c r="Z1408" i="11"/>
  <c r="R1408" i="11"/>
  <c r="J1408" i="11"/>
  <c r="AG1408" i="11"/>
  <c r="Y1408" i="11"/>
  <c r="Q1408" i="11"/>
  <c r="I1408" i="11"/>
  <c r="AF1408" i="11"/>
  <c r="X1408" i="11"/>
  <c r="P1408" i="11"/>
  <c r="H1408" i="11"/>
  <c r="AC1408" i="11"/>
  <c r="O1408" i="11"/>
  <c r="AB1408" i="11"/>
  <c r="N1408" i="11"/>
  <c r="AA1408" i="11"/>
  <c r="M1408" i="11"/>
  <c r="W1408" i="11"/>
  <c r="L1408" i="11"/>
  <c r="AI1408" i="11"/>
  <c r="G1408" i="11"/>
  <c r="AE1408" i="11"/>
  <c r="F1408" i="11"/>
  <c r="AD1408" i="11"/>
  <c r="E1408" i="11"/>
  <c r="V1408" i="11"/>
  <c r="U1408" i="11"/>
  <c r="T1408" i="11"/>
  <c r="S1408" i="11"/>
  <c r="K1408" i="11"/>
  <c r="AF70" i="11"/>
  <c r="H70" i="11"/>
  <c r="M70" i="11"/>
  <c r="L70" i="11"/>
  <c r="K70" i="11"/>
  <c r="J70" i="11"/>
  <c r="I70" i="11"/>
  <c r="AI70" i="11"/>
  <c r="G70" i="11"/>
  <c r="P70" i="11" s="1"/>
  <c r="O70" i="11"/>
  <c r="F70" i="11"/>
  <c r="E70" i="11"/>
  <c r="N70" i="11"/>
  <c r="P112" i="11"/>
  <c r="R112" i="11" s="1"/>
  <c r="P168" i="11"/>
  <c r="R168" i="11" s="1"/>
  <c r="Q119" i="11"/>
  <c r="S119" i="11" s="1"/>
  <c r="Q358" i="11"/>
  <c r="Q627" i="11"/>
  <c r="Q971" i="11"/>
  <c r="Q435" i="11"/>
  <c r="S435" i="11" s="1"/>
  <c r="T815" i="11"/>
  <c r="X815" i="11"/>
  <c r="Z815" i="11" s="1"/>
  <c r="AA815" i="11" s="1"/>
  <c r="P1012" i="11"/>
  <c r="Y950" i="11"/>
  <c r="P636" i="11"/>
  <c r="AD636" i="11" s="1"/>
  <c r="AF684" i="11"/>
  <c r="X684" i="11"/>
  <c r="P684" i="11"/>
  <c r="H684" i="11"/>
  <c r="AE684" i="11"/>
  <c r="W684" i="11"/>
  <c r="O684" i="11"/>
  <c r="G684" i="11"/>
  <c r="AD684" i="11"/>
  <c r="V684" i="11"/>
  <c r="N684" i="11"/>
  <c r="F684" i="11"/>
  <c r="AC684" i="11"/>
  <c r="U684" i="11"/>
  <c r="M684" i="11"/>
  <c r="E684" i="11"/>
  <c r="AB684" i="11"/>
  <c r="T684" i="11"/>
  <c r="L684" i="11"/>
  <c r="AI684" i="11"/>
  <c r="AA684" i="11"/>
  <c r="S684" i="11"/>
  <c r="K684" i="11"/>
  <c r="AH684" i="11"/>
  <c r="Z684" i="11"/>
  <c r="R684" i="11"/>
  <c r="J684" i="11"/>
  <c r="I684" i="11"/>
  <c r="AG684" i="11"/>
  <c r="Y684" i="11"/>
  <c r="Q684" i="11"/>
  <c r="L56" i="11"/>
  <c r="AI56" i="11"/>
  <c r="K56" i="11"/>
  <c r="J56" i="11"/>
  <c r="I56" i="11"/>
  <c r="AF56" i="11"/>
  <c r="H56" i="11"/>
  <c r="AB56" i="11" s="1"/>
  <c r="AC56" i="11" s="1"/>
  <c r="O56" i="11"/>
  <c r="G56" i="11"/>
  <c r="N56" i="11"/>
  <c r="F56" i="11"/>
  <c r="Q56" i="11" s="1"/>
  <c r="M56" i="11"/>
  <c r="E56" i="11"/>
  <c r="P148" i="11"/>
  <c r="AD148" i="11" s="1"/>
  <c r="Q179" i="11"/>
  <c r="P278" i="11"/>
  <c r="R278" i="11" s="1"/>
  <c r="AE788" i="11"/>
  <c r="P797" i="11"/>
  <c r="AD787" i="11"/>
  <c r="P791" i="11"/>
  <c r="AD791" i="11" s="1"/>
  <c r="S791" i="11"/>
  <c r="Q982" i="11"/>
  <c r="Y924" i="11"/>
  <c r="X1030" i="11"/>
  <c r="Z1030" i="11" s="1"/>
  <c r="AA1030" i="11" s="1"/>
  <c r="Q1030" i="11"/>
  <c r="S1030" i="11" s="1"/>
  <c r="Y1011" i="11"/>
  <c r="Z1011" i="11" s="1"/>
  <c r="AA1011" i="11" s="1"/>
  <c r="S1011" i="11"/>
  <c r="Q966" i="11"/>
  <c r="G43" i="4"/>
  <c r="F43" i="4"/>
  <c r="H43" i="4"/>
  <c r="E43" i="4"/>
  <c r="D43" i="4"/>
  <c r="C43" i="4"/>
  <c r="B43" i="4"/>
  <c r="I43" i="4"/>
  <c r="D69" i="4"/>
  <c r="H69" i="4"/>
  <c r="G69" i="4"/>
  <c r="I69" i="4"/>
  <c r="F69" i="4"/>
  <c r="E69" i="4"/>
  <c r="C69" i="4"/>
  <c r="B69" i="4"/>
  <c r="C41" i="4"/>
  <c r="B41" i="4"/>
  <c r="E41" i="4"/>
  <c r="D41" i="4"/>
  <c r="I41" i="4"/>
  <c r="H41" i="4"/>
  <c r="G41" i="4"/>
  <c r="F41" i="4"/>
  <c r="H36" i="4"/>
  <c r="B36" i="4"/>
  <c r="E36" i="4" s="1"/>
  <c r="C36" i="4"/>
  <c r="G36" i="4"/>
  <c r="F36" i="4"/>
  <c r="E68" i="4"/>
  <c r="I68" i="4"/>
  <c r="H68" i="4"/>
  <c r="D68" i="4"/>
  <c r="C68" i="4"/>
  <c r="B68" i="4"/>
  <c r="G68" i="4"/>
  <c r="F68" i="4"/>
  <c r="AI121" i="11"/>
  <c r="P121" i="11"/>
  <c r="R121" i="11" s="1"/>
  <c r="AE331" i="11"/>
  <c r="X929" i="11"/>
  <c r="Z929" i="11" s="1"/>
  <c r="AA929" i="11" s="1"/>
  <c r="Q929" i="11"/>
  <c r="J764" i="11"/>
  <c r="Y764" i="11"/>
  <c r="I764" i="11"/>
  <c r="H764" i="11"/>
  <c r="G764" i="11"/>
  <c r="AB764" i="11"/>
  <c r="AC764" i="11" s="1"/>
  <c r="F764" i="11"/>
  <c r="O764" i="11"/>
  <c r="E764" i="11"/>
  <c r="N764" i="11"/>
  <c r="AI764" i="11"/>
  <c r="M764" i="11"/>
  <c r="AF764" i="11"/>
  <c r="L764" i="11"/>
  <c r="K764" i="11"/>
  <c r="Y895" i="11"/>
  <c r="P1040" i="11"/>
  <c r="S1040" i="11"/>
  <c r="P50" i="11"/>
  <c r="AD50" i="11" s="1"/>
  <c r="P25" i="11"/>
  <c r="AD25" i="11" s="1"/>
  <c r="R25" i="11"/>
  <c r="N808" i="11"/>
  <c r="F808" i="11"/>
  <c r="M808" i="11"/>
  <c r="E808" i="11"/>
  <c r="L808" i="11"/>
  <c r="K808" i="11"/>
  <c r="I808" i="11"/>
  <c r="H808" i="11"/>
  <c r="G808" i="11"/>
  <c r="AF808" i="11"/>
  <c r="O808" i="11"/>
  <c r="J808" i="11"/>
  <c r="J810" i="11"/>
  <c r="I810" i="11"/>
  <c r="F810" i="11"/>
  <c r="O810" i="11"/>
  <c r="E810" i="11"/>
  <c r="M810" i="11"/>
  <c r="AF810" i="11"/>
  <c r="L810" i="11"/>
  <c r="AB810" i="11" s="1"/>
  <c r="AC810" i="11" s="1"/>
  <c r="K810" i="11"/>
  <c r="G810" i="11"/>
  <c r="Q810" i="11" s="1"/>
  <c r="N810" i="11"/>
  <c r="H810" i="11"/>
  <c r="AI28" i="11"/>
  <c r="AF1236" i="11"/>
  <c r="X1236" i="11"/>
  <c r="P1236" i="11"/>
  <c r="H1236" i="11"/>
  <c r="AI1236" i="11"/>
  <c r="Z1236" i="11"/>
  <c r="Q1236" i="11"/>
  <c r="G1236" i="11"/>
  <c r="AH1236" i="11"/>
  <c r="Y1236" i="11"/>
  <c r="O1236" i="11"/>
  <c r="F1236" i="11"/>
  <c r="AG1236" i="11"/>
  <c r="W1236" i="11"/>
  <c r="N1236" i="11"/>
  <c r="E1236" i="11"/>
  <c r="AD1236" i="11"/>
  <c r="U1236" i="11"/>
  <c r="L1236" i="11"/>
  <c r="AC1236" i="11"/>
  <c r="T1236" i="11"/>
  <c r="K1236" i="11"/>
  <c r="V1236" i="11"/>
  <c r="S1236" i="11"/>
  <c r="R1236" i="11"/>
  <c r="M1236" i="11"/>
  <c r="J1236" i="11"/>
  <c r="AE1236" i="11"/>
  <c r="AB1236" i="11"/>
  <c r="AA1236" i="11"/>
  <c r="I1236" i="11"/>
  <c r="AH1239" i="11"/>
  <c r="Z1239" i="11"/>
  <c r="R1239" i="11"/>
  <c r="J1239" i="11"/>
  <c r="AF1239" i="11"/>
  <c r="W1239" i="11"/>
  <c r="N1239" i="11"/>
  <c r="E1239" i="11"/>
  <c r="AE1239" i="11"/>
  <c r="V1239" i="11"/>
  <c r="M1239" i="11"/>
  <c r="AD1239" i="11"/>
  <c r="U1239" i="11"/>
  <c r="L1239" i="11"/>
  <c r="AC1239" i="11"/>
  <c r="T1239" i="11"/>
  <c r="K1239" i="11"/>
  <c r="AB1239" i="11"/>
  <c r="S1239" i="11"/>
  <c r="I1239" i="11"/>
  <c r="AA1239" i="11"/>
  <c r="Q1239" i="11"/>
  <c r="H1239" i="11"/>
  <c r="P1239" i="11"/>
  <c r="O1239" i="11"/>
  <c r="G1239" i="11"/>
  <c r="F1239" i="11"/>
  <c r="AI1239" i="11"/>
  <c r="AG1239" i="11"/>
  <c r="Y1239" i="11"/>
  <c r="X1239" i="11"/>
  <c r="Y188" i="11"/>
  <c r="S96" i="11"/>
  <c r="AI152" i="11"/>
  <c r="S260" i="11"/>
  <c r="AI292" i="11"/>
  <c r="X766" i="11"/>
  <c r="Z766" i="11" s="1"/>
  <c r="AA766" i="11" s="1"/>
  <c r="AI651" i="11"/>
  <c r="S999" i="11"/>
  <c r="AB474" i="11"/>
  <c r="T474" i="11"/>
  <c r="L474" i="11"/>
  <c r="AI474" i="11"/>
  <c r="AA474" i="11"/>
  <c r="S474" i="11"/>
  <c r="K474" i="11"/>
  <c r="AH474" i="11"/>
  <c r="Z474" i="11"/>
  <c r="R474" i="11"/>
  <c r="J474" i="11"/>
  <c r="AF474" i="11"/>
  <c r="X474" i="11"/>
  <c r="P474" i="11"/>
  <c r="H474" i="11"/>
  <c r="AG474" i="11"/>
  <c r="Q474" i="11"/>
  <c r="AE474" i="11"/>
  <c r="O474" i="11"/>
  <c r="AD474" i="11"/>
  <c r="N474" i="11"/>
  <c r="AC474" i="11"/>
  <c r="M474" i="11"/>
  <c r="Y474" i="11"/>
  <c r="I474" i="11"/>
  <c r="V474" i="11"/>
  <c r="U474" i="11"/>
  <c r="G474" i="11"/>
  <c r="F474" i="11"/>
  <c r="E474" i="11"/>
  <c r="W474" i="11"/>
  <c r="R219" i="11"/>
  <c r="Q434" i="11"/>
  <c r="Q1023" i="11"/>
  <c r="AI1023" i="11"/>
  <c r="Y22" i="11"/>
  <c r="AI61" i="11"/>
  <c r="O951" i="11"/>
  <c r="G951" i="11"/>
  <c r="N951" i="11"/>
  <c r="F951" i="11"/>
  <c r="Q951" i="11" s="1"/>
  <c r="M951" i="11"/>
  <c r="E951" i="11"/>
  <c r="L951" i="11"/>
  <c r="AB951" i="11" s="1"/>
  <c r="AC951" i="11" s="1"/>
  <c r="AI951" i="11"/>
  <c r="K951" i="11"/>
  <c r="J951" i="11"/>
  <c r="AF951" i="11"/>
  <c r="Y951" i="11"/>
  <c r="I951" i="11"/>
  <c r="H951" i="11"/>
  <c r="P64" i="11"/>
  <c r="R64" i="11"/>
  <c r="AI73" i="11"/>
  <c r="S178" i="11"/>
  <c r="Y178" i="11" s="1"/>
  <c r="P178" i="11"/>
  <c r="X210" i="11"/>
  <c r="Y126" i="11"/>
  <c r="P393" i="11"/>
  <c r="R393" i="11" s="1"/>
  <c r="P277" i="11"/>
  <c r="P401" i="11"/>
  <c r="R401" i="11" s="1"/>
  <c r="AG401" i="11" s="1"/>
  <c r="Q410" i="11"/>
  <c r="S410" i="11" s="1"/>
  <c r="Y410" i="11" s="1"/>
  <c r="S339" i="11"/>
  <c r="Y339" i="11" s="1"/>
  <c r="AG371" i="11"/>
  <c r="Q427" i="11"/>
  <c r="X805" i="11"/>
  <c r="X837" i="11"/>
  <c r="Z837" i="11" s="1"/>
  <c r="AA837" i="11" s="1"/>
  <c r="Y819" i="11"/>
  <c r="Z819" i="11" s="1"/>
  <c r="AA819" i="11" s="1"/>
  <c r="S819" i="11"/>
  <c r="P819" i="11"/>
  <c r="X799" i="11"/>
  <c r="Z799" i="11" s="1"/>
  <c r="AA799" i="11" s="1"/>
  <c r="P860" i="11"/>
  <c r="AF648" i="11"/>
  <c r="H648" i="11"/>
  <c r="O648" i="11"/>
  <c r="G648" i="11"/>
  <c r="N648" i="11"/>
  <c r="F648" i="11"/>
  <c r="P648" i="11" s="1"/>
  <c r="M648" i="11"/>
  <c r="E648" i="11"/>
  <c r="L648" i="11"/>
  <c r="AB648" i="11" s="1"/>
  <c r="AC648" i="11" s="1"/>
  <c r="AI648" i="11"/>
  <c r="K648" i="11"/>
  <c r="J648" i="11"/>
  <c r="I648" i="11"/>
  <c r="AB518" i="11"/>
  <c r="T518" i="11"/>
  <c r="L518" i="11"/>
  <c r="AI518" i="11"/>
  <c r="AA518" i="11"/>
  <c r="S518" i="11"/>
  <c r="K518" i="11"/>
  <c r="AH518" i="11"/>
  <c r="Z518" i="11"/>
  <c r="R518" i="11"/>
  <c r="J518" i="11"/>
  <c r="AF518" i="11"/>
  <c r="X518" i="11"/>
  <c r="P518" i="11"/>
  <c r="H518" i="11"/>
  <c r="AG518" i="11"/>
  <c r="Q518" i="11"/>
  <c r="AE518" i="11"/>
  <c r="O518" i="11"/>
  <c r="AD518" i="11"/>
  <c r="N518" i="11"/>
  <c r="AC518" i="11"/>
  <c r="M518" i="11"/>
  <c r="Y518" i="11"/>
  <c r="I518" i="11"/>
  <c r="V518" i="11"/>
  <c r="U518" i="11"/>
  <c r="G518" i="11"/>
  <c r="F518" i="11"/>
  <c r="E518" i="11"/>
  <c r="W518" i="11"/>
  <c r="AI98" i="11"/>
  <c r="P169" i="11"/>
  <c r="S169" i="11"/>
  <c r="Y169" i="11" s="1"/>
  <c r="Q893" i="11"/>
  <c r="AF58" i="11"/>
  <c r="H58" i="11"/>
  <c r="O58" i="11"/>
  <c r="G58" i="11"/>
  <c r="N58" i="11"/>
  <c r="F58" i="11"/>
  <c r="M58" i="11"/>
  <c r="AB58" i="11" s="1"/>
  <c r="AC58" i="11" s="1"/>
  <c r="E58" i="11"/>
  <c r="L58" i="11"/>
  <c r="S58" i="11"/>
  <c r="Y58" i="11" s="1"/>
  <c r="K58" i="11"/>
  <c r="J58" i="11"/>
  <c r="Q58" i="11"/>
  <c r="I58" i="11"/>
  <c r="P840" i="11"/>
  <c r="J65" i="11"/>
  <c r="K65" i="11"/>
  <c r="AB65" i="11"/>
  <c r="AC65" i="11" s="1"/>
  <c r="I65" i="11"/>
  <c r="H65" i="11"/>
  <c r="G65" i="11"/>
  <c r="O65" i="11"/>
  <c r="F65" i="11"/>
  <c r="AF65" i="11"/>
  <c r="N65" i="11"/>
  <c r="E65" i="11"/>
  <c r="M65" i="11"/>
  <c r="L65" i="11"/>
  <c r="AD184" i="11"/>
  <c r="AI184" i="11"/>
  <c r="Q204" i="11"/>
  <c r="AD204" i="11" s="1"/>
  <c r="X182" i="11"/>
  <c r="AD130" i="11"/>
  <c r="AI162" i="11"/>
  <c r="P365" i="11"/>
  <c r="R365" i="11" s="1"/>
  <c r="X397" i="11"/>
  <c r="X281" i="11"/>
  <c r="AI409" i="11"/>
  <c r="Q290" i="11"/>
  <c r="S290" i="11" s="1"/>
  <c r="AG343" i="11"/>
  <c r="P776" i="11"/>
  <c r="Q776" i="11"/>
  <c r="S776" i="11" s="1"/>
  <c r="Y767" i="11"/>
  <c r="Z767" i="11" s="1"/>
  <c r="AA767" i="11" s="1"/>
  <c r="S841" i="11"/>
  <c r="T841" i="11" s="1"/>
  <c r="Z879" i="11"/>
  <c r="AA879" i="11" s="1"/>
  <c r="P879" i="11"/>
  <c r="R879" i="11" s="1"/>
  <c r="AG879" i="11" s="1"/>
  <c r="X896" i="11"/>
  <c r="R960" i="11"/>
  <c r="X994" i="11"/>
  <c r="Z994" i="11" s="1"/>
  <c r="AA994" i="11" s="1"/>
  <c r="AI1018" i="11"/>
  <c r="AI957" i="11"/>
  <c r="AI1037" i="11"/>
  <c r="X978" i="11"/>
  <c r="Z978" i="11" s="1"/>
  <c r="AA978" i="11" s="1"/>
  <c r="Y869" i="11"/>
  <c r="Z869" i="11" s="1"/>
  <c r="AA869" i="11" s="1"/>
  <c r="Q869" i="11"/>
  <c r="X983" i="11"/>
  <c r="Y993" i="11"/>
  <c r="AI904" i="11"/>
  <c r="AD986" i="11"/>
  <c r="X917" i="11"/>
  <c r="Z917" i="11" s="1"/>
  <c r="AA917" i="11" s="1"/>
  <c r="Q917" i="11"/>
  <c r="AD917" i="11" s="1"/>
  <c r="S917" i="11"/>
  <c r="N774" i="11"/>
  <c r="F774" i="11"/>
  <c r="M774" i="11"/>
  <c r="E774" i="11"/>
  <c r="Q774" i="11" s="1"/>
  <c r="J774" i="11"/>
  <c r="O774" i="11"/>
  <c r="L774" i="11"/>
  <c r="K774" i="11"/>
  <c r="I774" i="11"/>
  <c r="H774" i="11"/>
  <c r="AF774" i="11"/>
  <c r="G774" i="11"/>
  <c r="AD114" i="11"/>
  <c r="X890" i="11"/>
  <c r="Z890" i="11" s="1"/>
  <c r="AA890" i="11" s="1"/>
  <c r="AI1047" i="11"/>
  <c r="AI30" i="11"/>
  <c r="AI862" i="11"/>
  <c r="AI37" i="11"/>
  <c r="J77" i="11"/>
  <c r="K77" i="11"/>
  <c r="I77" i="11"/>
  <c r="H77" i="11"/>
  <c r="AI77" i="11"/>
  <c r="G77" i="11"/>
  <c r="O77" i="11"/>
  <c r="F77" i="11"/>
  <c r="AF77" i="11"/>
  <c r="N77" i="11"/>
  <c r="E77" i="11"/>
  <c r="M77" i="11"/>
  <c r="L77" i="11"/>
  <c r="N63" i="11"/>
  <c r="F63" i="11"/>
  <c r="M63" i="11"/>
  <c r="E63" i="11"/>
  <c r="L63" i="11"/>
  <c r="K63" i="11"/>
  <c r="J63" i="11"/>
  <c r="I63" i="11"/>
  <c r="AF63" i="11"/>
  <c r="H63" i="11"/>
  <c r="O63" i="11"/>
  <c r="G63" i="11"/>
  <c r="AI63" i="11" s="1"/>
  <c r="P89" i="11"/>
  <c r="R89" i="11" s="1"/>
  <c r="Y132" i="11"/>
  <c r="AI164" i="11"/>
  <c r="AI186" i="11"/>
  <c r="Q186" i="11"/>
  <c r="AB155" i="11"/>
  <c r="AC155" i="11" s="1"/>
  <c r="AI369" i="11"/>
  <c r="Q405" i="11"/>
  <c r="AD414" i="11"/>
  <c r="AB386" i="11"/>
  <c r="AC386" i="11" s="1"/>
  <c r="AI421" i="11"/>
  <c r="Q347" i="11"/>
  <c r="S379" i="11"/>
  <c r="Y379" i="11" s="1"/>
  <c r="Q432" i="11"/>
  <c r="AB432" i="11"/>
  <c r="AC432" i="11" s="1"/>
  <c r="AF496" i="11"/>
  <c r="X496" i="11"/>
  <c r="P496" i="11"/>
  <c r="H496" i="11"/>
  <c r="AE496" i="11"/>
  <c r="W496" i="11"/>
  <c r="O496" i="11"/>
  <c r="G496" i="11"/>
  <c r="AD496" i="11"/>
  <c r="V496" i="11"/>
  <c r="N496" i="11"/>
  <c r="F496" i="11"/>
  <c r="AB496" i="11"/>
  <c r="T496" i="11"/>
  <c r="L496" i="11"/>
  <c r="AA496" i="11"/>
  <c r="K496" i="11"/>
  <c r="Z496" i="11"/>
  <c r="J496" i="11"/>
  <c r="Y496" i="11"/>
  <c r="I496" i="11"/>
  <c r="U496" i="11"/>
  <c r="E496" i="11"/>
  <c r="AI496" i="11"/>
  <c r="S496" i="11"/>
  <c r="AG496" i="11"/>
  <c r="AC496" i="11"/>
  <c r="R496" i="11"/>
  <c r="Q496" i="11"/>
  <c r="M496" i="11"/>
  <c r="AH496" i="11"/>
  <c r="X618" i="11"/>
  <c r="Y650" i="11"/>
  <c r="Q918" i="11"/>
  <c r="X877" i="11"/>
  <c r="Z877" i="11" s="1"/>
  <c r="AA877" i="11" s="1"/>
  <c r="P914" i="11"/>
  <c r="Q883" i="11"/>
  <c r="R930" i="11"/>
  <c r="AI902" i="11"/>
  <c r="P1005" i="11"/>
  <c r="AD1005" i="11" s="1"/>
  <c r="Y985" i="11"/>
  <c r="AD1263" i="11"/>
  <c r="V1263" i="11"/>
  <c r="N1263" i="11"/>
  <c r="F1263" i="11"/>
  <c r="AF1263" i="11"/>
  <c r="W1263" i="11"/>
  <c r="M1263" i="11"/>
  <c r="AE1263" i="11"/>
  <c r="U1263" i="11"/>
  <c r="L1263" i="11"/>
  <c r="AC1263" i="11"/>
  <c r="T1263" i="11"/>
  <c r="K1263" i="11"/>
  <c r="AB1263" i="11"/>
  <c r="S1263" i="11"/>
  <c r="J1263" i="11"/>
  <c r="AG1263" i="11"/>
  <c r="O1263" i="11"/>
  <c r="AA1263" i="11"/>
  <c r="I1263" i="11"/>
  <c r="Z1263" i="11"/>
  <c r="H1263" i="11"/>
  <c r="Y1263" i="11"/>
  <c r="G1263" i="11"/>
  <c r="X1263" i="11"/>
  <c r="E1263" i="11"/>
  <c r="R1263" i="11"/>
  <c r="AI1263" i="11"/>
  <c r="Q1263" i="11"/>
  <c r="AH1263" i="11"/>
  <c r="P1263" i="11"/>
  <c r="AF1254" i="11"/>
  <c r="AC1254" i="11"/>
  <c r="U1254" i="11"/>
  <c r="M1254" i="11"/>
  <c r="E1254" i="11"/>
  <c r="AB1254" i="11"/>
  <c r="T1254" i="11"/>
  <c r="L1254" i="11"/>
  <c r="AI1254" i="11"/>
  <c r="Z1254" i="11"/>
  <c r="R1254" i="11"/>
  <c r="J1254" i="11"/>
  <c r="AE1254" i="11"/>
  <c r="Q1254" i="11"/>
  <c r="F1254" i="11"/>
  <c r="AD1254" i="11"/>
  <c r="P1254" i="11"/>
  <c r="AA1254" i="11"/>
  <c r="O1254" i="11"/>
  <c r="Y1254" i="11"/>
  <c r="N1254" i="11"/>
  <c r="X1254" i="11"/>
  <c r="K1254" i="11"/>
  <c r="W1254" i="11"/>
  <c r="I1254" i="11"/>
  <c r="AH1254" i="11"/>
  <c r="V1254" i="11"/>
  <c r="H1254" i="11"/>
  <c r="AG1254" i="11"/>
  <c r="S1254" i="11"/>
  <c r="G1254" i="11"/>
  <c r="AI412" i="11"/>
  <c r="X622" i="11"/>
  <c r="AB623" i="11"/>
  <c r="AC623" i="11" s="1"/>
  <c r="AE623" i="11"/>
  <c r="AI653" i="11"/>
  <c r="AF831" i="11"/>
  <c r="H831" i="11"/>
  <c r="O831" i="11"/>
  <c r="G831" i="11"/>
  <c r="K831" i="11"/>
  <c r="N831" i="11"/>
  <c r="M831" i="11"/>
  <c r="L831" i="11"/>
  <c r="AB831" i="11" s="1"/>
  <c r="AC831" i="11" s="1"/>
  <c r="J831" i="11"/>
  <c r="I831" i="11"/>
  <c r="F831" i="11"/>
  <c r="E831" i="11"/>
  <c r="Q881" i="11"/>
  <c r="R922" i="11"/>
  <c r="AG922" i="11" s="1"/>
  <c r="S934" i="11"/>
  <c r="T934" i="11" s="1"/>
  <c r="Y894" i="11"/>
  <c r="Q965" i="11"/>
  <c r="S965" i="11" s="1"/>
  <c r="X973" i="11"/>
  <c r="P387" i="11"/>
  <c r="R387" i="11" s="1"/>
  <c r="P630" i="11"/>
  <c r="AD630" i="11" s="1"/>
  <c r="R630" i="11"/>
  <c r="AG630" i="11" s="1"/>
  <c r="T630" i="11"/>
  <c r="AD833" i="11"/>
  <c r="Q851" i="11"/>
  <c r="P851" i="11"/>
  <c r="AD851" i="11" s="1"/>
  <c r="X977" i="11"/>
  <c r="Q863" i="11"/>
  <c r="P863" i="11"/>
  <c r="AD863" i="11" s="1"/>
  <c r="AI946" i="11"/>
  <c r="P137" i="11"/>
  <c r="S137" i="11"/>
  <c r="Y137" i="11" s="1"/>
  <c r="Q348" i="11"/>
  <c r="S348" i="11" s="1"/>
  <c r="AI935" i="11"/>
  <c r="Y915" i="11"/>
  <c r="K372" i="11"/>
  <c r="J372" i="11"/>
  <c r="AB372" i="11" s="1"/>
  <c r="AC372" i="11" s="1"/>
  <c r="AF372" i="11"/>
  <c r="H372" i="11"/>
  <c r="O372" i="11"/>
  <c r="G372" i="11"/>
  <c r="N372" i="11"/>
  <c r="M372" i="11"/>
  <c r="L372" i="11"/>
  <c r="I372" i="11"/>
  <c r="F372" i="11"/>
  <c r="Q372" i="11" s="1"/>
  <c r="E372" i="11"/>
  <c r="P161" i="11"/>
  <c r="S161" i="11"/>
  <c r="Y161" i="11" s="1"/>
  <c r="X1043" i="11"/>
  <c r="Q1032" i="11"/>
  <c r="S1032" i="11" s="1"/>
  <c r="AH1416" i="11"/>
  <c r="Z1416" i="11"/>
  <c r="R1416" i="11"/>
  <c r="J1416" i="11"/>
  <c r="AC1416" i="11"/>
  <c r="T1416" i="11"/>
  <c r="K1416" i="11"/>
  <c r="AB1416" i="11"/>
  <c r="S1416" i="11"/>
  <c r="I1416" i="11"/>
  <c r="AA1416" i="11"/>
  <c r="Q1416" i="11"/>
  <c r="H1416" i="11"/>
  <c r="AE1416" i="11"/>
  <c r="O1416" i="11"/>
  <c r="AD1416" i="11"/>
  <c r="N1416" i="11"/>
  <c r="Y1416" i="11"/>
  <c r="M1416" i="11"/>
  <c r="X1416" i="11"/>
  <c r="L1416" i="11"/>
  <c r="W1416" i="11"/>
  <c r="G1416" i="11"/>
  <c r="AG1416" i="11"/>
  <c r="AF1416" i="11"/>
  <c r="V1416" i="11"/>
  <c r="U1416" i="11"/>
  <c r="P1416" i="11"/>
  <c r="F1416" i="11"/>
  <c r="E1416" i="11"/>
  <c r="AI1416" i="11"/>
  <c r="AG1438" i="11"/>
  <c r="Y1438" i="11"/>
  <c r="Q1438" i="11"/>
  <c r="I1438" i="11"/>
  <c r="AE1438" i="11"/>
  <c r="W1438" i="11"/>
  <c r="O1438" i="11"/>
  <c r="G1438" i="11"/>
  <c r="AD1438" i="11"/>
  <c r="V1438" i="11"/>
  <c r="N1438" i="11"/>
  <c r="F1438" i="11"/>
  <c r="AI1438" i="11"/>
  <c r="AA1438" i="11"/>
  <c r="S1438" i="11"/>
  <c r="K1438" i="11"/>
  <c r="AF1438" i="11"/>
  <c r="P1438" i="11"/>
  <c r="AC1438" i="11"/>
  <c r="M1438" i="11"/>
  <c r="AB1438" i="11"/>
  <c r="L1438" i="11"/>
  <c r="Z1438" i="11"/>
  <c r="J1438" i="11"/>
  <c r="E1438" i="11"/>
  <c r="AH1438" i="11"/>
  <c r="X1438" i="11"/>
  <c r="U1438" i="11"/>
  <c r="T1438" i="11"/>
  <c r="R1438" i="11"/>
  <c r="H1438" i="11"/>
  <c r="P1008" i="11"/>
  <c r="X980" i="11"/>
  <c r="Q9" i="11"/>
  <c r="S41" i="11"/>
  <c r="Y41" i="11" s="1"/>
  <c r="Q83" i="11"/>
  <c r="S83" i="11"/>
  <c r="Y83" i="11" s="1"/>
  <c r="P83" i="11"/>
  <c r="AF1393" i="11"/>
  <c r="X1393" i="11"/>
  <c r="P1393" i="11"/>
  <c r="H1393" i="11"/>
  <c r="AE1393" i="11"/>
  <c r="W1393" i="11"/>
  <c r="O1393" i="11"/>
  <c r="G1393" i="11"/>
  <c r="AB1393" i="11"/>
  <c r="R1393" i="11"/>
  <c r="F1393" i="11"/>
  <c r="AA1393" i="11"/>
  <c r="Q1393" i="11"/>
  <c r="E1393" i="11"/>
  <c r="AG1393" i="11"/>
  <c r="S1393" i="11"/>
  <c r="AD1393" i="11"/>
  <c r="N1393" i="11"/>
  <c r="AC1393" i="11"/>
  <c r="M1393" i="11"/>
  <c r="Z1393" i="11"/>
  <c r="L1393" i="11"/>
  <c r="Y1393" i="11"/>
  <c r="K1393" i="11"/>
  <c r="V1393" i="11"/>
  <c r="J1393" i="11"/>
  <c r="AI1393" i="11"/>
  <c r="AH1393" i="11"/>
  <c r="U1393" i="11"/>
  <c r="T1393" i="11"/>
  <c r="I1393" i="11"/>
  <c r="P95" i="11"/>
  <c r="P80" i="11"/>
  <c r="R80" i="11" s="1"/>
  <c r="P136" i="11"/>
  <c r="R136" i="11" s="1"/>
  <c r="X168" i="11"/>
  <c r="Z168" i="11" s="1"/>
  <c r="AA168" i="11" s="1"/>
  <c r="S159" i="11"/>
  <c r="Y159" i="11" s="1"/>
  <c r="Q138" i="11"/>
  <c r="Y170" i="11"/>
  <c r="AI425" i="11"/>
  <c r="T276" i="11"/>
  <c r="P218" i="11"/>
  <c r="P266" i="11"/>
  <c r="R266" i="11" s="1"/>
  <c r="R390" i="11"/>
  <c r="AB390" i="11"/>
  <c r="AC390" i="11" s="1"/>
  <c r="Q631" i="11"/>
  <c r="Q351" i="11"/>
  <c r="S351" i="11" s="1"/>
  <c r="S383" i="11"/>
  <c r="Y383" i="11" s="1"/>
  <c r="Q436" i="11"/>
  <c r="S436" i="11" s="1"/>
  <c r="Y436" i="11" s="1"/>
  <c r="AB436" i="11"/>
  <c r="AC436" i="11" s="1"/>
  <c r="S627" i="11"/>
  <c r="Y627" i="11"/>
  <c r="P880" i="11"/>
  <c r="R1034" i="11"/>
  <c r="Y435" i="11"/>
  <c r="P261" i="11"/>
  <c r="AD261" i="11" s="1"/>
  <c r="AB261" i="11"/>
  <c r="AC261" i="11" s="1"/>
  <c r="P362" i="11"/>
  <c r="S362" i="11"/>
  <c r="AE437" i="11"/>
  <c r="AB437" i="11"/>
  <c r="AC437" i="11" s="1"/>
  <c r="Q625" i="11"/>
  <c r="AD625" i="11" s="1"/>
  <c r="R888" i="11"/>
  <c r="AI936" i="11"/>
  <c r="Q954" i="11"/>
  <c r="P1048" i="11"/>
  <c r="R636" i="11"/>
  <c r="J332" i="4"/>
  <c r="B332" i="4"/>
  <c r="F332" i="4"/>
  <c r="E332" i="4"/>
  <c r="D332" i="4"/>
  <c r="I332" i="4"/>
  <c r="H332" i="4"/>
  <c r="G332" i="4"/>
  <c r="C332" i="4"/>
  <c r="AF765" i="11"/>
  <c r="H765" i="11"/>
  <c r="O765" i="11"/>
  <c r="G765" i="11"/>
  <c r="P765" i="11" s="1"/>
  <c r="F765" i="11"/>
  <c r="E765" i="11"/>
  <c r="N765" i="11"/>
  <c r="AI765" i="11"/>
  <c r="M765" i="11"/>
  <c r="L765" i="11"/>
  <c r="AB765" i="11" s="1"/>
  <c r="AC765" i="11" s="1"/>
  <c r="K765" i="11"/>
  <c r="J765" i="11"/>
  <c r="I765" i="11"/>
  <c r="S874" i="11"/>
  <c r="AF656" i="11"/>
  <c r="X656" i="11"/>
  <c r="P656" i="11"/>
  <c r="H656" i="11"/>
  <c r="AE656" i="11"/>
  <c r="W656" i="11"/>
  <c r="O656" i="11"/>
  <c r="G656" i="11"/>
  <c r="AD656" i="11"/>
  <c r="V656" i="11"/>
  <c r="N656" i="11"/>
  <c r="F656" i="11"/>
  <c r="AC656" i="11"/>
  <c r="U656" i="11"/>
  <c r="M656" i="11"/>
  <c r="E656" i="11"/>
  <c r="AB656" i="11"/>
  <c r="T656" i="11"/>
  <c r="L656" i="11"/>
  <c r="AI656" i="11"/>
  <c r="AA656" i="11"/>
  <c r="S656" i="11"/>
  <c r="K656" i="11"/>
  <c r="AH656" i="11"/>
  <c r="Z656" i="11"/>
  <c r="R656" i="11"/>
  <c r="J656" i="11"/>
  <c r="I656" i="11"/>
  <c r="AG656" i="11"/>
  <c r="Y656" i="11"/>
  <c r="Q656" i="11"/>
  <c r="AF688" i="11"/>
  <c r="X688" i="11"/>
  <c r="P688" i="11"/>
  <c r="H688" i="11"/>
  <c r="AE688" i="11"/>
  <c r="W688" i="11"/>
  <c r="O688" i="11"/>
  <c r="G688" i="11"/>
  <c r="AD688" i="11"/>
  <c r="V688" i="11"/>
  <c r="N688" i="11"/>
  <c r="F688" i="11"/>
  <c r="AC688" i="11"/>
  <c r="U688" i="11"/>
  <c r="M688" i="11"/>
  <c r="E688" i="11"/>
  <c r="AB688" i="11"/>
  <c r="T688" i="11"/>
  <c r="L688" i="11"/>
  <c r="AI688" i="11"/>
  <c r="AA688" i="11"/>
  <c r="S688" i="11"/>
  <c r="K688" i="11"/>
  <c r="AH688" i="11"/>
  <c r="Z688" i="11"/>
  <c r="R688" i="11"/>
  <c r="J688" i="11"/>
  <c r="I688" i="11"/>
  <c r="AG688" i="11"/>
  <c r="Y688" i="11"/>
  <c r="Q688" i="11"/>
  <c r="Q15" i="11"/>
  <c r="S797" i="11"/>
  <c r="Y787" i="11"/>
  <c r="Z787" i="11" s="1"/>
  <c r="AA787" i="11" s="1"/>
  <c r="P898" i="11"/>
  <c r="Q1002" i="11"/>
  <c r="S1002" i="11" s="1"/>
  <c r="E46" i="4"/>
  <c r="D46" i="4"/>
  <c r="G46" i="4"/>
  <c r="F46" i="4"/>
  <c r="C46" i="4"/>
  <c r="H46" i="4"/>
  <c r="B46" i="4"/>
  <c r="I46" i="4"/>
  <c r="G35" i="4"/>
  <c r="C35" i="4"/>
  <c r="B35" i="4"/>
  <c r="H35" i="4"/>
  <c r="G47" i="4"/>
  <c r="F47" i="4"/>
  <c r="C47" i="4"/>
  <c r="B47" i="4"/>
  <c r="D47" i="4"/>
  <c r="H47" i="4"/>
  <c r="E47" i="4"/>
  <c r="I47" i="4"/>
  <c r="G40" i="4"/>
  <c r="H40" i="4" s="1"/>
  <c r="F40" i="4"/>
  <c r="E40" i="4"/>
  <c r="C40" i="4"/>
  <c r="B40" i="4"/>
  <c r="I50" i="4"/>
  <c r="E50" i="4"/>
  <c r="D50" i="4"/>
  <c r="G50" i="4"/>
  <c r="F50" i="4"/>
  <c r="C50" i="4"/>
  <c r="H50" i="4"/>
  <c r="B50" i="4"/>
  <c r="Q189" i="11"/>
  <c r="AF1121" i="11"/>
  <c r="X1121" i="11"/>
  <c r="P1121" i="11"/>
  <c r="H1121" i="11"/>
  <c r="AE1121" i="11"/>
  <c r="W1121" i="11"/>
  <c r="AG1121" i="11"/>
  <c r="U1121" i="11"/>
  <c r="L1121" i="11"/>
  <c r="AD1121" i="11"/>
  <c r="T1121" i="11"/>
  <c r="K1121" i="11"/>
  <c r="AC1121" i="11"/>
  <c r="S1121" i="11"/>
  <c r="J1121" i="11"/>
  <c r="AB1121" i="11"/>
  <c r="R1121" i="11"/>
  <c r="I1121" i="11"/>
  <c r="AA1121" i="11"/>
  <c r="Q1121" i="11"/>
  <c r="G1121" i="11"/>
  <c r="Z1121" i="11"/>
  <c r="O1121" i="11"/>
  <c r="F1121" i="11"/>
  <c r="AI1121" i="11"/>
  <c r="Y1121" i="11"/>
  <c r="N1121" i="11"/>
  <c r="E1121" i="11"/>
  <c r="V1121" i="11"/>
  <c r="M1121" i="11"/>
  <c r="AH1121" i="11"/>
  <c r="R50" i="11"/>
  <c r="J814" i="11"/>
  <c r="I814" i="11"/>
  <c r="M814" i="11"/>
  <c r="E814" i="11"/>
  <c r="N814" i="11"/>
  <c r="L814" i="11"/>
  <c r="AI814" i="11"/>
  <c r="H814" i="11"/>
  <c r="AF814" i="11"/>
  <c r="G814" i="11"/>
  <c r="F814" i="11"/>
  <c r="P814" i="11" s="1"/>
  <c r="AB814" i="11"/>
  <c r="AC814" i="11" s="1"/>
  <c r="O814" i="11"/>
  <c r="K814" i="11"/>
  <c r="J818" i="11"/>
  <c r="I818" i="11"/>
  <c r="M818" i="11"/>
  <c r="E818" i="11"/>
  <c r="N818" i="11"/>
  <c r="L818" i="11"/>
  <c r="H818" i="11"/>
  <c r="AB818" i="11" s="1"/>
  <c r="AC818" i="11" s="1"/>
  <c r="AF818" i="11"/>
  <c r="G818" i="11"/>
  <c r="F818" i="11"/>
  <c r="K818" i="11"/>
  <c r="O818" i="11"/>
  <c r="P60" i="11"/>
  <c r="R60" i="11"/>
  <c r="T60" i="11" s="1"/>
  <c r="AF1232" i="11"/>
  <c r="X1232" i="11"/>
  <c r="P1232" i="11"/>
  <c r="H1232" i="11"/>
  <c r="AI1232" i="11"/>
  <c r="Z1232" i="11"/>
  <c r="Q1232" i="11"/>
  <c r="G1232" i="11"/>
  <c r="AG1232" i="11"/>
  <c r="W1232" i="11"/>
  <c r="N1232" i="11"/>
  <c r="E1232" i="11"/>
  <c r="AD1232" i="11"/>
  <c r="U1232" i="11"/>
  <c r="L1232" i="11"/>
  <c r="AC1232" i="11"/>
  <c r="T1232" i="11"/>
  <c r="K1232" i="11"/>
  <c r="S1232" i="11"/>
  <c r="R1232" i="11"/>
  <c r="AH1232" i="11"/>
  <c r="O1232" i="11"/>
  <c r="AE1232" i="11"/>
  <c r="M1232" i="11"/>
  <c r="AB1232" i="11"/>
  <c r="J1232" i="11"/>
  <c r="V1232" i="11"/>
  <c r="I1232" i="11"/>
  <c r="F1232" i="11"/>
  <c r="AA1232" i="11"/>
  <c r="Y1232" i="11"/>
  <c r="AF1258" i="11"/>
  <c r="X1258" i="11"/>
  <c r="P1258" i="11"/>
  <c r="H1258" i="11"/>
  <c r="AC1258" i="11"/>
  <c r="T1258" i="11"/>
  <c r="K1258" i="11"/>
  <c r="AB1258" i="11"/>
  <c r="S1258" i="11"/>
  <c r="J1258" i="11"/>
  <c r="AI1258" i="11"/>
  <c r="Z1258" i="11"/>
  <c r="Q1258" i="11"/>
  <c r="G1258" i="11"/>
  <c r="AH1258" i="11"/>
  <c r="U1258" i="11"/>
  <c r="E1258" i="11"/>
  <c r="AG1258" i="11"/>
  <c r="R1258" i="11"/>
  <c r="AE1258" i="11"/>
  <c r="O1258" i="11"/>
  <c r="AD1258" i="11"/>
  <c r="N1258" i="11"/>
  <c r="AA1258" i="11"/>
  <c r="M1258" i="11"/>
  <c r="Y1258" i="11"/>
  <c r="L1258" i="11"/>
  <c r="W1258" i="11"/>
  <c r="I1258" i="11"/>
  <c r="V1258" i="11"/>
  <c r="F1258" i="11"/>
  <c r="AI188" i="11"/>
  <c r="X143" i="11"/>
  <c r="P183" i="11"/>
  <c r="AI260" i="11"/>
  <c r="AD260" i="11" s="1"/>
  <c r="P651" i="11"/>
  <c r="R651" i="11"/>
  <c r="P434" i="11"/>
  <c r="R434" i="11" s="1"/>
  <c r="S434" i="11"/>
  <c r="R173" i="11"/>
  <c r="AI870" i="11"/>
  <c r="X870" i="11" s="1"/>
  <c r="AD1023" i="11"/>
  <c r="P1036" i="11"/>
  <c r="AI22" i="11"/>
  <c r="AI107" i="11"/>
  <c r="AI29" i="11"/>
  <c r="P61" i="11"/>
  <c r="R61" i="11" s="1"/>
  <c r="J963" i="11"/>
  <c r="Q963" i="11"/>
  <c r="I963" i="11"/>
  <c r="AF963" i="11"/>
  <c r="H963" i="11"/>
  <c r="N963" i="11"/>
  <c r="M963" i="11"/>
  <c r="AB963" i="11" s="1"/>
  <c r="AC963" i="11" s="1"/>
  <c r="L963" i="11"/>
  <c r="K963" i="11"/>
  <c r="G963" i="11"/>
  <c r="F963" i="11"/>
  <c r="O963" i="11"/>
  <c r="E963" i="11"/>
  <c r="AF968" i="11"/>
  <c r="P968" i="11"/>
  <c r="H968" i="11"/>
  <c r="O968" i="11"/>
  <c r="G968" i="11"/>
  <c r="N968" i="11"/>
  <c r="F968" i="11"/>
  <c r="M968" i="11"/>
  <c r="E968" i="11"/>
  <c r="K968" i="11"/>
  <c r="J968" i="11"/>
  <c r="I968" i="11"/>
  <c r="AI968" i="11"/>
  <c r="L968" i="11"/>
  <c r="P32" i="11"/>
  <c r="R32" i="11"/>
  <c r="Q55" i="11"/>
  <c r="AD100" i="11"/>
  <c r="T100" i="11"/>
  <c r="AD126" i="11"/>
  <c r="AI158" i="11"/>
  <c r="S393" i="11"/>
  <c r="Y393" i="11" s="1"/>
  <c r="AI401" i="11"/>
  <c r="AI339" i="11"/>
  <c r="AI427" i="11"/>
  <c r="Q805" i="11"/>
  <c r="R805" i="11"/>
  <c r="Q799" i="11"/>
  <c r="AD799" i="11" s="1"/>
  <c r="AI875" i="11"/>
  <c r="AI932" i="11"/>
  <c r="AB502" i="11"/>
  <c r="T502" i="11"/>
  <c r="L502" i="11"/>
  <c r="AI502" i="11"/>
  <c r="AA502" i="11"/>
  <c r="S502" i="11"/>
  <c r="K502" i="11"/>
  <c r="AH502" i="11"/>
  <c r="Z502" i="11"/>
  <c r="R502" i="11"/>
  <c r="J502" i="11"/>
  <c r="AF502" i="11"/>
  <c r="X502" i="11"/>
  <c r="P502" i="11"/>
  <c r="H502" i="11"/>
  <c r="AG502" i="11"/>
  <c r="Q502" i="11"/>
  <c r="AE502" i="11"/>
  <c r="O502" i="11"/>
  <c r="AD502" i="11"/>
  <c r="N502" i="11"/>
  <c r="AC502" i="11"/>
  <c r="M502" i="11"/>
  <c r="Y502" i="11"/>
  <c r="I502" i="11"/>
  <c r="V502" i="11"/>
  <c r="U502" i="11"/>
  <c r="G502" i="11"/>
  <c r="F502" i="11"/>
  <c r="E502" i="11"/>
  <c r="W502" i="11"/>
  <c r="AI145" i="11"/>
  <c r="P213" i="11"/>
  <c r="R213" i="11" s="1"/>
  <c r="AB522" i="11"/>
  <c r="T522" i="11"/>
  <c r="L522" i="11"/>
  <c r="AI522" i="11"/>
  <c r="AA522" i="11"/>
  <c r="S522" i="11"/>
  <c r="K522" i="11"/>
  <c r="AH522" i="11"/>
  <c r="Z522" i="11"/>
  <c r="R522" i="11"/>
  <c r="J522" i="11"/>
  <c r="AF522" i="11"/>
  <c r="X522" i="11"/>
  <c r="P522" i="11"/>
  <c r="H522" i="11"/>
  <c r="AG522" i="11"/>
  <c r="Q522" i="11"/>
  <c r="AE522" i="11"/>
  <c r="O522" i="11"/>
  <c r="AD522" i="11"/>
  <c r="N522" i="11"/>
  <c r="AC522" i="11"/>
  <c r="M522" i="11"/>
  <c r="Y522" i="11"/>
  <c r="I522" i="11"/>
  <c r="V522" i="11"/>
  <c r="U522" i="11"/>
  <c r="G522" i="11"/>
  <c r="F522" i="11"/>
  <c r="E522" i="11"/>
  <c r="W522" i="11"/>
  <c r="P98" i="11"/>
  <c r="R98" i="11" s="1"/>
  <c r="AD893" i="11"/>
  <c r="X893" i="11"/>
  <c r="Z893" i="11" s="1"/>
  <c r="AA893" i="11" s="1"/>
  <c r="S893" i="11"/>
  <c r="AD842" i="11"/>
  <c r="P988" i="11"/>
  <c r="Q33" i="11"/>
  <c r="S33" i="11" s="1"/>
  <c r="Y33" i="11" s="1"/>
  <c r="P36" i="11"/>
  <c r="R36" i="11" s="1"/>
  <c r="P27" i="11"/>
  <c r="R27" i="11"/>
  <c r="R79" i="11"/>
  <c r="Q104" i="11"/>
  <c r="S104" i="11" s="1"/>
  <c r="Y104" i="11" s="1"/>
  <c r="AI130" i="11"/>
  <c r="R162" i="11"/>
  <c r="S365" i="11"/>
  <c r="Y365" i="11" s="1"/>
  <c r="Q281" i="11"/>
  <c r="AD281" i="11" s="1"/>
  <c r="Y290" i="11"/>
  <c r="R290" i="11"/>
  <c r="P382" i="11"/>
  <c r="P418" i="11"/>
  <c r="R418" i="11" s="1"/>
  <c r="Q645" i="11"/>
  <c r="AD645" i="11" s="1"/>
  <c r="Y776" i="11"/>
  <c r="X845" i="11"/>
  <c r="Z845" i="11" s="1"/>
  <c r="AA845" i="11" s="1"/>
  <c r="S845" i="11"/>
  <c r="R767" i="11"/>
  <c r="AG767" i="11" s="1"/>
  <c r="P857" i="11"/>
  <c r="Y841" i="11"/>
  <c r="Z841" i="11" s="1"/>
  <c r="AA841" i="11" s="1"/>
  <c r="AI864" i="11"/>
  <c r="Q871" i="11"/>
  <c r="S871" i="11" s="1"/>
  <c r="P871" i="11"/>
  <c r="Q896" i="11"/>
  <c r="Y960" i="11"/>
  <c r="P957" i="11"/>
  <c r="P1001" i="11"/>
  <c r="R1001" i="11"/>
  <c r="T1001" i="11"/>
  <c r="AI974" i="11"/>
  <c r="Y974" i="11" s="1"/>
  <c r="S415" i="11"/>
  <c r="AI1014" i="11"/>
  <c r="P30" i="11"/>
  <c r="Z836" i="11"/>
  <c r="AA836" i="11" s="1"/>
  <c r="S836" i="11"/>
  <c r="T836" i="11" s="1"/>
  <c r="AD836" i="11"/>
  <c r="R984" i="11"/>
  <c r="P37" i="11"/>
  <c r="R37" i="11" s="1"/>
  <c r="P212" i="11"/>
  <c r="R212" i="11"/>
  <c r="AI132" i="11"/>
  <c r="P332" i="11"/>
  <c r="R332" i="11" s="1"/>
  <c r="P195" i="11"/>
  <c r="Q369" i="11"/>
  <c r="S369" i="11" s="1"/>
  <c r="Y369" i="11" s="1"/>
  <c r="S405" i="11"/>
  <c r="Y405" i="11" s="1"/>
  <c r="S272" i="11"/>
  <c r="Y272" i="11" s="1"/>
  <c r="AD272" i="11"/>
  <c r="S285" i="11"/>
  <c r="Y285" i="11" s="1"/>
  <c r="Q262" i="11"/>
  <c r="S347" i="11"/>
  <c r="T347" i="11" s="1"/>
  <c r="AB347" i="11"/>
  <c r="AC347" i="11" s="1"/>
  <c r="AI379" i="11"/>
  <c r="P626" i="11"/>
  <c r="R626" i="11" s="1"/>
  <c r="Q618" i="11"/>
  <c r="S618" i="11"/>
  <c r="AG618" i="11" s="1"/>
  <c r="AI650" i="11"/>
  <c r="AI649" i="11"/>
  <c r="L825" i="11"/>
  <c r="K825" i="11"/>
  <c r="O825" i="11"/>
  <c r="G825" i="11"/>
  <c r="AI825" i="11" s="1"/>
  <c r="J825" i="11"/>
  <c r="I825" i="11"/>
  <c r="H825" i="11"/>
  <c r="AF825" i="11"/>
  <c r="F825" i="11"/>
  <c r="Q825" i="11" s="1"/>
  <c r="E825" i="11"/>
  <c r="P825" i="11"/>
  <c r="N825" i="11"/>
  <c r="M825" i="11"/>
  <c r="J822" i="11"/>
  <c r="Q822" i="11"/>
  <c r="I822" i="11"/>
  <c r="M822" i="11"/>
  <c r="E822" i="11"/>
  <c r="N822" i="11"/>
  <c r="L822" i="11"/>
  <c r="AB822" i="11" s="1"/>
  <c r="AC822" i="11" s="1"/>
  <c r="K822" i="11"/>
  <c r="H822" i="11"/>
  <c r="AF822" i="11"/>
  <c r="G822" i="11"/>
  <c r="F822" i="11"/>
  <c r="O822" i="11"/>
  <c r="Y835" i="11"/>
  <c r="S835" i="11"/>
  <c r="P835" i="11"/>
  <c r="R835" i="11" s="1"/>
  <c r="AI914" i="11"/>
  <c r="S930" i="11"/>
  <c r="AI998" i="11"/>
  <c r="Q902" i="11"/>
  <c r="P1006" i="11"/>
  <c r="R1006" i="11" s="1"/>
  <c r="AI1029" i="11"/>
  <c r="X1005" i="11"/>
  <c r="Z1005" i="11"/>
  <c r="AA1005" i="11" s="1"/>
  <c r="AI1041" i="11"/>
  <c r="P412" i="11"/>
  <c r="R412" i="11" s="1"/>
  <c r="Q622" i="11"/>
  <c r="S622" i="11" s="1"/>
  <c r="AD623" i="11"/>
  <c r="P948" i="11"/>
  <c r="AD948" i="11" s="1"/>
  <c r="R948" i="11"/>
  <c r="S922" i="11"/>
  <c r="P912" i="11"/>
  <c r="P989" i="11"/>
  <c r="AI377" i="11"/>
  <c r="S270" i="11"/>
  <c r="Y270" i="11" s="1"/>
  <c r="Q387" i="11"/>
  <c r="P847" i="11"/>
  <c r="R847" i="11" s="1"/>
  <c r="R851" i="11"/>
  <c r="S851" i="11"/>
  <c r="P785" i="11"/>
  <c r="S863" i="11"/>
  <c r="AI271" i="11"/>
  <c r="Y348" i="11"/>
  <c r="AI348" i="11"/>
  <c r="P913" i="11"/>
  <c r="AI915" i="11"/>
  <c r="K376" i="11"/>
  <c r="J376" i="11"/>
  <c r="AF376" i="11"/>
  <c r="H376" i="11"/>
  <c r="O376" i="11"/>
  <c r="G376" i="11"/>
  <c r="AI376" i="11" s="1"/>
  <c r="N376" i="11"/>
  <c r="M376" i="11"/>
  <c r="L376" i="11"/>
  <c r="I376" i="11"/>
  <c r="F376" i="11"/>
  <c r="E376" i="11"/>
  <c r="AB886" i="11"/>
  <c r="AC886" i="11" s="1"/>
  <c r="Q1043" i="11"/>
  <c r="S1043" i="11" s="1"/>
  <c r="R1032" i="11"/>
  <c r="Y1032" i="11"/>
  <c r="Q34" i="11"/>
  <c r="S34" i="11"/>
  <c r="AC1428" i="11"/>
  <c r="U1428" i="11"/>
  <c r="M1428" i="11"/>
  <c r="E1428" i="11"/>
  <c r="AI1428" i="11"/>
  <c r="AA1428" i="11"/>
  <c r="S1428" i="11"/>
  <c r="K1428" i="11"/>
  <c r="AH1428" i="11"/>
  <c r="Z1428" i="11"/>
  <c r="R1428" i="11"/>
  <c r="J1428" i="11"/>
  <c r="W1428" i="11"/>
  <c r="I1428" i="11"/>
  <c r="AG1428" i="11"/>
  <c r="V1428" i="11"/>
  <c r="H1428" i="11"/>
  <c r="AE1428" i="11"/>
  <c r="O1428" i="11"/>
  <c r="AD1428" i="11"/>
  <c r="N1428" i="11"/>
  <c r="AB1428" i="11"/>
  <c r="L1428" i="11"/>
  <c r="Y1428" i="11"/>
  <c r="G1428" i="11"/>
  <c r="X1428" i="11"/>
  <c r="AF1428" i="11"/>
  <c r="T1428" i="11"/>
  <c r="Q1428" i="11"/>
  <c r="P1428" i="11"/>
  <c r="F1428" i="11"/>
  <c r="AC1436" i="11"/>
  <c r="U1436" i="11"/>
  <c r="M1436" i="11"/>
  <c r="E1436" i="11"/>
  <c r="AI1436" i="11"/>
  <c r="AA1436" i="11"/>
  <c r="S1436" i="11"/>
  <c r="K1436" i="11"/>
  <c r="AH1436" i="11"/>
  <c r="Z1436" i="11"/>
  <c r="R1436" i="11"/>
  <c r="J1436" i="11"/>
  <c r="AE1436" i="11"/>
  <c r="W1436" i="11"/>
  <c r="O1436" i="11"/>
  <c r="G1436" i="11"/>
  <c r="X1436" i="11"/>
  <c r="H1436" i="11"/>
  <c r="V1436" i="11"/>
  <c r="F1436" i="11"/>
  <c r="T1436" i="11"/>
  <c r="AG1436" i="11"/>
  <c r="Q1436" i="11"/>
  <c r="AB1436" i="11"/>
  <c r="Y1436" i="11"/>
  <c r="P1436" i="11"/>
  <c r="N1436" i="11"/>
  <c r="L1436" i="11"/>
  <c r="I1436" i="11"/>
  <c r="AF1436" i="11"/>
  <c r="AD1436" i="11"/>
  <c r="P846" i="11"/>
  <c r="R846" i="11" s="1"/>
  <c r="R1008" i="11"/>
  <c r="AG1008" i="11" s="1"/>
  <c r="T1008" i="11"/>
  <c r="X1008" i="11"/>
  <c r="S980" i="11"/>
  <c r="AD980" i="11"/>
  <c r="S9" i="11"/>
  <c r="Y9" i="11"/>
  <c r="Q81" i="11"/>
  <c r="AD81" i="11" s="1"/>
  <c r="AD90" i="11"/>
  <c r="Q12" i="11"/>
  <c r="S12" i="11" s="1"/>
  <c r="AI1380" i="11"/>
  <c r="AA1380" i="11"/>
  <c r="S1380" i="11"/>
  <c r="K1380" i="11"/>
  <c r="AH1380" i="11"/>
  <c r="Z1380" i="11"/>
  <c r="R1380" i="11"/>
  <c r="J1380" i="11"/>
  <c r="AD1380" i="11"/>
  <c r="T1380" i="11"/>
  <c r="H1380" i="11"/>
  <c r="Y1380" i="11"/>
  <c r="O1380" i="11"/>
  <c r="E1380" i="11"/>
  <c r="V1380" i="11"/>
  <c r="G1380" i="11"/>
  <c r="AG1380" i="11"/>
  <c r="U1380" i="11"/>
  <c r="F1380" i="11"/>
  <c r="AF1380" i="11"/>
  <c r="Q1380" i="11"/>
  <c r="AE1380" i="11"/>
  <c r="P1380" i="11"/>
  <c r="AC1380" i="11"/>
  <c r="N1380" i="11"/>
  <c r="X1380" i="11"/>
  <c r="L1380" i="11"/>
  <c r="W1380" i="11"/>
  <c r="M1380" i="11"/>
  <c r="I1380" i="11"/>
  <c r="AB1380" i="11"/>
  <c r="Q35" i="11"/>
  <c r="Q95" i="11"/>
  <c r="S95" i="11" s="1"/>
  <c r="Y95" i="11" s="1"/>
  <c r="S216" i="11"/>
  <c r="S190" i="11"/>
  <c r="Y190" i="11" s="1"/>
  <c r="P190" i="11"/>
  <c r="R190" i="11" s="1"/>
  <c r="AG190" i="11" s="1"/>
  <c r="Y119" i="11"/>
  <c r="AD170" i="11"/>
  <c r="AB276" i="11"/>
  <c r="AC276" i="11" s="1"/>
  <c r="P289" i="11"/>
  <c r="AB266" i="11"/>
  <c r="AC266" i="11" s="1"/>
  <c r="P431" i="11"/>
  <c r="S631" i="11"/>
  <c r="Y631" i="11" s="1"/>
  <c r="AB351" i="11"/>
  <c r="AC351" i="11" s="1"/>
  <c r="AI383" i="11"/>
  <c r="P769" i="11"/>
  <c r="R880" i="11"/>
  <c r="Q887" i="11"/>
  <c r="X1034" i="11"/>
  <c r="Z1034" i="11" s="1"/>
  <c r="AA1034" i="11" s="1"/>
  <c r="AD1034" i="11"/>
  <c r="P1009" i="11"/>
  <c r="R1009" i="11"/>
  <c r="T1009" i="11" s="1"/>
  <c r="AI1045" i="11"/>
  <c r="R435" i="11"/>
  <c r="AD435" i="11"/>
  <c r="AD362" i="11"/>
  <c r="Y437" i="11"/>
  <c r="S416" i="11"/>
  <c r="Y416" i="11" s="1"/>
  <c r="X888" i="11"/>
  <c r="Z888" i="11" s="1"/>
  <c r="AA888" i="11" s="1"/>
  <c r="AD936" i="11"/>
  <c r="P856" i="11"/>
  <c r="X1048" i="11"/>
  <c r="Z1048" i="11" s="1"/>
  <c r="AA1048" i="11" s="1"/>
  <c r="AI796" i="11"/>
  <c r="S796" i="11" s="1"/>
  <c r="S811" i="11"/>
  <c r="R29" i="11"/>
  <c r="J955" i="11"/>
  <c r="Q955" i="11"/>
  <c r="I955" i="11"/>
  <c r="AF955" i="11"/>
  <c r="H955" i="11"/>
  <c r="N955" i="11"/>
  <c r="M955" i="11"/>
  <c r="AB955" i="11" s="1"/>
  <c r="AC955" i="11" s="1"/>
  <c r="L955" i="11"/>
  <c r="K955" i="11"/>
  <c r="G955" i="11"/>
  <c r="F955" i="11"/>
  <c r="O955" i="11"/>
  <c r="E955" i="11"/>
  <c r="AF972" i="11"/>
  <c r="P972" i="11"/>
  <c r="H972" i="11"/>
  <c r="O972" i="11"/>
  <c r="G972" i="11"/>
  <c r="N972" i="11"/>
  <c r="X972" i="11" s="1"/>
  <c r="F972" i="11"/>
  <c r="M972" i="11"/>
  <c r="E972" i="11"/>
  <c r="K972" i="11"/>
  <c r="J972" i="11"/>
  <c r="I972" i="11"/>
  <c r="AI972" i="11"/>
  <c r="R972" i="11"/>
  <c r="AB972" i="11"/>
  <c r="AC972" i="11" s="1"/>
  <c r="L972" i="11"/>
  <c r="AB100" i="11"/>
  <c r="AC100" i="11" s="1"/>
  <c r="P158" i="11"/>
  <c r="R158" i="11" s="1"/>
  <c r="R427" i="11"/>
  <c r="Q641" i="11"/>
  <c r="AD641" i="11" s="1"/>
  <c r="AH487" i="11"/>
  <c r="Z487" i="11"/>
  <c r="R487" i="11"/>
  <c r="J487" i="11"/>
  <c r="AG487" i="11"/>
  <c r="Y487" i="11"/>
  <c r="Q487" i="11"/>
  <c r="I487" i="11"/>
  <c r="AF487" i="11"/>
  <c r="X487" i="11"/>
  <c r="P487" i="11"/>
  <c r="H487" i="11"/>
  <c r="AD487" i="11"/>
  <c r="V487" i="11"/>
  <c r="N487" i="11"/>
  <c r="F487" i="11"/>
  <c r="AC487" i="11"/>
  <c r="M487" i="11"/>
  <c r="AB487" i="11"/>
  <c r="L487" i="11"/>
  <c r="AA487" i="11"/>
  <c r="K487" i="11"/>
  <c r="W487" i="11"/>
  <c r="G487" i="11"/>
  <c r="U487" i="11"/>
  <c r="E487" i="11"/>
  <c r="AE487" i="11"/>
  <c r="T487" i="11"/>
  <c r="S487" i="11"/>
  <c r="O487" i="11"/>
  <c r="AI487" i="11"/>
  <c r="AB526" i="11"/>
  <c r="T526" i="11"/>
  <c r="L526" i="11"/>
  <c r="AI526" i="11"/>
  <c r="AA526" i="11"/>
  <c r="S526" i="11"/>
  <c r="K526" i="11"/>
  <c r="AH526" i="11"/>
  <c r="Z526" i="11"/>
  <c r="R526" i="11"/>
  <c r="J526" i="11"/>
  <c r="AF526" i="11"/>
  <c r="X526" i="11"/>
  <c r="P526" i="11"/>
  <c r="H526" i="11"/>
  <c r="AG526" i="11"/>
  <c r="Q526" i="11"/>
  <c r="AE526" i="11"/>
  <c r="O526" i="11"/>
  <c r="AD526" i="11"/>
  <c r="N526" i="11"/>
  <c r="AC526" i="11"/>
  <c r="M526" i="11"/>
  <c r="Y526" i="11"/>
  <c r="I526" i="11"/>
  <c r="V526" i="11"/>
  <c r="U526" i="11"/>
  <c r="G526" i="11"/>
  <c r="F526" i="11"/>
  <c r="E526" i="11"/>
  <c r="W526" i="11"/>
  <c r="L72" i="11"/>
  <c r="I72" i="11"/>
  <c r="H72" i="11"/>
  <c r="AB72" i="11" s="1"/>
  <c r="AC72" i="11" s="1"/>
  <c r="G72" i="11"/>
  <c r="O72" i="11"/>
  <c r="F72" i="11"/>
  <c r="Q72" i="11" s="1"/>
  <c r="S72" i="11" s="1"/>
  <c r="Y72" i="11" s="1"/>
  <c r="AF72" i="11"/>
  <c r="N72" i="11"/>
  <c r="E72" i="11"/>
  <c r="M72" i="11"/>
  <c r="K72" i="11"/>
  <c r="J72" i="11"/>
  <c r="P130" i="11"/>
  <c r="R130" i="11" s="1"/>
  <c r="X418" i="11"/>
  <c r="Z418" i="11" s="1"/>
  <c r="AA418" i="11" s="1"/>
  <c r="AI433" i="11"/>
  <c r="X1001" i="11"/>
  <c r="Z1001" i="11" s="1"/>
  <c r="AA1001" i="11" s="1"/>
  <c r="P1037" i="11"/>
  <c r="AI1021" i="11"/>
  <c r="Q141" i="11"/>
  <c r="S141" i="11" s="1"/>
  <c r="Y141" i="11" s="1"/>
  <c r="P923" i="11"/>
  <c r="Q165" i="11"/>
  <c r="R30" i="11"/>
  <c r="X30" i="11"/>
  <c r="R122" i="11"/>
  <c r="Q984" i="11"/>
  <c r="Q192" i="11"/>
  <c r="S192" i="11" s="1"/>
  <c r="AF74" i="11"/>
  <c r="H74" i="11"/>
  <c r="AB74" i="11" s="1"/>
  <c r="AC74" i="11" s="1"/>
  <c r="M74" i="11"/>
  <c r="L74" i="11"/>
  <c r="K74" i="11"/>
  <c r="J74" i="11"/>
  <c r="I74" i="11"/>
  <c r="AI74" i="11"/>
  <c r="G74" i="11"/>
  <c r="O74" i="11"/>
  <c r="F74" i="11"/>
  <c r="N74" i="11"/>
  <c r="E74" i="11"/>
  <c r="P74" i="11" s="1"/>
  <c r="AI89" i="11"/>
  <c r="R108" i="11"/>
  <c r="S332" i="11"/>
  <c r="Y332" i="11" s="1"/>
  <c r="Q166" i="11"/>
  <c r="S166" i="11" s="1"/>
  <c r="Y166" i="11" s="1"/>
  <c r="R262" i="11"/>
  <c r="AF544" i="11"/>
  <c r="X544" i="11"/>
  <c r="P544" i="11"/>
  <c r="H544" i="11"/>
  <c r="AE544" i="11"/>
  <c r="W544" i="11"/>
  <c r="O544" i="11"/>
  <c r="G544" i="11"/>
  <c r="AD544" i="11"/>
  <c r="V544" i="11"/>
  <c r="N544" i="11"/>
  <c r="F544" i="11"/>
  <c r="AC544" i="11"/>
  <c r="U544" i="11"/>
  <c r="M544" i="11"/>
  <c r="E544" i="11"/>
  <c r="AB544" i="11"/>
  <c r="T544" i="11"/>
  <c r="L544" i="11"/>
  <c r="Y544" i="11"/>
  <c r="S544" i="11"/>
  <c r="R544" i="11"/>
  <c r="AI544" i="11"/>
  <c r="Q544" i="11"/>
  <c r="AH544" i="11"/>
  <c r="K544" i="11"/>
  <c r="AG544" i="11"/>
  <c r="AA544" i="11"/>
  <c r="Z544" i="11"/>
  <c r="J544" i="11"/>
  <c r="I544" i="11"/>
  <c r="X626" i="11"/>
  <c r="Y618" i="11"/>
  <c r="J784" i="11"/>
  <c r="I784" i="11"/>
  <c r="N784" i="11"/>
  <c r="F784" i="11"/>
  <c r="H784" i="11"/>
  <c r="AF784" i="11"/>
  <c r="G784" i="11"/>
  <c r="AI784" i="11" s="1"/>
  <c r="E784" i="11"/>
  <c r="O784" i="11"/>
  <c r="M784" i="11"/>
  <c r="AB784" i="11" s="1"/>
  <c r="AC784" i="11" s="1"/>
  <c r="L784" i="11"/>
  <c r="K784" i="11"/>
  <c r="AF823" i="11"/>
  <c r="P823" i="11"/>
  <c r="R823" i="11" s="1"/>
  <c r="H823" i="11"/>
  <c r="O823" i="11"/>
  <c r="G823" i="11"/>
  <c r="AI823" i="11"/>
  <c r="K823" i="11"/>
  <c r="N823" i="11"/>
  <c r="M823" i="11"/>
  <c r="L823" i="11"/>
  <c r="AB823" i="11" s="1"/>
  <c r="AC823" i="11" s="1"/>
  <c r="J823" i="11"/>
  <c r="I823" i="11"/>
  <c r="F823" i="11"/>
  <c r="Y823" i="11" s="1"/>
  <c r="E823" i="11"/>
  <c r="X835" i="11"/>
  <c r="Z835" i="11" s="1"/>
  <c r="AA835" i="11" s="1"/>
  <c r="S868" i="11"/>
  <c r="R868" i="11"/>
  <c r="AI883" i="11"/>
  <c r="R883" i="11" s="1"/>
  <c r="X1006" i="11"/>
  <c r="Z1006" i="11" s="1"/>
  <c r="AA1006" i="11" s="1"/>
  <c r="N961" i="11"/>
  <c r="F961" i="11"/>
  <c r="M961" i="11"/>
  <c r="E961" i="11"/>
  <c r="L961" i="11"/>
  <c r="R961" i="11" s="1"/>
  <c r="X961" i="11"/>
  <c r="J961" i="11"/>
  <c r="I961" i="11"/>
  <c r="H961" i="11"/>
  <c r="AF961" i="11"/>
  <c r="G961" i="11"/>
  <c r="AI961" i="11" s="1"/>
  <c r="P961" i="11"/>
  <c r="O961" i="11"/>
  <c r="Y961" i="11" s="1"/>
  <c r="K961" i="11"/>
  <c r="N969" i="11"/>
  <c r="F969" i="11"/>
  <c r="P969" i="11" s="1"/>
  <c r="R969" i="11" s="1"/>
  <c r="M969" i="11"/>
  <c r="Y969" i="11" s="1"/>
  <c r="E969" i="11"/>
  <c r="L969" i="11"/>
  <c r="AI969" i="11"/>
  <c r="AD969" i="11" s="1"/>
  <c r="K969" i="11"/>
  <c r="X969" i="11"/>
  <c r="Z969" i="11" s="1"/>
  <c r="AA969" i="11" s="1"/>
  <c r="H969" i="11"/>
  <c r="AB969" i="11" s="1"/>
  <c r="AC969" i="11" s="1"/>
  <c r="G969" i="11"/>
  <c r="Q969" i="11"/>
  <c r="AF969" i="11"/>
  <c r="O969" i="11"/>
  <c r="J969" i="11"/>
  <c r="I969" i="11"/>
  <c r="Q412" i="11"/>
  <c r="S412" i="11" s="1"/>
  <c r="Y412" i="11" s="1"/>
  <c r="P653" i="11"/>
  <c r="R653" i="11" s="1"/>
  <c r="X948" i="11"/>
  <c r="Z948" i="11" s="1"/>
  <c r="AA948" i="11" s="1"/>
  <c r="AI881" i="11"/>
  <c r="X881" i="11" s="1"/>
  <c r="AD934" i="11"/>
  <c r="S973" i="11"/>
  <c r="X989" i="11"/>
  <c r="AI270" i="11"/>
  <c r="S387" i="11"/>
  <c r="Y387" i="11"/>
  <c r="Y833" i="11"/>
  <c r="R833" i="11"/>
  <c r="AG833" i="11" s="1"/>
  <c r="T839" i="11"/>
  <c r="Y839" i="11"/>
  <c r="Z839" i="11" s="1"/>
  <c r="AA839" i="11" s="1"/>
  <c r="S839" i="11"/>
  <c r="X847" i="11"/>
  <c r="Z847" i="11" s="1"/>
  <c r="AA847" i="11" s="1"/>
  <c r="X891" i="11"/>
  <c r="Z891" i="11" s="1"/>
  <c r="AA891" i="11" s="1"/>
  <c r="S977" i="11"/>
  <c r="R785" i="11"/>
  <c r="X785" i="11"/>
  <c r="Z785" i="11" s="1"/>
  <c r="AA785" i="11" s="1"/>
  <c r="AD1015" i="11"/>
  <c r="X1015" i="11"/>
  <c r="AF640" i="11"/>
  <c r="H640" i="11"/>
  <c r="O640" i="11"/>
  <c r="G640" i="11"/>
  <c r="N640" i="11"/>
  <c r="F640" i="11"/>
  <c r="Q640" i="11" s="1"/>
  <c r="M640" i="11"/>
  <c r="S640" i="11" s="1"/>
  <c r="Y640" i="11" s="1"/>
  <c r="E640" i="11"/>
  <c r="L640" i="11"/>
  <c r="AB640" i="11" s="1"/>
  <c r="AC640" i="11" s="1"/>
  <c r="AI640" i="11"/>
  <c r="K640" i="11"/>
  <c r="J640" i="11"/>
  <c r="I640" i="11"/>
  <c r="AB494" i="11"/>
  <c r="T494" i="11"/>
  <c r="L494" i="11"/>
  <c r="AI494" i="11"/>
  <c r="AA494" i="11"/>
  <c r="S494" i="11"/>
  <c r="K494" i="11"/>
  <c r="AH494" i="11"/>
  <c r="Z494" i="11"/>
  <c r="R494" i="11"/>
  <c r="J494" i="11"/>
  <c r="AF494" i="11"/>
  <c r="X494" i="11"/>
  <c r="P494" i="11"/>
  <c r="H494" i="11"/>
  <c r="AG494" i="11"/>
  <c r="Q494" i="11"/>
  <c r="AE494" i="11"/>
  <c r="O494" i="11"/>
  <c r="AD494" i="11"/>
  <c r="N494" i="11"/>
  <c r="AC494" i="11"/>
  <c r="M494" i="11"/>
  <c r="Y494" i="11"/>
  <c r="I494" i="11"/>
  <c r="V494" i="11"/>
  <c r="U494" i="11"/>
  <c r="G494" i="11"/>
  <c r="F494" i="11"/>
  <c r="E494" i="11"/>
  <c r="W494" i="11"/>
  <c r="R205" i="11"/>
  <c r="P426" i="11"/>
  <c r="R426" i="11" s="1"/>
  <c r="S426" i="11"/>
  <c r="Y426" i="11" s="1"/>
  <c r="AI380" i="11"/>
  <c r="K380" i="11"/>
  <c r="J380" i="11"/>
  <c r="AF380" i="11"/>
  <c r="H380" i="11"/>
  <c r="O380" i="11"/>
  <c r="G380" i="11"/>
  <c r="N380" i="11"/>
  <c r="M380" i="11"/>
  <c r="L380" i="11"/>
  <c r="AB380" i="11" s="1"/>
  <c r="AC380" i="11" s="1"/>
  <c r="I380" i="11"/>
  <c r="F380" i="11"/>
  <c r="E380" i="11"/>
  <c r="S120" i="11"/>
  <c r="Y120" i="11" s="1"/>
  <c r="R886" i="11"/>
  <c r="Y1043" i="11"/>
  <c r="AC1424" i="11"/>
  <c r="AI1424" i="11"/>
  <c r="AA1424" i="11"/>
  <c r="S1424" i="11"/>
  <c r="K1424" i="11"/>
  <c r="AD1424" i="11"/>
  <c r="T1424" i="11"/>
  <c r="J1424" i="11"/>
  <c r="AG1424" i="11"/>
  <c r="V1424" i="11"/>
  <c r="L1424" i="11"/>
  <c r="AF1424" i="11"/>
  <c r="U1424" i="11"/>
  <c r="I1424" i="11"/>
  <c r="AE1424" i="11"/>
  <c r="R1424" i="11"/>
  <c r="H1424" i="11"/>
  <c r="Y1424" i="11"/>
  <c r="G1424" i="11"/>
  <c r="X1424" i="11"/>
  <c r="F1424" i="11"/>
  <c r="W1424" i="11"/>
  <c r="E1424" i="11"/>
  <c r="Q1424" i="11"/>
  <c r="P1424" i="11"/>
  <c r="AH1424" i="11"/>
  <c r="O1424" i="11"/>
  <c r="AB1424" i="11"/>
  <c r="N1424" i="11"/>
  <c r="Z1424" i="11"/>
  <c r="M1424" i="11"/>
  <c r="AI1437" i="11"/>
  <c r="AA1437" i="11"/>
  <c r="S1437" i="11"/>
  <c r="K1437" i="11"/>
  <c r="AG1437" i="11"/>
  <c r="Y1437" i="11"/>
  <c r="Q1437" i="11"/>
  <c r="I1437" i="11"/>
  <c r="AF1437" i="11"/>
  <c r="X1437" i="11"/>
  <c r="P1437" i="11"/>
  <c r="H1437" i="11"/>
  <c r="AC1437" i="11"/>
  <c r="U1437" i="11"/>
  <c r="M1437" i="11"/>
  <c r="E1437" i="11"/>
  <c r="T1437" i="11"/>
  <c r="AH1437" i="11"/>
  <c r="R1437" i="11"/>
  <c r="AE1437" i="11"/>
  <c r="O1437" i="11"/>
  <c r="AD1437" i="11"/>
  <c r="N1437" i="11"/>
  <c r="L1437" i="11"/>
  <c r="J1437" i="11"/>
  <c r="G1437" i="11"/>
  <c r="F1437" i="11"/>
  <c r="AB1437" i="11"/>
  <c r="Z1437" i="11"/>
  <c r="V1437" i="11"/>
  <c r="W1437" i="11"/>
  <c r="X846" i="11"/>
  <c r="Z846" i="11" s="1"/>
  <c r="AA846" i="11" s="1"/>
  <c r="Z1008" i="11"/>
  <c r="AA1008" i="11" s="1"/>
  <c r="AD1008" i="11"/>
  <c r="AI41" i="11"/>
  <c r="D78" i="5"/>
  <c r="J76" i="5"/>
  <c r="J84" i="5"/>
  <c r="I83" i="5"/>
  <c r="I77" i="5"/>
  <c r="D79" i="5"/>
  <c r="I70" i="5"/>
  <c r="F83" i="5"/>
  <c r="I76" i="5"/>
  <c r="I78" i="5"/>
  <c r="I90" i="5"/>
  <c r="F80" i="5"/>
  <c r="F79" i="5"/>
  <c r="I75" i="5"/>
  <c r="H77" i="5"/>
  <c r="F93" i="5"/>
  <c r="J71" i="5"/>
  <c r="R81" i="11"/>
  <c r="T81" i="11" s="1"/>
  <c r="Q200" i="11"/>
  <c r="S200" i="11"/>
  <c r="AG200" i="11" s="1"/>
  <c r="S90" i="11"/>
  <c r="Y90" i="11" s="1"/>
  <c r="AI83" i="11"/>
  <c r="AH1388" i="11"/>
  <c r="Z1388" i="11"/>
  <c r="R1388" i="11"/>
  <c r="AG1388" i="11"/>
  <c r="Y1388" i="11"/>
  <c r="AD1388" i="11"/>
  <c r="T1388" i="11"/>
  <c r="K1388" i="11"/>
  <c r="AC1388" i="11"/>
  <c r="S1388" i="11"/>
  <c r="J1388" i="11"/>
  <c r="W1388" i="11"/>
  <c r="L1388" i="11"/>
  <c r="V1388" i="11"/>
  <c r="I1388" i="11"/>
  <c r="AI1388" i="11"/>
  <c r="U1388" i="11"/>
  <c r="H1388" i="11"/>
  <c r="AE1388" i="11"/>
  <c r="P1388" i="11"/>
  <c r="F1388" i="11"/>
  <c r="AB1388" i="11"/>
  <c r="O1388" i="11"/>
  <c r="E1388" i="11"/>
  <c r="M1388" i="11"/>
  <c r="G1388" i="11"/>
  <c r="AF1388" i="11"/>
  <c r="AA1388" i="11"/>
  <c r="X1388" i="11"/>
  <c r="Q1388" i="11"/>
  <c r="N1388" i="11"/>
  <c r="AD112" i="11"/>
  <c r="AD136" i="11"/>
  <c r="X190" i="11"/>
  <c r="AI119" i="11"/>
  <c r="P373" i="11"/>
  <c r="AD373" i="11" s="1"/>
  <c r="X425" i="11"/>
  <c r="AI627" i="11"/>
  <c r="R769" i="11"/>
  <c r="X769" i="11"/>
  <c r="Z769" i="11" s="1"/>
  <c r="AA769" i="11" s="1"/>
  <c r="X880" i="11"/>
  <c r="Z880" i="11"/>
  <c r="AA880" i="11" s="1"/>
  <c r="R887" i="11"/>
  <c r="AI971" i="11"/>
  <c r="Q906" i="11"/>
  <c r="AD906" i="11" s="1"/>
  <c r="Y1034" i="11"/>
  <c r="X1009" i="11"/>
  <c r="Z1009" i="11"/>
  <c r="AA1009" i="11" s="1"/>
  <c r="AG1248" i="11"/>
  <c r="Y1248" i="11"/>
  <c r="Q1248" i="11"/>
  <c r="I1248" i="11"/>
  <c r="AF1248" i="11"/>
  <c r="X1248" i="11"/>
  <c r="P1248" i="11"/>
  <c r="H1248" i="11"/>
  <c r="Z1248" i="11"/>
  <c r="N1248" i="11"/>
  <c r="AI1248" i="11"/>
  <c r="W1248" i="11"/>
  <c r="M1248" i="11"/>
  <c r="AH1248" i="11"/>
  <c r="V1248" i="11"/>
  <c r="L1248" i="11"/>
  <c r="AE1248" i="11"/>
  <c r="U1248" i="11"/>
  <c r="K1248" i="11"/>
  <c r="AD1248" i="11"/>
  <c r="T1248" i="11"/>
  <c r="J1248" i="11"/>
  <c r="AC1248" i="11"/>
  <c r="S1248" i="11"/>
  <c r="G1248" i="11"/>
  <c r="AB1248" i="11"/>
  <c r="R1248" i="11"/>
  <c r="F1248" i="11"/>
  <c r="AA1248" i="11"/>
  <c r="O1248" i="11"/>
  <c r="E1248" i="11"/>
  <c r="R950" i="11"/>
  <c r="AG950" i="11" s="1"/>
  <c r="Q42" i="11"/>
  <c r="S42" i="11"/>
  <c r="AG42" i="11" s="1"/>
  <c r="P796" i="11"/>
  <c r="Q797" i="11"/>
  <c r="R797" i="11"/>
  <c r="P342" i="11"/>
  <c r="E34" i="4"/>
  <c r="H34" i="4"/>
  <c r="G34" i="4"/>
  <c r="C34" i="4"/>
  <c r="B34" i="4"/>
  <c r="F34" i="4" s="1"/>
  <c r="C59" i="4"/>
  <c r="G59" i="4"/>
  <c r="F59" i="4"/>
  <c r="E59" i="4"/>
  <c r="D59" i="4"/>
  <c r="B59" i="4"/>
  <c r="H59" i="4"/>
  <c r="I59" i="4"/>
  <c r="G61" i="4"/>
  <c r="C61" i="4"/>
  <c r="B61" i="4"/>
  <c r="D61" i="4"/>
  <c r="E61" i="4"/>
  <c r="H61" i="4"/>
  <c r="F61" i="4"/>
  <c r="I61" i="4"/>
  <c r="I48" i="4"/>
  <c r="H48" i="4"/>
  <c r="G48" i="4"/>
  <c r="C48" i="4"/>
  <c r="B48" i="4"/>
  <c r="F48" i="4"/>
  <c r="D48" i="4"/>
  <c r="E48" i="4"/>
  <c r="I58" i="4"/>
  <c r="E58" i="4"/>
  <c r="D58" i="4"/>
  <c r="G58" i="4"/>
  <c r="F58" i="4"/>
  <c r="C58" i="4"/>
  <c r="H58" i="4"/>
  <c r="B58" i="4"/>
  <c r="Q895" i="11"/>
  <c r="J802" i="11"/>
  <c r="I802" i="11"/>
  <c r="P802" i="11"/>
  <c r="F802" i="11"/>
  <c r="O802" i="11"/>
  <c r="E802" i="11"/>
  <c r="M802" i="11"/>
  <c r="AB802" i="11" s="1"/>
  <c r="AC802" i="11" s="1"/>
  <c r="AF802" i="11"/>
  <c r="L802" i="11"/>
  <c r="N802" i="11"/>
  <c r="K802" i="11"/>
  <c r="H802" i="11"/>
  <c r="G802" i="11"/>
  <c r="N824" i="11"/>
  <c r="F824" i="11"/>
  <c r="M824" i="11"/>
  <c r="E824" i="11"/>
  <c r="Q824" i="11"/>
  <c r="I824" i="11"/>
  <c r="H824" i="11"/>
  <c r="AF824" i="11"/>
  <c r="G824" i="11"/>
  <c r="O824" i="11"/>
  <c r="L824" i="11"/>
  <c r="AB824" i="11" s="1"/>
  <c r="AC824" i="11" s="1"/>
  <c r="AI824" i="11"/>
  <c r="K824" i="11"/>
  <c r="J824" i="11"/>
  <c r="AD60" i="11"/>
  <c r="AG1240" i="11"/>
  <c r="AF1240" i="11"/>
  <c r="X1240" i="11"/>
  <c r="P1240" i="11"/>
  <c r="H1240" i="11"/>
  <c r="Z1240" i="11"/>
  <c r="Q1240" i="11"/>
  <c r="G1240" i="11"/>
  <c r="AI1240" i="11"/>
  <c r="Y1240" i="11"/>
  <c r="O1240" i="11"/>
  <c r="F1240" i="11"/>
  <c r="AH1240" i="11"/>
  <c r="W1240" i="11"/>
  <c r="N1240" i="11"/>
  <c r="E1240" i="11"/>
  <c r="AE1240" i="11"/>
  <c r="V1240" i="11"/>
  <c r="M1240" i="11"/>
  <c r="AD1240" i="11"/>
  <c r="U1240" i="11"/>
  <c r="L1240" i="11"/>
  <c r="AC1240" i="11"/>
  <c r="T1240" i="11"/>
  <c r="K1240" i="11"/>
  <c r="J1240" i="11"/>
  <c r="I1240" i="11"/>
  <c r="AB1240" i="11"/>
  <c r="R1240" i="11"/>
  <c r="AA1240" i="11"/>
  <c r="S1240" i="11"/>
  <c r="P188" i="11"/>
  <c r="R188" i="11"/>
  <c r="Y143" i="11"/>
  <c r="X260" i="11"/>
  <c r="AD651" i="11"/>
  <c r="AD999" i="11"/>
  <c r="Q149" i="11"/>
  <c r="AI434" i="11"/>
  <c r="J794" i="11"/>
  <c r="I794" i="11"/>
  <c r="F794" i="11"/>
  <c r="P794" i="11" s="1"/>
  <c r="O794" i="11"/>
  <c r="E794" i="11"/>
  <c r="M794" i="11"/>
  <c r="AF794" i="11"/>
  <c r="L794" i="11"/>
  <c r="AB794" i="11" s="1"/>
  <c r="AC794" i="11" s="1"/>
  <c r="N794" i="11"/>
  <c r="K794" i="11"/>
  <c r="H794" i="11"/>
  <c r="G794" i="11"/>
  <c r="Q794" i="11" s="1"/>
  <c r="Q870" i="11"/>
  <c r="S870" i="11" s="1"/>
  <c r="Y1023" i="11"/>
  <c r="AD1036" i="11"/>
  <c r="AI1036" i="11"/>
  <c r="S1036" i="11" s="1"/>
  <c r="R22" i="11"/>
  <c r="R107" i="11"/>
  <c r="X834" i="11"/>
  <c r="Z834" i="11" s="1"/>
  <c r="AA834" i="11" s="1"/>
  <c r="Q834" i="11"/>
  <c r="S834" i="11" s="1"/>
  <c r="AD61" i="11"/>
  <c r="AI945" i="11"/>
  <c r="K945" i="11"/>
  <c r="J945" i="11"/>
  <c r="I945" i="11"/>
  <c r="AF945" i="11"/>
  <c r="H945" i="11"/>
  <c r="O945" i="11"/>
  <c r="G945" i="11"/>
  <c r="Y945" i="11" s="1"/>
  <c r="N945" i="11"/>
  <c r="F945" i="11"/>
  <c r="M945" i="11"/>
  <c r="L945" i="11"/>
  <c r="AB945" i="11" s="1"/>
  <c r="AC945" i="11" s="1"/>
  <c r="E945" i="11"/>
  <c r="AF976" i="11"/>
  <c r="X976" i="11"/>
  <c r="Z976" i="11" s="1"/>
  <c r="AA976" i="11" s="1"/>
  <c r="P976" i="11"/>
  <c r="H976" i="11"/>
  <c r="O976" i="11"/>
  <c r="G976" i="11"/>
  <c r="Q976" i="11" s="1"/>
  <c r="N976" i="11"/>
  <c r="F976" i="11"/>
  <c r="M976" i="11"/>
  <c r="E976" i="11"/>
  <c r="K976" i="11"/>
  <c r="J976" i="11"/>
  <c r="Y976" i="11"/>
  <c r="I976" i="11"/>
  <c r="AI976" i="11"/>
  <c r="R976" i="11"/>
  <c r="AB976" i="11"/>
  <c r="AC976" i="11" s="1"/>
  <c r="L976" i="11"/>
  <c r="R73" i="11"/>
  <c r="AG73" i="11" s="1"/>
  <c r="AI210" i="11"/>
  <c r="AD210" i="11" s="1"/>
  <c r="Q210" i="11"/>
  <c r="S210" i="11" s="1"/>
  <c r="AG210" i="11" s="1"/>
  <c r="R147" i="11"/>
  <c r="R126" i="11"/>
  <c r="S158" i="11"/>
  <c r="Y158" i="11" s="1"/>
  <c r="AI393" i="11"/>
  <c r="P346" i="11"/>
  <c r="AD378" i="11"/>
  <c r="AD339" i="11"/>
  <c r="R339" i="11"/>
  <c r="P424" i="11"/>
  <c r="R424" i="11" s="1"/>
  <c r="X424" i="11"/>
  <c r="Z424" i="11" s="1"/>
  <c r="AA424" i="11" s="1"/>
  <c r="AD424" i="11"/>
  <c r="S799" i="11"/>
  <c r="X860" i="11"/>
  <c r="AI860" i="11"/>
  <c r="S860" i="11" s="1"/>
  <c r="Q932" i="11"/>
  <c r="R145" i="11"/>
  <c r="AD213" i="11"/>
  <c r="X907" i="11"/>
  <c r="S907" i="11"/>
  <c r="AB530" i="11"/>
  <c r="T530" i="11"/>
  <c r="L530" i="11"/>
  <c r="AI530" i="11"/>
  <c r="AA530" i="11"/>
  <c r="S530" i="11"/>
  <c r="K530" i="11"/>
  <c r="AH530" i="11"/>
  <c r="Z530" i="11"/>
  <c r="R530" i="11"/>
  <c r="J530" i="11"/>
  <c r="AF530" i="11"/>
  <c r="X530" i="11"/>
  <c r="P530" i="11"/>
  <c r="H530" i="11"/>
  <c r="AG530" i="11"/>
  <c r="Q530" i="11"/>
  <c r="AE530" i="11"/>
  <c r="O530" i="11"/>
  <c r="AD530" i="11"/>
  <c r="N530" i="11"/>
  <c r="AC530" i="11"/>
  <c r="M530" i="11"/>
  <c r="Y530" i="11"/>
  <c r="I530" i="11"/>
  <c r="V530" i="11"/>
  <c r="U530" i="11"/>
  <c r="G530" i="11"/>
  <c r="F530" i="11"/>
  <c r="E530" i="11"/>
  <c r="W530" i="11"/>
  <c r="Y98" i="11"/>
  <c r="R893" i="11"/>
  <c r="AI840" i="11"/>
  <c r="Q840" i="11"/>
  <c r="S842" i="11"/>
  <c r="AI988" i="11"/>
  <c r="S988" i="11" s="1"/>
  <c r="AD988" i="11"/>
  <c r="AD36" i="11"/>
  <c r="N67" i="11"/>
  <c r="F67" i="11"/>
  <c r="G67" i="11"/>
  <c r="O67" i="11"/>
  <c r="E67" i="11"/>
  <c r="AF67" i="11"/>
  <c r="M67" i="11"/>
  <c r="AB67" i="11" s="1"/>
  <c r="AC67" i="11" s="1"/>
  <c r="L67" i="11"/>
  <c r="K67" i="11"/>
  <c r="J67" i="11"/>
  <c r="I67" i="11"/>
  <c r="H67" i="11"/>
  <c r="N59" i="11"/>
  <c r="F59" i="11"/>
  <c r="P59" i="11" s="1"/>
  <c r="M59" i="11"/>
  <c r="E59" i="11"/>
  <c r="AB59" i="11"/>
  <c r="AC59" i="11" s="1"/>
  <c r="L59" i="11"/>
  <c r="AI59" i="11"/>
  <c r="K59" i="11"/>
  <c r="J59" i="11"/>
  <c r="I59" i="11"/>
  <c r="AF59" i="11"/>
  <c r="H59" i="11"/>
  <c r="O59" i="11"/>
  <c r="G59" i="11"/>
  <c r="AI104" i="11"/>
  <c r="AD104" i="11" s="1"/>
  <c r="AI182" i="11"/>
  <c r="Q182" i="11"/>
  <c r="S182" i="11" s="1"/>
  <c r="AG182" i="11" s="1"/>
  <c r="S130" i="11"/>
  <c r="Y130" i="11" s="1"/>
  <c r="AI365" i="11"/>
  <c r="Q397" i="11"/>
  <c r="S281" i="11"/>
  <c r="Y281" i="11" s="1"/>
  <c r="R409" i="11"/>
  <c r="X409" i="11" s="1"/>
  <c r="Q409" i="11"/>
  <c r="S409" i="11" s="1"/>
  <c r="Y409" i="11" s="1"/>
  <c r="AI290" i="11"/>
  <c r="AD350" i="11"/>
  <c r="Q418" i="11"/>
  <c r="S418" i="11" s="1"/>
  <c r="Y418" i="11" s="1"/>
  <c r="P433" i="11"/>
  <c r="R433" i="11" s="1"/>
  <c r="X776" i="11"/>
  <c r="Z776" i="11" s="1"/>
  <c r="AA776" i="11" s="1"/>
  <c r="Y857" i="11"/>
  <c r="Q857" i="11"/>
  <c r="AI857" i="11"/>
  <c r="Q864" i="11"/>
  <c r="AD864" i="11" s="1"/>
  <c r="Z960" i="11"/>
  <c r="AA960" i="11" s="1"/>
  <c r="Q957" i="11"/>
  <c r="Q983" i="11"/>
  <c r="S983" i="11" s="1"/>
  <c r="P993" i="11"/>
  <c r="AD993" i="11" s="1"/>
  <c r="S993" i="11"/>
  <c r="P352" i="11"/>
  <c r="R352" i="11" s="1"/>
  <c r="S352" i="11"/>
  <c r="Y352" i="11" s="1"/>
  <c r="Q923" i="11"/>
  <c r="S923" i="11" s="1"/>
  <c r="Z114" i="11"/>
  <c r="AA114" i="11" s="1"/>
  <c r="Q890" i="11"/>
  <c r="AD890" i="11" s="1"/>
  <c r="S1014" i="11"/>
  <c r="AD37" i="11"/>
  <c r="Q8" i="11"/>
  <c r="AD8" i="11" s="1"/>
  <c r="S8" i="11"/>
  <c r="P132" i="11"/>
  <c r="R132" i="11"/>
  <c r="AG132" i="11" s="1"/>
  <c r="R186" i="11"/>
  <c r="Y155" i="11"/>
  <c r="AD332" i="11"/>
  <c r="Q134" i="11"/>
  <c r="S134" i="11" s="1"/>
  <c r="Y134" i="11" s="1"/>
  <c r="S262" i="11"/>
  <c r="Y262" i="11" s="1"/>
  <c r="P386" i="11"/>
  <c r="AD386" i="11" s="1"/>
  <c r="AD379" i="11"/>
  <c r="R379" i="11"/>
  <c r="AI618" i="11"/>
  <c r="P650" i="11"/>
  <c r="R650" i="11"/>
  <c r="AG650" i="11" s="1"/>
  <c r="AI619" i="11"/>
  <c r="AD619" i="11" s="1"/>
  <c r="P619" i="11"/>
  <c r="R619" i="11" s="1"/>
  <c r="P649" i="11"/>
  <c r="R649" i="11" s="1"/>
  <c r="L817" i="11"/>
  <c r="AB817" i="11" s="1"/>
  <c r="AC817" i="11" s="1"/>
  <c r="AI817" i="11"/>
  <c r="K817" i="11"/>
  <c r="O817" i="11"/>
  <c r="G817" i="11"/>
  <c r="Q817" i="11" s="1"/>
  <c r="J817" i="11"/>
  <c r="I817" i="11"/>
  <c r="AF817" i="11"/>
  <c r="F817" i="11"/>
  <c r="E817" i="11"/>
  <c r="N817" i="11"/>
  <c r="M817" i="11"/>
  <c r="H817" i="11"/>
  <c r="Q877" i="11"/>
  <c r="AD877" i="11" s="1"/>
  <c r="S877" i="11"/>
  <c r="P883" i="11"/>
  <c r="AD930" i="11"/>
  <c r="T930" i="11"/>
  <c r="P998" i="11"/>
  <c r="P902" i="11"/>
  <c r="Q1029" i="11"/>
  <c r="P1041" i="11"/>
  <c r="X1041" i="11"/>
  <c r="Q1041" i="11"/>
  <c r="P985" i="11"/>
  <c r="AD985" i="11" s="1"/>
  <c r="S985" i="11"/>
  <c r="X412" i="11"/>
  <c r="AI622" i="11"/>
  <c r="AD653" i="11"/>
  <c r="AD838" i="11"/>
  <c r="X838" i="11"/>
  <c r="Z838" i="11" s="1"/>
  <c r="AA838" i="11" s="1"/>
  <c r="Q838" i="11"/>
  <c r="S838" i="11" s="1"/>
  <c r="T838" i="11" s="1"/>
  <c r="AD922" i="11"/>
  <c r="T922" i="11"/>
  <c r="AI912" i="11"/>
  <c r="S912" i="11" s="1"/>
  <c r="AD894" i="11"/>
  <c r="R965" i="11"/>
  <c r="X965" i="11"/>
  <c r="Z965" i="11" s="1"/>
  <c r="AA965" i="11" s="1"/>
  <c r="Y973" i="11"/>
  <c r="AI387" i="11"/>
  <c r="AD387" i="11" s="1"/>
  <c r="X833" i="11"/>
  <c r="Z833" i="11" s="1"/>
  <c r="AA833" i="11" s="1"/>
  <c r="AD839" i="11"/>
  <c r="Y977" i="11"/>
  <c r="AD785" i="11"/>
  <c r="R946" i="11"/>
  <c r="P946" i="11"/>
  <c r="S1007" i="11"/>
  <c r="R271" i="11"/>
  <c r="AG271" i="11" s="1"/>
  <c r="AH479" i="11"/>
  <c r="Z479" i="11"/>
  <c r="R479" i="11"/>
  <c r="J479" i="11"/>
  <c r="AG479" i="11"/>
  <c r="Y479" i="11"/>
  <c r="Q479" i="11"/>
  <c r="I479" i="11"/>
  <c r="AF479" i="11"/>
  <c r="X479" i="11"/>
  <c r="P479" i="11"/>
  <c r="H479" i="11"/>
  <c r="AD479" i="11"/>
  <c r="V479" i="11"/>
  <c r="N479" i="11"/>
  <c r="F479" i="11"/>
  <c r="AC479" i="11"/>
  <c r="M479" i="11"/>
  <c r="AB479" i="11"/>
  <c r="L479" i="11"/>
  <c r="AA479" i="11"/>
  <c r="K479" i="11"/>
  <c r="W479" i="11"/>
  <c r="G479" i="11"/>
  <c r="U479" i="11"/>
  <c r="E479" i="11"/>
  <c r="AE479" i="11"/>
  <c r="T479" i="11"/>
  <c r="S479" i="11"/>
  <c r="O479" i="11"/>
  <c r="AI479" i="11"/>
  <c r="R348" i="11"/>
  <c r="AG348" i="11" s="1"/>
  <c r="P935" i="11"/>
  <c r="R935" i="11" s="1"/>
  <c r="AD935" i="11"/>
  <c r="R915" i="11"/>
  <c r="K384" i="11"/>
  <c r="J384" i="11"/>
  <c r="AF384" i="11"/>
  <c r="H384" i="11"/>
  <c r="O384" i="11"/>
  <c r="G384" i="11"/>
  <c r="AI384" i="11" s="1"/>
  <c r="N384" i="11"/>
  <c r="M384" i="11"/>
  <c r="L384" i="11"/>
  <c r="AB384" i="11" s="1"/>
  <c r="AC384" i="11" s="1"/>
  <c r="I384" i="11"/>
  <c r="F384" i="11"/>
  <c r="E384" i="11"/>
  <c r="AD120" i="11"/>
  <c r="X886" i="11"/>
  <c r="Z886" i="11" s="1"/>
  <c r="AA886" i="11" s="1"/>
  <c r="AI34" i="11"/>
  <c r="AI1441" i="11"/>
  <c r="AA1441" i="11"/>
  <c r="S1441" i="11"/>
  <c r="K1441" i="11"/>
  <c r="AH1441" i="11"/>
  <c r="Z1441" i="11"/>
  <c r="R1441" i="11"/>
  <c r="J1441" i="11"/>
  <c r="AG1441" i="11"/>
  <c r="Y1441" i="11"/>
  <c r="Q1441" i="11"/>
  <c r="I1441" i="11"/>
  <c r="AF1441" i="11"/>
  <c r="X1441" i="11"/>
  <c r="P1441" i="11"/>
  <c r="H1441" i="11"/>
  <c r="AC1441" i="11"/>
  <c r="U1441" i="11"/>
  <c r="M1441" i="11"/>
  <c r="E1441" i="11"/>
  <c r="N1441" i="11"/>
  <c r="AE1441" i="11"/>
  <c r="L1441" i="11"/>
  <c r="AD1441" i="11"/>
  <c r="G1441" i="11"/>
  <c r="AB1441" i="11"/>
  <c r="F1441" i="11"/>
  <c r="W1441" i="11"/>
  <c r="V1441" i="11"/>
  <c r="T1441" i="11"/>
  <c r="O1441" i="11"/>
  <c r="AI1445" i="11"/>
  <c r="AA1445" i="11"/>
  <c r="S1445" i="11"/>
  <c r="K1445" i="11"/>
  <c r="AH1445" i="11"/>
  <c r="Z1445" i="11"/>
  <c r="R1445" i="11"/>
  <c r="J1445" i="11"/>
  <c r="AG1445" i="11"/>
  <c r="Y1445" i="11"/>
  <c r="Q1445" i="11"/>
  <c r="I1445" i="11"/>
  <c r="AF1445" i="11"/>
  <c r="X1445" i="11"/>
  <c r="P1445" i="11"/>
  <c r="H1445" i="11"/>
  <c r="AE1445" i="11"/>
  <c r="W1445" i="11"/>
  <c r="O1445" i="11"/>
  <c r="G1445" i="11"/>
  <c r="AD1445" i="11"/>
  <c r="V1445" i="11"/>
  <c r="N1445" i="11"/>
  <c r="F1445" i="11"/>
  <c r="D77" i="5" s="1"/>
  <c r="AC1445" i="11"/>
  <c r="U1445" i="11"/>
  <c r="M1445" i="11"/>
  <c r="E1445" i="11"/>
  <c r="AB1445" i="11"/>
  <c r="T1445" i="11"/>
  <c r="L1445" i="11"/>
  <c r="S846" i="11"/>
  <c r="AI9" i="11"/>
  <c r="P41" i="11"/>
  <c r="R41" i="11" s="1"/>
  <c r="Y200" i="11"/>
  <c r="AF1389" i="11"/>
  <c r="X1389" i="11"/>
  <c r="P1389" i="11"/>
  <c r="H1389" i="11"/>
  <c r="AE1389" i="11"/>
  <c r="W1389" i="11"/>
  <c r="O1389" i="11"/>
  <c r="G1389" i="11"/>
  <c r="AB1389" i="11"/>
  <c r="R1389" i="11"/>
  <c r="F1389" i="11"/>
  <c r="AA1389" i="11"/>
  <c r="Q1389" i="11"/>
  <c r="E1389" i="11"/>
  <c r="AG1389" i="11"/>
  <c r="S1389" i="11"/>
  <c r="AD1389" i="11"/>
  <c r="N1389" i="11"/>
  <c r="AC1389" i="11"/>
  <c r="M1389" i="11"/>
  <c r="Y1389" i="11"/>
  <c r="K1389" i="11"/>
  <c r="V1389" i="11"/>
  <c r="J1389" i="11"/>
  <c r="AI1389" i="11"/>
  <c r="AH1389" i="11"/>
  <c r="Z1389" i="11"/>
  <c r="U1389" i="11"/>
  <c r="T1389" i="11"/>
  <c r="L1389" i="11"/>
  <c r="I1389" i="11"/>
  <c r="AI95" i="11"/>
  <c r="AD80" i="11"/>
  <c r="Q112" i="11"/>
  <c r="S112" i="11" s="1"/>
  <c r="Y112" i="11" s="1"/>
  <c r="P159" i="11"/>
  <c r="R159" i="11" s="1"/>
  <c r="AI138" i="11"/>
  <c r="R170" i="11"/>
  <c r="S373" i="11"/>
  <c r="Y373" i="11" s="1"/>
  <c r="Q218" i="11"/>
  <c r="S218" i="11" s="1"/>
  <c r="Y218" i="11" s="1"/>
  <c r="Y289" i="11"/>
  <c r="Q289" i="11"/>
  <c r="AI631" i="11"/>
  <c r="AD383" i="11"/>
  <c r="R383" i="11"/>
  <c r="R436" i="11"/>
  <c r="P627" i="11"/>
  <c r="R627" i="11"/>
  <c r="AG627" i="11" s="1"/>
  <c r="AD769" i="11"/>
  <c r="Q843" i="11"/>
  <c r="P865" i="11"/>
  <c r="AD865" i="11" s="1"/>
  <c r="AI887" i="11"/>
  <c r="P971" i="11"/>
  <c r="R971" i="11" s="1"/>
  <c r="R1045" i="11"/>
  <c r="Q1045" i="11"/>
  <c r="S1045" i="11" s="1"/>
  <c r="R261" i="11"/>
  <c r="P416" i="11"/>
  <c r="AI954" i="11"/>
  <c r="S954" i="11" s="1"/>
  <c r="Q956" i="11"/>
  <c r="P956" i="11"/>
  <c r="R1048" i="11"/>
  <c r="S950" i="11"/>
  <c r="T950" i="11"/>
  <c r="X950" i="11"/>
  <c r="Q796" i="11"/>
  <c r="AI811" i="11"/>
  <c r="P811" i="11"/>
  <c r="R811" i="11" s="1"/>
  <c r="AG811" i="11" s="1"/>
  <c r="N828" i="11"/>
  <c r="F828" i="11"/>
  <c r="P828" i="11" s="1"/>
  <c r="AC828" i="11"/>
  <c r="M828" i="11"/>
  <c r="E828" i="11"/>
  <c r="I828" i="11"/>
  <c r="H828" i="11"/>
  <c r="AF828" i="11"/>
  <c r="G828" i="11"/>
  <c r="AB828" i="11"/>
  <c r="O828" i="11"/>
  <c r="L828" i="11"/>
  <c r="J828" i="11"/>
  <c r="AI828" i="11"/>
  <c r="X828" i="11"/>
  <c r="K828" i="11"/>
  <c r="AI1243" i="11"/>
  <c r="AA1243" i="11"/>
  <c r="S1243" i="11"/>
  <c r="K1243" i="11"/>
  <c r="AH1243" i="11"/>
  <c r="Z1243" i="11"/>
  <c r="R1243" i="11"/>
  <c r="J1243" i="11"/>
  <c r="AB1243" i="11"/>
  <c r="P1243" i="11"/>
  <c r="F1243" i="11"/>
  <c r="Y1243" i="11"/>
  <c r="O1243" i="11"/>
  <c r="E1243" i="11"/>
  <c r="X1243" i="11"/>
  <c r="N1243" i="11"/>
  <c r="AG1243" i="11"/>
  <c r="W1243" i="11"/>
  <c r="M1243" i="11"/>
  <c r="AF1243" i="11"/>
  <c r="V1243" i="11"/>
  <c r="L1243" i="11"/>
  <c r="AE1243" i="11"/>
  <c r="U1243" i="11"/>
  <c r="I1243" i="11"/>
  <c r="H1243" i="11"/>
  <c r="G1243" i="11"/>
  <c r="AD1243" i="11"/>
  <c r="T1243" i="11"/>
  <c r="Q1243" i="11"/>
  <c r="AC1243" i="11"/>
  <c r="Y870" i="11"/>
  <c r="P834" i="11"/>
  <c r="AD834" i="11" s="1"/>
  <c r="K949" i="11"/>
  <c r="J949" i="11"/>
  <c r="I949" i="11"/>
  <c r="AF949" i="11"/>
  <c r="H949" i="11"/>
  <c r="O949" i="11"/>
  <c r="G949" i="11"/>
  <c r="N949" i="11"/>
  <c r="F949" i="11"/>
  <c r="M949" i="11"/>
  <c r="L949" i="11"/>
  <c r="E949" i="11"/>
  <c r="AB949" i="11"/>
  <c r="AC949" i="11" s="1"/>
  <c r="Y210" i="11"/>
  <c r="P427" i="11"/>
  <c r="Y932" i="11"/>
  <c r="R1026" i="11"/>
  <c r="AG1026" i="11" s="1"/>
  <c r="Q907" i="11"/>
  <c r="AB534" i="11"/>
  <c r="T534" i="11"/>
  <c r="L534" i="11"/>
  <c r="AI534" i="11"/>
  <c r="AA534" i="11"/>
  <c r="S534" i="11"/>
  <c r="K534" i="11"/>
  <c r="AH534" i="11"/>
  <c r="Z534" i="11"/>
  <c r="R534" i="11"/>
  <c r="J534" i="11"/>
  <c r="AF534" i="11"/>
  <c r="X534" i="11"/>
  <c r="P534" i="11"/>
  <c r="H534" i="11"/>
  <c r="AG534" i="11"/>
  <c r="Q534" i="11"/>
  <c r="AE534" i="11"/>
  <c r="O534" i="11"/>
  <c r="AD534" i="11"/>
  <c r="N534" i="11"/>
  <c r="AC534" i="11"/>
  <c r="M534" i="11"/>
  <c r="Y534" i="11"/>
  <c r="I534" i="11"/>
  <c r="V534" i="11"/>
  <c r="U534" i="11"/>
  <c r="G534" i="11"/>
  <c r="F534" i="11"/>
  <c r="E534" i="11"/>
  <c r="W534" i="11"/>
  <c r="Y840" i="11"/>
  <c r="P375" i="11"/>
  <c r="R375" i="11" s="1"/>
  <c r="Q433" i="11"/>
  <c r="S433" i="11" s="1"/>
  <c r="Y433" i="11" s="1"/>
  <c r="P768" i="11"/>
  <c r="T767" i="11"/>
  <c r="Y864" i="11"/>
  <c r="R958" i="11"/>
  <c r="AG958" i="11" s="1"/>
  <c r="T958" i="11"/>
  <c r="Y983" i="11"/>
  <c r="X993" i="11"/>
  <c r="Z993" i="11" s="1"/>
  <c r="AA993" i="11" s="1"/>
  <c r="Q1021" i="11"/>
  <c r="P974" i="11"/>
  <c r="AD974" i="11" s="1"/>
  <c r="P141" i="11"/>
  <c r="Q352" i="11"/>
  <c r="R917" i="11"/>
  <c r="Y923" i="11"/>
  <c r="P165" i="11"/>
  <c r="AD165" i="11" s="1"/>
  <c r="S165" i="11"/>
  <c r="Y165" i="11" s="1"/>
  <c r="AF62" i="11"/>
  <c r="H62" i="11"/>
  <c r="O62" i="11"/>
  <c r="G62" i="11"/>
  <c r="N62" i="11"/>
  <c r="F62" i="11"/>
  <c r="M62" i="11"/>
  <c r="E62" i="11"/>
  <c r="L62" i="11"/>
  <c r="AB62" i="11" s="1"/>
  <c r="AC62" i="11" s="1"/>
  <c r="AI62" i="11"/>
  <c r="K62" i="11"/>
  <c r="J62" i="11"/>
  <c r="I62" i="11"/>
  <c r="Y984" i="11"/>
  <c r="Z984" i="11" s="1"/>
  <c r="AA984" i="11" s="1"/>
  <c r="N71" i="11"/>
  <c r="F71" i="11"/>
  <c r="G71" i="11"/>
  <c r="Q71" i="11" s="1"/>
  <c r="O71" i="11"/>
  <c r="E71" i="11"/>
  <c r="AF71" i="11"/>
  <c r="M71" i="11"/>
  <c r="L71" i="11"/>
  <c r="AB71" i="11" s="1"/>
  <c r="AC71" i="11" s="1"/>
  <c r="K71" i="11"/>
  <c r="J71" i="11"/>
  <c r="I71" i="11"/>
  <c r="H71" i="11"/>
  <c r="AI192" i="11"/>
  <c r="Q89" i="11"/>
  <c r="AD89" i="11" s="1"/>
  <c r="X132" i="11"/>
  <c r="S186" i="11"/>
  <c r="Y186" i="11" s="1"/>
  <c r="P186" i="11"/>
  <c r="AD166" i="11"/>
  <c r="P405" i="11"/>
  <c r="AD405" i="11" s="1"/>
  <c r="AH535" i="11"/>
  <c r="Z535" i="11"/>
  <c r="R535" i="11"/>
  <c r="J535" i="11"/>
  <c r="AG535" i="11"/>
  <c r="Y535" i="11"/>
  <c r="Q535" i="11"/>
  <c r="I535" i="11"/>
  <c r="AF535" i="11"/>
  <c r="X535" i="11"/>
  <c r="P535" i="11"/>
  <c r="H535" i="11"/>
  <c r="AD535" i="11"/>
  <c r="V535" i="11"/>
  <c r="N535" i="11"/>
  <c r="F535" i="11"/>
  <c r="AC535" i="11"/>
  <c r="M535" i="11"/>
  <c r="AB535" i="11"/>
  <c r="L535" i="11"/>
  <c r="AA535" i="11"/>
  <c r="K535" i="11"/>
  <c r="W535" i="11"/>
  <c r="G535" i="11"/>
  <c r="U535" i="11"/>
  <c r="E535" i="11"/>
  <c r="AE535" i="11"/>
  <c r="T535" i="11"/>
  <c r="S535" i="11"/>
  <c r="O535" i="11"/>
  <c r="AI535" i="11"/>
  <c r="P354" i="11"/>
  <c r="AD354" i="11" s="1"/>
  <c r="S354" i="11"/>
  <c r="Y354" i="11" s="1"/>
  <c r="AD347" i="11"/>
  <c r="X650" i="11"/>
  <c r="L771" i="11"/>
  <c r="K771" i="11"/>
  <c r="AF771" i="11"/>
  <c r="H771" i="11"/>
  <c r="F771" i="11"/>
  <c r="E771" i="11"/>
  <c r="O771" i="11"/>
  <c r="N771" i="11"/>
  <c r="M771" i="11"/>
  <c r="AB771" i="11" s="1"/>
  <c r="AC771" i="11" s="1"/>
  <c r="J771" i="11"/>
  <c r="I771" i="11"/>
  <c r="G771" i="11"/>
  <c r="Q771" i="11" s="1"/>
  <c r="P918" i="11"/>
  <c r="P861" i="11"/>
  <c r="AD861" i="11" s="1"/>
  <c r="S861" i="11"/>
  <c r="X883" i="11"/>
  <c r="P1029" i="11"/>
  <c r="R1029" i="11" s="1"/>
  <c r="Y1029" i="11"/>
  <c r="S1005" i="11"/>
  <c r="Y1041" i="11"/>
  <c r="P881" i="11"/>
  <c r="R881" i="11"/>
  <c r="AI894" i="11"/>
  <c r="P270" i="11"/>
  <c r="R270" i="11" s="1"/>
  <c r="S910" i="11"/>
  <c r="S946" i="11"/>
  <c r="X946" i="11"/>
  <c r="X913" i="11"/>
  <c r="Z913" i="11" s="1"/>
  <c r="AA913" i="11" s="1"/>
  <c r="Q913" i="11"/>
  <c r="S913" i="11" s="1"/>
  <c r="AI426" i="11"/>
  <c r="N786" i="11"/>
  <c r="F786" i="11"/>
  <c r="P786" i="11" s="1"/>
  <c r="M786" i="11"/>
  <c r="E786" i="11"/>
  <c r="J786" i="11"/>
  <c r="O786" i="11"/>
  <c r="L786" i="11"/>
  <c r="AB786" i="11" s="1"/>
  <c r="AC786" i="11" s="1"/>
  <c r="K786" i="11"/>
  <c r="I786" i="11"/>
  <c r="H786" i="11"/>
  <c r="AF786" i="11"/>
  <c r="G786" i="11"/>
  <c r="AI786" i="11" s="1"/>
  <c r="AI388" i="11"/>
  <c r="K388" i="11"/>
  <c r="J388" i="11"/>
  <c r="AF388" i="11"/>
  <c r="H388" i="11"/>
  <c r="AB388" i="11" s="1"/>
  <c r="AC388" i="11" s="1"/>
  <c r="O388" i="11"/>
  <c r="G388" i="11"/>
  <c r="N388" i="11"/>
  <c r="M388" i="11"/>
  <c r="L388" i="11"/>
  <c r="I388" i="11"/>
  <c r="F388" i="11"/>
  <c r="Q388" i="11" s="1"/>
  <c r="S388" i="11" s="1"/>
  <c r="Y388" i="11" s="1"/>
  <c r="E388" i="11"/>
  <c r="T1032" i="11"/>
  <c r="X1032" i="11"/>
  <c r="Z1032" i="11" s="1"/>
  <c r="AA1032" i="11" s="1"/>
  <c r="P34" i="11"/>
  <c r="AH1412" i="11"/>
  <c r="Z1412" i="11"/>
  <c r="R1412" i="11"/>
  <c r="J1412" i="11"/>
  <c r="AG1412" i="11"/>
  <c r="Y1412" i="11"/>
  <c r="Q1412" i="11"/>
  <c r="I1412" i="11"/>
  <c r="AF1412" i="11"/>
  <c r="X1412" i="11"/>
  <c r="P1412" i="11"/>
  <c r="H1412" i="11"/>
  <c r="AC1412" i="11"/>
  <c r="O1412" i="11"/>
  <c r="AB1412" i="11"/>
  <c r="N1412" i="11"/>
  <c r="AA1412" i="11"/>
  <c r="M1412" i="11"/>
  <c r="W1412" i="11"/>
  <c r="L1412" i="11"/>
  <c r="V1412" i="11"/>
  <c r="K1412" i="11"/>
  <c r="G1412" i="11"/>
  <c r="F1412" i="11"/>
  <c r="AI1412" i="11"/>
  <c r="E1412" i="11"/>
  <c r="AE1412" i="11"/>
  <c r="AD1412" i="11"/>
  <c r="U1412" i="11"/>
  <c r="T1412" i="11"/>
  <c r="S1412" i="11"/>
  <c r="AC1440" i="11"/>
  <c r="U1440" i="11"/>
  <c r="M1440" i="11"/>
  <c r="E1440" i="11"/>
  <c r="AB1440" i="11"/>
  <c r="T1440" i="11"/>
  <c r="L1440" i="11"/>
  <c r="AI1440" i="11"/>
  <c r="AA1440" i="11"/>
  <c r="S1440" i="11"/>
  <c r="K1440" i="11"/>
  <c r="AH1440" i="11"/>
  <c r="Z1440" i="11"/>
  <c r="R1440" i="11"/>
  <c r="J1440" i="11"/>
  <c r="AE1440" i="11"/>
  <c r="W1440" i="11"/>
  <c r="O1440" i="11"/>
  <c r="G1440" i="11"/>
  <c r="AF1440" i="11"/>
  <c r="I1440" i="11"/>
  <c r="AD1440" i="11"/>
  <c r="H1440" i="11"/>
  <c r="Y1440" i="11"/>
  <c r="F1440" i="11"/>
  <c r="X1440" i="11"/>
  <c r="AG1440" i="11"/>
  <c r="V1440" i="11"/>
  <c r="Q1440" i="11"/>
  <c r="P1440" i="11"/>
  <c r="N1440" i="11"/>
  <c r="P9" i="11"/>
  <c r="R9" i="11"/>
  <c r="S81" i="11"/>
  <c r="Y81" i="11" s="1"/>
  <c r="AD200" i="11"/>
  <c r="AI200" i="11"/>
  <c r="AH1392" i="11"/>
  <c r="Z1392" i="11"/>
  <c r="R1392" i="11"/>
  <c r="J1392" i="11"/>
  <c r="AG1392" i="11"/>
  <c r="Y1392" i="11"/>
  <c r="Q1392" i="11"/>
  <c r="I1392" i="11"/>
  <c r="AD1392" i="11"/>
  <c r="T1392" i="11"/>
  <c r="H1392" i="11"/>
  <c r="AC1392" i="11"/>
  <c r="S1392" i="11"/>
  <c r="G1392" i="11"/>
  <c r="W1392" i="11"/>
  <c r="K1392" i="11"/>
  <c r="V1392" i="11"/>
  <c r="F1392" i="11"/>
  <c r="AI1392" i="11"/>
  <c r="U1392" i="11"/>
  <c r="E1392" i="11"/>
  <c r="AF1392" i="11"/>
  <c r="P1392" i="11"/>
  <c r="AE1392" i="11"/>
  <c r="O1392" i="11"/>
  <c r="AB1392" i="11"/>
  <c r="N1392" i="11"/>
  <c r="AA1392" i="11"/>
  <c r="X1392" i="11"/>
  <c r="M1392" i="11"/>
  <c r="L1392" i="11"/>
  <c r="T216" i="11"/>
  <c r="Q80" i="11"/>
  <c r="S80" i="11" s="1"/>
  <c r="Y80" i="11" s="1"/>
  <c r="P119" i="11"/>
  <c r="R119" i="11" s="1"/>
  <c r="AD119" i="11"/>
  <c r="P138" i="11"/>
  <c r="AD138" i="11" s="1"/>
  <c r="Z276" i="11"/>
  <c r="AA276" i="11" s="1"/>
  <c r="R289" i="11"/>
  <c r="T289" i="11" s="1"/>
  <c r="P358" i="11"/>
  <c r="AD358" i="11" s="1"/>
  <c r="S358" i="11"/>
  <c r="Y358" i="11" s="1"/>
  <c r="P631" i="11"/>
  <c r="R631" i="11"/>
  <c r="AD351" i="11"/>
  <c r="X627" i="11"/>
  <c r="X865" i="11"/>
  <c r="Z865" i="11" s="1"/>
  <c r="AA865" i="11" s="1"/>
  <c r="P887" i="11"/>
  <c r="Y1045" i="11"/>
  <c r="Y362" i="11"/>
  <c r="R625" i="11"/>
  <c r="Q888" i="11"/>
  <c r="AD888" i="11" s="1"/>
  <c r="S888" i="11"/>
  <c r="AI956" i="11"/>
  <c r="X956" i="11" s="1"/>
  <c r="Z1012" i="11"/>
  <c r="AA1012" i="11" s="1"/>
  <c r="X801" i="11"/>
  <c r="Z801" i="11" s="1"/>
  <c r="AA801" i="11" s="1"/>
  <c r="X856" i="11"/>
  <c r="Z856" i="11" s="1"/>
  <c r="AA856" i="11" s="1"/>
  <c r="Q1048" i="11"/>
  <c r="S1048" i="11" s="1"/>
  <c r="Z950" i="11"/>
  <c r="AA950" i="11" s="1"/>
  <c r="Y636" i="11"/>
  <c r="S636" i="11"/>
  <c r="T636" i="11" s="1"/>
  <c r="AI42" i="11"/>
  <c r="R796" i="11"/>
  <c r="Q811" i="11"/>
  <c r="X811" i="11"/>
  <c r="G49" i="4"/>
  <c r="C49" i="4"/>
  <c r="B49" i="4"/>
  <c r="I49" i="4"/>
  <c r="H49" i="4"/>
  <c r="F49" i="4"/>
  <c r="E49" i="4"/>
  <c r="D49" i="4"/>
  <c r="C63" i="4"/>
  <c r="G63" i="4"/>
  <c r="F63" i="4"/>
  <c r="I63" i="4"/>
  <c r="H63" i="4"/>
  <c r="D63" i="4"/>
  <c r="B63" i="4"/>
  <c r="E63" i="4"/>
  <c r="C33" i="4"/>
  <c r="B33" i="4"/>
  <c r="F33" i="4" s="1"/>
  <c r="G33" i="4"/>
  <c r="H33" i="4" s="1"/>
  <c r="E56" i="4"/>
  <c r="I56" i="4"/>
  <c r="H56" i="4"/>
  <c r="G56" i="4"/>
  <c r="F56" i="4"/>
  <c r="C56" i="4"/>
  <c r="D56" i="4"/>
  <c r="B56" i="4"/>
  <c r="I66" i="4"/>
  <c r="E66" i="4"/>
  <c r="D66" i="4"/>
  <c r="G66" i="4"/>
  <c r="F66" i="4"/>
  <c r="C66" i="4"/>
  <c r="B66" i="4"/>
  <c r="H66" i="4"/>
  <c r="N816" i="11"/>
  <c r="F816" i="11"/>
  <c r="M816" i="11"/>
  <c r="E816" i="11"/>
  <c r="Q816" i="11"/>
  <c r="I816" i="11"/>
  <c r="H816" i="11"/>
  <c r="AF816" i="11"/>
  <c r="G816" i="11"/>
  <c r="AI816" i="11" s="1"/>
  <c r="AB816" i="11"/>
  <c r="AC816" i="11" s="1"/>
  <c r="P816" i="11"/>
  <c r="O816" i="11"/>
  <c r="L816" i="11"/>
  <c r="K816" i="11"/>
  <c r="J816" i="11"/>
  <c r="N832" i="11"/>
  <c r="F832" i="11"/>
  <c r="Q832" i="11" s="1"/>
  <c r="M832" i="11"/>
  <c r="E832" i="11"/>
  <c r="I832" i="11"/>
  <c r="AB832" i="11" s="1"/>
  <c r="AC832" i="11" s="1"/>
  <c r="H832" i="11"/>
  <c r="AF832" i="11"/>
  <c r="G832" i="11"/>
  <c r="P832" i="11" s="1"/>
  <c r="R832" i="11" s="1"/>
  <c r="O832" i="11"/>
  <c r="L832" i="11"/>
  <c r="AI832" i="11"/>
  <c r="X832" i="11"/>
  <c r="K832" i="11"/>
  <c r="J832" i="11"/>
  <c r="Q60" i="11"/>
  <c r="S60" i="11" s="1"/>
  <c r="Y60" i="11" s="1"/>
  <c r="AI1247" i="11"/>
  <c r="AA1247" i="11"/>
  <c r="S1247" i="11"/>
  <c r="K1247" i="11"/>
  <c r="AH1247" i="11"/>
  <c r="Z1247" i="11"/>
  <c r="R1247" i="11"/>
  <c r="J1247" i="11"/>
  <c r="AB1247" i="11"/>
  <c r="P1247" i="11"/>
  <c r="F1247" i="11"/>
  <c r="Y1247" i="11"/>
  <c r="O1247" i="11"/>
  <c r="E1247" i="11"/>
  <c r="X1247" i="11"/>
  <c r="N1247" i="11"/>
  <c r="AG1247" i="11"/>
  <c r="W1247" i="11"/>
  <c r="M1247" i="11"/>
  <c r="AF1247" i="11"/>
  <c r="V1247" i="11"/>
  <c r="L1247" i="11"/>
  <c r="AE1247" i="11"/>
  <c r="U1247" i="11"/>
  <c r="I1247" i="11"/>
  <c r="AD1247" i="11"/>
  <c r="T1247" i="11"/>
  <c r="H1247" i="11"/>
  <c r="AC1247" i="11"/>
  <c r="Q1247" i="11"/>
  <c r="G1247" i="11"/>
  <c r="S651" i="11"/>
  <c r="Y651" i="11" s="1"/>
  <c r="P1010" i="11"/>
  <c r="AD1010" i="11" s="1"/>
  <c r="Y434" i="11"/>
  <c r="Q173" i="11"/>
  <c r="AF54" i="11"/>
  <c r="H54" i="11"/>
  <c r="O54" i="11"/>
  <c r="G54" i="11"/>
  <c r="N54" i="11"/>
  <c r="F54" i="11"/>
  <c r="I40" i="4" s="1"/>
  <c r="M54" i="11"/>
  <c r="E54" i="11"/>
  <c r="AB54" i="11"/>
  <c r="AC54" i="11" s="1"/>
  <c r="L54" i="11"/>
  <c r="K54" i="11"/>
  <c r="J54" i="11"/>
  <c r="I54" i="11"/>
  <c r="J959" i="11"/>
  <c r="I959" i="11"/>
  <c r="AF959" i="11"/>
  <c r="H959" i="11"/>
  <c r="N959" i="11"/>
  <c r="M959" i="11"/>
  <c r="L959" i="11"/>
  <c r="AB959" i="11" s="1"/>
  <c r="AC959" i="11" s="1"/>
  <c r="K959" i="11"/>
  <c r="G959" i="11"/>
  <c r="F959" i="11"/>
  <c r="O959" i="11"/>
  <c r="E959" i="11"/>
  <c r="Q32" i="11"/>
  <c r="S32" i="11" s="1"/>
  <c r="S427" i="11"/>
  <c r="Y427" i="11" s="1"/>
  <c r="X1026" i="11"/>
  <c r="Z1026" i="11" s="1"/>
  <c r="AA1026" i="11" s="1"/>
  <c r="Q145" i="11"/>
  <c r="S145" i="11" s="1"/>
  <c r="Y145" i="11" s="1"/>
  <c r="Q213" i="11"/>
  <c r="S213" i="11" s="1"/>
  <c r="Y213" i="11" s="1"/>
  <c r="AI907" i="11"/>
  <c r="AB538" i="11"/>
  <c r="T538" i="11"/>
  <c r="L538" i="11"/>
  <c r="AI538" i="11"/>
  <c r="AA538" i="11"/>
  <c r="S538" i="11"/>
  <c r="K538" i="11"/>
  <c r="AH538" i="11"/>
  <c r="Z538" i="11"/>
  <c r="R538" i="11"/>
  <c r="J538" i="11"/>
  <c r="AF538" i="11"/>
  <c r="X538" i="11"/>
  <c r="P538" i="11"/>
  <c r="H538" i="11"/>
  <c r="AG538" i="11"/>
  <c r="Q538" i="11"/>
  <c r="AE538" i="11"/>
  <c r="O538" i="11"/>
  <c r="AD538" i="11"/>
  <c r="N538" i="11"/>
  <c r="AC538" i="11"/>
  <c r="M538" i="11"/>
  <c r="Y538" i="11"/>
  <c r="I538" i="11"/>
  <c r="V538" i="11"/>
  <c r="U538" i="11"/>
  <c r="G538" i="11"/>
  <c r="F538" i="11"/>
  <c r="E538" i="11"/>
  <c r="W538" i="11"/>
  <c r="S840" i="11"/>
  <c r="Q36" i="11"/>
  <c r="S36" i="11" s="1"/>
  <c r="Q27" i="11"/>
  <c r="S27" i="11" s="1"/>
  <c r="P104" i="11"/>
  <c r="R104" i="11" s="1"/>
  <c r="AD290" i="11"/>
  <c r="AD958" i="11"/>
  <c r="Q1001" i="11"/>
  <c r="S1001" i="11" s="1"/>
  <c r="R993" i="11"/>
  <c r="R1021" i="11"/>
  <c r="P1021" i="11"/>
  <c r="X923" i="11"/>
  <c r="AI923" i="11"/>
  <c r="R923" i="11" s="1"/>
  <c r="AG923" i="11" s="1"/>
  <c r="P1014" i="11"/>
  <c r="AD1014" i="11" s="1"/>
  <c r="X89" i="11"/>
  <c r="Q212" i="11"/>
  <c r="S212" i="11" s="1"/>
  <c r="Y212" i="11" s="1"/>
  <c r="R369" i="11"/>
  <c r="P285" i="11"/>
  <c r="AD285" i="11" s="1"/>
  <c r="Q626" i="11"/>
  <c r="AD626" i="11" s="1"/>
  <c r="AI918" i="11"/>
  <c r="J967" i="11"/>
  <c r="I967" i="11"/>
  <c r="AF967" i="11"/>
  <c r="P967" i="11"/>
  <c r="R967" i="11" s="1"/>
  <c r="H967" i="11"/>
  <c r="O967" i="11"/>
  <c r="G967" i="11"/>
  <c r="M967" i="11"/>
  <c r="AB967" i="11"/>
  <c r="AC967" i="11" s="1"/>
  <c r="L967" i="11"/>
  <c r="K967" i="11"/>
  <c r="F967" i="11"/>
  <c r="E967" i="11"/>
  <c r="AI967" i="11"/>
  <c r="N967" i="11"/>
  <c r="X998" i="11"/>
  <c r="Q1006" i="11"/>
  <c r="S1006" i="11" s="1"/>
  <c r="R1041" i="11"/>
  <c r="R985" i="11"/>
  <c r="Q948" i="11"/>
  <c r="S948" i="11" s="1"/>
  <c r="P894" i="11"/>
  <c r="Z989" i="11"/>
  <c r="AA989" i="11" s="1"/>
  <c r="Q847" i="11"/>
  <c r="S847" i="11" s="1"/>
  <c r="Z851" i="11"/>
  <c r="AA851" i="11" s="1"/>
  <c r="Z863" i="11"/>
  <c r="AA863" i="11" s="1"/>
  <c r="Y1015" i="11"/>
  <c r="Y271" i="11"/>
  <c r="AI392" i="11"/>
  <c r="K392" i="11"/>
  <c r="J392" i="11"/>
  <c r="AF392" i="11"/>
  <c r="H392" i="11"/>
  <c r="O392" i="11"/>
  <c r="G392" i="11"/>
  <c r="N392" i="11"/>
  <c r="M392" i="11"/>
  <c r="AB392" i="11" s="1"/>
  <c r="AC392" i="11" s="1"/>
  <c r="L392" i="11"/>
  <c r="I392" i="11"/>
  <c r="F392" i="11"/>
  <c r="P392" i="11" s="1"/>
  <c r="R392" i="11" s="1"/>
  <c r="E392" i="11"/>
  <c r="T1043" i="11"/>
  <c r="R34" i="11"/>
  <c r="X34" i="11" s="1"/>
  <c r="AI1433" i="11"/>
  <c r="AA1433" i="11"/>
  <c r="S1433" i="11"/>
  <c r="K1433" i="11"/>
  <c r="AG1433" i="11"/>
  <c r="Y1433" i="11"/>
  <c r="Q1433" i="11"/>
  <c r="I1433" i="11"/>
  <c r="AF1433" i="11"/>
  <c r="X1433" i="11"/>
  <c r="P1433" i="11"/>
  <c r="H1433" i="11"/>
  <c r="Z1433" i="11"/>
  <c r="M1433" i="11"/>
  <c r="W1433" i="11"/>
  <c r="L1433" i="11"/>
  <c r="AH1433" i="11"/>
  <c r="U1433" i="11"/>
  <c r="G1433" i="11"/>
  <c r="O1433" i="11"/>
  <c r="AE1433" i="11"/>
  <c r="N1433" i="11"/>
  <c r="AD1433" i="11"/>
  <c r="J1433" i="11"/>
  <c r="AC1433" i="11"/>
  <c r="F1433" i="11"/>
  <c r="AB1433" i="11"/>
  <c r="E1433" i="11"/>
  <c r="V1433" i="11"/>
  <c r="T1433" i="11"/>
  <c r="R1433" i="11"/>
  <c r="AC1444" i="11"/>
  <c r="U1444" i="11"/>
  <c r="M1444" i="11"/>
  <c r="E1444" i="11"/>
  <c r="AB1444" i="11"/>
  <c r="T1444" i="11"/>
  <c r="L1444" i="11"/>
  <c r="AI1444" i="11"/>
  <c r="AA1444" i="11"/>
  <c r="S1444" i="11"/>
  <c r="K1444" i="11"/>
  <c r="AH1444" i="11"/>
  <c r="Z1444" i="11"/>
  <c r="R1444" i="11"/>
  <c r="J1444" i="11"/>
  <c r="AG1444" i="11"/>
  <c r="Y1444" i="11"/>
  <c r="Q1444" i="11"/>
  <c r="I1444" i="11"/>
  <c r="AF1444" i="11"/>
  <c r="X1444" i="11"/>
  <c r="P1444" i="11"/>
  <c r="H1444" i="11"/>
  <c r="AE1444" i="11"/>
  <c r="W1444" i="11"/>
  <c r="O1444" i="11"/>
  <c r="G1444" i="11"/>
  <c r="AD1444" i="11"/>
  <c r="V1444" i="11"/>
  <c r="N1444" i="11"/>
  <c r="F1444" i="11"/>
  <c r="Y980" i="11"/>
  <c r="R83" i="11"/>
  <c r="AH1400" i="11"/>
  <c r="Z1400" i="11"/>
  <c r="R1400" i="11"/>
  <c r="J1400" i="11"/>
  <c r="AG1400" i="11"/>
  <c r="Y1400" i="11"/>
  <c r="Q1400" i="11"/>
  <c r="I1400" i="11"/>
  <c r="AE1400" i="11"/>
  <c r="U1400" i="11"/>
  <c r="K1400" i="11"/>
  <c r="AD1400" i="11"/>
  <c r="T1400" i="11"/>
  <c r="H1400" i="11"/>
  <c r="AC1400" i="11"/>
  <c r="S1400" i="11"/>
  <c r="G1400" i="11"/>
  <c r="AB1400" i="11"/>
  <c r="P1400" i="11"/>
  <c r="F1400" i="11"/>
  <c r="AI1400" i="11"/>
  <c r="M1400" i="11"/>
  <c r="AF1400" i="11"/>
  <c r="L1400" i="11"/>
  <c r="AA1400" i="11"/>
  <c r="E1400" i="11"/>
  <c r="X1400" i="11"/>
  <c r="W1400" i="11"/>
  <c r="V1400" i="11"/>
  <c r="N1400" i="11"/>
  <c r="O1400" i="11"/>
  <c r="R95" i="11"/>
  <c r="AI190" i="11"/>
  <c r="Q127" i="11"/>
  <c r="AD127" i="11" s="1"/>
  <c r="S138" i="11"/>
  <c r="Y138" i="11" s="1"/>
  <c r="S289" i="11"/>
  <c r="Q880" i="11"/>
  <c r="S880" i="11" s="1"/>
  <c r="AI843" i="11"/>
  <c r="X843" i="11" s="1"/>
  <c r="Y865" i="11"/>
  <c r="Q865" i="11"/>
  <c r="S865" i="11" s="1"/>
  <c r="Q1009" i="11"/>
  <c r="S1009" i="11" s="1"/>
  <c r="X1045" i="11"/>
  <c r="P1045" i="11"/>
  <c r="R362" i="11"/>
  <c r="P954" i="11"/>
  <c r="Q801" i="11"/>
  <c r="R801" i="11"/>
  <c r="Y796" i="11"/>
  <c r="W838" i="11" l="1"/>
  <c r="U838" i="11"/>
  <c r="V838" i="11"/>
  <c r="AE838" i="11"/>
  <c r="AG352" i="11"/>
  <c r="T352" i="11"/>
  <c r="X352" i="11"/>
  <c r="Z352" i="11" s="1"/>
  <c r="AA352" i="11" s="1"/>
  <c r="AG80" i="11"/>
  <c r="X80" i="11"/>
  <c r="Z80" i="11" s="1"/>
  <c r="AA80" i="11" s="1"/>
  <c r="T80" i="11"/>
  <c r="AG112" i="11"/>
  <c r="T112" i="11"/>
  <c r="X112" i="11"/>
  <c r="Z112" i="11" s="1"/>
  <c r="AA112" i="11" s="1"/>
  <c r="V934" i="11"/>
  <c r="AE934" i="11"/>
  <c r="W934" i="11"/>
  <c r="U934" i="11"/>
  <c r="AG393" i="11"/>
  <c r="X393" i="11"/>
  <c r="W636" i="11"/>
  <c r="U636" i="11"/>
  <c r="V636" i="11"/>
  <c r="AE636" i="11"/>
  <c r="T825" i="11"/>
  <c r="Y825" i="11"/>
  <c r="R825" i="11"/>
  <c r="AG825" i="11" s="1"/>
  <c r="X825" i="11"/>
  <c r="Z825" i="11" s="1"/>
  <c r="AA825" i="11" s="1"/>
  <c r="S825" i="11"/>
  <c r="AG191" i="11"/>
  <c r="X191" i="11"/>
  <c r="AG119" i="11"/>
  <c r="X119" i="11"/>
  <c r="AG433" i="11"/>
  <c r="X433" i="11"/>
  <c r="S976" i="11"/>
  <c r="T976" i="11" s="1"/>
  <c r="AD976" i="11"/>
  <c r="AG426" i="11"/>
  <c r="X426" i="11"/>
  <c r="AG130" i="11"/>
  <c r="X130" i="11"/>
  <c r="Y351" i="11"/>
  <c r="AG351" i="11"/>
  <c r="T351" i="11"/>
  <c r="X786" i="11"/>
  <c r="Z786" i="11" s="1"/>
  <c r="AA786" i="11" s="1"/>
  <c r="R786" i="11"/>
  <c r="Y786" i="11"/>
  <c r="AG976" i="11"/>
  <c r="AG37" i="11"/>
  <c r="P54" i="5"/>
  <c r="X37" i="11"/>
  <c r="X61" i="11"/>
  <c r="AG61" i="11"/>
  <c r="AG365" i="11"/>
  <c r="X365" i="11"/>
  <c r="R59" i="11"/>
  <c r="T59" i="11" s="1"/>
  <c r="U1009" i="11"/>
  <c r="V1009" i="11"/>
  <c r="AE1009" i="11"/>
  <c r="W1009" i="11"/>
  <c r="AG1006" i="11"/>
  <c r="T1006" i="11"/>
  <c r="U836" i="11"/>
  <c r="W836" i="11"/>
  <c r="V836" i="11"/>
  <c r="AE836" i="11"/>
  <c r="AG41" i="11"/>
  <c r="I64" i="5"/>
  <c r="X41" i="11"/>
  <c r="AG653" i="11"/>
  <c r="X653" i="11"/>
  <c r="I81" i="5"/>
  <c r="U347" i="11"/>
  <c r="V347" i="11"/>
  <c r="W347" i="11"/>
  <c r="AE347" i="11"/>
  <c r="AG332" i="11"/>
  <c r="T332" i="11"/>
  <c r="X332" i="11"/>
  <c r="Z332" i="11" s="1"/>
  <c r="AA332" i="11" s="1"/>
  <c r="AG649" i="11"/>
  <c r="X649" i="11"/>
  <c r="AG158" i="11"/>
  <c r="X158" i="11"/>
  <c r="AG619" i="11"/>
  <c r="X619" i="11"/>
  <c r="V81" i="11"/>
  <c r="U81" i="11"/>
  <c r="W81" i="11"/>
  <c r="AE81" i="11"/>
  <c r="AG192" i="11"/>
  <c r="Y192" i="11"/>
  <c r="AG622" i="11"/>
  <c r="Y622" i="11"/>
  <c r="X36" i="11"/>
  <c r="AG36" i="11"/>
  <c r="T36" i="11"/>
  <c r="X392" i="11"/>
  <c r="V289" i="11"/>
  <c r="W289" i="11"/>
  <c r="U289" i="11"/>
  <c r="AE289" i="11"/>
  <c r="U60" i="11"/>
  <c r="AE60" i="11"/>
  <c r="W60" i="11"/>
  <c r="V60" i="11"/>
  <c r="AG136" i="11"/>
  <c r="T136" i="11"/>
  <c r="X136" i="11"/>
  <c r="Z136" i="11" s="1"/>
  <c r="AA136" i="11" s="1"/>
  <c r="Q74" i="11"/>
  <c r="S74" i="11" s="1"/>
  <c r="AG122" i="11"/>
  <c r="X122" i="11"/>
  <c r="Z122" i="11" s="1"/>
  <c r="AA122" i="11" s="1"/>
  <c r="T433" i="11"/>
  <c r="Z433" i="11"/>
  <c r="AA433" i="11" s="1"/>
  <c r="AD433" i="11"/>
  <c r="AG880" i="11"/>
  <c r="AD431" i="11"/>
  <c r="R431" i="11"/>
  <c r="W1008" i="11"/>
  <c r="AH1008" i="11" s="1"/>
  <c r="U1008" i="11"/>
  <c r="V1008" i="11"/>
  <c r="AE1008" i="11"/>
  <c r="AD913" i="11"/>
  <c r="R913" i="11"/>
  <c r="AD989" i="11"/>
  <c r="R989" i="11"/>
  <c r="AG948" i="11"/>
  <c r="Z1041" i="11"/>
  <c r="AA1041" i="11" s="1"/>
  <c r="AD1041" i="11"/>
  <c r="AG835" i="11"/>
  <c r="T835" i="11"/>
  <c r="Z650" i="11"/>
  <c r="AA650" i="11" s="1"/>
  <c r="T650" i="11"/>
  <c r="AD650" i="11"/>
  <c r="AG212" i="11"/>
  <c r="T212" i="11"/>
  <c r="U1001" i="11"/>
  <c r="V1001" i="11"/>
  <c r="AE1001" i="11"/>
  <c r="W1001" i="11"/>
  <c r="R871" i="11"/>
  <c r="AD871" i="11"/>
  <c r="T145" i="11"/>
  <c r="S805" i="11"/>
  <c r="AD805" i="11"/>
  <c r="Z158" i="11"/>
  <c r="AA158" i="11" s="1"/>
  <c r="T158" i="11"/>
  <c r="X32" i="11"/>
  <c r="AG32" i="11"/>
  <c r="T32" i="11"/>
  <c r="AD29" i="11"/>
  <c r="T29" i="11"/>
  <c r="T188" i="11"/>
  <c r="AD188" i="11"/>
  <c r="Q818" i="11"/>
  <c r="AG888" i="11"/>
  <c r="AG266" i="11"/>
  <c r="X266" i="11"/>
  <c r="Z266" i="11" s="1"/>
  <c r="AA266" i="11" s="1"/>
  <c r="T946" i="11"/>
  <c r="Y946" i="11"/>
  <c r="Z946" i="11" s="1"/>
  <c r="AA946" i="11" s="1"/>
  <c r="AD946" i="11"/>
  <c r="W630" i="11"/>
  <c r="AH630" i="11" s="1"/>
  <c r="U630" i="11"/>
  <c r="V630" i="11"/>
  <c r="AE630" i="11"/>
  <c r="AI831" i="11"/>
  <c r="X831" i="11" s="1"/>
  <c r="S432" i="11"/>
  <c r="AD432" i="11"/>
  <c r="J70" i="5"/>
  <c r="J66" i="5"/>
  <c r="J90" i="5"/>
  <c r="J86" i="5"/>
  <c r="H82" i="5"/>
  <c r="J82" i="5"/>
  <c r="H78" i="5"/>
  <c r="P77" i="11"/>
  <c r="AD77" i="11" s="1"/>
  <c r="J78" i="5"/>
  <c r="J74" i="5"/>
  <c r="Q77" i="11"/>
  <c r="AD904" i="11"/>
  <c r="T904" i="11"/>
  <c r="X904" i="11"/>
  <c r="R904" i="11"/>
  <c r="AG904" i="11" s="1"/>
  <c r="S904" i="11"/>
  <c r="X957" i="11"/>
  <c r="Z957" i="11" s="1"/>
  <c r="AA957" i="11" s="1"/>
  <c r="Y957" i="11"/>
  <c r="R957" i="11"/>
  <c r="AD957" i="11"/>
  <c r="Y96" i="11"/>
  <c r="Z96" i="11" s="1"/>
  <c r="AA96" i="11" s="1"/>
  <c r="T96" i="11"/>
  <c r="AG96" i="11"/>
  <c r="AD28" i="11"/>
  <c r="Z28" i="11"/>
  <c r="AA28" i="11" s="1"/>
  <c r="T28" i="11"/>
  <c r="R1040" i="11"/>
  <c r="AD1040" i="11"/>
  <c r="AG121" i="11"/>
  <c r="X121" i="11"/>
  <c r="AG278" i="11"/>
  <c r="X278" i="11"/>
  <c r="Z278" i="11" s="1"/>
  <c r="AA278" i="11" s="1"/>
  <c r="T278" i="11"/>
  <c r="AG134" i="11"/>
  <c r="X134" i="11"/>
  <c r="Z134" i="11" s="1"/>
  <c r="AA134" i="11" s="1"/>
  <c r="T134" i="11"/>
  <c r="AG166" i="11"/>
  <c r="X166" i="11"/>
  <c r="Z166" i="11" s="1"/>
  <c r="AA166" i="11" s="1"/>
  <c r="T166" i="11"/>
  <c r="Z789" i="11"/>
  <c r="AA789" i="11" s="1"/>
  <c r="T789" i="11"/>
  <c r="AD789" i="11"/>
  <c r="Y789" i="11"/>
  <c r="R789" i="11"/>
  <c r="T1003" i="11"/>
  <c r="AD1003" i="11"/>
  <c r="S1003" i="11"/>
  <c r="R1003" i="11"/>
  <c r="AG1003" i="11" s="1"/>
  <c r="AD763" i="11"/>
  <c r="S763" i="11"/>
  <c r="AG125" i="11"/>
  <c r="T125" i="11"/>
  <c r="X125" i="11"/>
  <c r="Z125" i="11" s="1"/>
  <c r="AA125" i="11" s="1"/>
  <c r="U50" i="3"/>
  <c r="AG153" i="11"/>
  <c r="T153" i="11"/>
  <c r="X153" i="11"/>
  <c r="Z153" i="11" s="1"/>
  <c r="AA153" i="11" s="1"/>
  <c r="X53" i="3"/>
  <c r="X275" i="11"/>
  <c r="W92" i="11"/>
  <c r="AE92" i="11"/>
  <c r="V92" i="11"/>
  <c r="U92" i="11"/>
  <c r="AG429" i="11"/>
  <c r="X429" i="11"/>
  <c r="U404" i="11"/>
  <c r="V404" i="11"/>
  <c r="W404" i="11"/>
  <c r="AE404" i="11"/>
  <c r="Z272" i="11"/>
  <c r="AA272" i="11" s="1"/>
  <c r="AG129" i="11"/>
  <c r="T129" i="11"/>
  <c r="Y129" i="11"/>
  <c r="Z129" i="11" s="1"/>
  <c r="AA129" i="11" s="1"/>
  <c r="AD173" i="11"/>
  <c r="S173" i="11"/>
  <c r="Y173" i="11" s="1"/>
  <c r="R138" i="11"/>
  <c r="AG375" i="11"/>
  <c r="T375" i="11"/>
  <c r="AD887" i="11"/>
  <c r="X887" i="11"/>
  <c r="Z887" i="11" s="1"/>
  <c r="AA887" i="11" s="1"/>
  <c r="X73" i="11"/>
  <c r="J64" i="5"/>
  <c r="P640" i="11"/>
  <c r="AD640" i="11" s="1"/>
  <c r="T881" i="11"/>
  <c r="S881" i="11"/>
  <c r="S969" i="11"/>
  <c r="T969" i="11" s="1"/>
  <c r="X823" i="11"/>
  <c r="Z823" i="11" s="1"/>
  <c r="AA823" i="11" s="1"/>
  <c r="AG427" i="11"/>
  <c r="X427" i="11"/>
  <c r="T796" i="11"/>
  <c r="AD796" i="11"/>
  <c r="Z796" i="11"/>
  <c r="AA796" i="11" s="1"/>
  <c r="X796" i="11"/>
  <c r="X435" i="11"/>
  <c r="Z435" i="11" s="1"/>
  <c r="AA435" i="11" s="1"/>
  <c r="AG435" i="11"/>
  <c r="R358" i="11"/>
  <c r="T348" i="11"/>
  <c r="AD348" i="11"/>
  <c r="AG851" i="11"/>
  <c r="T851" i="11"/>
  <c r="S998" i="11"/>
  <c r="AI822" i="11"/>
  <c r="Y822" i="11" s="1"/>
  <c r="X822" i="11"/>
  <c r="R354" i="11"/>
  <c r="R195" i="11"/>
  <c r="AD195" i="11"/>
  <c r="AD212" i="11"/>
  <c r="AG1001" i="11"/>
  <c r="AG79" i="11"/>
  <c r="X79" i="11"/>
  <c r="Z79" i="11" s="1"/>
  <c r="AA79" i="11" s="1"/>
  <c r="AD145" i="11"/>
  <c r="S932" i="11"/>
  <c r="R932" i="11"/>
  <c r="AD932" i="11"/>
  <c r="E35" i="4"/>
  <c r="AG636" i="11"/>
  <c r="X636" i="11"/>
  <c r="Z636" i="11" s="1"/>
  <c r="AA636" i="11" s="1"/>
  <c r="AD880" i="11"/>
  <c r="AD266" i="11"/>
  <c r="Z653" i="11"/>
  <c r="AA653" i="11" s="1"/>
  <c r="T653" i="11"/>
  <c r="X902" i="11"/>
  <c r="Z902" i="11" s="1"/>
  <c r="AA902" i="11" s="1"/>
  <c r="S902" i="11"/>
  <c r="R902" i="11"/>
  <c r="AG902" i="11" s="1"/>
  <c r="R861" i="11"/>
  <c r="Z37" i="11"/>
  <c r="AA37" i="11" s="1"/>
  <c r="T37" i="11"/>
  <c r="R165" i="11"/>
  <c r="P65" i="11"/>
  <c r="R65" i="11" s="1"/>
  <c r="T651" i="11"/>
  <c r="P764" i="11"/>
  <c r="Z121" i="11"/>
  <c r="AA121" i="11" s="1"/>
  <c r="T121" i="11"/>
  <c r="AD121" i="11"/>
  <c r="AD982" i="11"/>
  <c r="S982" i="11"/>
  <c r="AD278" i="11"/>
  <c r="P56" i="11"/>
  <c r="R56" i="11" s="1"/>
  <c r="R865" i="11"/>
  <c r="AB70" i="11"/>
  <c r="AC70" i="11" s="1"/>
  <c r="Q39" i="5"/>
  <c r="S26" i="5"/>
  <c r="Q45" i="5"/>
  <c r="S23" i="5"/>
  <c r="S56" i="5"/>
  <c r="S29" i="5"/>
  <c r="S36" i="5"/>
  <c r="S41" i="5"/>
  <c r="S52" i="5"/>
  <c r="S39" i="5"/>
  <c r="S32" i="5"/>
  <c r="S55" i="5"/>
  <c r="S54" i="5"/>
  <c r="S45" i="5"/>
  <c r="S43" i="5"/>
  <c r="AG155" i="11"/>
  <c r="T155" i="11"/>
  <c r="P76" i="11"/>
  <c r="R76" i="11" s="1"/>
  <c r="Q803" i="11"/>
  <c r="X396" i="11"/>
  <c r="Q396" i="11"/>
  <c r="S396" i="11"/>
  <c r="Y396" i="11" s="1"/>
  <c r="P396" i="11"/>
  <c r="R396" i="11" s="1"/>
  <c r="T122" i="11"/>
  <c r="Z191" i="11"/>
  <c r="AA191" i="11" s="1"/>
  <c r="T191" i="11"/>
  <c r="T79" i="11"/>
  <c r="X1003" i="11"/>
  <c r="Z1003" i="11" s="1"/>
  <c r="AA1003" i="11" s="1"/>
  <c r="R51" i="3"/>
  <c r="T842" i="11"/>
  <c r="AG115" i="11"/>
  <c r="X115" i="11"/>
  <c r="W45" i="11"/>
  <c r="U45" i="11"/>
  <c r="V45" i="11"/>
  <c r="AE45" i="11"/>
  <c r="AG357" i="11"/>
  <c r="X357" i="11"/>
  <c r="V900" i="11"/>
  <c r="U900" i="11"/>
  <c r="W900" i="11"/>
  <c r="AE900" i="11"/>
  <c r="AG259" i="11"/>
  <c r="X259" i="11"/>
  <c r="Z280" i="11"/>
  <c r="AA280" i="11" s="1"/>
  <c r="AG49" i="11"/>
  <c r="X49" i="11"/>
  <c r="Z49" i="11" s="1"/>
  <c r="AA49" i="11" s="1"/>
  <c r="AG408" i="11"/>
  <c r="X408" i="11"/>
  <c r="AD1049" i="11"/>
  <c r="AG156" i="11"/>
  <c r="Y156" i="11"/>
  <c r="X48" i="11"/>
  <c r="Z48" i="11" s="1"/>
  <c r="AA48" i="11" s="1"/>
  <c r="AG48" i="11"/>
  <c r="T48" i="11"/>
  <c r="AL46" i="3"/>
  <c r="AH42" i="3"/>
  <c r="AG221" i="11"/>
  <c r="X221" i="11"/>
  <c r="AG801" i="11"/>
  <c r="X817" i="11"/>
  <c r="Z817" i="11" s="1"/>
  <c r="AA817" i="11" s="1"/>
  <c r="Z619" i="11"/>
  <c r="AA619" i="11" s="1"/>
  <c r="T619" i="11"/>
  <c r="AG868" i="11"/>
  <c r="T868" i="11"/>
  <c r="AD801" i="11"/>
  <c r="S801" i="11"/>
  <c r="T801" i="11" s="1"/>
  <c r="P388" i="11"/>
  <c r="R828" i="11"/>
  <c r="T828" i="11" s="1"/>
  <c r="Y42" i="11"/>
  <c r="Q959" i="11"/>
  <c r="Y832" i="11"/>
  <c r="S816" i="11"/>
  <c r="AD816" i="11"/>
  <c r="AG631" i="11"/>
  <c r="X631" i="11"/>
  <c r="AG9" i="11"/>
  <c r="X9" i="11"/>
  <c r="AG270" i="11"/>
  <c r="X270" i="11"/>
  <c r="Z192" i="11"/>
  <c r="AA192" i="11" s="1"/>
  <c r="T192" i="11"/>
  <c r="V958" i="11"/>
  <c r="U958" i="11"/>
  <c r="W958" i="11"/>
  <c r="AH958" i="11" s="1"/>
  <c r="X375" i="11"/>
  <c r="Z375" i="11" s="1"/>
  <c r="AA375" i="11" s="1"/>
  <c r="Q949" i="11"/>
  <c r="Q828" i="11"/>
  <c r="AD828" i="11" s="1"/>
  <c r="R416" i="11"/>
  <c r="AD416" i="11"/>
  <c r="Y887" i="11"/>
  <c r="X436" i="11"/>
  <c r="Z436" i="11" s="1"/>
  <c r="AA436" i="11" s="1"/>
  <c r="T436" i="11"/>
  <c r="AG436" i="11"/>
  <c r="T95" i="11"/>
  <c r="AD95" i="11"/>
  <c r="AD847" i="11"/>
  <c r="Y912" i="11"/>
  <c r="AD912" i="11"/>
  <c r="T365" i="11"/>
  <c r="Z365" i="11"/>
  <c r="AA365" i="11" s="1"/>
  <c r="AD365" i="11"/>
  <c r="X988" i="11"/>
  <c r="Z988" i="11" s="1"/>
  <c r="AA988" i="11" s="1"/>
  <c r="T988" i="11"/>
  <c r="R988" i="11"/>
  <c r="AG988" i="11" s="1"/>
  <c r="AD32" i="11"/>
  <c r="P945" i="11"/>
  <c r="R945" i="11" s="1"/>
  <c r="AG188" i="11"/>
  <c r="X188" i="11"/>
  <c r="Z188" i="11" s="1"/>
  <c r="AA188" i="11" s="1"/>
  <c r="S824" i="11"/>
  <c r="AD895" i="11"/>
  <c r="S895" i="11"/>
  <c r="R373" i="11"/>
  <c r="D84" i="5"/>
  <c r="J79" i="5"/>
  <c r="I80" i="5"/>
  <c r="I82" i="5"/>
  <c r="H73" i="5"/>
  <c r="H76" i="5"/>
  <c r="D82" i="5"/>
  <c r="F82" i="5"/>
  <c r="R640" i="11"/>
  <c r="T640" i="11"/>
  <c r="T270" i="11"/>
  <c r="Z270" i="11"/>
  <c r="AA270" i="11" s="1"/>
  <c r="Q784" i="11"/>
  <c r="AG262" i="11"/>
  <c r="T262" i="11"/>
  <c r="X262" i="11"/>
  <c r="Z262" i="11" s="1"/>
  <c r="AA262" i="11" s="1"/>
  <c r="AG30" i="11"/>
  <c r="AD1021" i="11"/>
  <c r="Y1021" i="11"/>
  <c r="P955" i="11"/>
  <c r="S887" i="11"/>
  <c r="T887" i="11" s="1"/>
  <c r="Y216" i="11"/>
  <c r="Z216" i="11" s="1"/>
  <c r="AA216" i="11" s="1"/>
  <c r="AG216" i="11"/>
  <c r="AG846" i="11"/>
  <c r="T846" i="11"/>
  <c r="P376" i="11"/>
  <c r="AD376" i="11" s="1"/>
  <c r="AG847" i="11"/>
  <c r="T847" i="11"/>
  <c r="AD998" i="11"/>
  <c r="AD1001" i="11"/>
  <c r="Z864" i="11"/>
  <c r="AA864" i="11" s="1"/>
  <c r="R864" i="11"/>
  <c r="S864" i="11"/>
  <c r="X864" i="11"/>
  <c r="X27" i="11"/>
  <c r="AG27" i="11"/>
  <c r="T27" i="11"/>
  <c r="AD875" i="11"/>
  <c r="S875" i="11"/>
  <c r="X875" i="11"/>
  <c r="R875" i="11"/>
  <c r="AG875" i="11" s="1"/>
  <c r="AB968" i="11"/>
  <c r="AC968" i="11" s="1"/>
  <c r="S49" i="5" s="1"/>
  <c r="X968" i="11"/>
  <c r="Z968" i="11" s="1"/>
  <c r="AA968" i="11" s="1"/>
  <c r="P963" i="11"/>
  <c r="X434" i="11"/>
  <c r="AG434" i="11"/>
  <c r="P818" i="11"/>
  <c r="D40" i="4"/>
  <c r="AG874" i="11"/>
  <c r="T874" i="11"/>
  <c r="Y998" i="11"/>
  <c r="Z998" i="11" s="1"/>
  <c r="AA998" i="11" s="1"/>
  <c r="R285" i="11"/>
  <c r="AD862" i="11"/>
  <c r="S862" i="11"/>
  <c r="X862" i="11"/>
  <c r="R862" i="11"/>
  <c r="AG862" i="11" s="1"/>
  <c r="Y862" i="11"/>
  <c r="Z862" i="11" s="1"/>
  <c r="AA862" i="11" s="1"/>
  <c r="S1018" i="11"/>
  <c r="Z1018" i="11"/>
  <c r="AA1018" i="11" s="1"/>
  <c r="AD1018" i="11"/>
  <c r="X1018" i="11"/>
  <c r="T1018" i="11"/>
  <c r="Y1018" i="11"/>
  <c r="R1018" i="11"/>
  <c r="AG1018" i="11" s="1"/>
  <c r="W841" i="11"/>
  <c r="U841" i="11"/>
  <c r="V841" i="11"/>
  <c r="AE841" i="11"/>
  <c r="T409" i="11"/>
  <c r="Z409" i="11"/>
  <c r="AA409" i="11" s="1"/>
  <c r="AD409" i="11"/>
  <c r="X932" i="11"/>
  <c r="Z932" i="11" s="1"/>
  <c r="AA932" i="11" s="1"/>
  <c r="AD277" i="11"/>
  <c r="R277" i="11"/>
  <c r="Z73" i="11"/>
  <c r="AA73" i="11" s="1"/>
  <c r="T73" i="11"/>
  <c r="Q808" i="11"/>
  <c r="AD966" i="11"/>
  <c r="S966" i="11"/>
  <c r="R70" i="11"/>
  <c r="AD1032" i="11"/>
  <c r="AG838" i="11"/>
  <c r="Y809" i="11"/>
  <c r="AG199" i="11"/>
  <c r="X199" i="11"/>
  <c r="Z199" i="11" s="1"/>
  <c r="AA199" i="11" s="1"/>
  <c r="T199" i="11"/>
  <c r="T90" i="11"/>
  <c r="P400" i="11"/>
  <c r="R400" i="11" s="1"/>
  <c r="S626" i="11"/>
  <c r="Y626" i="11" s="1"/>
  <c r="Z626" i="11" s="1"/>
  <c r="AA626" i="11" s="1"/>
  <c r="AE114" i="11"/>
  <c r="W114" i="11"/>
  <c r="AH114" i="11" s="1"/>
  <c r="V114" i="11"/>
  <c r="E67" i="5" s="1"/>
  <c r="U114" i="11"/>
  <c r="C67" i="5" s="1"/>
  <c r="G67" i="5"/>
  <c r="Z853" i="11"/>
  <c r="AA853" i="11" s="1"/>
  <c r="R853" i="11"/>
  <c r="AD903" i="11"/>
  <c r="S903" i="11"/>
  <c r="AG206" i="11"/>
  <c r="X206" i="11"/>
  <c r="Z206" i="11" s="1"/>
  <c r="AA206" i="11" s="1"/>
  <c r="T206" i="11"/>
  <c r="AD66" i="11"/>
  <c r="R66" i="11"/>
  <c r="P47" i="5" s="1"/>
  <c r="R333" i="11"/>
  <c r="P26" i="5" s="1"/>
  <c r="AD333" i="11"/>
  <c r="AD139" i="11"/>
  <c r="T139" i="11"/>
  <c r="AD110" i="11"/>
  <c r="R110" i="11"/>
  <c r="AD901" i="11"/>
  <c r="Y901" i="11"/>
  <c r="X901" i="11"/>
  <c r="Z901" i="11" s="1"/>
  <c r="AA901" i="11" s="1"/>
  <c r="S901" i="11"/>
  <c r="T901" i="11" s="1"/>
  <c r="AG997" i="11"/>
  <c r="T997" i="11"/>
  <c r="Z37" i="3"/>
  <c r="AB43" i="3"/>
  <c r="M48" i="3"/>
  <c r="AA48" i="3"/>
  <c r="Y48" i="3"/>
  <c r="N48" i="3"/>
  <c r="K48" i="3"/>
  <c r="AB37" i="3"/>
  <c r="Q37" i="3"/>
  <c r="N37" i="3"/>
  <c r="F37" i="3"/>
  <c r="X51" i="3"/>
  <c r="AE63" i="3"/>
  <c r="L63" i="3"/>
  <c r="O63" i="3"/>
  <c r="AL34" i="3"/>
  <c r="T48" i="3"/>
  <c r="AL48" i="3"/>
  <c r="AE48" i="3"/>
  <c r="V48" i="3"/>
  <c r="P52" i="11"/>
  <c r="R52" i="11" s="1"/>
  <c r="S46" i="5"/>
  <c r="W211" i="11"/>
  <c r="U211" i="11"/>
  <c r="V211" i="11"/>
  <c r="AE211" i="11"/>
  <c r="AG1035" i="11"/>
  <c r="T1035" i="11"/>
  <c r="AG203" i="11"/>
  <c r="X203" i="11"/>
  <c r="AG85" i="11"/>
  <c r="X85" i="11"/>
  <c r="AG6" i="11"/>
  <c r="P23" i="5"/>
  <c r="T6" i="11"/>
  <c r="X6" i="11"/>
  <c r="Z291" i="11"/>
  <c r="AA291" i="11" s="1"/>
  <c r="W979" i="11"/>
  <c r="V979" i="11"/>
  <c r="U979" i="11"/>
  <c r="AE979" i="11"/>
  <c r="AG1044" i="11"/>
  <c r="T1044" i="11"/>
  <c r="V331" i="11"/>
  <c r="U331" i="11"/>
  <c r="W331" i="11"/>
  <c r="Y778" i="11"/>
  <c r="X139" i="11"/>
  <c r="Z139" i="11" s="1"/>
  <c r="AA139" i="11" s="1"/>
  <c r="AG139" i="11"/>
  <c r="AD47" i="11"/>
  <c r="R47" i="11"/>
  <c r="P28" i="5" s="1"/>
  <c r="V146" i="11"/>
  <c r="AE146" i="11"/>
  <c r="W146" i="11"/>
  <c r="U146" i="11"/>
  <c r="AG633" i="11"/>
  <c r="X633" i="11"/>
  <c r="T954" i="11"/>
  <c r="Y954" i="11"/>
  <c r="AD954" i="11"/>
  <c r="R954" i="11"/>
  <c r="AG954" i="11" s="1"/>
  <c r="AG887" i="11"/>
  <c r="AG977" i="11"/>
  <c r="T977" i="11"/>
  <c r="H90" i="5" s="1"/>
  <c r="Y32" i="11"/>
  <c r="R816" i="11"/>
  <c r="AG816" i="11" s="1"/>
  <c r="Y816" i="11"/>
  <c r="AG186" i="11"/>
  <c r="X186" i="11"/>
  <c r="T907" i="11"/>
  <c r="Z907" i="11"/>
  <c r="AA907" i="11" s="1"/>
  <c r="R907" i="11"/>
  <c r="AG907" i="11" s="1"/>
  <c r="Q54" i="11"/>
  <c r="Y907" i="11"/>
  <c r="Z832" i="11"/>
  <c r="AA832" i="11" s="1"/>
  <c r="X625" i="11"/>
  <c r="AD192" i="11"/>
  <c r="Y828" i="11"/>
  <c r="V950" i="11"/>
  <c r="AE950" i="11"/>
  <c r="W950" i="11"/>
  <c r="AH950" i="11" s="1"/>
  <c r="U950" i="11"/>
  <c r="X170" i="11"/>
  <c r="Z170" i="11" s="1"/>
  <c r="AA170" i="11" s="1"/>
  <c r="AG170" i="11"/>
  <c r="T170" i="11"/>
  <c r="AD352" i="11"/>
  <c r="Q59" i="11"/>
  <c r="AD59" i="11" s="1"/>
  <c r="AG145" i="11"/>
  <c r="X945" i="11"/>
  <c r="Z945" i="11" s="1"/>
  <c r="AA945" i="11" s="1"/>
  <c r="AI802" i="11"/>
  <c r="Q802" i="11"/>
  <c r="AD342" i="11"/>
  <c r="R342" i="11"/>
  <c r="I92" i="5"/>
  <c r="J91" i="5"/>
  <c r="J75" i="5"/>
  <c r="I79" i="5"/>
  <c r="J69" i="5"/>
  <c r="I71" i="5"/>
  <c r="J80" i="5"/>
  <c r="J72" i="5"/>
  <c r="I85" i="5"/>
  <c r="H84" i="5"/>
  <c r="AB961" i="11"/>
  <c r="AC961" i="11" s="1"/>
  <c r="P784" i="11"/>
  <c r="AD784" i="11" s="1"/>
  <c r="Y784" i="11"/>
  <c r="R74" i="11"/>
  <c r="T74" i="11" s="1"/>
  <c r="AI72" i="11"/>
  <c r="T383" i="11"/>
  <c r="AD159" i="11"/>
  <c r="Q376" i="11"/>
  <c r="S376" i="11" s="1"/>
  <c r="Y376" i="11" s="1"/>
  <c r="T271" i="11"/>
  <c r="AD271" i="11"/>
  <c r="R912" i="11"/>
  <c r="AG912" i="11" s="1"/>
  <c r="AD1029" i="11"/>
  <c r="Y1014" i="11"/>
  <c r="S957" i="11"/>
  <c r="T957" i="11" s="1"/>
  <c r="AD375" i="11"/>
  <c r="AD27" i="11"/>
  <c r="Y875" i="11"/>
  <c r="Z875" i="11" s="1"/>
  <c r="AA875" i="11" s="1"/>
  <c r="Z427" i="11"/>
  <c r="AA427" i="11" s="1"/>
  <c r="T427" i="11"/>
  <c r="AD427" i="11"/>
  <c r="Q968" i="11"/>
  <c r="AD968" i="11" s="1"/>
  <c r="AG651" i="11"/>
  <c r="X651" i="11"/>
  <c r="Z651" i="11" s="1"/>
  <c r="AA651" i="11" s="1"/>
  <c r="AD15" i="11"/>
  <c r="S15" i="11"/>
  <c r="Q765" i="11"/>
  <c r="AD765" i="11" s="1"/>
  <c r="T435" i="11"/>
  <c r="R218" i="11"/>
  <c r="AD218" i="11"/>
  <c r="AD846" i="11"/>
  <c r="Z1043" i="11"/>
  <c r="AA1043" i="11" s="1"/>
  <c r="X348" i="11"/>
  <c r="Z348" i="11" s="1"/>
  <c r="AA348" i="11" s="1"/>
  <c r="AG387" i="11"/>
  <c r="T186" i="11"/>
  <c r="Z186" i="11"/>
  <c r="AA186" i="11" s="1"/>
  <c r="AD186" i="11"/>
  <c r="Z30" i="11"/>
  <c r="AA30" i="11" s="1"/>
  <c r="T30" i="11"/>
  <c r="AD30" i="11"/>
  <c r="P774" i="11"/>
  <c r="Z983" i="11"/>
  <c r="AA983" i="11" s="1"/>
  <c r="AE958" i="11"/>
  <c r="Z281" i="11"/>
  <c r="AA281" i="11" s="1"/>
  <c r="AI65" i="11"/>
  <c r="R648" i="11"/>
  <c r="Q648" i="11"/>
  <c r="S648" i="11" s="1"/>
  <c r="AG64" i="11"/>
  <c r="X64" i="11"/>
  <c r="Z64" i="11" s="1"/>
  <c r="AA64" i="11" s="1"/>
  <c r="X1023" i="11"/>
  <c r="Z1023" i="11" s="1"/>
  <c r="AA1023" i="11" s="1"/>
  <c r="S1023" i="11"/>
  <c r="T1023" i="11" s="1"/>
  <c r="R1023" i="11"/>
  <c r="E70" i="5"/>
  <c r="C78" i="5"/>
  <c r="G76" i="5"/>
  <c r="E84" i="5"/>
  <c r="G90" i="5"/>
  <c r="E91" i="5"/>
  <c r="E79" i="5"/>
  <c r="E80" i="5"/>
  <c r="G79" i="5"/>
  <c r="G91" i="5"/>
  <c r="E82" i="5"/>
  <c r="C91" i="5"/>
  <c r="C84" i="5"/>
  <c r="E72" i="5"/>
  <c r="E78" i="5"/>
  <c r="C82" i="5"/>
  <c r="C93" i="5"/>
  <c r="C83" i="5"/>
  <c r="E93" i="5"/>
  <c r="G84" i="5"/>
  <c r="G70" i="5"/>
  <c r="G82" i="5"/>
  <c r="C79" i="5"/>
  <c r="G93" i="5"/>
  <c r="E83" i="5"/>
  <c r="G80" i="5"/>
  <c r="G78" i="5"/>
  <c r="C70" i="5"/>
  <c r="C77" i="5"/>
  <c r="E77" i="5"/>
  <c r="G77" i="5"/>
  <c r="C76" i="5"/>
  <c r="C80" i="5"/>
  <c r="G72" i="5"/>
  <c r="C72" i="5"/>
  <c r="E76" i="5"/>
  <c r="G83" i="5"/>
  <c r="Z292" i="11"/>
  <c r="AA292" i="11" s="1"/>
  <c r="AD292" i="11"/>
  <c r="T292" i="11"/>
  <c r="AI808" i="11"/>
  <c r="AD808" i="11" s="1"/>
  <c r="AG25" i="11"/>
  <c r="T25" i="11"/>
  <c r="X25" i="11"/>
  <c r="Z25" i="11" s="1"/>
  <c r="AA25" i="11" s="1"/>
  <c r="X764" i="11"/>
  <c r="R764" i="11"/>
  <c r="S179" i="11"/>
  <c r="Y179" i="11" s="1"/>
  <c r="AD179" i="11"/>
  <c r="AM55" i="3"/>
  <c r="Q69" i="11"/>
  <c r="S69" i="11" s="1"/>
  <c r="Y69" i="11" s="1"/>
  <c r="AB368" i="11"/>
  <c r="AC368" i="11" s="1"/>
  <c r="S89" i="11"/>
  <c r="Y89" i="11" s="1"/>
  <c r="P803" i="11"/>
  <c r="AG120" i="11"/>
  <c r="X120" i="11"/>
  <c r="X400" i="11"/>
  <c r="Y425" i="11"/>
  <c r="AG425" i="11"/>
  <c r="Y904" i="11"/>
  <c r="Z904" i="11" s="1"/>
  <c r="AA904" i="11" s="1"/>
  <c r="AI827" i="11"/>
  <c r="X827" i="11"/>
  <c r="W343" i="11"/>
  <c r="AH343" i="11" s="1"/>
  <c r="AE343" i="11"/>
  <c r="U343" i="11"/>
  <c r="V343" i="11"/>
  <c r="T410" i="11"/>
  <c r="T64" i="11"/>
  <c r="AG903" i="11"/>
  <c r="T903" i="11"/>
  <c r="Z925" i="11"/>
  <c r="AA925" i="11" s="1"/>
  <c r="R925" i="11"/>
  <c r="S925" i="11"/>
  <c r="Z221" i="11"/>
  <c r="AA221" i="11" s="1"/>
  <c r="T221" i="11"/>
  <c r="AD221" i="11"/>
  <c r="S364" i="11"/>
  <c r="Y364" i="11" s="1"/>
  <c r="AD364" i="11"/>
  <c r="T646" i="11"/>
  <c r="AD646" i="11"/>
  <c r="AG269" i="11"/>
  <c r="X269" i="11"/>
  <c r="AG349" i="11"/>
  <c r="T349" i="11"/>
  <c r="X349" i="11"/>
  <c r="Z349" i="11" s="1"/>
  <c r="AA349" i="11" s="1"/>
  <c r="R964" i="11"/>
  <c r="Z964" i="11"/>
  <c r="AA964" i="11" s="1"/>
  <c r="AD964" i="11"/>
  <c r="Y964" i="11"/>
  <c r="X964" i="11"/>
  <c r="S964" i="11"/>
  <c r="T964" i="11" s="1"/>
  <c r="AG366" i="11"/>
  <c r="X366" i="11"/>
  <c r="Z366" i="11" s="1"/>
  <c r="AA366" i="11" s="1"/>
  <c r="T366" i="11"/>
  <c r="Y10" i="11"/>
  <c r="AG172" i="11"/>
  <c r="X172" i="11"/>
  <c r="S48" i="5"/>
  <c r="S25" i="5"/>
  <c r="P36" i="5"/>
  <c r="S31" i="5"/>
  <c r="S53" i="5"/>
  <c r="S51" i="5"/>
  <c r="Y140" i="11"/>
  <c r="AG140" i="11"/>
  <c r="Y175" i="11"/>
  <c r="T175" i="11"/>
  <c r="W17" i="11"/>
  <c r="U17" i="11"/>
  <c r="V17" i="11"/>
  <c r="AE17" i="11"/>
  <c r="Q34" i="3"/>
  <c r="T1038" i="11"/>
  <c r="AD62" i="3" s="1"/>
  <c r="AG1038" i="11"/>
  <c r="AG422" i="11"/>
  <c r="X422" i="11"/>
  <c r="U11" i="11"/>
  <c r="V11" i="11"/>
  <c r="W11" i="11"/>
  <c r="AE11" i="11"/>
  <c r="K34" i="3"/>
  <c r="AG402" i="11"/>
  <c r="X402" i="11"/>
  <c r="AG220" i="11"/>
  <c r="X220" i="11"/>
  <c r="AG133" i="11"/>
  <c r="Y133" i="11"/>
  <c r="T133" i="11"/>
  <c r="Y37" i="3" s="1"/>
  <c r="AC47" i="3"/>
  <c r="Z437" i="11"/>
  <c r="AA437" i="11" s="1"/>
  <c r="AG167" i="11"/>
  <c r="X167" i="11"/>
  <c r="AG283" i="11"/>
  <c r="X283" i="11"/>
  <c r="AG965" i="11"/>
  <c r="T965" i="11"/>
  <c r="AE930" i="11"/>
  <c r="W930" i="11"/>
  <c r="U930" i="11"/>
  <c r="V930" i="11"/>
  <c r="Y36" i="11"/>
  <c r="P62" i="11"/>
  <c r="R62" i="11" s="1"/>
  <c r="P67" i="11"/>
  <c r="Y824" i="11"/>
  <c r="T83" i="11"/>
  <c r="AD83" i="11"/>
  <c r="R956" i="11"/>
  <c r="T190" i="11"/>
  <c r="Z190" i="11"/>
  <c r="AA190" i="11" s="1"/>
  <c r="AD983" i="11"/>
  <c r="S54" i="11"/>
  <c r="Y54" i="11" s="1"/>
  <c r="Z843" i="11"/>
  <c r="AA843" i="11" s="1"/>
  <c r="Y843" i="11"/>
  <c r="S832" i="11"/>
  <c r="T832" i="11" s="1"/>
  <c r="AD832" i="11"/>
  <c r="Z426" i="11"/>
  <c r="AA426" i="11" s="1"/>
  <c r="T426" i="11"/>
  <c r="AD270" i="11"/>
  <c r="AI771" i="11"/>
  <c r="AG261" i="11"/>
  <c r="T261" i="11"/>
  <c r="X261" i="11"/>
  <c r="Z261" i="11" s="1"/>
  <c r="AA261" i="11" s="1"/>
  <c r="AG383" i="11"/>
  <c r="X383" i="11"/>
  <c r="Z383" i="11" s="1"/>
  <c r="AA383" i="11" s="1"/>
  <c r="AE922" i="11"/>
  <c r="W922" i="11"/>
  <c r="AH922" i="11" s="1"/>
  <c r="U922" i="11"/>
  <c r="V922" i="11"/>
  <c r="T622" i="11"/>
  <c r="Z622" i="11"/>
  <c r="AA622" i="11" s="1"/>
  <c r="T618" i="11"/>
  <c r="Z618" i="11"/>
  <c r="AA618" i="11" s="1"/>
  <c r="AD369" i="11"/>
  <c r="S59" i="11"/>
  <c r="Y59" i="11" s="1"/>
  <c r="AI67" i="11"/>
  <c r="X173" i="11"/>
  <c r="Z173" i="11" s="1"/>
  <c r="AA173" i="11" s="1"/>
  <c r="T434" i="11"/>
  <c r="Z434" i="11"/>
  <c r="AA434" i="11" s="1"/>
  <c r="R843" i="11"/>
  <c r="Q392" i="11"/>
  <c r="AD392" i="11" s="1"/>
  <c r="Q967" i="11"/>
  <c r="S967" i="11" s="1"/>
  <c r="S918" i="11"/>
  <c r="R918" i="11"/>
  <c r="X918" i="11"/>
  <c r="Z918" i="11" s="1"/>
  <c r="AA918" i="11" s="1"/>
  <c r="AD918" i="11"/>
  <c r="T923" i="11"/>
  <c r="Z923" i="11"/>
  <c r="AA923" i="11" s="1"/>
  <c r="AD923" i="11"/>
  <c r="AI959" i="11"/>
  <c r="R959" i="11" s="1"/>
  <c r="AG959" i="11" s="1"/>
  <c r="AI54" i="11"/>
  <c r="X816" i="11"/>
  <c r="Z816" i="11" s="1"/>
  <c r="AA816" i="11" s="1"/>
  <c r="E33" i="4"/>
  <c r="W1032" i="11"/>
  <c r="U1032" i="11"/>
  <c r="V1032" i="11"/>
  <c r="AE1032" i="11"/>
  <c r="Q786" i="11"/>
  <c r="S786" i="11" s="1"/>
  <c r="T786" i="11" s="1"/>
  <c r="Z894" i="11"/>
  <c r="AA894" i="11" s="1"/>
  <c r="X894" i="11"/>
  <c r="R894" i="11"/>
  <c r="AI71" i="11"/>
  <c r="S71" i="11"/>
  <c r="Y71" i="11" s="1"/>
  <c r="P71" i="11"/>
  <c r="R71" i="11" s="1"/>
  <c r="AI949" i="11"/>
  <c r="Z828" i="11"/>
  <c r="AA828" i="11" s="1"/>
  <c r="S828" i="11"/>
  <c r="T138" i="11"/>
  <c r="AD622" i="11"/>
  <c r="AD1006" i="11"/>
  <c r="P817" i="11"/>
  <c r="AD817" i="11" s="1"/>
  <c r="AD618" i="11"/>
  <c r="S890" i="11"/>
  <c r="T890" i="11" s="1"/>
  <c r="R974" i="11"/>
  <c r="T857" i="11"/>
  <c r="X857" i="11"/>
  <c r="Z857" i="11" s="1"/>
  <c r="AA857" i="11" s="1"/>
  <c r="AD857" i="11"/>
  <c r="R857" i="11"/>
  <c r="AG857" i="11" s="1"/>
  <c r="T424" i="11"/>
  <c r="AG424" i="11"/>
  <c r="X126" i="11"/>
  <c r="Z126" i="11" s="1"/>
  <c r="AA126" i="11" s="1"/>
  <c r="AG126" i="11"/>
  <c r="T126" i="11"/>
  <c r="AG107" i="11"/>
  <c r="X107" i="11"/>
  <c r="AI794" i="11"/>
  <c r="AD434" i="11"/>
  <c r="X802" i="11"/>
  <c r="S802" i="11"/>
  <c r="Y802" i="11"/>
  <c r="AG797" i="11"/>
  <c r="AG769" i="11"/>
  <c r="T769" i="11"/>
  <c r="Z119" i="11"/>
  <c r="AA119" i="11" s="1"/>
  <c r="T119" i="11"/>
  <c r="I68" i="5"/>
  <c r="I91" i="5"/>
  <c r="I86" i="5"/>
  <c r="F84" i="5"/>
  <c r="H81" i="5"/>
  <c r="J93" i="5"/>
  <c r="I73" i="5"/>
  <c r="F78" i="5"/>
  <c r="I93" i="5"/>
  <c r="I89" i="5"/>
  <c r="J85" i="5"/>
  <c r="Z1015" i="11"/>
  <c r="AA1015" i="11" s="1"/>
  <c r="AG973" i="11"/>
  <c r="T973" i="11"/>
  <c r="Q961" i="11"/>
  <c r="AD961" i="11" s="1"/>
  <c r="Q823" i="11"/>
  <c r="S823" i="11" s="1"/>
  <c r="T823" i="11" s="1"/>
  <c r="T108" i="11"/>
  <c r="AG108" i="11"/>
  <c r="X108" i="11"/>
  <c r="Z108" i="11" s="1"/>
  <c r="AA108" i="11" s="1"/>
  <c r="P72" i="11"/>
  <c r="R72" i="11" s="1"/>
  <c r="AI955" i="11"/>
  <c r="R955" i="11" s="1"/>
  <c r="R856" i="11"/>
  <c r="AD856" i="11"/>
  <c r="AD289" i="11"/>
  <c r="S127" i="11"/>
  <c r="AG1032" i="11"/>
  <c r="X630" i="11"/>
  <c r="Z630" i="11" s="1"/>
  <c r="AA630" i="11" s="1"/>
  <c r="AD825" i="11"/>
  <c r="AG626" i="11"/>
  <c r="T626" i="11"/>
  <c r="S857" i="11"/>
  <c r="AG418" i="11"/>
  <c r="T418" i="11"/>
  <c r="R860" i="11"/>
  <c r="AG860" i="11" s="1"/>
  <c r="T339" i="11"/>
  <c r="R968" i="11"/>
  <c r="AI963" i="11"/>
  <c r="AD963" i="11" s="1"/>
  <c r="Y814" i="11"/>
  <c r="R814" i="11"/>
  <c r="F35" i="4"/>
  <c r="S765" i="11"/>
  <c r="X765" i="11"/>
  <c r="S956" i="11"/>
  <c r="AG1034" i="11"/>
  <c r="T1034" i="11"/>
  <c r="AD1043" i="11"/>
  <c r="S372" i="11"/>
  <c r="Y372" i="11" s="1"/>
  <c r="Z977" i="11"/>
  <c r="AA977" i="11" s="1"/>
  <c r="X387" i="11"/>
  <c r="Z387" i="11" s="1"/>
  <c r="AA387" i="11" s="1"/>
  <c r="Q831" i="11"/>
  <c r="T421" i="11"/>
  <c r="AD421" i="11"/>
  <c r="Z421" i="11"/>
  <c r="AA421" i="11" s="1"/>
  <c r="AD164" i="11"/>
  <c r="Z164" i="11"/>
  <c r="AA164" i="11" s="1"/>
  <c r="T164" i="11"/>
  <c r="S77" i="11"/>
  <c r="R1014" i="11"/>
  <c r="AG1014" i="11" s="1"/>
  <c r="S869" i="11"/>
  <c r="AD869" i="11"/>
  <c r="Z184" i="11"/>
  <c r="AA184" i="11" s="1"/>
  <c r="T184" i="11"/>
  <c r="AB808" i="11"/>
  <c r="AC808" i="11" s="1"/>
  <c r="Z764" i="11"/>
  <c r="AA764" i="11" s="1"/>
  <c r="R148" i="11"/>
  <c r="P69" i="11"/>
  <c r="R69" i="11" s="1"/>
  <c r="T120" i="11"/>
  <c r="Z120" i="11"/>
  <c r="AA120" i="11" s="1"/>
  <c r="S368" i="11"/>
  <c r="Y368" i="11" s="1"/>
  <c r="S1041" i="11"/>
  <c r="T1041" i="11" s="1"/>
  <c r="Q76" i="11"/>
  <c r="S76" i="11" s="1"/>
  <c r="AG8" i="11"/>
  <c r="T8" i="11"/>
  <c r="X8" i="11"/>
  <c r="S809" i="11"/>
  <c r="AI396" i="11"/>
  <c r="S400" i="11"/>
  <c r="AE939" i="11"/>
  <c r="W939" i="11"/>
  <c r="AH939" i="11" s="1"/>
  <c r="U939" i="11"/>
  <c r="V939" i="11"/>
  <c r="AD418" i="11"/>
  <c r="Z1016" i="11"/>
  <c r="AA1016" i="11" s="1"/>
  <c r="AD853" i="11"/>
  <c r="AD410" i="11"/>
  <c r="Y68" i="11"/>
  <c r="AG999" i="11"/>
  <c r="T999" i="11"/>
  <c r="E37" i="4"/>
  <c r="S395" i="11"/>
  <c r="Y395" i="11" s="1"/>
  <c r="AD395" i="11"/>
  <c r="T91" i="11"/>
  <c r="AD91" i="11"/>
  <c r="Q38" i="5"/>
  <c r="Z351" i="11"/>
  <c r="AA351" i="11" s="1"/>
  <c r="AG160" i="11"/>
  <c r="X160" i="11"/>
  <c r="X628" i="11"/>
  <c r="AG628" i="11"/>
  <c r="W629" i="11"/>
  <c r="U629" i="11"/>
  <c r="AE629" i="11"/>
  <c r="V629" i="11"/>
  <c r="T877" i="11"/>
  <c r="Y782" i="11"/>
  <c r="T944" i="11"/>
  <c r="Y6" i="11"/>
  <c r="Y20" i="11"/>
  <c r="AG985" i="11"/>
  <c r="T985" i="11"/>
  <c r="AD346" i="11"/>
  <c r="R346" i="11"/>
  <c r="AG1041" i="11"/>
  <c r="X967" i="11"/>
  <c r="Z967" i="11" s="1"/>
  <c r="AA967" i="11" s="1"/>
  <c r="AG993" i="11"/>
  <c r="T993" i="11"/>
  <c r="X954" i="11"/>
  <c r="Z954" i="11" s="1"/>
  <c r="AA954" i="11" s="1"/>
  <c r="Y967" i="11"/>
  <c r="P54" i="11"/>
  <c r="AG796" i="11"/>
  <c r="P771" i="11"/>
  <c r="AG1048" i="11"/>
  <c r="T1048" i="11"/>
  <c r="AG1045" i="11"/>
  <c r="S843" i="11"/>
  <c r="Z631" i="11"/>
  <c r="AA631" i="11" s="1"/>
  <c r="T631" i="11"/>
  <c r="AD631" i="11"/>
  <c r="P384" i="11"/>
  <c r="R384" i="11" s="1"/>
  <c r="T387" i="11"/>
  <c r="Y8" i="11"/>
  <c r="T290" i="11"/>
  <c r="AG339" i="11"/>
  <c r="X339" i="11"/>
  <c r="Z339" i="11" s="1"/>
  <c r="AA339" i="11" s="1"/>
  <c r="X147" i="11"/>
  <c r="Z147" i="11" s="1"/>
  <c r="AA147" i="11" s="1"/>
  <c r="T147" i="11"/>
  <c r="AM37" i="3" s="1"/>
  <c r="AG147" i="11"/>
  <c r="AG22" i="11"/>
  <c r="X22" i="11"/>
  <c r="AD149" i="11"/>
  <c r="S149" i="11"/>
  <c r="P824" i="11"/>
  <c r="R824" i="11" s="1"/>
  <c r="Z627" i="11"/>
  <c r="AA627" i="11" s="1"/>
  <c r="T627" i="11"/>
  <c r="AD627" i="11"/>
  <c r="AG81" i="11"/>
  <c r="J83" i="5"/>
  <c r="D80" i="5"/>
  <c r="J73" i="5"/>
  <c r="H93" i="5"/>
  <c r="H75" i="5"/>
  <c r="F72" i="5"/>
  <c r="H79" i="5"/>
  <c r="J68" i="5"/>
  <c r="Y34" i="11"/>
  <c r="X205" i="11"/>
  <c r="Z205" i="11" s="1"/>
  <c r="AA205" i="11" s="1"/>
  <c r="AG205" i="11"/>
  <c r="T205" i="11"/>
  <c r="U839" i="11"/>
  <c r="V839" i="11"/>
  <c r="W839" i="11"/>
  <c r="AE839" i="11"/>
  <c r="S894" i="11"/>
  <c r="T894" i="11" s="1"/>
  <c r="Y902" i="11"/>
  <c r="R784" i="11"/>
  <c r="T784" i="11" s="1"/>
  <c r="X212" i="11"/>
  <c r="Z212" i="11" s="1"/>
  <c r="AA212" i="11" s="1"/>
  <c r="AD74" i="11"/>
  <c r="AG1009" i="11"/>
  <c r="R376" i="11"/>
  <c r="AG376" i="11" s="1"/>
  <c r="T915" i="11"/>
  <c r="S915" i="11"/>
  <c r="AD915" i="11"/>
  <c r="Y881" i="11"/>
  <c r="Z881" i="11" s="1"/>
  <c r="AA881" i="11" s="1"/>
  <c r="P822" i="11"/>
  <c r="R822" i="11" s="1"/>
  <c r="AB825" i="11"/>
  <c r="AC825" i="11" s="1"/>
  <c r="T379" i="11"/>
  <c r="T272" i="11"/>
  <c r="AG272" i="11"/>
  <c r="X155" i="11"/>
  <c r="Z155" i="11" s="1"/>
  <c r="AA155" i="11" s="1"/>
  <c r="Y415" i="11"/>
  <c r="Z415" i="11" s="1"/>
  <c r="AA415" i="11" s="1"/>
  <c r="T415" i="11"/>
  <c r="AG415" i="11"/>
  <c r="X162" i="11"/>
  <c r="AG162" i="11"/>
  <c r="Y968" i="11"/>
  <c r="T260" i="11"/>
  <c r="AD818" i="11"/>
  <c r="AI818" i="11"/>
  <c r="R765" i="11"/>
  <c r="AG765" i="11" s="1"/>
  <c r="T425" i="11"/>
  <c r="Z425" i="11"/>
  <c r="AA425" i="11" s="1"/>
  <c r="AD425" i="11"/>
  <c r="Z973" i="11"/>
  <c r="AA973" i="11" s="1"/>
  <c r="P831" i="11"/>
  <c r="AD831" i="11" s="1"/>
  <c r="R405" i="11"/>
  <c r="X1014" i="11"/>
  <c r="Z1014" i="11" s="1"/>
  <c r="AA1014" i="11" s="1"/>
  <c r="S1021" i="11"/>
  <c r="T1021" i="11" s="1"/>
  <c r="AD776" i="11"/>
  <c r="R776" i="11"/>
  <c r="Q65" i="11"/>
  <c r="P58" i="11"/>
  <c r="R58" i="11" s="1"/>
  <c r="AI58" i="11"/>
  <c r="AD58" i="11" s="1"/>
  <c r="AD819" i="11"/>
  <c r="R819" i="11"/>
  <c r="AD158" i="11"/>
  <c r="Y260" i="11"/>
  <c r="Z260" i="11" s="1"/>
  <c r="AA260" i="11" s="1"/>
  <c r="AG260" i="11"/>
  <c r="AD929" i="11"/>
  <c r="S929" i="11"/>
  <c r="D36" i="4"/>
  <c r="AE815" i="11"/>
  <c r="W815" i="11"/>
  <c r="AH815" i="11" s="1"/>
  <c r="U815" i="11"/>
  <c r="V815" i="11"/>
  <c r="S1029" i="11"/>
  <c r="T1029" i="11" s="1"/>
  <c r="AI803" i="11"/>
  <c r="AD956" i="11"/>
  <c r="AD191" i="11"/>
  <c r="R1016" i="11"/>
  <c r="R1010" i="11"/>
  <c r="T858" i="11"/>
  <c r="S858" i="11"/>
  <c r="Y858" i="11"/>
  <c r="X858" i="11"/>
  <c r="Z858" i="11" s="1"/>
  <c r="AA858" i="11" s="1"/>
  <c r="R858" i="11"/>
  <c r="AG858" i="11" s="1"/>
  <c r="AD858" i="11"/>
  <c r="T180" i="11"/>
  <c r="Z180" i="11"/>
  <c r="AA180" i="11" s="1"/>
  <c r="AD180" i="11"/>
  <c r="T417" i="11"/>
  <c r="AD417" i="11"/>
  <c r="AD866" i="11"/>
  <c r="R866" i="11"/>
  <c r="S28" i="5"/>
  <c r="S47" i="5"/>
  <c r="M37" i="3"/>
  <c r="AA34" i="3"/>
  <c r="T830" i="11"/>
  <c r="AG953" i="11"/>
  <c r="T953" i="11"/>
  <c r="S24" i="5"/>
  <c r="AG197" i="11"/>
  <c r="X197" i="11"/>
  <c r="AL63" i="3"/>
  <c r="Z133" i="11"/>
  <c r="AA133" i="11" s="1"/>
  <c r="AE105" i="11"/>
  <c r="V105" i="11"/>
  <c r="U105" i="11"/>
  <c r="W105" i="11"/>
  <c r="AG52" i="3"/>
  <c r="AE899" i="11"/>
  <c r="W899" i="11"/>
  <c r="V899" i="11"/>
  <c r="U899" i="11"/>
  <c r="AG123" i="11"/>
  <c r="X123" i="11"/>
  <c r="AG780" i="11"/>
  <c r="T780" i="11"/>
  <c r="AG87" i="11"/>
  <c r="X87" i="11"/>
  <c r="AG286" i="11"/>
  <c r="X286" i="11"/>
  <c r="AG766" i="11"/>
  <c r="T766" i="11"/>
  <c r="T799" i="11"/>
  <c r="T47" i="11"/>
  <c r="H28" i="5" s="1"/>
  <c r="J58" i="3"/>
  <c r="AG19" i="11"/>
  <c r="Y19" i="11"/>
  <c r="AC40" i="3"/>
  <c r="G61" i="3"/>
  <c r="AE920" i="11"/>
  <c r="W920" i="11"/>
  <c r="AH920" i="11" s="1"/>
  <c r="V920" i="11"/>
  <c r="U920" i="11"/>
  <c r="Y27" i="11"/>
  <c r="AD771" i="11"/>
  <c r="AG281" i="11"/>
  <c r="T281" i="11"/>
  <c r="Z41" i="11"/>
  <c r="AA41" i="11" s="1"/>
  <c r="T41" i="11"/>
  <c r="AD41" i="11"/>
  <c r="Y771" i="11"/>
  <c r="S771" i="11"/>
  <c r="AG917" i="11"/>
  <c r="T917" i="11"/>
  <c r="AG915" i="11"/>
  <c r="S397" i="11"/>
  <c r="Q54" i="5" s="1"/>
  <c r="AD397" i="11"/>
  <c r="Q67" i="11"/>
  <c r="S67" i="11" s="1"/>
  <c r="T393" i="11"/>
  <c r="Z393" i="11"/>
  <c r="AA393" i="11" s="1"/>
  <c r="AD393" i="11"/>
  <c r="AG362" i="11"/>
  <c r="X362" i="11"/>
  <c r="Z362" i="11" s="1"/>
  <c r="AA362" i="11" s="1"/>
  <c r="AG95" i="11"/>
  <c r="X95" i="11"/>
  <c r="Z95" i="11" s="1"/>
  <c r="AA95" i="11" s="1"/>
  <c r="AG83" i="11"/>
  <c r="X83" i="11"/>
  <c r="Z83" i="11" s="1"/>
  <c r="AA83" i="11" s="1"/>
  <c r="AG34" i="11"/>
  <c r="AG881" i="11"/>
  <c r="AD141" i="11"/>
  <c r="R141" i="11"/>
  <c r="P50" i="5" s="1"/>
  <c r="T159" i="11"/>
  <c r="AG159" i="11"/>
  <c r="X159" i="11"/>
  <c r="Z159" i="11" s="1"/>
  <c r="AA159" i="11" s="1"/>
  <c r="AE1043" i="11"/>
  <c r="W1043" i="11"/>
  <c r="U1043" i="11"/>
  <c r="V1043" i="11"/>
  <c r="AD967" i="11"/>
  <c r="S959" i="11"/>
  <c r="P959" i="11"/>
  <c r="R54" i="11"/>
  <c r="AG54" i="11" s="1"/>
  <c r="X54" i="11"/>
  <c r="AD42" i="11"/>
  <c r="Z42" i="11"/>
  <c r="AA42" i="11" s="1"/>
  <c r="T42" i="11"/>
  <c r="AG289" i="11"/>
  <c r="W216" i="11"/>
  <c r="AH216" i="11" s="1"/>
  <c r="V216" i="11"/>
  <c r="U216" i="11"/>
  <c r="AE216" i="11"/>
  <c r="Z200" i="11"/>
  <c r="AA200" i="11" s="1"/>
  <c r="T200" i="11"/>
  <c r="X771" i="11"/>
  <c r="Q62" i="11"/>
  <c r="S62" i="11" s="1"/>
  <c r="V767" i="11"/>
  <c r="AE767" i="11"/>
  <c r="U767" i="11"/>
  <c r="W767" i="11"/>
  <c r="AH767" i="11" s="1"/>
  <c r="Y182" i="11"/>
  <c r="Z182" i="11" s="1"/>
  <c r="AA182" i="11" s="1"/>
  <c r="P949" i="11"/>
  <c r="R949" i="11"/>
  <c r="T811" i="11"/>
  <c r="AD811" i="11"/>
  <c r="AD190" i="11"/>
  <c r="Z9" i="11"/>
  <c r="AA9" i="11" s="1"/>
  <c r="T9" i="11"/>
  <c r="AD9" i="11"/>
  <c r="T34" i="11"/>
  <c r="AD34" i="11"/>
  <c r="Z34" i="11"/>
  <c r="AA34" i="11" s="1"/>
  <c r="Q384" i="11"/>
  <c r="S384" i="11" s="1"/>
  <c r="R998" i="11"/>
  <c r="AG998" i="11" s="1"/>
  <c r="Y817" i="11"/>
  <c r="S817" i="11"/>
  <c r="T182" i="11"/>
  <c r="R67" i="11"/>
  <c r="X67" i="11" s="1"/>
  <c r="R840" i="11"/>
  <c r="AG840" i="11" s="1"/>
  <c r="X840" i="11"/>
  <c r="Z840" i="11" s="1"/>
  <c r="AA840" i="11" s="1"/>
  <c r="AD840" i="11"/>
  <c r="T860" i="11"/>
  <c r="Z860" i="11"/>
  <c r="AA860" i="11" s="1"/>
  <c r="AD860" i="11"/>
  <c r="Y860" i="11"/>
  <c r="Q945" i="11"/>
  <c r="AD945" i="11" s="1"/>
  <c r="S945" i="11"/>
  <c r="X1036" i="11"/>
  <c r="Z1036" i="11" s="1"/>
  <c r="AA1036" i="11" s="1"/>
  <c r="T1036" i="11"/>
  <c r="R1036" i="11"/>
  <c r="AG1036" i="11" s="1"/>
  <c r="Y1036" i="11"/>
  <c r="Y811" i="11"/>
  <c r="Z811" i="11" s="1"/>
  <c r="AA811" i="11" s="1"/>
  <c r="T971" i="11"/>
  <c r="X971" i="11"/>
  <c r="S971" i="11"/>
  <c r="AG971" i="11" s="1"/>
  <c r="AD971" i="11"/>
  <c r="X81" i="11"/>
  <c r="Z81" i="11" s="1"/>
  <c r="AA81" i="11" s="1"/>
  <c r="F77" i="5"/>
  <c r="D93" i="5"/>
  <c r="I87" i="5"/>
  <c r="H83" i="5"/>
  <c r="D76" i="5"/>
  <c r="J77" i="5"/>
  <c r="F76" i="5"/>
  <c r="I72" i="5"/>
  <c r="H80" i="5"/>
  <c r="I69" i="5"/>
  <c r="F70" i="5"/>
  <c r="P380" i="11"/>
  <c r="R380" i="11" s="1"/>
  <c r="X912" i="11"/>
  <c r="Z912" i="11" s="1"/>
  <c r="AA912" i="11" s="1"/>
  <c r="Z961" i="11"/>
  <c r="AA961" i="11" s="1"/>
  <c r="AD902" i="11"/>
  <c r="X784" i="11"/>
  <c r="Z784" i="11" s="1"/>
  <c r="AA784" i="11" s="1"/>
  <c r="S784" i="11"/>
  <c r="T89" i="11"/>
  <c r="Z89" i="11"/>
  <c r="AA89" i="11" s="1"/>
  <c r="AD879" i="11"/>
  <c r="T1026" i="11"/>
  <c r="Q972" i="11"/>
  <c r="S972" i="11" s="1"/>
  <c r="T972" i="11" s="1"/>
  <c r="Y972" i="11"/>
  <c r="Z972" i="11" s="1"/>
  <c r="AA972" i="11" s="1"/>
  <c r="AG29" i="11"/>
  <c r="X29" i="11"/>
  <c r="Z29" i="11" s="1"/>
  <c r="AA29" i="11" s="1"/>
  <c r="AD1009" i="11"/>
  <c r="AD843" i="11"/>
  <c r="AD35" i="11"/>
  <c r="S35" i="11"/>
  <c r="AB376" i="11"/>
  <c r="AC376" i="11" s="1"/>
  <c r="S33" i="5" s="1"/>
  <c r="X915" i="11"/>
  <c r="Z915" i="11" s="1"/>
  <c r="AA915" i="11" s="1"/>
  <c r="R863" i="11"/>
  <c r="AD881" i="11"/>
  <c r="Y914" i="11"/>
  <c r="T914" i="11"/>
  <c r="AD914" i="11"/>
  <c r="S914" i="11"/>
  <c r="R914" i="11"/>
  <c r="X914" i="11"/>
  <c r="Z914" i="11" s="1"/>
  <c r="AA914" i="11" s="1"/>
  <c r="Z649" i="11"/>
  <c r="AA649" i="11" s="1"/>
  <c r="T649" i="11"/>
  <c r="AD649" i="11"/>
  <c r="Z974" i="11"/>
  <c r="AA974" i="11" s="1"/>
  <c r="T974" i="11"/>
  <c r="S974" i="11"/>
  <c r="X974" i="11"/>
  <c r="S896" i="11"/>
  <c r="AD896" i="11"/>
  <c r="AD382" i="11"/>
  <c r="R382" i="11"/>
  <c r="Z130" i="11"/>
  <c r="AA130" i="11" s="1"/>
  <c r="T130" i="11"/>
  <c r="X98" i="11"/>
  <c r="AG98" i="11"/>
  <c r="AD907" i="11"/>
  <c r="AD73" i="11"/>
  <c r="S968" i="11"/>
  <c r="S963" i="11"/>
  <c r="AD183" i="11"/>
  <c r="R183" i="11"/>
  <c r="Y818" i="11"/>
  <c r="Y765" i="11"/>
  <c r="Z936" i="11"/>
  <c r="AA936" i="11" s="1"/>
  <c r="R936" i="11"/>
  <c r="Y936" i="11"/>
  <c r="S936" i="11"/>
  <c r="X936" i="11"/>
  <c r="S906" i="11"/>
  <c r="R161" i="11"/>
  <c r="AD161" i="11"/>
  <c r="P372" i="11"/>
  <c r="R372" i="11" s="1"/>
  <c r="AI372" i="11"/>
  <c r="R137" i="11"/>
  <c r="AD137" i="11"/>
  <c r="AD965" i="11"/>
  <c r="AG89" i="11"/>
  <c r="Q63" i="11"/>
  <c r="S63" i="11" s="1"/>
  <c r="AI774" i="11"/>
  <c r="X1021" i="11"/>
  <c r="Z1021" i="11" s="1"/>
  <c r="AA1021" i="11" s="1"/>
  <c r="Y988" i="11"/>
  <c r="R169" i="11"/>
  <c r="AD169" i="11"/>
  <c r="S951" i="11"/>
  <c r="Z61" i="11"/>
  <c r="AA61" i="11" s="1"/>
  <c r="T61" i="11"/>
  <c r="P808" i="11"/>
  <c r="R808" i="11" s="1"/>
  <c r="AG808" i="11" s="1"/>
  <c r="AD1030" i="11"/>
  <c r="AG168" i="11"/>
  <c r="T168" i="11"/>
  <c r="T980" i="11"/>
  <c r="AG980" i="11"/>
  <c r="AI69" i="11"/>
  <c r="AD69" i="11" s="1"/>
  <c r="P368" i="11"/>
  <c r="R368" i="11" s="1"/>
  <c r="AI368" i="11"/>
  <c r="X1029" i="11"/>
  <c r="Z1029" i="11" s="1"/>
  <c r="AA1029" i="11" s="1"/>
  <c r="AD76" i="11"/>
  <c r="AI76" i="11"/>
  <c r="T362" i="11"/>
  <c r="T833" i="11"/>
  <c r="AE40" i="11"/>
  <c r="W40" i="11"/>
  <c r="U40" i="11"/>
  <c r="V40" i="11"/>
  <c r="AN34" i="3"/>
  <c r="S853" i="11"/>
  <c r="T853" i="11" s="1"/>
  <c r="S789" i="11"/>
  <c r="R834" i="11"/>
  <c r="W367" i="11"/>
  <c r="AH367" i="11" s="1"/>
  <c r="AE367" i="11"/>
  <c r="V367" i="11"/>
  <c r="U367" i="11"/>
  <c r="F37" i="4"/>
  <c r="Y1003" i="11"/>
  <c r="T385" i="11"/>
  <c r="AD385" i="11"/>
  <c r="Q52" i="11"/>
  <c r="AD52" i="11" s="1"/>
  <c r="Q34" i="5"/>
  <c r="S40" i="5"/>
  <c r="AN48" i="3"/>
  <c r="AG642" i="11"/>
  <c r="X642" i="11"/>
  <c r="P24" i="5"/>
  <c r="Q43" i="3"/>
  <c r="H60" i="3"/>
  <c r="Y7" i="11"/>
  <c r="Z7" i="11" s="1"/>
  <c r="AA7" i="11" s="1"/>
  <c r="T7" i="11"/>
  <c r="AG7" i="11"/>
  <c r="AB49" i="3"/>
  <c r="AG335" i="11"/>
  <c r="X335" i="11"/>
  <c r="T966" i="11"/>
  <c r="AG646" i="11"/>
  <c r="X646" i="11"/>
  <c r="Z646" i="11" s="1"/>
  <c r="AA646" i="11" s="1"/>
  <c r="AG647" i="11"/>
  <c r="X647" i="11"/>
  <c r="AG97" i="11"/>
  <c r="X97" i="11"/>
  <c r="AG176" i="11"/>
  <c r="X176" i="11"/>
  <c r="AG926" i="11"/>
  <c r="T1022" i="11"/>
  <c r="AG1022" i="11"/>
  <c r="AD408" i="11"/>
  <c r="AG369" i="11"/>
  <c r="X369" i="11"/>
  <c r="AG104" i="11"/>
  <c r="X104" i="11"/>
  <c r="T956" i="11"/>
  <c r="D37" i="4" s="1"/>
  <c r="Y956" i="11"/>
  <c r="Z956" i="11" s="1"/>
  <c r="AA956" i="11" s="1"/>
  <c r="AD768" i="11"/>
  <c r="R768" i="11"/>
  <c r="AG946" i="11"/>
  <c r="AG379" i="11"/>
  <c r="X379" i="11"/>
  <c r="Z379" i="11" s="1"/>
  <c r="AA379" i="11" s="1"/>
  <c r="AG409" i="11"/>
  <c r="Z104" i="11"/>
  <c r="AA104" i="11" s="1"/>
  <c r="T104" i="11"/>
  <c r="AG893" i="11"/>
  <c r="T893" i="11"/>
  <c r="T210" i="11"/>
  <c r="Z210" i="11"/>
  <c r="AA210" i="11" s="1"/>
  <c r="X824" i="11"/>
  <c r="Z824" i="11" s="1"/>
  <c r="AA824" i="11" s="1"/>
  <c r="X289" i="11"/>
  <c r="Z289" i="11" s="1"/>
  <c r="AA289" i="11" s="1"/>
  <c r="H69" i="5"/>
  <c r="I74" i="5"/>
  <c r="I88" i="5"/>
  <c r="D83" i="5"/>
  <c r="I84" i="5"/>
  <c r="D72" i="5"/>
  <c r="J81" i="5"/>
  <c r="D70" i="5"/>
  <c r="H72" i="5"/>
  <c r="I67" i="5"/>
  <c r="H70" i="5"/>
  <c r="AG886" i="11"/>
  <c r="T886" i="11"/>
  <c r="Q380" i="11"/>
  <c r="S380" i="11" s="1"/>
  <c r="Y380" i="11" s="1"/>
  <c r="AG785" i="11"/>
  <c r="T785" i="11"/>
  <c r="T883" i="11"/>
  <c r="S883" i="11"/>
  <c r="AG883" i="11" s="1"/>
  <c r="AD883" i="11"/>
  <c r="Y883" i="11"/>
  <c r="Z883" i="11" s="1"/>
  <c r="AA883" i="11" s="1"/>
  <c r="AD984" i="11"/>
  <c r="S984" i="11"/>
  <c r="T984" i="11" s="1"/>
  <c r="S641" i="11"/>
  <c r="T880" i="11"/>
  <c r="Y12" i="11"/>
  <c r="AG12" i="11"/>
  <c r="AD377" i="11"/>
  <c r="T377" i="11"/>
  <c r="T948" i="11"/>
  <c r="AG412" i="11"/>
  <c r="Y918" i="11"/>
  <c r="Y347" i="11"/>
  <c r="Z347" i="11" s="1"/>
  <c r="AA347" i="11" s="1"/>
  <c r="AG347" i="11"/>
  <c r="AD132" i="11"/>
  <c r="T879" i="11"/>
  <c r="AG290" i="11"/>
  <c r="X290" i="11"/>
  <c r="Z290" i="11" s="1"/>
  <c r="AA290" i="11" s="1"/>
  <c r="AD182" i="11"/>
  <c r="X213" i="11"/>
  <c r="Z213" i="11" s="1"/>
  <c r="AA213" i="11" s="1"/>
  <c r="AG213" i="11"/>
  <c r="T213" i="11"/>
  <c r="AG805" i="11"/>
  <c r="T805" i="11"/>
  <c r="S55" i="11"/>
  <c r="AD55" i="11"/>
  <c r="Z870" i="11"/>
  <c r="AA870" i="11" s="1"/>
  <c r="R870" i="11"/>
  <c r="AG870" i="11" s="1"/>
  <c r="AD870" i="11"/>
  <c r="Z143" i="11"/>
  <c r="AA143" i="11" s="1"/>
  <c r="X60" i="11"/>
  <c r="Z60" i="11" s="1"/>
  <c r="AA60" i="11" s="1"/>
  <c r="AG60" i="11"/>
  <c r="AG50" i="11"/>
  <c r="X50" i="11"/>
  <c r="Z50" i="11" s="1"/>
  <c r="AA50" i="11" s="1"/>
  <c r="T50" i="11"/>
  <c r="AD189" i="11"/>
  <c r="S189" i="11"/>
  <c r="Q26" i="5" s="1"/>
  <c r="T765" i="11"/>
  <c r="AE765" i="11" s="1"/>
  <c r="T888" i="11"/>
  <c r="Y971" i="11"/>
  <c r="Z971" i="11" s="1"/>
  <c r="AA971" i="11" s="1"/>
  <c r="T266" i="11"/>
  <c r="Q58" i="5"/>
  <c r="AD426" i="11"/>
  <c r="X271" i="11"/>
  <c r="Z271" i="11" s="1"/>
  <c r="AA271" i="11" s="1"/>
  <c r="S831" i="11"/>
  <c r="R1005" i="11"/>
  <c r="R386" i="11"/>
  <c r="P63" i="11"/>
  <c r="AD63" i="11" s="1"/>
  <c r="AB63" i="11"/>
  <c r="AC63" i="11" s="1"/>
  <c r="S44" i="5" s="1"/>
  <c r="AB77" i="11"/>
  <c r="AC77" i="11" s="1"/>
  <c r="S58" i="5" s="1"/>
  <c r="R77" i="11"/>
  <c r="I65" i="5" s="1"/>
  <c r="AB774" i="11"/>
  <c r="AC774" i="11" s="1"/>
  <c r="S35" i="5" s="1"/>
  <c r="Z162" i="11"/>
  <c r="AA162" i="11" s="1"/>
  <c r="AD162" i="11"/>
  <c r="T162" i="11"/>
  <c r="S65" i="11"/>
  <c r="Y65" i="11" s="1"/>
  <c r="AD98" i="11"/>
  <c r="T98" i="11"/>
  <c r="Z98" i="11"/>
  <c r="AA98" i="11" s="1"/>
  <c r="X145" i="11"/>
  <c r="Z145" i="11" s="1"/>
  <c r="AA145" i="11" s="1"/>
  <c r="X951" i="11"/>
  <c r="Z951" i="11" s="1"/>
  <c r="AA951" i="11" s="1"/>
  <c r="P810" i="11"/>
  <c r="R810" i="11"/>
  <c r="AI810" i="11"/>
  <c r="S810" i="11" s="1"/>
  <c r="S808" i="11"/>
  <c r="Q764" i="11"/>
  <c r="S764" i="11" s="1"/>
  <c r="S56" i="11"/>
  <c r="Y56" i="11" s="1"/>
  <c r="Q70" i="11"/>
  <c r="AD70" i="11" s="1"/>
  <c r="X70" i="11"/>
  <c r="P44" i="11"/>
  <c r="AD44" i="11" s="1"/>
  <c r="Q44" i="11"/>
  <c r="S44" i="11" s="1"/>
  <c r="AG1015" i="11"/>
  <c r="T1015" i="11"/>
  <c r="Y377" i="11"/>
  <c r="Z377" i="11" s="1"/>
  <c r="AA377" i="11" s="1"/>
  <c r="AG377" i="11"/>
  <c r="AD134" i="11"/>
  <c r="AI400" i="11"/>
  <c r="AD400" i="11"/>
  <c r="Y400" i="11"/>
  <c r="AG1007" i="11"/>
  <c r="T1007" i="11"/>
  <c r="T12" i="11"/>
  <c r="AD79" i="11"/>
  <c r="X789" i="11"/>
  <c r="S42" i="5"/>
  <c r="P40" i="5"/>
  <c r="AO51" i="3"/>
  <c r="AB632" i="11"/>
  <c r="AC632" i="11" s="1"/>
  <c r="S37" i="5" s="1"/>
  <c r="Q48" i="3"/>
  <c r="T867" i="11"/>
  <c r="V263" i="11"/>
  <c r="W263" i="11"/>
  <c r="U263" i="11"/>
  <c r="AE263" i="11"/>
  <c r="AG106" i="11"/>
  <c r="X106" i="11"/>
  <c r="AG57" i="11"/>
  <c r="X57" i="11"/>
  <c r="K57" i="3"/>
  <c r="V54" i="3"/>
  <c r="W374" i="11"/>
  <c r="V374" i="11"/>
  <c r="U374" i="11"/>
  <c r="AE374" i="11"/>
  <c r="W94" i="11"/>
  <c r="V94" i="11"/>
  <c r="U94" i="11"/>
  <c r="AE94" i="11"/>
  <c r="T185" i="11"/>
  <c r="T975" i="11"/>
  <c r="AN36" i="3"/>
  <c r="AG91" i="11"/>
  <c r="X91" i="11"/>
  <c r="Z91" i="11" s="1"/>
  <c r="AA91" i="11" s="1"/>
  <c r="AL51" i="3"/>
  <c r="AM51" i="3"/>
  <c r="AH51" i="3"/>
  <c r="AJ62" i="3"/>
  <c r="R62" i="3"/>
  <c r="AK37" i="3"/>
  <c r="AE37" i="3"/>
  <c r="R632" i="11"/>
  <c r="T632" i="11" s="1"/>
  <c r="AG48" i="3"/>
  <c r="AH48" i="3"/>
  <c r="F48" i="3"/>
  <c r="L48" i="3"/>
  <c r="AC48" i="3"/>
  <c r="X389" i="11"/>
  <c r="Z389" i="11" s="1"/>
  <c r="AA389" i="11" s="1"/>
  <c r="AG389" i="11"/>
  <c r="Z115" i="11"/>
  <c r="AA115" i="11" s="1"/>
  <c r="T115" i="11"/>
  <c r="AG991" i="11"/>
  <c r="Z633" i="11"/>
  <c r="AA633" i="11" s="1"/>
  <c r="T633" i="11"/>
  <c r="AG844" i="11"/>
  <c r="T844" i="11"/>
  <c r="AD873" i="11"/>
  <c r="R772" i="11"/>
  <c r="X411" i="11"/>
  <c r="Z411" i="11" s="1"/>
  <c r="AA411" i="11" s="1"/>
  <c r="X931" i="11"/>
  <c r="X43" i="3"/>
  <c r="AA43" i="3"/>
  <c r="G43" i="3"/>
  <c r="Y43" i="3"/>
  <c r="Z43" i="3"/>
  <c r="AB45" i="3"/>
  <c r="AO45" i="3"/>
  <c r="AD45" i="3"/>
  <c r="AF45" i="3"/>
  <c r="AJ63" i="3"/>
  <c r="AM63" i="3"/>
  <c r="AN63" i="3"/>
  <c r="M63" i="3"/>
  <c r="AD63" i="3"/>
  <c r="AL56" i="3"/>
  <c r="T60" i="3"/>
  <c r="AL60" i="3"/>
  <c r="AO39" i="3"/>
  <c r="AF39" i="3"/>
  <c r="AD39" i="3"/>
  <c r="Y50" i="3"/>
  <c r="AL50" i="3"/>
  <c r="H50" i="3"/>
  <c r="AA50" i="3"/>
  <c r="G52" i="3"/>
  <c r="T52" i="3"/>
  <c r="U52" i="3"/>
  <c r="W52" i="3"/>
  <c r="Q52" i="3"/>
  <c r="AG49" i="3"/>
  <c r="Y49" i="3"/>
  <c r="AL49" i="3"/>
  <c r="AN49" i="3"/>
  <c r="T49" i="3"/>
  <c r="S919" i="11"/>
  <c r="AD953" i="11"/>
  <c r="AG1002" i="11"/>
  <c r="T1002" i="11"/>
  <c r="Z797" i="11"/>
  <c r="AA797" i="11" s="1"/>
  <c r="Y797" i="11"/>
  <c r="X797" i="11"/>
  <c r="AD797" i="11"/>
  <c r="T797" i="11"/>
  <c r="T293" i="11"/>
  <c r="X293" i="11"/>
  <c r="Z293" i="11" s="1"/>
  <c r="AA293" i="11" s="1"/>
  <c r="AG293" i="11"/>
  <c r="K35" i="3"/>
  <c r="I35" i="3"/>
  <c r="W57" i="3"/>
  <c r="AD10" i="11"/>
  <c r="AG54" i="3"/>
  <c r="AN54" i="3"/>
  <c r="P54" i="3"/>
  <c r="AL54" i="3"/>
  <c r="AM54" i="3"/>
  <c r="T53" i="3"/>
  <c r="AG53" i="3"/>
  <c r="O53" i="3"/>
  <c r="AF53" i="3"/>
  <c r="K55" i="3"/>
  <c r="AC55" i="3"/>
  <c r="S275" i="11"/>
  <c r="Y275" i="11" s="1"/>
  <c r="AG361" i="11"/>
  <c r="AD211" i="11"/>
  <c r="U807" i="11"/>
  <c r="W807" i="11"/>
  <c r="AH807" i="11" s="1"/>
  <c r="AE807" i="11"/>
  <c r="V807" i="11"/>
  <c r="T49" i="11"/>
  <c r="T403" i="11"/>
  <c r="R916" i="11"/>
  <c r="AG916" i="11" s="1"/>
  <c r="T128" i="11"/>
  <c r="T18" i="11"/>
  <c r="U288" i="11"/>
  <c r="AE288" i="11"/>
  <c r="V288" i="11"/>
  <c r="W288" i="11"/>
  <c r="Q46" i="11"/>
  <c r="S46" i="11"/>
  <c r="Q27" i="5" s="1"/>
  <c r="R793" i="11"/>
  <c r="AG793" i="11" s="1"/>
  <c r="T16" i="11"/>
  <c r="X16" i="11"/>
  <c r="Z16" i="11" s="1"/>
  <c r="AA16" i="11" s="1"/>
  <c r="AG16" i="11"/>
  <c r="K83" i="5"/>
  <c r="L72" i="5"/>
  <c r="M76" i="5"/>
  <c r="L93" i="5"/>
  <c r="M70" i="5"/>
  <c r="G44" i="3"/>
  <c r="U44" i="3"/>
  <c r="Q44" i="3"/>
  <c r="Z167" i="11"/>
  <c r="AA167" i="11" s="1"/>
  <c r="T167" i="11"/>
  <c r="AG127" i="11"/>
  <c r="X127" i="11"/>
  <c r="AG837" i="11"/>
  <c r="P652" i="11"/>
  <c r="Y624" i="11"/>
  <c r="S624" i="11"/>
  <c r="F32" i="4"/>
  <c r="T991" i="11"/>
  <c r="Z859" i="11"/>
  <c r="AA859" i="11" s="1"/>
  <c r="AD193" i="11"/>
  <c r="T144" i="11"/>
  <c r="AJ37" i="3" s="1"/>
  <c r="T99" i="11"/>
  <c r="Z99" i="11"/>
  <c r="AA99" i="11" s="1"/>
  <c r="Y849" i="11"/>
  <c r="AD403" i="11"/>
  <c r="T208" i="11"/>
  <c r="AB39" i="3" s="1"/>
  <c r="S36" i="3"/>
  <c r="I36" i="3"/>
  <c r="Q58" i="3"/>
  <c r="M58" i="3"/>
  <c r="H46" i="3"/>
  <c r="R46" i="3"/>
  <c r="K46" i="3"/>
  <c r="M46" i="3"/>
  <c r="G46" i="3"/>
  <c r="I47" i="3"/>
  <c r="K47" i="3"/>
  <c r="L47" i="3"/>
  <c r="P47" i="3"/>
  <c r="F47" i="3"/>
  <c r="L42" i="3"/>
  <c r="O42" i="3"/>
  <c r="Q42" i="3"/>
  <c r="S937" i="11"/>
  <c r="W437" i="11"/>
  <c r="AH437" i="11" s="1"/>
  <c r="U437" i="11"/>
  <c r="D75" i="5" s="1"/>
  <c r="V437" i="11"/>
  <c r="F75" i="5" s="1"/>
  <c r="AI644" i="11"/>
  <c r="AG214" i="11"/>
  <c r="X214" i="11"/>
  <c r="Z214" i="11" s="1"/>
  <c r="AA214" i="11" s="1"/>
  <c r="T214" i="11"/>
  <c r="Z908" i="11"/>
  <c r="AA908" i="11" s="1"/>
  <c r="Q804" i="11"/>
  <c r="AI826" i="11"/>
  <c r="AD826" i="11" s="1"/>
  <c r="S996" i="11"/>
  <c r="AG1030" i="11"/>
  <c r="Z109" i="11"/>
  <c r="AA109" i="11" s="1"/>
  <c r="T109" i="11"/>
  <c r="AD293" i="11"/>
  <c r="X38" i="3"/>
  <c r="AN38" i="3"/>
  <c r="T38" i="3"/>
  <c r="V38" i="3"/>
  <c r="Z40" i="3"/>
  <c r="G40" i="3"/>
  <c r="AL40" i="3"/>
  <c r="AH40" i="3"/>
  <c r="T40" i="3"/>
  <c r="AC41" i="3"/>
  <c r="U41" i="3"/>
  <c r="AN41" i="3"/>
  <c r="AK41" i="3"/>
  <c r="AA41" i="3"/>
  <c r="AC61" i="3"/>
  <c r="AD61" i="3"/>
  <c r="AK61" i="3"/>
  <c r="W61" i="3"/>
  <c r="X621" i="11"/>
  <c r="Z621" i="11" s="1"/>
  <c r="AA621" i="11" s="1"/>
  <c r="AG621" i="11"/>
  <c r="T621" i="11"/>
  <c r="S854" i="11"/>
  <c r="AG854" i="11" s="1"/>
  <c r="R927" i="11"/>
  <c r="Z866" i="11"/>
  <c r="AA866" i="11" s="1"/>
  <c r="O59" i="3"/>
  <c r="AH59" i="3"/>
  <c r="AD1017" i="11"/>
  <c r="V198" i="11"/>
  <c r="AE198" i="11"/>
  <c r="W198" i="11"/>
  <c r="AH198" i="11" s="1"/>
  <c r="U198" i="11"/>
  <c r="R792" i="11"/>
  <c r="AD175" i="11"/>
  <c r="T762" i="11"/>
  <c r="X374" i="11"/>
  <c r="Z374" i="11" s="1"/>
  <c r="AA374" i="11" s="1"/>
  <c r="X420" i="11"/>
  <c r="Z420" i="11" s="1"/>
  <c r="AA420" i="11" s="1"/>
  <c r="AG420" i="11"/>
  <c r="T420" i="11"/>
  <c r="X45" i="3" s="1"/>
  <c r="AE51" i="11"/>
  <c r="W51" i="11"/>
  <c r="AH51" i="11" s="1"/>
  <c r="V51" i="11"/>
  <c r="U51" i="11"/>
  <c r="X144" i="11"/>
  <c r="Z144" i="11" s="1"/>
  <c r="AA144" i="11" s="1"/>
  <c r="S772" i="11"/>
  <c r="T772" i="11" s="1"/>
  <c r="T995" i="11"/>
  <c r="T1030" i="11"/>
  <c r="V62" i="3" s="1"/>
  <c r="AG363" i="11"/>
  <c r="T1045" i="11"/>
  <c r="AK62" i="3" s="1"/>
  <c r="Z1045" i="11"/>
  <c r="AA1045" i="11" s="1"/>
  <c r="Z132" i="11"/>
  <c r="AA132" i="11" s="1"/>
  <c r="T132" i="11"/>
  <c r="AG984" i="11"/>
  <c r="AD401" i="11"/>
  <c r="T401" i="11"/>
  <c r="AE100" i="11"/>
  <c r="V100" i="11"/>
  <c r="U100" i="11"/>
  <c r="W100" i="11"/>
  <c r="AH100" i="11" s="1"/>
  <c r="AD107" i="11"/>
  <c r="T107" i="11"/>
  <c r="Z107" i="11"/>
  <c r="AA107" i="11" s="1"/>
  <c r="X814" i="11"/>
  <c r="Z814" i="11" s="1"/>
  <c r="AA814" i="11" s="1"/>
  <c r="Q814" i="11"/>
  <c r="S814" i="11" s="1"/>
  <c r="T814" i="11" s="1"/>
  <c r="S625" i="11"/>
  <c r="X390" i="11"/>
  <c r="Z390" i="11" s="1"/>
  <c r="AA390" i="11" s="1"/>
  <c r="T390" i="11"/>
  <c r="AG390" i="11"/>
  <c r="AG930" i="11"/>
  <c r="Z369" i="11"/>
  <c r="AA369" i="11" s="1"/>
  <c r="T369" i="11"/>
  <c r="AD1047" i="11"/>
  <c r="X1047" i="11"/>
  <c r="Z1047" i="11" s="1"/>
  <c r="AA1047" i="11" s="1"/>
  <c r="R1047" i="11"/>
  <c r="T1047" i="11" s="1"/>
  <c r="Y1047" i="11"/>
  <c r="S1047" i="11"/>
  <c r="AD1037" i="11"/>
  <c r="R1037" i="11"/>
  <c r="AG1037" i="11" s="1"/>
  <c r="X1037" i="11"/>
  <c r="S1037" i="11"/>
  <c r="AG960" i="11"/>
  <c r="T960" i="11"/>
  <c r="S204" i="11"/>
  <c r="P951" i="11"/>
  <c r="R951" i="11" s="1"/>
  <c r="X219" i="11"/>
  <c r="Z219" i="11" s="1"/>
  <c r="AA219" i="11" s="1"/>
  <c r="AG219" i="11"/>
  <c r="AD152" i="11"/>
  <c r="Z152" i="11"/>
  <c r="AA152" i="11" s="1"/>
  <c r="T152" i="11"/>
  <c r="X809" i="11"/>
  <c r="Z809" i="11" s="1"/>
  <c r="AA809" i="11" s="1"/>
  <c r="AG31" i="11"/>
  <c r="X31" i="11"/>
  <c r="Z31" i="11" s="1"/>
  <c r="AA31" i="11" s="1"/>
  <c r="T31" i="11"/>
  <c r="AG128" i="11"/>
  <c r="X128" i="11"/>
  <c r="Z128" i="11" s="1"/>
  <c r="AA128" i="11" s="1"/>
  <c r="Z68" i="11"/>
  <c r="AA68" i="11" s="1"/>
  <c r="T68" i="11"/>
  <c r="T150" i="11"/>
  <c r="Z150" i="11"/>
  <c r="AA150" i="11" s="1"/>
  <c r="S38" i="5"/>
  <c r="Q35" i="5"/>
  <c r="P32" i="5"/>
  <c r="P38" i="5"/>
  <c r="Q47" i="5"/>
  <c r="S50" i="5"/>
  <c r="Q56" i="5"/>
  <c r="N51" i="3"/>
  <c r="K51" i="3"/>
  <c r="I51" i="3"/>
  <c r="J62" i="3"/>
  <c r="AI62" i="3"/>
  <c r="AB62" i="3"/>
  <c r="U37" i="3"/>
  <c r="K37" i="3"/>
  <c r="X75" i="11"/>
  <c r="Z75" i="11" s="1"/>
  <c r="AA75" i="11" s="1"/>
  <c r="AG75" i="11"/>
  <c r="S48" i="3"/>
  <c r="H48" i="3"/>
  <c r="P48" i="3"/>
  <c r="AB48" i="3"/>
  <c r="AK48" i="3"/>
  <c r="T896" i="11"/>
  <c r="AG896" i="11"/>
  <c r="T639" i="11"/>
  <c r="X806" i="11"/>
  <c r="AI806" i="11"/>
  <c r="S806" i="11" s="1"/>
  <c r="Q806" i="11"/>
  <c r="Z259" i="11"/>
  <c r="AA259" i="11" s="1"/>
  <c r="T259" i="11"/>
  <c r="R88" i="11"/>
  <c r="AI43" i="11"/>
  <c r="X638" i="11"/>
  <c r="Y194" i="11"/>
  <c r="S43" i="3"/>
  <c r="AL45" i="3"/>
  <c r="AN45" i="3"/>
  <c r="K63" i="3"/>
  <c r="I63" i="3"/>
  <c r="AC63" i="3"/>
  <c r="AD60" i="3"/>
  <c r="N60" i="3"/>
  <c r="AO60" i="3"/>
  <c r="K39" i="3"/>
  <c r="AC39" i="3"/>
  <c r="AK50" i="3"/>
  <c r="L50" i="3"/>
  <c r="T50" i="3"/>
  <c r="J50" i="3"/>
  <c r="AI50" i="3"/>
  <c r="S52" i="3"/>
  <c r="AD52" i="3"/>
  <c r="AE52" i="3"/>
  <c r="AI52" i="3"/>
  <c r="Y52" i="3"/>
  <c r="Z773" i="11"/>
  <c r="AA773" i="11" s="1"/>
  <c r="AK49" i="3"/>
  <c r="G49" i="3"/>
  <c r="S49" i="3"/>
  <c r="U623" i="11"/>
  <c r="W623" i="11"/>
  <c r="AH623" i="11" s="1"/>
  <c r="V623" i="11"/>
  <c r="AG869" i="11"/>
  <c r="AG994" i="11"/>
  <c r="T994" i="11"/>
  <c r="V350" i="11"/>
  <c r="U350" i="11"/>
  <c r="AE350" i="11"/>
  <c r="W350" i="11"/>
  <c r="AH350" i="11" s="1"/>
  <c r="AE151" i="11"/>
  <c r="U151" i="11"/>
  <c r="W151" i="11"/>
  <c r="AH151" i="11" s="1"/>
  <c r="V151" i="11"/>
  <c r="Y848" i="11"/>
  <c r="AG264" i="11"/>
  <c r="T264" i="11"/>
  <c r="X264" i="11"/>
  <c r="Z264" i="11" s="1"/>
  <c r="AA264" i="11" s="1"/>
  <c r="T219" i="11"/>
  <c r="Y919" i="11"/>
  <c r="V788" i="11"/>
  <c r="W788" i="11"/>
  <c r="AH788" i="11" s="1"/>
  <c r="U788" i="11"/>
  <c r="AI53" i="11"/>
  <c r="R14" i="11"/>
  <c r="Y933" i="11"/>
  <c r="AI628" i="11"/>
  <c r="AD1046" i="11"/>
  <c r="Y873" i="11"/>
  <c r="AD194" i="11"/>
  <c r="T194" i="11"/>
  <c r="Z194" i="11"/>
  <c r="AA194" i="11" s="1"/>
  <c r="AK35" i="3"/>
  <c r="Y35" i="3"/>
  <c r="Z197" i="11"/>
  <c r="AA197" i="11" s="1"/>
  <c r="T197" i="11"/>
  <c r="AD197" i="11"/>
  <c r="AB54" i="3"/>
  <c r="AC54" i="3"/>
  <c r="I54" i="3"/>
  <c r="Z54" i="3"/>
  <c r="F54" i="3"/>
  <c r="AD53" i="3"/>
  <c r="Q53" i="3"/>
  <c r="M53" i="3"/>
  <c r="AM53" i="3"/>
  <c r="AN53" i="3"/>
  <c r="AG55" i="3"/>
  <c r="Y55" i="3"/>
  <c r="F55" i="3"/>
  <c r="T910" i="11"/>
  <c r="AG910" i="11"/>
  <c r="AE356" i="11"/>
  <c r="U356" i="11"/>
  <c r="W356" i="11"/>
  <c r="AH356" i="11" s="1"/>
  <c r="V356" i="11"/>
  <c r="Q820" i="11"/>
  <c r="P798" i="11"/>
  <c r="X282" i="11"/>
  <c r="S781" i="11"/>
  <c r="Y781" i="11"/>
  <c r="AD781" i="11"/>
  <c r="R781" i="11"/>
  <c r="AG781" i="11" s="1"/>
  <c r="T781" i="11"/>
  <c r="X781" i="11"/>
  <c r="Z781" i="11" s="1"/>
  <c r="AA781" i="11" s="1"/>
  <c r="T395" i="11"/>
  <c r="AD1038" i="11"/>
  <c r="AD962" i="11"/>
  <c r="AD793" i="11"/>
  <c r="T124" i="11"/>
  <c r="AD124" i="11"/>
  <c r="Z124" i="11"/>
  <c r="AA124" i="11" s="1"/>
  <c r="AB49" i="11"/>
  <c r="AC49" i="11" s="1"/>
  <c r="S30" i="5" s="1"/>
  <c r="Q770" i="11"/>
  <c r="Q620" i="11"/>
  <c r="AD620" i="11" s="1"/>
  <c r="R620" i="11"/>
  <c r="Y46" i="11"/>
  <c r="S933" i="11"/>
  <c r="AG938" i="11"/>
  <c r="AI812" i="11"/>
  <c r="R812" i="11" s="1"/>
  <c r="R111" i="11"/>
  <c r="X782" i="11"/>
  <c r="Z782" i="11" s="1"/>
  <c r="AA782" i="11" s="1"/>
  <c r="R782" i="11"/>
  <c r="T106" i="11"/>
  <c r="Z106" i="11"/>
  <c r="AA106" i="11" s="1"/>
  <c r="M72" i="5"/>
  <c r="K70" i="5"/>
  <c r="Z909" i="11"/>
  <c r="AA909" i="11" s="1"/>
  <c r="F44" i="3"/>
  <c r="S44" i="3"/>
  <c r="Y44" i="3"/>
  <c r="Y928" i="11"/>
  <c r="AG841" i="11"/>
  <c r="X778" i="11"/>
  <c r="Z778" i="11" s="1"/>
  <c r="AA778" i="11" s="1"/>
  <c r="R778" i="11"/>
  <c r="T156" i="11"/>
  <c r="Z156" i="11"/>
  <c r="AA156" i="11" s="1"/>
  <c r="R652" i="11"/>
  <c r="AD859" i="11"/>
  <c r="T821" i="11"/>
  <c r="Z171" i="11"/>
  <c r="AA171" i="11" s="1"/>
  <c r="T171" i="11"/>
  <c r="AD844" i="11"/>
  <c r="AD366" i="11"/>
  <c r="Z345" i="11"/>
  <c r="AA345" i="11" s="1"/>
  <c r="Y94" i="11"/>
  <c r="Z94" i="11" s="1"/>
  <c r="AA94" i="11" s="1"/>
  <c r="Q790" i="11"/>
  <c r="AD792" i="11"/>
  <c r="AD208" i="11"/>
  <c r="R157" i="11"/>
  <c r="P30" i="5" s="1"/>
  <c r="Z36" i="3"/>
  <c r="AA36" i="3"/>
  <c r="Q36" i="3"/>
  <c r="AC58" i="3"/>
  <c r="AB46" i="3"/>
  <c r="AN46" i="3"/>
  <c r="U46" i="3"/>
  <c r="Y46" i="3"/>
  <c r="O46" i="3"/>
  <c r="AO47" i="3"/>
  <c r="W47" i="3"/>
  <c r="X47" i="3"/>
  <c r="Z47" i="3"/>
  <c r="N47" i="3"/>
  <c r="AF42" i="3"/>
  <c r="N42" i="3"/>
  <c r="Y42" i="3"/>
  <c r="AC42" i="3"/>
  <c r="K42" i="3"/>
  <c r="AD928" i="11"/>
  <c r="P644" i="11"/>
  <c r="T336" i="11"/>
  <c r="T429" i="11"/>
  <c r="Z429" i="11"/>
  <c r="AA429" i="11" s="1"/>
  <c r="L38" i="3"/>
  <c r="AF38" i="3"/>
  <c r="AA40" i="3"/>
  <c r="AM40" i="3"/>
  <c r="Q40" i="3"/>
  <c r="AJ40" i="3"/>
  <c r="AO41" i="3"/>
  <c r="U61" i="3"/>
  <c r="M61" i="3"/>
  <c r="F61" i="3"/>
  <c r="AD147" i="11"/>
  <c r="T176" i="11"/>
  <c r="Z176" i="11"/>
  <c r="AA176" i="11" s="1"/>
  <c r="T154" i="11"/>
  <c r="Z154" i="11"/>
  <c r="AA154" i="11" s="1"/>
  <c r="R287" i="11"/>
  <c r="T287" i="11" s="1"/>
  <c r="R1011" i="11"/>
  <c r="AD633" i="11"/>
  <c r="AD171" i="11"/>
  <c r="W59" i="3"/>
  <c r="Q59" i="3"/>
  <c r="AD639" i="11"/>
  <c r="AD99" i="11"/>
  <c r="AG94" i="11"/>
  <c r="AG345" i="11"/>
  <c r="S637" i="11"/>
  <c r="Y637" i="11" s="1"/>
  <c r="AD33" i="11"/>
  <c r="AG629" i="11"/>
  <c r="S330" i="11"/>
  <c r="Y330" i="11" s="1"/>
  <c r="AD22" i="11"/>
  <c r="Z22" i="11"/>
  <c r="AA22" i="11" s="1"/>
  <c r="T22" i="11"/>
  <c r="AD898" i="11"/>
  <c r="R898" i="11"/>
  <c r="AD1048" i="11"/>
  <c r="V276" i="11"/>
  <c r="W276" i="11"/>
  <c r="AH276" i="11" s="1"/>
  <c r="AE276" i="11"/>
  <c r="U276" i="11"/>
  <c r="Z980" i="11"/>
  <c r="AA980" i="11" s="1"/>
  <c r="T935" i="11"/>
  <c r="S935" i="11"/>
  <c r="AG935" i="11" s="1"/>
  <c r="Y935" i="11"/>
  <c r="Z935" i="11" s="1"/>
  <c r="AA935" i="11" s="1"/>
  <c r="Z412" i="11"/>
  <c r="AA412" i="11" s="1"/>
  <c r="T412" i="11"/>
  <c r="AD835" i="11"/>
  <c r="Z896" i="11"/>
  <c r="AA896" i="11" s="1"/>
  <c r="AD178" i="11"/>
  <c r="R178" i="11"/>
  <c r="P51" i="5" s="1"/>
  <c r="R1012" i="11"/>
  <c r="AD1012" i="11"/>
  <c r="AG934" i="11"/>
  <c r="R809" i="11"/>
  <c r="AG809" i="11" s="1"/>
  <c r="AG90" i="11"/>
  <c r="X90" i="11"/>
  <c r="Z90" i="11" s="1"/>
  <c r="AA90" i="11" s="1"/>
  <c r="AG836" i="11"/>
  <c r="Z21" i="11"/>
  <c r="AA21" i="11" s="1"/>
  <c r="T21" i="11"/>
  <c r="AD21" i="11"/>
  <c r="S27" i="5"/>
  <c r="S57" i="5"/>
  <c r="U51" i="3"/>
  <c r="AN62" i="3"/>
  <c r="N62" i="3"/>
  <c r="L37" i="3"/>
  <c r="V37" i="3"/>
  <c r="R48" i="3"/>
  <c r="J48" i="3"/>
  <c r="AD48" i="3"/>
  <c r="Z48" i="3"/>
  <c r="T78" i="11"/>
  <c r="AD12" i="11"/>
  <c r="AG33" i="11"/>
  <c r="T33" i="11"/>
  <c r="X33" i="11"/>
  <c r="Z33" i="11" s="1"/>
  <c r="AA33" i="11" s="1"/>
  <c r="T1019" i="11"/>
  <c r="K62" i="3" s="1"/>
  <c r="X1019" i="11"/>
  <c r="Z1019" i="11" s="1"/>
  <c r="AA1019" i="11" s="1"/>
  <c r="AG196" i="11"/>
  <c r="T196" i="11"/>
  <c r="Z1033" i="11"/>
  <c r="AA1033" i="11" s="1"/>
  <c r="T1033" i="11"/>
  <c r="Y806" i="11"/>
  <c r="T1013" i="11"/>
  <c r="S1020" i="11"/>
  <c r="R940" i="11"/>
  <c r="AG403" i="11"/>
  <c r="X403" i="11"/>
  <c r="Z403" i="11" s="1"/>
  <c r="AA403" i="11" s="1"/>
  <c r="T140" i="11"/>
  <c r="Z140" i="11"/>
  <c r="AA140" i="11" s="1"/>
  <c r="U43" i="3"/>
  <c r="M45" i="3"/>
  <c r="N45" i="3"/>
  <c r="Y45" i="3"/>
  <c r="U45" i="3"/>
  <c r="AE45" i="3"/>
  <c r="W63" i="3"/>
  <c r="X63" i="3"/>
  <c r="AG63" i="3"/>
  <c r="S63" i="3"/>
  <c r="W56" i="3"/>
  <c r="R60" i="3"/>
  <c r="AC60" i="3"/>
  <c r="P39" i="3"/>
  <c r="Y39" i="3"/>
  <c r="V50" i="3"/>
  <c r="W50" i="3"/>
  <c r="AF50" i="3"/>
  <c r="AD50" i="3"/>
  <c r="R50" i="3"/>
  <c r="T87" i="11"/>
  <c r="Z87" i="11"/>
  <c r="AA87" i="11" s="1"/>
  <c r="AC52" i="3"/>
  <c r="N52" i="3"/>
  <c r="P52" i="3"/>
  <c r="Z638" i="11"/>
  <c r="AA638" i="11" s="1"/>
  <c r="T638" i="11"/>
  <c r="Z51" i="3" s="1"/>
  <c r="N49" i="3"/>
  <c r="U49" i="3"/>
  <c r="Q49" i="3"/>
  <c r="AJ49" i="3"/>
  <c r="Z335" i="11"/>
  <c r="AA335" i="11" s="1"/>
  <c r="T335" i="11"/>
  <c r="H75" i="3" s="1"/>
  <c r="AD335" i="11"/>
  <c r="AG966" i="11"/>
  <c r="T202" i="11"/>
  <c r="P53" i="11"/>
  <c r="R53" i="11" s="1"/>
  <c r="X933" i="11"/>
  <c r="Z933" i="11" s="1"/>
  <c r="AA933" i="11" s="1"/>
  <c r="S876" i="11"/>
  <c r="T876" i="11" s="1"/>
  <c r="S643" i="11"/>
  <c r="AG280" i="11"/>
  <c r="T172" i="11"/>
  <c r="Z172" i="11"/>
  <c r="AA172" i="11" s="1"/>
  <c r="F35" i="3"/>
  <c r="AO54" i="3"/>
  <c r="S54" i="3"/>
  <c r="AJ54" i="3"/>
  <c r="F53" i="3"/>
  <c r="AA53" i="3"/>
  <c r="Y53" i="3"/>
  <c r="G53" i="3"/>
  <c r="AI55" i="3"/>
  <c r="T275" i="11"/>
  <c r="Z275" i="11"/>
  <c r="AA275" i="11" s="1"/>
  <c r="AD1042" i="11"/>
  <c r="AG180" i="11"/>
  <c r="AG181" i="11"/>
  <c r="T181" i="11"/>
  <c r="AD125" i="11"/>
  <c r="R391" i="11"/>
  <c r="AD391" i="11"/>
  <c r="P770" i="11"/>
  <c r="AG117" i="11"/>
  <c r="AD780" i="11"/>
  <c r="Z286" i="11"/>
  <c r="AA286" i="11" s="1"/>
  <c r="T286" i="11"/>
  <c r="AD286" i="11"/>
  <c r="AI947" i="11"/>
  <c r="AD766" i="11"/>
  <c r="AD18" i="11"/>
  <c r="T66" i="11"/>
  <c r="Z952" i="11"/>
  <c r="AA952" i="11" s="1"/>
  <c r="R952" i="11"/>
  <c r="AG952" i="11" s="1"/>
  <c r="AI46" i="11"/>
  <c r="Z1049" i="11"/>
  <c r="AA1049" i="11" s="1"/>
  <c r="X812" i="11"/>
  <c r="M84" i="5"/>
  <c r="L77" i="5"/>
  <c r="L76" i="5"/>
  <c r="L84" i="5"/>
  <c r="K72" i="5"/>
  <c r="L70" i="5"/>
  <c r="O44" i="3"/>
  <c r="R44" i="3"/>
  <c r="AG44" i="3"/>
  <c r="AD779" i="11"/>
  <c r="R921" i="11"/>
  <c r="AI943" i="11"/>
  <c r="X177" i="11"/>
  <c r="Z177" i="11" s="1"/>
  <c r="AA177" i="11" s="1"/>
  <c r="AG177" i="11"/>
  <c r="AI624" i="11"/>
  <c r="AG406" i="11"/>
  <c r="U924" i="11"/>
  <c r="W924" i="11"/>
  <c r="AH924" i="11" s="1"/>
  <c r="V924" i="11"/>
  <c r="AE924" i="11"/>
  <c r="AG900" i="11"/>
  <c r="T269" i="11"/>
  <c r="Z269" i="11"/>
  <c r="AA269" i="11" s="1"/>
  <c r="X793" i="11"/>
  <c r="X274" i="11"/>
  <c r="Z274" i="11" s="1"/>
  <c r="AA274" i="11" s="1"/>
  <c r="AG274" i="11"/>
  <c r="T280" i="11"/>
  <c r="AD87" i="11"/>
  <c r="AG78" i="11"/>
  <c r="W36" i="3"/>
  <c r="AJ36" i="3"/>
  <c r="AK36" i="3"/>
  <c r="AM58" i="3"/>
  <c r="AN58" i="3"/>
  <c r="U58" i="3"/>
  <c r="S58" i="3"/>
  <c r="I46" i="3"/>
  <c r="J46" i="3"/>
  <c r="AG46" i="3"/>
  <c r="AI46" i="3"/>
  <c r="W46" i="3"/>
  <c r="J47" i="3"/>
  <c r="AG47" i="3"/>
  <c r="AH47" i="3"/>
  <c r="AJ47" i="3"/>
  <c r="V47" i="3"/>
  <c r="M42" i="3"/>
  <c r="X42" i="3"/>
  <c r="AK42" i="3"/>
  <c r="AM42" i="3"/>
  <c r="S42" i="3"/>
  <c r="R644" i="11"/>
  <c r="X644" i="11" s="1"/>
  <c r="AE23" i="11"/>
  <c r="W23" i="11"/>
  <c r="U23" i="11"/>
  <c r="V23" i="11"/>
  <c r="T852" i="11"/>
  <c r="AG21" i="11"/>
  <c r="S1049" i="11"/>
  <c r="AG1049" i="11" s="1"/>
  <c r="R398" i="11"/>
  <c r="K38" i="3"/>
  <c r="G38" i="3"/>
  <c r="H40" i="3"/>
  <c r="R40" i="3"/>
  <c r="K40" i="3"/>
  <c r="O40" i="3"/>
  <c r="I41" i="3"/>
  <c r="N41" i="3"/>
  <c r="Y61" i="3"/>
  <c r="N61" i="3"/>
  <c r="H61" i="3"/>
  <c r="Z12" i="11"/>
  <c r="AA12" i="11" s="1"/>
  <c r="T837" i="11"/>
  <c r="AI59" i="3"/>
  <c r="AD1033" i="11"/>
  <c r="AG17" i="11"/>
  <c r="V885" i="11"/>
  <c r="U885" i="11"/>
  <c r="W885" i="11"/>
  <c r="Z116" i="11"/>
  <c r="AA116" i="11" s="1"/>
  <c r="X423" i="11"/>
  <c r="Z423" i="11" s="1"/>
  <c r="AA423" i="11" s="1"/>
  <c r="AG423" i="11"/>
  <c r="AD1022" i="11"/>
  <c r="W381" i="11"/>
  <c r="AH381" i="11" s="1"/>
  <c r="V381" i="11"/>
  <c r="U381" i="11"/>
  <c r="T116" i="11"/>
  <c r="AG791" i="11"/>
  <c r="AD269" i="11"/>
  <c r="AD6" i="11"/>
  <c r="AG336" i="11"/>
  <c r="AG842" i="11"/>
  <c r="T283" i="11"/>
  <c r="Z283" i="11"/>
  <c r="AA283" i="11" s="1"/>
  <c r="Z282" i="11"/>
  <c r="AA282" i="11" s="1"/>
  <c r="T282" i="11"/>
  <c r="AG850" i="11"/>
  <c r="X637" i="11"/>
  <c r="Z637" i="11" s="1"/>
  <c r="AA637" i="11" s="1"/>
  <c r="AG637" i="11"/>
  <c r="U63" i="3"/>
  <c r="AG56" i="3"/>
  <c r="L60" i="3"/>
  <c r="AM60" i="3"/>
  <c r="X60" i="3"/>
  <c r="Z39" i="3"/>
  <c r="Q39" i="3"/>
  <c r="AG39" i="3"/>
  <c r="U39" i="3"/>
  <c r="AG50" i="3"/>
  <c r="M50" i="3"/>
  <c r="AN50" i="3"/>
  <c r="Z50" i="3"/>
  <c r="AM52" i="3"/>
  <c r="Z52" i="3"/>
  <c r="L52" i="3"/>
  <c r="AN52" i="3"/>
  <c r="AO52" i="3"/>
  <c r="I49" i="3"/>
  <c r="X49" i="3"/>
  <c r="J49" i="3"/>
  <c r="AC49" i="3"/>
  <c r="K49" i="3"/>
  <c r="W334" i="11"/>
  <c r="AH334" i="11" s="1"/>
  <c r="V334" i="11"/>
  <c r="AE334" i="11"/>
  <c r="U334" i="11"/>
  <c r="Z919" i="11"/>
  <c r="AA919" i="11" s="1"/>
  <c r="R919" i="11"/>
  <c r="AG919" i="11" s="1"/>
  <c r="AG763" i="11"/>
  <c r="T217" i="11"/>
  <c r="AG217" i="11"/>
  <c r="L35" i="3"/>
  <c r="M35" i="3"/>
  <c r="N35" i="3"/>
  <c r="G57" i="3"/>
  <c r="H57" i="3"/>
  <c r="J57" i="3"/>
  <c r="J54" i="3"/>
  <c r="L54" i="3"/>
  <c r="AD54" i="3"/>
  <c r="AK53" i="3"/>
  <c r="AL53" i="3"/>
  <c r="R53" i="3"/>
  <c r="AI53" i="3"/>
  <c r="W53" i="3"/>
  <c r="T1017" i="11"/>
  <c r="AG1017" i="11"/>
  <c r="I55" i="3"/>
  <c r="AJ55" i="3"/>
  <c r="AN55" i="3"/>
  <c r="AD436" i="11"/>
  <c r="AD113" i="11"/>
  <c r="R113" i="11"/>
  <c r="I66" i="5" s="1"/>
  <c r="AG395" i="11"/>
  <c r="S873" i="11"/>
  <c r="AG142" i="11"/>
  <c r="Z941" i="11"/>
  <c r="AA941" i="11" s="1"/>
  <c r="Y941" i="11"/>
  <c r="AD941" i="11"/>
  <c r="AI770" i="11"/>
  <c r="AD1045" i="11"/>
  <c r="AE986" i="11"/>
  <c r="W986" i="11"/>
  <c r="AH986" i="11" s="1"/>
  <c r="U986" i="11"/>
  <c r="V986" i="11"/>
  <c r="AD128" i="11"/>
  <c r="T413" i="11"/>
  <c r="X413" i="11"/>
  <c r="Z413" i="11" s="1"/>
  <c r="AA413" i="11" s="1"/>
  <c r="AG413" i="11"/>
  <c r="X179" i="11"/>
  <c r="Z179" i="11" s="1"/>
  <c r="AA179" i="11" s="1"/>
  <c r="T179" i="11"/>
  <c r="AG179" i="11"/>
  <c r="AG109" i="11"/>
  <c r="AD259" i="11"/>
  <c r="T850" i="11"/>
  <c r="K82" i="5"/>
  <c r="AA44" i="3"/>
  <c r="AO44" i="3"/>
  <c r="AE209" i="11"/>
  <c r="W209" i="11"/>
  <c r="AH209" i="11" s="1"/>
  <c r="V209" i="11"/>
  <c r="U209" i="11"/>
  <c r="Z990" i="11"/>
  <c r="AA990" i="11" s="1"/>
  <c r="T990" i="11"/>
  <c r="R61" i="3" s="1"/>
  <c r="Z57" i="11"/>
  <c r="AA57" i="11" s="1"/>
  <c r="T57" i="11"/>
  <c r="U35" i="3" s="1"/>
  <c r="T763" i="11"/>
  <c r="T407" i="11"/>
  <c r="AD407" i="11"/>
  <c r="T829" i="11"/>
  <c r="Y777" i="11"/>
  <c r="Z777" i="11" s="1"/>
  <c r="AA777" i="11" s="1"/>
  <c r="R359" i="11"/>
  <c r="AG146" i="11"/>
  <c r="X146" i="11"/>
  <c r="Z146" i="11" s="1"/>
  <c r="AA146" i="11" s="1"/>
  <c r="T10" i="11"/>
  <c r="X10" i="11"/>
  <c r="Z10" i="11" s="1"/>
  <c r="AA10" i="11" s="1"/>
  <c r="AG10" i="11"/>
  <c r="Y937" i="11"/>
  <c r="Z937" i="11" s="1"/>
  <c r="AA937" i="11" s="1"/>
  <c r="AI36" i="3"/>
  <c r="F36" i="3"/>
  <c r="H36" i="3"/>
  <c r="AG36" i="3"/>
  <c r="S46" i="3"/>
  <c r="T46" i="3"/>
  <c r="F46" i="3"/>
  <c r="AE46" i="3"/>
  <c r="T47" i="3"/>
  <c r="G47" i="3"/>
  <c r="AD47" i="3"/>
  <c r="W42" i="3"/>
  <c r="AJ42" i="3"/>
  <c r="F42" i="3"/>
  <c r="AA42" i="3"/>
  <c r="Z792" i="11"/>
  <c r="AA792" i="11" s="1"/>
  <c r="S792" i="11"/>
  <c r="T792" i="11"/>
  <c r="T142" i="11"/>
  <c r="AH37" i="3" s="1"/>
  <c r="AD7" i="11"/>
  <c r="AG906" i="11"/>
  <c r="AG204" i="11"/>
  <c r="Z19" i="11"/>
  <c r="AA19" i="11" s="1"/>
  <c r="T19" i="11"/>
  <c r="T813" i="11"/>
  <c r="AG787" i="11"/>
  <c r="T787" i="11"/>
  <c r="X1046" i="11"/>
  <c r="X330" i="11"/>
  <c r="Z330" i="11" s="1"/>
  <c r="AA330" i="11" s="1"/>
  <c r="AG330" i="11"/>
  <c r="T330" i="11"/>
  <c r="S1024" i="11"/>
  <c r="T1024" i="11" s="1"/>
  <c r="Z38" i="3"/>
  <c r="I38" i="3"/>
  <c r="O38" i="3"/>
  <c r="AD40" i="3"/>
  <c r="AN40" i="3"/>
  <c r="W40" i="3"/>
  <c r="Y40" i="3"/>
  <c r="M40" i="3"/>
  <c r="AE41" i="3"/>
  <c r="W41" i="3"/>
  <c r="X41" i="3"/>
  <c r="Z41" i="3"/>
  <c r="L41" i="3"/>
  <c r="L61" i="3"/>
  <c r="AI61" i="3"/>
  <c r="P61" i="3"/>
  <c r="AD428" i="11"/>
  <c r="AD109" i="11"/>
  <c r="AL59" i="3"/>
  <c r="AD1028" i="11"/>
  <c r="U201" i="11"/>
  <c r="W201" i="11"/>
  <c r="AH201" i="11" s="1"/>
  <c r="AE201" i="11"/>
  <c r="V201" i="11"/>
  <c r="T177" i="11"/>
  <c r="AG116" i="11"/>
  <c r="AD638" i="11"/>
  <c r="U267" i="11"/>
  <c r="W267" i="11"/>
  <c r="AH267" i="11" s="1"/>
  <c r="V267" i="11"/>
  <c r="X395" i="11"/>
  <c r="Z395" i="11" s="1"/>
  <c r="AA395" i="11" s="1"/>
  <c r="AH911" i="11"/>
  <c r="G62" i="3"/>
  <c r="T86" i="11"/>
  <c r="N36" i="3" s="1"/>
  <c r="Z86" i="11"/>
  <c r="AA86" i="11" s="1"/>
  <c r="AD86" i="11"/>
  <c r="Q632" i="11"/>
  <c r="S632" i="11" s="1"/>
  <c r="Y632" i="11" s="1"/>
  <c r="I48" i="3"/>
  <c r="AF48" i="3"/>
  <c r="G48" i="3"/>
  <c r="AJ48" i="3"/>
  <c r="Z34" i="3"/>
  <c r="S645" i="11"/>
  <c r="X639" i="11"/>
  <c r="Z639" i="11" s="1"/>
  <c r="AA639" i="11" s="1"/>
  <c r="AD806" i="11"/>
  <c r="AG895" i="11"/>
  <c r="AG370" i="11"/>
  <c r="X370" i="11"/>
  <c r="Z370" i="11" s="1"/>
  <c r="AA370" i="11" s="1"/>
  <c r="T220" i="11"/>
  <c r="Z220" i="11"/>
  <c r="AA220" i="11" s="1"/>
  <c r="X43" i="11"/>
  <c r="T337" i="11"/>
  <c r="AF43" i="3"/>
  <c r="W43" i="3"/>
  <c r="F43" i="3"/>
  <c r="H43" i="3"/>
  <c r="AO43" i="3"/>
  <c r="AK45" i="3"/>
  <c r="AM45" i="3"/>
  <c r="Y63" i="3"/>
  <c r="AI63" i="3"/>
  <c r="AH63" i="3"/>
  <c r="AO63" i="3"/>
  <c r="AK63" i="3"/>
  <c r="G56" i="3"/>
  <c r="V60" i="3"/>
  <c r="AM39" i="3"/>
  <c r="AK39" i="3"/>
  <c r="N50" i="3"/>
  <c r="X50" i="3"/>
  <c r="G50" i="3"/>
  <c r="I50" i="3"/>
  <c r="AH50" i="3"/>
  <c r="O52" i="3"/>
  <c r="AJ52" i="3"/>
  <c r="V52" i="3"/>
  <c r="H52" i="3"/>
  <c r="AE49" i="3"/>
  <c r="AH49" i="3"/>
  <c r="V49" i="3"/>
  <c r="AM49" i="3"/>
  <c r="AA49" i="3"/>
  <c r="AG983" i="11"/>
  <c r="AG845" i="11"/>
  <c r="AG258" i="11"/>
  <c r="X258" i="11"/>
  <c r="X401" i="11"/>
  <c r="Z401" i="11" s="1"/>
  <c r="AA401" i="11" s="1"/>
  <c r="AE273" i="11"/>
  <c r="W273" i="11"/>
  <c r="AH273" i="11" s="1"/>
  <c r="U273" i="11"/>
  <c r="V273" i="11"/>
  <c r="AG154" i="11"/>
  <c r="AD919" i="11"/>
  <c r="AB53" i="11"/>
  <c r="AC53" i="11" s="1"/>
  <c r="S34" i="5" s="1"/>
  <c r="AG1031" i="11"/>
  <c r="T1031" i="11"/>
  <c r="W62" i="3" s="1"/>
  <c r="AB628" i="11"/>
  <c r="AC628" i="11" s="1"/>
  <c r="AE345" i="11"/>
  <c r="W345" i="11"/>
  <c r="AH345" i="11" s="1"/>
  <c r="V345" i="11"/>
  <c r="U345" i="11"/>
  <c r="AG20" i="11"/>
  <c r="X35" i="3"/>
  <c r="AB35" i="3"/>
  <c r="P57" i="3"/>
  <c r="R57" i="3"/>
  <c r="V57" i="3"/>
  <c r="T54" i="3"/>
  <c r="X54" i="3"/>
  <c r="M54" i="3"/>
  <c r="Q54" i="3"/>
  <c r="G54" i="3"/>
  <c r="AB53" i="3"/>
  <c r="S53" i="3"/>
  <c r="AE53" i="3"/>
  <c r="X55" i="3"/>
  <c r="AE55" i="3"/>
  <c r="G55" i="3"/>
  <c r="T361" i="11"/>
  <c r="AK43" i="3" s="1"/>
  <c r="Z361" i="11"/>
  <c r="AA361" i="11" s="1"/>
  <c r="AD361" i="11"/>
  <c r="T174" i="11"/>
  <c r="AD38" i="3" s="1"/>
  <c r="Z174" i="11"/>
  <c r="AA174" i="11" s="1"/>
  <c r="AI798" i="11"/>
  <c r="R798" i="11" s="1"/>
  <c r="AG798" i="11" s="1"/>
  <c r="Q798" i="11"/>
  <c r="AG987" i="11"/>
  <c r="T987" i="11"/>
  <c r="X207" i="11"/>
  <c r="Z207" i="11" s="1"/>
  <c r="AA207" i="11" s="1"/>
  <c r="AG207" i="11"/>
  <c r="Z203" i="11"/>
  <c r="AA203" i="11" s="1"/>
  <c r="T203" i="11"/>
  <c r="W39" i="3" s="1"/>
  <c r="Z20" i="11"/>
  <c r="AA20" i="11" s="1"/>
  <c r="T20" i="11"/>
  <c r="S770" i="11"/>
  <c r="T916" i="11"/>
  <c r="P59" i="3" s="1"/>
  <c r="Z916" i="11"/>
  <c r="AA916" i="11" s="1"/>
  <c r="T117" i="11"/>
  <c r="Z117" i="11"/>
  <c r="AA117" i="11" s="1"/>
  <c r="S848" i="11"/>
  <c r="AG848" i="11" s="1"/>
  <c r="AD830" i="11"/>
  <c r="T419" i="11"/>
  <c r="W45" i="3" s="1"/>
  <c r="Z942" i="11"/>
  <c r="AA942" i="11" s="1"/>
  <c r="X854" i="11"/>
  <c r="R46" i="11"/>
  <c r="AG46" i="11" s="1"/>
  <c r="X46" i="11"/>
  <c r="X635" i="11"/>
  <c r="AG635" i="11"/>
  <c r="M79" i="5"/>
  <c r="M83" i="5"/>
  <c r="K93" i="5"/>
  <c r="K84" i="5"/>
  <c r="K78" i="5"/>
  <c r="K76" i="5"/>
  <c r="M78" i="5"/>
  <c r="Q652" i="11"/>
  <c r="AD652" i="11" s="1"/>
  <c r="R624" i="11"/>
  <c r="AG624" i="11" s="1"/>
  <c r="D38" i="4"/>
  <c r="AD1002" i="11"/>
  <c r="Y821" i="11"/>
  <c r="Z821" i="11" s="1"/>
  <c r="AA821" i="11" s="1"/>
  <c r="X15" i="11"/>
  <c r="T15" i="11"/>
  <c r="AG15" i="11"/>
  <c r="AD772" i="11"/>
  <c r="X217" i="11"/>
  <c r="Z217" i="11" s="1"/>
  <c r="AA217" i="11" s="1"/>
  <c r="Y905" i="11"/>
  <c r="Z905" i="11" s="1"/>
  <c r="AA905" i="11" s="1"/>
  <c r="T905" i="11"/>
  <c r="S905" i="11"/>
  <c r="J88" i="5" s="1"/>
  <c r="X905" i="11"/>
  <c r="AG975" i="11"/>
  <c r="U36" i="3"/>
  <c r="T36" i="3"/>
  <c r="R36" i="3"/>
  <c r="X58" i="3"/>
  <c r="AI58" i="3"/>
  <c r="AC46" i="3"/>
  <c r="AF46" i="3"/>
  <c r="L46" i="3"/>
  <c r="V46" i="3"/>
  <c r="AM46" i="3"/>
  <c r="AF47" i="3"/>
  <c r="AA47" i="3"/>
  <c r="O47" i="3"/>
  <c r="U47" i="3"/>
  <c r="AL47" i="3"/>
  <c r="AG42" i="3"/>
  <c r="T42" i="3"/>
  <c r="P42" i="3"/>
  <c r="J42" i="3"/>
  <c r="AI42" i="3"/>
  <c r="Y1000" i="11"/>
  <c r="Z1000" i="11" s="1"/>
  <c r="AA1000" i="11" s="1"/>
  <c r="Z268" i="11"/>
  <c r="AA268" i="11" s="1"/>
  <c r="T268" i="11"/>
  <c r="P41" i="3" s="1"/>
  <c r="W371" i="11"/>
  <c r="AH371" i="11" s="1"/>
  <c r="AE371" i="11"/>
  <c r="U371" i="11"/>
  <c r="V371" i="11"/>
  <c r="T187" i="11"/>
  <c r="Z187" i="11"/>
  <c r="AA187" i="11" s="1"/>
  <c r="AD187" i="11"/>
  <c r="X826" i="11"/>
  <c r="Q826" i="11"/>
  <c r="S826" i="11" s="1"/>
  <c r="AD57" i="11"/>
  <c r="AD1027" i="11"/>
  <c r="AD220" i="11"/>
  <c r="AD1035" i="11"/>
  <c r="T75" i="11"/>
  <c r="AJ38" i="3"/>
  <c r="S38" i="3"/>
  <c r="AG38" i="3"/>
  <c r="W38" i="3"/>
  <c r="I40" i="3"/>
  <c r="J40" i="3"/>
  <c r="AG40" i="3"/>
  <c r="AI40" i="3"/>
  <c r="U40" i="3"/>
  <c r="J41" i="3"/>
  <c r="AH41" i="3"/>
  <c r="AL41" i="3"/>
  <c r="T41" i="3"/>
  <c r="V61" i="3"/>
  <c r="S61" i="3"/>
  <c r="AJ61" i="3"/>
  <c r="AG872" i="11"/>
  <c r="T872" i="11"/>
  <c r="AG899" i="11"/>
  <c r="T82" i="11"/>
  <c r="Z82" i="11"/>
  <c r="AA82" i="11" s="1"/>
  <c r="T389" i="11"/>
  <c r="AC44" i="3" s="1"/>
  <c r="R996" i="11"/>
  <c r="AG996" i="11" s="1"/>
  <c r="T402" i="11"/>
  <c r="Z402" i="11"/>
  <c r="AA402" i="11" s="1"/>
  <c r="AD1013" i="11"/>
  <c r="G59" i="3"/>
  <c r="AM59" i="3"/>
  <c r="N59" i="3"/>
  <c r="S353" i="11"/>
  <c r="Q46" i="5" s="1"/>
  <c r="T344" i="11"/>
  <c r="Z340" i="11"/>
  <c r="AA340" i="11" s="1"/>
  <c r="AD937" i="11"/>
  <c r="AG39" i="11"/>
  <c r="X39" i="11"/>
  <c r="Z39" i="11" s="1"/>
  <c r="AA39" i="11" s="1"/>
  <c r="AD282" i="11"/>
  <c r="AD411" i="11"/>
  <c r="W341" i="11"/>
  <c r="AH341" i="11" s="1"/>
  <c r="V341" i="11"/>
  <c r="U341" i="11"/>
  <c r="AD773" i="11"/>
  <c r="V93" i="11"/>
  <c r="U93" i="11"/>
  <c r="W93" i="11"/>
  <c r="AH93" i="11" s="1"/>
  <c r="AE93" i="11"/>
  <c r="AG284" i="11"/>
  <c r="AG288" i="11"/>
  <c r="F51" i="3"/>
  <c r="G51" i="3"/>
  <c r="V51" i="3"/>
  <c r="J51" i="3"/>
  <c r="X62" i="3"/>
  <c r="AA62" i="3"/>
  <c r="R37" i="3"/>
  <c r="T37" i="3"/>
  <c r="P37" i="3"/>
  <c r="AO48" i="3"/>
  <c r="O48" i="3"/>
  <c r="R215" i="11"/>
  <c r="AD143" i="11"/>
  <c r="R806" i="11"/>
  <c r="T895" i="11"/>
  <c r="AG364" i="11"/>
  <c r="AG1042" i="11"/>
  <c r="X211" i="11"/>
  <c r="Z211" i="11" s="1"/>
  <c r="AA211" i="11" s="1"/>
  <c r="AG211" i="11"/>
  <c r="T1020" i="11"/>
  <c r="L62" i="3" s="1"/>
  <c r="R1020" i="11"/>
  <c r="AG1020" i="11" s="1"/>
  <c r="Y1020" i="11"/>
  <c r="Z1020" i="11" s="1"/>
  <c r="AA1020" i="11" s="1"/>
  <c r="X263" i="11"/>
  <c r="Z263" i="11" s="1"/>
  <c r="AA263" i="11" s="1"/>
  <c r="AG263" i="11"/>
  <c r="S970" i="11"/>
  <c r="T970" i="11" s="1"/>
  <c r="M43" i="3"/>
  <c r="T43" i="3"/>
  <c r="H45" i="3"/>
  <c r="G63" i="3"/>
  <c r="H63" i="3"/>
  <c r="J63" i="3"/>
  <c r="F63" i="3"/>
  <c r="S56" i="3"/>
  <c r="S1004" i="11"/>
  <c r="AG1004" i="11" s="1"/>
  <c r="AD1004" i="11"/>
  <c r="T1028" i="11"/>
  <c r="AG1028" i="11"/>
  <c r="AH60" i="3"/>
  <c r="AJ39" i="3"/>
  <c r="L39" i="3"/>
  <c r="F39" i="3"/>
  <c r="AJ50" i="3"/>
  <c r="F50" i="3"/>
  <c r="Q50" i="3"/>
  <c r="X337" i="11"/>
  <c r="Z337" i="11" s="1"/>
  <c r="AA337" i="11" s="1"/>
  <c r="AA52" i="3"/>
  <c r="R52" i="3"/>
  <c r="AH52" i="3"/>
  <c r="X52" i="3"/>
  <c r="AO49" i="3"/>
  <c r="M49" i="3"/>
  <c r="F49" i="3"/>
  <c r="H49" i="3"/>
  <c r="AI49" i="3"/>
  <c r="U414" i="11"/>
  <c r="W414" i="11"/>
  <c r="AH414" i="11" s="1"/>
  <c r="AE414" i="11"/>
  <c r="V414" i="11"/>
  <c r="X419" i="11"/>
  <c r="Z419" i="11" s="1"/>
  <c r="AA419" i="11" s="1"/>
  <c r="AG291" i="11"/>
  <c r="S882" i="11"/>
  <c r="AF35" i="3"/>
  <c r="AC57" i="3"/>
  <c r="AD57" i="3"/>
  <c r="AF57" i="3"/>
  <c r="AF54" i="3"/>
  <c r="AH54" i="3"/>
  <c r="Y54" i="3"/>
  <c r="AA54" i="3"/>
  <c r="O54" i="3"/>
  <c r="I53" i="3"/>
  <c r="AO53" i="3"/>
  <c r="L53" i="3"/>
  <c r="N53" i="3"/>
  <c r="H53" i="3"/>
  <c r="J55" i="3"/>
  <c r="AG374" i="11"/>
  <c r="X798" i="11"/>
  <c r="S798" i="11"/>
  <c r="AG385" i="11"/>
  <c r="AD92" i="11"/>
  <c r="AG124" i="11"/>
  <c r="X770" i="11"/>
  <c r="R770" i="11"/>
  <c r="AG770" i="11" s="1"/>
  <c r="P947" i="11"/>
  <c r="AD947" i="11" s="1"/>
  <c r="Y620" i="11"/>
  <c r="S620" i="11"/>
  <c r="Y940" i="11"/>
  <c r="AG265" i="11"/>
  <c r="X265" i="11"/>
  <c r="Z265" i="11" s="1"/>
  <c r="AA265" i="11" s="1"/>
  <c r="Q782" i="11"/>
  <c r="S782" i="11" s="1"/>
  <c r="L80" i="5"/>
  <c r="K80" i="5"/>
  <c r="L78" i="5"/>
  <c r="AH44" i="3"/>
  <c r="AG428" i="11"/>
  <c r="X428" i="11"/>
  <c r="Z428" i="11" s="1"/>
  <c r="AA428" i="11" s="1"/>
  <c r="Q778" i="11"/>
  <c r="S778" i="11" s="1"/>
  <c r="P943" i="11"/>
  <c r="R943" i="11" s="1"/>
  <c r="AD943" i="11"/>
  <c r="Y652" i="11"/>
  <c r="S652" i="11"/>
  <c r="AD624" i="11"/>
  <c r="T363" i="11"/>
  <c r="AM43" i="3" s="1"/>
  <c r="AD363" i="11"/>
  <c r="Z363" i="11"/>
  <c r="AA363" i="11" s="1"/>
  <c r="X407" i="11"/>
  <c r="Z407" i="11" s="1"/>
  <c r="AA407" i="11" s="1"/>
  <c r="X24" i="11"/>
  <c r="Z24" i="11" s="1"/>
  <c r="AA24" i="11" s="1"/>
  <c r="T24" i="11"/>
  <c r="AG24" i="11"/>
  <c r="AG103" i="11"/>
  <c r="T103" i="11"/>
  <c r="T193" i="11"/>
  <c r="AD635" i="11"/>
  <c r="Z635" i="11"/>
  <c r="AA635" i="11" s="1"/>
  <c r="T635" i="11"/>
  <c r="AD975" i="11"/>
  <c r="X394" i="11"/>
  <c r="Z394" i="11" s="1"/>
  <c r="AA394" i="11" s="1"/>
  <c r="T394" i="11"/>
  <c r="AG394" i="11"/>
  <c r="T123" i="11"/>
  <c r="Z123" i="11"/>
  <c r="AA123" i="11" s="1"/>
  <c r="AD123" i="11"/>
  <c r="S941" i="11"/>
  <c r="T941" i="11" s="1"/>
  <c r="K36" i="3"/>
  <c r="AB36" i="3"/>
  <c r="AF36" i="3"/>
  <c r="N58" i="3"/>
  <c r="AB58" i="3"/>
  <c r="AJ58" i="3"/>
  <c r="L58" i="3"/>
  <c r="Z58" i="3"/>
  <c r="AO46" i="3"/>
  <c r="P46" i="3"/>
  <c r="X46" i="3"/>
  <c r="N46" i="3"/>
  <c r="Q47" i="3"/>
  <c r="AB47" i="3"/>
  <c r="H47" i="3"/>
  <c r="Y47" i="3"/>
  <c r="AK47" i="3"/>
  <c r="H42" i="3"/>
  <c r="I42" i="3"/>
  <c r="AN42" i="3"/>
  <c r="AB42" i="3"/>
  <c r="R42" i="3"/>
  <c r="AG979" i="11"/>
  <c r="X1024" i="11"/>
  <c r="Z1024" i="11" s="1"/>
  <c r="AA1024" i="11" s="1"/>
  <c r="S779" i="11"/>
  <c r="T906" i="11"/>
  <c r="F59" i="3" s="1"/>
  <c r="Q644" i="11"/>
  <c r="S644" i="11" s="1"/>
  <c r="Y644" i="11" s="1"/>
  <c r="AE279" i="11"/>
  <c r="V279" i="11"/>
  <c r="W279" i="11"/>
  <c r="AH279" i="11" s="1"/>
  <c r="U279" i="11"/>
  <c r="AI804" i="11"/>
  <c r="X804" i="11" s="1"/>
  <c r="P826" i="11"/>
  <c r="R826" i="11" s="1"/>
  <c r="AG826" i="11" s="1"/>
  <c r="Y826" i="11"/>
  <c r="X1027" i="11"/>
  <c r="Z1027" i="11" s="1"/>
  <c r="AA1027" i="11" s="1"/>
  <c r="Z962" i="11"/>
  <c r="AA962" i="11" s="1"/>
  <c r="AG882" i="11"/>
  <c r="H38" i="3"/>
  <c r="N38" i="3"/>
  <c r="AE38" i="3"/>
  <c r="S40" i="3"/>
  <c r="V40" i="3"/>
  <c r="Q41" i="3"/>
  <c r="AB41" i="3"/>
  <c r="AH61" i="3"/>
  <c r="AO61" i="3"/>
  <c r="O61" i="3"/>
  <c r="Z899" i="11"/>
  <c r="AA899" i="11" s="1"/>
  <c r="AE992" i="11"/>
  <c r="W992" i="11"/>
  <c r="AH992" i="11" s="1"/>
  <c r="U992" i="11"/>
  <c r="V992" i="11"/>
  <c r="AD283" i="11"/>
  <c r="AI800" i="11"/>
  <c r="X800" i="11" s="1"/>
  <c r="T370" i="11"/>
  <c r="X1013" i="11"/>
  <c r="Z1013" i="11" s="1"/>
  <c r="AA1013" i="11" s="1"/>
  <c r="K59" i="3"/>
  <c r="V59" i="3"/>
  <c r="X59" i="3"/>
  <c r="X417" i="11"/>
  <c r="Z417" i="11" s="1"/>
  <c r="AA417" i="11" s="1"/>
  <c r="Z381" i="11"/>
  <c r="AA381" i="11" s="1"/>
  <c r="T423" i="11"/>
  <c r="Z344" i="11"/>
  <c r="AA344" i="11" s="1"/>
  <c r="AG340" i="11"/>
  <c r="AG885" i="11"/>
  <c r="AD991" i="11"/>
  <c r="T411" i="11"/>
  <c r="O45" i="3" s="1"/>
  <c r="AD106" i="11"/>
  <c r="AD284" i="11"/>
  <c r="AE634" i="11"/>
  <c r="W634" i="11"/>
  <c r="AH634" i="11" s="1"/>
  <c r="U634" i="11"/>
  <c r="V634" i="11"/>
  <c r="X208" i="11"/>
  <c r="Z208" i="11" s="1"/>
  <c r="AA208" i="11" s="1"/>
  <c r="T39" i="11"/>
  <c r="T101" i="11"/>
  <c r="R933" i="11"/>
  <c r="AG933" i="11" s="1"/>
  <c r="T84" i="11"/>
  <c r="Z341" i="11"/>
  <c r="AA341" i="11" s="1"/>
  <c r="Z131" i="11"/>
  <c r="AA131" i="11" s="1"/>
  <c r="T131" i="11"/>
  <c r="W37" i="3" s="1"/>
  <c r="V775" i="11"/>
  <c r="AE775" i="11"/>
  <c r="U775" i="11"/>
  <c r="W775" i="11"/>
  <c r="AH775" i="11" s="1"/>
  <c r="AE26" i="11"/>
  <c r="W26" i="11"/>
  <c r="U26" i="11"/>
  <c r="V26" i="11"/>
  <c r="AG867" i="11"/>
  <c r="AG830" i="11"/>
  <c r="AG143" i="11"/>
  <c r="T143" i="11"/>
  <c r="T338" i="11"/>
  <c r="AD338" i="11"/>
  <c r="Z338" i="11"/>
  <c r="AA338" i="11" s="1"/>
  <c r="AG171" i="11"/>
  <c r="T97" i="11"/>
  <c r="Y36" i="3" s="1"/>
  <c r="Z97" i="11"/>
  <c r="AA97" i="11" s="1"/>
  <c r="AG86" i="11"/>
  <c r="J43" i="3"/>
  <c r="F45" i="3"/>
  <c r="S45" i="3"/>
  <c r="V45" i="3"/>
  <c r="P45" i="3"/>
  <c r="P63" i="3"/>
  <c r="Q63" i="3"/>
  <c r="R63" i="3"/>
  <c r="T63" i="3"/>
  <c r="N63" i="3"/>
  <c r="M56" i="3"/>
  <c r="F60" i="3"/>
  <c r="Q60" i="3"/>
  <c r="H39" i="3"/>
  <c r="S39" i="3"/>
  <c r="J39" i="3"/>
  <c r="N39" i="3"/>
  <c r="P50" i="3"/>
  <c r="AC50" i="3"/>
  <c r="AE50" i="3"/>
  <c r="K50" i="3"/>
  <c r="X105" i="11"/>
  <c r="Z105" i="11" s="1"/>
  <c r="AA105" i="11" s="1"/>
  <c r="AG105" i="11"/>
  <c r="F52" i="3"/>
  <c r="AL52" i="3"/>
  <c r="AK52" i="3"/>
  <c r="AF52" i="3"/>
  <c r="AF49" i="3"/>
  <c r="P49" i="3"/>
  <c r="R49" i="3"/>
  <c r="AG839" i="11"/>
  <c r="Z258" i="11"/>
  <c r="AA258" i="11" s="1"/>
  <c r="T258" i="11"/>
  <c r="Z357" i="11"/>
  <c r="AA357" i="11" s="1"/>
  <c r="T357" i="11"/>
  <c r="AG43" i="3" s="1"/>
  <c r="AE942" i="11"/>
  <c r="V942" i="11"/>
  <c r="E90" i="5" s="1"/>
  <c r="U942" i="11"/>
  <c r="C90" i="5" s="1"/>
  <c r="W942" i="11"/>
  <c r="AH942" i="11" s="1"/>
  <c r="T854" i="11"/>
  <c r="Z854" i="11"/>
  <c r="AA854" i="11" s="1"/>
  <c r="T928" i="11"/>
  <c r="AB59" i="3" s="1"/>
  <c r="Z928" i="11"/>
  <c r="AA928" i="11" s="1"/>
  <c r="AG131" i="11"/>
  <c r="AG430" i="11"/>
  <c r="T430" i="11"/>
  <c r="AM57" i="3"/>
  <c r="AN57" i="3"/>
  <c r="S57" i="3"/>
  <c r="K54" i="3"/>
  <c r="H54" i="3"/>
  <c r="AI54" i="3"/>
  <c r="AK54" i="3"/>
  <c r="W54" i="3"/>
  <c r="AC53" i="3"/>
  <c r="K53" i="3"/>
  <c r="V53" i="3"/>
  <c r="Z53" i="3"/>
  <c r="P53" i="3"/>
  <c r="S55" i="3"/>
  <c r="AA55" i="3"/>
  <c r="T845" i="11"/>
  <c r="Q57" i="3" s="1"/>
  <c r="X331" i="11"/>
  <c r="Z331" i="11" s="1"/>
  <c r="AA331" i="11" s="1"/>
  <c r="AG331" i="11"/>
  <c r="AD884" i="11"/>
  <c r="S884" i="11"/>
  <c r="X884" i="11"/>
  <c r="Z884" i="11" s="1"/>
  <c r="AA884" i="11" s="1"/>
  <c r="AD150" i="11"/>
  <c r="AG92" i="11"/>
  <c r="Z783" i="11"/>
  <c r="AA783" i="11" s="1"/>
  <c r="T848" i="11"/>
  <c r="D34" i="4" s="1"/>
  <c r="Z118" i="11"/>
  <c r="AA118" i="11" s="1"/>
  <c r="T118" i="11"/>
  <c r="X364" i="11"/>
  <c r="AG202" i="11"/>
  <c r="X202" i="11"/>
  <c r="Z202" i="11" s="1"/>
  <c r="AA202" i="11" s="1"/>
  <c r="U783" i="11"/>
  <c r="W783" i="11"/>
  <c r="AH783" i="11" s="1"/>
  <c r="V783" i="11"/>
  <c r="AE783" i="11"/>
  <c r="Z399" i="11"/>
  <c r="AA399" i="11" s="1"/>
  <c r="T399" i="11"/>
  <c r="M80" i="5"/>
  <c r="L83" i="5"/>
  <c r="K79" i="5"/>
  <c r="M82" i="5"/>
  <c r="AI44" i="3"/>
  <c r="W44" i="3"/>
  <c r="AD44" i="3"/>
  <c r="T855" i="11"/>
  <c r="AG799" i="11"/>
  <c r="AG82" i="11"/>
  <c r="AG897" i="11"/>
  <c r="T897" i="11"/>
  <c r="AG859" i="11"/>
  <c r="Z103" i="11"/>
  <c r="AA103" i="11" s="1"/>
  <c r="T102" i="11"/>
  <c r="Z102" i="11"/>
  <c r="AA102" i="11" s="1"/>
  <c r="S1000" i="11"/>
  <c r="AG1000" i="11" s="1"/>
  <c r="AG905" i="11"/>
  <c r="Z849" i="11"/>
  <c r="AA849" i="11" s="1"/>
  <c r="T849" i="11"/>
  <c r="U57" i="3" s="1"/>
  <c r="S849" i="11"/>
  <c r="AG849" i="11" s="1"/>
  <c r="X13" i="11"/>
  <c r="Z13" i="11" s="1"/>
  <c r="AA13" i="11" s="1"/>
  <c r="AG13" i="11"/>
  <c r="T13" i="11"/>
  <c r="Y1039" i="11"/>
  <c r="Z1039" i="11"/>
  <c r="AA1039" i="11" s="1"/>
  <c r="R1039" i="11"/>
  <c r="AG1039" i="11" s="1"/>
  <c r="S1039" i="11"/>
  <c r="AD1039" i="11"/>
  <c r="AH36" i="3"/>
  <c r="AE36" i="3"/>
  <c r="X36" i="3"/>
  <c r="P58" i="3"/>
  <c r="V58" i="3"/>
  <c r="AJ46" i="3"/>
  <c r="Z46" i="3"/>
  <c r="AH46" i="3"/>
  <c r="AD46" i="3"/>
  <c r="AM47" i="3"/>
  <c r="S47" i="3"/>
  <c r="AN47" i="3"/>
  <c r="AI47" i="3"/>
  <c r="M47" i="3"/>
  <c r="AD42" i="3"/>
  <c r="AO42" i="3"/>
  <c r="U42" i="3"/>
  <c r="AL42" i="3"/>
  <c r="Z42" i="3"/>
  <c r="AG944" i="11"/>
  <c r="S773" i="11"/>
  <c r="AG773" i="11" s="1"/>
  <c r="Y1037" i="11"/>
  <c r="Z1037" i="11" s="1"/>
  <c r="AA1037" i="11" s="1"/>
  <c r="V378" i="11"/>
  <c r="U378" i="11"/>
  <c r="W378" i="11"/>
  <c r="AH378" i="11" s="1"/>
  <c r="AE378" i="11"/>
  <c r="AG187" i="11"/>
  <c r="AD19" i="11"/>
  <c r="D39" i="4"/>
  <c r="T1042" i="11"/>
  <c r="Y779" i="11"/>
  <c r="Z779" i="11" s="1"/>
  <c r="AA779" i="11" s="1"/>
  <c r="S909" i="11"/>
  <c r="T909" i="11" s="1"/>
  <c r="AA38" i="3"/>
  <c r="R38" i="3"/>
  <c r="AO38" i="3"/>
  <c r="AL38" i="3"/>
  <c r="AE40" i="3"/>
  <c r="AF40" i="3"/>
  <c r="N40" i="3"/>
  <c r="AB40" i="3"/>
  <c r="AK40" i="3"/>
  <c r="O41" i="3"/>
  <c r="S41" i="3"/>
  <c r="AJ41" i="3"/>
  <c r="AE61" i="3"/>
  <c r="Z360" i="11"/>
  <c r="AA360" i="11" s="1"/>
  <c r="T360" i="11"/>
  <c r="Y996" i="11"/>
  <c r="T59" i="3"/>
  <c r="V38" i="11"/>
  <c r="W38" i="11"/>
  <c r="U38" i="11"/>
  <c r="AE38" i="11"/>
  <c r="AG344" i="11"/>
  <c r="T340" i="11"/>
  <c r="P43" i="3" s="1"/>
  <c r="T274" i="11"/>
  <c r="AD20" i="11"/>
  <c r="AD777" i="11"/>
  <c r="T859" i="11"/>
  <c r="AD97" i="11"/>
  <c r="AD1000" i="11"/>
  <c r="AG45" i="11"/>
  <c r="S962" i="11"/>
  <c r="T962" i="11" s="1"/>
  <c r="T284" i="11"/>
  <c r="AD202" i="11"/>
  <c r="T291" i="11"/>
  <c r="AD167" i="11"/>
  <c r="AG118" i="11"/>
  <c r="W878" i="11"/>
  <c r="AH878" i="11" s="1"/>
  <c r="AE878" i="11"/>
  <c r="U878" i="11"/>
  <c r="V878" i="11"/>
  <c r="AB51" i="3"/>
  <c r="Q51" i="3"/>
  <c r="Z62" i="3"/>
  <c r="AL37" i="3"/>
  <c r="O37" i="3"/>
  <c r="AF37" i="3"/>
  <c r="W48" i="3"/>
  <c r="X48" i="3"/>
  <c r="AI48" i="3"/>
  <c r="AM48" i="3"/>
  <c r="U48" i="3"/>
  <c r="W34" i="3"/>
  <c r="AG1043" i="11"/>
  <c r="X410" i="11"/>
  <c r="Z410" i="11" s="1"/>
  <c r="AA410" i="11" s="1"/>
  <c r="AG410" i="11"/>
  <c r="T873" i="11"/>
  <c r="I58" i="3" s="1"/>
  <c r="R873" i="11"/>
  <c r="AG873" i="11" s="1"/>
  <c r="Z873" i="11"/>
  <c r="AA873" i="11" s="1"/>
  <c r="Q43" i="11"/>
  <c r="S43" i="11" s="1"/>
  <c r="T85" i="11"/>
  <c r="Z85" i="11"/>
  <c r="AA85" i="11" s="1"/>
  <c r="Y931" i="11"/>
  <c r="Z931" i="11" s="1"/>
  <c r="AA931" i="11" s="1"/>
  <c r="T931" i="11"/>
  <c r="S931" i="11"/>
  <c r="R931" i="11"/>
  <c r="AG931" i="11" s="1"/>
  <c r="AG941" i="11"/>
  <c r="N43" i="3"/>
  <c r="O43" i="3"/>
  <c r="AL43" i="3"/>
  <c r="R45" i="3"/>
  <c r="AC45" i="3"/>
  <c r="AH45" i="3"/>
  <c r="Z63" i="3"/>
  <c r="AA63" i="3"/>
  <c r="AB63" i="3"/>
  <c r="AF63" i="3"/>
  <c r="V63" i="3"/>
  <c r="O56" i="3"/>
  <c r="AO56" i="3"/>
  <c r="J60" i="3"/>
  <c r="AI60" i="3"/>
  <c r="AK60" i="3"/>
  <c r="R39" i="3"/>
  <c r="AE39" i="3"/>
  <c r="T39" i="3"/>
  <c r="AH39" i="3"/>
  <c r="O50" i="3"/>
  <c r="AB50" i="3"/>
  <c r="AM50" i="3"/>
  <c r="AO50" i="3"/>
  <c r="S50" i="3"/>
  <c r="AB52" i="3"/>
  <c r="J52" i="3"/>
  <c r="K52" i="3"/>
  <c r="M52" i="3"/>
  <c r="I52" i="3"/>
  <c r="Z1046" i="11"/>
  <c r="AA1046" i="11" s="1"/>
  <c r="W49" i="3"/>
  <c r="O49" i="3"/>
  <c r="Z49" i="3"/>
  <c r="AD49" i="3"/>
  <c r="L49" i="3"/>
  <c r="T983" i="11"/>
  <c r="W428" i="11"/>
  <c r="AH428" i="11" s="1"/>
  <c r="V428" i="11"/>
  <c r="AE428" i="11"/>
  <c r="U428" i="11"/>
  <c r="T160" i="11"/>
  <c r="P38" i="3" s="1"/>
  <c r="Z160" i="11"/>
  <c r="AA160" i="11" s="1"/>
  <c r="AD160" i="11"/>
  <c r="AG18" i="11"/>
  <c r="X18" i="11"/>
  <c r="Z18" i="11" s="1"/>
  <c r="AA18" i="11" s="1"/>
  <c r="AD900" i="11"/>
  <c r="Y772" i="11"/>
  <c r="Z772" i="11" s="1"/>
  <c r="AA772" i="11" s="1"/>
  <c r="X175" i="11"/>
  <c r="Z175" i="11" s="1"/>
  <c r="AA175" i="11" s="1"/>
  <c r="AG175" i="11"/>
  <c r="R937" i="11"/>
  <c r="AG937" i="11" s="1"/>
  <c r="S355" i="11"/>
  <c r="O35" i="3"/>
  <c r="N57" i="3"/>
  <c r="M57" i="3"/>
  <c r="I57" i="3"/>
  <c r="U54" i="3"/>
  <c r="R54" i="3"/>
  <c r="N54" i="3"/>
  <c r="AE54" i="3"/>
  <c r="J53" i="3"/>
  <c r="U53" i="3"/>
  <c r="AH53" i="3"/>
  <c r="AJ53" i="3"/>
  <c r="AO55" i="3"/>
  <c r="AF55" i="3"/>
  <c r="M55" i="3"/>
  <c r="T422" i="11"/>
  <c r="Z422" i="11"/>
  <c r="AA422" i="11" s="1"/>
  <c r="AG174" i="11"/>
  <c r="R884" i="11"/>
  <c r="AG884" i="11" s="1"/>
  <c r="U938" i="11"/>
  <c r="W938" i="11"/>
  <c r="AH938" i="11" s="1"/>
  <c r="V938" i="11"/>
  <c r="AE938" i="11"/>
  <c r="Z642" i="11"/>
  <c r="AA642" i="11" s="1"/>
  <c r="T642" i="11"/>
  <c r="AD51" i="3" s="1"/>
  <c r="AD642" i="11"/>
  <c r="X11" i="11"/>
  <c r="Z11" i="11" s="1"/>
  <c r="AA11" i="11" s="1"/>
  <c r="AG11" i="11"/>
  <c r="X404" i="11"/>
  <c r="Z404" i="11" s="1"/>
  <c r="AA404" i="11" s="1"/>
  <c r="AG404" i="11"/>
  <c r="Y770" i="11"/>
  <c r="AG877" i="11"/>
  <c r="AD916" i="11"/>
  <c r="X848" i="11"/>
  <c r="Z848" i="11" s="1"/>
  <c r="AA848" i="11" s="1"/>
  <c r="R1046" i="11"/>
  <c r="AG1046" i="11" s="1"/>
  <c r="T793" i="11"/>
  <c r="Z793" i="11"/>
  <c r="AA793" i="11" s="1"/>
  <c r="L79" i="5"/>
  <c r="M93" i="5"/>
  <c r="M77" i="5"/>
  <c r="K77" i="5"/>
  <c r="L82" i="5"/>
  <c r="N44" i="3"/>
  <c r="K44" i="3"/>
  <c r="I44" i="3"/>
  <c r="Y855" i="11"/>
  <c r="Z855" i="11" s="1"/>
  <c r="AA855" i="11" s="1"/>
  <c r="T406" i="11"/>
  <c r="Z406" i="11"/>
  <c r="AA406" i="11" s="1"/>
  <c r="X385" i="11"/>
  <c r="Z385" i="11" s="1"/>
  <c r="AA385" i="11" s="1"/>
  <c r="X193" i="11"/>
  <c r="Z193" i="11" s="1"/>
  <c r="AA193" i="11" s="1"/>
  <c r="S940" i="11"/>
  <c r="T940" i="11" s="1"/>
  <c r="X185" i="11"/>
  <c r="Z185" i="11" s="1"/>
  <c r="AA185" i="11" s="1"/>
  <c r="AG185" i="11"/>
  <c r="P790" i="11"/>
  <c r="AI790" i="11"/>
  <c r="R779" i="11"/>
  <c r="AG779" i="11" s="1"/>
  <c r="AD131" i="11"/>
  <c r="V36" i="3"/>
  <c r="G36" i="3"/>
  <c r="H58" i="3"/>
  <c r="O58" i="3"/>
  <c r="AF58" i="3"/>
  <c r="AA46" i="3"/>
  <c r="AK46" i="3"/>
  <c r="Q46" i="3"/>
  <c r="R47" i="3"/>
  <c r="AE47" i="3"/>
  <c r="AE42" i="3"/>
  <c r="V42" i="3"/>
  <c r="G42" i="3"/>
  <c r="Z135" i="11"/>
  <c r="AA135" i="11" s="1"/>
  <c r="T135" i="11"/>
  <c r="AA37" i="3" s="1"/>
  <c r="AD135" i="11"/>
  <c r="AD172" i="11"/>
  <c r="AG268" i="11"/>
  <c r="R908" i="11"/>
  <c r="AD908" i="11"/>
  <c r="S1027" i="11"/>
  <c r="AG1027" i="11" s="1"/>
  <c r="Z1025" i="11"/>
  <c r="AA1025" i="11" s="1"/>
  <c r="T1025" i="11"/>
  <c r="Q62" i="3" s="1"/>
  <c r="S777" i="11"/>
  <c r="T777" i="11" s="1"/>
  <c r="AK38" i="3"/>
  <c r="AB38" i="3"/>
  <c r="J38" i="3"/>
  <c r="F40" i="3"/>
  <c r="AO40" i="3"/>
  <c r="P40" i="3"/>
  <c r="X40" i="3"/>
  <c r="L40" i="3"/>
  <c r="G41" i="3"/>
  <c r="R41" i="3"/>
  <c r="H41" i="3"/>
  <c r="K41" i="3"/>
  <c r="I61" i="3"/>
  <c r="T61" i="3"/>
  <c r="AA61" i="3"/>
  <c r="AG891" i="11"/>
  <c r="T891" i="11"/>
  <c r="AA58" i="3" s="1"/>
  <c r="AD412" i="11"/>
  <c r="AG360" i="11"/>
  <c r="Z926" i="11"/>
  <c r="AA926" i="11" s="1"/>
  <c r="T926" i="11"/>
  <c r="Z59" i="3" s="1"/>
  <c r="X996" i="11"/>
  <c r="Z996" i="11" s="1"/>
  <c r="AA996" i="11" s="1"/>
  <c r="Z364" i="11"/>
  <c r="AA364" i="11" s="1"/>
  <c r="T364" i="11"/>
  <c r="Z647" i="11"/>
  <c r="AA647" i="11" s="1"/>
  <c r="T647" i="11"/>
  <c r="AI51" i="3" s="1"/>
  <c r="AD854" i="11"/>
  <c r="T408" i="11"/>
  <c r="Z408" i="11"/>
  <c r="AA408" i="11" s="1"/>
  <c r="AD59" i="3"/>
  <c r="AE59" i="3"/>
  <c r="T207" i="11"/>
  <c r="AG876" i="11"/>
  <c r="T265" i="11"/>
  <c r="W163" i="11"/>
  <c r="AH163" i="11" s="1"/>
  <c r="AE163" i="11"/>
  <c r="U163" i="11"/>
  <c r="V163" i="11"/>
  <c r="X1004" i="11"/>
  <c r="Z1004" i="11" s="1"/>
  <c r="AA1004" i="11" s="1"/>
  <c r="AH892" i="11"/>
  <c r="V791" i="11"/>
  <c r="U791" i="11"/>
  <c r="W791" i="11"/>
  <c r="AH791" i="11" s="1"/>
  <c r="AE791" i="11"/>
  <c r="X92" i="11"/>
  <c r="Z92" i="11" s="1"/>
  <c r="AA92" i="11" s="1"/>
  <c r="AD909" i="11"/>
  <c r="T889" i="11"/>
  <c r="Y58" i="3" s="1"/>
  <c r="T882" i="11"/>
  <c r="X940" i="11"/>
  <c r="Z940" i="11" s="1"/>
  <c r="AA940" i="11" s="1"/>
  <c r="AE632" i="11" l="1"/>
  <c r="W632" i="11"/>
  <c r="U632" i="11"/>
  <c r="V632" i="11"/>
  <c r="T51" i="3"/>
  <c r="V941" i="11"/>
  <c r="F89" i="5" s="1"/>
  <c r="U941" i="11"/>
  <c r="D89" i="5" s="1"/>
  <c r="W941" i="11"/>
  <c r="AH941" i="11" s="1"/>
  <c r="AE941" i="11"/>
  <c r="AO59" i="3"/>
  <c r="H89" i="5"/>
  <c r="U814" i="11"/>
  <c r="W814" i="11"/>
  <c r="V814" i="11"/>
  <c r="V56" i="3"/>
  <c r="AE814" i="11"/>
  <c r="U1023" i="11"/>
  <c r="V1023" i="11"/>
  <c r="W1023" i="11"/>
  <c r="AE1023" i="11"/>
  <c r="O62" i="3"/>
  <c r="U828" i="11"/>
  <c r="W828" i="11"/>
  <c r="V828" i="11"/>
  <c r="AE828" i="11"/>
  <c r="AJ56" i="3"/>
  <c r="AG65" i="11"/>
  <c r="X65" i="11"/>
  <c r="P46" i="5"/>
  <c r="V59" i="11"/>
  <c r="AE59" i="11"/>
  <c r="W59" i="11"/>
  <c r="U59" i="11"/>
  <c r="H40" i="5"/>
  <c r="H87" i="3"/>
  <c r="W35" i="3"/>
  <c r="W1024" i="11"/>
  <c r="U1024" i="11"/>
  <c r="V1024" i="11"/>
  <c r="AE1024" i="11"/>
  <c r="P62" i="3"/>
  <c r="Y44" i="11"/>
  <c r="Q25" i="5"/>
  <c r="X368" i="11"/>
  <c r="AG368" i="11"/>
  <c r="Q44" i="5"/>
  <c r="Y63" i="11"/>
  <c r="U1021" i="11"/>
  <c r="W1021" i="11"/>
  <c r="V1021" i="11"/>
  <c r="AE1021" i="11"/>
  <c r="M62" i="3"/>
  <c r="V784" i="11"/>
  <c r="U784" i="11"/>
  <c r="W784" i="11"/>
  <c r="AB55" i="3"/>
  <c r="AE784" i="11"/>
  <c r="T764" i="11"/>
  <c r="V777" i="11"/>
  <c r="U777" i="11"/>
  <c r="W777" i="11"/>
  <c r="AE777" i="11"/>
  <c r="U55" i="3"/>
  <c r="W962" i="11"/>
  <c r="V962" i="11"/>
  <c r="U962" i="11"/>
  <c r="AE962" i="11"/>
  <c r="Z60" i="3"/>
  <c r="AG43" i="11"/>
  <c r="Y43" i="11"/>
  <c r="Q24" i="5"/>
  <c r="AG380" i="11"/>
  <c r="T380" i="11"/>
  <c r="P37" i="5"/>
  <c r="X380" i="11"/>
  <c r="Z380" i="11" s="1"/>
  <c r="AA380" i="11" s="1"/>
  <c r="AG72" i="11"/>
  <c r="X72" i="11"/>
  <c r="P53" i="5"/>
  <c r="AG62" i="11"/>
  <c r="X62" i="11"/>
  <c r="Z62" i="11" s="1"/>
  <c r="AA62" i="11" s="1"/>
  <c r="P43" i="5"/>
  <c r="T62" i="11"/>
  <c r="AG945" i="11"/>
  <c r="T945" i="11"/>
  <c r="W801" i="11"/>
  <c r="AH801" i="11" s="1"/>
  <c r="V801" i="11"/>
  <c r="U801" i="11"/>
  <c r="AE801" i="11"/>
  <c r="G26" i="5"/>
  <c r="I56" i="3"/>
  <c r="Y62" i="11"/>
  <c r="Q43" i="5"/>
  <c r="V1029" i="11"/>
  <c r="U1029" i="11"/>
  <c r="W1029" i="11"/>
  <c r="AE1029" i="11"/>
  <c r="U62" i="3"/>
  <c r="Y76" i="11"/>
  <c r="Q57" i="5"/>
  <c r="V887" i="11"/>
  <c r="W887" i="11"/>
  <c r="AH887" i="11" s="1"/>
  <c r="U887" i="11"/>
  <c r="AE887" i="11"/>
  <c r="W58" i="3"/>
  <c r="W972" i="11"/>
  <c r="U972" i="11"/>
  <c r="V972" i="11"/>
  <c r="AJ60" i="3"/>
  <c r="AE972" i="11"/>
  <c r="AG824" i="11"/>
  <c r="T824" i="11"/>
  <c r="V1041" i="11"/>
  <c r="U1041" i="11"/>
  <c r="W1041" i="11"/>
  <c r="AH1041" i="11" s="1"/>
  <c r="AE1041" i="11"/>
  <c r="AG62" i="3"/>
  <c r="U772" i="11"/>
  <c r="W772" i="11"/>
  <c r="V772" i="11"/>
  <c r="AE772" i="11"/>
  <c r="P55" i="3"/>
  <c r="U894" i="11"/>
  <c r="W894" i="11"/>
  <c r="V894" i="11"/>
  <c r="AE894" i="11"/>
  <c r="AD58" i="3"/>
  <c r="U786" i="11"/>
  <c r="W786" i="11"/>
  <c r="AE786" i="11"/>
  <c r="V786" i="11"/>
  <c r="AD55" i="3"/>
  <c r="AG967" i="11"/>
  <c r="T967" i="11"/>
  <c r="U901" i="11"/>
  <c r="V901" i="11"/>
  <c r="W901" i="11"/>
  <c r="AE901" i="11"/>
  <c r="AK58" i="3"/>
  <c r="AG76" i="11"/>
  <c r="X76" i="11"/>
  <c r="P57" i="5"/>
  <c r="V969" i="11"/>
  <c r="W969" i="11"/>
  <c r="AE969" i="11"/>
  <c r="U969" i="11"/>
  <c r="AG60" i="3"/>
  <c r="Q55" i="5"/>
  <c r="Y74" i="11"/>
  <c r="W940" i="11"/>
  <c r="V940" i="11"/>
  <c r="U940" i="11"/>
  <c r="AE940" i="11"/>
  <c r="AN59" i="3"/>
  <c r="V287" i="11"/>
  <c r="W287" i="11"/>
  <c r="U287" i="11"/>
  <c r="AE287" i="11"/>
  <c r="AI41" i="3"/>
  <c r="AG951" i="11"/>
  <c r="T951" i="11"/>
  <c r="Q48" i="5"/>
  <c r="Y67" i="11"/>
  <c r="Y648" i="11"/>
  <c r="Q53" i="5"/>
  <c r="W957" i="11"/>
  <c r="AE957" i="11"/>
  <c r="V957" i="11"/>
  <c r="U957" i="11"/>
  <c r="U60" i="3"/>
  <c r="X52" i="11"/>
  <c r="P33" i="5"/>
  <c r="AE976" i="11"/>
  <c r="W976" i="11"/>
  <c r="AH976" i="11" s="1"/>
  <c r="U976" i="11"/>
  <c r="V976" i="11"/>
  <c r="AN60" i="3"/>
  <c r="U909" i="11"/>
  <c r="V909" i="11"/>
  <c r="W909" i="11"/>
  <c r="AE909" i="11"/>
  <c r="I59" i="3"/>
  <c r="V853" i="11"/>
  <c r="U853" i="11"/>
  <c r="W853" i="11"/>
  <c r="AE853" i="11"/>
  <c r="Y57" i="3"/>
  <c r="AG58" i="11"/>
  <c r="X58" i="11"/>
  <c r="P39" i="5"/>
  <c r="AG384" i="11"/>
  <c r="P41" i="5"/>
  <c r="X384" i="11"/>
  <c r="T384" i="11"/>
  <c r="V964" i="11"/>
  <c r="U964" i="11"/>
  <c r="W964" i="11"/>
  <c r="AE964" i="11"/>
  <c r="AB60" i="3"/>
  <c r="T648" i="11"/>
  <c r="X53" i="11"/>
  <c r="AG53" i="11"/>
  <c r="P34" i="5"/>
  <c r="U1047" i="11"/>
  <c r="V1047" i="11"/>
  <c r="W1047" i="11"/>
  <c r="AE1047" i="11"/>
  <c r="AM62" i="3"/>
  <c r="Y384" i="11"/>
  <c r="Q41" i="5"/>
  <c r="W823" i="11"/>
  <c r="AE823" i="11"/>
  <c r="U823" i="11"/>
  <c r="V823" i="11"/>
  <c r="AE56" i="3"/>
  <c r="W832" i="11"/>
  <c r="U832" i="11"/>
  <c r="AE832" i="11"/>
  <c r="V832" i="11"/>
  <c r="AN56" i="3"/>
  <c r="V74" i="11"/>
  <c r="U74" i="11"/>
  <c r="W74" i="11"/>
  <c r="AE74" i="11"/>
  <c r="AL35" i="3"/>
  <c r="T790" i="11"/>
  <c r="Z790" i="11"/>
  <c r="AA790" i="11" s="1"/>
  <c r="U85" i="11"/>
  <c r="W85" i="11"/>
  <c r="AH85" i="11" s="1"/>
  <c r="V85" i="11"/>
  <c r="AE85" i="11"/>
  <c r="U859" i="11"/>
  <c r="V859" i="11"/>
  <c r="AE859" i="11"/>
  <c r="W859" i="11"/>
  <c r="AH859" i="11" s="1"/>
  <c r="AH38" i="11"/>
  <c r="V360" i="11"/>
  <c r="W360" i="11"/>
  <c r="AH360" i="11" s="1"/>
  <c r="U360" i="11"/>
  <c r="AE360" i="11"/>
  <c r="U1042" i="11"/>
  <c r="V1042" i="11"/>
  <c r="AE1042" i="11"/>
  <c r="W1042" i="11"/>
  <c r="AH1042" i="11" s="1"/>
  <c r="V102" i="11"/>
  <c r="U102" i="11"/>
  <c r="W102" i="11"/>
  <c r="AH102" i="11" s="1"/>
  <c r="AE102" i="11"/>
  <c r="V854" i="11"/>
  <c r="U854" i="11"/>
  <c r="W854" i="11"/>
  <c r="AH854" i="11" s="1"/>
  <c r="AE854" i="11"/>
  <c r="U258" i="11"/>
  <c r="C71" i="5" s="1"/>
  <c r="W258" i="11"/>
  <c r="V258" i="11"/>
  <c r="E71" i="5" s="1"/>
  <c r="G71" i="5"/>
  <c r="AE258" i="11"/>
  <c r="W338" i="11"/>
  <c r="AH338" i="11" s="1"/>
  <c r="U338" i="11"/>
  <c r="V338" i="11"/>
  <c r="AE338" i="11"/>
  <c r="V84" i="11"/>
  <c r="U84" i="11"/>
  <c r="W84" i="11"/>
  <c r="AH84" i="11" s="1"/>
  <c r="AE84" i="11"/>
  <c r="V423" i="11"/>
  <c r="W423" i="11"/>
  <c r="AH423" i="11" s="1"/>
  <c r="U423" i="11"/>
  <c r="AE423" i="11"/>
  <c r="W370" i="11"/>
  <c r="AH370" i="11" s="1"/>
  <c r="U370" i="11"/>
  <c r="V370" i="11"/>
  <c r="AE370" i="11"/>
  <c r="U635" i="11"/>
  <c r="V635" i="11"/>
  <c r="AE635" i="11"/>
  <c r="W635" i="11"/>
  <c r="AH635" i="11" s="1"/>
  <c r="U24" i="11"/>
  <c r="W24" i="11"/>
  <c r="V24" i="11"/>
  <c r="AE24" i="11"/>
  <c r="X34" i="3"/>
  <c r="H88" i="3"/>
  <c r="V1028" i="11"/>
  <c r="U1028" i="11"/>
  <c r="W1028" i="11"/>
  <c r="AE1028" i="11"/>
  <c r="W75" i="11"/>
  <c r="AH75" i="11" s="1"/>
  <c r="V75" i="11"/>
  <c r="U75" i="11"/>
  <c r="AE75" i="11"/>
  <c r="U905" i="11"/>
  <c r="D88" i="5" s="1"/>
  <c r="V905" i="11"/>
  <c r="F88" i="5" s="1"/>
  <c r="W905" i="11"/>
  <c r="AH905" i="11" s="1"/>
  <c r="AE905" i="11"/>
  <c r="V829" i="11"/>
  <c r="W829" i="11"/>
  <c r="AH829" i="11" s="1"/>
  <c r="U829" i="11"/>
  <c r="AE829" i="11"/>
  <c r="AE179" i="11"/>
  <c r="U179" i="11"/>
  <c r="W179" i="11"/>
  <c r="AH179" i="11" s="1"/>
  <c r="V179" i="11"/>
  <c r="U217" i="11"/>
  <c r="V217" i="11"/>
  <c r="W217" i="11"/>
  <c r="AH217" i="11" s="1"/>
  <c r="AE217" i="11"/>
  <c r="V282" i="11"/>
  <c r="U282" i="11"/>
  <c r="W282" i="11"/>
  <c r="AH282" i="11" s="1"/>
  <c r="AE282" i="11"/>
  <c r="AH23" i="11"/>
  <c r="Y790" i="11"/>
  <c r="V66" i="11"/>
  <c r="U66" i="11"/>
  <c r="W66" i="11"/>
  <c r="AE66" i="11"/>
  <c r="U429" i="11"/>
  <c r="V429" i="11"/>
  <c r="W429" i="11"/>
  <c r="AH429" i="11" s="1"/>
  <c r="AE429" i="11"/>
  <c r="M36" i="3"/>
  <c r="AG652" i="11"/>
  <c r="AG782" i="11"/>
  <c r="AD798" i="11"/>
  <c r="AE910" i="11"/>
  <c r="W910" i="11"/>
  <c r="AH910" i="11" s="1"/>
  <c r="U910" i="11"/>
  <c r="V910" i="11"/>
  <c r="AD35" i="3"/>
  <c r="AD628" i="11"/>
  <c r="Z628" i="11"/>
  <c r="AA628" i="11" s="1"/>
  <c r="T628" i="11"/>
  <c r="Z43" i="11"/>
  <c r="AA43" i="11" s="1"/>
  <c r="T43" i="11"/>
  <c r="Y625" i="11"/>
  <c r="T625" i="11"/>
  <c r="V762" i="11"/>
  <c r="W762" i="11"/>
  <c r="U762" i="11"/>
  <c r="AE762" i="11"/>
  <c r="U621" i="11"/>
  <c r="AE621" i="11"/>
  <c r="V621" i="11"/>
  <c r="W621" i="11"/>
  <c r="AH621" i="11" s="1"/>
  <c r="AE214" i="11"/>
  <c r="W214" i="11"/>
  <c r="AH214" i="11" s="1"/>
  <c r="U214" i="11"/>
  <c r="V214" i="11"/>
  <c r="AM35" i="3"/>
  <c r="T933" i="11"/>
  <c r="W185" i="11"/>
  <c r="AH185" i="11" s="1"/>
  <c r="AE185" i="11"/>
  <c r="V185" i="11"/>
  <c r="F68" i="5" s="1"/>
  <c r="U185" i="11"/>
  <c r="D68" i="5" s="1"/>
  <c r="AE12" i="11"/>
  <c r="W12" i="11"/>
  <c r="U12" i="11"/>
  <c r="V12" i="11"/>
  <c r="L34" i="3"/>
  <c r="R44" i="11"/>
  <c r="X810" i="11"/>
  <c r="V104" i="11"/>
  <c r="W104" i="11"/>
  <c r="AH104" i="11" s="1"/>
  <c r="U104" i="11"/>
  <c r="AE104" i="11"/>
  <c r="P49" i="5"/>
  <c r="AH40" i="11"/>
  <c r="Z368" i="11"/>
  <c r="AA368" i="11" s="1"/>
  <c r="T368" i="11"/>
  <c r="AD368" i="11"/>
  <c r="AG169" i="11"/>
  <c r="X169" i="11"/>
  <c r="Z169" i="11" s="1"/>
  <c r="AA169" i="11" s="1"/>
  <c r="T169" i="11"/>
  <c r="AG137" i="11"/>
  <c r="T137" i="11"/>
  <c r="X137" i="11"/>
  <c r="Z137" i="11" s="1"/>
  <c r="AA137" i="11" s="1"/>
  <c r="T382" i="11"/>
  <c r="AG382" i="11"/>
  <c r="X382" i="11"/>
  <c r="Z382" i="11" s="1"/>
  <c r="AA382" i="11" s="1"/>
  <c r="W914" i="11"/>
  <c r="U914" i="11"/>
  <c r="V914" i="11"/>
  <c r="AE914" i="11"/>
  <c r="AH1043" i="11"/>
  <c r="W799" i="11"/>
  <c r="AH799" i="11" s="1"/>
  <c r="V799" i="11"/>
  <c r="U799" i="11"/>
  <c r="AE799" i="11"/>
  <c r="U780" i="11"/>
  <c r="W780" i="11"/>
  <c r="V780" i="11"/>
  <c r="AE780" i="11"/>
  <c r="W417" i="11"/>
  <c r="AH417" i="11" s="1"/>
  <c r="V417" i="11"/>
  <c r="U417" i="11"/>
  <c r="AE417" i="11"/>
  <c r="W379" i="11"/>
  <c r="AH379" i="11" s="1"/>
  <c r="U379" i="11"/>
  <c r="V379" i="11"/>
  <c r="AE379" i="11"/>
  <c r="AD384" i="11"/>
  <c r="U993" i="11"/>
  <c r="V993" i="11"/>
  <c r="W993" i="11"/>
  <c r="AE993" i="11"/>
  <c r="AH629" i="11"/>
  <c r="Z8" i="11"/>
  <c r="AA8" i="11" s="1"/>
  <c r="U120" i="11"/>
  <c r="W120" i="11"/>
  <c r="AH120" i="11" s="1"/>
  <c r="V120" i="11"/>
  <c r="AE120" i="11"/>
  <c r="U164" i="11"/>
  <c r="W164" i="11"/>
  <c r="AH164" i="11" s="1"/>
  <c r="V164" i="11"/>
  <c r="AE164" i="11"/>
  <c r="W418" i="11"/>
  <c r="AH418" i="11" s="1"/>
  <c r="V418" i="11"/>
  <c r="U418" i="11"/>
  <c r="AE418" i="11"/>
  <c r="AG974" i="11"/>
  <c r="U138" i="11"/>
  <c r="V138" i="11"/>
  <c r="AE138" i="11"/>
  <c r="W138" i="11"/>
  <c r="AG894" i="11"/>
  <c r="AH1032" i="11"/>
  <c r="AG843" i="11"/>
  <c r="V618" i="11"/>
  <c r="E81" i="5" s="1"/>
  <c r="AE618" i="11"/>
  <c r="U618" i="11"/>
  <c r="C81" i="5" s="1"/>
  <c r="W618" i="11"/>
  <c r="W426" i="11"/>
  <c r="AH426" i="11" s="1"/>
  <c r="V426" i="11"/>
  <c r="U426" i="11"/>
  <c r="AE426" i="11"/>
  <c r="AH930" i="11"/>
  <c r="AH11" i="11"/>
  <c r="W366" i="11"/>
  <c r="V366" i="11"/>
  <c r="E74" i="5" s="1"/>
  <c r="U366" i="11"/>
  <c r="C74" i="5" s="1"/>
  <c r="AE366" i="11"/>
  <c r="G74" i="5"/>
  <c r="W646" i="11"/>
  <c r="AH646" i="11" s="1"/>
  <c r="U646" i="11"/>
  <c r="V646" i="11"/>
  <c r="AE646" i="11"/>
  <c r="AG925" i="11"/>
  <c r="G81" i="5"/>
  <c r="W383" i="11"/>
  <c r="AH383" i="11" s="1"/>
  <c r="U383" i="11"/>
  <c r="V383" i="11"/>
  <c r="AE383" i="11"/>
  <c r="AD823" i="11"/>
  <c r="V206" i="11"/>
  <c r="W206" i="11"/>
  <c r="AH206" i="11" s="1"/>
  <c r="U206" i="11"/>
  <c r="AE206" i="11"/>
  <c r="AD648" i="11"/>
  <c r="Z27" i="11"/>
  <c r="AA27" i="11" s="1"/>
  <c r="U847" i="11"/>
  <c r="V847" i="11"/>
  <c r="AE847" i="11"/>
  <c r="W847" i="11"/>
  <c r="AH847" i="11" s="1"/>
  <c r="AE842" i="11"/>
  <c r="W842" i="11"/>
  <c r="AH842" i="11" s="1"/>
  <c r="U842" i="11"/>
  <c r="V842" i="11"/>
  <c r="Q40" i="5"/>
  <c r="T982" i="11"/>
  <c r="AG982" i="11"/>
  <c r="X808" i="11"/>
  <c r="AG861" i="11"/>
  <c r="T861" i="11"/>
  <c r="AG932" i="11"/>
  <c r="S822" i="11"/>
  <c r="AG822" i="11" s="1"/>
  <c r="V796" i="11"/>
  <c r="W796" i="11"/>
  <c r="U796" i="11"/>
  <c r="AE796" i="11"/>
  <c r="AG901" i="11"/>
  <c r="AG789" i="11"/>
  <c r="W188" i="11"/>
  <c r="AH188" i="11" s="1"/>
  <c r="U188" i="11"/>
  <c r="AE188" i="11"/>
  <c r="V188" i="11"/>
  <c r="V136" i="11"/>
  <c r="AE136" i="11"/>
  <c r="U136" i="11"/>
  <c r="W136" i="11"/>
  <c r="AH136" i="11" s="1"/>
  <c r="S961" i="11"/>
  <c r="AG823" i="11"/>
  <c r="W825" i="11"/>
  <c r="AH825" i="11" s="1"/>
  <c r="U825" i="11"/>
  <c r="V825" i="11"/>
  <c r="AE825" i="11"/>
  <c r="AH934" i="11"/>
  <c r="V352" i="11"/>
  <c r="U352" i="11"/>
  <c r="W352" i="11"/>
  <c r="AH352" i="11" s="1"/>
  <c r="AE352" i="11"/>
  <c r="W882" i="11"/>
  <c r="AH882" i="11" s="1"/>
  <c r="U882" i="11"/>
  <c r="V882" i="11"/>
  <c r="AE882" i="11"/>
  <c r="U207" i="11"/>
  <c r="V207" i="11"/>
  <c r="W207" i="11"/>
  <c r="AH207" i="11" s="1"/>
  <c r="AE207" i="11"/>
  <c r="U891" i="11"/>
  <c r="W891" i="11"/>
  <c r="AH891" i="11" s="1"/>
  <c r="V891" i="11"/>
  <c r="AE891" i="11"/>
  <c r="W291" i="11"/>
  <c r="AH291" i="11" s="1"/>
  <c r="V291" i="11"/>
  <c r="U291" i="11"/>
  <c r="AE291" i="11"/>
  <c r="U855" i="11"/>
  <c r="V855" i="11"/>
  <c r="W855" i="11"/>
  <c r="AH855" i="11" s="1"/>
  <c r="AE855" i="11"/>
  <c r="V143" i="11"/>
  <c r="U143" i="11"/>
  <c r="W143" i="11"/>
  <c r="AH143" i="11" s="1"/>
  <c r="AE143" i="11"/>
  <c r="AD800" i="11"/>
  <c r="R800" i="11"/>
  <c r="T800" i="11" s="1"/>
  <c r="AK55" i="3"/>
  <c r="AA39" i="3"/>
  <c r="AA45" i="3"/>
  <c r="U895" i="11"/>
  <c r="V895" i="11"/>
  <c r="W895" i="11"/>
  <c r="AH895" i="11" s="1"/>
  <c r="AE895" i="11"/>
  <c r="W82" i="11"/>
  <c r="AH82" i="11" s="1"/>
  <c r="V82" i="11"/>
  <c r="U82" i="11"/>
  <c r="AE82" i="11"/>
  <c r="R947" i="11"/>
  <c r="V20" i="11"/>
  <c r="U20" i="11"/>
  <c r="W20" i="11"/>
  <c r="T34" i="3"/>
  <c r="AE20" i="11"/>
  <c r="AH62" i="3"/>
  <c r="U177" i="11"/>
  <c r="AE177" i="11"/>
  <c r="W177" i="11"/>
  <c r="AH177" i="11" s="1"/>
  <c r="V177" i="11"/>
  <c r="AE813" i="11"/>
  <c r="U813" i="11"/>
  <c r="W813" i="11"/>
  <c r="AH813" i="11" s="1"/>
  <c r="V813" i="11"/>
  <c r="W142" i="11"/>
  <c r="AH142" i="11" s="1"/>
  <c r="U142" i="11"/>
  <c r="V142" i="11"/>
  <c r="AE142" i="11"/>
  <c r="AE58" i="3"/>
  <c r="V181" i="11"/>
  <c r="U181" i="11"/>
  <c r="W181" i="11"/>
  <c r="AH181" i="11" s="1"/>
  <c r="AE181" i="11"/>
  <c r="K43" i="3"/>
  <c r="W1013" i="11"/>
  <c r="AH1013" i="11" s="1"/>
  <c r="V1013" i="11"/>
  <c r="F91" i="5" s="1"/>
  <c r="U1013" i="11"/>
  <c r="D91" i="5" s="1"/>
  <c r="AE1013" i="11"/>
  <c r="W51" i="3"/>
  <c r="Y800" i="11"/>
  <c r="Z800" i="11" s="1"/>
  <c r="AA800" i="11" s="1"/>
  <c r="U336" i="11"/>
  <c r="W336" i="11"/>
  <c r="AH336" i="11" s="1"/>
  <c r="V336" i="11"/>
  <c r="AE336" i="11"/>
  <c r="AG157" i="11"/>
  <c r="X157" i="11"/>
  <c r="Z157" i="11" s="1"/>
  <c r="AA157" i="11" s="1"/>
  <c r="T157" i="11"/>
  <c r="AG620" i="11"/>
  <c r="X620" i="11"/>
  <c r="Z620" i="11" s="1"/>
  <c r="AA620" i="11" s="1"/>
  <c r="T620" i="11"/>
  <c r="W124" i="11"/>
  <c r="AH124" i="11" s="1"/>
  <c r="V124" i="11"/>
  <c r="U124" i="11"/>
  <c r="AE124" i="11"/>
  <c r="AE781" i="11"/>
  <c r="W781" i="11"/>
  <c r="V781" i="11"/>
  <c r="U781" i="11"/>
  <c r="AD820" i="11"/>
  <c r="S820" i="11"/>
  <c r="T1027" i="11"/>
  <c r="T773" i="11"/>
  <c r="V639" i="11"/>
  <c r="W639" i="11"/>
  <c r="AH639" i="11" s="1"/>
  <c r="U639" i="11"/>
  <c r="AE639" i="11"/>
  <c r="Y204" i="11"/>
  <c r="Z204" i="11" s="1"/>
  <c r="AA204" i="11" s="1"/>
  <c r="T204" i="11"/>
  <c r="V167" i="11"/>
  <c r="U167" i="11"/>
  <c r="W167" i="11"/>
  <c r="AH167" i="11" s="1"/>
  <c r="AE167" i="11"/>
  <c r="V16" i="11"/>
  <c r="U16" i="11"/>
  <c r="AE16" i="11"/>
  <c r="W16" i="11"/>
  <c r="P34" i="3"/>
  <c r="W403" i="11"/>
  <c r="AH403" i="11" s="1"/>
  <c r="V403" i="11"/>
  <c r="U403" i="11"/>
  <c r="AE403" i="11"/>
  <c r="W115" i="11"/>
  <c r="U115" i="11"/>
  <c r="V115" i="11"/>
  <c r="AE115" i="11"/>
  <c r="X943" i="11"/>
  <c r="Z943" i="11" s="1"/>
  <c r="AA943" i="11" s="1"/>
  <c r="AE1007" i="11"/>
  <c r="W1007" i="11"/>
  <c r="AH1007" i="11" s="1"/>
  <c r="U1007" i="11"/>
  <c r="V1007" i="11"/>
  <c r="AG810" i="11"/>
  <c r="AE162" i="11"/>
  <c r="W162" i="11"/>
  <c r="AH162" i="11" s="1"/>
  <c r="U162" i="11"/>
  <c r="V162" i="11"/>
  <c r="W50" i="11"/>
  <c r="AH50" i="11" s="1"/>
  <c r="U50" i="11"/>
  <c r="V50" i="11"/>
  <c r="AE50" i="11"/>
  <c r="U880" i="11"/>
  <c r="AE880" i="11"/>
  <c r="V880" i="11"/>
  <c r="W880" i="11"/>
  <c r="AH880" i="11" s="1"/>
  <c r="V966" i="11"/>
  <c r="AE966" i="11"/>
  <c r="U966" i="11"/>
  <c r="W966" i="11"/>
  <c r="AH966" i="11" s="1"/>
  <c r="Z372" i="11"/>
  <c r="AA372" i="11" s="1"/>
  <c r="T372" i="11"/>
  <c r="H29" i="5" s="1"/>
  <c r="AD372" i="11"/>
  <c r="AG936" i="11"/>
  <c r="V649" i="11"/>
  <c r="W649" i="11"/>
  <c r="AH649" i="11" s="1"/>
  <c r="U649" i="11"/>
  <c r="AE649" i="11"/>
  <c r="V89" i="11"/>
  <c r="U89" i="11"/>
  <c r="W89" i="11"/>
  <c r="AH89" i="11" s="1"/>
  <c r="AE89" i="11"/>
  <c r="AD380" i="11"/>
  <c r="H68" i="5"/>
  <c r="AG819" i="11"/>
  <c r="T819" i="11"/>
  <c r="U290" i="11"/>
  <c r="AE290" i="11"/>
  <c r="W290" i="11"/>
  <c r="AH290" i="11" s="1"/>
  <c r="V290" i="11"/>
  <c r="Q37" i="5"/>
  <c r="AD782" i="11"/>
  <c r="AD632" i="11"/>
  <c r="W8" i="11"/>
  <c r="U8" i="11"/>
  <c r="V8" i="11"/>
  <c r="H34" i="3"/>
  <c r="AE8" i="11"/>
  <c r="AG69" i="11"/>
  <c r="X69" i="11"/>
  <c r="W184" i="11"/>
  <c r="AH184" i="11" s="1"/>
  <c r="V184" i="11"/>
  <c r="U184" i="11"/>
  <c r="AE184" i="11"/>
  <c r="AG814" i="11"/>
  <c r="T127" i="11"/>
  <c r="Y127" i="11"/>
  <c r="U108" i="11"/>
  <c r="W108" i="11"/>
  <c r="AH108" i="11" s="1"/>
  <c r="AE108" i="11"/>
  <c r="V108" i="11"/>
  <c r="V119" i="11"/>
  <c r="W119" i="11"/>
  <c r="AH119" i="11" s="1"/>
  <c r="U119" i="11"/>
  <c r="AE119" i="11"/>
  <c r="W890" i="11"/>
  <c r="U890" i="11"/>
  <c r="V890" i="11"/>
  <c r="AE890" i="11"/>
  <c r="AG964" i="11"/>
  <c r="V186" i="11"/>
  <c r="E69" i="5" s="1"/>
  <c r="W186" i="11"/>
  <c r="U186" i="11"/>
  <c r="C69" i="5" s="1"/>
  <c r="G69" i="5"/>
  <c r="AE186" i="11"/>
  <c r="X218" i="11"/>
  <c r="Z218" i="11" s="1"/>
  <c r="AA218" i="11" s="1"/>
  <c r="AG218" i="11"/>
  <c r="T218" i="11"/>
  <c r="AD802" i="11"/>
  <c r="Z802" i="11"/>
  <c r="AA802" i="11" s="1"/>
  <c r="AG625" i="11"/>
  <c r="AD778" i="11"/>
  <c r="AG45" i="3"/>
  <c r="V139" i="11"/>
  <c r="U139" i="11"/>
  <c r="AE139" i="11"/>
  <c r="W139" i="11"/>
  <c r="AH139" i="11" s="1"/>
  <c r="W90" i="11"/>
  <c r="AH90" i="11" s="1"/>
  <c r="AE90" i="11"/>
  <c r="V90" i="11"/>
  <c r="U90" i="11"/>
  <c r="AD951" i="11"/>
  <c r="AH841" i="11"/>
  <c r="T285" i="11"/>
  <c r="AG285" i="11"/>
  <c r="X285" i="11"/>
  <c r="Z285" i="11" s="1"/>
  <c r="AA285" i="11" s="1"/>
  <c r="AD955" i="11"/>
  <c r="V270" i="11"/>
  <c r="U270" i="11"/>
  <c r="AE270" i="11"/>
  <c r="W270" i="11"/>
  <c r="AH270" i="11" s="1"/>
  <c r="AD824" i="11"/>
  <c r="V365" i="11"/>
  <c r="F73" i="5" s="1"/>
  <c r="U365" i="11"/>
  <c r="D73" i="5" s="1"/>
  <c r="W365" i="11"/>
  <c r="AH365" i="11" s="1"/>
  <c r="AE365" i="11"/>
  <c r="T416" i="11"/>
  <c r="AG416" i="11"/>
  <c r="X416" i="11"/>
  <c r="Z416" i="11" s="1"/>
  <c r="AA416" i="11" s="1"/>
  <c r="U619" i="11"/>
  <c r="W619" i="11"/>
  <c r="AH619" i="11" s="1"/>
  <c r="V619" i="11"/>
  <c r="AE619" i="11"/>
  <c r="W79" i="11"/>
  <c r="AH79" i="11" s="1"/>
  <c r="AE79" i="11"/>
  <c r="U79" i="11"/>
  <c r="V79" i="11"/>
  <c r="W881" i="11"/>
  <c r="AH881" i="11" s="1"/>
  <c r="V881" i="11"/>
  <c r="U881" i="11"/>
  <c r="AE881" i="11"/>
  <c r="AH404" i="11"/>
  <c r="V134" i="11"/>
  <c r="W134" i="11"/>
  <c r="AH134" i="11" s="1"/>
  <c r="U134" i="11"/>
  <c r="AE134" i="11"/>
  <c r="AG957" i="11"/>
  <c r="Z32" i="11"/>
  <c r="AA32" i="11" s="1"/>
  <c r="T871" i="11"/>
  <c r="AG871" i="11"/>
  <c r="V650" i="11"/>
  <c r="W650" i="11"/>
  <c r="AH650" i="11" s="1"/>
  <c r="U650" i="11"/>
  <c r="AE650" i="11"/>
  <c r="AG989" i="11"/>
  <c r="T989" i="11"/>
  <c r="X431" i="11"/>
  <c r="Z431" i="11" s="1"/>
  <c r="AA431" i="11" s="1"/>
  <c r="AG431" i="11"/>
  <c r="T431" i="11"/>
  <c r="S52" i="11"/>
  <c r="T52" i="11" s="1"/>
  <c r="P58" i="5"/>
  <c r="AD62" i="11"/>
  <c r="U351" i="11"/>
  <c r="V351" i="11"/>
  <c r="W351" i="11"/>
  <c r="AH351" i="11" s="1"/>
  <c r="AE351" i="11"/>
  <c r="AD972" i="11"/>
  <c r="T816" i="11"/>
  <c r="G88" i="3" s="1"/>
  <c r="V80" i="11"/>
  <c r="U80" i="11"/>
  <c r="W80" i="11"/>
  <c r="AH80" i="11" s="1"/>
  <c r="AE80" i="11"/>
  <c r="V647" i="11"/>
  <c r="W647" i="11"/>
  <c r="AH647" i="11" s="1"/>
  <c r="U647" i="11"/>
  <c r="AE647" i="11"/>
  <c r="V364" i="11"/>
  <c r="U364" i="11"/>
  <c r="W364" i="11"/>
  <c r="AH364" i="11" s="1"/>
  <c r="AE364" i="11"/>
  <c r="T908" i="11"/>
  <c r="AG908" i="11"/>
  <c r="T1046" i="11"/>
  <c r="AG777" i="11"/>
  <c r="AM41" i="3"/>
  <c r="U845" i="11"/>
  <c r="AE845" i="11"/>
  <c r="W845" i="11"/>
  <c r="AH845" i="11" s="1"/>
  <c r="V845" i="11"/>
  <c r="U430" i="11"/>
  <c r="W430" i="11"/>
  <c r="AH430" i="11" s="1"/>
  <c r="V430" i="11"/>
  <c r="AE430" i="11"/>
  <c r="W101" i="11"/>
  <c r="AH101" i="11" s="1"/>
  <c r="V101" i="11"/>
  <c r="U101" i="11"/>
  <c r="AE101" i="11"/>
  <c r="W123" i="11"/>
  <c r="AH123" i="11" s="1"/>
  <c r="V123" i="11"/>
  <c r="U123" i="11"/>
  <c r="AE123" i="11"/>
  <c r="AG806" i="11"/>
  <c r="V187" i="11"/>
  <c r="W187" i="11"/>
  <c r="AH187" i="11" s="1"/>
  <c r="U187" i="11"/>
  <c r="AE187" i="11"/>
  <c r="R58" i="3"/>
  <c r="X624" i="11"/>
  <c r="T798" i="11"/>
  <c r="U337" i="11"/>
  <c r="V337" i="11"/>
  <c r="W337" i="11"/>
  <c r="AH337" i="11" s="1"/>
  <c r="AE337" i="11"/>
  <c r="U792" i="11"/>
  <c r="W792" i="11"/>
  <c r="V792" i="11"/>
  <c r="AE792" i="11"/>
  <c r="U407" i="11"/>
  <c r="V407" i="11"/>
  <c r="AE407" i="11"/>
  <c r="W407" i="11"/>
  <c r="AH407" i="11" s="1"/>
  <c r="T919" i="11"/>
  <c r="V116" i="11"/>
  <c r="AE116" i="11"/>
  <c r="U116" i="11"/>
  <c r="W116" i="11"/>
  <c r="AH116" i="11" s="1"/>
  <c r="AH885" i="11"/>
  <c r="AE852" i="11"/>
  <c r="V852" i="11"/>
  <c r="U852" i="11"/>
  <c r="W852" i="11"/>
  <c r="AH852" i="11" s="1"/>
  <c r="AG921" i="11"/>
  <c r="T921" i="11"/>
  <c r="Q47" i="4" s="1"/>
  <c r="T1049" i="11"/>
  <c r="W202" i="11"/>
  <c r="AH202" i="11" s="1"/>
  <c r="U202" i="11"/>
  <c r="V202" i="11"/>
  <c r="AE202" i="11"/>
  <c r="U1019" i="11"/>
  <c r="V1019" i="11"/>
  <c r="W1019" i="11"/>
  <c r="AH1019" i="11" s="1"/>
  <c r="AE1019" i="11"/>
  <c r="V21" i="11"/>
  <c r="U21" i="11"/>
  <c r="W21" i="11"/>
  <c r="AE21" i="11"/>
  <c r="U34" i="3"/>
  <c r="AG1012" i="11"/>
  <c r="T1012" i="11"/>
  <c r="V171" i="11"/>
  <c r="W171" i="11"/>
  <c r="AH171" i="11" s="1"/>
  <c r="U171" i="11"/>
  <c r="AE171" i="11"/>
  <c r="AG111" i="11"/>
  <c r="X111" i="11"/>
  <c r="Z111" i="11" s="1"/>
  <c r="AA111" i="11" s="1"/>
  <c r="T111" i="11"/>
  <c r="V197" i="11"/>
  <c r="U197" i="11"/>
  <c r="W197" i="11"/>
  <c r="AH197" i="11" s="1"/>
  <c r="AE197" i="11"/>
  <c r="AG14" i="11"/>
  <c r="T14" i="11"/>
  <c r="X14" i="11"/>
  <c r="Z14" i="11" s="1"/>
  <c r="AA14" i="11" s="1"/>
  <c r="P31" i="5"/>
  <c r="W219" i="11"/>
  <c r="AH219" i="11" s="1"/>
  <c r="V219" i="11"/>
  <c r="U219" i="11"/>
  <c r="AE219" i="11"/>
  <c r="AG88" i="11"/>
  <c r="X88" i="11"/>
  <c r="Z88" i="11" s="1"/>
  <c r="AA88" i="11" s="1"/>
  <c r="T88" i="11"/>
  <c r="V150" i="11"/>
  <c r="E68" i="5" s="1"/>
  <c r="W150" i="11"/>
  <c r="U150" i="11"/>
  <c r="C68" i="5" s="1"/>
  <c r="AE150" i="11"/>
  <c r="G68" i="5"/>
  <c r="W369" i="11"/>
  <c r="AH369" i="11" s="1"/>
  <c r="V369" i="11"/>
  <c r="U369" i="11"/>
  <c r="AE369" i="11"/>
  <c r="V1045" i="11"/>
  <c r="W1045" i="11"/>
  <c r="AH1045" i="11" s="1"/>
  <c r="U1045" i="11"/>
  <c r="AE1045" i="11"/>
  <c r="AG792" i="11"/>
  <c r="T996" i="11"/>
  <c r="AE99" i="11"/>
  <c r="U99" i="11"/>
  <c r="V99" i="11"/>
  <c r="W99" i="11"/>
  <c r="AH99" i="11" s="1"/>
  <c r="U18" i="11"/>
  <c r="W18" i="11"/>
  <c r="V18" i="11"/>
  <c r="AE18" i="11"/>
  <c r="R34" i="3"/>
  <c r="W797" i="11"/>
  <c r="V797" i="11"/>
  <c r="AE797" i="11"/>
  <c r="U797" i="11"/>
  <c r="H85" i="5"/>
  <c r="G45" i="3"/>
  <c r="AH374" i="11"/>
  <c r="R63" i="11"/>
  <c r="T870" i="11"/>
  <c r="T641" i="11"/>
  <c r="AG641" i="11"/>
  <c r="Y641" i="11"/>
  <c r="Z641" i="11" s="1"/>
  <c r="AA641" i="11" s="1"/>
  <c r="AE1022" i="11"/>
  <c r="W1022" i="11"/>
  <c r="AH1022" i="11" s="1"/>
  <c r="U1022" i="11"/>
  <c r="V1022" i="11"/>
  <c r="U833" i="11"/>
  <c r="D86" i="5" s="1"/>
  <c r="V833" i="11"/>
  <c r="F86" i="5" s="1"/>
  <c r="AE833" i="11"/>
  <c r="W833" i="11"/>
  <c r="AH833" i="11" s="1"/>
  <c r="T69" i="11"/>
  <c r="Z69" i="11"/>
  <c r="AA69" i="11" s="1"/>
  <c r="R50" i="5" s="1"/>
  <c r="X372" i="11"/>
  <c r="AG372" i="11"/>
  <c r="T936" i="11"/>
  <c r="H91" i="5"/>
  <c r="V393" i="11"/>
  <c r="U393" i="11"/>
  <c r="W393" i="11"/>
  <c r="AH393" i="11" s="1"/>
  <c r="AE393" i="11"/>
  <c r="W766" i="11"/>
  <c r="AE766" i="11"/>
  <c r="U766" i="11"/>
  <c r="V766" i="11"/>
  <c r="AH105" i="11"/>
  <c r="AD803" i="11"/>
  <c r="AG405" i="11"/>
  <c r="X405" i="11"/>
  <c r="Z405" i="11" s="1"/>
  <c r="AA405" i="11" s="1"/>
  <c r="T405" i="11"/>
  <c r="AH839" i="11"/>
  <c r="V627" i="11"/>
  <c r="W627" i="11"/>
  <c r="AH627" i="11" s="1"/>
  <c r="U627" i="11"/>
  <c r="AE627" i="11"/>
  <c r="V631" i="11"/>
  <c r="W631" i="11"/>
  <c r="AH631" i="11" s="1"/>
  <c r="U631" i="11"/>
  <c r="AE631" i="11"/>
  <c r="AG962" i="11"/>
  <c r="G37" i="3"/>
  <c r="V91" i="11"/>
  <c r="W91" i="11"/>
  <c r="AH91" i="11" s="1"/>
  <c r="U91" i="11"/>
  <c r="AE91" i="11"/>
  <c r="J92" i="5"/>
  <c r="T794" i="11"/>
  <c r="Z794" i="11"/>
  <c r="AA794" i="11" s="1"/>
  <c r="AD794" i="11"/>
  <c r="Y794" i="11"/>
  <c r="S794" i="11"/>
  <c r="X794" i="11"/>
  <c r="R794" i="11"/>
  <c r="AG794" i="11" s="1"/>
  <c r="V424" i="11"/>
  <c r="U424" i="11"/>
  <c r="AE424" i="11"/>
  <c r="W424" i="11"/>
  <c r="AH424" i="11" s="1"/>
  <c r="AG918" i="11"/>
  <c r="AE434" i="11"/>
  <c r="W434" i="11"/>
  <c r="AH434" i="11" s="1"/>
  <c r="V434" i="11"/>
  <c r="U434" i="11"/>
  <c r="V622" i="11"/>
  <c r="AE622" i="11"/>
  <c r="U622" i="11"/>
  <c r="W622" i="11"/>
  <c r="AH622" i="11" s="1"/>
  <c r="V261" i="11"/>
  <c r="W261" i="11"/>
  <c r="AH261" i="11" s="1"/>
  <c r="U261" i="11"/>
  <c r="AE261" i="11"/>
  <c r="U965" i="11"/>
  <c r="W965" i="11"/>
  <c r="AH965" i="11" s="1"/>
  <c r="V965" i="11"/>
  <c r="AE965" i="11"/>
  <c r="T925" i="11"/>
  <c r="W435" i="11"/>
  <c r="AH435" i="11" s="1"/>
  <c r="U435" i="11"/>
  <c r="V435" i="11"/>
  <c r="AE435" i="11"/>
  <c r="T1014" i="11"/>
  <c r="Z625" i="11"/>
  <c r="AA625" i="11" s="1"/>
  <c r="U954" i="11"/>
  <c r="W954" i="11"/>
  <c r="AH954" i="11" s="1"/>
  <c r="V954" i="11"/>
  <c r="AE954" i="11"/>
  <c r="X47" i="11"/>
  <c r="Z47" i="11" s="1"/>
  <c r="AA47" i="11" s="1"/>
  <c r="AG47" i="11"/>
  <c r="AH331" i="11"/>
  <c r="AH979" i="11"/>
  <c r="AE199" i="11"/>
  <c r="W199" i="11"/>
  <c r="AH199" i="11" s="1"/>
  <c r="U199" i="11"/>
  <c r="V199" i="11"/>
  <c r="X74" i="11"/>
  <c r="Z74" i="11" s="1"/>
  <c r="AA74" i="11" s="1"/>
  <c r="AE640" i="11"/>
  <c r="W640" i="11"/>
  <c r="AH640" i="11" s="1"/>
  <c r="U640" i="11"/>
  <c r="V640" i="11"/>
  <c r="F38" i="3"/>
  <c r="V191" i="11"/>
  <c r="W191" i="11"/>
  <c r="AH191" i="11" s="1"/>
  <c r="U191" i="11"/>
  <c r="AE191" i="11"/>
  <c r="P35" i="5"/>
  <c r="P29" i="5"/>
  <c r="P55" i="5"/>
  <c r="AE651" i="11"/>
  <c r="U651" i="11"/>
  <c r="W651" i="11"/>
  <c r="AH651" i="11" s="1"/>
  <c r="V651" i="11"/>
  <c r="X195" i="11"/>
  <c r="Z195" i="11" s="1"/>
  <c r="AA195" i="11" s="1"/>
  <c r="AG195" i="11"/>
  <c r="T195" i="11"/>
  <c r="T998" i="11"/>
  <c r="AG358" i="11"/>
  <c r="X358" i="11"/>
  <c r="Z358" i="11" s="1"/>
  <c r="AA358" i="11" s="1"/>
  <c r="T358" i="11"/>
  <c r="W375" i="11"/>
  <c r="AH375" i="11" s="1"/>
  <c r="U375" i="11"/>
  <c r="V375" i="11"/>
  <c r="AE375" i="11"/>
  <c r="V129" i="11"/>
  <c r="W129" i="11"/>
  <c r="AH129" i="11" s="1"/>
  <c r="U129" i="11"/>
  <c r="AE129" i="11"/>
  <c r="AH92" i="11"/>
  <c r="U96" i="11"/>
  <c r="W96" i="11"/>
  <c r="AH96" i="11" s="1"/>
  <c r="V96" i="11"/>
  <c r="AE96" i="11"/>
  <c r="V904" i="11"/>
  <c r="U904" i="11"/>
  <c r="W904" i="11"/>
  <c r="AH904" i="11" s="1"/>
  <c r="AE904" i="11"/>
  <c r="T173" i="11"/>
  <c r="W158" i="11"/>
  <c r="AH158" i="11" s="1"/>
  <c r="U158" i="11"/>
  <c r="V158" i="11"/>
  <c r="AE158" i="11"/>
  <c r="AH1001" i="11"/>
  <c r="U36" i="11"/>
  <c r="V36" i="11"/>
  <c r="W36" i="11"/>
  <c r="AE36" i="11"/>
  <c r="AJ34" i="3"/>
  <c r="AH81" i="11"/>
  <c r="T376" i="11"/>
  <c r="AH836" i="11"/>
  <c r="AG832" i="11"/>
  <c r="X790" i="11"/>
  <c r="AE406" i="11"/>
  <c r="U406" i="11"/>
  <c r="W406" i="11"/>
  <c r="AH406" i="11" s="1"/>
  <c r="V406" i="11"/>
  <c r="AE889" i="11"/>
  <c r="W889" i="11"/>
  <c r="AH889" i="11" s="1"/>
  <c r="V889" i="11"/>
  <c r="U889" i="11"/>
  <c r="U284" i="11"/>
  <c r="W284" i="11"/>
  <c r="AH284" i="11" s="1"/>
  <c r="V284" i="11"/>
  <c r="AE284" i="11"/>
  <c r="V274" i="11"/>
  <c r="U274" i="11"/>
  <c r="AE274" i="11"/>
  <c r="W274" i="11"/>
  <c r="AH274" i="11" s="1"/>
  <c r="AF41" i="3"/>
  <c r="U849" i="11"/>
  <c r="W849" i="11"/>
  <c r="AH849" i="11" s="1"/>
  <c r="V849" i="11"/>
  <c r="AE849" i="11"/>
  <c r="W897" i="11"/>
  <c r="AH897" i="11" s="1"/>
  <c r="V897" i="11"/>
  <c r="AE897" i="11"/>
  <c r="U897" i="11"/>
  <c r="W399" i="11"/>
  <c r="AH399" i="11" s="1"/>
  <c r="V399" i="11"/>
  <c r="U399" i="11"/>
  <c r="AE399" i="11"/>
  <c r="V39" i="11"/>
  <c r="W39" i="11"/>
  <c r="U39" i="11"/>
  <c r="AE39" i="11"/>
  <c r="AM34" i="3"/>
  <c r="U411" i="11"/>
  <c r="AE411" i="11"/>
  <c r="W411" i="11"/>
  <c r="AH411" i="11" s="1"/>
  <c r="V411" i="11"/>
  <c r="U906" i="11"/>
  <c r="C89" i="5" s="1"/>
  <c r="V906" i="11"/>
  <c r="E89" i="5" s="1"/>
  <c r="W906" i="11"/>
  <c r="AE906" i="11"/>
  <c r="V193" i="11"/>
  <c r="AE193" i="11"/>
  <c r="W193" i="11"/>
  <c r="AH193" i="11" s="1"/>
  <c r="U193" i="11"/>
  <c r="Z57" i="3"/>
  <c r="W1020" i="11"/>
  <c r="AH1020" i="11" s="1"/>
  <c r="AE1020" i="11"/>
  <c r="V1020" i="11"/>
  <c r="U1020" i="11"/>
  <c r="W872" i="11"/>
  <c r="AH872" i="11" s="1"/>
  <c r="U872" i="11"/>
  <c r="V872" i="11"/>
  <c r="AE872" i="11"/>
  <c r="AO58" i="3"/>
  <c r="V203" i="11"/>
  <c r="W203" i="11"/>
  <c r="AH203" i="11" s="1"/>
  <c r="U203" i="11"/>
  <c r="AE203" i="11"/>
  <c r="AD43" i="11"/>
  <c r="W330" i="11"/>
  <c r="V330" i="11"/>
  <c r="E73" i="5" s="1"/>
  <c r="U330" i="11"/>
  <c r="C73" i="5" s="1"/>
  <c r="AE330" i="11"/>
  <c r="G73" i="5"/>
  <c r="W19" i="11"/>
  <c r="U19" i="11"/>
  <c r="V19" i="11"/>
  <c r="AE19" i="11"/>
  <c r="S34" i="3"/>
  <c r="W10" i="11"/>
  <c r="U10" i="11"/>
  <c r="AE10" i="11"/>
  <c r="V10" i="11"/>
  <c r="J34" i="3"/>
  <c r="T937" i="11"/>
  <c r="AG644" i="11"/>
  <c r="Z46" i="11"/>
  <c r="AA46" i="11" s="1"/>
  <c r="R27" i="5" s="1"/>
  <c r="T46" i="11"/>
  <c r="H27" i="5" s="1"/>
  <c r="AA57" i="3"/>
  <c r="W87" i="11"/>
  <c r="AH87" i="11" s="1"/>
  <c r="U87" i="11"/>
  <c r="V87" i="11"/>
  <c r="AE87" i="11"/>
  <c r="U140" i="11"/>
  <c r="W140" i="11"/>
  <c r="AH140" i="11" s="1"/>
  <c r="V140" i="11"/>
  <c r="AE140" i="11"/>
  <c r="AG178" i="11"/>
  <c r="X178" i="11"/>
  <c r="Z178" i="11" s="1"/>
  <c r="AA178" i="11" s="1"/>
  <c r="T178" i="11"/>
  <c r="V935" i="11"/>
  <c r="AE935" i="11"/>
  <c r="W935" i="11"/>
  <c r="AH935" i="11" s="1"/>
  <c r="U935" i="11"/>
  <c r="AG898" i="11"/>
  <c r="T898" i="11"/>
  <c r="V154" i="11"/>
  <c r="W154" i="11"/>
  <c r="AH154" i="11" s="1"/>
  <c r="U154" i="11"/>
  <c r="AE154" i="11"/>
  <c r="F41" i="3"/>
  <c r="W156" i="11"/>
  <c r="AH156" i="11" s="1"/>
  <c r="V156" i="11"/>
  <c r="U156" i="11"/>
  <c r="AE156" i="11"/>
  <c r="AG909" i="11"/>
  <c r="AD53" i="11"/>
  <c r="Z53" i="11"/>
  <c r="AA53" i="11" s="1"/>
  <c r="T53" i="11"/>
  <c r="V259" i="11"/>
  <c r="W259" i="11"/>
  <c r="AH259" i="11" s="1"/>
  <c r="U259" i="11"/>
  <c r="AE259" i="11"/>
  <c r="V68" i="11"/>
  <c r="U68" i="11"/>
  <c r="W68" i="11"/>
  <c r="AH68" i="11" s="1"/>
  <c r="AE68" i="11"/>
  <c r="W152" i="11"/>
  <c r="AH152" i="11" s="1"/>
  <c r="U152" i="11"/>
  <c r="V152" i="11"/>
  <c r="AE152" i="11"/>
  <c r="AE960" i="11"/>
  <c r="W960" i="11"/>
  <c r="AH960" i="11" s="1"/>
  <c r="V960" i="11"/>
  <c r="U960" i="11"/>
  <c r="W401" i="11"/>
  <c r="AH401" i="11" s="1"/>
  <c r="U401" i="11"/>
  <c r="D74" i="5" s="1"/>
  <c r="V401" i="11"/>
  <c r="F74" i="5" s="1"/>
  <c r="AE401" i="11"/>
  <c r="AD644" i="11"/>
  <c r="Z644" i="11"/>
  <c r="AA644" i="11" s="1"/>
  <c r="T644" i="11"/>
  <c r="O36" i="3"/>
  <c r="U144" i="11"/>
  <c r="W144" i="11"/>
  <c r="AH144" i="11" s="1"/>
  <c r="V144" i="11"/>
  <c r="AE144" i="11"/>
  <c r="S943" i="11"/>
  <c r="AG943" i="11" s="1"/>
  <c r="AE49" i="11"/>
  <c r="W49" i="11"/>
  <c r="AH49" i="11" s="1"/>
  <c r="U49" i="11"/>
  <c r="V49" i="11"/>
  <c r="W844" i="11"/>
  <c r="AH844" i="11" s="1"/>
  <c r="U844" i="11"/>
  <c r="V844" i="11"/>
  <c r="AE844" i="11"/>
  <c r="X632" i="11"/>
  <c r="Z632" i="11" s="1"/>
  <c r="AA632" i="11" s="1"/>
  <c r="AG632" i="11"/>
  <c r="AH263" i="11"/>
  <c r="U1015" i="11"/>
  <c r="AE1015" i="11"/>
  <c r="W1015" i="11"/>
  <c r="AH1015" i="11" s="1"/>
  <c r="V1015" i="11"/>
  <c r="U266" i="11"/>
  <c r="AE266" i="11"/>
  <c r="W266" i="11"/>
  <c r="AH266" i="11" s="1"/>
  <c r="V266" i="11"/>
  <c r="U948" i="11"/>
  <c r="W948" i="11"/>
  <c r="AH948" i="11" s="1"/>
  <c r="V948" i="11"/>
  <c r="AE948" i="11"/>
  <c r="AE984" i="11"/>
  <c r="W984" i="11"/>
  <c r="AH984" i="11" s="1"/>
  <c r="U984" i="11"/>
  <c r="V984" i="11"/>
  <c r="V883" i="11"/>
  <c r="W883" i="11"/>
  <c r="AH883" i="11" s="1"/>
  <c r="U883" i="11"/>
  <c r="AE883" i="11"/>
  <c r="V956" i="11"/>
  <c r="U956" i="11"/>
  <c r="W956" i="11"/>
  <c r="AE956" i="11"/>
  <c r="W362" i="11"/>
  <c r="AH362" i="11" s="1"/>
  <c r="V362" i="11"/>
  <c r="U362" i="11"/>
  <c r="AE362" i="11"/>
  <c r="AD810" i="11"/>
  <c r="S774" i="11"/>
  <c r="AD774" i="11"/>
  <c r="Z774" i="11"/>
  <c r="AA774" i="11" s="1"/>
  <c r="X774" i="11"/>
  <c r="R774" i="11"/>
  <c r="AG774" i="11" s="1"/>
  <c r="Y774" i="11"/>
  <c r="AG863" i="11"/>
  <c r="T863" i="11"/>
  <c r="AG67" i="11"/>
  <c r="W811" i="11"/>
  <c r="AH811" i="11" s="1"/>
  <c r="U811" i="11"/>
  <c r="V811" i="11"/>
  <c r="AE811" i="11"/>
  <c r="U953" i="11"/>
  <c r="W953" i="11"/>
  <c r="AH953" i="11" s="1"/>
  <c r="V953" i="11"/>
  <c r="AE953" i="11"/>
  <c r="AG866" i="11"/>
  <c r="T866" i="11"/>
  <c r="W858" i="11"/>
  <c r="AH858" i="11" s="1"/>
  <c r="U858" i="11"/>
  <c r="V858" i="11"/>
  <c r="AE858" i="11"/>
  <c r="T929" i="11"/>
  <c r="Q55" i="4" s="1"/>
  <c r="AG929" i="11"/>
  <c r="Z58" i="11"/>
  <c r="AA58" i="11" s="1"/>
  <c r="T58" i="11"/>
  <c r="U415" i="11"/>
  <c r="V415" i="11"/>
  <c r="W415" i="11"/>
  <c r="AH415" i="11" s="1"/>
  <c r="AE415" i="11"/>
  <c r="Q23" i="5"/>
  <c r="AD46" i="11"/>
  <c r="T396" i="11"/>
  <c r="Z396" i="11"/>
  <c r="AA396" i="11" s="1"/>
  <c r="AG148" i="11"/>
  <c r="X148" i="11"/>
  <c r="Z148" i="11" s="1"/>
  <c r="AA148" i="11" s="1"/>
  <c r="T148" i="11"/>
  <c r="U1034" i="11"/>
  <c r="AE1034" i="11"/>
  <c r="W1034" i="11"/>
  <c r="AH1034" i="11" s="1"/>
  <c r="V1034" i="11"/>
  <c r="X963" i="11"/>
  <c r="Z963" i="11" s="1"/>
  <c r="AA963" i="11" s="1"/>
  <c r="Y963" i="11"/>
  <c r="V626" i="11"/>
  <c r="AE626" i="11"/>
  <c r="W626" i="11"/>
  <c r="AH626" i="11" s="1"/>
  <c r="U626" i="11"/>
  <c r="V769" i="11"/>
  <c r="U769" i="11"/>
  <c r="AE769" i="11"/>
  <c r="W769" i="11"/>
  <c r="AD949" i="11"/>
  <c r="Z54" i="11"/>
  <c r="AA54" i="11" s="1"/>
  <c r="T54" i="11"/>
  <c r="H82" i="3" s="1"/>
  <c r="V190" i="11"/>
  <c r="AE190" i="11"/>
  <c r="W190" i="11"/>
  <c r="AH190" i="11" s="1"/>
  <c r="U190" i="11"/>
  <c r="V133" i="11"/>
  <c r="W133" i="11"/>
  <c r="AH133" i="11" s="1"/>
  <c r="U133" i="11"/>
  <c r="AE133" i="11"/>
  <c r="Q35" i="4"/>
  <c r="W349" i="11"/>
  <c r="AH349" i="11" s="1"/>
  <c r="U349" i="11"/>
  <c r="V349" i="11"/>
  <c r="AE349" i="11"/>
  <c r="U903" i="11"/>
  <c r="V903" i="11"/>
  <c r="W903" i="11"/>
  <c r="AH903" i="11" s="1"/>
  <c r="AE903" i="11"/>
  <c r="W25" i="11"/>
  <c r="U25" i="11"/>
  <c r="V25" i="11"/>
  <c r="AE25" i="11"/>
  <c r="Y34" i="3"/>
  <c r="V271" i="11"/>
  <c r="W271" i="11"/>
  <c r="AH271" i="11" s="1"/>
  <c r="U271" i="11"/>
  <c r="AE271" i="11"/>
  <c r="J89" i="5"/>
  <c r="U977" i="11"/>
  <c r="D90" i="5" s="1"/>
  <c r="V977" i="11"/>
  <c r="F90" i="5" s="1"/>
  <c r="W977" i="11"/>
  <c r="AH977" i="11" s="1"/>
  <c r="AE977" i="11"/>
  <c r="P48" i="5"/>
  <c r="L43" i="3"/>
  <c r="AI37" i="3"/>
  <c r="AE73" i="11"/>
  <c r="V73" i="11"/>
  <c r="U73" i="11"/>
  <c r="W73" i="11"/>
  <c r="AH73" i="11" s="1"/>
  <c r="T875" i="11"/>
  <c r="AG864" i="11"/>
  <c r="AG640" i="11"/>
  <c r="X640" i="11"/>
  <c r="Z640" i="11" s="1"/>
  <c r="AA640" i="11" s="1"/>
  <c r="R817" i="11"/>
  <c r="V95" i="11"/>
  <c r="W95" i="11"/>
  <c r="AH95" i="11" s="1"/>
  <c r="AE95" i="11"/>
  <c r="U95" i="11"/>
  <c r="S949" i="11"/>
  <c r="T949" i="11" s="1"/>
  <c r="W192" i="11"/>
  <c r="AH192" i="11" s="1"/>
  <c r="U192" i="11"/>
  <c r="V192" i="11"/>
  <c r="AE192" i="11"/>
  <c r="AG828" i="11"/>
  <c r="AG890" i="11"/>
  <c r="P27" i="5"/>
  <c r="AE121" i="11"/>
  <c r="V121" i="11"/>
  <c r="U121" i="11"/>
  <c r="W121" i="11"/>
  <c r="AH121" i="11" s="1"/>
  <c r="T902" i="11"/>
  <c r="T932" i="11"/>
  <c r="AG354" i="11"/>
  <c r="X354" i="11"/>
  <c r="Z354" i="11" s="1"/>
  <c r="AA354" i="11" s="1"/>
  <c r="T354" i="11"/>
  <c r="U789" i="11"/>
  <c r="W789" i="11"/>
  <c r="V789" i="11"/>
  <c r="AE789" i="11"/>
  <c r="S818" i="11"/>
  <c r="AG173" i="11"/>
  <c r="U835" i="11"/>
  <c r="AE835" i="11"/>
  <c r="V835" i="11"/>
  <c r="W835" i="11"/>
  <c r="AH835" i="11" s="1"/>
  <c r="AG913" i="11"/>
  <c r="T913" i="11"/>
  <c r="AD786" i="11"/>
  <c r="X949" i="11"/>
  <c r="Z949" i="11" s="1"/>
  <c r="AA949" i="11" s="1"/>
  <c r="U793" i="11"/>
  <c r="V793" i="11"/>
  <c r="W793" i="11"/>
  <c r="AE793" i="11"/>
  <c r="W983" i="11"/>
  <c r="AH983" i="11" s="1"/>
  <c r="V983" i="11"/>
  <c r="U983" i="11"/>
  <c r="AE983" i="11"/>
  <c r="V340" i="11"/>
  <c r="AE340" i="11"/>
  <c r="U340" i="11"/>
  <c r="W340" i="11"/>
  <c r="AH340" i="11" s="1"/>
  <c r="T1039" i="11"/>
  <c r="W118" i="11"/>
  <c r="AH118" i="11" s="1"/>
  <c r="V118" i="11"/>
  <c r="U118" i="11"/>
  <c r="AE118" i="11"/>
  <c r="U97" i="11"/>
  <c r="W97" i="11"/>
  <c r="AH97" i="11" s="1"/>
  <c r="V97" i="11"/>
  <c r="AE97" i="11"/>
  <c r="AD36" i="3"/>
  <c r="V394" i="11"/>
  <c r="U394" i="11"/>
  <c r="W394" i="11"/>
  <c r="AH394" i="11" s="1"/>
  <c r="AE394" i="11"/>
  <c r="T1004" i="11"/>
  <c r="AG215" i="11"/>
  <c r="X215" i="11"/>
  <c r="Z215" i="11" s="1"/>
  <c r="AA215" i="11" s="1"/>
  <c r="T215" i="11"/>
  <c r="V344" i="11"/>
  <c r="AE344" i="11"/>
  <c r="U344" i="11"/>
  <c r="W344" i="11"/>
  <c r="AH344" i="11" s="1"/>
  <c r="V402" i="11"/>
  <c r="E75" i="5" s="1"/>
  <c r="U402" i="11"/>
  <c r="C75" i="5" s="1"/>
  <c r="W402" i="11"/>
  <c r="G75" i="5"/>
  <c r="AE402" i="11"/>
  <c r="AG970" i="11"/>
  <c r="V174" i="11"/>
  <c r="W174" i="11"/>
  <c r="AH174" i="11" s="1"/>
  <c r="U174" i="11"/>
  <c r="AE174" i="11"/>
  <c r="G39" i="3"/>
  <c r="Y645" i="11"/>
  <c r="Z645" i="11" s="1"/>
  <c r="AA645" i="11" s="1"/>
  <c r="AG645" i="11"/>
  <c r="T645" i="11"/>
  <c r="S800" i="11"/>
  <c r="W763" i="11"/>
  <c r="V763" i="11"/>
  <c r="U763" i="11"/>
  <c r="AE763" i="11"/>
  <c r="U850" i="11"/>
  <c r="V850" i="11"/>
  <c r="W850" i="11"/>
  <c r="AH850" i="11" s="1"/>
  <c r="AE850" i="11"/>
  <c r="V413" i="11"/>
  <c r="U413" i="11"/>
  <c r="W413" i="11"/>
  <c r="AH413" i="11" s="1"/>
  <c r="AE413" i="11"/>
  <c r="T770" i="11"/>
  <c r="Z770" i="11"/>
  <c r="AA770" i="11" s="1"/>
  <c r="AG113" i="11"/>
  <c r="X113" i="11"/>
  <c r="Z113" i="11" s="1"/>
  <c r="AA113" i="11" s="1"/>
  <c r="T113" i="11"/>
  <c r="V283" i="11"/>
  <c r="W283" i="11"/>
  <c r="AH283" i="11" s="1"/>
  <c r="U283" i="11"/>
  <c r="AE283" i="11"/>
  <c r="AG58" i="3"/>
  <c r="T1000" i="11"/>
  <c r="U172" i="11"/>
  <c r="V172" i="11"/>
  <c r="W172" i="11"/>
  <c r="AH172" i="11" s="1"/>
  <c r="AE172" i="11"/>
  <c r="W1033" i="11"/>
  <c r="AH1033" i="11" s="1"/>
  <c r="V1033" i="11"/>
  <c r="U1033" i="11"/>
  <c r="AE1033" i="11"/>
  <c r="AE33" i="11"/>
  <c r="W33" i="11"/>
  <c r="U33" i="11"/>
  <c r="V33" i="11"/>
  <c r="AG34" i="3"/>
  <c r="R790" i="11"/>
  <c r="V821" i="11"/>
  <c r="AE821" i="11"/>
  <c r="W821" i="11"/>
  <c r="AH821" i="11" s="1"/>
  <c r="U821" i="11"/>
  <c r="AG778" i="11"/>
  <c r="Y812" i="11"/>
  <c r="Z812" i="11" s="1"/>
  <c r="AA812" i="11" s="1"/>
  <c r="T812" i="11"/>
  <c r="S812" i="11"/>
  <c r="AG812" i="11" s="1"/>
  <c r="AD812" i="11"/>
  <c r="AE57" i="3"/>
  <c r="W194" i="11"/>
  <c r="AH194" i="11" s="1"/>
  <c r="U194" i="11"/>
  <c r="V194" i="11"/>
  <c r="AE194" i="11"/>
  <c r="V264" i="11"/>
  <c r="W264" i="11"/>
  <c r="AH264" i="11" s="1"/>
  <c r="AE264" i="11"/>
  <c r="U264" i="11"/>
  <c r="AE896" i="11"/>
  <c r="W896" i="11"/>
  <c r="AH896" i="11" s="1"/>
  <c r="U896" i="11"/>
  <c r="V896" i="11"/>
  <c r="U1030" i="11"/>
  <c r="AE1030" i="11"/>
  <c r="W1030" i="11"/>
  <c r="AH1030" i="11" s="1"/>
  <c r="V1030" i="11"/>
  <c r="V420" i="11"/>
  <c r="AE420" i="11"/>
  <c r="W420" i="11"/>
  <c r="AH420" i="11" s="1"/>
  <c r="U420" i="11"/>
  <c r="Y943" i="11"/>
  <c r="S947" i="11"/>
  <c r="T947" i="11" s="1"/>
  <c r="T779" i="11"/>
  <c r="G93" i="3"/>
  <c r="Y55" i="11"/>
  <c r="Z55" i="11" s="1"/>
  <c r="AA55" i="11" s="1"/>
  <c r="R36" i="5" s="1"/>
  <c r="T55" i="11"/>
  <c r="H36" i="5" s="1"/>
  <c r="AG55" i="11"/>
  <c r="V785" i="11"/>
  <c r="U785" i="11"/>
  <c r="AE785" i="11"/>
  <c r="W785" i="11"/>
  <c r="T809" i="11"/>
  <c r="W980" i="11"/>
  <c r="U980" i="11"/>
  <c r="V980" i="11"/>
  <c r="AE980" i="11"/>
  <c r="V61" i="11"/>
  <c r="W61" i="11"/>
  <c r="AH61" i="11" s="1"/>
  <c r="U61" i="11"/>
  <c r="AE61" i="11"/>
  <c r="AG161" i="11"/>
  <c r="T161" i="11"/>
  <c r="X161" i="11"/>
  <c r="Z161" i="11" s="1"/>
  <c r="AA161" i="11" s="1"/>
  <c r="V860" i="11"/>
  <c r="W860" i="11"/>
  <c r="AH860" i="11" s="1"/>
  <c r="U860" i="11"/>
  <c r="AE860" i="11"/>
  <c r="U159" i="11"/>
  <c r="W159" i="11"/>
  <c r="AH159" i="11" s="1"/>
  <c r="V159" i="11"/>
  <c r="AE159" i="11"/>
  <c r="V41" i="11"/>
  <c r="W41" i="11"/>
  <c r="U41" i="11"/>
  <c r="AO34" i="3"/>
  <c r="H64" i="5"/>
  <c r="AE41" i="11"/>
  <c r="Q36" i="5"/>
  <c r="V180" i="11"/>
  <c r="U180" i="11"/>
  <c r="W180" i="11"/>
  <c r="AH180" i="11" s="1"/>
  <c r="AE180" i="11"/>
  <c r="S70" i="11"/>
  <c r="AE147" i="11"/>
  <c r="U147" i="11"/>
  <c r="W147" i="11"/>
  <c r="AH147" i="11" s="1"/>
  <c r="V147" i="11"/>
  <c r="W877" i="11"/>
  <c r="AH877" i="11" s="1"/>
  <c r="V877" i="11"/>
  <c r="U877" i="11"/>
  <c r="AE877" i="11"/>
  <c r="T869" i="11"/>
  <c r="J87" i="5"/>
  <c r="AG968" i="11"/>
  <c r="T968" i="11"/>
  <c r="AG856" i="11"/>
  <c r="T856" i="11"/>
  <c r="U973" i="11"/>
  <c r="V973" i="11"/>
  <c r="W973" i="11"/>
  <c r="AH973" i="11" s="1"/>
  <c r="AE973" i="11"/>
  <c r="X959" i="11"/>
  <c r="Z959" i="11" s="1"/>
  <c r="AA959" i="11" s="1"/>
  <c r="T959" i="11"/>
  <c r="T918" i="11"/>
  <c r="T67" i="11"/>
  <c r="Z67" i="11"/>
  <c r="AA67" i="11" s="1"/>
  <c r="S392" i="11"/>
  <c r="AG956" i="11"/>
  <c r="AD770" i="11"/>
  <c r="AH17" i="11"/>
  <c r="Z827" i="11"/>
  <c r="AA827" i="11" s="1"/>
  <c r="Y827" i="11"/>
  <c r="S827" i="11"/>
  <c r="AD827" i="11"/>
  <c r="R827" i="11"/>
  <c r="AG827" i="11" s="1"/>
  <c r="S803" i="11"/>
  <c r="Y15" i="11"/>
  <c r="Q32" i="5"/>
  <c r="V427" i="11"/>
  <c r="AE427" i="11"/>
  <c r="W427" i="11"/>
  <c r="AH427" i="11" s="1"/>
  <c r="U427" i="11"/>
  <c r="T72" i="11"/>
  <c r="Z72" i="11"/>
  <c r="AA72" i="11" s="1"/>
  <c r="AD72" i="11"/>
  <c r="W907" i="11"/>
  <c r="AH907" i="11" s="1"/>
  <c r="U907" i="11"/>
  <c r="V907" i="11"/>
  <c r="AE907" i="11"/>
  <c r="G48" i="5"/>
  <c r="U1018" i="11"/>
  <c r="W1018" i="11"/>
  <c r="AH1018" i="11" s="1"/>
  <c r="V1018" i="11"/>
  <c r="AE1018" i="11"/>
  <c r="V874" i="11"/>
  <c r="AE874" i="11"/>
  <c r="W874" i="11"/>
  <c r="AH874" i="11" s="1"/>
  <c r="U874" i="11"/>
  <c r="R963" i="11"/>
  <c r="AG963" i="11" s="1"/>
  <c r="AE846" i="11"/>
  <c r="W846" i="11"/>
  <c r="AH846" i="11" s="1"/>
  <c r="V846" i="11"/>
  <c r="U846" i="11"/>
  <c r="U262" i="11"/>
  <c r="W262" i="11"/>
  <c r="AH262" i="11" s="1"/>
  <c r="V262" i="11"/>
  <c r="AE262" i="11"/>
  <c r="V988" i="11"/>
  <c r="U988" i="11"/>
  <c r="AE988" i="11"/>
  <c r="W988" i="11"/>
  <c r="AH988" i="11" s="1"/>
  <c r="R388" i="11"/>
  <c r="AD388" i="11"/>
  <c r="AG1021" i="11"/>
  <c r="AA51" i="3"/>
  <c r="U122" i="11"/>
  <c r="AE122" i="11"/>
  <c r="W122" i="11"/>
  <c r="AH122" i="11" s="1"/>
  <c r="V122" i="11"/>
  <c r="W851" i="11"/>
  <c r="AH851" i="11" s="1"/>
  <c r="U851" i="11"/>
  <c r="V851" i="11"/>
  <c r="AE851" i="11"/>
  <c r="AG138" i="11"/>
  <c r="X138" i="11"/>
  <c r="Z138" i="11" s="1"/>
  <c r="AA138" i="11" s="1"/>
  <c r="AG275" i="11"/>
  <c r="U56" i="3"/>
  <c r="AG432" i="11"/>
  <c r="T432" i="11"/>
  <c r="Y432" i="11"/>
  <c r="Z432" i="11" s="1"/>
  <c r="AA432" i="11" s="1"/>
  <c r="V29" i="11"/>
  <c r="U29" i="11"/>
  <c r="W29" i="11"/>
  <c r="AC34" i="3"/>
  <c r="AE29" i="11"/>
  <c r="AG972" i="11"/>
  <c r="AH60" i="11"/>
  <c r="Z36" i="11"/>
  <c r="AA36" i="11" s="1"/>
  <c r="V332" i="11"/>
  <c r="AE332" i="11"/>
  <c r="W332" i="11"/>
  <c r="AH332" i="11" s="1"/>
  <c r="U332" i="11"/>
  <c r="V1006" i="11"/>
  <c r="AE1006" i="11"/>
  <c r="W1006" i="11"/>
  <c r="AH1006" i="11" s="1"/>
  <c r="U1006" i="11"/>
  <c r="AG969" i="11"/>
  <c r="R802" i="11"/>
  <c r="AG802" i="11" s="1"/>
  <c r="AG786" i="11"/>
  <c r="AG1029" i="11"/>
  <c r="AD814" i="11"/>
  <c r="W265" i="11"/>
  <c r="AH265" i="11" s="1"/>
  <c r="U265" i="11"/>
  <c r="V265" i="11"/>
  <c r="AE265" i="11"/>
  <c r="W422" i="11"/>
  <c r="AH422" i="11" s="1"/>
  <c r="V422" i="11"/>
  <c r="U422" i="11"/>
  <c r="AE422" i="11"/>
  <c r="U926" i="11"/>
  <c r="V926" i="11"/>
  <c r="W926" i="11"/>
  <c r="AH926" i="11" s="1"/>
  <c r="AE926" i="11"/>
  <c r="AG355" i="11"/>
  <c r="T355" i="11"/>
  <c r="Y355" i="11"/>
  <c r="Z355" i="11" s="1"/>
  <c r="AA355" i="11" s="1"/>
  <c r="AN43" i="3"/>
  <c r="V931" i="11"/>
  <c r="U931" i="11"/>
  <c r="W931" i="11"/>
  <c r="AH931" i="11" s="1"/>
  <c r="AE931" i="11"/>
  <c r="W873" i="11"/>
  <c r="AH873" i="11" s="1"/>
  <c r="U873" i="11"/>
  <c r="V873" i="11"/>
  <c r="AE873" i="11"/>
  <c r="J45" i="3"/>
  <c r="U131" i="11"/>
  <c r="W131" i="11"/>
  <c r="AH131" i="11" s="1"/>
  <c r="V131" i="11"/>
  <c r="AE131" i="11"/>
  <c r="AD804" i="11"/>
  <c r="Z804" i="11"/>
  <c r="AA804" i="11" s="1"/>
  <c r="L36" i="3"/>
  <c r="V103" i="11"/>
  <c r="W103" i="11"/>
  <c r="AH103" i="11" s="1"/>
  <c r="AE103" i="11"/>
  <c r="U103" i="11"/>
  <c r="W363" i="11"/>
  <c r="AH363" i="11" s="1"/>
  <c r="V363" i="11"/>
  <c r="U363" i="11"/>
  <c r="AE363" i="11"/>
  <c r="AG353" i="11"/>
  <c r="T353" i="11"/>
  <c r="Y353" i="11"/>
  <c r="Z353" i="11" s="1"/>
  <c r="AA353" i="11" s="1"/>
  <c r="U15" i="11"/>
  <c r="AE15" i="11"/>
  <c r="V15" i="11"/>
  <c r="W15" i="11"/>
  <c r="H79" i="3"/>
  <c r="O34" i="3"/>
  <c r="H32" i="5"/>
  <c r="V117" i="11"/>
  <c r="U117" i="11"/>
  <c r="W117" i="11"/>
  <c r="AH117" i="11" s="1"/>
  <c r="AE117" i="11"/>
  <c r="U1031" i="11"/>
  <c r="W1031" i="11"/>
  <c r="AH1031" i="11" s="1"/>
  <c r="V1031" i="11"/>
  <c r="AE1031" i="11"/>
  <c r="U86" i="11"/>
  <c r="AE86" i="11"/>
  <c r="V86" i="11"/>
  <c r="W86" i="11"/>
  <c r="AH86" i="11" s="1"/>
  <c r="V57" i="11"/>
  <c r="U57" i="11"/>
  <c r="W57" i="11"/>
  <c r="AH57" i="11" s="1"/>
  <c r="AE57" i="11"/>
  <c r="U1017" i="11"/>
  <c r="AE1017" i="11"/>
  <c r="W1017" i="11"/>
  <c r="AH1017" i="11" s="1"/>
  <c r="V1017" i="11"/>
  <c r="V837" i="11"/>
  <c r="AE837" i="11"/>
  <c r="W837" i="11"/>
  <c r="AH837" i="11" s="1"/>
  <c r="U837" i="11"/>
  <c r="M41" i="3"/>
  <c r="Y804" i="11"/>
  <c r="W269" i="11"/>
  <c r="AH269" i="11" s="1"/>
  <c r="U269" i="11"/>
  <c r="V269" i="11"/>
  <c r="AE269" i="11"/>
  <c r="Z624" i="11"/>
  <c r="AA624" i="11" s="1"/>
  <c r="T624" i="11"/>
  <c r="T952" i="11"/>
  <c r="X57" i="3"/>
  <c r="V638" i="11"/>
  <c r="W638" i="11"/>
  <c r="AH638" i="11" s="1"/>
  <c r="U638" i="11"/>
  <c r="AE638" i="11"/>
  <c r="T62" i="3"/>
  <c r="V22" i="11"/>
  <c r="U22" i="11"/>
  <c r="W22" i="11"/>
  <c r="V34" i="3"/>
  <c r="AE22" i="11"/>
  <c r="W176" i="11"/>
  <c r="AH176" i="11" s="1"/>
  <c r="U176" i="11"/>
  <c r="V176" i="11"/>
  <c r="AE176" i="11"/>
  <c r="AD41" i="3"/>
  <c r="R804" i="11"/>
  <c r="T804" i="11" s="1"/>
  <c r="AC36" i="3"/>
  <c r="AK56" i="3"/>
  <c r="AJ43" i="3"/>
  <c r="T1037" i="11"/>
  <c r="AE107" i="11"/>
  <c r="U107" i="11"/>
  <c r="V107" i="11"/>
  <c r="W107" i="11"/>
  <c r="AH107" i="11" s="1"/>
  <c r="AE995" i="11"/>
  <c r="W995" i="11"/>
  <c r="AH995" i="11" s="1"/>
  <c r="V995" i="11"/>
  <c r="U995" i="11"/>
  <c r="T826" i="11"/>
  <c r="Z826" i="11"/>
  <c r="AA826" i="11" s="1"/>
  <c r="U208" i="11"/>
  <c r="AE208" i="11"/>
  <c r="W208" i="11"/>
  <c r="AH208" i="11" s="1"/>
  <c r="V208" i="11"/>
  <c r="Y947" i="11"/>
  <c r="AE293" i="11"/>
  <c r="U293" i="11"/>
  <c r="D71" i="5" s="1"/>
  <c r="W293" i="11"/>
  <c r="AH293" i="11" s="1"/>
  <c r="V293" i="11"/>
  <c r="F71" i="5" s="1"/>
  <c r="V633" i="11"/>
  <c r="U633" i="11"/>
  <c r="W633" i="11"/>
  <c r="AH633" i="11" s="1"/>
  <c r="AE633" i="11"/>
  <c r="Y62" i="3"/>
  <c r="AH94" i="11"/>
  <c r="U867" i="11"/>
  <c r="V867" i="11"/>
  <c r="W867" i="11"/>
  <c r="AH867" i="11" s="1"/>
  <c r="AE867" i="11"/>
  <c r="AG77" i="11"/>
  <c r="X77" i="11"/>
  <c r="X386" i="11"/>
  <c r="Z386" i="11" s="1"/>
  <c r="AA386" i="11" s="1"/>
  <c r="T386" i="11"/>
  <c r="AG386" i="11"/>
  <c r="U888" i="11"/>
  <c r="AE888" i="11"/>
  <c r="V888" i="11"/>
  <c r="W888" i="11"/>
  <c r="AH888" i="11" s="1"/>
  <c r="AE805" i="11"/>
  <c r="U805" i="11"/>
  <c r="W805" i="11"/>
  <c r="AH805" i="11" s="1"/>
  <c r="V805" i="11"/>
  <c r="W879" i="11"/>
  <c r="AH879" i="11" s="1"/>
  <c r="U879" i="11"/>
  <c r="V879" i="11"/>
  <c r="AE879" i="11"/>
  <c r="AE377" i="11"/>
  <c r="W377" i="11"/>
  <c r="AH377" i="11" s="1"/>
  <c r="V377" i="11"/>
  <c r="U377" i="11"/>
  <c r="W210" i="11"/>
  <c r="AH210" i="11" s="1"/>
  <c r="U210" i="11"/>
  <c r="V210" i="11"/>
  <c r="AE210" i="11"/>
  <c r="Q42" i="5"/>
  <c r="Z76" i="11"/>
  <c r="AA76" i="11" s="1"/>
  <c r="T76" i="11"/>
  <c r="AG914" i="11"/>
  <c r="H88" i="5"/>
  <c r="W1036" i="11"/>
  <c r="AH1036" i="11" s="1"/>
  <c r="V1036" i="11"/>
  <c r="U1036" i="11"/>
  <c r="AE1036" i="11"/>
  <c r="W182" i="11"/>
  <c r="AH182" i="11" s="1"/>
  <c r="U182" i="11"/>
  <c r="V182" i="11"/>
  <c r="AE182" i="11"/>
  <c r="V34" i="11"/>
  <c r="W34" i="11"/>
  <c r="U34" i="11"/>
  <c r="AH34" i="3"/>
  <c r="AE34" i="11"/>
  <c r="AG949" i="11"/>
  <c r="AG141" i="11"/>
  <c r="X141" i="11"/>
  <c r="Z141" i="11" s="1"/>
  <c r="AA141" i="11" s="1"/>
  <c r="T141" i="11"/>
  <c r="T397" i="11"/>
  <c r="AG397" i="11"/>
  <c r="Y397" i="11"/>
  <c r="Z397" i="11" s="1"/>
  <c r="AA397" i="11" s="1"/>
  <c r="V830" i="11"/>
  <c r="W830" i="11"/>
  <c r="AH830" i="11" s="1"/>
  <c r="U830" i="11"/>
  <c r="AE830" i="11"/>
  <c r="AG1010" i="11"/>
  <c r="T1010" i="11"/>
  <c r="W260" i="11"/>
  <c r="AH260" i="11" s="1"/>
  <c r="U260" i="11"/>
  <c r="V260" i="11"/>
  <c r="AE260" i="11"/>
  <c r="V205" i="11"/>
  <c r="U205" i="11"/>
  <c r="W205" i="11"/>
  <c r="AH205" i="11" s="1"/>
  <c r="AE205" i="11"/>
  <c r="U387" i="11"/>
  <c r="V387" i="11"/>
  <c r="W387" i="11"/>
  <c r="AH387" i="11" s="1"/>
  <c r="AE387" i="11"/>
  <c r="X346" i="11"/>
  <c r="Z346" i="11" s="1"/>
  <c r="AA346" i="11" s="1"/>
  <c r="T346" i="11"/>
  <c r="AG346" i="11"/>
  <c r="W944" i="11"/>
  <c r="AH944" i="11" s="1"/>
  <c r="V944" i="11"/>
  <c r="U944" i="11"/>
  <c r="AE944" i="11"/>
  <c r="V421" i="11"/>
  <c r="AE421" i="11"/>
  <c r="W421" i="11"/>
  <c r="AH421" i="11" s="1"/>
  <c r="U421" i="11"/>
  <c r="W339" i="11"/>
  <c r="AH339" i="11" s="1"/>
  <c r="U339" i="11"/>
  <c r="V339" i="11"/>
  <c r="AE339" i="11"/>
  <c r="X955" i="11"/>
  <c r="S955" i="11"/>
  <c r="AG955" i="11" s="1"/>
  <c r="Z955" i="11"/>
  <c r="AA955" i="11" s="1"/>
  <c r="Y955" i="11"/>
  <c r="X71" i="11"/>
  <c r="AG71" i="11"/>
  <c r="Z771" i="11"/>
  <c r="AA771" i="11" s="1"/>
  <c r="T843" i="11"/>
  <c r="W221" i="11"/>
  <c r="AH221" i="11" s="1"/>
  <c r="U221" i="11"/>
  <c r="D69" i="5" s="1"/>
  <c r="V221" i="11"/>
  <c r="F69" i="5" s="1"/>
  <c r="AE221" i="11"/>
  <c r="W64" i="11"/>
  <c r="AH64" i="11" s="1"/>
  <c r="U64" i="11"/>
  <c r="V64" i="11"/>
  <c r="AE64" i="11"/>
  <c r="T808" i="11"/>
  <c r="G85" i="5"/>
  <c r="AG1023" i="11"/>
  <c r="V30" i="11"/>
  <c r="AE30" i="11"/>
  <c r="W30" i="11"/>
  <c r="U30" i="11"/>
  <c r="H94" i="3"/>
  <c r="AD34" i="3"/>
  <c r="H47" i="5"/>
  <c r="AD822" i="11"/>
  <c r="X376" i="11"/>
  <c r="Z376" i="11" s="1"/>
  <c r="AA376" i="11" s="1"/>
  <c r="AG74" i="11"/>
  <c r="U1044" i="11"/>
  <c r="W1044" i="11"/>
  <c r="AH1044" i="11" s="1"/>
  <c r="V1044" i="11"/>
  <c r="AE1044" i="11"/>
  <c r="Z6" i="11"/>
  <c r="AA6" i="11" s="1"/>
  <c r="AH211" i="11"/>
  <c r="J37" i="3"/>
  <c r="AG333" i="11"/>
  <c r="T333" i="11"/>
  <c r="X333" i="11"/>
  <c r="Z333" i="11" s="1"/>
  <c r="AA333" i="11" s="1"/>
  <c r="AG277" i="11"/>
  <c r="T277" i="11"/>
  <c r="X277" i="11"/>
  <c r="Z277" i="11" s="1"/>
  <c r="AA277" i="11" s="1"/>
  <c r="R42" i="5" s="1"/>
  <c r="W409" i="11"/>
  <c r="AH409" i="11" s="1"/>
  <c r="U409" i="11"/>
  <c r="V409" i="11"/>
  <c r="AE409" i="11"/>
  <c r="T864" i="11"/>
  <c r="AG373" i="11"/>
  <c r="T373" i="11"/>
  <c r="X373" i="11"/>
  <c r="Z373" i="11" s="1"/>
  <c r="AA373" i="11" s="1"/>
  <c r="V436" i="11"/>
  <c r="U436" i="11"/>
  <c r="W436" i="11"/>
  <c r="AH436" i="11" s="1"/>
  <c r="AE436" i="11"/>
  <c r="R771" i="11"/>
  <c r="AG771" i="11" s="1"/>
  <c r="W48" i="11"/>
  <c r="AH48" i="11" s="1"/>
  <c r="U48" i="11"/>
  <c r="V48" i="11"/>
  <c r="AE48" i="11"/>
  <c r="AH900" i="11"/>
  <c r="AH45" i="11"/>
  <c r="P56" i="5"/>
  <c r="AD396" i="11"/>
  <c r="Q30" i="5"/>
  <c r="P52" i="5"/>
  <c r="AG865" i="11"/>
  <c r="T865" i="11"/>
  <c r="Q63" i="4" s="1"/>
  <c r="AD764" i="11"/>
  <c r="AG165" i="11"/>
  <c r="X165" i="11"/>
  <c r="Z165" i="11" s="1"/>
  <c r="AA165" i="11" s="1"/>
  <c r="R38" i="5" s="1"/>
  <c r="T165" i="11"/>
  <c r="AG1024" i="11"/>
  <c r="V166" i="11"/>
  <c r="W166" i="11"/>
  <c r="AH166" i="11" s="1"/>
  <c r="U166" i="11"/>
  <c r="AE166" i="11"/>
  <c r="AG1040" i="11"/>
  <c r="T1040" i="11"/>
  <c r="X818" i="11"/>
  <c r="Z818" i="11" s="1"/>
  <c r="AA818" i="11" s="1"/>
  <c r="T77" i="11"/>
  <c r="H105" i="3" s="1"/>
  <c r="AD67" i="11"/>
  <c r="Q29" i="5"/>
  <c r="AH838" i="11"/>
  <c r="W408" i="11"/>
  <c r="AH408" i="11" s="1"/>
  <c r="U408" i="11"/>
  <c r="V408" i="11"/>
  <c r="AE408" i="11"/>
  <c r="V1025" i="11"/>
  <c r="W1025" i="11"/>
  <c r="AH1025" i="11" s="1"/>
  <c r="U1025" i="11"/>
  <c r="AE1025" i="11"/>
  <c r="V135" i="11"/>
  <c r="U135" i="11"/>
  <c r="W135" i="11"/>
  <c r="AH135" i="11" s="1"/>
  <c r="AE135" i="11"/>
  <c r="K61" i="3"/>
  <c r="V928" i="11"/>
  <c r="W928" i="11"/>
  <c r="AH928" i="11" s="1"/>
  <c r="U928" i="11"/>
  <c r="AE928" i="11"/>
  <c r="W357" i="11"/>
  <c r="AH357" i="11" s="1"/>
  <c r="U357" i="11"/>
  <c r="V357" i="11"/>
  <c r="AE357" i="11"/>
  <c r="V41" i="3"/>
  <c r="L45" i="3"/>
  <c r="V970" i="11"/>
  <c r="U970" i="11"/>
  <c r="W970" i="11"/>
  <c r="AE970" i="11"/>
  <c r="Z15" i="11"/>
  <c r="AA15" i="11" s="1"/>
  <c r="R32" i="5" s="1"/>
  <c r="W220" i="11"/>
  <c r="AH220" i="11" s="1"/>
  <c r="V220" i="11"/>
  <c r="U220" i="11"/>
  <c r="AE220" i="11"/>
  <c r="J36" i="3"/>
  <c r="AG359" i="11"/>
  <c r="X359" i="11"/>
  <c r="Z359" i="11" s="1"/>
  <c r="AA359" i="11" s="1"/>
  <c r="T359" i="11"/>
  <c r="R29" i="5"/>
  <c r="AI38" i="3"/>
  <c r="U286" i="11"/>
  <c r="W286" i="11"/>
  <c r="AH286" i="11" s="1"/>
  <c r="V286" i="11"/>
  <c r="AE286" i="11"/>
  <c r="U275" i="11"/>
  <c r="V275" i="11"/>
  <c r="W275" i="11"/>
  <c r="AH275" i="11" s="1"/>
  <c r="AE275" i="11"/>
  <c r="AG643" i="11"/>
  <c r="T643" i="11"/>
  <c r="Y643" i="11"/>
  <c r="Z643" i="11" s="1"/>
  <c r="AA643" i="11" s="1"/>
  <c r="W196" i="11"/>
  <c r="AH196" i="11" s="1"/>
  <c r="U196" i="11"/>
  <c r="V196" i="11"/>
  <c r="AE196" i="11"/>
  <c r="R39" i="5"/>
  <c r="AG1011" i="11"/>
  <c r="T1011" i="11"/>
  <c r="U395" i="11"/>
  <c r="V395" i="11"/>
  <c r="W395" i="11"/>
  <c r="AH395" i="11" s="1"/>
  <c r="AE395" i="11"/>
  <c r="AG1047" i="11"/>
  <c r="V390" i="11"/>
  <c r="U390" i="11"/>
  <c r="W390" i="11"/>
  <c r="AH390" i="11" s="1"/>
  <c r="AE390" i="11"/>
  <c r="T927" i="11"/>
  <c r="AG927" i="11"/>
  <c r="W109" i="11"/>
  <c r="AH109" i="11" s="1"/>
  <c r="V109" i="11"/>
  <c r="U109" i="11"/>
  <c r="AE109" i="11"/>
  <c r="W991" i="11"/>
  <c r="AH991" i="11" s="1"/>
  <c r="AE991" i="11"/>
  <c r="U991" i="11"/>
  <c r="V991" i="11"/>
  <c r="AH288" i="11"/>
  <c r="I37" i="3"/>
  <c r="Y798" i="11"/>
  <c r="Z798" i="11" s="1"/>
  <c r="AA798" i="11" s="1"/>
  <c r="T400" i="11"/>
  <c r="Z400" i="11"/>
  <c r="AA400" i="11" s="1"/>
  <c r="Y810" i="11"/>
  <c r="Z810" i="11" s="1"/>
  <c r="AA810" i="11" s="1"/>
  <c r="U98" i="11"/>
  <c r="V98" i="11"/>
  <c r="W98" i="11"/>
  <c r="AH98" i="11" s="1"/>
  <c r="AE98" i="11"/>
  <c r="AG1005" i="11"/>
  <c r="T1005" i="11"/>
  <c r="V765" i="11"/>
  <c r="W765" i="11"/>
  <c r="U765" i="11"/>
  <c r="W893" i="11"/>
  <c r="AH893" i="11" s="1"/>
  <c r="AE893" i="11"/>
  <c r="V893" i="11"/>
  <c r="U893" i="11"/>
  <c r="U7" i="11"/>
  <c r="V7" i="11"/>
  <c r="W7" i="11"/>
  <c r="AE7" i="11"/>
  <c r="G34" i="3"/>
  <c r="H24" i="5"/>
  <c r="X183" i="11"/>
  <c r="Z183" i="11" s="1"/>
  <c r="AA183" i="11" s="1"/>
  <c r="AG183" i="11"/>
  <c r="T183" i="11"/>
  <c r="W130" i="11"/>
  <c r="AH130" i="11" s="1"/>
  <c r="U130" i="11"/>
  <c r="V130" i="11"/>
  <c r="AE130" i="11"/>
  <c r="W974" i="11"/>
  <c r="AH974" i="11" s="1"/>
  <c r="V974" i="11"/>
  <c r="U974" i="11"/>
  <c r="AE974" i="11"/>
  <c r="Y35" i="11"/>
  <c r="Z35" i="11" s="1"/>
  <c r="AA35" i="11" s="1"/>
  <c r="Q52" i="5"/>
  <c r="AG35" i="11"/>
  <c r="T35" i="11"/>
  <c r="AE1026" i="11"/>
  <c r="W1026" i="11"/>
  <c r="AH1026" i="11" s="1"/>
  <c r="V1026" i="11"/>
  <c r="U1026" i="11"/>
  <c r="T840" i="11"/>
  <c r="W42" i="11"/>
  <c r="U42" i="11"/>
  <c r="C65" i="5" s="1"/>
  <c r="V42" i="11"/>
  <c r="E65" i="5" s="1"/>
  <c r="G65" i="5"/>
  <c r="AE42" i="11"/>
  <c r="V281" i="11"/>
  <c r="AE281" i="11"/>
  <c r="W281" i="11"/>
  <c r="AH281" i="11" s="1"/>
  <c r="U281" i="11"/>
  <c r="AD790" i="11"/>
  <c r="AG1016" i="11"/>
  <c r="T1016" i="11"/>
  <c r="Q32" i="4" s="1"/>
  <c r="AG776" i="11"/>
  <c r="T776" i="11"/>
  <c r="AG784" i="11"/>
  <c r="Y149" i="11"/>
  <c r="Z149" i="11" s="1"/>
  <c r="AA149" i="11" s="1"/>
  <c r="T149" i="11"/>
  <c r="AG149" i="11"/>
  <c r="J67" i="5"/>
  <c r="U1048" i="11"/>
  <c r="W1048" i="11"/>
  <c r="AH1048" i="11" s="1"/>
  <c r="V1048" i="11"/>
  <c r="AE1048" i="11"/>
  <c r="V39" i="3"/>
  <c r="AE999" i="11"/>
  <c r="V999" i="11"/>
  <c r="U999" i="11"/>
  <c r="W999" i="11"/>
  <c r="AH999" i="11" s="1"/>
  <c r="X803" i="11"/>
  <c r="Z803" i="11" s="1"/>
  <c r="AA803" i="11" s="1"/>
  <c r="R28" i="5" s="1"/>
  <c r="Y77" i="11"/>
  <c r="J65" i="5"/>
  <c r="Z765" i="11"/>
  <c r="AA765" i="11" s="1"/>
  <c r="W126" i="11"/>
  <c r="AH126" i="11" s="1"/>
  <c r="U126" i="11"/>
  <c r="V126" i="11"/>
  <c r="AE126" i="11"/>
  <c r="AE1038" i="11"/>
  <c r="W1038" i="11"/>
  <c r="AH1038" i="11" s="1"/>
  <c r="V1038" i="11"/>
  <c r="U1038" i="11"/>
  <c r="V175" i="11"/>
  <c r="U175" i="11"/>
  <c r="W175" i="11"/>
  <c r="AH175" i="11" s="1"/>
  <c r="AE175" i="11"/>
  <c r="W410" i="11"/>
  <c r="AH410" i="11" s="1"/>
  <c r="U410" i="11"/>
  <c r="V410" i="11"/>
  <c r="AE410" i="11"/>
  <c r="W292" i="11"/>
  <c r="AH292" i="11" s="1"/>
  <c r="AE292" i="11"/>
  <c r="V292" i="11"/>
  <c r="U292" i="11"/>
  <c r="G89" i="5"/>
  <c r="AG648" i="11"/>
  <c r="X648" i="11"/>
  <c r="Z648" i="11" s="1"/>
  <c r="AA648" i="11" s="1"/>
  <c r="H71" i="5"/>
  <c r="X342" i="11"/>
  <c r="Z342" i="11" s="1"/>
  <c r="AA342" i="11" s="1"/>
  <c r="T342" i="11"/>
  <c r="AG342" i="11"/>
  <c r="Y959" i="11"/>
  <c r="V6" i="11"/>
  <c r="U6" i="11"/>
  <c r="W6" i="11"/>
  <c r="G64" i="5"/>
  <c r="AE6" i="11"/>
  <c r="F34" i="3"/>
  <c r="H23" i="5"/>
  <c r="T637" i="11"/>
  <c r="O51" i="3"/>
  <c r="H37" i="3"/>
  <c r="AD37" i="3"/>
  <c r="AG66" i="11"/>
  <c r="X66" i="11"/>
  <c r="Z66" i="11" s="1"/>
  <c r="AA66" i="11" s="1"/>
  <c r="AG853" i="11"/>
  <c r="R803" i="11"/>
  <c r="AG803" i="11" s="1"/>
  <c r="T862" i="11"/>
  <c r="U27" i="11"/>
  <c r="V27" i="11"/>
  <c r="AE27" i="11"/>
  <c r="W27" i="11"/>
  <c r="AG396" i="11"/>
  <c r="T56" i="11"/>
  <c r="L7" i="3" s="1"/>
  <c r="AG56" i="11"/>
  <c r="X56" i="11"/>
  <c r="Z56" i="11" s="1"/>
  <c r="AA56" i="11" s="1"/>
  <c r="R37" i="5" s="1"/>
  <c r="V37" i="11"/>
  <c r="AE37" i="11"/>
  <c r="W37" i="11"/>
  <c r="U37" i="11"/>
  <c r="H54" i="5"/>
  <c r="H101" i="3"/>
  <c r="AK34" i="3"/>
  <c r="V653" i="11"/>
  <c r="F81" i="5" s="1"/>
  <c r="W653" i="11"/>
  <c r="AH653" i="11" s="1"/>
  <c r="U653" i="11"/>
  <c r="D81" i="5" s="1"/>
  <c r="AE653" i="11"/>
  <c r="R818" i="11"/>
  <c r="AG818" i="11" s="1"/>
  <c r="Z822" i="11"/>
  <c r="AA822" i="11" s="1"/>
  <c r="T822" i="11"/>
  <c r="G47" i="5" s="1"/>
  <c r="X947" i="11"/>
  <c r="Z947" i="11" s="1"/>
  <c r="AA947" i="11" s="1"/>
  <c r="U125" i="11"/>
  <c r="V125" i="11"/>
  <c r="AE125" i="11"/>
  <c r="W125" i="11"/>
  <c r="AH125" i="11" s="1"/>
  <c r="V1003" i="11"/>
  <c r="U1003" i="11"/>
  <c r="W1003" i="11"/>
  <c r="AH1003" i="11" s="1"/>
  <c r="AE1003" i="11"/>
  <c r="V278" i="11"/>
  <c r="W278" i="11"/>
  <c r="AH278" i="11" s="1"/>
  <c r="AE278" i="11"/>
  <c r="U278" i="11"/>
  <c r="U28" i="11"/>
  <c r="V28" i="11"/>
  <c r="W28" i="11"/>
  <c r="AB34" i="3"/>
  <c r="AE28" i="11"/>
  <c r="H74" i="5"/>
  <c r="H86" i="5"/>
  <c r="V946" i="11"/>
  <c r="W946" i="11"/>
  <c r="AH946" i="11" s="1"/>
  <c r="U946" i="11"/>
  <c r="AE946" i="11"/>
  <c r="W145" i="11"/>
  <c r="AH145" i="11" s="1"/>
  <c r="U145" i="11"/>
  <c r="V145" i="11"/>
  <c r="AE145" i="11"/>
  <c r="U212" i="11"/>
  <c r="V212" i="11"/>
  <c r="W212" i="11"/>
  <c r="AH212" i="11" s="1"/>
  <c r="AE212" i="11"/>
  <c r="AH289" i="11"/>
  <c r="AD54" i="11"/>
  <c r="AD56" i="11"/>
  <c r="AH1009" i="11"/>
  <c r="V112" i="11"/>
  <c r="U112" i="11"/>
  <c r="W112" i="11"/>
  <c r="AH112" i="11" s="1"/>
  <c r="AE112" i="11"/>
  <c r="V642" i="11"/>
  <c r="W642" i="11"/>
  <c r="AH642" i="11" s="1"/>
  <c r="U642" i="11"/>
  <c r="AE642" i="11"/>
  <c r="U160" i="11"/>
  <c r="W160" i="11"/>
  <c r="AH160" i="11" s="1"/>
  <c r="V160" i="11"/>
  <c r="AE160" i="11"/>
  <c r="W13" i="11"/>
  <c r="U13" i="11"/>
  <c r="V13" i="11"/>
  <c r="AE13" i="11"/>
  <c r="M34" i="3"/>
  <c r="H77" i="3"/>
  <c r="H30" i="5"/>
  <c r="V848" i="11"/>
  <c r="W848" i="11"/>
  <c r="U848" i="11"/>
  <c r="AE848" i="11"/>
  <c r="T884" i="11"/>
  <c r="AH26" i="11"/>
  <c r="S790" i="11"/>
  <c r="T57" i="3"/>
  <c r="Z45" i="3"/>
  <c r="U389" i="11"/>
  <c r="V389" i="11"/>
  <c r="W389" i="11"/>
  <c r="AH389" i="11" s="1"/>
  <c r="AE389" i="11"/>
  <c r="S804" i="11"/>
  <c r="V268" i="11"/>
  <c r="W268" i="11"/>
  <c r="AH268" i="11" s="1"/>
  <c r="U268" i="11"/>
  <c r="AE268" i="11"/>
  <c r="J44" i="3"/>
  <c r="V419" i="11"/>
  <c r="F40" i="5" s="1"/>
  <c r="W419" i="11"/>
  <c r="AH419" i="11" s="1"/>
  <c r="U419" i="11"/>
  <c r="AE419" i="11"/>
  <c r="W916" i="11"/>
  <c r="AH916" i="11" s="1"/>
  <c r="V916" i="11"/>
  <c r="U916" i="11"/>
  <c r="AE916" i="11"/>
  <c r="U987" i="11"/>
  <c r="V987" i="11"/>
  <c r="W987" i="11"/>
  <c r="AH987" i="11" s="1"/>
  <c r="AE987" i="11"/>
  <c r="U361" i="11"/>
  <c r="V361" i="11"/>
  <c r="W361" i="11"/>
  <c r="AH361" i="11" s="1"/>
  <c r="AE361" i="11"/>
  <c r="AE787" i="11"/>
  <c r="U787" i="11"/>
  <c r="V787" i="11"/>
  <c r="W787" i="11"/>
  <c r="V990" i="11"/>
  <c r="W990" i="11"/>
  <c r="AH990" i="11" s="1"/>
  <c r="U990" i="11"/>
  <c r="AE990" i="11"/>
  <c r="AM44" i="3"/>
  <c r="AG398" i="11"/>
  <c r="X398" i="11"/>
  <c r="Z398" i="11" s="1"/>
  <c r="AA398" i="11" s="1"/>
  <c r="T398" i="11"/>
  <c r="D87" i="3"/>
  <c r="D40" i="5"/>
  <c r="V280" i="11"/>
  <c r="W280" i="11"/>
  <c r="AH280" i="11" s="1"/>
  <c r="U280" i="11"/>
  <c r="AE280" i="11"/>
  <c r="AG391" i="11"/>
  <c r="T391" i="11"/>
  <c r="H95" i="3" s="1"/>
  <c r="X391" i="11"/>
  <c r="Z391" i="11" s="1"/>
  <c r="AA391" i="11" s="1"/>
  <c r="U876" i="11"/>
  <c r="AE876" i="11"/>
  <c r="V876" i="11"/>
  <c r="W876" i="11"/>
  <c r="AH876" i="11" s="1"/>
  <c r="W335" i="11"/>
  <c r="AH335" i="11" s="1"/>
  <c r="V335" i="11"/>
  <c r="U335" i="11"/>
  <c r="AE335" i="11"/>
  <c r="AG940" i="11"/>
  <c r="AE78" i="11"/>
  <c r="W78" i="11"/>
  <c r="U78" i="11"/>
  <c r="C66" i="5" s="1"/>
  <c r="V78" i="11"/>
  <c r="E66" i="5" s="1"/>
  <c r="G66" i="5"/>
  <c r="U412" i="11"/>
  <c r="W412" i="11"/>
  <c r="AH412" i="11" s="1"/>
  <c r="V412" i="11"/>
  <c r="AE412" i="11"/>
  <c r="AG287" i="11"/>
  <c r="X287" i="11"/>
  <c r="Z287" i="11" s="1"/>
  <c r="AA287" i="11" s="1"/>
  <c r="X652" i="11"/>
  <c r="Z652" i="11" s="1"/>
  <c r="AA652" i="11" s="1"/>
  <c r="U106" i="11"/>
  <c r="W106" i="11"/>
  <c r="AH106" i="11" s="1"/>
  <c r="V106" i="11"/>
  <c r="AE106" i="11"/>
  <c r="V994" i="11"/>
  <c r="W994" i="11"/>
  <c r="AH994" i="11" s="1"/>
  <c r="U994" i="11"/>
  <c r="AE994" i="11"/>
  <c r="AN39" i="3"/>
  <c r="K45" i="3"/>
  <c r="Z806" i="11"/>
  <c r="AA806" i="11" s="1"/>
  <c r="T806" i="11"/>
  <c r="AE31" i="11"/>
  <c r="W31" i="11"/>
  <c r="U31" i="11"/>
  <c r="V31" i="11"/>
  <c r="H48" i="5"/>
  <c r="AE34" i="3"/>
  <c r="U132" i="11"/>
  <c r="W132" i="11"/>
  <c r="AH132" i="11" s="1"/>
  <c r="V132" i="11"/>
  <c r="AE132" i="11"/>
  <c r="Z127" i="11"/>
  <c r="AA127" i="11" s="1"/>
  <c r="W128" i="11"/>
  <c r="AH128" i="11" s="1"/>
  <c r="V128" i="11"/>
  <c r="U128" i="11"/>
  <c r="AE128" i="11"/>
  <c r="AE1002" i="11"/>
  <c r="U1002" i="11"/>
  <c r="W1002" i="11"/>
  <c r="AH1002" i="11" s="1"/>
  <c r="V1002" i="11"/>
  <c r="M39" i="3"/>
  <c r="AC56" i="3"/>
  <c r="AG772" i="11"/>
  <c r="W975" i="11"/>
  <c r="AH975" i="11" s="1"/>
  <c r="V975" i="11"/>
  <c r="U975" i="11"/>
  <c r="AE975" i="11"/>
  <c r="T810" i="11"/>
  <c r="Y189" i="11"/>
  <c r="Z189" i="11" s="1"/>
  <c r="AA189" i="11" s="1"/>
  <c r="R26" i="5" s="1"/>
  <c r="AG189" i="11"/>
  <c r="T189" i="11"/>
  <c r="V213" i="11"/>
  <c r="U213" i="11"/>
  <c r="AE213" i="11"/>
  <c r="W213" i="11"/>
  <c r="AH213" i="11" s="1"/>
  <c r="V886" i="11"/>
  <c r="W886" i="11"/>
  <c r="AH886" i="11" s="1"/>
  <c r="U886" i="11"/>
  <c r="AE886" i="11"/>
  <c r="AG768" i="11"/>
  <c r="T768" i="11"/>
  <c r="T652" i="11"/>
  <c r="W385" i="11"/>
  <c r="AH385" i="11" s="1"/>
  <c r="V385" i="11"/>
  <c r="U385" i="11"/>
  <c r="AE385" i="11"/>
  <c r="AG834" i="11"/>
  <c r="T834" i="11"/>
  <c r="W168" i="11"/>
  <c r="AH168" i="11" s="1"/>
  <c r="V168" i="11"/>
  <c r="AE168" i="11"/>
  <c r="U168" i="11"/>
  <c r="U971" i="11"/>
  <c r="W971" i="11"/>
  <c r="AH971" i="11" s="1"/>
  <c r="V971" i="11"/>
  <c r="AE971" i="11"/>
  <c r="V9" i="11"/>
  <c r="W9" i="11"/>
  <c r="U9" i="11"/>
  <c r="I34" i="3"/>
  <c r="H26" i="5"/>
  <c r="AE9" i="11"/>
  <c r="W200" i="11"/>
  <c r="AH200" i="11" s="1"/>
  <c r="U200" i="11"/>
  <c r="V200" i="11"/>
  <c r="AE200" i="11"/>
  <c r="W917" i="11"/>
  <c r="AH917" i="11" s="1"/>
  <c r="V917" i="11"/>
  <c r="U917" i="11"/>
  <c r="AE917" i="11"/>
  <c r="W47" i="11"/>
  <c r="AH47" i="11" s="1"/>
  <c r="U47" i="11"/>
  <c r="D28" i="5" s="1"/>
  <c r="V47" i="11"/>
  <c r="F75" i="3" s="1"/>
  <c r="AE47" i="11"/>
  <c r="AH899" i="11"/>
  <c r="V425" i="11"/>
  <c r="W425" i="11"/>
  <c r="AH425" i="11" s="1"/>
  <c r="U425" i="11"/>
  <c r="AE425" i="11"/>
  <c r="U272" i="11"/>
  <c r="V272" i="11"/>
  <c r="W272" i="11"/>
  <c r="AH272" i="11" s="1"/>
  <c r="AE272" i="11"/>
  <c r="W915" i="11"/>
  <c r="AH915" i="11" s="1"/>
  <c r="U915" i="11"/>
  <c r="V915" i="11"/>
  <c r="AE915" i="11"/>
  <c r="U985" i="11"/>
  <c r="V985" i="11"/>
  <c r="W985" i="11"/>
  <c r="AH985" i="11" s="1"/>
  <c r="AE985" i="11"/>
  <c r="T782" i="11"/>
  <c r="P42" i="5"/>
  <c r="Y803" i="11"/>
  <c r="V857" i="11"/>
  <c r="U857" i="11"/>
  <c r="AE857" i="11"/>
  <c r="W857" i="11"/>
  <c r="AH857" i="11" s="1"/>
  <c r="T71" i="11"/>
  <c r="Z71" i="11"/>
  <c r="AA71" i="11" s="1"/>
  <c r="AD71" i="11"/>
  <c r="V923" i="11"/>
  <c r="W923" i="11"/>
  <c r="AH923" i="11" s="1"/>
  <c r="U923" i="11"/>
  <c r="AE923" i="11"/>
  <c r="V83" i="11"/>
  <c r="W83" i="11"/>
  <c r="AH83" i="11" s="1"/>
  <c r="AE83" i="11"/>
  <c r="U83" i="11"/>
  <c r="AG764" i="11"/>
  <c r="Z65" i="11"/>
  <c r="AA65" i="11" s="1"/>
  <c r="T65" i="11"/>
  <c r="H46" i="5" s="1"/>
  <c r="AD65" i="11"/>
  <c r="W170" i="11"/>
  <c r="AH170" i="11" s="1"/>
  <c r="U170" i="11"/>
  <c r="V170" i="11"/>
  <c r="AE170" i="11"/>
  <c r="Y949" i="11"/>
  <c r="AD959" i="11"/>
  <c r="AH146" i="11"/>
  <c r="T778" i="11"/>
  <c r="W1035" i="11"/>
  <c r="AH1035" i="11" s="1"/>
  <c r="U1035" i="11"/>
  <c r="V1035" i="11"/>
  <c r="AE1035" i="11"/>
  <c r="S51" i="3"/>
  <c r="Q45" i="3"/>
  <c r="AK51" i="3"/>
  <c r="X37" i="3"/>
  <c r="U997" i="11"/>
  <c r="W997" i="11"/>
  <c r="AH997" i="11" s="1"/>
  <c r="V997" i="11"/>
  <c r="AE997" i="11"/>
  <c r="AG110" i="11"/>
  <c r="X110" i="11"/>
  <c r="Z110" i="11" s="1"/>
  <c r="AA110" i="11" s="1"/>
  <c r="T110" i="11"/>
  <c r="AG400" i="11"/>
  <c r="T912" i="11"/>
  <c r="W868" i="11"/>
  <c r="AH868" i="11" s="1"/>
  <c r="U868" i="11"/>
  <c r="V868" i="11"/>
  <c r="AE868" i="11"/>
  <c r="V155" i="11"/>
  <c r="U155" i="11"/>
  <c r="W155" i="11"/>
  <c r="AH155" i="11" s="1"/>
  <c r="AE155" i="11"/>
  <c r="Q31" i="5"/>
  <c r="G54" i="5"/>
  <c r="Y808" i="11"/>
  <c r="Z808" i="11" s="1"/>
  <c r="AA808" i="11" s="1"/>
  <c r="R54" i="5"/>
  <c r="U348" i="11"/>
  <c r="W348" i="11"/>
  <c r="AH348" i="11" s="1"/>
  <c r="V348" i="11"/>
  <c r="AE348" i="11"/>
  <c r="J59" i="3"/>
  <c r="V153" i="11"/>
  <c r="W153" i="11"/>
  <c r="AH153" i="11" s="1"/>
  <c r="U153" i="11"/>
  <c r="AE153" i="11"/>
  <c r="I62" i="3"/>
  <c r="Q50" i="5"/>
  <c r="T831" i="11"/>
  <c r="Y831" i="11"/>
  <c r="Z831" i="11" s="1"/>
  <c r="AA831" i="11" s="1"/>
  <c r="R831" i="11"/>
  <c r="AG831" i="11" s="1"/>
  <c r="U32" i="11"/>
  <c r="V32" i="11"/>
  <c r="AE32" i="11"/>
  <c r="W32" i="11"/>
  <c r="AF34" i="3"/>
  <c r="W433" i="11"/>
  <c r="AH433" i="11" s="1"/>
  <c r="U433" i="11"/>
  <c r="AE433" i="11"/>
  <c r="V433" i="11"/>
  <c r="AH347" i="11"/>
  <c r="AG59" i="11"/>
  <c r="X59" i="11"/>
  <c r="Z59" i="11" s="1"/>
  <c r="AA59" i="11" s="1"/>
  <c r="AH636" i="11"/>
  <c r="V947" i="11" l="1"/>
  <c r="W947" i="11"/>
  <c r="U947" i="11"/>
  <c r="AE947" i="11"/>
  <c r="K60" i="3"/>
  <c r="R48" i="5"/>
  <c r="R46" i="5"/>
  <c r="R47" i="5"/>
  <c r="R30" i="5"/>
  <c r="W800" i="11"/>
  <c r="U800" i="11"/>
  <c r="V800" i="11"/>
  <c r="AE800" i="11"/>
  <c r="H56" i="3"/>
  <c r="R24" i="5"/>
  <c r="V949" i="11"/>
  <c r="U949" i="11"/>
  <c r="W949" i="11"/>
  <c r="AH949" i="11" s="1"/>
  <c r="AE949" i="11"/>
  <c r="M60" i="3"/>
  <c r="Q39" i="4"/>
  <c r="R35" i="5"/>
  <c r="U52" i="11"/>
  <c r="W52" i="11"/>
  <c r="V52" i="11"/>
  <c r="AE52" i="11"/>
  <c r="P35" i="3"/>
  <c r="H33" i="5"/>
  <c r="H80" i="3"/>
  <c r="R56" i="5"/>
  <c r="W804" i="11"/>
  <c r="U804" i="11"/>
  <c r="V804" i="11"/>
  <c r="AE804" i="11"/>
  <c r="L56" i="3"/>
  <c r="G83" i="3"/>
  <c r="W834" i="11"/>
  <c r="U834" i="11"/>
  <c r="C87" i="5" s="1"/>
  <c r="V834" i="11"/>
  <c r="E87" i="5" s="1"/>
  <c r="AE834" i="11"/>
  <c r="G87" i="5"/>
  <c r="F57" i="3"/>
  <c r="AH32" i="11"/>
  <c r="U189" i="11"/>
  <c r="AE189" i="11"/>
  <c r="W189" i="11"/>
  <c r="AH189" i="11" s="1"/>
  <c r="V189" i="11"/>
  <c r="I39" i="3"/>
  <c r="V884" i="11"/>
  <c r="W884" i="11"/>
  <c r="U884" i="11"/>
  <c r="AE884" i="11"/>
  <c r="T58" i="3"/>
  <c r="D35" i="4"/>
  <c r="AH28" i="11"/>
  <c r="AH27" i="11"/>
  <c r="AE149" i="11"/>
  <c r="W149" i="11"/>
  <c r="AH149" i="11" s="1"/>
  <c r="V149" i="11"/>
  <c r="F67" i="5" s="1"/>
  <c r="U149" i="11"/>
  <c r="D67" i="5" s="1"/>
  <c r="AO37" i="3"/>
  <c r="H67" i="5"/>
  <c r="AH42" i="11"/>
  <c r="V1011" i="11"/>
  <c r="AE1011" i="11"/>
  <c r="W1011" i="11"/>
  <c r="AH1011" i="11" s="1"/>
  <c r="U1011" i="11"/>
  <c r="AM61" i="3"/>
  <c r="W643" i="11"/>
  <c r="AH643" i="11" s="1"/>
  <c r="U643" i="11"/>
  <c r="V643" i="11"/>
  <c r="AE643" i="11"/>
  <c r="AE51" i="3"/>
  <c r="AH970" i="11"/>
  <c r="V165" i="11"/>
  <c r="W165" i="11"/>
  <c r="AH165" i="11" s="1"/>
  <c r="U165" i="11"/>
  <c r="AE165" i="11"/>
  <c r="U38" i="3"/>
  <c r="U373" i="11"/>
  <c r="W373" i="11"/>
  <c r="AH373" i="11" s="1"/>
  <c r="V373" i="11"/>
  <c r="AE373" i="11"/>
  <c r="M44" i="3"/>
  <c r="V277" i="11"/>
  <c r="W277" i="11"/>
  <c r="AH277" i="11" s="1"/>
  <c r="U277" i="11"/>
  <c r="AE277" i="11"/>
  <c r="Y41" i="3"/>
  <c r="V808" i="11"/>
  <c r="U808" i="11"/>
  <c r="W808" i="11"/>
  <c r="AH808" i="11" s="1"/>
  <c r="AE808" i="11"/>
  <c r="P56" i="3"/>
  <c r="T955" i="11"/>
  <c r="U1010" i="11"/>
  <c r="V1010" i="11"/>
  <c r="W1010" i="11"/>
  <c r="AH1010" i="11" s="1"/>
  <c r="AE1010" i="11"/>
  <c r="AL61" i="3"/>
  <c r="W76" i="11"/>
  <c r="U76" i="11"/>
  <c r="AE76" i="11"/>
  <c r="V76" i="11"/>
  <c r="H57" i="5"/>
  <c r="AN35" i="3"/>
  <c r="H104" i="3"/>
  <c r="V386" i="11"/>
  <c r="U386" i="11"/>
  <c r="W386" i="11"/>
  <c r="AH386" i="11" s="1"/>
  <c r="AE386" i="11"/>
  <c r="Z44" i="3"/>
  <c r="V826" i="11"/>
  <c r="W826" i="11"/>
  <c r="AH826" i="11" s="1"/>
  <c r="U826" i="11"/>
  <c r="AE826" i="11"/>
  <c r="AH56" i="3"/>
  <c r="W952" i="11"/>
  <c r="AH952" i="11" s="1"/>
  <c r="V952" i="11"/>
  <c r="U952" i="11"/>
  <c r="AE952" i="11"/>
  <c r="P60" i="3"/>
  <c r="V355" i="11"/>
  <c r="W355" i="11"/>
  <c r="AH355" i="11" s="1"/>
  <c r="U355" i="11"/>
  <c r="AE355" i="11"/>
  <c r="AE43" i="3"/>
  <c r="AH41" i="11"/>
  <c r="W215" i="11"/>
  <c r="AH215" i="11" s="1"/>
  <c r="U215" i="11"/>
  <c r="V215" i="11"/>
  <c r="AE215" i="11"/>
  <c r="AI39" i="3"/>
  <c r="V913" i="11"/>
  <c r="U913" i="11"/>
  <c r="W913" i="11"/>
  <c r="AH913" i="11" s="1"/>
  <c r="AE913" i="11"/>
  <c r="M59" i="3"/>
  <c r="U902" i="11"/>
  <c r="V902" i="11"/>
  <c r="AE902" i="11"/>
  <c r="W902" i="11"/>
  <c r="AH902" i="11" s="1"/>
  <c r="AL58" i="3"/>
  <c r="AH769" i="11"/>
  <c r="I30" i="5"/>
  <c r="O39" i="4"/>
  <c r="U30" i="5"/>
  <c r="T963" i="11"/>
  <c r="U148" i="11"/>
  <c r="AE148" i="11"/>
  <c r="W148" i="11"/>
  <c r="AH148" i="11" s="1"/>
  <c r="V148" i="11"/>
  <c r="AN37" i="3"/>
  <c r="H74" i="3"/>
  <c r="W998" i="11"/>
  <c r="AH998" i="11" s="1"/>
  <c r="U998" i="11"/>
  <c r="V998" i="11"/>
  <c r="AE998" i="11"/>
  <c r="Z61" i="3"/>
  <c r="D75" i="3"/>
  <c r="AG63" i="11"/>
  <c r="T63" i="11"/>
  <c r="P44" i="5"/>
  <c r="X63" i="11"/>
  <c r="Z63" i="11" s="1"/>
  <c r="AA63" i="11" s="1"/>
  <c r="H35" i="5"/>
  <c r="AH150" i="11"/>
  <c r="U1012" i="11"/>
  <c r="V1012" i="11"/>
  <c r="W1012" i="11"/>
  <c r="AH1012" i="11" s="1"/>
  <c r="AE1012" i="11"/>
  <c r="AN61" i="3"/>
  <c r="F85" i="3"/>
  <c r="F38" i="5"/>
  <c r="W285" i="11"/>
  <c r="AH285" i="11" s="1"/>
  <c r="U285" i="11"/>
  <c r="V285" i="11"/>
  <c r="AE285" i="11"/>
  <c r="AG41" i="3"/>
  <c r="T802" i="11"/>
  <c r="AH115" i="11"/>
  <c r="AH16" i="11"/>
  <c r="W204" i="11"/>
  <c r="AH204" i="11" s="1"/>
  <c r="U204" i="11"/>
  <c r="V204" i="11"/>
  <c r="AE204" i="11"/>
  <c r="X39" i="3"/>
  <c r="AG820" i="11"/>
  <c r="T820" i="11"/>
  <c r="T943" i="11"/>
  <c r="AG947" i="11"/>
  <c r="V861" i="11"/>
  <c r="U861" i="11"/>
  <c r="W861" i="11"/>
  <c r="AH861" i="11" s="1"/>
  <c r="AE861" i="11"/>
  <c r="G50" i="5"/>
  <c r="AG57" i="3"/>
  <c r="Q59" i="4"/>
  <c r="G97" i="3"/>
  <c r="AH366" i="11"/>
  <c r="H76" i="3"/>
  <c r="C85" i="5"/>
  <c r="W628" i="11"/>
  <c r="AH628" i="11" s="1"/>
  <c r="U628" i="11"/>
  <c r="V628" i="11"/>
  <c r="AE628" i="11"/>
  <c r="P51" i="3"/>
  <c r="AH74" i="11"/>
  <c r="AH964" i="11"/>
  <c r="AH940" i="11"/>
  <c r="AH901" i="11"/>
  <c r="AH894" i="11"/>
  <c r="W945" i="11"/>
  <c r="AH945" i="11" s="1"/>
  <c r="V945" i="11"/>
  <c r="U945" i="11"/>
  <c r="AE945" i="11"/>
  <c r="I60" i="3"/>
  <c r="W764" i="11"/>
  <c r="V764" i="11"/>
  <c r="U764" i="11"/>
  <c r="H55" i="3"/>
  <c r="G25" i="5"/>
  <c r="AE764" i="11"/>
  <c r="Q34" i="4"/>
  <c r="AH59" i="11"/>
  <c r="AH78" i="11"/>
  <c r="U782" i="11"/>
  <c r="W782" i="11"/>
  <c r="AE782" i="11"/>
  <c r="V782" i="11"/>
  <c r="Z55" i="3"/>
  <c r="V806" i="11"/>
  <c r="U806" i="11"/>
  <c r="W806" i="11"/>
  <c r="AH806" i="11" s="1"/>
  <c r="N56" i="3"/>
  <c r="AE806" i="11"/>
  <c r="U822" i="11"/>
  <c r="W822" i="11"/>
  <c r="AH822" i="11" s="1"/>
  <c r="V822" i="11"/>
  <c r="AE822" i="11"/>
  <c r="AD56" i="3"/>
  <c r="U56" i="11"/>
  <c r="AE56" i="11"/>
  <c r="W56" i="11"/>
  <c r="AH56" i="11" s="1"/>
  <c r="V56" i="11"/>
  <c r="T35" i="3"/>
  <c r="AH6" i="11"/>
  <c r="J23" i="5"/>
  <c r="V23" i="5"/>
  <c r="V840" i="11"/>
  <c r="W840" i="11"/>
  <c r="AH840" i="11" s="1"/>
  <c r="U840" i="11"/>
  <c r="AE840" i="11"/>
  <c r="L57" i="3"/>
  <c r="R52" i="5"/>
  <c r="U1040" i="11"/>
  <c r="AE1040" i="11"/>
  <c r="V1040" i="11"/>
  <c r="W1040" i="11"/>
  <c r="AH1040" i="11" s="1"/>
  <c r="AF62" i="3"/>
  <c r="R57" i="5"/>
  <c r="V1037" i="11"/>
  <c r="U1037" i="11"/>
  <c r="W1037" i="11"/>
  <c r="AH1037" i="11" s="1"/>
  <c r="AE1037" i="11"/>
  <c r="AC62" i="3"/>
  <c r="V624" i="11"/>
  <c r="W624" i="11"/>
  <c r="AH624" i="11" s="1"/>
  <c r="U624" i="11"/>
  <c r="AE624" i="11"/>
  <c r="L51" i="3"/>
  <c r="W353" i="11"/>
  <c r="AH353" i="11" s="1"/>
  <c r="V353" i="11"/>
  <c r="U353" i="11"/>
  <c r="AE353" i="11"/>
  <c r="AC43" i="3"/>
  <c r="H93" i="3"/>
  <c r="AG388" i="11"/>
  <c r="X388" i="11"/>
  <c r="Z388" i="11" s="1"/>
  <c r="AA388" i="11" s="1"/>
  <c r="R45" i="5" s="1"/>
  <c r="T388" i="11"/>
  <c r="P45" i="5"/>
  <c r="F64" i="5"/>
  <c r="Q33" i="9"/>
  <c r="AH33" i="11"/>
  <c r="AH402" i="11"/>
  <c r="U1039" i="11"/>
  <c r="V1039" i="11"/>
  <c r="W1039" i="11"/>
  <c r="AH1039" i="11" s="1"/>
  <c r="AE1039" i="11"/>
  <c r="AE62" i="3"/>
  <c r="H89" i="3"/>
  <c r="AH330" i="11"/>
  <c r="D56" i="5"/>
  <c r="W195" i="11"/>
  <c r="AH195" i="11" s="1"/>
  <c r="U195" i="11"/>
  <c r="V195" i="11"/>
  <c r="AE195" i="11"/>
  <c r="O39" i="3"/>
  <c r="AH766" i="11"/>
  <c r="W111" i="11"/>
  <c r="AH111" i="11" s="1"/>
  <c r="AE111" i="11"/>
  <c r="U111" i="11"/>
  <c r="D103" i="3" s="1"/>
  <c r="V111" i="11"/>
  <c r="AM36" i="3"/>
  <c r="V1049" i="11"/>
  <c r="W1049" i="11"/>
  <c r="AH1049" i="11" s="1"/>
  <c r="U1049" i="11"/>
  <c r="AE1049" i="11"/>
  <c r="H92" i="5"/>
  <c r="AO62" i="3"/>
  <c r="AE908" i="11"/>
  <c r="W908" i="11"/>
  <c r="AH908" i="11" s="1"/>
  <c r="V908" i="11"/>
  <c r="U908" i="11"/>
  <c r="H59" i="3"/>
  <c r="U871" i="11"/>
  <c r="V871" i="11"/>
  <c r="AE871" i="11"/>
  <c r="W871" i="11"/>
  <c r="AH871" i="11" s="1"/>
  <c r="G58" i="3"/>
  <c r="V218" i="11"/>
  <c r="U218" i="11"/>
  <c r="W218" i="11"/>
  <c r="AH218" i="11" s="1"/>
  <c r="AE218" i="11"/>
  <c r="AL39" i="3"/>
  <c r="W127" i="11"/>
  <c r="AH127" i="11" s="1"/>
  <c r="V127" i="11"/>
  <c r="AE127" i="11"/>
  <c r="U127" i="11"/>
  <c r="S37" i="3"/>
  <c r="AH762" i="11"/>
  <c r="AH66" i="11"/>
  <c r="Q13" i="9"/>
  <c r="AH287" i="11"/>
  <c r="AH969" i="11"/>
  <c r="E47" i="5"/>
  <c r="E94" i="3"/>
  <c r="E80" i="3"/>
  <c r="E33" i="5"/>
  <c r="AH828" i="11"/>
  <c r="D23" i="5"/>
  <c r="C64" i="5"/>
  <c r="W183" i="11"/>
  <c r="AH183" i="11" s="1"/>
  <c r="U183" i="11"/>
  <c r="V183" i="11"/>
  <c r="AE183" i="11"/>
  <c r="AM38" i="3"/>
  <c r="C26" i="5"/>
  <c r="F87" i="3"/>
  <c r="V864" i="11"/>
  <c r="W864" i="11"/>
  <c r="AH864" i="11" s="1"/>
  <c r="U864" i="11"/>
  <c r="AE864" i="11"/>
  <c r="AJ57" i="3"/>
  <c r="V346" i="11"/>
  <c r="U346" i="11"/>
  <c r="W346" i="11"/>
  <c r="AH346" i="11" s="1"/>
  <c r="AE346" i="11"/>
  <c r="V43" i="3"/>
  <c r="W397" i="11"/>
  <c r="AH397" i="11" s="1"/>
  <c r="V397" i="11"/>
  <c r="F54" i="5" s="1"/>
  <c r="U397" i="11"/>
  <c r="AE397" i="11"/>
  <c r="AK44" i="3"/>
  <c r="Z77" i="11"/>
  <c r="AA77" i="11" s="1"/>
  <c r="R58" i="5" s="1"/>
  <c r="Y392" i="11"/>
  <c r="Z392" i="11" s="1"/>
  <c r="AA392" i="11" s="1"/>
  <c r="R41" i="5" s="1"/>
  <c r="AG392" i="11"/>
  <c r="T392" i="11"/>
  <c r="Q49" i="5"/>
  <c r="U869" i="11"/>
  <c r="D87" i="5" s="1"/>
  <c r="AE869" i="11"/>
  <c r="W869" i="11"/>
  <c r="AH869" i="11" s="1"/>
  <c r="V869" i="11"/>
  <c r="F87" i="5" s="1"/>
  <c r="AO57" i="3"/>
  <c r="G105" i="3"/>
  <c r="H87" i="5"/>
  <c r="W812" i="11"/>
  <c r="U812" i="11"/>
  <c r="V812" i="11"/>
  <c r="D33" i="4"/>
  <c r="T56" i="3"/>
  <c r="AE812" i="11"/>
  <c r="AG790" i="11"/>
  <c r="AH789" i="11"/>
  <c r="U50" i="5"/>
  <c r="AG817" i="11"/>
  <c r="T817" i="11"/>
  <c r="H42" i="5"/>
  <c r="C30" i="5"/>
  <c r="C77" i="3"/>
  <c r="T774" i="11"/>
  <c r="W644" i="11"/>
  <c r="AH644" i="11" s="1"/>
  <c r="U644" i="11"/>
  <c r="V644" i="11"/>
  <c r="AE644" i="11"/>
  <c r="AF51" i="3"/>
  <c r="W53" i="11"/>
  <c r="U53" i="11"/>
  <c r="V53" i="11"/>
  <c r="H34" i="5"/>
  <c r="Q35" i="3"/>
  <c r="H81" i="3"/>
  <c r="AE53" i="11"/>
  <c r="AH39" i="11"/>
  <c r="W56" i="5"/>
  <c r="AH36" i="11"/>
  <c r="V173" i="11"/>
  <c r="U173" i="11"/>
  <c r="W173" i="11"/>
  <c r="AH173" i="11" s="1"/>
  <c r="AE173" i="11"/>
  <c r="AC38" i="3"/>
  <c r="W88" i="11"/>
  <c r="AH88" i="11" s="1"/>
  <c r="AE88" i="11"/>
  <c r="V88" i="11"/>
  <c r="U88" i="11"/>
  <c r="P36" i="3"/>
  <c r="R31" i="5"/>
  <c r="H85" i="3"/>
  <c r="V921" i="11"/>
  <c r="U921" i="11"/>
  <c r="W921" i="11"/>
  <c r="AE921" i="11"/>
  <c r="U59" i="3"/>
  <c r="V989" i="11"/>
  <c r="W989" i="11"/>
  <c r="AH989" i="11" s="1"/>
  <c r="U989" i="11"/>
  <c r="AE989" i="11"/>
  <c r="Q61" i="3"/>
  <c r="R49" i="5"/>
  <c r="F28" i="5"/>
  <c r="D80" i="3"/>
  <c r="V620" i="11"/>
  <c r="AE620" i="11"/>
  <c r="W620" i="11"/>
  <c r="AH620" i="11" s="1"/>
  <c r="U620" i="11"/>
  <c r="H51" i="3"/>
  <c r="H84" i="3"/>
  <c r="R44" i="5"/>
  <c r="AH138" i="11"/>
  <c r="W382" i="11"/>
  <c r="AH382" i="11" s="1"/>
  <c r="V382" i="11"/>
  <c r="U382" i="11"/>
  <c r="AE382" i="11"/>
  <c r="V44" i="3"/>
  <c r="W368" i="11"/>
  <c r="AH368" i="11" s="1"/>
  <c r="U368" i="11"/>
  <c r="V368" i="11"/>
  <c r="AE368" i="11"/>
  <c r="H44" i="3"/>
  <c r="E85" i="5"/>
  <c r="F41" i="5"/>
  <c r="AH832" i="11"/>
  <c r="G100" i="3"/>
  <c r="AH772" i="11"/>
  <c r="U33" i="5"/>
  <c r="I33" i="5"/>
  <c r="O42" i="4"/>
  <c r="AH972" i="11"/>
  <c r="AE62" i="11"/>
  <c r="W62" i="11"/>
  <c r="U62" i="11"/>
  <c r="V62" i="11"/>
  <c r="Z35" i="3"/>
  <c r="H43" i="5"/>
  <c r="H90" i="3"/>
  <c r="G77" i="3"/>
  <c r="G85" i="3"/>
  <c r="AH1024" i="11"/>
  <c r="W652" i="11"/>
  <c r="AH652" i="11" s="1"/>
  <c r="U652" i="11"/>
  <c r="V652" i="11"/>
  <c r="AE652" i="11"/>
  <c r="AN51" i="3"/>
  <c r="W912" i="11"/>
  <c r="AH912" i="11" s="1"/>
  <c r="V912" i="11"/>
  <c r="U912" i="11"/>
  <c r="AE912" i="11"/>
  <c r="L59" i="3"/>
  <c r="U778" i="11"/>
  <c r="W778" i="11"/>
  <c r="AE778" i="11"/>
  <c r="V778" i="11"/>
  <c r="G86" i="3"/>
  <c r="V55" i="3"/>
  <c r="Q48" i="4"/>
  <c r="G39" i="5"/>
  <c r="AH9" i="11"/>
  <c r="V810" i="11"/>
  <c r="W810" i="11"/>
  <c r="AH810" i="11" s="1"/>
  <c r="U810" i="11"/>
  <c r="R56" i="3"/>
  <c r="AE810" i="11"/>
  <c r="D54" i="5"/>
  <c r="D101" i="3"/>
  <c r="E64" i="5"/>
  <c r="F23" i="5"/>
  <c r="V776" i="11"/>
  <c r="AE776" i="11"/>
  <c r="U776" i="11"/>
  <c r="W776" i="11"/>
  <c r="Q46" i="4"/>
  <c r="D7" i="4"/>
  <c r="D32" i="4"/>
  <c r="T55" i="3"/>
  <c r="G84" i="3"/>
  <c r="J7" i="3"/>
  <c r="G37" i="5"/>
  <c r="AH7" i="11"/>
  <c r="AH765" i="11"/>
  <c r="O35" i="4"/>
  <c r="U26" i="5"/>
  <c r="I26" i="5"/>
  <c r="V333" i="11"/>
  <c r="U333" i="11"/>
  <c r="D26" i="5" s="1"/>
  <c r="W333" i="11"/>
  <c r="AH333" i="11" s="1"/>
  <c r="AE333" i="11"/>
  <c r="I43" i="3"/>
  <c r="AH30" i="11"/>
  <c r="W843" i="11"/>
  <c r="AH843" i="11" s="1"/>
  <c r="U843" i="11"/>
  <c r="V843" i="11"/>
  <c r="AE843" i="11"/>
  <c r="O57" i="3"/>
  <c r="V141" i="11"/>
  <c r="W141" i="11"/>
  <c r="AH141" i="11" s="1"/>
  <c r="U141" i="11"/>
  <c r="AE141" i="11"/>
  <c r="AG37" i="3"/>
  <c r="H86" i="3"/>
  <c r="AH29" i="11"/>
  <c r="Y70" i="11"/>
  <c r="Z70" i="11" s="1"/>
  <c r="AA70" i="11" s="1"/>
  <c r="R51" i="5" s="1"/>
  <c r="Q51" i="5"/>
  <c r="T70" i="11"/>
  <c r="H58" i="5"/>
  <c r="W161" i="11"/>
  <c r="AH161" i="11" s="1"/>
  <c r="U161" i="11"/>
  <c r="V161" i="11"/>
  <c r="AE161" i="11"/>
  <c r="Q38" i="3"/>
  <c r="V55" i="11"/>
  <c r="F83" i="3" s="1"/>
  <c r="AE55" i="11"/>
  <c r="W55" i="11"/>
  <c r="AH55" i="11" s="1"/>
  <c r="U55" i="11"/>
  <c r="S35" i="3"/>
  <c r="Q62" i="4"/>
  <c r="V1000" i="11"/>
  <c r="W1000" i="11"/>
  <c r="AH1000" i="11" s="1"/>
  <c r="U1000" i="11"/>
  <c r="AE1000" i="11"/>
  <c r="AB61" i="3"/>
  <c r="U113" i="11"/>
  <c r="D66" i="5" s="1"/>
  <c r="AE113" i="11"/>
  <c r="V113" i="11"/>
  <c r="F66" i="5" s="1"/>
  <c r="W113" i="11"/>
  <c r="AH113" i="11" s="1"/>
  <c r="AO36" i="3"/>
  <c r="H66" i="5"/>
  <c r="AH763" i="11"/>
  <c r="V1004" i="11"/>
  <c r="U1004" i="11"/>
  <c r="W1004" i="11"/>
  <c r="AH1004" i="11" s="1"/>
  <c r="AE1004" i="11"/>
  <c r="AF61" i="3"/>
  <c r="AH793" i="11"/>
  <c r="C97" i="3"/>
  <c r="AG70" i="11"/>
  <c r="V54" i="11"/>
  <c r="W54" i="11"/>
  <c r="AH54" i="11" s="1"/>
  <c r="U54" i="11"/>
  <c r="AE54" i="11"/>
  <c r="R35" i="3"/>
  <c r="E30" i="5"/>
  <c r="E77" i="3"/>
  <c r="W58" i="11"/>
  <c r="AH58" i="11" s="1"/>
  <c r="U58" i="11"/>
  <c r="D39" i="5" s="1"/>
  <c r="V58" i="11"/>
  <c r="F86" i="3" s="1"/>
  <c r="AE58" i="11"/>
  <c r="V35" i="3"/>
  <c r="V866" i="11"/>
  <c r="W866" i="11"/>
  <c r="AH866" i="11" s="1"/>
  <c r="U866" i="11"/>
  <c r="AE866" i="11"/>
  <c r="AL57" i="3"/>
  <c r="R34" i="5"/>
  <c r="V46" i="11"/>
  <c r="F74" i="3" s="1"/>
  <c r="W46" i="11"/>
  <c r="AH46" i="11" s="1"/>
  <c r="U46" i="11"/>
  <c r="AE46" i="11"/>
  <c r="J35" i="3"/>
  <c r="D83" i="3"/>
  <c r="D36" i="5"/>
  <c r="F56" i="5"/>
  <c r="F103" i="3"/>
  <c r="T803" i="11"/>
  <c r="U69" i="11"/>
  <c r="D97" i="3" s="1"/>
  <c r="W69" i="11"/>
  <c r="AH69" i="11" s="1"/>
  <c r="AE69" i="11"/>
  <c r="V69" i="11"/>
  <c r="AG35" i="3"/>
  <c r="V996" i="11"/>
  <c r="W996" i="11"/>
  <c r="AH996" i="11" s="1"/>
  <c r="U996" i="11"/>
  <c r="AE996" i="11"/>
  <c r="X61" i="3"/>
  <c r="V14" i="11"/>
  <c r="W14" i="11"/>
  <c r="L64" i="5" s="1"/>
  <c r="AE14" i="11"/>
  <c r="U14" i="11"/>
  <c r="H31" i="5"/>
  <c r="N34" i="3"/>
  <c r="H78" i="3"/>
  <c r="H38" i="5"/>
  <c r="U416" i="11"/>
  <c r="W416" i="11"/>
  <c r="AH416" i="11" s="1"/>
  <c r="V416" i="11"/>
  <c r="AE416" i="11"/>
  <c r="T45" i="3"/>
  <c r="H37" i="5"/>
  <c r="C104" i="3"/>
  <c r="C57" i="5"/>
  <c r="V28" i="5"/>
  <c r="AH618" i="11"/>
  <c r="F76" i="3"/>
  <c r="V625" i="11"/>
  <c r="W625" i="11"/>
  <c r="AH625" i="11" s="1"/>
  <c r="U625" i="11"/>
  <c r="AE625" i="11"/>
  <c r="M51" i="3"/>
  <c r="AH1028" i="11"/>
  <c r="I39" i="4"/>
  <c r="AH24" i="11"/>
  <c r="V41" i="5"/>
  <c r="J41" i="5"/>
  <c r="V790" i="11"/>
  <c r="AE790" i="11"/>
  <c r="W790" i="11"/>
  <c r="U790" i="11"/>
  <c r="G98" i="3"/>
  <c r="Q60" i="4"/>
  <c r="AH55" i="3"/>
  <c r="G51" i="5"/>
  <c r="Q66" i="4"/>
  <c r="Q57" i="4"/>
  <c r="V384" i="11"/>
  <c r="F88" i="3" s="1"/>
  <c r="U384" i="11"/>
  <c r="D41" i="5" s="1"/>
  <c r="W384" i="11"/>
  <c r="AH384" i="11" s="1"/>
  <c r="AE384" i="11"/>
  <c r="X44" i="3"/>
  <c r="W967" i="11"/>
  <c r="AH967" i="11" s="1"/>
  <c r="V967" i="11"/>
  <c r="U967" i="11"/>
  <c r="AE60" i="3"/>
  <c r="AE967" i="11"/>
  <c r="AH786" i="11"/>
  <c r="O56" i="4"/>
  <c r="I47" i="5"/>
  <c r="U47" i="5"/>
  <c r="C80" i="3"/>
  <c r="C33" i="5"/>
  <c r="W824" i="11"/>
  <c r="V824" i="11"/>
  <c r="U824" i="11"/>
  <c r="AE824" i="11"/>
  <c r="Q58" i="4"/>
  <c r="G49" i="5"/>
  <c r="G96" i="3"/>
  <c r="AF56" i="3"/>
  <c r="V380" i="11"/>
  <c r="F37" i="5" s="1"/>
  <c r="U380" i="11"/>
  <c r="W380" i="11"/>
  <c r="AH380" i="11" s="1"/>
  <c r="AE380" i="11"/>
  <c r="T44" i="3"/>
  <c r="G38" i="5"/>
  <c r="AH814" i="11"/>
  <c r="R40" i="5"/>
  <c r="W71" i="11"/>
  <c r="AH71" i="11" s="1"/>
  <c r="V71" i="11"/>
  <c r="AE71" i="11"/>
  <c r="U71" i="11"/>
  <c r="AI35" i="3"/>
  <c r="W391" i="11"/>
  <c r="AH391" i="11" s="1"/>
  <c r="AE391" i="11"/>
  <c r="V391" i="11"/>
  <c r="U391" i="11"/>
  <c r="AE44" i="3"/>
  <c r="W398" i="11"/>
  <c r="AH398" i="11" s="1"/>
  <c r="U398" i="11"/>
  <c r="V398" i="11"/>
  <c r="AE398" i="11"/>
  <c r="AL44" i="3"/>
  <c r="AH787" i="11"/>
  <c r="U48" i="5"/>
  <c r="I48" i="5"/>
  <c r="O57" i="4"/>
  <c r="AH848" i="11"/>
  <c r="AH13" i="11"/>
  <c r="U110" i="11"/>
  <c r="AE110" i="11"/>
  <c r="V110" i="11"/>
  <c r="W110" i="11"/>
  <c r="AL36" i="3"/>
  <c r="V65" i="11"/>
  <c r="U65" i="11"/>
  <c r="W65" i="11"/>
  <c r="AH65" i="11" s="1"/>
  <c r="AE65" i="11"/>
  <c r="AC35" i="3"/>
  <c r="F95" i="3"/>
  <c r="E48" i="5"/>
  <c r="E95" i="3"/>
  <c r="AH37" i="11"/>
  <c r="W54" i="5"/>
  <c r="V54" i="5"/>
  <c r="J54" i="5"/>
  <c r="W862" i="11"/>
  <c r="AH862" i="11" s="1"/>
  <c r="V862" i="11"/>
  <c r="U862" i="11"/>
  <c r="AE862" i="11"/>
  <c r="AH57" i="3"/>
  <c r="V637" i="11"/>
  <c r="W637" i="11"/>
  <c r="AH637" i="11" s="1"/>
  <c r="U637" i="11"/>
  <c r="AE637" i="11"/>
  <c r="Y51" i="3"/>
  <c r="E26" i="5"/>
  <c r="V865" i="11"/>
  <c r="E54" i="5" s="1"/>
  <c r="U865" i="11"/>
  <c r="W865" i="11"/>
  <c r="AH865" i="11" s="1"/>
  <c r="AE865" i="11"/>
  <c r="AK57" i="3"/>
  <c r="AH34" i="11"/>
  <c r="H39" i="5"/>
  <c r="AH15" i="11"/>
  <c r="J32" i="5"/>
  <c r="V32" i="5"/>
  <c r="R53" i="5"/>
  <c r="D93" i="3"/>
  <c r="U67" i="11"/>
  <c r="D95" i="3" s="1"/>
  <c r="V67" i="11"/>
  <c r="F48" i="5" s="1"/>
  <c r="W67" i="11"/>
  <c r="AH67" i="11" s="1"/>
  <c r="AE67" i="11"/>
  <c r="AE35" i="3"/>
  <c r="AH980" i="11"/>
  <c r="K91" i="5"/>
  <c r="H50" i="5"/>
  <c r="V354" i="11"/>
  <c r="U354" i="11"/>
  <c r="D47" i="5" s="1"/>
  <c r="W354" i="11"/>
  <c r="AH354" i="11" s="1"/>
  <c r="AE354" i="11"/>
  <c r="AD43" i="3"/>
  <c r="V396" i="11"/>
  <c r="U396" i="11"/>
  <c r="W396" i="11"/>
  <c r="AH396" i="11" s="1"/>
  <c r="AJ44" i="3"/>
  <c r="AE396" i="11"/>
  <c r="D27" i="5"/>
  <c r="D74" i="3"/>
  <c r="AH19" i="11"/>
  <c r="V36" i="5"/>
  <c r="J36" i="5"/>
  <c r="W376" i="11"/>
  <c r="AH376" i="11" s="1"/>
  <c r="V376" i="11"/>
  <c r="F80" i="3" s="1"/>
  <c r="U376" i="11"/>
  <c r="D33" i="5" s="1"/>
  <c r="AE376" i="11"/>
  <c r="P44" i="3"/>
  <c r="V925" i="11"/>
  <c r="W925" i="11"/>
  <c r="AH925" i="11" s="1"/>
  <c r="U925" i="11"/>
  <c r="AE925" i="11"/>
  <c r="Y59" i="3"/>
  <c r="U794" i="11"/>
  <c r="W794" i="11"/>
  <c r="R63" i="4" s="1"/>
  <c r="AE794" i="11"/>
  <c r="V794" i="11"/>
  <c r="G102" i="3"/>
  <c r="Q64" i="4"/>
  <c r="G55" i="5"/>
  <c r="AL55" i="3"/>
  <c r="C58" i="5"/>
  <c r="C105" i="3"/>
  <c r="D85" i="5"/>
  <c r="U798" i="11"/>
  <c r="C86" i="5" s="1"/>
  <c r="W798" i="11"/>
  <c r="O32" i="4" s="1"/>
  <c r="AE798" i="11"/>
  <c r="V798" i="11"/>
  <c r="E86" i="5" s="1"/>
  <c r="F56" i="3"/>
  <c r="G86" i="5"/>
  <c r="Q11" i="9"/>
  <c r="U372" i="11"/>
  <c r="D29" i="5" s="1"/>
  <c r="W372" i="11"/>
  <c r="AH372" i="11" s="1"/>
  <c r="V372" i="11"/>
  <c r="F29" i="5" s="1"/>
  <c r="AE372" i="11"/>
  <c r="L44" i="3"/>
  <c r="AH781" i="11"/>
  <c r="AH796" i="11"/>
  <c r="I57" i="5"/>
  <c r="O66" i="4"/>
  <c r="R66" i="4"/>
  <c r="U57" i="5"/>
  <c r="V982" i="11"/>
  <c r="AE982" i="11"/>
  <c r="U982" i="11"/>
  <c r="W982" i="11"/>
  <c r="AH982" i="11" s="1"/>
  <c r="J61" i="3"/>
  <c r="J28" i="5"/>
  <c r="AH780" i="11"/>
  <c r="W137" i="11"/>
  <c r="AH137" i="11" s="1"/>
  <c r="U137" i="11"/>
  <c r="D46" i="5" s="1"/>
  <c r="V137" i="11"/>
  <c r="AE137" i="11"/>
  <c r="AC37" i="3"/>
  <c r="D76" i="3"/>
  <c r="U933" i="11"/>
  <c r="C50" i="5" s="1"/>
  <c r="V933" i="11"/>
  <c r="E97" i="3" s="1"/>
  <c r="W933" i="11"/>
  <c r="AH933" i="11" s="1"/>
  <c r="AE933" i="11"/>
  <c r="AG59" i="3"/>
  <c r="D88" i="3"/>
  <c r="AH258" i="11"/>
  <c r="M71" i="5"/>
  <c r="K71" i="5"/>
  <c r="L71" i="5"/>
  <c r="H55" i="5"/>
  <c r="G57" i="5"/>
  <c r="Z384" i="11"/>
  <c r="AA384" i="11" s="1"/>
  <c r="AH909" i="11"/>
  <c r="AE951" i="11"/>
  <c r="U951" i="11"/>
  <c r="W951" i="11"/>
  <c r="AH951" i="11" s="1"/>
  <c r="V951" i="11"/>
  <c r="O60" i="3"/>
  <c r="C47" i="5"/>
  <c r="C94" i="3"/>
  <c r="Q42" i="4"/>
  <c r="AH1029" i="11"/>
  <c r="R43" i="5"/>
  <c r="C48" i="5"/>
  <c r="C95" i="3"/>
  <c r="W1016" i="11"/>
  <c r="AH1016" i="11" s="1"/>
  <c r="U1016" i="11"/>
  <c r="V1016" i="11"/>
  <c r="AE1016" i="11"/>
  <c r="H62" i="3"/>
  <c r="W1005" i="11"/>
  <c r="AH1005" i="11" s="1"/>
  <c r="U1005" i="11"/>
  <c r="V1005" i="11"/>
  <c r="AE1005" i="11"/>
  <c r="AG61" i="3"/>
  <c r="V927" i="11"/>
  <c r="AE927" i="11"/>
  <c r="W927" i="11"/>
  <c r="AH927" i="11" s="1"/>
  <c r="U927" i="11"/>
  <c r="AA59" i="3"/>
  <c r="F94" i="3"/>
  <c r="F47" i="5"/>
  <c r="T771" i="11"/>
  <c r="AG804" i="11"/>
  <c r="F32" i="5"/>
  <c r="F79" i="3"/>
  <c r="U918" i="11"/>
  <c r="V918" i="11"/>
  <c r="W918" i="11"/>
  <c r="AH918" i="11" s="1"/>
  <c r="AE918" i="11"/>
  <c r="R59" i="3"/>
  <c r="W856" i="11"/>
  <c r="AH856" i="11" s="1"/>
  <c r="U856" i="11"/>
  <c r="AE856" i="11"/>
  <c r="V856" i="11"/>
  <c r="AB57" i="3"/>
  <c r="V809" i="11"/>
  <c r="W809" i="11"/>
  <c r="AH809" i="11" s="1"/>
  <c r="AE809" i="11"/>
  <c r="U809" i="11"/>
  <c r="Q56" i="3"/>
  <c r="F89" i="3"/>
  <c r="W178" i="11"/>
  <c r="AH178" i="11" s="1"/>
  <c r="U178" i="11"/>
  <c r="V178" i="11"/>
  <c r="AE178" i="11"/>
  <c r="AH38" i="3"/>
  <c r="AH10" i="11"/>
  <c r="J27" i="5"/>
  <c r="V27" i="5"/>
  <c r="H56" i="5"/>
  <c r="V358" i="11"/>
  <c r="U358" i="11"/>
  <c r="W358" i="11"/>
  <c r="AH358" i="11" s="1"/>
  <c r="AE358" i="11"/>
  <c r="AH43" i="3"/>
  <c r="T818" i="11"/>
  <c r="G43" i="5" s="1"/>
  <c r="AH18" i="11"/>
  <c r="W919" i="11"/>
  <c r="U919" i="11"/>
  <c r="V919" i="11"/>
  <c r="AE919" i="11"/>
  <c r="Q45" i="4"/>
  <c r="S59" i="3"/>
  <c r="G36" i="5"/>
  <c r="AH792" i="11"/>
  <c r="I53" i="5"/>
  <c r="V157" i="11"/>
  <c r="F77" i="3" s="1"/>
  <c r="W157" i="11"/>
  <c r="AH157" i="11" s="1"/>
  <c r="U157" i="11"/>
  <c r="D77" i="3" s="1"/>
  <c r="AE157" i="11"/>
  <c r="Q10" i="9" s="1"/>
  <c r="M38" i="3"/>
  <c r="AH20" i="11"/>
  <c r="W37" i="5"/>
  <c r="V37" i="5"/>
  <c r="J37" i="5"/>
  <c r="E104" i="3"/>
  <c r="E57" i="5"/>
  <c r="AH12" i="11"/>
  <c r="J29" i="5"/>
  <c r="V29" i="5"/>
  <c r="W29" i="5"/>
  <c r="V40" i="5"/>
  <c r="H102" i="3"/>
  <c r="AH1047" i="11"/>
  <c r="W648" i="11"/>
  <c r="AH648" i="11" s="1"/>
  <c r="U648" i="11"/>
  <c r="AE648" i="11"/>
  <c r="V648" i="11"/>
  <c r="AJ51" i="3"/>
  <c r="AH853" i="11"/>
  <c r="G80" i="3"/>
  <c r="G101" i="3"/>
  <c r="G58" i="5"/>
  <c r="AH777" i="11"/>
  <c r="I38" i="5"/>
  <c r="O47" i="4"/>
  <c r="U38" i="5"/>
  <c r="X38" i="5" s="1"/>
  <c r="AH1021" i="11"/>
  <c r="AH1023" i="11"/>
  <c r="V831" i="11"/>
  <c r="U831" i="11"/>
  <c r="W831" i="11"/>
  <c r="G103" i="3"/>
  <c r="Q65" i="4"/>
  <c r="G56" i="5"/>
  <c r="AE831" i="11"/>
  <c r="AM56" i="3"/>
  <c r="U768" i="11"/>
  <c r="W768" i="11"/>
  <c r="V768" i="11"/>
  <c r="AE768" i="11"/>
  <c r="Q38" i="4"/>
  <c r="G29" i="5"/>
  <c r="G76" i="3"/>
  <c r="L55" i="3"/>
  <c r="AH31" i="11"/>
  <c r="J48" i="5"/>
  <c r="V48" i="5"/>
  <c r="W48" i="5"/>
  <c r="V35" i="11"/>
  <c r="AE35" i="11"/>
  <c r="Q6" i="9" s="1"/>
  <c r="W35" i="11"/>
  <c r="U35" i="11"/>
  <c r="AI34" i="3"/>
  <c r="H52" i="5"/>
  <c r="H99" i="3"/>
  <c r="W359" i="11"/>
  <c r="AH359" i="11" s="1"/>
  <c r="U359" i="11"/>
  <c r="V359" i="11"/>
  <c r="AE359" i="11"/>
  <c r="AI43" i="3"/>
  <c r="W72" i="11"/>
  <c r="AH72" i="11" s="1"/>
  <c r="V72" i="11"/>
  <c r="F100" i="3" s="1"/>
  <c r="U72" i="11"/>
  <c r="D100" i="3" s="1"/>
  <c r="AJ35" i="3"/>
  <c r="AE72" i="11"/>
  <c r="V959" i="11"/>
  <c r="AE959" i="11"/>
  <c r="U959" i="11"/>
  <c r="W959" i="11"/>
  <c r="AH959" i="11" s="1"/>
  <c r="W60" i="3"/>
  <c r="AH785" i="11"/>
  <c r="H97" i="3"/>
  <c r="V645" i="11"/>
  <c r="W645" i="11"/>
  <c r="AH645" i="11" s="1"/>
  <c r="U645" i="11"/>
  <c r="AE645" i="11"/>
  <c r="AG51" i="3"/>
  <c r="V875" i="11"/>
  <c r="W875" i="11"/>
  <c r="AH875" i="11" s="1"/>
  <c r="U875" i="11"/>
  <c r="AE875" i="11"/>
  <c r="K58" i="3"/>
  <c r="D89" i="3"/>
  <c r="D42" i="5"/>
  <c r="W929" i="11"/>
  <c r="AH929" i="11" s="1"/>
  <c r="V929" i="11"/>
  <c r="E46" i="5" s="1"/>
  <c r="AE929" i="11"/>
  <c r="U929" i="11"/>
  <c r="C46" i="5" s="1"/>
  <c r="G46" i="5"/>
  <c r="AC59" i="3"/>
  <c r="V937" i="11"/>
  <c r="U937" i="11"/>
  <c r="C101" i="3" s="1"/>
  <c r="W937" i="11"/>
  <c r="AH937" i="11" s="1"/>
  <c r="AE937" i="11"/>
  <c r="AK59" i="3"/>
  <c r="H83" i="3"/>
  <c r="AH906" i="11"/>
  <c r="H103" i="3"/>
  <c r="H100" i="3"/>
  <c r="W1014" i="11"/>
  <c r="U1014" i="11"/>
  <c r="C92" i="5" s="1"/>
  <c r="V1014" i="11"/>
  <c r="E92" i="5" s="1"/>
  <c r="AE1014" i="11"/>
  <c r="G92" i="5"/>
  <c r="F62" i="3"/>
  <c r="W641" i="11"/>
  <c r="AH641" i="11" s="1"/>
  <c r="U641" i="11"/>
  <c r="V641" i="11"/>
  <c r="F46" i="5" s="1"/>
  <c r="AE641" i="11"/>
  <c r="AC51" i="3"/>
  <c r="F85" i="5"/>
  <c r="E58" i="5"/>
  <c r="AH21" i="11"/>
  <c r="W38" i="5"/>
  <c r="V38" i="5"/>
  <c r="J38" i="5"/>
  <c r="U816" i="11"/>
  <c r="C88" i="3" s="1"/>
  <c r="V816" i="11"/>
  <c r="E88" i="3" s="1"/>
  <c r="W816" i="11"/>
  <c r="AH816" i="11" s="1"/>
  <c r="G41" i="5"/>
  <c r="X56" i="3"/>
  <c r="AE816" i="11"/>
  <c r="Q50" i="4"/>
  <c r="Y52" i="11"/>
  <c r="Z52" i="11" s="1"/>
  <c r="AA52" i="11" s="1"/>
  <c r="R33" i="5" s="1"/>
  <c r="Q33" i="5"/>
  <c r="AH8" i="11"/>
  <c r="W819" i="11"/>
  <c r="U819" i="11"/>
  <c r="AE819" i="11"/>
  <c r="V819" i="11"/>
  <c r="G44" i="5"/>
  <c r="Q53" i="4"/>
  <c r="AA56" i="3"/>
  <c r="G91" i="3"/>
  <c r="V773" i="11"/>
  <c r="U773" i="11"/>
  <c r="W773" i="11"/>
  <c r="AE773" i="11"/>
  <c r="G34" i="5"/>
  <c r="G81" i="3"/>
  <c r="Q55" i="3"/>
  <c r="Q43" i="4"/>
  <c r="D84" i="3"/>
  <c r="D7" i="3"/>
  <c r="D37" i="5"/>
  <c r="AG800" i="11"/>
  <c r="AG961" i="11"/>
  <c r="T961" i="11"/>
  <c r="G30" i="5"/>
  <c r="AH993" i="11"/>
  <c r="I38" i="4"/>
  <c r="W169" i="11"/>
  <c r="AH169" i="11" s="1"/>
  <c r="U169" i="11"/>
  <c r="V169" i="11"/>
  <c r="F42" i="5" s="1"/>
  <c r="AE169" i="11"/>
  <c r="Y38" i="3"/>
  <c r="U43" i="11"/>
  <c r="D24" i="5" s="1"/>
  <c r="V43" i="11"/>
  <c r="F24" i="5" s="1"/>
  <c r="W43" i="11"/>
  <c r="AH43" i="11" s="1"/>
  <c r="AE43" i="11"/>
  <c r="G35" i="3"/>
  <c r="J40" i="5"/>
  <c r="G104" i="3"/>
  <c r="AH957" i="11"/>
  <c r="Q56" i="4"/>
  <c r="C38" i="5"/>
  <c r="O38" i="5" s="1"/>
  <c r="C85" i="3"/>
  <c r="AH632" i="11"/>
  <c r="V342" i="11"/>
  <c r="F82" i="3" s="1"/>
  <c r="U342" i="11"/>
  <c r="D35" i="5" s="1"/>
  <c r="W342" i="11"/>
  <c r="AH342" i="11" s="1"/>
  <c r="AE342" i="11"/>
  <c r="R43" i="3"/>
  <c r="W400" i="11"/>
  <c r="AH400" i="11" s="1"/>
  <c r="U400" i="11"/>
  <c r="V400" i="11"/>
  <c r="AE400" i="11"/>
  <c r="AN44" i="3"/>
  <c r="W77" i="11"/>
  <c r="AH77" i="11" s="1"/>
  <c r="AE77" i="11"/>
  <c r="H65" i="5"/>
  <c r="V77" i="11"/>
  <c r="F65" i="5" s="1"/>
  <c r="U77" i="11"/>
  <c r="D65" i="5" s="1"/>
  <c r="AO35" i="3"/>
  <c r="G53" i="5"/>
  <c r="R23" i="5"/>
  <c r="AH22" i="11"/>
  <c r="J39" i="5"/>
  <c r="W39" i="5"/>
  <c r="V39" i="5"/>
  <c r="D79" i="3"/>
  <c r="D32" i="5"/>
  <c r="V432" i="11"/>
  <c r="U432" i="11"/>
  <c r="W432" i="11"/>
  <c r="AH432" i="11" s="1"/>
  <c r="AE432" i="11"/>
  <c r="AJ45" i="3"/>
  <c r="T827" i="11"/>
  <c r="W968" i="11"/>
  <c r="AH968" i="11" s="1"/>
  <c r="V968" i="11"/>
  <c r="U968" i="11"/>
  <c r="AE968" i="11"/>
  <c r="AF60" i="3"/>
  <c r="D58" i="5"/>
  <c r="D105" i="3"/>
  <c r="D64" i="5"/>
  <c r="W779" i="11"/>
  <c r="V779" i="11"/>
  <c r="U779" i="11"/>
  <c r="AE779" i="11"/>
  <c r="G87" i="3"/>
  <c r="W55" i="3"/>
  <c r="G40" i="5"/>
  <c r="Q49" i="4"/>
  <c r="F97" i="3"/>
  <c r="F50" i="5"/>
  <c r="V770" i="11"/>
  <c r="U770" i="11"/>
  <c r="W770" i="11"/>
  <c r="N55" i="3"/>
  <c r="G78" i="3"/>
  <c r="G31" i="5"/>
  <c r="Q40" i="4"/>
  <c r="AE770" i="11"/>
  <c r="W932" i="11"/>
  <c r="AH932" i="11" s="1"/>
  <c r="V932" i="11"/>
  <c r="U932" i="11"/>
  <c r="AE932" i="11"/>
  <c r="AF59" i="3"/>
  <c r="AH25" i="11"/>
  <c r="V42" i="5"/>
  <c r="J42" i="5"/>
  <c r="W863" i="11"/>
  <c r="AH863" i="11" s="1"/>
  <c r="U863" i="11"/>
  <c r="V863" i="11"/>
  <c r="AE863" i="11"/>
  <c r="AI57" i="3"/>
  <c r="AH956" i="11"/>
  <c r="G23" i="5"/>
  <c r="AE898" i="11"/>
  <c r="W898" i="11"/>
  <c r="AH898" i="11" s="1"/>
  <c r="V898" i="11"/>
  <c r="U898" i="11"/>
  <c r="AH58" i="3"/>
  <c r="H53" i="5"/>
  <c r="R55" i="5"/>
  <c r="V405" i="11"/>
  <c r="F26" i="5" s="1"/>
  <c r="W405" i="11"/>
  <c r="AH405" i="11" s="1"/>
  <c r="U405" i="11"/>
  <c r="AE405" i="11"/>
  <c r="I45" i="3"/>
  <c r="AE936" i="11"/>
  <c r="W936" i="11"/>
  <c r="AH936" i="11" s="1"/>
  <c r="V936" i="11"/>
  <c r="E100" i="3" s="1"/>
  <c r="U936" i="11"/>
  <c r="C53" i="5" s="1"/>
  <c r="AJ59" i="3"/>
  <c r="W870" i="11"/>
  <c r="V870" i="11"/>
  <c r="E88" i="5" s="1"/>
  <c r="U870" i="11"/>
  <c r="C88" i="5" s="1"/>
  <c r="AE870" i="11"/>
  <c r="F58" i="3"/>
  <c r="G88" i="5"/>
  <c r="AH797" i="11"/>
  <c r="U58" i="5"/>
  <c r="O67" i="4"/>
  <c r="R67" i="4"/>
  <c r="I58" i="5"/>
  <c r="D38" i="5"/>
  <c r="D85" i="3"/>
  <c r="U1046" i="11"/>
  <c r="V1046" i="11"/>
  <c r="W1046" i="11"/>
  <c r="AH1046" i="11" s="1"/>
  <c r="AE1046" i="11"/>
  <c r="Q23" i="9" s="1"/>
  <c r="AL62" i="3"/>
  <c r="AE431" i="11"/>
  <c r="W431" i="11"/>
  <c r="AH431" i="11" s="1"/>
  <c r="U431" i="11"/>
  <c r="V431" i="11"/>
  <c r="AI45" i="3"/>
  <c r="G95" i="3"/>
  <c r="AH186" i="11"/>
  <c r="M69" i="5"/>
  <c r="L69" i="5"/>
  <c r="K69" i="5"/>
  <c r="AH890" i="11"/>
  <c r="V1027" i="11"/>
  <c r="AE1027" i="11"/>
  <c r="W1027" i="11"/>
  <c r="AH1027" i="11" s="1"/>
  <c r="U1027" i="11"/>
  <c r="S62" i="3"/>
  <c r="AH914" i="11"/>
  <c r="AG44" i="11"/>
  <c r="T44" i="11"/>
  <c r="P25" i="5"/>
  <c r="X44" i="11"/>
  <c r="Z44" i="11" s="1"/>
  <c r="AA44" i="11" s="1"/>
  <c r="R25" i="5" s="1"/>
  <c r="Q67" i="4"/>
  <c r="W40" i="5"/>
  <c r="H41" i="5"/>
  <c r="AH823" i="11"/>
  <c r="AG52" i="11"/>
  <c r="G94" i="3"/>
  <c r="G33" i="5"/>
  <c r="AH962" i="11"/>
  <c r="E38" i="5"/>
  <c r="E85" i="3"/>
  <c r="AH784" i="11"/>
  <c r="O46" i="5" l="1"/>
  <c r="E24" i="5"/>
  <c r="E81" i="3"/>
  <c r="E34" i="5"/>
  <c r="AH819" i="11"/>
  <c r="L89" i="5"/>
  <c r="I46" i="5"/>
  <c r="F52" i="5"/>
  <c r="F99" i="3"/>
  <c r="U53" i="5"/>
  <c r="AH919" i="11"/>
  <c r="C54" i="5"/>
  <c r="O54" i="5" s="1"/>
  <c r="W771" i="11"/>
  <c r="V771" i="11"/>
  <c r="U771" i="11"/>
  <c r="AE771" i="11"/>
  <c r="O55" i="3"/>
  <c r="Q41" i="4"/>
  <c r="G32" i="5"/>
  <c r="G79" i="3"/>
  <c r="U41" i="5"/>
  <c r="X41" i="5" s="1"/>
  <c r="E53" i="5"/>
  <c r="M91" i="5"/>
  <c r="O33" i="5"/>
  <c r="AH790" i="11"/>
  <c r="U51" i="5"/>
  <c r="I51" i="5"/>
  <c r="O60" i="4"/>
  <c r="R58" i="4"/>
  <c r="E41" i="5"/>
  <c r="F53" i="5"/>
  <c r="I54" i="5"/>
  <c r="K54" i="5" s="1"/>
  <c r="V24" i="5"/>
  <c r="J26" i="5"/>
  <c r="E39" i="5"/>
  <c r="E86" i="3"/>
  <c r="O59" i="4"/>
  <c r="M73" i="5"/>
  <c r="W23" i="5"/>
  <c r="M64" i="5"/>
  <c r="M66" i="5"/>
  <c r="V58" i="5"/>
  <c r="AH76" i="11"/>
  <c r="W57" i="5"/>
  <c r="J57" i="5"/>
  <c r="V57" i="5"/>
  <c r="X57" i="5" s="1"/>
  <c r="F101" i="3"/>
  <c r="U44" i="11"/>
  <c r="D25" i="5" s="1"/>
  <c r="V44" i="11"/>
  <c r="F25" i="5" s="1"/>
  <c r="W44" i="11"/>
  <c r="K65" i="5" s="1"/>
  <c r="AE44" i="11"/>
  <c r="H35" i="3"/>
  <c r="H25" i="5"/>
  <c r="M89" i="5"/>
  <c r="O55" i="4"/>
  <c r="J35" i="5"/>
  <c r="F93" i="3"/>
  <c r="O47" i="5"/>
  <c r="D31" i="5"/>
  <c r="D78" i="3"/>
  <c r="W46" i="5"/>
  <c r="W26" i="5"/>
  <c r="E23" i="5"/>
  <c r="J53" i="5"/>
  <c r="K53" i="5" s="1"/>
  <c r="F36" i="5"/>
  <c r="F81" i="3"/>
  <c r="F34" i="5"/>
  <c r="V774" i="11"/>
  <c r="AE774" i="11"/>
  <c r="W774" i="11"/>
  <c r="U774" i="11"/>
  <c r="Q44" i="4"/>
  <c r="G35" i="5"/>
  <c r="G82" i="3"/>
  <c r="R55" i="3"/>
  <c r="R59" i="4"/>
  <c r="K85" i="5"/>
  <c r="I23" i="5"/>
  <c r="K23" i="5" s="1"/>
  <c r="K73" i="5"/>
  <c r="J50" i="5"/>
  <c r="F105" i="3"/>
  <c r="K64" i="5"/>
  <c r="F30" i="5"/>
  <c r="G90" i="3"/>
  <c r="K66" i="5"/>
  <c r="K67" i="5"/>
  <c r="V63" i="11"/>
  <c r="U63" i="11"/>
  <c r="W63" i="11"/>
  <c r="AA35" i="3"/>
  <c r="AE63" i="11"/>
  <c r="H91" i="3"/>
  <c r="H44" i="5"/>
  <c r="J58" i="5"/>
  <c r="U827" i="11"/>
  <c r="W827" i="11"/>
  <c r="R60" i="4" s="1"/>
  <c r="V827" i="11"/>
  <c r="E52" i="5" s="1"/>
  <c r="Q61" i="4"/>
  <c r="G52" i="5"/>
  <c r="AE827" i="11"/>
  <c r="G99" i="3"/>
  <c r="AI56" i="3"/>
  <c r="AH824" i="11"/>
  <c r="O58" i="4"/>
  <c r="U49" i="5"/>
  <c r="I49" i="5"/>
  <c r="C51" i="5"/>
  <c r="C98" i="3"/>
  <c r="U961" i="11"/>
  <c r="W961" i="11"/>
  <c r="AE961" i="11"/>
  <c r="V961" i="11"/>
  <c r="Y60" i="3"/>
  <c r="Q34" i="9"/>
  <c r="K89" i="5"/>
  <c r="E29" i="5"/>
  <c r="E76" i="3"/>
  <c r="AH831" i="11"/>
  <c r="U56" i="5"/>
  <c r="I56" i="5"/>
  <c r="O65" i="4"/>
  <c r="K38" i="5"/>
  <c r="V35" i="5"/>
  <c r="R65" i="4"/>
  <c r="F35" i="5"/>
  <c r="V30" i="5"/>
  <c r="X30" i="5" s="1"/>
  <c r="K48" i="5"/>
  <c r="E98" i="3"/>
  <c r="E51" i="5"/>
  <c r="U54" i="5"/>
  <c r="X54" i="5" s="1"/>
  <c r="J46" i="5"/>
  <c r="J47" i="5"/>
  <c r="J24" i="5"/>
  <c r="V26" i="5"/>
  <c r="AH778" i="11"/>
  <c r="O48" i="4"/>
  <c r="U39" i="5"/>
  <c r="X39" i="5" s="1"/>
  <c r="I39" i="5"/>
  <c r="K39" i="5" s="1"/>
  <c r="F90" i="3"/>
  <c r="F43" i="5"/>
  <c r="AH921" i="11"/>
  <c r="I36" i="4"/>
  <c r="V53" i="5"/>
  <c r="D81" i="3"/>
  <c r="D34" i="5"/>
  <c r="I50" i="5"/>
  <c r="K50" i="5" s="1"/>
  <c r="D94" i="3"/>
  <c r="O26" i="5"/>
  <c r="L73" i="5"/>
  <c r="W50" i="5"/>
  <c r="F58" i="5"/>
  <c r="F39" i="5"/>
  <c r="Q52" i="4"/>
  <c r="L66" i="5"/>
  <c r="L67" i="5"/>
  <c r="M68" i="5"/>
  <c r="W58" i="5"/>
  <c r="AH770" i="11"/>
  <c r="O40" i="4"/>
  <c r="U31" i="5"/>
  <c r="X31" i="5" s="1"/>
  <c r="I31" i="5"/>
  <c r="H7" i="3"/>
  <c r="C31" i="5"/>
  <c r="O31" i="5" s="1"/>
  <c r="C78" i="3"/>
  <c r="AH768" i="11"/>
  <c r="O38" i="4"/>
  <c r="I29" i="5"/>
  <c r="K29" i="5" s="1"/>
  <c r="U29" i="5"/>
  <c r="X29" i="5" s="1"/>
  <c r="C103" i="3"/>
  <c r="C56" i="5"/>
  <c r="O56" i="5" s="1"/>
  <c r="Q9" i="9"/>
  <c r="W35" i="5"/>
  <c r="E55" i="5"/>
  <c r="E102" i="3"/>
  <c r="E101" i="3"/>
  <c r="J30" i="5"/>
  <c r="X48" i="5"/>
  <c r="R56" i="4"/>
  <c r="M81" i="5"/>
  <c r="AH14" i="11"/>
  <c r="AK10" i="7" s="1"/>
  <c r="AL10" i="7" s="1"/>
  <c r="J31" i="5"/>
  <c r="V31" i="5"/>
  <c r="W31" i="5"/>
  <c r="O63" i="4"/>
  <c r="V46" i="5"/>
  <c r="V47" i="5"/>
  <c r="X47" i="5" s="1"/>
  <c r="AH776" i="11"/>
  <c r="I37" i="5"/>
  <c r="K37" i="5" s="1"/>
  <c r="U37" i="5"/>
  <c r="X37" i="5" s="1"/>
  <c r="F7" i="4"/>
  <c r="I32" i="4"/>
  <c r="O46" i="4"/>
  <c r="C39" i="5"/>
  <c r="O39" i="5" s="1"/>
  <c r="C86" i="3"/>
  <c r="D43" i="5"/>
  <c r="D90" i="3"/>
  <c r="W53" i="5"/>
  <c r="F27" i="5"/>
  <c r="AH53" i="11"/>
  <c r="J34" i="5"/>
  <c r="V34" i="5"/>
  <c r="W34" i="5"/>
  <c r="O30" i="5"/>
  <c r="AH812" i="11"/>
  <c r="I33" i="4"/>
  <c r="V50" i="5"/>
  <c r="X50" i="5" s="1"/>
  <c r="C25" i="5"/>
  <c r="O25" i="5" s="1"/>
  <c r="M67" i="5"/>
  <c r="K68" i="5"/>
  <c r="K30" i="5"/>
  <c r="Q29" i="9"/>
  <c r="F84" i="3"/>
  <c r="Q30" i="9"/>
  <c r="Q17" i="9"/>
  <c r="E31" i="5"/>
  <c r="E78" i="3"/>
  <c r="C87" i="3"/>
  <c r="C40" i="5"/>
  <c r="O40" i="5" s="1"/>
  <c r="D82" i="3"/>
  <c r="Q15" i="9"/>
  <c r="C29" i="5"/>
  <c r="O29" i="5" s="1"/>
  <c r="C76" i="3"/>
  <c r="E56" i="5"/>
  <c r="E103" i="3"/>
  <c r="C41" i="5"/>
  <c r="O41" i="5" s="1"/>
  <c r="Q31" i="9"/>
  <c r="K57" i="5"/>
  <c r="D53" i="5"/>
  <c r="O53" i="5" s="1"/>
  <c r="AH110" i="11"/>
  <c r="V55" i="5"/>
  <c r="J55" i="5"/>
  <c r="W55" i="5"/>
  <c r="W30" i="5"/>
  <c r="K47" i="5"/>
  <c r="K81" i="5"/>
  <c r="F78" i="3"/>
  <c r="F31" i="5"/>
  <c r="W47" i="5"/>
  <c r="K26" i="5"/>
  <c r="B7" i="3"/>
  <c r="C84" i="3"/>
  <c r="C37" i="5"/>
  <c r="O37" i="5" s="1"/>
  <c r="D30" i="5"/>
  <c r="AH62" i="11"/>
  <c r="J43" i="5"/>
  <c r="W43" i="5"/>
  <c r="V43" i="5"/>
  <c r="AE392" i="11"/>
  <c r="U392" i="11"/>
  <c r="V392" i="11"/>
  <c r="W392" i="11"/>
  <c r="AF44" i="3"/>
  <c r="H49" i="5"/>
  <c r="H96" i="3"/>
  <c r="D92" i="5"/>
  <c r="C96" i="3"/>
  <c r="L75" i="5"/>
  <c r="AE388" i="11"/>
  <c r="U388" i="11"/>
  <c r="W388" i="11"/>
  <c r="L74" i="5" s="1"/>
  <c r="V388" i="11"/>
  <c r="AB44" i="3"/>
  <c r="H92" i="3"/>
  <c r="H45" i="5"/>
  <c r="E43" i="5"/>
  <c r="E25" i="5"/>
  <c r="L68" i="5"/>
  <c r="D50" i="5"/>
  <c r="O50" i="5" s="1"/>
  <c r="X58" i="5"/>
  <c r="Q27" i="9"/>
  <c r="K58" i="5"/>
  <c r="E87" i="3"/>
  <c r="E40" i="5"/>
  <c r="AH773" i="11"/>
  <c r="U34" i="5"/>
  <c r="X34" i="5" s="1"/>
  <c r="I34" i="5"/>
  <c r="K34" i="5" s="1"/>
  <c r="O43" i="4"/>
  <c r="C100" i="3"/>
  <c r="AH1014" i="11"/>
  <c r="AJ9" i="7" s="1"/>
  <c r="AL9" i="7" s="1"/>
  <c r="M92" i="5"/>
  <c r="K92" i="5"/>
  <c r="L92" i="5"/>
  <c r="D52" i="5"/>
  <c r="D99" i="3"/>
  <c r="R62" i="4"/>
  <c r="V818" i="11"/>
  <c r="E90" i="3" s="1"/>
  <c r="U818" i="11"/>
  <c r="W818" i="11"/>
  <c r="AH818" i="11" s="1"/>
  <c r="AE818" i="11"/>
  <c r="Z56" i="3"/>
  <c r="I41" i="5"/>
  <c r="K41" i="5" s="1"/>
  <c r="AH794" i="11"/>
  <c r="R64" i="4"/>
  <c r="O64" i="4"/>
  <c r="I55" i="5"/>
  <c r="U55" i="5"/>
  <c r="X55" i="5" s="1"/>
  <c r="R61" i="4"/>
  <c r="F55" i="5"/>
  <c r="F102" i="3"/>
  <c r="C49" i="5"/>
  <c r="W41" i="5"/>
  <c r="L81" i="5"/>
  <c r="F33" i="5"/>
  <c r="X26" i="5"/>
  <c r="D48" i="5"/>
  <c r="O48" i="5" s="1"/>
  <c r="V56" i="5"/>
  <c r="V817" i="11"/>
  <c r="U817" i="11"/>
  <c r="C42" i="5" s="1"/>
  <c r="O42" i="5" s="1"/>
  <c r="W817" i="11"/>
  <c r="R48" i="4" s="1"/>
  <c r="AE817" i="11"/>
  <c r="Y56" i="3"/>
  <c r="Q51" i="4"/>
  <c r="G42" i="5"/>
  <c r="G89" i="3"/>
  <c r="E50" i="5"/>
  <c r="M75" i="5"/>
  <c r="E93" i="3"/>
  <c r="AH764" i="11"/>
  <c r="I25" i="5"/>
  <c r="O34" i="4"/>
  <c r="U25" i="5"/>
  <c r="V943" i="11"/>
  <c r="W943" i="11"/>
  <c r="U943" i="11"/>
  <c r="C24" i="5" s="1"/>
  <c r="O24" i="5" s="1"/>
  <c r="G60" i="3"/>
  <c r="AE943" i="11"/>
  <c r="Q32" i="9" s="1"/>
  <c r="Q33" i="4"/>
  <c r="G24" i="5"/>
  <c r="V33" i="5"/>
  <c r="X33" i="5" s="1"/>
  <c r="V802" i="11"/>
  <c r="U802" i="11"/>
  <c r="W802" i="11"/>
  <c r="R33" i="4" s="1"/>
  <c r="G74" i="3"/>
  <c r="AE802" i="11"/>
  <c r="J56" i="3"/>
  <c r="G27" i="5"/>
  <c r="Q36" i="4"/>
  <c r="F57" i="5"/>
  <c r="F104" i="3"/>
  <c r="AH884" i="11"/>
  <c r="I35" i="4"/>
  <c r="AH800" i="11"/>
  <c r="AH947" i="11"/>
  <c r="Q16" i="9"/>
  <c r="D102" i="3"/>
  <c r="D55" i="5"/>
  <c r="AH779" i="11"/>
  <c r="O49" i="4"/>
  <c r="I40" i="5"/>
  <c r="K40" i="5" s="1"/>
  <c r="U40" i="5"/>
  <c r="X40" i="5" s="1"/>
  <c r="R49" i="4"/>
  <c r="C81" i="3"/>
  <c r="C34" i="5"/>
  <c r="O34" i="5" s="1"/>
  <c r="E105" i="3"/>
  <c r="U46" i="5"/>
  <c r="AH35" i="11"/>
  <c r="J52" i="5"/>
  <c r="V52" i="5"/>
  <c r="W52" i="5"/>
  <c r="O62" i="4"/>
  <c r="O50" i="4"/>
  <c r="AH798" i="11"/>
  <c r="K86" i="5"/>
  <c r="F6" i="5"/>
  <c r="L86" i="5"/>
  <c r="M86" i="5"/>
  <c r="O58" i="5"/>
  <c r="C55" i="5"/>
  <c r="O55" i="5" s="1"/>
  <c r="C102" i="3"/>
  <c r="L91" i="5"/>
  <c r="I34" i="4"/>
  <c r="E96" i="3"/>
  <c r="E49" i="5"/>
  <c r="V70" i="11"/>
  <c r="W70" i="11"/>
  <c r="D40" i="1" s="1"/>
  <c r="U70" i="11"/>
  <c r="AH35" i="3"/>
  <c r="AE70" i="11"/>
  <c r="H98" i="3"/>
  <c r="H51" i="5"/>
  <c r="E84" i="3"/>
  <c r="F7" i="3"/>
  <c r="E37" i="5"/>
  <c r="J56" i="5"/>
  <c r="F92" i="5"/>
  <c r="E36" i="5"/>
  <c r="E99" i="3"/>
  <c r="E75" i="3"/>
  <c r="R36" i="4"/>
  <c r="K75" i="5"/>
  <c r="AH782" i="11"/>
  <c r="O52" i="4"/>
  <c r="R52" i="4"/>
  <c r="U43" i="5"/>
  <c r="X43" i="5" s="1"/>
  <c r="I43" i="5"/>
  <c r="K43" i="5" s="1"/>
  <c r="C23" i="5"/>
  <c r="O23" i="5" s="1"/>
  <c r="U820" i="11"/>
  <c r="W820" i="11"/>
  <c r="R53" i="4" s="1"/>
  <c r="V820" i="11"/>
  <c r="AE820" i="11"/>
  <c r="AB56" i="3"/>
  <c r="G92" i="3"/>
  <c r="Q54" i="4"/>
  <c r="G45" i="5"/>
  <c r="W33" i="5"/>
  <c r="C93" i="3"/>
  <c r="D86" i="3"/>
  <c r="V955" i="11"/>
  <c r="W955" i="11"/>
  <c r="AH955" i="11" s="1"/>
  <c r="U955" i="11"/>
  <c r="C83" i="3" s="1"/>
  <c r="AE955" i="11"/>
  <c r="S60" i="3"/>
  <c r="AH834" i="11"/>
  <c r="L87" i="5"/>
  <c r="K87" i="5"/>
  <c r="M87" i="5"/>
  <c r="AH870" i="11"/>
  <c r="M88" i="5"/>
  <c r="L88" i="5"/>
  <c r="K88" i="5"/>
  <c r="W803" i="11"/>
  <c r="V803" i="11"/>
  <c r="E28" i="5" s="1"/>
  <c r="U803" i="11"/>
  <c r="C28" i="5" s="1"/>
  <c r="O28" i="5" s="1"/>
  <c r="G75" i="3"/>
  <c r="Q37" i="4"/>
  <c r="K56" i="3"/>
  <c r="AE803" i="11"/>
  <c r="G28" i="5"/>
  <c r="U23" i="5"/>
  <c r="X23" i="5" s="1"/>
  <c r="G5" i="5"/>
  <c r="J5" i="1"/>
  <c r="C90" i="3"/>
  <c r="C43" i="5"/>
  <c r="O43" i="5" s="1"/>
  <c r="J33" i="5"/>
  <c r="K33" i="5" s="1"/>
  <c r="V963" i="11"/>
  <c r="E44" i="5" s="1"/>
  <c r="W963" i="11"/>
  <c r="R57" i="4" s="1"/>
  <c r="U963" i="11"/>
  <c r="C36" i="5" s="1"/>
  <c r="O36" i="5" s="1"/>
  <c r="AE963" i="11"/>
  <c r="Q28" i="9" s="1"/>
  <c r="AA60" i="3"/>
  <c r="D57" i="5"/>
  <c r="O57" i="5" s="1"/>
  <c r="D104" i="3"/>
  <c r="Q8" i="9"/>
  <c r="AH804" i="11"/>
  <c r="AH52" i="11"/>
  <c r="L53" i="5" l="1"/>
  <c r="T53" i="5"/>
  <c r="T33" i="5"/>
  <c r="L33" i="5"/>
  <c r="R43" i="4"/>
  <c r="C91" i="3"/>
  <c r="AK8" i="7"/>
  <c r="F44" i="5"/>
  <c r="F91" i="3"/>
  <c r="E79" i="3"/>
  <c r="E32" i="5"/>
  <c r="L40" i="5"/>
  <c r="T40" i="5"/>
  <c r="C75" i="3"/>
  <c r="L39" i="5"/>
  <c r="T39" i="5"/>
  <c r="B5" i="1"/>
  <c r="X46" i="5"/>
  <c r="AH803" i="11"/>
  <c r="I28" i="5"/>
  <c r="K28" i="5" s="1"/>
  <c r="U28" i="5"/>
  <c r="X28" i="5" s="1"/>
  <c r="O37" i="4"/>
  <c r="W28" i="5"/>
  <c r="AH820" i="11"/>
  <c r="R54" i="4"/>
  <c r="I45" i="5"/>
  <c r="O54" i="4"/>
  <c r="U45" i="5"/>
  <c r="R46" i="4"/>
  <c r="AH771" i="11"/>
  <c r="AJ7" i="7" s="1"/>
  <c r="I32" i="5"/>
  <c r="K32" i="5" s="1"/>
  <c r="O41" i="4"/>
  <c r="R41" i="4"/>
  <c r="U32" i="5"/>
  <c r="X32" i="5" s="1"/>
  <c r="W32" i="5"/>
  <c r="K46" i="5"/>
  <c r="T41" i="5"/>
  <c r="L41" i="5"/>
  <c r="AH961" i="11"/>
  <c r="I37" i="4"/>
  <c r="M65" i="5"/>
  <c r="D44" i="5"/>
  <c r="C11" i="5" s="1"/>
  <c r="D91" i="3"/>
  <c r="C79" i="3"/>
  <c r="C32" i="5"/>
  <c r="O32" i="5" s="1"/>
  <c r="E92" i="3"/>
  <c r="E45" i="5"/>
  <c r="AH802" i="11"/>
  <c r="O36" i="4"/>
  <c r="U27" i="5"/>
  <c r="X27" i="5" s="1"/>
  <c r="W27" i="5"/>
  <c r="I27" i="5"/>
  <c r="K27" i="5" s="1"/>
  <c r="H5" i="1"/>
  <c r="C6" i="5"/>
  <c r="F5" i="5"/>
  <c r="H5" i="5" s="1"/>
  <c r="C27" i="5"/>
  <c r="O27" i="5" s="1"/>
  <c r="C74" i="3"/>
  <c r="AH943" i="11"/>
  <c r="K90" i="5"/>
  <c r="M90" i="5"/>
  <c r="L90" i="5"/>
  <c r="I24" i="5"/>
  <c r="K24" i="5" s="1"/>
  <c r="U24" i="5"/>
  <c r="X24" i="5" s="1"/>
  <c r="O33" i="4"/>
  <c r="G7" i="5"/>
  <c r="AH963" i="11"/>
  <c r="AK6" i="7" s="1"/>
  <c r="O45" i="4"/>
  <c r="L65" i="5"/>
  <c r="C92" i="3"/>
  <c r="C45" i="5"/>
  <c r="D98" i="3"/>
  <c r="D51" i="5"/>
  <c r="E83" i="3"/>
  <c r="C44" i="5"/>
  <c r="O44" i="5" s="1"/>
  <c r="E27" i="5"/>
  <c r="E74" i="3"/>
  <c r="K55" i="5"/>
  <c r="F92" i="3"/>
  <c r="F45" i="5"/>
  <c r="AH392" i="11"/>
  <c r="V49" i="5"/>
  <c r="W49" i="5"/>
  <c r="J49" i="5"/>
  <c r="H7" i="4"/>
  <c r="W36" i="5"/>
  <c r="R37" i="4"/>
  <c r="L38" i="5"/>
  <c r="T38" i="5"/>
  <c r="O51" i="5"/>
  <c r="AH44" i="11"/>
  <c r="J25" i="5"/>
  <c r="W25" i="5"/>
  <c r="V25" i="5"/>
  <c r="X25" i="5" s="1"/>
  <c r="R39" i="4"/>
  <c r="Q7" i="9"/>
  <c r="R34" i="4"/>
  <c r="AH388" i="11"/>
  <c r="V45" i="5"/>
  <c r="J45" i="5"/>
  <c r="W45" i="5"/>
  <c r="AJ6" i="7"/>
  <c r="F49" i="5"/>
  <c r="F96" i="3"/>
  <c r="T57" i="5"/>
  <c r="L57" i="5"/>
  <c r="L37" i="5"/>
  <c r="T37" i="5"/>
  <c r="K31" i="5"/>
  <c r="D5" i="1"/>
  <c r="AK7" i="7"/>
  <c r="E64" i="1" s="1"/>
  <c r="K49" i="5"/>
  <c r="L23" i="5"/>
  <c r="T23" i="5"/>
  <c r="C35" i="5"/>
  <c r="O35" i="5" s="1"/>
  <c r="C82" i="3"/>
  <c r="L54" i="5"/>
  <c r="T54" i="5"/>
  <c r="I36" i="5"/>
  <c r="K36" i="5" s="1"/>
  <c r="L85" i="5"/>
  <c r="AH70" i="11"/>
  <c r="J51" i="5"/>
  <c r="K51" i="5" s="1"/>
  <c r="W51" i="5"/>
  <c r="V51" i="5"/>
  <c r="X51" i="5" s="1"/>
  <c r="G6" i="5"/>
  <c r="H6" i="5" s="1"/>
  <c r="L43" i="5"/>
  <c r="T43" i="5"/>
  <c r="F51" i="5"/>
  <c r="F98" i="3"/>
  <c r="AH817" i="11"/>
  <c r="O51" i="4"/>
  <c r="I42" i="5"/>
  <c r="K42" i="5" s="1"/>
  <c r="W42" i="5"/>
  <c r="R50" i="4"/>
  <c r="U42" i="5"/>
  <c r="X42" i="5" s="1"/>
  <c r="R51" i="4"/>
  <c r="L58" i="5"/>
  <c r="T58" i="5"/>
  <c r="D45" i="5"/>
  <c r="D92" i="3"/>
  <c r="AJ8" i="7"/>
  <c r="D49" i="5"/>
  <c r="O49" i="5" s="1"/>
  <c r="D96" i="3"/>
  <c r="L47" i="5"/>
  <c r="T47" i="5"/>
  <c r="R45" i="4"/>
  <c r="R38" i="4"/>
  <c r="K74" i="5"/>
  <c r="K56" i="5"/>
  <c r="X49" i="5"/>
  <c r="AH774" i="11"/>
  <c r="U35" i="5"/>
  <c r="X35" i="5" s="1"/>
  <c r="O44" i="4"/>
  <c r="I35" i="5"/>
  <c r="K35" i="5" s="1"/>
  <c r="R44" i="4"/>
  <c r="M85" i="5"/>
  <c r="U36" i="5"/>
  <c r="X36" i="5" s="1"/>
  <c r="O53" i="4"/>
  <c r="R47" i="4"/>
  <c r="C7" i="5"/>
  <c r="E91" i="3"/>
  <c r="R35" i="4"/>
  <c r="L29" i="5"/>
  <c r="T29" i="5"/>
  <c r="R40" i="4"/>
  <c r="T48" i="5"/>
  <c r="L48" i="5"/>
  <c r="X56" i="5"/>
  <c r="AH827" i="11"/>
  <c r="O61" i="4"/>
  <c r="I52" i="5"/>
  <c r="K52" i="5" s="1"/>
  <c r="U52" i="5"/>
  <c r="X52" i="5" s="1"/>
  <c r="R55" i="4"/>
  <c r="W24" i="5"/>
  <c r="U44" i="5"/>
  <c r="K25" i="5"/>
  <c r="R32" i="4"/>
  <c r="E42" i="5"/>
  <c r="E89" i="3"/>
  <c r="L34" i="5"/>
  <c r="T34" i="5"/>
  <c r="F5" i="1"/>
  <c r="C5" i="5"/>
  <c r="L26" i="5"/>
  <c r="T26" i="5"/>
  <c r="L30" i="5"/>
  <c r="T30" i="5"/>
  <c r="F7" i="5"/>
  <c r="H7" i="5" s="1"/>
  <c r="T50" i="5"/>
  <c r="L50" i="5"/>
  <c r="C52" i="5"/>
  <c r="O52" i="5" s="1"/>
  <c r="C99" i="3"/>
  <c r="AH63" i="11"/>
  <c r="V44" i="5"/>
  <c r="W44" i="5"/>
  <c r="J44" i="5"/>
  <c r="E35" i="5"/>
  <c r="E82" i="3"/>
  <c r="M74" i="5"/>
  <c r="X53" i="5"/>
  <c r="I44" i="5"/>
  <c r="C89" i="3"/>
  <c r="R42" i="4"/>
  <c r="AL7" i="7" l="1"/>
  <c r="D64" i="1"/>
  <c r="F64" i="1" s="1"/>
  <c r="J6" i="5"/>
  <c r="I6" i="5"/>
  <c r="L51" i="5"/>
  <c r="T51" i="5"/>
  <c r="L35" i="5"/>
  <c r="T35" i="5"/>
  <c r="C8" i="5"/>
  <c r="C10" i="5"/>
  <c r="L27" i="5"/>
  <c r="T27" i="5"/>
  <c r="L46" i="5"/>
  <c r="T46" i="5"/>
  <c r="J7" i="5"/>
  <c r="I7" i="5"/>
  <c r="L42" i="5"/>
  <c r="T42" i="5"/>
  <c r="X44" i="5"/>
  <c r="X45" i="5"/>
  <c r="L28" i="5"/>
  <c r="T28" i="5"/>
  <c r="T31" i="5"/>
  <c r="L31" i="5"/>
  <c r="M26" i="5"/>
  <c r="M23" i="5"/>
  <c r="M32" i="5"/>
  <c r="M37" i="5"/>
  <c r="M30" i="5"/>
  <c r="K63" i="1"/>
  <c r="E63" i="1"/>
  <c r="K45" i="5"/>
  <c r="T56" i="5"/>
  <c r="L56" i="5"/>
  <c r="AL8" i="7"/>
  <c r="J64" i="1"/>
  <c r="D65" i="1"/>
  <c r="L36" i="5"/>
  <c r="T36" i="5"/>
  <c r="T49" i="5"/>
  <c r="L49" i="5"/>
  <c r="F11" i="5"/>
  <c r="C16" i="5"/>
  <c r="C17" i="5" s="1"/>
  <c r="L5" i="1" s="1"/>
  <c r="F15" i="5"/>
  <c r="I5" i="5"/>
  <c r="J5" i="5"/>
  <c r="T32" i="5"/>
  <c r="L32" i="5"/>
  <c r="C12" i="5"/>
  <c r="K44" i="5"/>
  <c r="AL6" i="7"/>
  <c r="H40" i="1" s="1"/>
  <c r="L40" i="1" s="1"/>
  <c r="D63" i="1"/>
  <c r="F63" i="1" s="1"/>
  <c r="J63" i="1"/>
  <c r="L63" i="1" s="1"/>
  <c r="O45" i="5"/>
  <c r="C13" i="5" s="1"/>
  <c r="L24" i="5"/>
  <c r="T24" i="5"/>
  <c r="K64" i="1"/>
  <c r="E65" i="1"/>
  <c r="L52" i="5"/>
  <c r="T52" i="5"/>
  <c r="T25" i="5"/>
  <c r="L25" i="5"/>
  <c r="T55" i="5"/>
  <c r="L55" i="5"/>
  <c r="M36" i="5" l="1"/>
  <c r="M24" i="5"/>
  <c r="M34" i="5"/>
  <c r="M31" i="5"/>
  <c r="M39" i="5"/>
  <c r="M42" i="5"/>
  <c r="T45" i="5"/>
  <c r="L45" i="5"/>
  <c r="F65" i="1"/>
  <c r="M27" i="5"/>
  <c r="M33" i="5"/>
  <c r="M41" i="5"/>
  <c r="L64" i="1"/>
  <c r="M28" i="5"/>
  <c r="M46" i="5"/>
  <c r="M25" i="5"/>
  <c r="M38" i="5"/>
  <c r="M40" i="5"/>
  <c r="L44" i="5"/>
  <c r="M54" i="5" s="1"/>
  <c r="T44" i="5"/>
  <c r="M29" i="5"/>
  <c r="M35" i="5"/>
  <c r="M43" i="5"/>
  <c r="C14" i="5"/>
  <c r="C15" i="5" s="1"/>
  <c r="M51" i="5" l="1"/>
  <c r="M49" i="5"/>
  <c r="M45" i="5"/>
  <c r="M56" i="5"/>
  <c r="M53" i="5"/>
  <c r="M52" i="5"/>
  <c r="M50" i="5"/>
  <c r="M48" i="5"/>
  <c r="M57" i="5"/>
  <c r="M44" i="5"/>
  <c r="M55" i="5"/>
  <c r="M58" i="5"/>
  <c r="M4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5" authorId="0" shapeId="0" xr:uid="{00000000-0006-0000-0600-000001000000}">
      <text>
        <r>
          <rPr>
            <sz val="10"/>
            <rFont val="Arial"/>
            <family val="2"/>
          </rPr>
          <t>Texte libre : PRD, DEV1, DEV2, INT1, INT2… La clé unique est ID + Environnement + Couloir.</t>
        </r>
      </text>
    </comment>
    <comment ref="G5" authorId="0" shapeId="0" xr:uid="{00000000-0006-0000-0600-000002000000}">
      <text>
        <r>
          <rPr>
            <sz val="10"/>
            <rFont val="Arial"/>
            <family val="2"/>
          </rPr>
          <t>Migré : déjà sur ROKS (dans la capacité actuelle), IKS déjà libéré.
À migrer : ajout ROKS au provisionnement, libération IKS au mois de libération.
À décommissionner : aucune ressource ROKS, IKS libéré au mois de libération (= décommission).
Décommissionné : inventaire uniquement, sans effet.</t>
        </r>
      </text>
    </comment>
    <comment ref="H5" authorId="0" shapeId="0" xr:uid="{00000000-0006-0000-0600-000003000000}">
      <text>
        <r>
          <rPr>
            <sz val="10"/>
            <rFont val="Arial"/>
            <family val="2"/>
          </rPr>
          <t>Obligatoire pour « À migrer ». « Oui » = déploiement déjà compté dans la capacité ROKS initiale (non ajouté une seconde fois).</t>
        </r>
      </text>
    </comment>
    <comment ref="J5" authorId="0" shapeId="0" xr:uid="{00000000-0006-0000-0600-000004000000}">
      <text>
        <r>
          <rPr>
            <sz val="10"/>
            <rFont val="Arial"/>
            <family val="2"/>
          </rPr>
          <t>Aide au choix du cluster ROKS (arbre de décision, cf. Paramètres &amp; ABS colonnes R-T). Purement indicatif : n'affecte ni les calculs ni les contrôles. Renseigner ces 4 questions avant de choisir le « Cluster ROKS cible ».</t>
        </r>
      </text>
    </comment>
    <comment ref="P5" authorId="0" shapeId="0" xr:uid="{00000000-0006-0000-0600-000005000000}">
      <text>
        <r>
          <rPr>
            <sz val="10"/>
            <rFont val="Arial"/>
            <family val="2"/>
          </rPr>
          <t>Calculé : P95 lu dans l'onglet Dynatrace (clé ID + Environnement + Couloir). Forçage possible en colonnes AQ/AR (groupe replié).</t>
        </r>
      </text>
    </comment>
    <comment ref="S5" authorId="0" shapeId="0" xr:uid="{00000000-0006-0000-0600-000006000000}">
      <text>
        <r>
          <rPr>
            <sz val="10"/>
            <rFont val="Arial"/>
            <family val="2"/>
          </rPr>
          <t>Calculé : part de la capacité IKS du cluster proportionnelle à la conso Dynatrace du déploiement. Forçage possible en colonne AO/AP (groupe replié).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700-000001000000}">
      <text>
        <r>
          <rPr>
            <sz val="10"/>
            <rFont val="Arial"/>
            <family val="2"/>
          </rPr>
          <t>Cluster IKS d'où provient la mesure. Une valeur pointant vers un cluster ROKS est une erreur : l'extraction sert à dimensionner ROKS à partir de ce qui tourne encore sur IKS, migré ou non.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R5" authorId="0" shapeId="0" xr:uid="{00000000-0006-0000-0800-000001000000}">
      <text>
        <r>
          <rPr>
            <sz val="10"/>
            <rFont val="Arial"/>
            <family val="2"/>
          </rPr>
          <t>Optionnel, IKS uniquement. Mois de fermeture du cluster : coût IKS nul à partir de ce mois. Vide = calcul automatique si Paramètres C18 = Oui (dernière libération).</t>
        </r>
      </text>
    </comment>
    <comment ref="V5" authorId="0" shapeId="0" xr:uid="{00000000-0006-0000-0800-000002000000}">
      <text>
        <r>
          <rPr>
            <sz val="10"/>
            <rFont val="Arial"/>
            <family val="2"/>
          </rPr>
          <t>Calculé : conso IKS des déploiements encore présents (colonne IKS source) + besoin ROKS dimensionné (avec marge, à partir du P95 IKS) des déploiements « Migré » et « À migrer » ciblant ce cluster, rapportés à sa capacité initiale. Alerte au-delà de 66 %. Ne couvre que les charges inventoriées.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20" authorId="0" shapeId="0" xr:uid="{00000000-0006-0000-0900-000001000000}">
      <text>
        <r>
          <rPr>
            <sz val="10"/>
            <rFont val="Arial"/>
            <family val="2"/>
          </rPr>
          <t>Tarifs FICTIFS (22 €/vCPU + 2,8 €/Go IKS ; 30 €/vCPU + 3,2 €/Go ROKS), exprimés dans la périodicité C10.</t>
        </r>
      </text>
    </comment>
  </commentList>
</comments>
</file>

<file path=xl/sharedStrings.xml><?xml version="1.0" encoding="utf-8"?>
<sst xmlns="http://schemas.openxmlformats.org/spreadsheetml/2006/main" count="896" uniqueCount="499">
  <si>
    <t>Dashboard – coûts mensuels de la migration IKS → ROKS</t>
  </si>
  <si>
    <t>Données recalculées automatiquement depuis Synthèse. La courbe suit l'horizon défini dans Paramètres &amp; ABS.</t>
  </si>
  <si>
    <t>Coût total</t>
  </si>
  <si>
    <t>Coût IKS</t>
  </si>
  <si>
    <t>Coût ROKS</t>
  </si>
  <si>
    <t>Surcoût double run</t>
  </si>
  <si>
    <t>Écart vs sans migration</t>
  </si>
  <si>
    <t>Contrôles</t>
  </si>
  <si>
    <t xml:space="preserve">Période : </t>
  </si>
  <si>
    <t>Environnement :</t>
  </si>
  <si>
    <t>Tous</t>
  </si>
  <si>
    <t>← Tous / PRD / NPRD : filtre les indicateurs et la courbe</t>
  </si>
  <si>
    <t>Lecture : l'écart entre la courbe IKS qui baisse et ROKS qui monte matérialise la bascule ; la courbe verte montre le surcoût des mois payés en double (double run).</t>
  </si>
  <si>
    <t>Toutes les courbes sont en € par mois, sur le même axe.</t>
  </si>
  <si>
    <t>Répartition des coûts par tribe et par domaine (horizon, périmètre du filtre C8)</t>
  </si>
  <si>
    <t>Coût des clusters :</t>
  </si>
  <si>
    <t>Affecté aux déploiements :</t>
  </si>
  <si>
    <t>Socle / non affecté :</t>
  </si>
  <si>
    <t>Clé : ROKS dès le provisionnement selon le besoin (vCPU + poids × Go) ; IKS jusqu'à la libération selon les ressources libérables. Socle = capacité initiale et planchers non attribués.</t>
  </si>
  <si>
    <t>Tribe</t>
  </si>
  <si>
    <t>Domaine</t>
  </si>
  <si>
    <t>Coût IKS €</t>
  </si>
  <si>
    <t>Coût ROKS €</t>
  </si>
  <si>
    <t>Coût total €</t>
  </si>
  <si>
    <t>Avancement de la migration</t>
  </si>
  <si>
    <t>Déploiements par action, par tribe, domaine et environnement ; frise des migrations prévues. Filtres ligne 4.</t>
  </si>
  <si>
    <t>Environnement</t>
  </si>
  <si>
    <t>Mois de référence</t>
  </si>
  <si>
    <t>Migrés</t>
  </si>
  <si>
    <t>À migrer</t>
  </si>
  <si>
    <t>À décommissionner</t>
  </si>
  <si>
    <t>Décommissionnés</t>
  </si>
  <si>
    <t>Traités au mois de référence</t>
  </si>
  <si>
    <t>% traité au mois de référence</t>
  </si>
  <si>
    <t>Traité = Migré ou Décommissionné, plus les déploiements « À migrer » / « À décommissionner » dont l'IKS est libéré au mois de référence.</t>
  </si>
  <si>
    <t>Répartition par tribe et par domaine (nombre de déploiements)</t>
  </si>
  <si>
    <t>Migré</t>
  </si>
  <si>
    <t>Décommissionné</t>
  </si>
  <si>
    <t>Total</t>
  </si>
  <si>
    <t>PRD</t>
  </si>
  <si>
    <t>NPRD</t>
  </si>
  <si>
    <t>Données de la frise (graphique)</t>
  </si>
  <si>
    <t>Mois</t>
  </si>
  <si>
    <t>Bascules</t>
  </si>
  <si>
    <t>Décommissions</t>
  </si>
  <si>
    <t>Traités cumulés</t>
  </si>
  <si>
    <t>% traité cumulé</t>
  </si>
  <si>
    <t>Capacités IKS → ROKS</t>
  </si>
  <si>
    <t>Évolution mensuelle CPU, RAM et workers ; matrice clusters × mois (vert = extension ROKS, orange = réduction IKS, gris = cluster IKS fermé).</t>
  </si>
  <si>
    <t>Mesure de la matrice</t>
  </si>
  <si>
    <t>Workers</t>
  </si>
  <si>
    <t>CPU IKS (vCPU)</t>
  </si>
  <si>
    <t>CPU ROKS (vCPU)</t>
  </si>
  <si>
    <t>RAM IKS (Go)</t>
  </si>
  <si>
    <t>RAM ROKS (Go)</t>
  </si>
  <si>
    <t>Workers IKS</t>
  </si>
  <si>
    <t>Workers ROKS</t>
  </si>
  <si>
    <t>Valeurs au mois de référence (capacité provisionnée = workers × flavor).</t>
  </si>
  <si>
    <t>Évolution mensuelle</t>
  </si>
  <si>
    <t>Matrice clusters × mois (mesure choisie en F4)</t>
  </si>
  <si>
    <t>Cluster</t>
  </si>
  <si>
    <t>Plateforme</t>
  </si>
  <si>
    <t>Env</t>
  </si>
  <si>
    <t>Flavor</t>
  </si>
  <si>
    <t>Extinction IKS / DMZR PaaS V4</t>
  </si>
  <si>
    <t>Déploiements restant sur IKS, clusters à fermer, calendrier de fermeture et coût IKS résiduel jusqu'à zéro.</t>
  </si>
  <si>
    <t>Déploiements restant sur IKS</t>
  </si>
  <si>
    <t>Clusters IKS ouverts</t>
  </si>
  <si>
    <t>Coût IKS du mois</t>
  </si>
  <si>
    <t>Coût IKS résiduel (jusqu'à la fin)</t>
  </si>
  <si>
    <t>Extinction IKS prévue</t>
  </si>
  <si>
    <t>Mois restants</t>
  </si>
  <si>
    <t>Au mois de référence. Extinction = dernière fermeture de cluster IKS (Clusters, colonnes R-S) ; « Non planifiée » si un cluster IKS n'a pas de date de fermeture.</t>
  </si>
  <si>
    <t>Trajectoire d'extinction</t>
  </si>
  <si>
    <t>Calendrier de fermeture des clusters IKS</t>
  </si>
  <si>
    <t>Cluster IKS</t>
  </si>
  <si>
    <t>Workers au mois de réf.</t>
  </si>
  <si>
    <t>Déploiements restants</t>
  </si>
  <si>
    <t>Dernière libération prévue</t>
  </si>
  <si>
    <t>Fermeture retenue</t>
  </si>
  <si>
    <t>Statut</t>
  </si>
  <si>
    <t>Coût IKS résiduel</t>
  </si>
  <si>
    <t>Coût IKS mensuel</t>
  </si>
  <si>
    <t>Coût IKS résiduel cumulé</t>
  </si>
  <si>
    <t>Déploiements restant sur IKS au mois de référence (filtrés, par ordre de saisie)</t>
  </si>
  <si>
    <t>ID</t>
  </si>
  <si>
    <t>Application</t>
  </si>
  <si>
    <t>Couloir</t>
  </si>
  <si>
    <t>Action</t>
  </si>
  <si>
    <t>Mois de libération</t>
  </si>
  <si>
    <t>CPU IKS libérable</t>
  </si>
  <si>
    <t>Synthèse – migration IKS → ROKS</t>
  </si>
  <si>
    <t>Capacités = capacité provisionnée (workers × flavor), cohérente avec le coût. Besoins avant arrondi et scénarios de comparaison en détail (colonnes P-T).</t>
  </si>
  <si>
    <t>Indicateurs clés (horizon)</t>
  </si>
  <si>
    <t>Valeur</t>
  </si>
  <si>
    <t>Par environnement</t>
  </si>
  <si>
    <t>Coût total IKS + ROKS</t>
  </si>
  <si>
    <t>Surcoût du double run</t>
  </si>
  <si>
    <t>Détail des anomalies</t>
  </si>
  <si>
    <t>Nombre</t>
  </si>
  <si>
    <t>Où regarder</t>
  </si>
  <si>
    <t>Écart vs sans migration (capacités initiales constantes)</t>
  </si>
  <si>
    <t>Applications</t>
  </si>
  <si>
    <t>Applications, colonne AB (cellules rouges)</t>
  </si>
  <si>
    <t>Pic CPU provisionné ROKS (vCPU)</t>
  </si>
  <si>
    <t>Clusters (dont capacité)</t>
  </si>
  <si>
    <t>Clusters, colonne Q (max workers, flavor…)</t>
  </si>
  <si>
    <t>Pic RAM provisionnée ROKS (Go)</t>
  </si>
  <si>
    <t>Dynatrace</t>
  </si>
  <si>
    <t>Dynatrace, colonne L (cluster observé, doublons…)</t>
  </si>
  <si>
    <t>Pic CPU provisionné IKS + ROKS (vCPU)</t>
  </si>
  <si>
    <t>Paramètres</t>
  </si>
  <si>
    <t>Paramètres &amp; ABS, colonne E</t>
  </si>
  <si>
    <t>Pic de coût mensuel</t>
  </si>
  <si>
    <t>Filtre Dashboard</t>
  </si>
  <si>
    <t>Dashboard, cellule C8</t>
  </si>
  <si>
    <t>Mois du pic de coût</t>
  </si>
  <si>
    <t>Informations (non bloquantes)</t>
  </si>
  <si>
    <t>Hors horizon, PRD avant NPRD : non comptées</t>
  </si>
  <si>
    <t>Nombre d'anomalies</t>
  </si>
  <si>
    <t>Statut des contrôles</t>
  </si>
  <si>
    <t>Vue mensuelle consolidée</t>
  </si>
  <si>
    <t>N°</t>
  </si>
  <si>
    <t>CPU provisionné IKS</t>
  </si>
  <si>
    <t>CPU provisionné ROKS</t>
  </si>
  <si>
    <t>RAM provisionnée IKS (Go)</t>
  </si>
  <si>
    <t>RAM provisionnée ROKS (Go)</t>
  </si>
  <si>
    <t>Surcoût double run mensuel €</t>
  </si>
  <si>
    <t>Surcoût double run cumulé €</t>
  </si>
  <si>
    <t>Applis en double run</t>
  </si>
  <si>
    <t>CPU provisionné IKS+ROKS</t>
  </si>
  <si>
    <t>Détail – besoin CPU ROKS</t>
  </si>
  <si>
    <t>Détail – besoin RAM ROKS (Go)</t>
  </si>
  <si>
    <t>Détail – coût sans double run €</t>
  </si>
  <si>
    <t>Détail – coût sans migration €</t>
  </si>
  <si>
    <t>Détail – écart vs sans migration €</t>
  </si>
  <si>
    <t>Sélection Dashboard – coût IKS €</t>
  </si>
  <si>
    <t>Sélection Dashboard – coût ROKS €</t>
  </si>
  <si>
    <t>Sélection Dashboard – surcoût double run €</t>
  </si>
  <si>
    <t>Sélection Dashboard – coût total €</t>
  </si>
  <si>
    <t>Vue par cluster (horizon)</t>
  </si>
  <si>
    <t>CPU provisionné M1</t>
  </si>
  <si>
    <t>CPU provisionné fin</t>
  </si>
  <si>
    <t>RAM provisionnée M1</t>
  </si>
  <si>
    <t>RAM provisionnée fin</t>
  </si>
  <si>
    <t>Workers M1</t>
  </si>
  <si>
    <t>Workers fin</t>
  </si>
  <si>
    <t>Besoin CPU fin</t>
  </si>
  <si>
    <t>Besoin RAM fin</t>
  </si>
  <si>
    <t>Surcoût double run €</t>
  </si>
  <si>
    <t>Écart vs sans migration €</t>
  </si>
  <si>
    <t>Projection capacités &amp; coûts – migration IKS → ROKS (v4.9)</t>
  </si>
  <si>
    <t>Démo : 3 applications, 10 déploiements PRD / NPRD, 36 mois. Sans macro. Recalcul automatique après toute modification de planning, ressources ou tarifs.</t>
  </si>
  <si>
    <t>1. Onglets</t>
  </si>
  <si>
    <t>Lecture rapide : 4 dashboards en tête de fichier ; 3 onglets de saisie (Applications, Clusters, Paramètres &amp; ABS) ; Synthèse pour le détail mensuel. L'onglet Calculs (moteur) est masqué.</t>
  </si>
  <si>
    <t>Dashboards : Dashboard (financier), Avancement (actions, tribes, domaines, planning), Capacités (CPU/RAM/workers, matrice clusters × mois), Extinction IKS (restant, fermetures, coût résiduel). Filtres en ligne 4 de chaque dashboard.</t>
  </si>
  <si>
    <t>Saisie (4 zones) : Applications (inventaire et planning) · Dynatrace (P95 CPU/RAM par déploiement) · Clusters · Paramètres &amp; ABS. Résultats : Dashboard (filtre Tous / PRD / NPRD en C8) et Synthèse (ventilation PRD / NPRD). Moteur : Calculs (ne rien saisir).</t>
  </si>
  <si>
    <t>2. Unités</t>
  </si>
  <si>
    <t>CPU en vCPU, RAM en Go, coûts en € par mois. Tarifs saisis convertis via la périodicité (Annuel ÷ 12, Horaire × 730).</t>
  </si>
  <si>
    <t>3. Convention mensuelle</t>
  </si>
  <si>
    <t>On saisit des mois ; toute date est ramenée au 1er du mois. Mois de provisionnement : ROKS facturé en totalité.</t>
  </si>
  <si>
    <t>Mois de libération : IKS non facturé dès ce mois. Double run = mois de libération − mois de provisionnement. La bascule sert aux contrôles, pas à la facturation.</t>
  </si>
  <si>
    <t>4. Règles de calcul</t>
  </si>
  <si>
    <t>Besoin appli ROKS = ARRONDI.SUP(conso Dynatrace × (1 + marge)) ; marge spécifique (colonnes avancées V-W) prioritaire sur la marge globale.</t>
  </si>
  <si>
    <t>Besoin ROKS(mois) = capacité initiale + Σ besoins des déploiements « Action = À migrer » et « Déjà incluse ROKS = Non » provisionnées au plus tard ce mois.</t>
  </si>
  <si>
    <t>Besoin IKS(mois) = MAX(plancher ; capacité initiale − Σ ressources libérables des applis libérées au plus tard ce mois). CPU et RAM séparément.</t>
  </si>
  <si>
    <t>Capacité provisionnée = workers × flavor, avec workers = MAX(workers min ; ARRONDI.SUP(MAX(besoin CPU / vCPU flavor ; besoin RAM / RAM flavor))).</t>
  </si>
  <si>
    <t>Coût (mode Nœud, défaut) = workers × tarif du flavor. Mode Unitaire (si ABS facture à l'unité) : besoin CPU × €/vCPU + besoin RAM × €/Go.</t>
  </si>
  <si>
    <t>Écart budgétaire = coût planning − coût sans migration (capacités initiales constantes).</t>
  </si>
  <si>
    <t>Fermeture IKS : un cluster IKS fermé (Clusters colonne R saisie, ou automatique au mois de la dernière libération si Paramètres C18 = Oui) ne coûte plus rien à partir de ce mois.</t>
  </si>
  <si>
    <t xml:space="preserve">   Le mode automatique suppose un inventaire complet : si des charges non inventoriées restent sur le cluster, saisir la date réelle ou passer C18 à Non.</t>
  </si>
  <si>
    <t>Coût par tribe / domaine : le coût de chaque cluster est réparti entre déploiements. ROKS (dès le provisionnement) : part = (besoin vCPU + poids × Go) / besoin du cluster.</t>
  </si>
  <si>
    <t xml:space="preserve">   IKS (jusqu'à la libération) : part = (libérable vCPU + poids × Go) / besoin du cluster. Le reste (capacité initiale, planchers) = « Socle / non affecté ». Poids : Paramètres C17.</t>
  </si>
  <si>
    <t>Surcoût double run = coût planning − coût de la même migration avec libération IKS dès le mois de provisionnement ROKS.</t>
  </si>
  <si>
    <t>5. Hypothèses explicites</t>
  </si>
  <si>
    <t>La capacité ROKS initiale n'absorbe pas les nouvelles applications : leurs besoins s'ajoutent (règle demandée). Évolution possible : consommer d'abord la capacité libre.</t>
  </si>
  <si>
    <t>Une appli arrêtée ne génère d'économie IKS que si « IKS libérable » &gt; 0 (ressources réellement déprovisionnables, souvent par worker entier).</t>
  </si>
  <si>
    <t>6. Contrôles</t>
  </si>
  <si>
    <t>Colonnes repliées dans Applications : calculs intermédiaires (T-AA), coûts affectés et rangs (AE-AI), options avancées (AC-AK). Cliquer sur le + en haut des colonnes pour les afficher.</t>
  </si>
  <si>
    <t>Applications : environnement cohérent avec les clusters, doublon ID + env + couloir, PRD avant NPRD (info), champs obligatoires (dont Domaine, Tribe, « Déjà incluse ROKS »), ID en doublon, ressource non numérique ou négative, mois invalide, cluster inconnu, dates incohérentes, libération &gt; capacité source, hors horizon (info).</t>
  </si>
  <si>
    <t>Clusters : données manquantes, workers non numériques ou négatifs, flavor inconnu, doublon, plancher &gt; initial, workers &gt; max ROKS, libérations cumulées &gt; capacité libérable.</t>
  </si>
  <si>
    <t>Capacité : plancher IKS atteint et max workers ROKS dépassé remontent dans Clusters colonne Q (une anomalie par cluster, avec le nombre de mois). Total en Synthèse C16, détail en E9:J14. Une ligne vide dans Clusters est ignorée sans décaler les suivants.</t>
  </si>
  <si>
    <t>Occupation des clusters (Clusters, colonnes V à X) : conso IKS de ce qui est encore là + besoin ROKS dimensionné (avec marge, à partir du P95 IKS) des déploiements « Migré » et « À migrer » ciblant ce cluster, rapportés à sa capacité initiale — pour un capacity planning ROKS avant toute bascule réelle. Alerte indicative (non comptée en anomalie) au-delà de 66 %. Ne couvre que les charges inventoriées dans Applications.</t>
  </si>
  <si>
    <t>7. Notice – passer aux données réelles</t>
  </si>
  <si>
    <t>a) Paramètres &amp; ABS : mois de début, horizon (≤ 36), marges ; remplacer les tarifs de la grille et passer « Nature tarif » à Réel ; confirmer le mode de facturation ABS.</t>
  </si>
  <si>
    <t>b) Clusters : coller l'inventaire (DMZR = IKS, AsCode = ROKS). Écrire le flavor exactement comme dans la grille (bx2-32x128, pas bx2.32x128).</t>
  </si>
  <si>
    <t>c) Applications : UNE LIGNE PAR DÉPLOIEMENT (application × environnement × couloir). Répéter Domaine, Tribe, ID et Application ; jamais de cellules fusionnées.</t>
  </si>
  <si>
    <t xml:space="preserve">   Action : Migré (déjà sur ROKS, dans la capacité actuelle ; seule une part du coût ROKS lui est affectée) · À migrer (ajout ROKS + libération IKS + double run)</t>
  </si>
  <si>
    <t xml:space="preserve">   · À décommissionner (libération IKS au mois de « libération », sans ROKS) · Décommissionné (inventaire, sans effet). Les champs obligatoires dépendent de l'action.</t>
  </si>
  <si>
    <t xml:space="preserve">   Domaine et Tribe : choisis dans le référentiel (Paramètres &amp; ABS, colonnes J-M) ; la tribe doit appartenir au domaine.</t>
  </si>
  <si>
    <t xml:space="preserve">   Aide au choix du cluster (colonnes AN-AR, avant de renseigner « Cluster ROKS cible ») : répondre aux 4 questions Oui/Non de l'arbre de décision (données secrètes, RGPD/sécurité, isolement fort, volume/atypique).</t>
  </si>
  <si>
    <t xml:space="preserve">   La colonne « Cluster ROKS recommandé » indique Dédié ou Mutualisé. Purement indicatif : n'affecte aucun calcul, sert seulement à orienter le choix du cluster réel.</t>
  </si>
  <si>
    <t xml:space="preserve">   Libération IKS : calculée automatiquement (colonnes N-O) = capacité du cluster IKS × part de la conso Dynatrace du déploiement. Rien à saisir.</t>
  </si>
  <si>
    <t xml:space="preserve">   Quand tous les déploiements d'un cluster IKS sont partis, sa capacité tombe à zéro. Forçage possible en colonnes AJ-AK (groupe replié) si l'infra donne un nombre de workers précis.</t>
  </si>
  <si>
    <t xml:space="preserve">   Environnement = PRD ou NPRD (doit correspondre à l'environnement des clusters) ; Couloir libre (PRD, DEV1, DEV2, INT1, INT2…). Clé unique : ID + Environnement + Couloir.</t>
  </si>
  <si>
    <t xml:space="preserve">   Conso : saisie dans l'onglet Dynatrace, UNIQUEMENT pour les applications qui tournent encore sur IKS (avant migration) — une ligne par ID + Environnement + Couloir. Lue automatiquement dans Applications (colonnes K-L), y compris pour les déploiements déjà « Migré » : le P95 IKS reste la seule mesure fiable pour dimensionner ROKS. Forçage en AL-AM.</t>
  </si>
  <si>
    <t xml:space="preserve">   Conso Dynatrace par namespace/couloir (préciser P95 ou moyenne et période), clusters source/cible, mois issus du planning de Vincent.</t>
  </si>
  <si>
    <t xml:space="preserve">   Filtres : utiliser les flèches d'en-tête, ou Insertion &gt; Segment sur le tableau (Domaine, Tribe, Environnement) pour des boutons de filtre.</t>
  </si>
  <si>
    <t>d) Renseigner « Déjà incluse ROKS » pour chaque déploiement ; ne forcer la libération IKS que si l'équipe infra donne un nombre de workers précis.</t>
  </si>
  <si>
    <t>e) Remplacer ou effacer les données de démonstration SANS supprimer les lignes des tableaux, puis vérifier Synthèse C16 = 0.</t>
  </si>
  <si>
    <t>Limites du modèle préconstruit : 40 clusters, 300 lignes de déploiement, 36 mois. Les références structurées couvrent les données, mais le moteur Calculs</t>
  </si>
  <si>
    <t>reste dimensionné à 40 × 36 lignes, la vue par cluster à 40 lignes et le tableau mensuel à 36 mois. Au-delà : ajouter des lignes au tableau</t>
  </si>
  <si>
    <t>concerné et recopier ses formules jusqu'en bas (et, pour les clusters, étendre aussi Calculs et la vue par cluster).</t>
  </si>
  <si>
    <t>Validations : les listes Oui/Non, Plateforme, Flavor et clusters bloquent toute valeur hors liste (alerte Arrêt). Un collage peut contourner la validation : les contrôles le signalent.</t>
  </si>
  <si>
    <t>Workers : nombres entiers imposés (Clusters). Tarifs et marges : validés à la saisie et contrôlés (Paramètres &amp; ABS colonne E, Clusters, Applications).</t>
  </si>
  <si>
    <t>8. Statut des données</t>
  </si>
  <si>
    <t>Réel (captures) : grille flavors ABS (vCPU/RAM), structure de l'inventaire clusters, règles BP2I (6–18 workers).</t>
  </si>
  <si>
    <t>Démo : noms de clusters et d'applis, consos Dynatrace, mois, tarifs €, ressources libérables.</t>
  </si>
  <si>
    <t>Manquant : tarifs ABS réels et mode de facturation, planning de Vincent, exports Dynatrace, inventaire applicatif avec mapping source/cible.</t>
  </si>
  <si>
    <t>9. Évolutions (suite revues)</t>
  </si>
  <si>
    <t>Capacité provisionnée affichée (cohérente avec le coût) · lignes vides de Clusters gérées · « Déjà incluse ROKS » obligatoire, contrôles doublons/négatifs · références structurées · graphiques dynamiques · 6 onglets.</t>
  </si>
  <si>
    <t>V3 : validations bloquantes (Arrêt) · contrôle explicite des valeurs Oui/Non et Plateforme · INDEX protégés · Synthèse en premier onglet · résultats enregistrés dans le fichier.</t>
  </si>
  <si>
    <t>V4.9 : correction du controle Dynatrace (Cle/Utilisee dans Applications) casse par le deplacement de colonnes de la V4.8.</t>
  </si>
  <si>
    <t>V4.8 : les 5 colonnes d aide au choix du cluster deplacees avant Cluster ROKS cible dans Applications (colonnes J a N).</t>
  </si>
  <si>
    <t>V4.7 : aide au choix du cluster ROKS (arbre de décision : données secrètes, RGPD/sécurité, isolement fort, volume/atypique) dans Applications, colonnes AN-AR. Seuils dans Paramètres &amp; ABS, colonnes R-T.</t>
  </si>
  <si>
    <t>V4.6 : correction — l'onglet Dynatrace ne doit contenir que la conso IKS (avant migration) ; l'occupation ROKS utilise le besoin dimensionné (Migré et À migrer) au lieu d'une conso Dynatrace prise à tort pour de la mesure ROKS.</t>
  </si>
  <si>
    <t>V4.4 : taux d occupation CPU et RAM (pic sur l horizon) et alerte au-dela de 66% dans l onglet Clusters.</t>
  </si>
  <si>
    <t>V4.3 : onglet Dynatrace dédié (extraction P95 par déploiement) ; Applications lit la conso automatiquement.</t>
  </si>
  <si>
    <t>V4.2 : inventaire complet des 30 clusters (DMZR + AsCode) ; démonstration limitée à un couple de clusters ; clusters incomplets signalés en information.</t>
  </si>
  <si>
    <t>V4.1 : démonstration basée sur les clusters réels de l inventaire (ku002i000249 et ku002i000246 côté DMZR, oc002i000577 et oc002i000578 côté AsCode).</t>
  </si>
  <si>
    <t>V4.0 : libération IKS automatique (plus de saisie CPU/RAM libérables), onglet Frise supprimé, onglet Calculs masqué, colonnes techniques repliées.</t>
  </si>
  <si>
    <t>V3.9 : dashboards Avancement, Capacités et Extinction IKS ; fermeture des clusters IKS (saisie ou automatique) permettant un coût IKS résiduel nul.</t>
  </si>
  <si>
    <t>V3.8 : colonne Action (Migré / À migrer / À décommissionner / Décommissionné) remplace « À migrer », contrôles et calculs adaptés à chaque action.</t>
  </si>
  <si>
    <t>V3.7 : détail des anomalies par source en Synthèse (E9:J14), alertes de capacité comptées une fois par cluster, contrôles non OK surlignés en rouge.</t>
  </si>
  <si>
    <t>V3.6 : référentiel Domaines/Tribes, répartition des coûts par déploiement, Dashboard coût IKS/ROKS par tribe et par domaine.</t>
  </si>
  <si>
    <t>V3.5 : Domaine et Tribe, une ligne par déploiement (environnement + couloir), contrôles de cohérence d'environnement, ventilation et filtre PRD / NPRD.</t>
  </si>
  <si>
    <t>V3.1 : workers entiers imposés · contrôle des tarifs (grille et unitaires) et des marges globales et spécifiques.</t>
  </si>
  <si>
    <t>Cellule de saisie (police bleue, fond jaune)</t>
  </si>
  <si>
    <t>Cellule calculée (fond gris) – ne pas modifier</t>
  </si>
  <si>
    <t>Applications – une ligne par déploiement (application × environnement × couloir)</t>
  </si>
  <si>
    <t>Inventaire réel des clusters ; démonstration limitée à ku002i000249 (IKS) → oc002i000577 (ROKS), volumétries et dates fictives. Répéter Domaine, Tribe, ID et Application sur chaque couloir. Pas de cellules fusionnées. Action : Migré / À migrer / À décommissionner / Décommissionné (champs obligatoires selon l'action). Colonnes AH-AI = options avancées. Données DÉMO.</t>
  </si>
  <si>
    <t>Légende :</t>
  </si>
  <si>
    <t>Saisie</t>
  </si>
  <si>
    <t>Calculé</t>
  </si>
  <si>
    <t>Déjà incluse ROKS</t>
  </si>
  <si>
    <t>Cluster IKS source</t>
  </si>
  <si>
    <t>Données secrètes / sensibles ?</t>
  </si>
  <si>
    <t>Contraintes sécurité / RGPD fortes ?</t>
  </si>
  <si>
    <t>Isolement fort requis ?</t>
  </si>
  <si>
    <t>Volume important / atypique ?</t>
  </si>
  <si>
    <t>Cluster ROKS recommandé (aide)</t>
  </si>
  <si>
    <t>Cluster ROKS cible</t>
  </si>
  <si>
    <t>CPU Dynatrace (vCPU)</t>
  </si>
  <si>
    <t>RAM Dynatrace (Go)</t>
  </si>
  <si>
    <t>Source Dynatrace</t>
  </si>
  <si>
    <t>CPU IKS libérable (vCPU)</t>
  </si>
  <si>
    <t>RAM IKS libérable (Go)</t>
  </si>
  <si>
    <t>Mois provisionnement ROKS</t>
  </si>
  <si>
    <t>Mois bascule</t>
  </si>
  <si>
    <t>Mois libération IKS</t>
  </si>
  <si>
    <t>Nature</t>
  </si>
  <si>
    <t>Besoin ROKS CPU (vCPU)</t>
  </si>
  <si>
    <t>Besoin ROKS RAM (Go)</t>
  </si>
  <si>
    <t>Mois prov (calc)</t>
  </si>
  <si>
    <t>Mois lib (calc)</t>
  </si>
  <si>
    <t>Double run (mois)</t>
  </si>
  <si>
    <t>Couloirs de l'appli</t>
  </si>
  <si>
    <t>Début migration appli</t>
  </si>
  <si>
    <t>Fin migration appli</t>
  </si>
  <si>
    <t>Contrôle</t>
  </si>
  <si>
    <t>Marge CPU spécifique</t>
  </si>
  <si>
    <t>Marge RAM spécifique</t>
  </si>
  <si>
    <t>Coût IKS affecté (€)</t>
  </si>
  <si>
    <t>Coût ROKS affecté (€)</t>
  </si>
  <si>
    <t>Coût total affecté (€)</t>
  </si>
  <si>
    <t>Sur IKS au mois d'extinction</t>
  </si>
  <si>
    <t>Rang extinction</t>
  </si>
  <si>
    <t>CPU IKS libérable forcé</t>
  </si>
  <si>
    <t>RAM IKS libérable forcé</t>
  </si>
  <si>
    <t>CPU Dynatrace forcé</t>
  </si>
  <si>
    <t>RAM Dynatrace forcé</t>
  </si>
  <si>
    <t>Distribution</t>
  </si>
  <si>
    <t>Parcours client</t>
  </si>
  <si>
    <t>APP-01</t>
  </si>
  <si>
    <t>Portail assuré (démo)</t>
  </si>
  <si>
    <t>Non</t>
  </si>
  <si>
    <t>ku002i000249</t>
  </si>
  <si>
    <t>oc002i000577</t>
  </si>
  <si>
    <t>Démo</t>
  </si>
  <si>
    <t>Tarification</t>
  </si>
  <si>
    <t>APP-02</t>
  </si>
  <si>
    <t>Moteur tarification (démo)</t>
  </si>
  <si>
    <t>Indemnisation</t>
  </si>
  <si>
    <t>Sinistres</t>
  </si>
  <si>
    <t>APP-03</t>
  </si>
  <si>
    <t>API sinistres (démo)</t>
  </si>
  <si>
    <t>APP-04</t>
  </si>
  <si>
    <t>Extranet partenaires (démo)</t>
  </si>
  <si>
    <t>APP-05</t>
  </si>
  <si>
    <t>Batch éditique (démo)</t>
  </si>
  <si>
    <t>Extraction Dynatrace – P95 sur IKS avant migration</t>
  </si>
  <si>
    <t>Une ligne par déploiement (ID + Environnement + Couloir). Uniquement les applications tournant sur IKS aujourd'hui : cette conso sert à dimensionner le besoin ROKS. Données DÉMO.</t>
  </si>
  <si>
    <t>Namespace / entité Dynatrace</t>
  </si>
  <si>
    <t>Cluster IKS observé</t>
  </si>
  <si>
    <t>CPU P95 (vCPU)</t>
  </si>
  <si>
    <t>RAM P95 (Go)</t>
  </si>
  <si>
    <t>Métrique / période</t>
  </si>
  <si>
    <t>Date d'extraction</t>
  </si>
  <si>
    <t>Clé</t>
  </si>
  <si>
    <t>Utilisée dans Applications</t>
  </si>
  <si>
    <t>ns-portail-assure-prd</t>
  </si>
  <si>
    <t>P95 30 j – fictif</t>
  </si>
  <si>
    <t>ns-tarification-prd</t>
  </si>
  <si>
    <t>ns-api-sinistres-prd</t>
  </si>
  <si>
    <t>ns-extranet-partenaires-prd</t>
  </si>
  <si>
    <t>ns-batch-editique-prd</t>
  </si>
  <si>
    <t>Clusters IKS et ROKS</t>
  </si>
  <si>
    <t>Noms et flavors repris de l'inventaire (DMZR = IKS, AsCode = ROKS) ; workers à vérifier. Capacité initiale = workers × flavor. Lignes vides autorisées ; effacer plutôt que supprimer une ligne. Capacité : 30 clusters. Données DÉMO.</t>
  </si>
  <si>
    <t>Compte</t>
  </si>
  <si>
    <t>Utilisation</t>
  </si>
  <si>
    <t>Workers initial</t>
  </si>
  <si>
    <t>vCPU par nœud</t>
  </si>
  <si>
    <t>RAM par nœud (Go)</t>
  </si>
  <si>
    <t>CPU initial (vCPU)</t>
  </si>
  <si>
    <t>RAM initiale (Go)</t>
  </si>
  <si>
    <t>Workers min</t>
  </si>
  <si>
    <t>CPU min (vCPU)</t>
  </si>
  <si>
    <t>RAM min (Go)</t>
  </si>
  <si>
    <t>Tarif par nœud</t>
  </si>
  <si>
    <t>Mois de fermeture (saisie)</t>
  </si>
  <si>
    <t>Rang capacités</t>
  </si>
  <si>
    <t>Occupation CPU (pic)</t>
  </si>
  <si>
    <t>Occupation RAM (pic)</t>
  </si>
  <si>
    <t>Alerte occupation</t>
  </si>
  <si>
    <t>ROKS</t>
  </si>
  <si>
    <t>ac002i000296</t>
  </si>
  <si>
    <t>Mutualisé GIE France</t>
  </si>
  <si>
    <t>bx3d.8x40</t>
  </si>
  <si>
    <t>oc002i000578</t>
  </si>
  <si>
    <t>ac002i000293</t>
  </si>
  <si>
    <t>cx3d.32x80</t>
  </si>
  <si>
    <t>oc002i000807</t>
  </si>
  <si>
    <t>Mutualisé Secret GIE France</t>
  </si>
  <si>
    <t>bx3d.16x80</t>
  </si>
  <si>
    <t>oc002i000809</t>
  </si>
  <si>
    <t>oc002i000849</t>
  </si>
  <si>
    <t>ac002i000411</t>
  </si>
  <si>
    <t>Italy No Secret Hors-Prod</t>
  </si>
  <si>
    <t>oc002i000850</t>
  </si>
  <si>
    <t>ac002i000365</t>
  </si>
  <si>
    <t>Italy No Secret Prod</t>
  </si>
  <si>
    <t>oc002i001009</t>
  </si>
  <si>
    <t>(à qualifier)</t>
  </si>
  <si>
    <t>oc002i001010</t>
  </si>
  <si>
    <t>LATAM Hors-Prod</t>
  </si>
  <si>
    <t>oc002i001011</t>
  </si>
  <si>
    <t>oc002i001019</t>
  </si>
  <si>
    <t>LATAM SECRET PROD</t>
  </si>
  <si>
    <t>oc-EMEA-NPR</t>
  </si>
  <si>
    <t>EMEA Non Secret Hors-Prod</t>
  </si>
  <si>
    <t>oc-EMEA-NOS-PRD</t>
  </si>
  <si>
    <t>EMEA Non Secret Prod</t>
  </si>
  <si>
    <t>oc-EMEA-SEC-PRD</t>
  </si>
  <si>
    <t>EMEA Secret Prod</t>
  </si>
  <si>
    <t>oc-JUMP-AEP-PRD</t>
  </si>
  <si>
    <t>JUMP AEP PROD</t>
  </si>
  <si>
    <t>oc-JUMP-CLV-PRD</t>
  </si>
  <si>
    <t>JUMP CLV PROD</t>
  </si>
  <si>
    <t>oc-JUMP-AEP-NPR</t>
  </si>
  <si>
    <t>JUMP AEP NON PROD</t>
  </si>
  <si>
    <t>oc-JUMP-CLV-NPR</t>
  </si>
  <si>
    <t>JUMP CLV NON PROD</t>
  </si>
  <si>
    <t>oc002i001021</t>
  </si>
  <si>
    <t>ac002i000461</t>
  </si>
  <si>
    <t>PREZ-I GIE PROD</t>
  </si>
  <si>
    <t>oc002i001016</t>
  </si>
  <si>
    <t>ac002i000442</t>
  </si>
  <si>
    <t>PREZ-I GIE HORS-PROD</t>
  </si>
  <si>
    <t>oc-LATAM-NOS-PRD</t>
  </si>
  <si>
    <t>LATAM NO-SEC PROD</t>
  </si>
  <si>
    <t>oc-ITALY-SEC-PRD</t>
  </si>
  <si>
    <t>Italy Secret Prod</t>
  </si>
  <si>
    <t>IKS</t>
  </si>
  <si>
    <t>Mutualisé</t>
  </si>
  <si>
    <t>bx2-32x128</t>
  </si>
  <si>
    <t>ku002i000246</t>
  </si>
  <si>
    <t>ku002i000510</t>
  </si>
  <si>
    <t>PREZ-i</t>
  </si>
  <si>
    <t>bx2-8x32</t>
  </si>
  <si>
    <t>ku002i000565</t>
  </si>
  <si>
    <t>ku002i000829</t>
  </si>
  <si>
    <t>JUMP AEP</t>
  </si>
  <si>
    <t>mx2-64x512</t>
  </si>
  <si>
    <t>ku002i000908</t>
  </si>
  <si>
    <t>JUMP CLV</t>
  </si>
  <si>
    <t>mx2-32x256</t>
  </si>
  <si>
    <t>ku002i001021</t>
  </si>
  <si>
    <t>ku002i001071</t>
  </si>
  <si>
    <t>ku002i001098</t>
  </si>
  <si>
    <t>Italy HORS-PROD</t>
  </si>
  <si>
    <t>Paramètres et grille ABS</t>
  </si>
  <si>
    <t>DÉMO : tarifs fictifs à remplacer par la grille ABS réelle.</t>
  </si>
  <si>
    <t>Paramètre</t>
  </si>
  <si>
    <t>Commentaire / source</t>
  </si>
  <si>
    <t>Oui/Non</t>
  </si>
  <si>
    <t>Plateformes</t>
  </si>
  <si>
    <t>Modes</t>
  </si>
  <si>
    <t>Périodicité</t>
  </si>
  <si>
    <t>Environnements</t>
  </si>
  <si>
    <t>Actions</t>
  </si>
  <si>
    <t>Aide au choix du cluster ROKS</t>
  </si>
  <si>
    <t>Mois de début de projection (M1)</t>
  </si>
  <si>
    <t>1er du mois</t>
  </si>
  <si>
    <t>Oui</t>
  </si>
  <si>
    <t>Nœud</t>
  </si>
  <si>
    <t>Mensuel</t>
  </si>
  <si>
    <t>Réel</t>
  </si>
  <si>
    <t>Seuil CPU pour cluster dédié (vCPU)</t>
  </si>
  <si>
    <t>Volume important au sens de l'arbre de décision</t>
  </si>
  <si>
    <t>Horizon (mois, 1 à 36)</t>
  </si>
  <si>
    <t>Tableaux et graphiques s'adaptent automatiquement</t>
  </si>
  <si>
    <t>Unitaire</t>
  </si>
  <si>
    <t>Annuel</t>
  </si>
  <si>
    <t>Seuil RAM pour cluster dédié (Go)</t>
  </si>
  <si>
    <t>Dernier mois de l'horizon</t>
  </si>
  <si>
    <t>Horaire</t>
  </si>
  <si>
    <t>Hypothèse</t>
  </si>
  <si>
    <t>Marge de dimensionnement CPU</t>
  </si>
  <si>
    <t>Sur la conso Dynatrace (hypothèse démo)</t>
  </si>
  <si>
    <t>Cluster dédié si (dans cet ordre) :</t>
  </si>
  <si>
    <t>Marge de dimensionnement RAM</t>
  </si>
  <si>
    <t>1. Données secrètes / sensibles</t>
  </si>
  <si>
    <t>Mode de tarification</t>
  </si>
  <si>
    <t>Nœud = workers × tarif flavor (défaut) ; Unitaire = à confirmer avec ABS</t>
  </si>
  <si>
    <t>2. Contraintes de sécurité fortes ou spécifiques (RGPD, région à compliance forte)</t>
  </si>
  <si>
    <t>Périodicité des tarifs saisis</t>
  </si>
  <si>
    <t>Mensuel / Annuel / Horaire (730 h/mois)</t>
  </si>
  <si>
    <t>3. Isolement fort requis (performance, criticité)</t>
  </si>
  <si>
    <t>Facteur de conversion en €/mois</t>
  </si>
  <si>
    <t>4. Volume important (≥ seuils ci-dessus) ou projet atypique</t>
  </si>
  <si>
    <t>Mode Unitaire – IKS €/vCPU</t>
  </si>
  <si>
    <t>FICTIF</t>
  </si>
  <si>
    <t>Sinon → cluster mutualisé.</t>
  </si>
  <si>
    <t>Mode Unitaire – IKS €/Go RAM</t>
  </si>
  <si>
    <t>Mode Unitaire – ROKS €/vCPU</t>
  </si>
  <si>
    <t>Mode Unitaire – ROKS €/Go RAM</t>
  </si>
  <si>
    <t>Nb max de workers par cluster ROKS</t>
  </si>
  <si>
    <t>Préconisation BP2I/ITGP (6 à 18 workers)</t>
  </si>
  <si>
    <t>Clé d'allocation : poids de 1 Go RAM (en vCPU)</t>
  </si>
  <si>
    <t>Répartition du coût des clusters par déploiement : clé = vCPU + poids × Go</t>
  </si>
  <si>
    <t>Fermeture automatique des clusters IKS</t>
  </si>
  <si>
    <t>Oui = cluster IKS fermé au mois de sa dernière libération (inventaire complet requis)</t>
  </si>
  <si>
    <t>Grille ABS – flavors (vCPU/RAM réels : capture ABS-DMZR-2026-05 ; tarifs FICTIFS)</t>
  </si>
  <si>
    <t>Référentiel Domaines / Tribes (listes déroulantes et contrôles de l'onglet Applications)</t>
  </si>
  <si>
    <t>Infra</t>
  </si>
  <si>
    <t>Nature tarif</t>
  </si>
  <si>
    <t>Domaine de la tribe</t>
  </si>
  <si>
    <t>Filtre domaines</t>
  </si>
  <si>
    <t>Filtre tribes</t>
  </si>
  <si>
    <t>AsCode</t>
  </si>
  <si>
    <t>cx3d.8x20</t>
  </si>
  <si>
    <t>cx3d.16x40</t>
  </si>
  <si>
    <t>mx3d.24x240</t>
  </si>
  <si>
    <t>bx3d.32x160</t>
  </si>
  <si>
    <t>mx3d.32x320</t>
  </si>
  <si>
    <t>bx3d.48x240</t>
  </si>
  <si>
    <t>cx3d.96x240</t>
  </si>
  <si>
    <t>DMZR</t>
  </si>
  <si>
    <t>bx2-4x16</t>
  </si>
  <si>
    <t>mx2-4x32</t>
  </si>
  <si>
    <t>cx2-8x16</t>
  </si>
  <si>
    <t>mx2-8x64</t>
  </si>
  <si>
    <t>cx2-16x32</t>
  </si>
  <si>
    <t>bx2-16x64</t>
  </si>
  <si>
    <t>mx2-16x128</t>
  </si>
  <si>
    <t>cx2-32x64</t>
  </si>
  <si>
    <t>cx2-48x96</t>
  </si>
  <si>
    <t>bx2-48x192</t>
  </si>
  <si>
    <t>mx2-48x384</t>
  </si>
  <si>
    <t>mx2-128x1024</t>
  </si>
  <si>
    <t>Calculs – projection par cluster et par mois (ne rien saisir)</t>
  </si>
  <si>
    <t>1440 lignes = 40 clusters × 36 mois. Une ligne est active si son cluster est renseigné et valide, et si le mois est dans l'horizon.</t>
  </si>
  <si>
    <t>k</t>
  </si>
  <si>
    <t>Idx cluster</t>
  </si>
  <si>
    <t>Idx mois</t>
  </si>
  <si>
    <t>Actif</t>
  </si>
  <si>
    <t>RAM par nœud</t>
  </si>
  <si>
    <t>CPU initial</t>
  </si>
  <si>
    <t>RAM initiale</t>
  </si>
  <si>
    <t>CPU min</t>
  </si>
  <si>
    <t>RAM min</t>
  </si>
  <si>
    <t>Δ CPU cumulé</t>
  </si>
  <si>
    <t>Δ RAM cumulé</t>
  </si>
  <si>
    <t>Besoin CPU</t>
  </si>
  <si>
    <t>Besoin RAM</t>
  </si>
  <si>
    <t>CPU provisionné</t>
  </si>
  <si>
    <t>RAM provisionnée</t>
  </si>
  <si>
    <t>Coût mensuel</t>
  </si>
  <si>
    <t>Sans DR – besoin CPU</t>
  </si>
  <si>
    <t>Sans DR – besoin RAM</t>
  </si>
  <si>
    <t>Sans DR – workers</t>
  </si>
  <si>
    <t>Sans DR – coût</t>
  </si>
  <si>
    <t>Sans migration – workers</t>
  </si>
  <si>
    <t>Sans migration – coût</t>
  </si>
  <si>
    <t>Alerte plancher IKS</t>
  </si>
  <si>
    <t>Alerte max workers</t>
  </si>
  <si>
    <t>Valeur besoin</t>
  </si>
  <si>
    <t>Coût par unité</t>
  </si>
  <si>
    <t>Fermé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</si>
</sst>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€&quot;;\-#,##0&quot; €&quot;;\-"/>
    <numFmt numFmtId="165" formatCode="mm/dd/yy"/>
    <numFmt numFmtId="166" formatCode="#,##0.0"/>
    <numFmt numFmtId="167" formatCode="#,##0&quot; €&quot;"/>
    <numFmt numFmtId="168" formatCode="#,##0.00&quot; €&quot;"/>
  </numFmts>
  <fonts count="4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00915A"/>
      <name val="Arial"/>
      <family val="2"/>
    </font>
    <font>
      <i/>
      <sz val="9"/>
      <color rgb="FF7F7F7F"/>
      <name val="Arial"/>
      <family val="2"/>
    </font>
    <font>
      <b/>
      <sz val="10"/>
      <color rgb="FF00915A"/>
      <name val="Arial"/>
      <family val="2"/>
    </font>
    <font>
      <b/>
      <sz val="10"/>
      <color rgb="FFFFFFFF"/>
      <name val="Arial"/>
      <family val="2"/>
    </font>
    <font>
      <b/>
      <sz val="16"/>
      <color rgb="FF5B7DB1"/>
      <name val="Arial"/>
      <family val="2"/>
    </font>
    <font>
      <b/>
      <sz val="16"/>
      <color rgb="FFE69138"/>
      <name val="Arial"/>
      <family val="2"/>
    </font>
    <font>
      <b/>
      <sz val="16"/>
      <color rgb="FF7F7F7F"/>
      <name val="Arial"/>
      <family val="2"/>
    </font>
    <font>
      <b/>
      <sz val="11"/>
      <color rgb="FF7F7F7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rgb="FF0000FF"/>
      <name val="Arial"/>
      <family val="2"/>
    </font>
    <font>
      <sz val="8"/>
      <color rgb="FFBFBFBF"/>
      <name val="Arial"/>
      <family val="2"/>
    </font>
    <font>
      <b/>
      <sz val="12"/>
      <color rgb="FF00915A"/>
      <name val="Arial"/>
      <family val="2"/>
    </font>
    <font>
      <b/>
      <sz val="11"/>
      <name val="Arial"/>
      <family val="2"/>
    </font>
    <font>
      <i/>
      <sz val="8"/>
      <color rgb="FF7F7F7F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7"/>
      <color rgb="FFBFBFBF"/>
      <name val="Arial"/>
      <family val="2"/>
    </font>
    <font>
      <b/>
      <sz val="9"/>
      <color rgb="FFFFFFFF"/>
      <name val="Arial"/>
      <family val="2"/>
    </font>
    <font>
      <b/>
      <sz val="15"/>
      <color rgb="FF2E75B6"/>
      <name val="Arial"/>
      <family val="2"/>
    </font>
    <font>
      <b/>
      <sz val="15"/>
      <color rgb="FFBF9000"/>
      <name val="Arial"/>
      <family val="2"/>
    </font>
    <font>
      <b/>
      <sz val="15"/>
      <color rgb="FFE69138"/>
      <name val="Arial"/>
      <family val="2"/>
    </font>
    <font>
      <b/>
      <sz val="15"/>
      <color rgb="FF7F7F7F"/>
      <name val="Arial"/>
      <family val="2"/>
    </font>
    <font>
      <b/>
      <sz val="15"/>
      <color rgb="FF00915A"/>
      <name val="Arial"/>
      <family val="2"/>
    </font>
    <font>
      <b/>
      <sz val="9"/>
      <color rgb="FF7F7F7F"/>
      <name val="Arial"/>
      <family val="2"/>
    </font>
    <font>
      <b/>
      <sz val="15"/>
      <color rgb="FFE03C31"/>
      <name val="Arial"/>
      <family val="2"/>
    </font>
    <font>
      <b/>
      <sz val="8"/>
      <color rgb="FFFFFFFF"/>
      <name val="Arial"/>
      <family val="2"/>
    </font>
    <font>
      <sz val="7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4"/>
      <color rgb="FF00915A"/>
      <name val="Arial"/>
      <family val="2"/>
    </font>
    <font>
      <b/>
      <sz val="12"/>
      <name val="Arial"/>
      <family val="2"/>
    </font>
    <font>
      <sz val="8"/>
      <color rgb="FF7F7F7F"/>
      <name val="Arial"/>
      <family val="2"/>
    </font>
    <font>
      <i/>
      <sz val="9"/>
      <name val="Arial"/>
      <family val="2"/>
    </font>
    <font>
      <b/>
      <sz val="11"/>
      <color rgb="FF00915A"/>
      <name val="Arial"/>
      <family val="2"/>
    </font>
    <font>
      <sz val="10"/>
      <name val="Arial"/>
      <family val="2"/>
    </font>
    <font>
      <sz val="11"/>
      <color rgb="FF0000FF"/>
      <name val="Arial"/>
      <family val="2"/>
    </font>
    <font>
      <sz val="9"/>
      <color rgb="FF7F7F7F"/>
      <name val="Arial"/>
      <family val="2"/>
    </font>
    <font>
      <sz val="14"/>
      <color theme="1"/>
      <name val="Calibri"/>
      <family val="2"/>
      <charset val="1"/>
    </font>
    <font>
      <b/>
      <sz val="14"/>
      <name val="Arial"/>
      <family val="2"/>
    </font>
    <font>
      <i/>
      <sz val="14"/>
      <color rgb="FF7F7F7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915A"/>
        <bgColor rgb="FF008080"/>
      </patternFill>
    </fill>
    <fill>
      <patternFill patternType="solid">
        <fgColor rgb="FF5B7DB1"/>
        <bgColor rgb="FF2E75B6"/>
      </patternFill>
    </fill>
    <fill>
      <patternFill patternType="solid">
        <fgColor rgb="FFE69138"/>
        <bgColor rgb="FFBF9000"/>
      </patternFill>
    </fill>
    <fill>
      <patternFill patternType="solid">
        <fgColor rgb="FF7F7F7F"/>
        <bgColor rgb="FF808080"/>
      </patternFill>
    </fill>
    <fill>
      <patternFill patternType="solid">
        <fgColor rgb="FFFFF2CC"/>
        <bgColor rgb="FFFCE5CD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5B7DB1"/>
      </patternFill>
    </fill>
    <fill>
      <patternFill patternType="solid">
        <fgColor rgb="FFBF9000"/>
        <bgColor rgb="FFE69138"/>
      </patternFill>
    </fill>
    <fill>
      <patternFill patternType="solid">
        <fgColor rgb="FFE03C31"/>
        <bgColor rgb="FF9933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0" fillId="2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12" fillId="6" borderId="1" xfId="0" applyFont="1" applyFill="1" applyBorder="1"/>
    <xf numFmtId="0" fontId="13" fillId="0" borderId="0" xfId="0" applyFont="1"/>
    <xf numFmtId="0" fontId="14" fillId="0" borderId="0" xfId="0" applyFont="1"/>
    <xf numFmtId="164" fontId="15" fillId="7" borderId="1" xfId="0" applyNumberFormat="1" applyFont="1" applyFill="1" applyBorder="1"/>
    <xf numFmtId="0" fontId="16" fillId="0" borderId="0" xfId="0" applyFont="1"/>
    <xf numFmtId="0" fontId="17" fillId="2" borderId="1" xfId="0" applyFont="1" applyFill="1" applyBorder="1" applyAlignment="1">
      <alignment horizontal="center" vertical="center" wrapText="1"/>
    </xf>
    <xf numFmtId="0" fontId="18" fillId="7" borderId="1" xfId="0" applyFont="1" applyFill="1" applyBorder="1"/>
    <xf numFmtId="164" fontId="18" fillId="7" borderId="1" xfId="0" applyNumberFormat="1" applyFont="1" applyFill="1" applyBorder="1"/>
    <xf numFmtId="17" fontId="12" fillId="6" borderId="1" xfId="0" applyNumberFormat="1" applyFont="1" applyFill="1" applyBorder="1"/>
    <xf numFmtId="0" fontId="19" fillId="0" borderId="0" xfId="0" applyFont="1"/>
    <xf numFmtId="165" fontId="19" fillId="0" borderId="0" xfId="0" applyNumberFormat="1" applyFont="1"/>
    <xf numFmtId="0" fontId="15" fillId="0" borderId="0" xfId="0" applyFont="1"/>
    <xf numFmtId="0" fontId="26" fillId="0" borderId="0" xfId="0" applyFont="1"/>
    <xf numFmtId="17" fontId="18" fillId="7" borderId="1" xfId="0" applyNumberFormat="1" applyFont="1" applyFill="1" applyBorder="1"/>
    <xf numFmtId="1" fontId="18" fillId="7" borderId="1" xfId="0" applyNumberFormat="1" applyFont="1" applyFill="1" applyBorder="1"/>
    <xf numFmtId="9" fontId="18" fillId="7" borderId="1" xfId="0" applyNumberFormat="1" applyFont="1" applyFill="1" applyBorder="1"/>
    <xf numFmtId="17" fontId="28" fillId="2" borderId="0" xfId="0" applyNumberFormat="1" applyFont="1" applyFill="1" applyAlignment="1">
      <alignment horizontal="center" vertical="center" textRotation="90"/>
    </xf>
    <xf numFmtId="0" fontId="29" fillId="0" borderId="0" xfId="0" applyFont="1"/>
    <xf numFmtId="0" fontId="30" fillId="0" borderId="0" xfId="0" applyFont="1"/>
    <xf numFmtId="0" fontId="31" fillId="0" borderId="0" xfId="0" applyFont="1"/>
    <xf numFmtId="3" fontId="32" fillId="0" borderId="1" xfId="0" applyNumberFormat="1" applyFont="1" applyBorder="1" applyAlignment="1">
      <alignment horizontal="center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2" fillId="2" borderId="1" xfId="0" applyNumberFormat="1" applyFont="1" applyFill="1" applyBorder="1" applyAlignment="1">
      <alignment horizontal="center"/>
    </xf>
    <xf numFmtId="17" fontId="30" fillId="7" borderId="1" xfId="0" applyNumberFormat="1" applyFont="1" applyFill="1" applyBorder="1"/>
    <xf numFmtId="3" fontId="31" fillId="7" borderId="1" xfId="0" applyNumberFormat="1" applyFont="1" applyFill="1" applyBorder="1"/>
    <xf numFmtId="3" fontId="32" fillId="7" borderId="1" xfId="0" applyNumberFormat="1" applyFont="1" applyFill="1" applyBorder="1" applyAlignment="1">
      <alignment horizontal="center"/>
    </xf>
    <xf numFmtId="3" fontId="18" fillId="7" borderId="1" xfId="0" applyNumberFormat="1" applyFont="1" applyFill="1" applyBorder="1"/>
    <xf numFmtId="17" fontId="31" fillId="0" borderId="0" xfId="0" applyNumberFormat="1" applyFont="1"/>
    <xf numFmtId="166" fontId="31" fillId="0" borderId="0" xfId="0" applyNumberFormat="1" applyFont="1"/>
    <xf numFmtId="0" fontId="33" fillId="0" borderId="0" xfId="0" applyFont="1"/>
    <xf numFmtId="0" fontId="34" fillId="0" borderId="1" xfId="0" applyFont="1" applyBorder="1"/>
    <xf numFmtId="164" fontId="14" fillId="7" borderId="1" xfId="0" applyNumberFormat="1" applyFont="1" applyFill="1" applyBorder="1"/>
    <xf numFmtId="0" fontId="15" fillId="0" borderId="1" xfId="0" applyFont="1" applyBorder="1"/>
    <xf numFmtId="0" fontId="11" fillId="0" borderId="1" xfId="0" applyFont="1" applyBorder="1"/>
    <xf numFmtId="0" fontId="36" fillId="0" borderId="1" xfId="0" applyFont="1" applyBorder="1"/>
    <xf numFmtId="49" fontId="18" fillId="7" borderId="1" xfId="0" applyNumberFormat="1" applyFont="1" applyFill="1" applyBorder="1"/>
    <xf numFmtId="0" fontId="37" fillId="0" borderId="0" xfId="0" applyFont="1"/>
    <xf numFmtId="0" fontId="38" fillId="0" borderId="0" xfId="0" applyFont="1"/>
    <xf numFmtId="0" fontId="39" fillId="6" borderId="1" xfId="0" applyFont="1" applyFill="1" applyBorder="1"/>
    <xf numFmtId="166" fontId="18" fillId="7" borderId="1" xfId="0" applyNumberFormat="1" applyFont="1" applyFill="1" applyBorder="1"/>
    <xf numFmtId="17" fontId="39" fillId="6" borderId="1" xfId="0" applyNumberFormat="1" applyFont="1" applyFill="1" applyBorder="1"/>
    <xf numFmtId="9" fontId="39" fillId="6" borderId="1" xfId="0" applyNumberFormat="1" applyFont="1" applyFill="1" applyBorder="1"/>
    <xf numFmtId="166" fontId="39" fillId="6" borderId="1" xfId="0" applyNumberFormat="1" applyFont="1" applyFill="1" applyBorder="1"/>
    <xf numFmtId="14" fontId="39" fillId="6" borderId="1" xfId="0" applyNumberFormat="1" applyFont="1" applyFill="1" applyBorder="1"/>
    <xf numFmtId="167" fontId="18" fillId="7" borderId="1" xfId="0" applyNumberFormat="1" applyFont="1" applyFill="1" applyBorder="1"/>
    <xf numFmtId="0" fontId="18" fillId="0" borderId="1" xfId="0" applyFont="1" applyBorder="1"/>
    <xf numFmtId="0" fontId="40" fillId="0" borderId="0" xfId="0" applyFont="1"/>
    <xf numFmtId="3" fontId="39" fillId="6" borderId="1" xfId="0" applyNumberFormat="1" applyFont="1" applyFill="1" applyBorder="1"/>
    <xf numFmtId="0" fontId="35" fillId="0" borderId="0" xfId="0" applyFont="1"/>
    <xf numFmtId="168" fontId="39" fillId="6" borderId="1" xfId="0" applyNumberFormat="1" applyFont="1" applyFill="1" applyBorder="1"/>
    <xf numFmtId="167" fontId="39" fillId="6" borderId="1" xfId="0" applyNumberFormat="1" applyFont="1" applyFill="1" applyBorder="1"/>
    <xf numFmtId="17" fontId="11" fillId="0" borderId="0" xfId="0" applyNumberFormat="1" applyFont="1"/>
    <xf numFmtId="167" fontId="11" fillId="0" borderId="0" xfId="0" applyNumberFormat="1" applyFont="1"/>
    <xf numFmtId="1" fontId="21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17" fontId="25" fillId="0" borderId="1" xfId="0" applyNumberFormat="1" applyFont="1" applyBorder="1" applyAlignment="1">
      <alignment horizontal="center" vertical="center"/>
    </xf>
    <xf numFmtId="0" fontId="35" fillId="0" borderId="1" xfId="0" applyFont="1" applyBorder="1"/>
    <xf numFmtId="0" fontId="41" fillId="0" borderId="0" xfId="0" applyFont="1"/>
    <xf numFmtId="0" fontId="42" fillId="0" borderId="0" xfId="0" applyFont="1"/>
    <xf numFmtId="164" fontId="42" fillId="7" borderId="1" xfId="0" applyNumberFormat="1" applyFont="1" applyFill="1" applyBorder="1"/>
    <xf numFmtId="0" fontId="43" fillId="0" borderId="0" xfId="0" applyFont="1"/>
  </cellXfs>
  <cellStyles count="1">
    <cellStyle name="Normal" xfId="0" builtinId="0"/>
  </cellStyles>
  <dxfs count="23">
    <dxf>
      <font>
        <b/>
        <color rgb="FFC00000"/>
      </font>
      <fill>
        <patternFill>
          <bgColor rgb="FFF4CCCC"/>
        </patternFill>
      </fill>
    </dxf>
    <dxf>
      <font>
        <b/>
        <color rgb="FFC00000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/>
        <color rgb="FFC00000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/>
        <color rgb="FFC00000"/>
      </font>
      <fill>
        <patternFill>
          <bgColor rgb="FFF4CCCC"/>
        </patternFill>
      </fill>
    </dxf>
    <dxf>
      <fill>
        <patternFill>
          <bgColor rgb="FFFCE5CD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FFFFFF"/>
      </font>
      <fill>
        <patternFill>
          <bgColor rgb="FF2E75B6"/>
        </patternFill>
      </fill>
    </dxf>
    <dxf>
      <font>
        <b/>
        <color rgb="FFFFFFFF"/>
      </font>
      <fill>
        <patternFill>
          <bgColor rgb="FF674EA7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C00000"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b/>
      </font>
      <fill>
        <patternFill>
          <bgColor rgb="FFF6B26B"/>
        </patternFill>
      </fill>
    </dxf>
    <dxf>
      <font>
        <b/>
      </font>
      <fill>
        <patternFill>
          <bgColor rgb="FF93C47D"/>
        </patternFill>
      </fill>
    </dxf>
    <dxf>
      <font>
        <color rgb="FF808080"/>
      </font>
      <fill>
        <patternFill>
          <bgColor rgb="FFD9D9D9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9000"/>
      <rgbColor rgb="FF800080"/>
      <rgbColor rgb="FF00915A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6B26B"/>
      <rgbColor rgb="FFCC99FF"/>
      <rgbColor rgb="FFF4CCCC"/>
      <rgbColor rgb="FF2E75B6"/>
      <rgbColor rgb="FF33CCCC"/>
      <rgbColor rgb="FF93C47D"/>
      <rgbColor rgb="FFFFCC00"/>
      <rgbColor rgb="FFE69138"/>
      <rgbColor rgb="FFE03C31"/>
      <rgbColor rgb="FF674EA7"/>
      <rgbColor rgb="FF7F7F7F"/>
      <rgbColor rgb="FF003366"/>
      <rgbColor rgb="FF5B7DB1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Coût mensuel, ROKS qui monte, IKS qui descend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Coût ROKS (€)</c:v>
          </c:tx>
          <c:spPr>
            <a:ln w="381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Synthèse!ch_sel_roks</c:f>
              <c:numCache>
                <c:formatCode>#\ ##0" €";\-#\ ##0" €";\-</c:formatCode>
                <c:ptCount val="36"/>
                <c:pt idx="0">
                  <c:v>31584</c:v>
                </c:pt>
                <c:pt idx="1">
                  <c:v>31584</c:v>
                </c:pt>
                <c:pt idx="2">
                  <c:v>31584</c:v>
                </c:pt>
                <c:pt idx="3">
                  <c:v>31584</c:v>
                </c:pt>
                <c:pt idx="4">
                  <c:v>31584</c:v>
                </c:pt>
                <c:pt idx="5">
                  <c:v>31584</c:v>
                </c:pt>
                <c:pt idx="6">
                  <c:v>32320</c:v>
                </c:pt>
                <c:pt idx="7">
                  <c:v>32320</c:v>
                </c:pt>
                <c:pt idx="8">
                  <c:v>32320</c:v>
                </c:pt>
                <c:pt idx="9">
                  <c:v>32320</c:v>
                </c:pt>
                <c:pt idx="10">
                  <c:v>32320</c:v>
                </c:pt>
                <c:pt idx="11">
                  <c:v>32320</c:v>
                </c:pt>
                <c:pt idx="12">
                  <c:v>32320</c:v>
                </c:pt>
                <c:pt idx="13">
                  <c:v>32320</c:v>
                </c:pt>
                <c:pt idx="14">
                  <c:v>32320</c:v>
                </c:pt>
                <c:pt idx="15">
                  <c:v>33056</c:v>
                </c:pt>
                <c:pt idx="16">
                  <c:v>33056</c:v>
                </c:pt>
                <c:pt idx="17">
                  <c:v>33056</c:v>
                </c:pt>
                <c:pt idx="18">
                  <c:v>33056</c:v>
                </c:pt>
                <c:pt idx="19">
                  <c:v>33056</c:v>
                </c:pt>
                <c:pt idx="20">
                  <c:v>33056</c:v>
                </c:pt>
                <c:pt idx="21">
                  <c:v>33056</c:v>
                </c:pt>
                <c:pt idx="22">
                  <c:v>33056</c:v>
                </c:pt>
                <c:pt idx="23">
                  <c:v>33792</c:v>
                </c:pt>
                <c:pt idx="24">
                  <c:v>33792</c:v>
                </c:pt>
                <c:pt idx="25">
                  <c:v>33792</c:v>
                </c:pt>
                <c:pt idx="26">
                  <c:v>33792</c:v>
                </c:pt>
                <c:pt idx="27">
                  <c:v>33792</c:v>
                </c:pt>
                <c:pt idx="28">
                  <c:v>33792</c:v>
                </c:pt>
                <c:pt idx="29">
                  <c:v>33792</c:v>
                </c:pt>
                <c:pt idx="30">
                  <c:v>33792</c:v>
                </c:pt>
                <c:pt idx="31">
                  <c:v>33792</c:v>
                </c:pt>
                <c:pt idx="32">
                  <c:v>33792</c:v>
                </c:pt>
                <c:pt idx="33">
                  <c:v>33792</c:v>
                </c:pt>
                <c:pt idx="34">
                  <c:v>33792</c:v>
                </c:pt>
                <c:pt idx="35">
                  <c:v>33792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C9-DE44-9EE1-5BCBEBB555AC}"/>
            </c:ext>
          </c:extLst>
        </c:ser>
        <c:ser>
          <c:idx val="1"/>
          <c:order val="1"/>
          <c:tx>
            <c:v>Coût IKS (€)</c:v>
          </c:tx>
          <c:spPr>
            <a:ln w="38100">
              <a:solidFill>
                <a:srgbClr val="E03C31"/>
              </a:solidFill>
              <a:prstDash val="solid"/>
            </a:ln>
          </c:spPr>
          <c:marker>
            <c:symbol val="none"/>
          </c:marker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Synthèse!ch_sel_iks</c:f>
              <c:numCache>
                <c:formatCode>#\ ##0" €";\-#\ ##0" €";\-</c:formatCode>
                <c:ptCount val="36"/>
                <c:pt idx="0">
                  <c:v>90471</c:v>
                </c:pt>
                <c:pt idx="1">
                  <c:v>90471</c:v>
                </c:pt>
                <c:pt idx="2">
                  <c:v>90471</c:v>
                </c:pt>
                <c:pt idx="3">
                  <c:v>90471</c:v>
                </c:pt>
                <c:pt idx="4">
                  <c:v>90471</c:v>
                </c:pt>
                <c:pt idx="5">
                  <c:v>90471</c:v>
                </c:pt>
                <c:pt idx="6">
                  <c:v>90471</c:v>
                </c:pt>
                <c:pt idx="7">
                  <c:v>90471</c:v>
                </c:pt>
                <c:pt idx="8">
                  <c:v>85161</c:v>
                </c:pt>
                <c:pt idx="9">
                  <c:v>81975</c:v>
                </c:pt>
                <c:pt idx="10">
                  <c:v>81975</c:v>
                </c:pt>
                <c:pt idx="11">
                  <c:v>81975</c:v>
                </c:pt>
                <c:pt idx="12">
                  <c:v>81975</c:v>
                </c:pt>
                <c:pt idx="13">
                  <c:v>81975</c:v>
                </c:pt>
                <c:pt idx="14">
                  <c:v>81975</c:v>
                </c:pt>
                <c:pt idx="15">
                  <c:v>81975</c:v>
                </c:pt>
                <c:pt idx="16">
                  <c:v>81975</c:v>
                </c:pt>
                <c:pt idx="17">
                  <c:v>78789</c:v>
                </c:pt>
                <c:pt idx="18">
                  <c:v>78789</c:v>
                </c:pt>
                <c:pt idx="19">
                  <c:v>78789</c:v>
                </c:pt>
                <c:pt idx="20">
                  <c:v>78789</c:v>
                </c:pt>
                <c:pt idx="21">
                  <c:v>78789</c:v>
                </c:pt>
                <c:pt idx="22">
                  <c:v>78789</c:v>
                </c:pt>
                <c:pt idx="23">
                  <c:v>78789</c:v>
                </c:pt>
                <c:pt idx="24">
                  <c:v>78789</c:v>
                </c:pt>
                <c:pt idx="25">
                  <c:v>78789</c:v>
                </c:pt>
                <c:pt idx="26">
                  <c:v>74541</c:v>
                </c:pt>
                <c:pt idx="27">
                  <c:v>74541</c:v>
                </c:pt>
                <c:pt idx="28">
                  <c:v>74541</c:v>
                </c:pt>
                <c:pt idx="29">
                  <c:v>74541</c:v>
                </c:pt>
                <c:pt idx="30">
                  <c:v>74541</c:v>
                </c:pt>
                <c:pt idx="31">
                  <c:v>74541</c:v>
                </c:pt>
                <c:pt idx="32">
                  <c:v>74541</c:v>
                </c:pt>
                <c:pt idx="33">
                  <c:v>74541</c:v>
                </c:pt>
                <c:pt idx="34">
                  <c:v>74541</c:v>
                </c:pt>
                <c:pt idx="35">
                  <c:v>74541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C9-DE44-9EE1-5BCBEBB555AC}"/>
            </c:ext>
          </c:extLst>
        </c:ser>
        <c:ser>
          <c:idx val="2"/>
          <c:order val="2"/>
          <c:tx>
            <c:v>Surcoût double run (€)</c:v>
          </c:tx>
          <c:spPr>
            <a:ln w="38100">
              <a:solidFill>
                <a:srgbClr val="7CB342"/>
              </a:solidFill>
              <a:prstDash val="solid"/>
            </a:ln>
          </c:spPr>
          <c:marker>
            <c:symbol val="none"/>
          </c:marker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Synthèse!ch_sel_dr</c:f>
              <c:numCache>
                <c:formatCode>#\ ##0" €";\-#\ ##0" €";\-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2124</c:v>
                </c:pt>
                <c:pt idx="7">
                  <c:v>2124</c:v>
                </c:pt>
                <c:pt idx="8">
                  <c:v>3186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3186</c:v>
                </c:pt>
                <c:pt idx="16">
                  <c:v>3186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1062</c:v>
                </c:pt>
                <c:pt idx="24">
                  <c:v>1062</c:v>
                </c:pt>
                <c:pt idx="25">
                  <c:v>1062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7C9-DE44-9EE1-5BCBEBB555AC}"/>
            </c:ext>
          </c:extLst>
        </c:ser>
        <c:ser>
          <c:idx val="3"/>
          <c:order val="3"/>
          <c:tx>
            <c:v>Coût total (€)</c:v>
          </c:tx>
          <c:spPr>
            <a:ln w="38100"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Synthèse!ch_sel_total</c:f>
              <c:numCache>
                <c:formatCode>#\ ##0" €";\-#\ ##0" €";\-</c:formatCode>
                <c:ptCount val="36"/>
                <c:pt idx="0">
                  <c:v>122055</c:v>
                </c:pt>
                <c:pt idx="1">
                  <c:v>122055</c:v>
                </c:pt>
                <c:pt idx="2">
                  <c:v>122055</c:v>
                </c:pt>
                <c:pt idx="3">
                  <c:v>122055</c:v>
                </c:pt>
                <c:pt idx="4">
                  <c:v>122055</c:v>
                </c:pt>
                <c:pt idx="5">
                  <c:v>122055</c:v>
                </c:pt>
                <c:pt idx="6">
                  <c:v>122791</c:v>
                </c:pt>
                <c:pt idx="7">
                  <c:v>122791</c:v>
                </c:pt>
                <c:pt idx="8">
                  <c:v>117481</c:v>
                </c:pt>
                <c:pt idx="9">
                  <c:v>114295</c:v>
                </c:pt>
                <c:pt idx="10">
                  <c:v>114295</c:v>
                </c:pt>
                <c:pt idx="11">
                  <c:v>114295</c:v>
                </c:pt>
                <c:pt idx="12">
                  <c:v>114295</c:v>
                </c:pt>
                <c:pt idx="13">
                  <c:v>114295</c:v>
                </c:pt>
                <c:pt idx="14">
                  <c:v>114295</c:v>
                </c:pt>
                <c:pt idx="15">
                  <c:v>115031</c:v>
                </c:pt>
                <c:pt idx="16">
                  <c:v>115031</c:v>
                </c:pt>
                <c:pt idx="17">
                  <c:v>111845</c:v>
                </c:pt>
                <c:pt idx="18">
                  <c:v>111845</c:v>
                </c:pt>
                <c:pt idx="19">
                  <c:v>111845</c:v>
                </c:pt>
                <c:pt idx="20">
                  <c:v>111845</c:v>
                </c:pt>
                <c:pt idx="21">
                  <c:v>111845</c:v>
                </c:pt>
                <c:pt idx="22">
                  <c:v>111845</c:v>
                </c:pt>
                <c:pt idx="23">
                  <c:v>112581</c:v>
                </c:pt>
                <c:pt idx="24">
                  <c:v>112581</c:v>
                </c:pt>
                <c:pt idx="25">
                  <c:v>112581</c:v>
                </c:pt>
                <c:pt idx="26">
                  <c:v>108333</c:v>
                </c:pt>
                <c:pt idx="27">
                  <c:v>108333</c:v>
                </c:pt>
                <c:pt idx="28">
                  <c:v>108333</c:v>
                </c:pt>
                <c:pt idx="29">
                  <c:v>108333</c:v>
                </c:pt>
                <c:pt idx="30">
                  <c:v>108333</c:v>
                </c:pt>
                <c:pt idx="31">
                  <c:v>108333</c:v>
                </c:pt>
                <c:pt idx="32">
                  <c:v>108333</c:v>
                </c:pt>
                <c:pt idx="33">
                  <c:v>108333</c:v>
                </c:pt>
                <c:pt idx="34">
                  <c:v>108333</c:v>
                </c:pt>
                <c:pt idx="35">
                  <c:v>108333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7C9-DE44-9EE1-5BCBEBB55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Mois</a:t>
                </a:r>
              </a:p>
            </c:rich>
          </c:tx>
          <c:overlay val="1"/>
        </c:title>
        <c:numFmt formatCode="mmm\-yy" sourceLinked="0"/>
        <c:majorTickMark val="none"/>
        <c:minorTickMark val="none"/>
        <c:tickLblPos val="low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EUR / mois</a:t>
                </a:r>
              </a:p>
            </c:rich>
          </c:tx>
          <c:overlay val="1"/>
        </c:title>
        <c:numFmt formatCode="#,##0\ &quot;€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Coût IKS et ROKS par tribe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Coût IKS (€)</c:v>
          </c:tx>
          <c:spPr>
            <a:solidFill>
              <a:srgbClr val="E03C31"/>
            </a:solidFill>
            <a:ln>
              <a:solidFill>
                <a:srgbClr val="E03C31"/>
              </a:solidFill>
              <a:prstDash val="solid"/>
            </a:ln>
          </c:spPr>
          <c:invertIfNegative val="1"/>
          <c:cat>
            <c:strRef>
              <c:f>Dashboard!tr_nom</c:f>
              <c:strCache>
                <c:ptCount val="3"/>
                <c:pt idx="0">
                  <c:v>Parcours client</c:v>
                </c:pt>
                <c:pt idx="1">
                  <c:v>Tarification</c:v>
                </c:pt>
                <c:pt idx="2">
                  <c:v>Sinistres</c:v>
                </c:pt>
              </c:strCache>
            </c:strRef>
          </c:cat>
          <c:val>
            <c:numRef>
              <c:f>Dashboard!tr_iks</c:f>
              <c:numCache>
                <c:formatCode>#\ ##0" €";\-#\ ##0" €";\-</c:formatCode>
                <c:ptCount val="3"/>
                <c:pt idx="0">
                  <c:v>80530.59704807619</c:v>
                </c:pt>
                <c:pt idx="1">
                  <c:v>55308.638016622972</c:v>
                </c:pt>
                <c:pt idx="2">
                  <c:v>98948.576182876859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03C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70-AC48-A447-CC2F1BE083B1}"/>
            </c:ext>
          </c:extLst>
        </c:ser>
        <c:ser>
          <c:idx val="1"/>
          <c:order val="1"/>
          <c:tx>
            <c:v>Coût ROKS (€)</c:v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1"/>
          <c:cat>
            <c:strRef>
              <c:f>Dashboard!tr_nom</c:f>
              <c:strCache>
                <c:ptCount val="3"/>
                <c:pt idx="0">
                  <c:v>Parcours client</c:v>
                </c:pt>
                <c:pt idx="1">
                  <c:v>Tarification</c:v>
                </c:pt>
                <c:pt idx="2">
                  <c:v>Sinistres</c:v>
                </c:pt>
              </c:strCache>
            </c:strRef>
          </c:cat>
          <c:val>
            <c:numRef>
              <c:f>Dashboard!tr_roks</c:f>
              <c:numCache>
                <c:formatCode>#\ ##0" €";\-#\ ##0" €";\-</c:formatCode>
                <c:ptCount val="3"/>
                <c:pt idx="0">
                  <c:v>21567.421158809728</c:v>
                </c:pt>
                <c:pt idx="1">
                  <c:v>12976.35355836999</c:v>
                </c:pt>
                <c:pt idx="2">
                  <c:v>21446.841823213392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75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370-AC48-A447-CC2F1BE08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EUR (horizon)</a:t>
                </a:r>
              </a:p>
            </c:rich>
          </c:tx>
          <c:layout>
            <c:manualLayout>
              <c:xMode val="edge"/>
              <c:yMode val="edge"/>
              <c:x val="7.6178960096735193E-2"/>
              <c:y val="0.27913025932554303"/>
            </c:manualLayout>
          </c:layout>
          <c:overlay val="1"/>
        </c:title>
        <c:numFmt formatCode="#,##0\ &quot;€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5453036780317817"/>
          <c:y val="3.4093354856066738E-2"/>
          <c:w val="0.18259585447828694"/>
          <c:h val="6.7157069165175276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Coût IKS et ROKS par domaine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Coût IKS (€)</c:v>
          </c:tx>
          <c:spPr>
            <a:solidFill>
              <a:srgbClr val="E03C31"/>
            </a:solidFill>
            <a:ln>
              <a:solidFill>
                <a:srgbClr val="E03C31"/>
              </a:solidFill>
              <a:prstDash val="solid"/>
            </a:ln>
          </c:spPr>
          <c:invertIfNegative val="1"/>
          <c:cat>
            <c:strRef>
              <c:f>Dashboard!dom_nom</c:f>
              <c:strCache>
                <c:ptCount val="2"/>
                <c:pt idx="0">
                  <c:v>Distribution</c:v>
                </c:pt>
                <c:pt idx="1">
                  <c:v>Indemnisation</c:v>
                </c:pt>
              </c:strCache>
            </c:strRef>
          </c:cat>
          <c:val>
            <c:numRef>
              <c:f>Dashboard!dom_iks</c:f>
              <c:numCache>
                <c:formatCode>#\ ##0" €";\-#\ ##0" €";\-</c:formatCode>
                <c:ptCount val="2"/>
                <c:pt idx="0">
                  <c:v>135839.23506469917</c:v>
                </c:pt>
                <c:pt idx="1">
                  <c:v>98948.576182876859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03C3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F2-4B4B-A648-490D53D7E9CD}"/>
            </c:ext>
          </c:extLst>
        </c:ser>
        <c:ser>
          <c:idx val="1"/>
          <c:order val="1"/>
          <c:tx>
            <c:v>Coût ROKS (€)</c:v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1"/>
          <c:cat>
            <c:strRef>
              <c:f>Dashboard!dom_nom</c:f>
              <c:strCache>
                <c:ptCount val="2"/>
                <c:pt idx="0">
                  <c:v>Distribution</c:v>
                </c:pt>
                <c:pt idx="1">
                  <c:v>Indemnisation</c:v>
                </c:pt>
              </c:strCache>
            </c:strRef>
          </c:cat>
          <c:val>
            <c:numRef>
              <c:f>Dashboard!dom_roks</c:f>
              <c:numCache>
                <c:formatCode>#\ ##0" €";\-#\ ##0" €";\-</c:formatCode>
                <c:ptCount val="2"/>
                <c:pt idx="0">
                  <c:v>34543.774717179716</c:v>
                </c:pt>
                <c:pt idx="1">
                  <c:v>21446.841823213392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75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2F2-4B4B-A648-490D53D7E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EUR (horizon)</a:t>
                </a:r>
              </a:p>
            </c:rich>
          </c:tx>
          <c:layout>
            <c:manualLayout>
              <c:xMode val="edge"/>
              <c:yMode val="edge"/>
              <c:x val="7.3575129533678757E-2"/>
              <c:y val="0.29027178299470124"/>
            </c:manualLayout>
          </c:layout>
          <c:overlay val="1"/>
        </c:title>
        <c:numFmt formatCode="#,##0\ &quot;€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9999649137122109"/>
          <c:y val="3.0379513633014013E-2"/>
          <c:w val="0.15648370119538166"/>
          <c:h val="6.7157069165175276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Avancement par tribe (déploiements)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Migré</c:v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1"/>
          <c:cat>
            <c:strRef>
              <c:f>Avancement!av_tr_nom</c:f>
              <c:strCache>
                <c:ptCount val="3"/>
                <c:pt idx="0">
                  <c:v>Parcours client</c:v>
                </c:pt>
                <c:pt idx="1">
                  <c:v>Tarification</c:v>
                </c:pt>
                <c:pt idx="2">
                  <c:v>Sinistres</c:v>
                </c:pt>
              </c:strCache>
            </c:strRef>
          </c:cat>
          <c:val>
            <c:numRef>
              <c:f>Avancement!av_tr_0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75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95-5D4B-83A5-ADCE33373B9C}"/>
            </c:ext>
          </c:extLst>
        </c:ser>
        <c:ser>
          <c:idx val="1"/>
          <c:order val="1"/>
          <c:tx>
            <c:v>À migrer</c:v>
          </c:tx>
          <c:spPr>
            <a:solidFill>
              <a:srgbClr val="F1C232"/>
            </a:solidFill>
            <a:ln>
              <a:solidFill>
                <a:srgbClr val="F1C232"/>
              </a:solidFill>
              <a:prstDash val="solid"/>
            </a:ln>
          </c:spPr>
          <c:invertIfNegative val="1"/>
          <c:cat>
            <c:strRef>
              <c:f>Avancement!av_tr_nom</c:f>
              <c:strCache>
                <c:ptCount val="3"/>
                <c:pt idx="0">
                  <c:v>Parcours client</c:v>
                </c:pt>
                <c:pt idx="1">
                  <c:v>Tarification</c:v>
                </c:pt>
                <c:pt idx="2">
                  <c:v>Sinistres</c:v>
                </c:pt>
              </c:strCache>
            </c:strRef>
          </c:cat>
          <c:val>
            <c:numRef>
              <c:f>Avancement!av_tr_1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1C23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F95-5D4B-83A5-ADCE33373B9C}"/>
            </c:ext>
          </c:extLst>
        </c:ser>
        <c:ser>
          <c:idx val="2"/>
          <c:order val="2"/>
          <c:tx>
            <c:v>À décommissionner</c:v>
          </c:tx>
          <c:spPr>
            <a:solidFill>
              <a:srgbClr val="E69138"/>
            </a:solidFill>
            <a:ln>
              <a:solidFill>
                <a:srgbClr val="E69138"/>
              </a:solidFill>
              <a:prstDash val="solid"/>
            </a:ln>
          </c:spPr>
          <c:invertIfNegative val="1"/>
          <c:cat>
            <c:strRef>
              <c:f>Avancement!av_tr_nom</c:f>
              <c:strCache>
                <c:ptCount val="3"/>
                <c:pt idx="0">
                  <c:v>Parcours client</c:v>
                </c:pt>
                <c:pt idx="1">
                  <c:v>Tarification</c:v>
                </c:pt>
                <c:pt idx="2">
                  <c:v>Sinistres</c:v>
                </c:pt>
              </c:strCache>
            </c:strRef>
          </c:cat>
          <c:val>
            <c:numRef>
              <c:f>Avancement!av_tr_2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6913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F95-5D4B-83A5-ADCE33373B9C}"/>
            </c:ext>
          </c:extLst>
        </c:ser>
        <c:ser>
          <c:idx val="3"/>
          <c:order val="3"/>
          <c:tx>
            <c:v>Décommissionné</c:v>
          </c:tx>
          <c:spPr>
            <a:solidFill>
              <a:srgbClr val="999999"/>
            </a:solidFill>
            <a:ln>
              <a:solidFill>
                <a:srgbClr val="999999"/>
              </a:solidFill>
              <a:prstDash val="solid"/>
            </a:ln>
          </c:spPr>
          <c:invertIfNegative val="1"/>
          <c:cat>
            <c:strRef>
              <c:f>Avancement!av_tr_nom</c:f>
              <c:strCache>
                <c:ptCount val="3"/>
                <c:pt idx="0">
                  <c:v>Parcours client</c:v>
                </c:pt>
                <c:pt idx="1">
                  <c:v>Tarification</c:v>
                </c:pt>
                <c:pt idx="2">
                  <c:v>Sinistres</c:v>
                </c:pt>
              </c:strCache>
            </c:strRef>
          </c:cat>
          <c:val>
            <c:numRef>
              <c:f>Avancement!av_tr_3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9999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F95-5D4B-83A5-ADCE33373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55134925561690684"/>
          <c:y val="0.10153707552855225"/>
          <c:w val="0.42012295662212346"/>
          <c:h val="7.0612923856494522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Avancement par domaine (déploiements)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Migré</c:v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1"/>
          <c:cat>
            <c:strRef>
              <c:f>Avancement!av_dom_nom</c:f>
              <c:strCache>
                <c:ptCount val="2"/>
                <c:pt idx="0">
                  <c:v>Distribution</c:v>
                </c:pt>
                <c:pt idx="1">
                  <c:v>Indemnisation</c:v>
                </c:pt>
              </c:strCache>
            </c:strRef>
          </c:cat>
          <c:val>
            <c:numRef>
              <c:f>Avancement!av_dom_0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75B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007-2845-B083-38E548EE24AB}"/>
            </c:ext>
          </c:extLst>
        </c:ser>
        <c:ser>
          <c:idx val="1"/>
          <c:order val="1"/>
          <c:tx>
            <c:v>À migrer</c:v>
          </c:tx>
          <c:spPr>
            <a:solidFill>
              <a:srgbClr val="F1C232"/>
            </a:solidFill>
            <a:ln>
              <a:solidFill>
                <a:srgbClr val="F1C232"/>
              </a:solidFill>
              <a:prstDash val="solid"/>
            </a:ln>
          </c:spPr>
          <c:invertIfNegative val="1"/>
          <c:cat>
            <c:strRef>
              <c:f>Avancement!av_dom_nom</c:f>
              <c:strCache>
                <c:ptCount val="2"/>
                <c:pt idx="0">
                  <c:v>Distribution</c:v>
                </c:pt>
                <c:pt idx="1">
                  <c:v>Indemnisation</c:v>
                </c:pt>
              </c:strCache>
            </c:strRef>
          </c:cat>
          <c:val>
            <c:numRef>
              <c:f>Avancement!av_dom_1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1C232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007-2845-B083-38E548EE24AB}"/>
            </c:ext>
          </c:extLst>
        </c:ser>
        <c:ser>
          <c:idx val="2"/>
          <c:order val="2"/>
          <c:tx>
            <c:v>À décommissionner</c:v>
          </c:tx>
          <c:spPr>
            <a:solidFill>
              <a:srgbClr val="E69138"/>
            </a:solidFill>
            <a:ln>
              <a:solidFill>
                <a:srgbClr val="E69138"/>
              </a:solidFill>
              <a:prstDash val="solid"/>
            </a:ln>
          </c:spPr>
          <c:invertIfNegative val="1"/>
          <c:cat>
            <c:strRef>
              <c:f>Avancement!av_dom_nom</c:f>
              <c:strCache>
                <c:ptCount val="2"/>
                <c:pt idx="0">
                  <c:v>Distribution</c:v>
                </c:pt>
                <c:pt idx="1">
                  <c:v>Indemnisation</c:v>
                </c:pt>
              </c:strCache>
            </c:strRef>
          </c:cat>
          <c:val>
            <c:numRef>
              <c:f>Avancement!av_dom_2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6913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007-2845-B083-38E548EE24AB}"/>
            </c:ext>
          </c:extLst>
        </c:ser>
        <c:ser>
          <c:idx val="3"/>
          <c:order val="3"/>
          <c:tx>
            <c:v>Décommissionné</c:v>
          </c:tx>
          <c:spPr>
            <a:solidFill>
              <a:srgbClr val="999999"/>
            </a:solidFill>
            <a:ln>
              <a:solidFill>
                <a:srgbClr val="999999"/>
              </a:solidFill>
              <a:prstDash val="solid"/>
            </a:ln>
          </c:spPr>
          <c:invertIfNegative val="1"/>
          <c:cat>
            <c:strRef>
              <c:f>Avancement!av_dom_nom</c:f>
              <c:strCache>
                <c:ptCount val="2"/>
                <c:pt idx="0">
                  <c:v>Distribution</c:v>
                </c:pt>
                <c:pt idx="1">
                  <c:v>Indemnisation</c:v>
                </c:pt>
              </c:strCache>
            </c:strRef>
          </c:cat>
          <c:val>
            <c:numRef>
              <c:f>Avancement!av_dom_3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99999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007-2845-B083-38E548EE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9834321773608076"/>
          <c:y val="7.6024325506188151E-2"/>
          <c:w val="0.4965594460266935"/>
          <c:h val="7.0612923856494522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CPU provisionné IKS vs ROKS (vCPU)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CPU IKS</c:v>
          </c:tx>
          <c:spPr>
            <a:ln w="31750">
              <a:solidFill>
                <a:srgbClr val="E03C31"/>
              </a:solidFill>
              <a:prstDash val="solid"/>
            </a:ln>
          </c:spPr>
          <c:marker>
            <c:symbol val="none"/>
          </c:marker>
          <c:cat>
            <c:strRef>
              <c:f>Capacités!cp_m</c:f>
              <c:strCache>
                <c:ptCount val="36"/>
                <c:pt idx="4">
                  <c:v>févr-27</c:v>
                </c:pt>
                <c:pt idx="5">
                  <c:v>mars-27</c:v>
                </c:pt>
                <c:pt idx="6">
                  <c:v>avr-27</c:v>
                </c:pt>
                <c:pt idx="7">
                  <c:v>mai-27</c:v>
                </c:pt>
                <c:pt idx="8">
                  <c:v>juin-27</c:v>
                </c:pt>
                <c:pt idx="9">
                  <c:v>juil-27</c:v>
                </c:pt>
                <c:pt idx="10">
                  <c:v>août-27</c:v>
                </c:pt>
                <c:pt idx="11">
                  <c:v>sept-27</c:v>
                </c:pt>
                <c:pt idx="12">
                  <c:v>oct-27</c:v>
                </c:pt>
                <c:pt idx="13">
                  <c:v>nov-27</c:v>
                </c:pt>
                <c:pt idx="14">
                  <c:v>déc-27</c:v>
                </c:pt>
                <c:pt idx="15">
                  <c:v>janv-28</c:v>
                </c:pt>
                <c:pt idx="16">
                  <c:v>févr-28</c:v>
                </c:pt>
                <c:pt idx="17">
                  <c:v>mars-28</c:v>
                </c:pt>
                <c:pt idx="18">
                  <c:v>avr-28</c:v>
                </c:pt>
                <c:pt idx="19">
                  <c:v>mai-28</c:v>
                </c:pt>
                <c:pt idx="20">
                  <c:v>juin-28</c:v>
                </c:pt>
                <c:pt idx="21">
                  <c:v>juil-28</c:v>
                </c:pt>
                <c:pt idx="22">
                  <c:v>août-28</c:v>
                </c:pt>
                <c:pt idx="23">
                  <c:v>sept-28</c:v>
                </c:pt>
                <c:pt idx="24">
                  <c:v>oct-28</c:v>
                </c:pt>
                <c:pt idx="25">
                  <c:v>nov-28</c:v>
                </c:pt>
                <c:pt idx="26">
                  <c:v>déc-28</c:v>
                </c:pt>
                <c:pt idx="27">
                  <c:v>janv-29</c:v>
                </c:pt>
                <c:pt idx="28">
                  <c:v>févr-29</c:v>
                </c:pt>
                <c:pt idx="29">
                  <c:v>mars-29</c:v>
                </c:pt>
                <c:pt idx="30">
                  <c:v>avr-29</c:v>
                </c:pt>
                <c:pt idx="31">
                  <c:v>mai-29</c:v>
                </c:pt>
                <c:pt idx="32">
                  <c:v>juin-29</c:v>
                </c:pt>
                <c:pt idx="33">
                  <c:v>juil-29</c:v>
                </c:pt>
                <c:pt idx="34">
                  <c:v>août-29</c:v>
                </c:pt>
                <c:pt idx="35">
                  <c:v>sept-29</c:v>
                </c:pt>
              </c:strCache>
            </c:strRef>
          </c:cat>
          <c:val>
            <c:numRef>
              <c:f>Capacités!cp_ci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2304</c:v>
                </c:pt>
                <c:pt idx="5">
                  <c:v>2304</c:v>
                </c:pt>
                <c:pt idx="6">
                  <c:v>2304</c:v>
                </c:pt>
                <c:pt idx="7">
                  <c:v>2304</c:v>
                </c:pt>
                <c:pt idx="8">
                  <c:v>2144</c:v>
                </c:pt>
                <c:pt idx="9">
                  <c:v>2048</c:v>
                </c:pt>
                <c:pt idx="10">
                  <c:v>2048</c:v>
                </c:pt>
                <c:pt idx="11">
                  <c:v>2048</c:v>
                </c:pt>
                <c:pt idx="12">
                  <c:v>2048</c:v>
                </c:pt>
                <c:pt idx="13">
                  <c:v>2048</c:v>
                </c:pt>
                <c:pt idx="14">
                  <c:v>2048</c:v>
                </c:pt>
                <c:pt idx="15">
                  <c:v>2048</c:v>
                </c:pt>
                <c:pt idx="16">
                  <c:v>2048</c:v>
                </c:pt>
                <c:pt idx="17">
                  <c:v>1952</c:v>
                </c:pt>
                <c:pt idx="18">
                  <c:v>1952</c:v>
                </c:pt>
                <c:pt idx="19">
                  <c:v>1952</c:v>
                </c:pt>
                <c:pt idx="20">
                  <c:v>1952</c:v>
                </c:pt>
                <c:pt idx="21">
                  <c:v>1952</c:v>
                </c:pt>
                <c:pt idx="22">
                  <c:v>1952</c:v>
                </c:pt>
                <c:pt idx="23">
                  <c:v>1952</c:v>
                </c:pt>
                <c:pt idx="24">
                  <c:v>1952</c:v>
                </c:pt>
                <c:pt idx="25">
                  <c:v>1952</c:v>
                </c:pt>
                <c:pt idx="26">
                  <c:v>1824</c:v>
                </c:pt>
                <c:pt idx="27">
                  <c:v>1824</c:v>
                </c:pt>
                <c:pt idx="28">
                  <c:v>1824</c:v>
                </c:pt>
                <c:pt idx="29">
                  <c:v>1824</c:v>
                </c:pt>
                <c:pt idx="30">
                  <c:v>1824</c:v>
                </c:pt>
                <c:pt idx="31">
                  <c:v>1824</c:v>
                </c:pt>
                <c:pt idx="32">
                  <c:v>1824</c:v>
                </c:pt>
                <c:pt idx="33">
                  <c:v>1824</c:v>
                </c:pt>
                <c:pt idx="34">
                  <c:v>1824</c:v>
                </c:pt>
                <c:pt idx="35">
                  <c:v>1824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2-9547-A732-CFEA7E5DF16C}"/>
            </c:ext>
          </c:extLst>
        </c:ser>
        <c:ser>
          <c:idx val="1"/>
          <c:order val="1"/>
          <c:tx>
            <c:v>CPU ROKS</c:v>
          </c:tx>
          <c:spPr>
            <a:ln w="3175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Capacités!cp_m</c:f>
              <c:strCache>
                <c:ptCount val="36"/>
                <c:pt idx="4">
                  <c:v>févr-27</c:v>
                </c:pt>
                <c:pt idx="5">
                  <c:v>mars-27</c:v>
                </c:pt>
                <c:pt idx="6">
                  <c:v>avr-27</c:v>
                </c:pt>
                <c:pt idx="7">
                  <c:v>mai-27</c:v>
                </c:pt>
                <c:pt idx="8">
                  <c:v>juin-27</c:v>
                </c:pt>
                <c:pt idx="9">
                  <c:v>juil-27</c:v>
                </c:pt>
                <c:pt idx="10">
                  <c:v>août-27</c:v>
                </c:pt>
                <c:pt idx="11">
                  <c:v>sept-27</c:v>
                </c:pt>
                <c:pt idx="12">
                  <c:v>oct-27</c:v>
                </c:pt>
                <c:pt idx="13">
                  <c:v>nov-27</c:v>
                </c:pt>
                <c:pt idx="14">
                  <c:v>déc-27</c:v>
                </c:pt>
                <c:pt idx="15">
                  <c:v>janv-28</c:v>
                </c:pt>
                <c:pt idx="16">
                  <c:v>févr-28</c:v>
                </c:pt>
                <c:pt idx="17">
                  <c:v>mars-28</c:v>
                </c:pt>
                <c:pt idx="18">
                  <c:v>avr-28</c:v>
                </c:pt>
                <c:pt idx="19">
                  <c:v>mai-28</c:v>
                </c:pt>
                <c:pt idx="20">
                  <c:v>juin-28</c:v>
                </c:pt>
                <c:pt idx="21">
                  <c:v>juil-28</c:v>
                </c:pt>
                <c:pt idx="22">
                  <c:v>août-28</c:v>
                </c:pt>
                <c:pt idx="23">
                  <c:v>sept-28</c:v>
                </c:pt>
                <c:pt idx="24">
                  <c:v>oct-28</c:v>
                </c:pt>
                <c:pt idx="25">
                  <c:v>nov-28</c:v>
                </c:pt>
                <c:pt idx="26">
                  <c:v>déc-28</c:v>
                </c:pt>
                <c:pt idx="27">
                  <c:v>janv-29</c:v>
                </c:pt>
                <c:pt idx="28">
                  <c:v>févr-29</c:v>
                </c:pt>
                <c:pt idx="29">
                  <c:v>mars-29</c:v>
                </c:pt>
                <c:pt idx="30">
                  <c:v>avr-29</c:v>
                </c:pt>
                <c:pt idx="31">
                  <c:v>mai-29</c:v>
                </c:pt>
                <c:pt idx="32">
                  <c:v>juin-29</c:v>
                </c:pt>
                <c:pt idx="33">
                  <c:v>juil-29</c:v>
                </c:pt>
                <c:pt idx="34">
                  <c:v>août-29</c:v>
                </c:pt>
                <c:pt idx="35">
                  <c:v>sept-29</c:v>
                </c:pt>
              </c:strCache>
            </c:strRef>
          </c:cat>
          <c:val>
            <c:numRef>
              <c:f>Capacités!cp_cr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720</c:v>
                </c:pt>
                <c:pt idx="5">
                  <c:v>720</c:v>
                </c:pt>
                <c:pt idx="6">
                  <c:v>736</c:v>
                </c:pt>
                <c:pt idx="7">
                  <c:v>736</c:v>
                </c:pt>
                <c:pt idx="8">
                  <c:v>736</c:v>
                </c:pt>
                <c:pt idx="9">
                  <c:v>736</c:v>
                </c:pt>
                <c:pt idx="10">
                  <c:v>736</c:v>
                </c:pt>
                <c:pt idx="11">
                  <c:v>736</c:v>
                </c:pt>
                <c:pt idx="12">
                  <c:v>736</c:v>
                </c:pt>
                <c:pt idx="13">
                  <c:v>736</c:v>
                </c:pt>
                <c:pt idx="14">
                  <c:v>736</c:v>
                </c:pt>
                <c:pt idx="15">
                  <c:v>752</c:v>
                </c:pt>
                <c:pt idx="16">
                  <c:v>752</c:v>
                </c:pt>
                <c:pt idx="17">
                  <c:v>752</c:v>
                </c:pt>
                <c:pt idx="18">
                  <c:v>752</c:v>
                </c:pt>
                <c:pt idx="19">
                  <c:v>752</c:v>
                </c:pt>
                <c:pt idx="20">
                  <c:v>752</c:v>
                </c:pt>
                <c:pt idx="21">
                  <c:v>752</c:v>
                </c:pt>
                <c:pt idx="22">
                  <c:v>752</c:v>
                </c:pt>
                <c:pt idx="23">
                  <c:v>768</c:v>
                </c:pt>
                <c:pt idx="24">
                  <c:v>768</c:v>
                </c:pt>
                <c:pt idx="25">
                  <c:v>768</c:v>
                </c:pt>
                <c:pt idx="26">
                  <c:v>768</c:v>
                </c:pt>
                <c:pt idx="27">
                  <c:v>768</c:v>
                </c:pt>
                <c:pt idx="28">
                  <c:v>768</c:v>
                </c:pt>
                <c:pt idx="29">
                  <c:v>768</c:v>
                </c:pt>
                <c:pt idx="30">
                  <c:v>768</c:v>
                </c:pt>
                <c:pt idx="31">
                  <c:v>768</c:v>
                </c:pt>
                <c:pt idx="32">
                  <c:v>768</c:v>
                </c:pt>
                <c:pt idx="33">
                  <c:v>768</c:v>
                </c:pt>
                <c:pt idx="34">
                  <c:v>768</c:v>
                </c:pt>
                <c:pt idx="35">
                  <c:v>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22-9547-A732-CFEA7E5DF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67942318469297902"/>
          <c:y val="3.234371236434895E-2"/>
          <c:w val="0.30626584474154722"/>
          <c:h val="7.4751482641217101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RAM provisionnée IKS vs ROKS (Go)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RAM IKS</c:v>
          </c:tx>
          <c:spPr>
            <a:ln w="31750">
              <a:solidFill>
                <a:srgbClr val="E03C31"/>
              </a:solidFill>
              <a:prstDash val="solid"/>
            </a:ln>
          </c:spPr>
          <c:marker>
            <c:symbol val="none"/>
          </c:marker>
          <c:cat>
            <c:strRef>
              <c:f>Capacités!cp_m</c:f>
              <c:strCache>
                <c:ptCount val="36"/>
                <c:pt idx="4">
                  <c:v>févr-27</c:v>
                </c:pt>
                <c:pt idx="5">
                  <c:v>mars-27</c:v>
                </c:pt>
                <c:pt idx="6">
                  <c:v>avr-27</c:v>
                </c:pt>
                <c:pt idx="7">
                  <c:v>mai-27</c:v>
                </c:pt>
                <c:pt idx="8">
                  <c:v>juin-27</c:v>
                </c:pt>
                <c:pt idx="9">
                  <c:v>juil-27</c:v>
                </c:pt>
                <c:pt idx="10">
                  <c:v>août-27</c:v>
                </c:pt>
                <c:pt idx="11">
                  <c:v>sept-27</c:v>
                </c:pt>
                <c:pt idx="12">
                  <c:v>oct-27</c:v>
                </c:pt>
                <c:pt idx="13">
                  <c:v>nov-27</c:v>
                </c:pt>
                <c:pt idx="14">
                  <c:v>déc-27</c:v>
                </c:pt>
                <c:pt idx="15">
                  <c:v>janv-28</c:v>
                </c:pt>
                <c:pt idx="16">
                  <c:v>févr-28</c:v>
                </c:pt>
                <c:pt idx="17">
                  <c:v>mars-28</c:v>
                </c:pt>
                <c:pt idx="18">
                  <c:v>avr-28</c:v>
                </c:pt>
                <c:pt idx="19">
                  <c:v>mai-28</c:v>
                </c:pt>
                <c:pt idx="20">
                  <c:v>juin-28</c:v>
                </c:pt>
                <c:pt idx="21">
                  <c:v>juil-28</c:v>
                </c:pt>
                <c:pt idx="22">
                  <c:v>août-28</c:v>
                </c:pt>
                <c:pt idx="23">
                  <c:v>sept-28</c:v>
                </c:pt>
                <c:pt idx="24">
                  <c:v>oct-28</c:v>
                </c:pt>
                <c:pt idx="25">
                  <c:v>nov-28</c:v>
                </c:pt>
                <c:pt idx="26">
                  <c:v>déc-28</c:v>
                </c:pt>
                <c:pt idx="27">
                  <c:v>janv-29</c:v>
                </c:pt>
                <c:pt idx="28">
                  <c:v>févr-29</c:v>
                </c:pt>
                <c:pt idx="29">
                  <c:v>mars-29</c:v>
                </c:pt>
                <c:pt idx="30">
                  <c:v>avr-29</c:v>
                </c:pt>
                <c:pt idx="31">
                  <c:v>mai-29</c:v>
                </c:pt>
                <c:pt idx="32">
                  <c:v>juin-29</c:v>
                </c:pt>
                <c:pt idx="33">
                  <c:v>juil-29</c:v>
                </c:pt>
                <c:pt idx="34">
                  <c:v>août-29</c:v>
                </c:pt>
                <c:pt idx="35">
                  <c:v>sept-29</c:v>
                </c:pt>
              </c:strCache>
            </c:strRef>
          </c:cat>
          <c:val>
            <c:numRef>
              <c:f>Capacités!cp_ri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14208</c:v>
                </c:pt>
                <c:pt idx="5">
                  <c:v>14208</c:v>
                </c:pt>
                <c:pt idx="6">
                  <c:v>14208</c:v>
                </c:pt>
                <c:pt idx="7">
                  <c:v>14208</c:v>
                </c:pt>
                <c:pt idx="8">
                  <c:v>13568</c:v>
                </c:pt>
                <c:pt idx="9">
                  <c:v>13184</c:v>
                </c:pt>
                <c:pt idx="10">
                  <c:v>13184</c:v>
                </c:pt>
                <c:pt idx="11">
                  <c:v>13184</c:v>
                </c:pt>
                <c:pt idx="12">
                  <c:v>13184</c:v>
                </c:pt>
                <c:pt idx="13">
                  <c:v>13184</c:v>
                </c:pt>
                <c:pt idx="14">
                  <c:v>13184</c:v>
                </c:pt>
                <c:pt idx="15">
                  <c:v>13184</c:v>
                </c:pt>
                <c:pt idx="16">
                  <c:v>13184</c:v>
                </c:pt>
                <c:pt idx="17">
                  <c:v>12800</c:v>
                </c:pt>
                <c:pt idx="18">
                  <c:v>12800</c:v>
                </c:pt>
                <c:pt idx="19">
                  <c:v>12800</c:v>
                </c:pt>
                <c:pt idx="20">
                  <c:v>12800</c:v>
                </c:pt>
                <c:pt idx="21">
                  <c:v>12800</c:v>
                </c:pt>
                <c:pt idx="22">
                  <c:v>12800</c:v>
                </c:pt>
                <c:pt idx="23">
                  <c:v>12800</c:v>
                </c:pt>
                <c:pt idx="24">
                  <c:v>12800</c:v>
                </c:pt>
                <c:pt idx="25">
                  <c:v>12800</c:v>
                </c:pt>
                <c:pt idx="26">
                  <c:v>12288</c:v>
                </c:pt>
                <c:pt idx="27">
                  <c:v>12288</c:v>
                </c:pt>
                <c:pt idx="28">
                  <c:v>12288</c:v>
                </c:pt>
                <c:pt idx="29">
                  <c:v>12288</c:v>
                </c:pt>
                <c:pt idx="30">
                  <c:v>12288</c:v>
                </c:pt>
                <c:pt idx="31">
                  <c:v>12288</c:v>
                </c:pt>
                <c:pt idx="32">
                  <c:v>12288</c:v>
                </c:pt>
                <c:pt idx="33">
                  <c:v>12288</c:v>
                </c:pt>
                <c:pt idx="34">
                  <c:v>12288</c:v>
                </c:pt>
                <c:pt idx="35">
                  <c:v>12288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4-4B47-94BC-C4386547E2B3}"/>
            </c:ext>
          </c:extLst>
        </c:ser>
        <c:ser>
          <c:idx val="1"/>
          <c:order val="1"/>
          <c:tx>
            <c:v>RAM ROKS</c:v>
          </c:tx>
          <c:spPr>
            <a:ln w="3175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Capacités!cp_m</c:f>
              <c:strCache>
                <c:ptCount val="36"/>
                <c:pt idx="4">
                  <c:v>févr-27</c:v>
                </c:pt>
                <c:pt idx="5">
                  <c:v>mars-27</c:v>
                </c:pt>
                <c:pt idx="6">
                  <c:v>avr-27</c:v>
                </c:pt>
                <c:pt idx="7">
                  <c:v>mai-27</c:v>
                </c:pt>
                <c:pt idx="8">
                  <c:v>juin-27</c:v>
                </c:pt>
                <c:pt idx="9">
                  <c:v>juil-27</c:v>
                </c:pt>
                <c:pt idx="10">
                  <c:v>août-27</c:v>
                </c:pt>
                <c:pt idx="11">
                  <c:v>sept-27</c:v>
                </c:pt>
                <c:pt idx="12">
                  <c:v>oct-27</c:v>
                </c:pt>
                <c:pt idx="13">
                  <c:v>nov-27</c:v>
                </c:pt>
                <c:pt idx="14">
                  <c:v>déc-27</c:v>
                </c:pt>
                <c:pt idx="15">
                  <c:v>janv-28</c:v>
                </c:pt>
                <c:pt idx="16">
                  <c:v>févr-28</c:v>
                </c:pt>
                <c:pt idx="17">
                  <c:v>mars-28</c:v>
                </c:pt>
                <c:pt idx="18">
                  <c:v>avr-28</c:v>
                </c:pt>
                <c:pt idx="19">
                  <c:v>mai-28</c:v>
                </c:pt>
                <c:pt idx="20">
                  <c:v>juin-28</c:v>
                </c:pt>
                <c:pt idx="21">
                  <c:v>juil-28</c:v>
                </c:pt>
                <c:pt idx="22">
                  <c:v>août-28</c:v>
                </c:pt>
                <c:pt idx="23">
                  <c:v>sept-28</c:v>
                </c:pt>
                <c:pt idx="24">
                  <c:v>oct-28</c:v>
                </c:pt>
                <c:pt idx="25">
                  <c:v>nov-28</c:v>
                </c:pt>
                <c:pt idx="26">
                  <c:v>déc-28</c:v>
                </c:pt>
                <c:pt idx="27">
                  <c:v>janv-29</c:v>
                </c:pt>
                <c:pt idx="28">
                  <c:v>févr-29</c:v>
                </c:pt>
                <c:pt idx="29">
                  <c:v>mars-29</c:v>
                </c:pt>
                <c:pt idx="30">
                  <c:v>avr-29</c:v>
                </c:pt>
                <c:pt idx="31">
                  <c:v>mai-29</c:v>
                </c:pt>
                <c:pt idx="32">
                  <c:v>juin-29</c:v>
                </c:pt>
                <c:pt idx="33">
                  <c:v>juil-29</c:v>
                </c:pt>
                <c:pt idx="34">
                  <c:v>août-29</c:v>
                </c:pt>
                <c:pt idx="35">
                  <c:v>sept-29</c:v>
                </c:pt>
              </c:strCache>
            </c:strRef>
          </c:cat>
          <c:val>
            <c:numRef>
              <c:f>Capacités!cp_rr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3120</c:v>
                </c:pt>
                <c:pt idx="6">
                  <c:v>3200</c:v>
                </c:pt>
                <c:pt idx="7">
                  <c:v>3200</c:v>
                </c:pt>
                <c:pt idx="8">
                  <c:v>3200</c:v>
                </c:pt>
                <c:pt idx="9">
                  <c:v>3200</c:v>
                </c:pt>
                <c:pt idx="10">
                  <c:v>3200</c:v>
                </c:pt>
                <c:pt idx="11">
                  <c:v>3200</c:v>
                </c:pt>
                <c:pt idx="12">
                  <c:v>3200</c:v>
                </c:pt>
                <c:pt idx="13">
                  <c:v>3200</c:v>
                </c:pt>
                <c:pt idx="14">
                  <c:v>3200</c:v>
                </c:pt>
                <c:pt idx="15">
                  <c:v>3280</c:v>
                </c:pt>
                <c:pt idx="16">
                  <c:v>3280</c:v>
                </c:pt>
                <c:pt idx="17">
                  <c:v>3280</c:v>
                </c:pt>
                <c:pt idx="18">
                  <c:v>3280</c:v>
                </c:pt>
                <c:pt idx="19">
                  <c:v>3280</c:v>
                </c:pt>
                <c:pt idx="20">
                  <c:v>3280</c:v>
                </c:pt>
                <c:pt idx="21">
                  <c:v>3280</c:v>
                </c:pt>
                <c:pt idx="22">
                  <c:v>3280</c:v>
                </c:pt>
                <c:pt idx="23">
                  <c:v>3360</c:v>
                </c:pt>
                <c:pt idx="24">
                  <c:v>3360</c:v>
                </c:pt>
                <c:pt idx="25">
                  <c:v>3360</c:v>
                </c:pt>
                <c:pt idx="26">
                  <c:v>3360</c:v>
                </c:pt>
                <c:pt idx="27">
                  <c:v>3360</c:v>
                </c:pt>
                <c:pt idx="28">
                  <c:v>3360</c:v>
                </c:pt>
                <c:pt idx="29">
                  <c:v>3360</c:v>
                </c:pt>
                <c:pt idx="30">
                  <c:v>3360</c:v>
                </c:pt>
                <c:pt idx="31">
                  <c:v>3360</c:v>
                </c:pt>
                <c:pt idx="32">
                  <c:v>3360</c:v>
                </c:pt>
                <c:pt idx="33">
                  <c:v>3360</c:v>
                </c:pt>
                <c:pt idx="34">
                  <c:v>3360</c:v>
                </c:pt>
                <c:pt idx="35">
                  <c:v>3360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04-4B47-94BC-C4386547E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67612419985479155"/>
          <c:y val="2.4076075281067106E-2"/>
          <c:w val="0.32027306516395898"/>
          <c:h val="7.4751482641217101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Workers IKS vs ROKS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Workers IKS</c:v>
          </c:tx>
          <c:spPr>
            <a:ln w="31750">
              <a:solidFill>
                <a:srgbClr val="E03C31"/>
              </a:solidFill>
              <a:prstDash val="solid"/>
            </a:ln>
          </c:spPr>
          <c:marker>
            <c:symbol val="none"/>
          </c:marker>
          <c:cat>
            <c:strRef>
              <c:f>Capacités!cp_m</c:f>
              <c:strCache>
                <c:ptCount val="36"/>
                <c:pt idx="4">
                  <c:v>févr-27</c:v>
                </c:pt>
                <c:pt idx="5">
                  <c:v>mars-27</c:v>
                </c:pt>
                <c:pt idx="6">
                  <c:v>avr-27</c:v>
                </c:pt>
                <c:pt idx="7">
                  <c:v>mai-27</c:v>
                </c:pt>
                <c:pt idx="8">
                  <c:v>juin-27</c:v>
                </c:pt>
                <c:pt idx="9">
                  <c:v>juil-27</c:v>
                </c:pt>
                <c:pt idx="10">
                  <c:v>août-27</c:v>
                </c:pt>
                <c:pt idx="11">
                  <c:v>sept-27</c:v>
                </c:pt>
                <c:pt idx="12">
                  <c:v>oct-27</c:v>
                </c:pt>
                <c:pt idx="13">
                  <c:v>nov-27</c:v>
                </c:pt>
                <c:pt idx="14">
                  <c:v>déc-27</c:v>
                </c:pt>
                <c:pt idx="15">
                  <c:v>janv-28</c:v>
                </c:pt>
                <c:pt idx="16">
                  <c:v>févr-28</c:v>
                </c:pt>
                <c:pt idx="17">
                  <c:v>mars-28</c:v>
                </c:pt>
                <c:pt idx="18">
                  <c:v>avr-28</c:v>
                </c:pt>
                <c:pt idx="19">
                  <c:v>mai-28</c:v>
                </c:pt>
                <c:pt idx="20">
                  <c:v>juin-28</c:v>
                </c:pt>
                <c:pt idx="21">
                  <c:v>juil-28</c:v>
                </c:pt>
                <c:pt idx="22">
                  <c:v>août-28</c:v>
                </c:pt>
                <c:pt idx="23">
                  <c:v>sept-28</c:v>
                </c:pt>
                <c:pt idx="24">
                  <c:v>oct-28</c:v>
                </c:pt>
                <c:pt idx="25">
                  <c:v>nov-28</c:v>
                </c:pt>
                <c:pt idx="26">
                  <c:v>déc-28</c:v>
                </c:pt>
                <c:pt idx="27">
                  <c:v>janv-29</c:v>
                </c:pt>
                <c:pt idx="28">
                  <c:v>févr-29</c:v>
                </c:pt>
                <c:pt idx="29">
                  <c:v>mars-29</c:v>
                </c:pt>
                <c:pt idx="30">
                  <c:v>avr-29</c:v>
                </c:pt>
                <c:pt idx="31">
                  <c:v>mai-29</c:v>
                </c:pt>
                <c:pt idx="32">
                  <c:v>juin-29</c:v>
                </c:pt>
                <c:pt idx="33">
                  <c:v>juil-29</c:v>
                </c:pt>
                <c:pt idx="34">
                  <c:v>août-29</c:v>
                </c:pt>
                <c:pt idx="35">
                  <c:v>sept-29</c:v>
                </c:pt>
              </c:strCache>
            </c:strRef>
          </c:cat>
          <c:val>
            <c:numRef>
              <c:f>Capacités!cp_wi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64</c:v>
                </c:pt>
                <c:pt idx="9">
                  <c:v>61</c:v>
                </c:pt>
                <c:pt idx="10">
                  <c:v>61</c:v>
                </c:pt>
                <c:pt idx="11">
                  <c:v>61</c:v>
                </c:pt>
                <c:pt idx="12">
                  <c:v>61</c:v>
                </c:pt>
                <c:pt idx="13">
                  <c:v>61</c:v>
                </c:pt>
                <c:pt idx="14">
                  <c:v>61</c:v>
                </c:pt>
                <c:pt idx="15">
                  <c:v>61</c:v>
                </c:pt>
                <c:pt idx="16">
                  <c:v>61</c:v>
                </c:pt>
                <c:pt idx="17">
                  <c:v>58</c:v>
                </c:pt>
                <c:pt idx="18">
                  <c:v>58</c:v>
                </c:pt>
                <c:pt idx="19">
                  <c:v>58</c:v>
                </c:pt>
                <c:pt idx="20">
                  <c:v>58</c:v>
                </c:pt>
                <c:pt idx="21">
                  <c:v>58</c:v>
                </c:pt>
                <c:pt idx="22">
                  <c:v>58</c:v>
                </c:pt>
                <c:pt idx="23">
                  <c:v>58</c:v>
                </c:pt>
                <c:pt idx="24">
                  <c:v>58</c:v>
                </c:pt>
                <c:pt idx="25">
                  <c:v>58</c:v>
                </c:pt>
                <c:pt idx="26">
                  <c:v>54</c:v>
                </c:pt>
                <c:pt idx="27">
                  <c:v>54</c:v>
                </c:pt>
                <c:pt idx="28">
                  <c:v>54</c:v>
                </c:pt>
                <c:pt idx="29">
                  <c:v>54</c:v>
                </c:pt>
                <c:pt idx="30">
                  <c:v>54</c:v>
                </c:pt>
                <c:pt idx="31">
                  <c:v>54</c:v>
                </c:pt>
                <c:pt idx="32">
                  <c:v>54</c:v>
                </c:pt>
                <c:pt idx="33">
                  <c:v>54</c:v>
                </c:pt>
                <c:pt idx="34">
                  <c:v>54</c:v>
                </c:pt>
                <c:pt idx="35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60-4F4B-8F5E-098C0CFD3BBF}"/>
            </c:ext>
          </c:extLst>
        </c:ser>
        <c:ser>
          <c:idx val="1"/>
          <c:order val="1"/>
          <c:tx>
            <c:v>Workers ROKS</c:v>
          </c:tx>
          <c:spPr>
            <a:ln w="3175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Capacités!cp_m</c:f>
              <c:strCache>
                <c:ptCount val="36"/>
                <c:pt idx="4">
                  <c:v>févr-27</c:v>
                </c:pt>
                <c:pt idx="5">
                  <c:v>mars-27</c:v>
                </c:pt>
                <c:pt idx="6">
                  <c:v>avr-27</c:v>
                </c:pt>
                <c:pt idx="7">
                  <c:v>mai-27</c:v>
                </c:pt>
                <c:pt idx="8">
                  <c:v>juin-27</c:v>
                </c:pt>
                <c:pt idx="9">
                  <c:v>juil-27</c:v>
                </c:pt>
                <c:pt idx="10">
                  <c:v>août-27</c:v>
                </c:pt>
                <c:pt idx="11">
                  <c:v>sept-27</c:v>
                </c:pt>
                <c:pt idx="12">
                  <c:v>oct-27</c:v>
                </c:pt>
                <c:pt idx="13">
                  <c:v>nov-27</c:v>
                </c:pt>
                <c:pt idx="14">
                  <c:v>déc-27</c:v>
                </c:pt>
                <c:pt idx="15">
                  <c:v>janv-28</c:v>
                </c:pt>
                <c:pt idx="16">
                  <c:v>févr-28</c:v>
                </c:pt>
                <c:pt idx="17">
                  <c:v>mars-28</c:v>
                </c:pt>
                <c:pt idx="18">
                  <c:v>avr-28</c:v>
                </c:pt>
                <c:pt idx="19">
                  <c:v>mai-28</c:v>
                </c:pt>
                <c:pt idx="20">
                  <c:v>juin-28</c:v>
                </c:pt>
                <c:pt idx="21">
                  <c:v>juil-28</c:v>
                </c:pt>
                <c:pt idx="22">
                  <c:v>août-28</c:v>
                </c:pt>
                <c:pt idx="23">
                  <c:v>sept-28</c:v>
                </c:pt>
                <c:pt idx="24">
                  <c:v>oct-28</c:v>
                </c:pt>
                <c:pt idx="25">
                  <c:v>nov-28</c:v>
                </c:pt>
                <c:pt idx="26">
                  <c:v>déc-28</c:v>
                </c:pt>
                <c:pt idx="27">
                  <c:v>janv-29</c:v>
                </c:pt>
                <c:pt idx="28">
                  <c:v>févr-29</c:v>
                </c:pt>
                <c:pt idx="29">
                  <c:v>mars-29</c:v>
                </c:pt>
                <c:pt idx="30">
                  <c:v>avr-29</c:v>
                </c:pt>
                <c:pt idx="31">
                  <c:v>mai-29</c:v>
                </c:pt>
                <c:pt idx="32">
                  <c:v>juin-29</c:v>
                </c:pt>
                <c:pt idx="33">
                  <c:v>juil-29</c:v>
                </c:pt>
                <c:pt idx="34">
                  <c:v>août-29</c:v>
                </c:pt>
                <c:pt idx="35">
                  <c:v>sept-29</c:v>
                </c:pt>
              </c:strCache>
            </c:strRef>
          </c:cat>
          <c:val>
            <c:numRef>
              <c:f>Capacités!cp_wr</c:f>
              <c:numCache>
                <c:formatCode>#,##0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66</c:v>
                </c:pt>
                <c:pt idx="5">
                  <c:v>66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72</c:v>
                </c:pt>
                <c:pt idx="24">
                  <c:v>72</c:v>
                </c:pt>
                <c:pt idx="25">
                  <c:v>72</c:v>
                </c:pt>
                <c:pt idx="26">
                  <c:v>72</c:v>
                </c:pt>
                <c:pt idx="27">
                  <c:v>72</c:v>
                </c:pt>
                <c:pt idx="28">
                  <c:v>72</c:v>
                </c:pt>
                <c:pt idx="29">
                  <c:v>72</c:v>
                </c:pt>
                <c:pt idx="30">
                  <c:v>72</c:v>
                </c:pt>
                <c:pt idx="31">
                  <c:v>72</c:v>
                </c:pt>
                <c:pt idx="32">
                  <c:v>72</c:v>
                </c:pt>
                <c:pt idx="33">
                  <c:v>72</c:v>
                </c:pt>
                <c:pt idx="34">
                  <c:v>72</c:v>
                </c:pt>
                <c:pt idx="3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60-4F4B-8F5E-098C0CFD3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60259893158550315"/>
          <c:y val="1.9942256739426258E-2"/>
          <c:w val="0.39541893971184783"/>
          <c:h val="7.4751482641217101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Coût IKS mensuel et déploiements restants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1"/>
          <c:order val="1"/>
          <c:tx>
            <c:v>Déploiements restant sur IKS</c:v>
          </c:tx>
          <c:spPr>
            <a:solidFill>
              <a:srgbClr val="F6B26B"/>
            </a:solidFill>
            <a:ln>
              <a:solidFill>
                <a:srgbClr val="F6B26B"/>
              </a:solidFill>
              <a:prstDash val="solid"/>
            </a:ln>
          </c:spPr>
          <c:invertIfNegative val="1"/>
          <c:cat>
            <c:numRef>
              <c:f>'Extinction IKS'!ex_m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'Extinction IKS'!ex_dep</c:f>
              <c:numCache>
                <c:formatCode>0</c:formatCode>
                <c:ptCount val="3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6B26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A9D-6E43-85A9-1160D6B47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5752879"/>
        <c:axId val="200"/>
      </c:barChart>
      <c:lineChart>
        <c:grouping val="standard"/>
        <c:varyColors val="1"/>
        <c:ser>
          <c:idx val="0"/>
          <c:order val="0"/>
          <c:tx>
            <c:v>Coût IKS mensuel (€)</c:v>
          </c:tx>
          <c:spPr>
            <a:ln w="31750">
              <a:solidFill>
                <a:srgbClr val="E03C31"/>
              </a:solidFill>
              <a:prstDash val="solid"/>
            </a:ln>
          </c:spPr>
          <c:marker>
            <c:symbol val="none"/>
          </c:marker>
          <c:cat>
            <c:numRef>
              <c:f>'Extinction IKS'!ex_m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'Extinction IKS'!ex_cost</c:f>
              <c:numCache>
                <c:formatCode>#\ ##0" €";\-#\ ##0" €";\-</c:formatCode>
                <c:ptCount val="36"/>
                <c:pt idx="0">
                  <c:v>90471</c:v>
                </c:pt>
                <c:pt idx="1">
                  <c:v>90471</c:v>
                </c:pt>
                <c:pt idx="2">
                  <c:v>90471</c:v>
                </c:pt>
                <c:pt idx="3">
                  <c:v>90471</c:v>
                </c:pt>
                <c:pt idx="4">
                  <c:v>90471</c:v>
                </c:pt>
                <c:pt idx="5">
                  <c:v>90471</c:v>
                </c:pt>
                <c:pt idx="6">
                  <c:v>90471</c:v>
                </c:pt>
                <c:pt idx="7">
                  <c:v>90471</c:v>
                </c:pt>
                <c:pt idx="8">
                  <c:v>85161</c:v>
                </c:pt>
                <c:pt idx="9">
                  <c:v>81975</c:v>
                </c:pt>
                <c:pt idx="10">
                  <c:v>81975</c:v>
                </c:pt>
                <c:pt idx="11">
                  <c:v>81975</c:v>
                </c:pt>
                <c:pt idx="12">
                  <c:v>81975</c:v>
                </c:pt>
                <c:pt idx="13">
                  <c:v>81975</c:v>
                </c:pt>
                <c:pt idx="14">
                  <c:v>81975</c:v>
                </c:pt>
                <c:pt idx="15">
                  <c:v>81975</c:v>
                </c:pt>
                <c:pt idx="16">
                  <c:v>81975</c:v>
                </c:pt>
                <c:pt idx="17">
                  <c:v>78789</c:v>
                </c:pt>
                <c:pt idx="18">
                  <c:v>78789</c:v>
                </c:pt>
                <c:pt idx="19">
                  <c:v>78789</c:v>
                </c:pt>
                <c:pt idx="20">
                  <c:v>78789</c:v>
                </c:pt>
                <c:pt idx="21">
                  <c:v>78789</c:v>
                </c:pt>
                <c:pt idx="22">
                  <c:v>78789</c:v>
                </c:pt>
                <c:pt idx="23">
                  <c:v>78789</c:v>
                </c:pt>
                <c:pt idx="24">
                  <c:v>78789</c:v>
                </c:pt>
                <c:pt idx="25">
                  <c:v>78789</c:v>
                </c:pt>
                <c:pt idx="26">
                  <c:v>74541</c:v>
                </c:pt>
                <c:pt idx="27">
                  <c:v>74541</c:v>
                </c:pt>
                <c:pt idx="28">
                  <c:v>74541</c:v>
                </c:pt>
                <c:pt idx="29">
                  <c:v>74541</c:v>
                </c:pt>
                <c:pt idx="30">
                  <c:v>74541</c:v>
                </c:pt>
                <c:pt idx="31">
                  <c:v>74541</c:v>
                </c:pt>
                <c:pt idx="32">
                  <c:v>74541</c:v>
                </c:pt>
                <c:pt idx="33">
                  <c:v>74541</c:v>
                </c:pt>
                <c:pt idx="34">
                  <c:v>74541</c:v>
                </c:pt>
                <c:pt idx="35">
                  <c:v>74541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9D-6E43-85A9-1160D6B47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EUR / mois</a:t>
                </a:r>
              </a:p>
            </c:rich>
          </c:tx>
          <c:overlay val="1"/>
        </c:title>
        <c:numFmt formatCode="#,##0\ &quot;€&quot;" sourceLinked="0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Déploiements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max"/>
        <c:crossBetween val="between"/>
      </c:valAx>
      <c:dateAx>
        <c:axId val="89575287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auto val="1"/>
        <c:lblOffset val="100"/>
        <c:baseTimeUnit val="months"/>
      </c:dateAx>
    </c:plotArea>
    <c:legend>
      <c:legendPos val="b"/>
      <c:layout>
        <c:manualLayout>
          <c:xMode val="edge"/>
          <c:yMode val="edge"/>
          <c:x val="0.61426962893578818"/>
          <c:y val="2.3438018866764214E-2"/>
          <c:w val="0.37121281308237963"/>
          <c:h val="7.0612923856494522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Coût IKS résiduel cumulé jusqu'à extinction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Coût IKS restant à payer (€)</c:v>
          </c:tx>
          <c:spPr>
            <a:ln w="31750"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numRef>
              <c:f>'Extinction IKS'!ex_m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'Extinction IKS'!ex_res</c:f>
              <c:numCache>
                <c:formatCode>#\ ##0" €";\-#\ ##0" €";\-</c:formatCode>
                <c:ptCount val="36"/>
                <c:pt idx="0">
                  <c:v>2919240</c:v>
                </c:pt>
                <c:pt idx="1">
                  <c:v>2828769</c:v>
                </c:pt>
                <c:pt idx="2">
                  <c:v>2738298</c:v>
                </c:pt>
                <c:pt idx="3">
                  <c:v>2647827</c:v>
                </c:pt>
                <c:pt idx="4">
                  <c:v>2557356</c:v>
                </c:pt>
                <c:pt idx="5">
                  <c:v>2466885</c:v>
                </c:pt>
                <c:pt idx="6">
                  <c:v>2376414</c:v>
                </c:pt>
                <c:pt idx="7">
                  <c:v>2285943</c:v>
                </c:pt>
                <c:pt idx="8">
                  <c:v>2195472</c:v>
                </c:pt>
                <c:pt idx="9">
                  <c:v>2110311</c:v>
                </c:pt>
                <c:pt idx="10">
                  <c:v>2028336</c:v>
                </c:pt>
                <c:pt idx="11">
                  <c:v>1946361</c:v>
                </c:pt>
                <c:pt idx="12">
                  <c:v>1864386</c:v>
                </c:pt>
                <c:pt idx="13">
                  <c:v>1782411</c:v>
                </c:pt>
                <c:pt idx="14">
                  <c:v>1700436</c:v>
                </c:pt>
                <c:pt idx="15">
                  <c:v>1618461</c:v>
                </c:pt>
                <c:pt idx="16">
                  <c:v>1536486</c:v>
                </c:pt>
                <c:pt idx="17">
                  <c:v>1454511</c:v>
                </c:pt>
                <c:pt idx="18">
                  <c:v>1375722</c:v>
                </c:pt>
                <c:pt idx="19">
                  <c:v>1296933</c:v>
                </c:pt>
                <c:pt idx="20">
                  <c:v>1218144</c:v>
                </c:pt>
                <c:pt idx="21">
                  <c:v>1139355</c:v>
                </c:pt>
                <c:pt idx="22">
                  <c:v>1060566</c:v>
                </c:pt>
                <c:pt idx="23">
                  <c:v>981777</c:v>
                </c:pt>
                <c:pt idx="24">
                  <c:v>902988</c:v>
                </c:pt>
                <c:pt idx="25">
                  <c:v>824199</c:v>
                </c:pt>
                <c:pt idx="26">
                  <c:v>745410</c:v>
                </c:pt>
                <c:pt idx="27">
                  <c:v>670869</c:v>
                </c:pt>
                <c:pt idx="28">
                  <c:v>596328</c:v>
                </c:pt>
                <c:pt idx="29">
                  <c:v>521787</c:v>
                </c:pt>
                <c:pt idx="30">
                  <c:v>447246</c:v>
                </c:pt>
                <c:pt idx="31">
                  <c:v>372705</c:v>
                </c:pt>
                <c:pt idx="32">
                  <c:v>298164</c:v>
                </c:pt>
                <c:pt idx="33">
                  <c:v>223623</c:v>
                </c:pt>
                <c:pt idx="34">
                  <c:v>149082</c:v>
                </c:pt>
                <c:pt idx="35">
                  <c:v>74541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8-7D43-BF8B-7B8E759F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numFmt formatCode="#,##0\ &quot;€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CPU provisionné (vCPU)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Synthèse!$C$22</c:f>
              <c:strCache>
                <c:ptCount val="1"/>
                <c:pt idx="0">
                  <c:v>CPU provisionné IKS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Synthèse!ch_cpu_iks</c:f>
              <c:numCache>
                <c:formatCode>#,##0</c:formatCode>
                <c:ptCount val="36"/>
                <c:pt idx="0">
                  <c:v>2304</c:v>
                </c:pt>
                <c:pt idx="1">
                  <c:v>2304</c:v>
                </c:pt>
                <c:pt idx="2">
                  <c:v>2304</c:v>
                </c:pt>
                <c:pt idx="3">
                  <c:v>2304</c:v>
                </c:pt>
                <c:pt idx="4">
                  <c:v>2304</c:v>
                </c:pt>
                <c:pt idx="5">
                  <c:v>2304</c:v>
                </c:pt>
                <c:pt idx="6">
                  <c:v>2304</c:v>
                </c:pt>
                <c:pt idx="7">
                  <c:v>2304</c:v>
                </c:pt>
                <c:pt idx="8">
                  <c:v>2144</c:v>
                </c:pt>
                <c:pt idx="9">
                  <c:v>2048</c:v>
                </c:pt>
                <c:pt idx="10">
                  <c:v>2048</c:v>
                </c:pt>
                <c:pt idx="11">
                  <c:v>2048</c:v>
                </c:pt>
                <c:pt idx="12">
                  <c:v>2048</c:v>
                </c:pt>
                <c:pt idx="13">
                  <c:v>2048</c:v>
                </c:pt>
                <c:pt idx="14">
                  <c:v>2048</c:v>
                </c:pt>
                <c:pt idx="15">
                  <c:v>2048</c:v>
                </c:pt>
                <c:pt idx="16">
                  <c:v>2048</c:v>
                </c:pt>
                <c:pt idx="17">
                  <c:v>1952</c:v>
                </c:pt>
                <c:pt idx="18">
                  <c:v>1952</c:v>
                </c:pt>
                <c:pt idx="19">
                  <c:v>1952</c:v>
                </c:pt>
                <c:pt idx="20">
                  <c:v>1952</c:v>
                </c:pt>
                <c:pt idx="21">
                  <c:v>1952</c:v>
                </c:pt>
                <c:pt idx="22">
                  <c:v>1952</c:v>
                </c:pt>
                <c:pt idx="23">
                  <c:v>1952</c:v>
                </c:pt>
                <c:pt idx="24">
                  <c:v>1952</c:v>
                </c:pt>
                <c:pt idx="25">
                  <c:v>1952</c:v>
                </c:pt>
                <c:pt idx="26">
                  <c:v>1824</c:v>
                </c:pt>
                <c:pt idx="27">
                  <c:v>1824</c:v>
                </c:pt>
                <c:pt idx="28">
                  <c:v>1824</c:v>
                </c:pt>
                <c:pt idx="29">
                  <c:v>1824</c:v>
                </c:pt>
                <c:pt idx="30">
                  <c:v>1824</c:v>
                </c:pt>
                <c:pt idx="31">
                  <c:v>1824</c:v>
                </c:pt>
                <c:pt idx="32">
                  <c:v>1824</c:v>
                </c:pt>
                <c:pt idx="33">
                  <c:v>1824</c:v>
                </c:pt>
                <c:pt idx="34">
                  <c:v>1824</c:v>
                </c:pt>
                <c:pt idx="35">
                  <c:v>1824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1F-2747-B7C1-3FD613127675}"/>
            </c:ext>
          </c:extLst>
        </c:ser>
        <c:ser>
          <c:idx val="1"/>
          <c:order val="1"/>
          <c:tx>
            <c:strRef>
              <c:f>Synthèse!$D$22</c:f>
              <c:strCache>
                <c:ptCount val="1"/>
                <c:pt idx="0">
                  <c:v>CPU provisionné ROKS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Synthèse!ch_cpu_roks</c:f>
              <c:numCache>
                <c:formatCode>#,##0</c:formatCode>
                <c:ptCount val="36"/>
                <c:pt idx="0">
                  <c:v>720</c:v>
                </c:pt>
                <c:pt idx="1">
                  <c:v>720</c:v>
                </c:pt>
                <c:pt idx="2">
                  <c:v>720</c:v>
                </c:pt>
                <c:pt idx="3">
                  <c:v>720</c:v>
                </c:pt>
                <c:pt idx="4">
                  <c:v>720</c:v>
                </c:pt>
                <c:pt idx="5">
                  <c:v>720</c:v>
                </c:pt>
                <c:pt idx="6">
                  <c:v>736</c:v>
                </c:pt>
                <c:pt idx="7">
                  <c:v>736</c:v>
                </c:pt>
                <c:pt idx="8">
                  <c:v>736</c:v>
                </c:pt>
                <c:pt idx="9">
                  <c:v>736</c:v>
                </c:pt>
                <c:pt idx="10">
                  <c:v>736</c:v>
                </c:pt>
                <c:pt idx="11">
                  <c:v>736</c:v>
                </c:pt>
                <c:pt idx="12">
                  <c:v>736</c:v>
                </c:pt>
                <c:pt idx="13">
                  <c:v>736</c:v>
                </c:pt>
                <c:pt idx="14">
                  <c:v>736</c:v>
                </c:pt>
                <c:pt idx="15">
                  <c:v>752</c:v>
                </c:pt>
                <c:pt idx="16">
                  <c:v>752</c:v>
                </c:pt>
                <c:pt idx="17">
                  <c:v>752</c:v>
                </c:pt>
                <c:pt idx="18">
                  <c:v>752</c:v>
                </c:pt>
                <c:pt idx="19">
                  <c:v>752</c:v>
                </c:pt>
                <c:pt idx="20">
                  <c:v>752</c:v>
                </c:pt>
                <c:pt idx="21">
                  <c:v>752</c:v>
                </c:pt>
                <c:pt idx="22">
                  <c:v>752</c:v>
                </c:pt>
                <c:pt idx="23">
                  <c:v>768</c:v>
                </c:pt>
                <c:pt idx="24">
                  <c:v>768</c:v>
                </c:pt>
                <c:pt idx="25">
                  <c:v>768</c:v>
                </c:pt>
                <c:pt idx="26">
                  <c:v>768</c:v>
                </c:pt>
                <c:pt idx="27">
                  <c:v>768</c:v>
                </c:pt>
                <c:pt idx="28">
                  <c:v>768</c:v>
                </c:pt>
                <c:pt idx="29">
                  <c:v>768</c:v>
                </c:pt>
                <c:pt idx="30">
                  <c:v>768</c:v>
                </c:pt>
                <c:pt idx="31">
                  <c:v>768</c:v>
                </c:pt>
                <c:pt idx="32">
                  <c:v>768</c:v>
                </c:pt>
                <c:pt idx="33">
                  <c:v>768</c:v>
                </c:pt>
                <c:pt idx="34">
                  <c:v>768</c:v>
                </c:pt>
                <c:pt idx="35">
                  <c:v>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1F-2747-B7C1-3FD613127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vCPU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RAM provisionnée (Go)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Synthèse!$E$22</c:f>
              <c:strCache>
                <c:ptCount val="1"/>
                <c:pt idx="0">
                  <c:v>RAM provisionnée IKS (Go)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Synthèse!ch_ram_iks</c:f>
              <c:numCache>
                <c:formatCode>#,##0</c:formatCode>
                <c:ptCount val="36"/>
                <c:pt idx="0">
                  <c:v>14208</c:v>
                </c:pt>
                <c:pt idx="1">
                  <c:v>14208</c:v>
                </c:pt>
                <c:pt idx="2">
                  <c:v>14208</c:v>
                </c:pt>
                <c:pt idx="3">
                  <c:v>14208</c:v>
                </c:pt>
                <c:pt idx="4">
                  <c:v>14208</c:v>
                </c:pt>
                <c:pt idx="5">
                  <c:v>14208</c:v>
                </c:pt>
                <c:pt idx="6">
                  <c:v>14208</c:v>
                </c:pt>
                <c:pt idx="7">
                  <c:v>14208</c:v>
                </c:pt>
                <c:pt idx="8">
                  <c:v>13568</c:v>
                </c:pt>
                <c:pt idx="9">
                  <c:v>13184</c:v>
                </c:pt>
                <c:pt idx="10">
                  <c:v>13184</c:v>
                </c:pt>
                <c:pt idx="11">
                  <c:v>13184</c:v>
                </c:pt>
                <c:pt idx="12">
                  <c:v>13184</c:v>
                </c:pt>
                <c:pt idx="13">
                  <c:v>13184</c:v>
                </c:pt>
                <c:pt idx="14">
                  <c:v>13184</c:v>
                </c:pt>
                <c:pt idx="15">
                  <c:v>13184</c:v>
                </c:pt>
                <c:pt idx="16">
                  <c:v>13184</c:v>
                </c:pt>
                <c:pt idx="17">
                  <c:v>12800</c:v>
                </c:pt>
                <c:pt idx="18">
                  <c:v>12800</c:v>
                </c:pt>
                <c:pt idx="19">
                  <c:v>12800</c:v>
                </c:pt>
                <c:pt idx="20">
                  <c:v>12800</c:v>
                </c:pt>
                <c:pt idx="21">
                  <c:v>12800</c:v>
                </c:pt>
                <c:pt idx="22">
                  <c:v>12800</c:v>
                </c:pt>
                <c:pt idx="23">
                  <c:v>12800</c:v>
                </c:pt>
                <c:pt idx="24">
                  <c:v>12800</c:v>
                </c:pt>
                <c:pt idx="25">
                  <c:v>12800</c:v>
                </c:pt>
                <c:pt idx="26">
                  <c:v>12288</c:v>
                </c:pt>
                <c:pt idx="27">
                  <c:v>12288</c:v>
                </c:pt>
                <c:pt idx="28">
                  <c:v>12288</c:v>
                </c:pt>
                <c:pt idx="29">
                  <c:v>12288</c:v>
                </c:pt>
                <c:pt idx="30">
                  <c:v>12288</c:v>
                </c:pt>
                <c:pt idx="31">
                  <c:v>12288</c:v>
                </c:pt>
                <c:pt idx="32">
                  <c:v>12288</c:v>
                </c:pt>
                <c:pt idx="33">
                  <c:v>12288</c:v>
                </c:pt>
                <c:pt idx="34">
                  <c:v>12288</c:v>
                </c:pt>
                <c:pt idx="35">
                  <c:v>12288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59-204E-BD14-7D7A7A6C8509}"/>
            </c:ext>
          </c:extLst>
        </c:ser>
        <c:ser>
          <c:idx val="1"/>
          <c:order val="1"/>
          <c:tx>
            <c:strRef>
              <c:f>Synthèse!$F$22</c:f>
              <c:strCache>
                <c:ptCount val="1"/>
                <c:pt idx="0">
                  <c:v>RAM provisionnée ROKS (Go)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Synthèse!ch_ram_roks</c:f>
              <c:numCache>
                <c:formatCode>#,##0</c:formatCode>
                <c:ptCount val="36"/>
                <c:pt idx="0">
                  <c:v>3120</c:v>
                </c:pt>
                <c:pt idx="1">
                  <c:v>3120</c:v>
                </c:pt>
                <c:pt idx="2">
                  <c:v>3120</c:v>
                </c:pt>
                <c:pt idx="3">
                  <c:v>3120</c:v>
                </c:pt>
                <c:pt idx="4">
                  <c:v>3120</c:v>
                </c:pt>
                <c:pt idx="5">
                  <c:v>3120</c:v>
                </c:pt>
                <c:pt idx="6">
                  <c:v>3200</c:v>
                </c:pt>
                <c:pt idx="7">
                  <c:v>3200</c:v>
                </c:pt>
                <c:pt idx="8">
                  <c:v>3200</c:v>
                </c:pt>
                <c:pt idx="9">
                  <c:v>3200</c:v>
                </c:pt>
                <c:pt idx="10">
                  <c:v>3200</c:v>
                </c:pt>
                <c:pt idx="11">
                  <c:v>3200</c:v>
                </c:pt>
                <c:pt idx="12">
                  <c:v>3200</c:v>
                </c:pt>
                <c:pt idx="13">
                  <c:v>3200</c:v>
                </c:pt>
                <c:pt idx="14">
                  <c:v>3200</c:v>
                </c:pt>
                <c:pt idx="15">
                  <c:v>3280</c:v>
                </c:pt>
                <c:pt idx="16">
                  <c:v>3280</c:v>
                </c:pt>
                <c:pt idx="17">
                  <c:v>3280</c:v>
                </c:pt>
                <c:pt idx="18">
                  <c:v>3280</c:v>
                </c:pt>
                <c:pt idx="19">
                  <c:v>3280</c:v>
                </c:pt>
                <c:pt idx="20">
                  <c:v>3280</c:v>
                </c:pt>
                <c:pt idx="21">
                  <c:v>3280</c:v>
                </c:pt>
                <c:pt idx="22">
                  <c:v>3280</c:v>
                </c:pt>
                <c:pt idx="23">
                  <c:v>3360</c:v>
                </c:pt>
                <c:pt idx="24">
                  <c:v>3360</c:v>
                </c:pt>
                <c:pt idx="25">
                  <c:v>3360</c:v>
                </c:pt>
                <c:pt idx="26">
                  <c:v>3360</c:v>
                </c:pt>
                <c:pt idx="27">
                  <c:v>3360</c:v>
                </c:pt>
                <c:pt idx="28">
                  <c:v>3360</c:v>
                </c:pt>
                <c:pt idx="29">
                  <c:v>3360</c:v>
                </c:pt>
                <c:pt idx="30">
                  <c:v>3360</c:v>
                </c:pt>
                <c:pt idx="31">
                  <c:v>3360</c:v>
                </c:pt>
                <c:pt idx="32">
                  <c:v>3360</c:v>
                </c:pt>
                <c:pt idx="33">
                  <c:v>3360</c:v>
                </c:pt>
                <c:pt idx="34">
                  <c:v>3360</c:v>
                </c:pt>
                <c:pt idx="35">
                  <c:v>3360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59-204E-BD14-7D7A7A6C8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Go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Coûts mensuels IKS + ROKS (€)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Synthèse!$I$22</c:f>
              <c:strCache>
                <c:ptCount val="1"/>
                <c:pt idx="0">
                  <c:v>Coût IKS €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Synthèse!ch_cout_iks</c:f>
              <c:numCache>
                <c:formatCode>#\ ##0" €";\-#\ ##0" €";\-</c:formatCode>
                <c:ptCount val="36"/>
                <c:pt idx="0">
                  <c:v>90471</c:v>
                </c:pt>
                <c:pt idx="1">
                  <c:v>90471</c:v>
                </c:pt>
                <c:pt idx="2">
                  <c:v>90471</c:v>
                </c:pt>
                <c:pt idx="3">
                  <c:v>90471</c:v>
                </c:pt>
                <c:pt idx="4">
                  <c:v>90471</c:v>
                </c:pt>
                <c:pt idx="5">
                  <c:v>90471</c:v>
                </c:pt>
                <c:pt idx="6">
                  <c:v>90471</c:v>
                </c:pt>
                <c:pt idx="7">
                  <c:v>90471</c:v>
                </c:pt>
                <c:pt idx="8">
                  <c:v>85161</c:v>
                </c:pt>
                <c:pt idx="9">
                  <c:v>81975</c:v>
                </c:pt>
                <c:pt idx="10">
                  <c:v>81975</c:v>
                </c:pt>
                <c:pt idx="11">
                  <c:v>81975</c:v>
                </c:pt>
                <c:pt idx="12">
                  <c:v>81975</c:v>
                </c:pt>
                <c:pt idx="13">
                  <c:v>81975</c:v>
                </c:pt>
                <c:pt idx="14">
                  <c:v>81975</c:v>
                </c:pt>
                <c:pt idx="15">
                  <c:v>81975</c:v>
                </c:pt>
                <c:pt idx="16">
                  <c:v>81975</c:v>
                </c:pt>
                <c:pt idx="17">
                  <c:v>78789</c:v>
                </c:pt>
                <c:pt idx="18">
                  <c:v>78789</c:v>
                </c:pt>
                <c:pt idx="19">
                  <c:v>78789</c:v>
                </c:pt>
                <c:pt idx="20">
                  <c:v>78789</c:v>
                </c:pt>
                <c:pt idx="21">
                  <c:v>78789</c:v>
                </c:pt>
                <c:pt idx="22">
                  <c:v>78789</c:v>
                </c:pt>
                <c:pt idx="23">
                  <c:v>78789</c:v>
                </c:pt>
                <c:pt idx="24">
                  <c:v>78789</c:v>
                </c:pt>
                <c:pt idx="25">
                  <c:v>78789</c:v>
                </c:pt>
                <c:pt idx="26">
                  <c:v>74541</c:v>
                </c:pt>
                <c:pt idx="27">
                  <c:v>74541</c:v>
                </c:pt>
                <c:pt idx="28">
                  <c:v>74541</c:v>
                </c:pt>
                <c:pt idx="29">
                  <c:v>74541</c:v>
                </c:pt>
                <c:pt idx="30">
                  <c:v>74541</c:v>
                </c:pt>
                <c:pt idx="31">
                  <c:v>74541</c:v>
                </c:pt>
                <c:pt idx="32">
                  <c:v>74541</c:v>
                </c:pt>
                <c:pt idx="33">
                  <c:v>74541</c:v>
                </c:pt>
                <c:pt idx="34">
                  <c:v>74541</c:v>
                </c:pt>
                <c:pt idx="35">
                  <c:v>74541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5-9843-9D85-CCFB47089356}"/>
            </c:ext>
          </c:extLst>
        </c:ser>
        <c:ser>
          <c:idx val="1"/>
          <c:order val="1"/>
          <c:tx>
            <c:strRef>
              <c:f>Synthèse!$J$22</c:f>
              <c:strCache>
                <c:ptCount val="1"/>
                <c:pt idx="0">
                  <c:v>Coût ROKS €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Synthèse!ch_cout_roks</c:f>
              <c:numCache>
                <c:formatCode>#\ ##0" €";\-#\ ##0" €";\-</c:formatCode>
                <c:ptCount val="36"/>
                <c:pt idx="0">
                  <c:v>31584</c:v>
                </c:pt>
                <c:pt idx="1">
                  <c:v>31584</c:v>
                </c:pt>
                <c:pt idx="2">
                  <c:v>31584</c:v>
                </c:pt>
                <c:pt idx="3">
                  <c:v>31584</c:v>
                </c:pt>
                <c:pt idx="4">
                  <c:v>31584</c:v>
                </c:pt>
                <c:pt idx="5">
                  <c:v>31584</c:v>
                </c:pt>
                <c:pt idx="6">
                  <c:v>32320</c:v>
                </c:pt>
                <c:pt idx="7">
                  <c:v>32320</c:v>
                </c:pt>
                <c:pt idx="8">
                  <c:v>32320</c:v>
                </c:pt>
                <c:pt idx="9">
                  <c:v>32320</c:v>
                </c:pt>
                <c:pt idx="10">
                  <c:v>32320</c:v>
                </c:pt>
                <c:pt idx="11">
                  <c:v>32320</c:v>
                </c:pt>
                <c:pt idx="12">
                  <c:v>32320</c:v>
                </c:pt>
                <c:pt idx="13">
                  <c:v>32320</c:v>
                </c:pt>
                <c:pt idx="14">
                  <c:v>32320</c:v>
                </c:pt>
                <c:pt idx="15">
                  <c:v>33056</c:v>
                </c:pt>
                <c:pt idx="16">
                  <c:v>33056</c:v>
                </c:pt>
                <c:pt idx="17">
                  <c:v>33056</c:v>
                </c:pt>
                <c:pt idx="18">
                  <c:v>33056</c:v>
                </c:pt>
                <c:pt idx="19">
                  <c:v>33056</c:v>
                </c:pt>
                <c:pt idx="20">
                  <c:v>33056</c:v>
                </c:pt>
                <c:pt idx="21">
                  <c:v>33056</c:v>
                </c:pt>
                <c:pt idx="22">
                  <c:v>33056</c:v>
                </c:pt>
                <c:pt idx="23">
                  <c:v>33792</c:v>
                </c:pt>
                <c:pt idx="24">
                  <c:v>33792</c:v>
                </c:pt>
                <c:pt idx="25">
                  <c:v>33792</c:v>
                </c:pt>
                <c:pt idx="26">
                  <c:v>33792</c:v>
                </c:pt>
                <c:pt idx="27">
                  <c:v>33792</c:v>
                </c:pt>
                <c:pt idx="28">
                  <c:v>33792</c:v>
                </c:pt>
                <c:pt idx="29">
                  <c:v>33792</c:v>
                </c:pt>
                <c:pt idx="30">
                  <c:v>33792</c:v>
                </c:pt>
                <c:pt idx="31">
                  <c:v>33792</c:v>
                </c:pt>
                <c:pt idx="32">
                  <c:v>33792</c:v>
                </c:pt>
                <c:pt idx="33">
                  <c:v>33792</c:v>
                </c:pt>
                <c:pt idx="34">
                  <c:v>33792</c:v>
                </c:pt>
                <c:pt idx="35">
                  <c:v>33792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5-9843-9D85-CCFB4708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date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numFmt formatCode="#\ ##0&quot; €&quot;;\-#\ ##0&quot; €&quot;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Surcoût du double run (€) : mensuel et cumulé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Synthèse!$L$22</c:f>
              <c:strCache>
                <c:ptCount val="1"/>
                <c:pt idx="0">
                  <c:v>Surcoût double run mensuel €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Synthèse!ch_dr_mois</c:f>
              <c:numCache>
                <c:formatCode>#\ ##0" €";\-#\ ##0" €";\-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2124</c:v>
                </c:pt>
                <c:pt idx="7">
                  <c:v>2124</c:v>
                </c:pt>
                <c:pt idx="8">
                  <c:v>3186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3186</c:v>
                </c:pt>
                <c:pt idx="16">
                  <c:v>3186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1062</c:v>
                </c:pt>
                <c:pt idx="24">
                  <c:v>1062</c:v>
                </c:pt>
                <c:pt idx="25">
                  <c:v>1062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5-084C-86D0-441F7B1C9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Synthèse!$M$22</c:f>
              <c:strCache>
                <c:ptCount val="1"/>
                <c:pt idx="0">
                  <c:v>Surcoût double run cumulé €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Synthèse!ch_mois</c:f>
              <c:numCache>
                <c:formatCode>mmm\-yy</c:formatCode>
                <c:ptCount val="36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</c:numCache>
            </c:numRef>
          </c:cat>
          <c:val>
            <c:numRef>
              <c:f>Synthèse!ch_dr_cumul</c:f>
              <c:numCache>
                <c:formatCode>#\ ##0" €";\-#\ ##0" €";\-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2124</c:v>
                </c:pt>
                <c:pt idx="7">
                  <c:v>4248</c:v>
                </c:pt>
                <c:pt idx="8">
                  <c:v>7434</c:v>
                </c:pt>
                <c:pt idx="9">
                  <c:v>7434</c:v>
                </c:pt>
                <c:pt idx="10">
                  <c:v>7434</c:v>
                </c:pt>
                <c:pt idx="11">
                  <c:v>7434</c:v>
                </c:pt>
                <c:pt idx="12">
                  <c:v>7434</c:v>
                </c:pt>
                <c:pt idx="13">
                  <c:v>7434</c:v>
                </c:pt>
                <c:pt idx="14">
                  <c:v>7434</c:v>
                </c:pt>
                <c:pt idx="15">
                  <c:v>10620</c:v>
                </c:pt>
                <c:pt idx="16">
                  <c:v>13806</c:v>
                </c:pt>
                <c:pt idx="17">
                  <c:v>13806</c:v>
                </c:pt>
                <c:pt idx="18">
                  <c:v>13806</c:v>
                </c:pt>
                <c:pt idx="19">
                  <c:v>13806</c:v>
                </c:pt>
                <c:pt idx="20">
                  <c:v>13806</c:v>
                </c:pt>
                <c:pt idx="21">
                  <c:v>13806</c:v>
                </c:pt>
                <c:pt idx="22">
                  <c:v>13806</c:v>
                </c:pt>
                <c:pt idx="23">
                  <c:v>14868</c:v>
                </c:pt>
                <c:pt idx="24">
                  <c:v>15930</c:v>
                </c:pt>
                <c:pt idx="25">
                  <c:v>16992</c:v>
                </c:pt>
                <c:pt idx="26">
                  <c:v>16992</c:v>
                </c:pt>
                <c:pt idx="27">
                  <c:v>16992</c:v>
                </c:pt>
                <c:pt idx="28">
                  <c:v>16992</c:v>
                </c:pt>
                <c:pt idx="29">
                  <c:v>16992</c:v>
                </c:pt>
                <c:pt idx="30">
                  <c:v>16992</c:v>
                </c:pt>
                <c:pt idx="31">
                  <c:v>16992</c:v>
                </c:pt>
                <c:pt idx="32">
                  <c:v>16992</c:v>
                </c:pt>
                <c:pt idx="33">
                  <c:v>16992</c:v>
                </c:pt>
                <c:pt idx="34">
                  <c:v>16992</c:v>
                </c:pt>
                <c:pt idx="35">
                  <c:v>16992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55-084C-86D0-441F7B1C9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date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numFmt formatCode="#\ ##0&quot; €&quot;;\-#\ ##0&quot; €&quot;;\-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Cumulé</a:t>
                </a:r>
              </a:p>
            </c:rich>
          </c:tx>
          <c:overlay val="1"/>
        </c:title>
        <c:numFmt formatCode="#\ ##0&quot; €&quot;;\-#\ ##0&quot; €&quot;;\-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131040</xdr:rowOff>
    </xdr:from>
    <xdr:to>
      <xdr:col>14</xdr:col>
      <xdr:colOff>605440</xdr:colOff>
      <xdr:row>33</xdr:row>
      <xdr:rowOff>47880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41</xdr:row>
      <xdr:rowOff>130680</xdr:rowOff>
    </xdr:from>
    <xdr:to>
      <xdr:col>11</xdr:col>
      <xdr:colOff>558800</xdr:colOff>
      <xdr:row>59</xdr:row>
      <xdr:rowOff>121320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12700</xdr:colOff>
      <xdr:row>41</xdr:row>
      <xdr:rowOff>79880</xdr:rowOff>
    </xdr:from>
    <xdr:to>
      <xdr:col>36</xdr:col>
      <xdr:colOff>381000</xdr:colOff>
      <xdr:row>59</xdr:row>
      <xdr:rowOff>70520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12</xdr:row>
      <xdr:rowOff>79880</xdr:rowOff>
    </xdr:from>
    <xdr:to>
      <xdr:col>14</xdr:col>
      <xdr:colOff>825500</xdr:colOff>
      <xdr:row>29</xdr:row>
      <xdr:rowOff>93660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152400</xdr:colOff>
      <xdr:row>10</xdr:row>
      <xdr:rowOff>194180</xdr:rowOff>
    </xdr:from>
    <xdr:to>
      <xdr:col>30</xdr:col>
      <xdr:colOff>190500</xdr:colOff>
      <xdr:row>31</xdr:row>
      <xdr:rowOff>114300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130680</xdr:rowOff>
    </xdr:from>
    <xdr:to>
      <xdr:col>8</xdr:col>
      <xdr:colOff>166380</xdr:colOff>
      <xdr:row>26</xdr:row>
      <xdr:rowOff>142200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130680</xdr:rowOff>
    </xdr:from>
    <xdr:to>
      <xdr:col>21</xdr:col>
      <xdr:colOff>290160</xdr:colOff>
      <xdr:row>26</xdr:row>
      <xdr:rowOff>142200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0</xdr:colOff>
      <xdr:row>10</xdr:row>
      <xdr:rowOff>130680</xdr:rowOff>
    </xdr:from>
    <xdr:to>
      <xdr:col>32</xdr:col>
      <xdr:colOff>290160</xdr:colOff>
      <xdr:row>26</xdr:row>
      <xdr:rowOff>142200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130680</xdr:rowOff>
    </xdr:from>
    <xdr:to>
      <xdr:col>10</xdr:col>
      <xdr:colOff>190500</xdr:colOff>
      <xdr:row>27</xdr:row>
      <xdr:rowOff>131760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406400</xdr:colOff>
      <xdr:row>10</xdr:row>
      <xdr:rowOff>130680</xdr:rowOff>
    </xdr:from>
    <xdr:to>
      <xdr:col>28</xdr:col>
      <xdr:colOff>266700</xdr:colOff>
      <xdr:row>27</xdr:row>
      <xdr:rowOff>131760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160560</xdr:rowOff>
    </xdr:from>
    <xdr:to>
      <xdr:col>35</xdr:col>
      <xdr:colOff>4680</xdr:colOff>
      <xdr:row>14</xdr:row>
      <xdr:rowOff>136080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0</xdr:colOff>
      <xdr:row>17</xdr:row>
      <xdr:rowOff>160560</xdr:rowOff>
    </xdr:from>
    <xdr:to>
      <xdr:col>35</xdr:col>
      <xdr:colOff>4680</xdr:colOff>
      <xdr:row>30</xdr:row>
      <xdr:rowOff>2880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25</xdr:col>
      <xdr:colOff>0</xdr:colOff>
      <xdr:row>33</xdr:row>
      <xdr:rowOff>160560</xdr:rowOff>
    </xdr:from>
    <xdr:to>
      <xdr:col>35</xdr:col>
      <xdr:colOff>4680</xdr:colOff>
      <xdr:row>48</xdr:row>
      <xdr:rowOff>2880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0</xdr:colOff>
      <xdr:row>49</xdr:row>
      <xdr:rowOff>160920</xdr:rowOff>
    </xdr:from>
    <xdr:to>
      <xdr:col>35</xdr:col>
      <xdr:colOff>4680</xdr:colOff>
      <xdr:row>62</xdr:row>
      <xdr:rowOff>384120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Applications" displayName="TblApplications" ref="A5:AR305" totalsRowShown="0">
  <autoFilter ref="A5:AR305" xr:uid="{00000000-0009-0000-0100-000002000000}"/>
  <tableColumns count="44">
    <tableColumn id="1" xr3:uid="{00000000-0010-0000-0000-000001000000}" name="Domaine"/>
    <tableColumn id="2" xr3:uid="{00000000-0010-0000-0000-000002000000}" name="Tribe"/>
    <tableColumn id="3" xr3:uid="{00000000-0010-0000-0000-000003000000}" name="ID"/>
    <tableColumn id="4" xr3:uid="{00000000-0010-0000-0000-000004000000}" name="Application"/>
    <tableColumn id="5" xr3:uid="{00000000-0010-0000-0000-000005000000}" name="Environnement"/>
    <tableColumn id="6" xr3:uid="{00000000-0010-0000-0000-000006000000}" name="Couloir"/>
    <tableColumn id="7" xr3:uid="{00000000-0010-0000-0000-000007000000}" name="Action"/>
    <tableColumn id="8" xr3:uid="{00000000-0010-0000-0000-000008000000}" name="Déjà incluse ROKS"/>
    <tableColumn id="9" xr3:uid="{00000000-0010-0000-0000-000009000000}" name="Cluster IKS source"/>
    <tableColumn id="10" xr3:uid="{00000000-0010-0000-0000-00000A000000}" name="Données secrètes / sensibles ?"/>
    <tableColumn id="11" xr3:uid="{00000000-0010-0000-0000-00000B000000}" name="Contraintes sécurité / RGPD fortes ?"/>
    <tableColumn id="12" xr3:uid="{00000000-0010-0000-0000-00000C000000}" name="Isolement fort requis ?"/>
    <tableColumn id="13" xr3:uid="{00000000-0010-0000-0000-00000D000000}" name="Volume important / atypique ?"/>
    <tableColumn id="14" xr3:uid="{00000000-0010-0000-0000-00000E000000}" name="Cluster ROKS recommandé (aide)"/>
    <tableColumn id="15" xr3:uid="{00000000-0010-0000-0000-00000F000000}" name="Cluster ROKS cible"/>
    <tableColumn id="16" xr3:uid="{00000000-0010-0000-0000-000010000000}" name="CPU Dynatrace (vCPU)"/>
    <tableColumn id="17" xr3:uid="{00000000-0010-0000-0000-000011000000}" name="RAM Dynatrace (Go)"/>
    <tableColumn id="18" xr3:uid="{00000000-0010-0000-0000-000012000000}" name="Source Dynatrace"/>
    <tableColumn id="19" xr3:uid="{00000000-0010-0000-0000-000013000000}" name="CPU IKS libérable (vCPU)"/>
    <tableColumn id="20" xr3:uid="{00000000-0010-0000-0000-000014000000}" name="RAM IKS libérable (Go)"/>
    <tableColumn id="21" xr3:uid="{00000000-0010-0000-0000-000015000000}" name="Mois provisionnement ROKS"/>
    <tableColumn id="22" xr3:uid="{00000000-0010-0000-0000-000016000000}" name="Mois bascule"/>
    <tableColumn id="23" xr3:uid="{00000000-0010-0000-0000-000017000000}" name="Mois libération IKS"/>
    <tableColumn id="24" xr3:uid="{00000000-0010-0000-0000-000018000000}" name="Nature"/>
    <tableColumn id="25" xr3:uid="{00000000-0010-0000-0000-000019000000}" name="Besoin ROKS CPU (vCPU)"/>
    <tableColumn id="26" xr3:uid="{00000000-0010-0000-0000-00001A000000}" name="Besoin ROKS RAM (Go)"/>
    <tableColumn id="27" xr3:uid="{00000000-0010-0000-0000-00001B000000}" name="Mois prov (calc)"/>
    <tableColumn id="28" xr3:uid="{00000000-0010-0000-0000-00001C000000}" name="Mois lib (calc)"/>
    <tableColumn id="29" xr3:uid="{00000000-0010-0000-0000-00001D000000}" name="Double run (mois)"/>
    <tableColumn id="30" xr3:uid="{00000000-0010-0000-0000-00001E000000}" name="Couloirs de l'appli"/>
    <tableColumn id="31" xr3:uid="{00000000-0010-0000-0000-00001F000000}" name="Début migration appli"/>
    <tableColumn id="32" xr3:uid="{00000000-0010-0000-0000-000020000000}" name="Fin migration appli"/>
    <tableColumn id="33" xr3:uid="{00000000-0010-0000-0000-000021000000}" name="Contrôle"/>
    <tableColumn id="34" xr3:uid="{00000000-0010-0000-0000-000022000000}" name="Marge CPU spécifique"/>
    <tableColumn id="35" xr3:uid="{00000000-0010-0000-0000-000023000000}" name="Marge RAM spécifique"/>
    <tableColumn id="36" xr3:uid="{00000000-0010-0000-0000-000024000000}" name="Coût IKS affecté (€)"/>
    <tableColumn id="37" xr3:uid="{00000000-0010-0000-0000-000025000000}" name="Coût ROKS affecté (€)"/>
    <tableColumn id="38" xr3:uid="{00000000-0010-0000-0000-000026000000}" name="Coût total affecté (€)"/>
    <tableColumn id="39" xr3:uid="{00000000-0010-0000-0000-000027000000}" name="Sur IKS au mois d'extinction"/>
    <tableColumn id="40" xr3:uid="{00000000-0010-0000-0000-000028000000}" name="Rang extinction"/>
    <tableColumn id="41" xr3:uid="{00000000-0010-0000-0000-000029000000}" name="CPU IKS libérable forcé"/>
    <tableColumn id="42" xr3:uid="{00000000-0010-0000-0000-00002A000000}" name="RAM IKS libérable forcé"/>
    <tableColumn id="43" xr3:uid="{00000000-0010-0000-0000-00002B000000}" name="CPU Dynatrace forcé"/>
    <tableColumn id="44" xr3:uid="{00000000-0010-0000-0000-00002C000000}" name="RAM Dynatrace forcé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blDynatrace" displayName="TblDynatrace" ref="A5:L305" totalsRowShown="0">
  <autoFilter ref="A5:L305" xr:uid="{00000000-0009-0000-0100-000006000000}"/>
  <tableColumns count="12">
    <tableColumn id="1" xr3:uid="{00000000-0010-0000-0100-000001000000}" name="ID"/>
    <tableColumn id="2" xr3:uid="{00000000-0010-0000-0100-000002000000}" name="Environnement"/>
    <tableColumn id="3" xr3:uid="{00000000-0010-0000-0100-000003000000}" name="Couloir"/>
    <tableColumn id="4" xr3:uid="{00000000-0010-0000-0100-000004000000}" name="Namespace / entité Dynatrace"/>
    <tableColumn id="5" xr3:uid="{00000000-0010-0000-0100-000005000000}" name="Cluster IKS observé"/>
    <tableColumn id="6" xr3:uid="{00000000-0010-0000-0100-000006000000}" name="CPU P95 (vCPU)"/>
    <tableColumn id="7" xr3:uid="{00000000-0010-0000-0100-000007000000}" name="RAM P95 (Go)"/>
    <tableColumn id="8" xr3:uid="{00000000-0010-0000-0100-000008000000}" name="Métrique / période"/>
    <tableColumn id="9" xr3:uid="{00000000-0010-0000-0100-000009000000}" name="Date d'extraction"/>
    <tableColumn id="10" xr3:uid="{00000000-0010-0000-0100-00000A000000}" name="Clé"/>
    <tableColumn id="11" xr3:uid="{00000000-0010-0000-0100-00000B000000}" name="Utilisée dans Applications"/>
    <tableColumn id="12" xr3:uid="{00000000-0010-0000-0100-00000C000000}" name="Contrôl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Clusters" displayName="TblClusters" ref="A5:X45" totalsRowShown="0">
  <autoFilter ref="A5:X45" xr:uid="{00000000-0009-0000-0100-000004000000}"/>
  <tableColumns count="24">
    <tableColumn id="1" xr3:uid="{00000000-0010-0000-0200-000001000000}" name="Plateforme"/>
    <tableColumn id="2" xr3:uid="{00000000-0010-0000-0200-000002000000}" name="Cluster"/>
    <tableColumn id="3" xr3:uid="{00000000-0010-0000-0200-000003000000}" name="Compte"/>
    <tableColumn id="4" xr3:uid="{00000000-0010-0000-0200-000004000000}" name="Utilisation"/>
    <tableColumn id="5" xr3:uid="{00000000-0010-0000-0200-000005000000}" name="Environnement"/>
    <tableColumn id="6" xr3:uid="{00000000-0010-0000-0200-000006000000}" name="Flavor"/>
    <tableColumn id="7" xr3:uid="{00000000-0010-0000-0200-000007000000}" name="Workers initial"/>
    <tableColumn id="8" xr3:uid="{00000000-0010-0000-0200-000008000000}" name="vCPU par nœud"/>
    <tableColumn id="9" xr3:uid="{00000000-0010-0000-0200-000009000000}" name="RAM par nœud (Go)"/>
    <tableColumn id="10" xr3:uid="{00000000-0010-0000-0200-00000A000000}" name="CPU initial (vCPU)"/>
    <tableColumn id="11" xr3:uid="{00000000-0010-0000-0200-00000B000000}" name="RAM initiale (Go)"/>
    <tableColumn id="12" xr3:uid="{00000000-0010-0000-0200-00000C000000}" name="Workers min"/>
    <tableColumn id="13" xr3:uid="{00000000-0010-0000-0200-00000D000000}" name="CPU min (vCPU)"/>
    <tableColumn id="14" xr3:uid="{00000000-0010-0000-0200-00000E000000}" name="RAM min (Go)"/>
    <tableColumn id="15" xr3:uid="{00000000-0010-0000-0200-00000F000000}" name="Tarif par nœud"/>
    <tableColumn id="16" xr3:uid="{00000000-0010-0000-0200-000010000000}" name="Nature"/>
    <tableColumn id="17" xr3:uid="{00000000-0010-0000-0200-000011000000}" name="Contrôle"/>
    <tableColumn id="18" xr3:uid="{00000000-0010-0000-0200-000012000000}" name="Mois de fermeture (saisie)"/>
    <tableColumn id="19" xr3:uid="{00000000-0010-0000-0200-000013000000}" name="Fermeture retenue"/>
    <tableColumn id="20" xr3:uid="{00000000-0010-0000-0200-000014000000}" name="Rang capacités"/>
    <tableColumn id="21" xr3:uid="{00000000-0010-0000-0200-000015000000}" name="Rang extinction"/>
    <tableColumn id="22" xr3:uid="{00000000-0010-0000-0200-000016000000}" name="Occupation CPU (pic)"/>
    <tableColumn id="23" xr3:uid="{00000000-0010-0000-0200-000017000000}" name="Occupation RAM (pic)"/>
    <tableColumn id="24" xr3:uid="{00000000-0010-0000-0200-000018000000}" name="Alerte occupat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blABS" displayName="TblABS" ref="B20:H60" totalsRowShown="0">
  <autoFilter ref="B20:H60" xr:uid="{00000000-0009-0000-0100-000001000000}"/>
  <tableColumns count="7">
    <tableColumn id="1" xr3:uid="{00000000-0010-0000-0300-000001000000}" name="Infra"/>
    <tableColumn id="2" xr3:uid="{00000000-0010-0000-0300-000002000000}" name="Plateforme"/>
    <tableColumn id="3" xr3:uid="{00000000-0010-0000-0300-000003000000}" name="Flavor"/>
    <tableColumn id="4" xr3:uid="{00000000-0010-0000-0300-000004000000}" name="vCPU par nœud"/>
    <tableColumn id="5" xr3:uid="{00000000-0010-0000-0300-000005000000}" name="RAM par nœud (Go)"/>
    <tableColumn id="6" xr3:uid="{00000000-0010-0000-0300-000006000000}" name="Tarif par nœud"/>
    <tableColumn id="7" xr3:uid="{00000000-0010-0000-0300-000007000000}" name="Nature tarif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omaines" displayName="TblDomaines" ref="M20:M40" totalsRowShown="0">
  <autoFilter ref="M20:M40" xr:uid="{00000000-0009-0000-0100-000005000000}"/>
  <tableColumns count="1">
    <tableColumn id="1" xr3:uid="{00000000-0010-0000-0400-000001000000}" name="Domain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blTribes" displayName="TblTribes" ref="J20:K60" totalsRowShown="0">
  <autoFilter ref="J20:K60" xr:uid="{00000000-0009-0000-0100-000007000000}"/>
  <tableColumns count="2">
    <tableColumn id="1" xr3:uid="{00000000-0010-0000-0500-000001000000}" name="Tribe"/>
    <tableColumn id="2" xr3:uid="{00000000-0010-0000-0500-000002000000}" name="Domaine de la trib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blCalculs" displayName="TblCalculs" ref="A5:AI1445" totalsRowShown="0">
  <autoFilter ref="A5:AI1445" xr:uid="{00000000-0009-0000-0100-000003000000}"/>
  <tableColumns count="35">
    <tableColumn id="1" xr3:uid="{00000000-0010-0000-0600-000001000000}" name="k"/>
    <tableColumn id="2" xr3:uid="{00000000-0010-0000-0600-000002000000}" name="Idx cluster"/>
    <tableColumn id="3" xr3:uid="{00000000-0010-0000-0600-000003000000}" name="Idx mois"/>
    <tableColumn id="4" xr3:uid="{00000000-0010-0000-0600-000004000000}" name="Actif"/>
    <tableColumn id="5" xr3:uid="{00000000-0010-0000-0600-000005000000}" name="Mois"/>
    <tableColumn id="6" xr3:uid="{00000000-0010-0000-0600-000006000000}" name="Cluster"/>
    <tableColumn id="7" xr3:uid="{00000000-0010-0000-0600-000007000000}" name="Plateforme"/>
    <tableColumn id="8" xr3:uid="{00000000-0010-0000-0600-000008000000}" name="vCPU par nœud"/>
    <tableColumn id="9" xr3:uid="{00000000-0010-0000-0600-000009000000}" name="RAM par nœud"/>
    <tableColumn id="10" xr3:uid="{00000000-0010-0000-0600-00000A000000}" name="Workers min"/>
    <tableColumn id="11" xr3:uid="{00000000-0010-0000-0600-00000B000000}" name="Tarif par nœud"/>
    <tableColumn id="12" xr3:uid="{00000000-0010-0000-0600-00000C000000}" name="CPU initial"/>
    <tableColumn id="13" xr3:uid="{00000000-0010-0000-0600-00000D000000}" name="RAM initiale"/>
    <tableColumn id="14" xr3:uid="{00000000-0010-0000-0600-00000E000000}" name="CPU min"/>
    <tableColumn id="15" xr3:uid="{00000000-0010-0000-0600-00000F000000}" name="RAM min"/>
    <tableColumn id="16" xr3:uid="{00000000-0010-0000-0600-000010000000}" name="Δ CPU cumulé"/>
    <tableColumn id="17" xr3:uid="{00000000-0010-0000-0600-000011000000}" name="Δ RAM cumulé"/>
    <tableColumn id="18" xr3:uid="{00000000-0010-0000-0600-000012000000}" name="Besoin CPU"/>
    <tableColumn id="19" xr3:uid="{00000000-0010-0000-0600-000013000000}" name="Besoin RAM"/>
    <tableColumn id="20" xr3:uid="{00000000-0010-0000-0600-000014000000}" name="Workers"/>
    <tableColumn id="21" xr3:uid="{00000000-0010-0000-0600-000015000000}" name="CPU provisionné"/>
    <tableColumn id="22" xr3:uid="{00000000-0010-0000-0600-000016000000}" name="RAM provisionnée"/>
    <tableColumn id="23" xr3:uid="{00000000-0010-0000-0600-000017000000}" name="Coût mensuel"/>
    <tableColumn id="24" xr3:uid="{00000000-0010-0000-0600-000018000000}" name="Sans DR – besoin CPU"/>
    <tableColumn id="25" xr3:uid="{00000000-0010-0000-0600-000019000000}" name="Sans DR – besoin RAM"/>
    <tableColumn id="26" xr3:uid="{00000000-0010-0000-0600-00001A000000}" name="Sans DR – workers"/>
    <tableColumn id="27" xr3:uid="{00000000-0010-0000-0600-00001B000000}" name="Sans DR – coût"/>
    <tableColumn id="28" xr3:uid="{00000000-0010-0000-0600-00001C000000}" name="Sans migration – workers"/>
    <tableColumn id="29" xr3:uid="{00000000-0010-0000-0600-00001D000000}" name="Sans migration – coût"/>
    <tableColumn id="30" xr3:uid="{00000000-0010-0000-0600-00001E000000}" name="Alerte plancher IKS"/>
    <tableColumn id="31" xr3:uid="{00000000-0010-0000-0600-00001F000000}" name="Alerte max workers"/>
    <tableColumn id="32" xr3:uid="{00000000-0010-0000-0600-000020000000}" name="Environnement"/>
    <tableColumn id="33" xr3:uid="{00000000-0010-0000-0600-000021000000}" name="Valeur besoin"/>
    <tableColumn id="34" xr3:uid="{00000000-0010-0000-0600-000022000000}" name="Coût par unité"/>
    <tableColumn id="35" xr3:uid="{00000000-0010-0000-0600-000023000000}" name="Fermé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Relationship Id="rId5" Type="http://schemas.openxmlformats.org/officeDocument/2006/relationships/comments" Target="../comments4.xml"/><Relationship Id="rId4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2"/>
  <sheetViews>
    <sheetView showGridLines="0" topLeftCell="A49" zoomScaleNormal="100" workbookViewId="0">
      <selection activeCell="AC69" sqref="AC69"/>
    </sheetView>
  </sheetViews>
  <sheetFormatPr baseColWidth="10" defaultColWidth="8.6640625" defaultRowHeight="15" x14ac:dyDescent="0.2"/>
  <cols>
    <col min="1" max="1" width="2" customWidth="1"/>
    <col min="2" max="3" width="13" customWidth="1"/>
    <col min="4" max="4" width="13.5" bestFit="1" customWidth="1"/>
    <col min="5" max="11" width="13" customWidth="1"/>
    <col min="12" max="12" width="13.5" bestFit="1" customWidth="1"/>
    <col min="13" max="13" width="13" customWidth="1"/>
  </cols>
  <sheetData>
    <row r="1" spans="2:13" ht="20" x14ac:dyDescent="0.2">
      <c r="B1" s="15" t="s">
        <v>0</v>
      </c>
    </row>
    <row r="2" spans="2:13" x14ac:dyDescent="0.2">
      <c r="B2" s="16" t="s">
        <v>1</v>
      </c>
    </row>
    <row r="3" spans="2:13" x14ac:dyDescent="0.2">
      <c r="B3" s="17" t="str">
        <f>"Périmètre affiché : "&amp;C8</f>
        <v>Périmètre affiché : Tous</v>
      </c>
    </row>
    <row r="4" spans="2:13" ht="21.75" customHeight="1" x14ac:dyDescent="0.2">
      <c r="B4" s="14" t="s">
        <v>2</v>
      </c>
      <c r="C4" s="14"/>
      <c r="D4" s="13" t="s">
        <v>3</v>
      </c>
      <c r="E4" s="13"/>
      <c r="F4" s="14" t="s">
        <v>4</v>
      </c>
      <c r="G4" s="14"/>
      <c r="H4" s="12" t="s">
        <v>5</v>
      </c>
      <c r="I4" s="12"/>
      <c r="J4" s="11" t="s">
        <v>6</v>
      </c>
      <c r="K4" s="11"/>
      <c r="L4" s="11" t="s">
        <v>7</v>
      </c>
      <c r="M4" s="11"/>
    </row>
    <row r="5" spans="2:13" ht="39.75" customHeight="1" x14ac:dyDescent="0.2">
      <c r="B5" s="10">
        <f>SUMIFS(TblCalculs[Coût mensuel],TblCalculs[Environnement],p_envcrit)</f>
        <v>4103368</v>
      </c>
      <c r="C5" s="10"/>
      <c r="D5" s="9">
        <f>SUMIFS(TblCalculs[Coût mensuel],TblCalculs[Plateforme],"IKS",TblCalculs[Environnement],p_envcrit)</f>
        <v>2919240</v>
      </c>
      <c r="E5" s="9"/>
      <c r="F5" s="10">
        <f>SUMIFS(TblCalculs[Coût mensuel],TblCalculs[Plateforme],"ROKS",TblCalculs[Environnement],p_envcrit)</f>
        <v>1184128</v>
      </c>
      <c r="G5" s="10"/>
      <c r="H5" s="8">
        <f>SUMIFS(TblCalculs[Coût mensuel],TblCalculs[Environnement],p_envcrit)-SUMIFS(TblCalculs[Sans DR – coût],TblCalculs[Environnement],p_envcrit)</f>
        <v>16992</v>
      </c>
      <c r="I5" s="8"/>
      <c r="J5" s="7">
        <f>SUMIFS(TblCalculs[Coût mensuel],TblCalculs[Environnement],p_envcrit)-SUMIFS(TblCalculs[Sans migration – coût],TblCalculs[Environnement],p_envcrit)</f>
        <v>-290612</v>
      </c>
      <c r="K5" s="7"/>
      <c r="L5" s="6" t="str">
        <f>Synthèse!C17</f>
        <v>OK – aucune anomalie</v>
      </c>
      <c r="M5" s="6"/>
    </row>
    <row r="7" spans="2:13" x14ac:dyDescent="0.2">
      <c r="B7" s="18" t="s">
        <v>8</v>
      </c>
      <c r="C7" s="19" t="str">
        <f>CHOOSE(MONTH(p_debut),"janv.","févr.","mars","avr.","mai","juin","juil.","août","sept.","oct.","nov.","déc.")&amp;" "&amp;YEAR(p_debut)&amp;" → "&amp;CHOOSE(MONTH(p_fin),"janv.","févr.","mars","avr.","mai","juin","juil.","août","sept.","oct.","nov.","déc.")&amp;" "&amp;YEAR(p_fin)&amp;" ("&amp;p_horizon&amp;" mois)"</f>
        <v>oct. 2026 → sept. 2029 (36 mois)</v>
      </c>
    </row>
    <row r="8" spans="2:13" x14ac:dyDescent="0.2">
      <c r="B8" s="18" t="s">
        <v>9</v>
      </c>
      <c r="C8" s="20" t="s">
        <v>10</v>
      </c>
      <c r="D8" s="21" t="str">
        <f>IF(C8="Tous","*",C8)</f>
        <v>*</v>
      </c>
      <c r="E8" s="16" t="s">
        <v>11</v>
      </c>
    </row>
    <row r="36" spans="2:13" x14ac:dyDescent="0.2">
      <c r="B36" s="16" t="s">
        <v>12</v>
      </c>
    </row>
    <row r="37" spans="2:13" x14ac:dyDescent="0.2">
      <c r="B37" s="16" t="s">
        <v>13</v>
      </c>
    </row>
    <row r="39" spans="2:13" ht="19" x14ac:dyDescent="0.25">
      <c r="B39" s="50" t="s">
        <v>14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</row>
    <row r="40" spans="2:13" ht="19" x14ac:dyDescent="0.25">
      <c r="B40" s="88" t="s">
        <v>15</v>
      </c>
      <c r="C40" s="87"/>
      <c r="D40" s="89">
        <f>SUMIFS(TblCalculs[Coût mensuel],TblCalculs[Environnement],p_envcrit)</f>
        <v>4103368</v>
      </c>
      <c r="E40" s="87"/>
      <c r="F40" s="88" t="s">
        <v>16</v>
      </c>
      <c r="G40" s="87"/>
      <c r="H40" s="89">
        <f>SUMIFS(TblApplications[Coût total affecté (€)],TblApplications[Environnement],p_envcrit)</f>
        <v>290778.42778796912</v>
      </c>
      <c r="I40" s="87"/>
      <c r="J40" s="88" t="s">
        <v>17</v>
      </c>
      <c r="K40" s="87"/>
      <c r="L40" s="89">
        <f>D40-H40</f>
        <v>3812589.5722120311</v>
      </c>
      <c r="M40" s="87"/>
    </row>
    <row r="41" spans="2:13" ht="19" x14ac:dyDescent="0.25">
      <c r="B41" s="90" t="s">
        <v>18</v>
      </c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</row>
    <row r="62" spans="2:12" ht="30" customHeight="1" x14ac:dyDescent="0.2">
      <c r="B62" s="25" t="s">
        <v>19</v>
      </c>
      <c r="C62" s="25" t="s">
        <v>20</v>
      </c>
      <c r="D62" s="25" t="s">
        <v>21</v>
      </c>
      <c r="E62" s="25" t="s">
        <v>22</v>
      </c>
      <c r="F62" s="25" t="s">
        <v>23</v>
      </c>
      <c r="I62" s="25" t="s">
        <v>20</v>
      </c>
      <c r="J62" s="25" t="s">
        <v>21</v>
      </c>
      <c r="K62" s="25" t="s">
        <v>22</v>
      </c>
      <c r="L62" s="25" t="s">
        <v>23</v>
      </c>
    </row>
    <row r="63" spans="2:12" x14ac:dyDescent="0.2">
      <c r="B63" s="26" t="str">
        <f>IFERROR(IF(INDEX(TblTribes[Tribe],1)="","",INDEX(TblTribes[Tribe],1)),"")</f>
        <v>Parcours client</v>
      </c>
      <c r="C63" s="26" t="str">
        <f>IF($B63="","",INDEX(TblTribes[Domaine de la tribe],1))</f>
        <v>Distribution</v>
      </c>
      <c r="D63" s="27">
        <f>IF($B63="","",SUMIFS(TblApplications[Coût IKS affecté (€)],TblApplications[Tribe],$B63,TblApplications[Environnement],p_envcrit))</f>
        <v>80530.59704807619</v>
      </c>
      <c r="E63" s="27">
        <f>IF($B63="","",SUMIFS(TblApplications[Coût ROKS affecté (€)],TblApplications[Tribe],$B63,TblApplications[Environnement],p_envcrit))</f>
        <v>21567.421158809728</v>
      </c>
      <c r="F63" s="27">
        <f t="shared" ref="F63:F102" si="0">IF($B63="","",D63+E63)</f>
        <v>102098.01820688591</v>
      </c>
      <c r="I63" s="26" t="str">
        <f>IFERROR(IF(INDEX(TblDomaines[Domaine],1)="","",INDEX(TblDomaines[Domaine],1)),"")</f>
        <v>Distribution</v>
      </c>
      <c r="J63" s="27">
        <f>IF($I63="","",SUMIFS(TblApplications[Coût IKS affecté (€)],TblApplications[Domaine],$I63,TblApplications[Environnement],p_envcrit))</f>
        <v>135839.23506469917</v>
      </c>
      <c r="K63" s="27">
        <f>IF($I63="","",SUMIFS(TblApplications[Coût ROKS affecté (€)],TblApplications[Domaine],$I63,TblApplications[Environnement],p_envcrit))</f>
        <v>34543.774717179716</v>
      </c>
      <c r="L63" s="27">
        <f t="shared" ref="L63:L82" si="1">IF($I63="","",J63+K63)</f>
        <v>170383.00978187888</v>
      </c>
    </row>
    <row r="64" spans="2:12" x14ac:dyDescent="0.2">
      <c r="B64" s="26" t="str">
        <f>IFERROR(IF(INDEX(TblTribes[Tribe],2)="","",INDEX(TblTribes[Tribe],2)),"")</f>
        <v>Tarification</v>
      </c>
      <c r="C64" s="26" t="str">
        <f>IF($B64="","",INDEX(TblTribes[Domaine de la tribe],2))</f>
        <v>Distribution</v>
      </c>
      <c r="D64" s="27">
        <f>IF($B64="","",SUMIFS(TblApplications[Coût IKS affecté (€)],TblApplications[Tribe],$B64,TblApplications[Environnement],p_envcrit))</f>
        <v>55308.638016622972</v>
      </c>
      <c r="E64" s="27">
        <f>IF($B64="","",SUMIFS(TblApplications[Coût ROKS affecté (€)],TblApplications[Tribe],$B64,TblApplications[Environnement],p_envcrit))</f>
        <v>12976.35355836999</v>
      </c>
      <c r="F64" s="27">
        <f t="shared" si="0"/>
        <v>68284.991574992964</v>
      </c>
      <c r="I64" s="26" t="str">
        <f>IFERROR(IF(INDEX(TblDomaines[Domaine],2)="","",INDEX(TblDomaines[Domaine],2)),"")</f>
        <v>Indemnisation</v>
      </c>
      <c r="J64" s="27">
        <f>IF($I64="","",SUMIFS(TblApplications[Coût IKS affecté (€)],TblApplications[Domaine],$I64,TblApplications[Environnement],p_envcrit))</f>
        <v>98948.576182876859</v>
      </c>
      <c r="K64" s="27">
        <f>IF($I64="","",SUMIFS(TblApplications[Coût ROKS affecté (€)],TblApplications[Domaine],$I64,TblApplications[Environnement],p_envcrit))</f>
        <v>21446.841823213392</v>
      </c>
      <c r="L64" s="27">
        <f t="shared" si="1"/>
        <v>120395.41800609024</v>
      </c>
    </row>
    <row r="65" spans="2:12" x14ac:dyDescent="0.2">
      <c r="B65" s="26" t="str">
        <f>IFERROR(IF(INDEX(TblTribes[Tribe],3)="","",INDEX(TblTribes[Tribe],3)),"")</f>
        <v>Sinistres</v>
      </c>
      <c r="C65" s="26" t="str">
        <f>IF($B65="","",INDEX(TblTribes[Domaine de la tribe],3))</f>
        <v>Indemnisation</v>
      </c>
      <c r="D65" s="27">
        <f>IF($B65="","",SUMIFS(TblApplications[Coût IKS affecté (€)],TblApplications[Tribe],$B65,TblApplications[Environnement],p_envcrit))</f>
        <v>98948.576182876859</v>
      </c>
      <c r="E65" s="27">
        <f>IF($B65="","",SUMIFS(TblApplications[Coût ROKS affecté (€)],TblApplications[Tribe],$B65,TblApplications[Environnement],p_envcrit))</f>
        <v>21446.841823213392</v>
      </c>
      <c r="F65" s="27">
        <f t="shared" si="0"/>
        <v>120395.41800609024</v>
      </c>
      <c r="I65" s="26" t="str">
        <f>IFERROR(IF(INDEX(TblDomaines[Domaine],3)="","",INDEX(TblDomaines[Domaine],3)),"")</f>
        <v/>
      </c>
      <c r="J65" s="27" t="str">
        <f>IF($I65="","",SUMIFS(TblApplications[Coût IKS affecté (€)],TblApplications[Domaine],$I65,TblApplications[Environnement],p_envcrit))</f>
        <v/>
      </c>
      <c r="K65" s="27" t="str">
        <f>IF($I65="","",SUMIFS(TblApplications[Coût ROKS affecté (€)],TblApplications[Domaine],$I65,TblApplications[Environnement],p_envcrit))</f>
        <v/>
      </c>
      <c r="L65" s="27" t="str">
        <f t="shared" si="1"/>
        <v/>
      </c>
    </row>
    <row r="66" spans="2:12" x14ac:dyDescent="0.2">
      <c r="B66" s="26" t="str">
        <f>IFERROR(IF(INDEX(TblTribes[Tribe],4)="","",INDEX(TblTribes[Tribe],4)),"")</f>
        <v/>
      </c>
      <c r="C66" s="26" t="str">
        <f>IF($B66="","",INDEX(TblTribes[Domaine de la tribe],4))</f>
        <v/>
      </c>
      <c r="D66" s="27" t="str">
        <f>IF($B66="","",SUMIFS(TblApplications[Coût IKS affecté (€)],TblApplications[Tribe],$B66,TblApplications[Environnement],p_envcrit))</f>
        <v/>
      </c>
      <c r="E66" s="27" t="str">
        <f>IF($B66="","",SUMIFS(TblApplications[Coût ROKS affecté (€)],TblApplications[Tribe],$B66,TblApplications[Environnement],p_envcrit))</f>
        <v/>
      </c>
      <c r="F66" s="27" t="str">
        <f t="shared" si="0"/>
        <v/>
      </c>
      <c r="I66" s="26" t="str">
        <f>IFERROR(IF(INDEX(TblDomaines[Domaine],4)="","",INDEX(TblDomaines[Domaine],4)),"")</f>
        <v/>
      </c>
      <c r="J66" s="27" t="str">
        <f>IF($I66="","",SUMIFS(TblApplications[Coût IKS affecté (€)],TblApplications[Domaine],$I66,TblApplications[Environnement],p_envcrit))</f>
        <v/>
      </c>
      <c r="K66" s="27" t="str">
        <f>IF($I66="","",SUMIFS(TblApplications[Coût ROKS affecté (€)],TblApplications[Domaine],$I66,TblApplications[Environnement],p_envcrit))</f>
        <v/>
      </c>
      <c r="L66" s="27" t="str">
        <f t="shared" si="1"/>
        <v/>
      </c>
    </row>
    <row r="67" spans="2:12" x14ac:dyDescent="0.2">
      <c r="B67" s="26" t="str">
        <f>IFERROR(IF(INDEX(TblTribes[Tribe],5)="","",INDEX(TblTribes[Tribe],5)),"")</f>
        <v/>
      </c>
      <c r="C67" s="26" t="str">
        <f>IF($B67="","",INDEX(TblTribes[Domaine de la tribe],5))</f>
        <v/>
      </c>
      <c r="D67" s="27" t="str">
        <f>IF($B67="","",SUMIFS(TblApplications[Coût IKS affecté (€)],TblApplications[Tribe],$B67,TblApplications[Environnement],p_envcrit))</f>
        <v/>
      </c>
      <c r="E67" s="27" t="str">
        <f>IF($B67="","",SUMIFS(TblApplications[Coût ROKS affecté (€)],TblApplications[Tribe],$B67,TblApplications[Environnement],p_envcrit))</f>
        <v/>
      </c>
      <c r="F67" s="27" t="str">
        <f t="shared" si="0"/>
        <v/>
      </c>
      <c r="I67" s="26" t="str">
        <f>IFERROR(IF(INDEX(TblDomaines[Domaine],5)="","",INDEX(TblDomaines[Domaine],5)),"")</f>
        <v/>
      </c>
      <c r="J67" s="27" t="str">
        <f>IF($I67="","",SUMIFS(TblApplications[Coût IKS affecté (€)],TblApplications[Domaine],$I67,TblApplications[Environnement],p_envcrit))</f>
        <v/>
      </c>
      <c r="K67" s="27" t="str">
        <f>IF($I67="","",SUMIFS(TblApplications[Coût ROKS affecté (€)],TblApplications[Domaine],$I67,TblApplications[Environnement],p_envcrit))</f>
        <v/>
      </c>
      <c r="L67" s="27" t="str">
        <f t="shared" si="1"/>
        <v/>
      </c>
    </row>
    <row r="68" spans="2:12" x14ac:dyDescent="0.2">
      <c r="B68" s="26" t="str">
        <f>IFERROR(IF(INDEX(TblTribes[Tribe],6)="","",INDEX(TblTribes[Tribe],6)),"")</f>
        <v/>
      </c>
      <c r="C68" s="26" t="str">
        <f>IF($B68="","",INDEX(TblTribes[Domaine de la tribe],6))</f>
        <v/>
      </c>
      <c r="D68" s="27" t="str">
        <f>IF($B68="","",SUMIFS(TblApplications[Coût IKS affecté (€)],TblApplications[Tribe],$B68,TblApplications[Environnement],p_envcrit))</f>
        <v/>
      </c>
      <c r="E68" s="27" t="str">
        <f>IF($B68="","",SUMIFS(TblApplications[Coût ROKS affecté (€)],TblApplications[Tribe],$B68,TblApplications[Environnement],p_envcrit))</f>
        <v/>
      </c>
      <c r="F68" s="27" t="str">
        <f t="shared" si="0"/>
        <v/>
      </c>
      <c r="I68" s="26" t="str">
        <f>IFERROR(IF(INDEX(TblDomaines[Domaine],6)="","",INDEX(TblDomaines[Domaine],6)),"")</f>
        <v/>
      </c>
      <c r="J68" s="27" t="str">
        <f>IF($I68="","",SUMIFS(TblApplications[Coût IKS affecté (€)],TblApplications[Domaine],$I68,TblApplications[Environnement],p_envcrit))</f>
        <v/>
      </c>
      <c r="K68" s="27" t="str">
        <f>IF($I68="","",SUMIFS(TblApplications[Coût ROKS affecté (€)],TblApplications[Domaine],$I68,TblApplications[Environnement],p_envcrit))</f>
        <v/>
      </c>
      <c r="L68" s="27" t="str">
        <f t="shared" si="1"/>
        <v/>
      </c>
    </row>
    <row r="69" spans="2:12" x14ac:dyDescent="0.2">
      <c r="B69" s="26" t="str">
        <f>IFERROR(IF(INDEX(TblTribes[Tribe],7)="","",INDEX(TblTribes[Tribe],7)),"")</f>
        <v/>
      </c>
      <c r="C69" s="26" t="str">
        <f>IF($B69="","",INDEX(TblTribes[Domaine de la tribe],7))</f>
        <v/>
      </c>
      <c r="D69" s="27" t="str">
        <f>IF($B69="","",SUMIFS(TblApplications[Coût IKS affecté (€)],TblApplications[Tribe],$B69,TblApplications[Environnement],p_envcrit))</f>
        <v/>
      </c>
      <c r="E69" s="27" t="str">
        <f>IF($B69="","",SUMIFS(TblApplications[Coût ROKS affecté (€)],TblApplications[Tribe],$B69,TblApplications[Environnement],p_envcrit))</f>
        <v/>
      </c>
      <c r="F69" s="27" t="str">
        <f t="shared" si="0"/>
        <v/>
      </c>
      <c r="I69" s="26" t="str">
        <f>IFERROR(IF(INDEX(TblDomaines[Domaine],7)="","",INDEX(TblDomaines[Domaine],7)),"")</f>
        <v/>
      </c>
      <c r="J69" s="27" t="str">
        <f>IF($I69="","",SUMIFS(TblApplications[Coût IKS affecté (€)],TblApplications[Domaine],$I69,TblApplications[Environnement],p_envcrit))</f>
        <v/>
      </c>
      <c r="K69" s="27" t="str">
        <f>IF($I69="","",SUMIFS(TblApplications[Coût ROKS affecté (€)],TblApplications[Domaine],$I69,TblApplications[Environnement],p_envcrit))</f>
        <v/>
      </c>
      <c r="L69" s="27" t="str">
        <f t="shared" si="1"/>
        <v/>
      </c>
    </row>
    <row r="70" spans="2:12" x14ac:dyDescent="0.2">
      <c r="B70" s="26" t="str">
        <f>IFERROR(IF(INDEX(TblTribes[Tribe],8)="","",INDEX(TblTribes[Tribe],8)),"")</f>
        <v/>
      </c>
      <c r="C70" s="26" t="str">
        <f>IF($B70="","",INDEX(TblTribes[Domaine de la tribe],8))</f>
        <v/>
      </c>
      <c r="D70" s="27" t="str">
        <f>IF($B70="","",SUMIFS(TblApplications[Coût IKS affecté (€)],TblApplications[Tribe],$B70,TblApplications[Environnement],p_envcrit))</f>
        <v/>
      </c>
      <c r="E70" s="27" t="str">
        <f>IF($B70="","",SUMIFS(TblApplications[Coût ROKS affecté (€)],TblApplications[Tribe],$B70,TblApplications[Environnement],p_envcrit))</f>
        <v/>
      </c>
      <c r="F70" s="27" t="str">
        <f t="shared" si="0"/>
        <v/>
      </c>
      <c r="I70" s="26" t="str">
        <f>IFERROR(IF(INDEX(TblDomaines[Domaine],8)="","",INDEX(TblDomaines[Domaine],8)),"")</f>
        <v/>
      </c>
      <c r="J70" s="27" t="str">
        <f>IF($I70="","",SUMIFS(TblApplications[Coût IKS affecté (€)],TblApplications[Domaine],$I70,TblApplications[Environnement],p_envcrit))</f>
        <v/>
      </c>
      <c r="K70" s="27" t="str">
        <f>IF($I70="","",SUMIFS(TblApplications[Coût ROKS affecté (€)],TblApplications[Domaine],$I70,TblApplications[Environnement],p_envcrit))</f>
        <v/>
      </c>
      <c r="L70" s="27" t="str">
        <f t="shared" si="1"/>
        <v/>
      </c>
    </row>
    <row r="71" spans="2:12" x14ac:dyDescent="0.2">
      <c r="B71" s="26" t="str">
        <f>IFERROR(IF(INDEX(TblTribes[Tribe],9)="","",INDEX(TblTribes[Tribe],9)),"")</f>
        <v/>
      </c>
      <c r="C71" s="26" t="str">
        <f>IF($B71="","",INDEX(TblTribes[Domaine de la tribe],9))</f>
        <v/>
      </c>
      <c r="D71" s="27" t="str">
        <f>IF($B71="","",SUMIFS(TblApplications[Coût IKS affecté (€)],TblApplications[Tribe],$B71,TblApplications[Environnement],p_envcrit))</f>
        <v/>
      </c>
      <c r="E71" s="27" t="str">
        <f>IF($B71="","",SUMIFS(TblApplications[Coût ROKS affecté (€)],TblApplications[Tribe],$B71,TblApplications[Environnement],p_envcrit))</f>
        <v/>
      </c>
      <c r="F71" s="27" t="str">
        <f t="shared" si="0"/>
        <v/>
      </c>
      <c r="I71" s="26" t="str">
        <f>IFERROR(IF(INDEX(TblDomaines[Domaine],9)="","",INDEX(TblDomaines[Domaine],9)),"")</f>
        <v/>
      </c>
      <c r="J71" s="27" t="str">
        <f>IF($I71="","",SUMIFS(TblApplications[Coût IKS affecté (€)],TblApplications[Domaine],$I71,TblApplications[Environnement],p_envcrit))</f>
        <v/>
      </c>
      <c r="K71" s="27" t="str">
        <f>IF($I71="","",SUMIFS(TblApplications[Coût ROKS affecté (€)],TblApplications[Domaine],$I71,TblApplications[Environnement],p_envcrit))</f>
        <v/>
      </c>
      <c r="L71" s="27" t="str">
        <f t="shared" si="1"/>
        <v/>
      </c>
    </row>
    <row r="72" spans="2:12" x14ac:dyDescent="0.2">
      <c r="B72" s="26" t="str">
        <f>IFERROR(IF(INDEX(TblTribes[Tribe],10)="","",INDEX(TblTribes[Tribe],10)),"")</f>
        <v/>
      </c>
      <c r="C72" s="26" t="str">
        <f>IF($B72="","",INDEX(TblTribes[Domaine de la tribe],10))</f>
        <v/>
      </c>
      <c r="D72" s="27" t="str">
        <f>IF($B72="","",SUMIFS(TblApplications[Coût IKS affecté (€)],TblApplications[Tribe],$B72,TblApplications[Environnement],p_envcrit))</f>
        <v/>
      </c>
      <c r="E72" s="27" t="str">
        <f>IF($B72="","",SUMIFS(TblApplications[Coût ROKS affecté (€)],TblApplications[Tribe],$B72,TblApplications[Environnement],p_envcrit))</f>
        <v/>
      </c>
      <c r="F72" s="27" t="str">
        <f t="shared" si="0"/>
        <v/>
      </c>
      <c r="I72" s="26" t="str">
        <f>IFERROR(IF(INDEX(TblDomaines[Domaine],10)="","",INDEX(TblDomaines[Domaine],10)),"")</f>
        <v/>
      </c>
      <c r="J72" s="27" t="str">
        <f>IF($I72="","",SUMIFS(TblApplications[Coût IKS affecté (€)],TblApplications[Domaine],$I72,TblApplications[Environnement],p_envcrit))</f>
        <v/>
      </c>
      <c r="K72" s="27" t="str">
        <f>IF($I72="","",SUMIFS(TblApplications[Coût ROKS affecté (€)],TblApplications[Domaine],$I72,TblApplications[Environnement],p_envcrit))</f>
        <v/>
      </c>
      <c r="L72" s="27" t="str">
        <f t="shared" si="1"/>
        <v/>
      </c>
    </row>
    <row r="73" spans="2:12" x14ac:dyDescent="0.2">
      <c r="B73" s="26" t="str">
        <f>IFERROR(IF(INDEX(TblTribes[Tribe],11)="","",INDEX(TblTribes[Tribe],11)),"")</f>
        <v/>
      </c>
      <c r="C73" s="26" t="str">
        <f>IF($B73="","",INDEX(TblTribes[Domaine de la tribe],11))</f>
        <v/>
      </c>
      <c r="D73" s="27" t="str">
        <f>IF($B73="","",SUMIFS(TblApplications[Coût IKS affecté (€)],TblApplications[Tribe],$B73,TblApplications[Environnement],p_envcrit))</f>
        <v/>
      </c>
      <c r="E73" s="27" t="str">
        <f>IF($B73="","",SUMIFS(TblApplications[Coût ROKS affecté (€)],TblApplications[Tribe],$B73,TblApplications[Environnement],p_envcrit))</f>
        <v/>
      </c>
      <c r="F73" s="27" t="str">
        <f t="shared" si="0"/>
        <v/>
      </c>
      <c r="I73" s="26" t="str">
        <f>IFERROR(IF(INDEX(TblDomaines[Domaine],11)="","",INDEX(TblDomaines[Domaine],11)),"")</f>
        <v/>
      </c>
      <c r="J73" s="27" t="str">
        <f>IF($I73="","",SUMIFS(TblApplications[Coût IKS affecté (€)],TblApplications[Domaine],$I73,TblApplications[Environnement],p_envcrit))</f>
        <v/>
      </c>
      <c r="K73" s="27" t="str">
        <f>IF($I73="","",SUMIFS(TblApplications[Coût ROKS affecté (€)],TblApplications[Domaine],$I73,TblApplications[Environnement],p_envcrit))</f>
        <v/>
      </c>
      <c r="L73" s="27" t="str">
        <f t="shared" si="1"/>
        <v/>
      </c>
    </row>
    <row r="74" spans="2:12" x14ac:dyDescent="0.2">
      <c r="B74" s="26" t="str">
        <f>IFERROR(IF(INDEX(TblTribes[Tribe],12)="","",INDEX(TblTribes[Tribe],12)),"")</f>
        <v/>
      </c>
      <c r="C74" s="26" t="str">
        <f>IF($B74="","",INDEX(TblTribes[Domaine de la tribe],12))</f>
        <v/>
      </c>
      <c r="D74" s="27" t="str">
        <f>IF($B74="","",SUMIFS(TblApplications[Coût IKS affecté (€)],TblApplications[Tribe],$B74,TblApplications[Environnement],p_envcrit))</f>
        <v/>
      </c>
      <c r="E74" s="27" t="str">
        <f>IF($B74="","",SUMIFS(TblApplications[Coût ROKS affecté (€)],TblApplications[Tribe],$B74,TblApplications[Environnement],p_envcrit))</f>
        <v/>
      </c>
      <c r="F74" s="27" t="str">
        <f t="shared" si="0"/>
        <v/>
      </c>
      <c r="I74" s="26" t="str">
        <f>IFERROR(IF(INDEX(TblDomaines[Domaine],12)="","",INDEX(TblDomaines[Domaine],12)),"")</f>
        <v/>
      </c>
      <c r="J74" s="27" t="str">
        <f>IF($I74="","",SUMIFS(TblApplications[Coût IKS affecté (€)],TblApplications[Domaine],$I74,TblApplications[Environnement],p_envcrit))</f>
        <v/>
      </c>
      <c r="K74" s="27" t="str">
        <f>IF($I74="","",SUMIFS(TblApplications[Coût ROKS affecté (€)],TblApplications[Domaine],$I74,TblApplications[Environnement],p_envcrit))</f>
        <v/>
      </c>
      <c r="L74" s="27" t="str">
        <f t="shared" si="1"/>
        <v/>
      </c>
    </row>
    <row r="75" spans="2:12" x14ac:dyDescent="0.2">
      <c r="B75" s="26" t="str">
        <f>IFERROR(IF(INDEX(TblTribes[Tribe],13)="","",INDEX(TblTribes[Tribe],13)),"")</f>
        <v/>
      </c>
      <c r="C75" s="26" t="str">
        <f>IF($B75="","",INDEX(TblTribes[Domaine de la tribe],13))</f>
        <v/>
      </c>
      <c r="D75" s="27" t="str">
        <f>IF($B75="","",SUMIFS(TblApplications[Coût IKS affecté (€)],TblApplications[Tribe],$B75,TblApplications[Environnement],p_envcrit))</f>
        <v/>
      </c>
      <c r="E75" s="27" t="str">
        <f>IF($B75="","",SUMIFS(TblApplications[Coût ROKS affecté (€)],TblApplications[Tribe],$B75,TblApplications[Environnement],p_envcrit))</f>
        <v/>
      </c>
      <c r="F75" s="27" t="str">
        <f t="shared" si="0"/>
        <v/>
      </c>
      <c r="I75" s="26" t="str">
        <f>IFERROR(IF(INDEX(TblDomaines[Domaine],13)="","",INDEX(TblDomaines[Domaine],13)),"")</f>
        <v/>
      </c>
      <c r="J75" s="27" t="str">
        <f>IF($I75="","",SUMIFS(TblApplications[Coût IKS affecté (€)],TblApplications[Domaine],$I75,TblApplications[Environnement],p_envcrit))</f>
        <v/>
      </c>
      <c r="K75" s="27" t="str">
        <f>IF($I75="","",SUMIFS(TblApplications[Coût ROKS affecté (€)],TblApplications[Domaine],$I75,TblApplications[Environnement],p_envcrit))</f>
        <v/>
      </c>
      <c r="L75" s="27" t="str">
        <f t="shared" si="1"/>
        <v/>
      </c>
    </row>
    <row r="76" spans="2:12" x14ac:dyDescent="0.2">
      <c r="B76" s="26" t="str">
        <f>IFERROR(IF(INDEX(TblTribes[Tribe],14)="","",INDEX(TblTribes[Tribe],14)),"")</f>
        <v/>
      </c>
      <c r="C76" s="26" t="str">
        <f>IF($B76="","",INDEX(TblTribes[Domaine de la tribe],14))</f>
        <v/>
      </c>
      <c r="D76" s="27" t="str">
        <f>IF($B76="","",SUMIFS(TblApplications[Coût IKS affecté (€)],TblApplications[Tribe],$B76,TblApplications[Environnement],p_envcrit))</f>
        <v/>
      </c>
      <c r="E76" s="27" t="str">
        <f>IF($B76="","",SUMIFS(TblApplications[Coût ROKS affecté (€)],TblApplications[Tribe],$B76,TblApplications[Environnement],p_envcrit))</f>
        <v/>
      </c>
      <c r="F76" s="27" t="str">
        <f t="shared" si="0"/>
        <v/>
      </c>
      <c r="I76" s="26" t="str">
        <f>IFERROR(IF(INDEX(TblDomaines[Domaine],14)="","",INDEX(TblDomaines[Domaine],14)),"")</f>
        <v/>
      </c>
      <c r="J76" s="27" t="str">
        <f>IF($I76="","",SUMIFS(TblApplications[Coût IKS affecté (€)],TblApplications[Domaine],$I76,TblApplications[Environnement],p_envcrit))</f>
        <v/>
      </c>
      <c r="K76" s="27" t="str">
        <f>IF($I76="","",SUMIFS(TblApplications[Coût ROKS affecté (€)],TblApplications[Domaine],$I76,TblApplications[Environnement],p_envcrit))</f>
        <v/>
      </c>
      <c r="L76" s="27" t="str">
        <f t="shared" si="1"/>
        <v/>
      </c>
    </row>
    <row r="77" spans="2:12" x14ac:dyDescent="0.2">
      <c r="B77" s="26" t="str">
        <f>IFERROR(IF(INDEX(TblTribes[Tribe],15)="","",INDEX(TblTribes[Tribe],15)),"")</f>
        <v/>
      </c>
      <c r="C77" s="26" t="str">
        <f>IF($B77="","",INDEX(TblTribes[Domaine de la tribe],15))</f>
        <v/>
      </c>
      <c r="D77" s="27" t="str">
        <f>IF($B77="","",SUMIFS(TblApplications[Coût IKS affecté (€)],TblApplications[Tribe],$B77,TblApplications[Environnement],p_envcrit))</f>
        <v/>
      </c>
      <c r="E77" s="27" t="str">
        <f>IF($B77="","",SUMIFS(TblApplications[Coût ROKS affecté (€)],TblApplications[Tribe],$B77,TblApplications[Environnement],p_envcrit))</f>
        <v/>
      </c>
      <c r="F77" s="27" t="str">
        <f t="shared" si="0"/>
        <v/>
      </c>
      <c r="I77" s="26" t="str">
        <f>IFERROR(IF(INDEX(TblDomaines[Domaine],15)="","",INDEX(TblDomaines[Domaine],15)),"")</f>
        <v/>
      </c>
      <c r="J77" s="27" t="str">
        <f>IF($I77="","",SUMIFS(TblApplications[Coût IKS affecté (€)],TblApplications[Domaine],$I77,TblApplications[Environnement],p_envcrit))</f>
        <v/>
      </c>
      <c r="K77" s="27" t="str">
        <f>IF($I77="","",SUMIFS(TblApplications[Coût ROKS affecté (€)],TblApplications[Domaine],$I77,TblApplications[Environnement],p_envcrit))</f>
        <v/>
      </c>
      <c r="L77" s="27" t="str">
        <f t="shared" si="1"/>
        <v/>
      </c>
    </row>
    <row r="78" spans="2:12" x14ac:dyDescent="0.2">
      <c r="B78" s="26" t="str">
        <f>IFERROR(IF(INDEX(TblTribes[Tribe],16)="","",INDEX(TblTribes[Tribe],16)),"")</f>
        <v/>
      </c>
      <c r="C78" s="26" t="str">
        <f>IF($B78="","",INDEX(TblTribes[Domaine de la tribe],16))</f>
        <v/>
      </c>
      <c r="D78" s="27" t="str">
        <f>IF($B78="","",SUMIFS(TblApplications[Coût IKS affecté (€)],TblApplications[Tribe],$B78,TblApplications[Environnement],p_envcrit))</f>
        <v/>
      </c>
      <c r="E78" s="27" t="str">
        <f>IF($B78="","",SUMIFS(TblApplications[Coût ROKS affecté (€)],TblApplications[Tribe],$B78,TblApplications[Environnement],p_envcrit))</f>
        <v/>
      </c>
      <c r="F78" s="27" t="str">
        <f t="shared" si="0"/>
        <v/>
      </c>
      <c r="I78" s="26" t="str">
        <f>IFERROR(IF(INDEX(TblDomaines[Domaine],16)="","",INDEX(TblDomaines[Domaine],16)),"")</f>
        <v/>
      </c>
      <c r="J78" s="27" t="str">
        <f>IF($I78="","",SUMIFS(TblApplications[Coût IKS affecté (€)],TblApplications[Domaine],$I78,TblApplications[Environnement],p_envcrit))</f>
        <v/>
      </c>
      <c r="K78" s="27" t="str">
        <f>IF($I78="","",SUMIFS(TblApplications[Coût ROKS affecté (€)],TblApplications[Domaine],$I78,TblApplications[Environnement],p_envcrit))</f>
        <v/>
      </c>
      <c r="L78" s="27" t="str">
        <f t="shared" si="1"/>
        <v/>
      </c>
    </row>
    <row r="79" spans="2:12" x14ac:dyDescent="0.2">
      <c r="B79" s="26" t="str">
        <f>IFERROR(IF(INDEX(TblTribes[Tribe],17)="","",INDEX(TblTribes[Tribe],17)),"")</f>
        <v/>
      </c>
      <c r="C79" s="26" t="str">
        <f>IF($B79="","",INDEX(TblTribes[Domaine de la tribe],17))</f>
        <v/>
      </c>
      <c r="D79" s="27" t="str">
        <f>IF($B79="","",SUMIFS(TblApplications[Coût IKS affecté (€)],TblApplications[Tribe],$B79,TblApplications[Environnement],p_envcrit))</f>
        <v/>
      </c>
      <c r="E79" s="27" t="str">
        <f>IF($B79="","",SUMIFS(TblApplications[Coût ROKS affecté (€)],TblApplications[Tribe],$B79,TblApplications[Environnement],p_envcrit))</f>
        <v/>
      </c>
      <c r="F79" s="27" t="str">
        <f t="shared" si="0"/>
        <v/>
      </c>
      <c r="I79" s="26" t="str">
        <f>IFERROR(IF(INDEX(TblDomaines[Domaine],17)="","",INDEX(TblDomaines[Domaine],17)),"")</f>
        <v/>
      </c>
      <c r="J79" s="27" t="str">
        <f>IF($I79="","",SUMIFS(TblApplications[Coût IKS affecté (€)],TblApplications[Domaine],$I79,TblApplications[Environnement],p_envcrit))</f>
        <v/>
      </c>
      <c r="K79" s="27" t="str">
        <f>IF($I79="","",SUMIFS(TblApplications[Coût ROKS affecté (€)],TblApplications[Domaine],$I79,TblApplications[Environnement],p_envcrit))</f>
        <v/>
      </c>
      <c r="L79" s="27" t="str">
        <f t="shared" si="1"/>
        <v/>
      </c>
    </row>
    <row r="80" spans="2:12" x14ac:dyDescent="0.2">
      <c r="B80" s="26" t="str">
        <f>IFERROR(IF(INDEX(TblTribes[Tribe],18)="","",INDEX(TblTribes[Tribe],18)),"")</f>
        <v/>
      </c>
      <c r="C80" s="26" t="str">
        <f>IF($B80="","",INDEX(TblTribes[Domaine de la tribe],18))</f>
        <v/>
      </c>
      <c r="D80" s="27" t="str">
        <f>IF($B80="","",SUMIFS(TblApplications[Coût IKS affecté (€)],TblApplications[Tribe],$B80,TblApplications[Environnement],p_envcrit))</f>
        <v/>
      </c>
      <c r="E80" s="27" t="str">
        <f>IF($B80="","",SUMIFS(TblApplications[Coût ROKS affecté (€)],TblApplications[Tribe],$B80,TblApplications[Environnement],p_envcrit))</f>
        <v/>
      </c>
      <c r="F80" s="27" t="str">
        <f t="shared" si="0"/>
        <v/>
      </c>
      <c r="I80" s="26" t="str">
        <f>IFERROR(IF(INDEX(TblDomaines[Domaine],18)="","",INDEX(TblDomaines[Domaine],18)),"")</f>
        <v/>
      </c>
      <c r="J80" s="27" t="str">
        <f>IF($I80="","",SUMIFS(TblApplications[Coût IKS affecté (€)],TblApplications[Domaine],$I80,TblApplications[Environnement],p_envcrit))</f>
        <v/>
      </c>
      <c r="K80" s="27" t="str">
        <f>IF($I80="","",SUMIFS(TblApplications[Coût ROKS affecté (€)],TblApplications[Domaine],$I80,TblApplications[Environnement],p_envcrit))</f>
        <v/>
      </c>
      <c r="L80" s="27" t="str">
        <f t="shared" si="1"/>
        <v/>
      </c>
    </row>
    <row r="81" spans="2:12" x14ac:dyDescent="0.2">
      <c r="B81" s="26" t="str">
        <f>IFERROR(IF(INDEX(TblTribes[Tribe],19)="","",INDEX(TblTribes[Tribe],19)),"")</f>
        <v/>
      </c>
      <c r="C81" s="26" t="str">
        <f>IF($B81="","",INDEX(TblTribes[Domaine de la tribe],19))</f>
        <v/>
      </c>
      <c r="D81" s="27" t="str">
        <f>IF($B81="","",SUMIFS(TblApplications[Coût IKS affecté (€)],TblApplications[Tribe],$B81,TblApplications[Environnement],p_envcrit))</f>
        <v/>
      </c>
      <c r="E81" s="27" t="str">
        <f>IF($B81="","",SUMIFS(TblApplications[Coût ROKS affecté (€)],TblApplications[Tribe],$B81,TblApplications[Environnement],p_envcrit))</f>
        <v/>
      </c>
      <c r="F81" s="27" t="str">
        <f t="shared" si="0"/>
        <v/>
      </c>
      <c r="I81" s="26" t="str">
        <f>IFERROR(IF(INDEX(TblDomaines[Domaine],19)="","",INDEX(TblDomaines[Domaine],19)),"")</f>
        <v/>
      </c>
      <c r="J81" s="27" t="str">
        <f>IF($I81="","",SUMIFS(TblApplications[Coût IKS affecté (€)],TblApplications[Domaine],$I81,TblApplications[Environnement],p_envcrit))</f>
        <v/>
      </c>
      <c r="K81" s="27" t="str">
        <f>IF($I81="","",SUMIFS(TblApplications[Coût ROKS affecté (€)],TblApplications[Domaine],$I81,TblApplications[Environnement],p_envcrit))</f>
        <v/>
      </c>
      <c r="L81" s="27" t="str">
        <f t="shared" si="1"/>
        <v/>
      </c>
    </row>
    <row r="82" spans="2:12" x14ac:dyDescent="0.2">
      <c r="B82" s="26" t="str">
        <f>IFERROR(IF(INDEX(TblTribes[Tribe],20)="","",INDEX(TblTribes[Tribe],20)),"")</f>
        <v/>
      </c>
      <c r="C82" s="26" t="str">
        <f>IF($B82="","",INDEX(TblTribes[Domaine de la tribe],20))</f>
        <v/>
      </c>
      <c r="D82" s="27" t="str">
        <f>IF($B82="","",SUMIFS(TblApplications[Coût IKS affecté (€)],TblApplications[Tribe],$B82,TblApplications[Environnement],p_envcrit))</f>
        <v/>
      </c>
      <c r="E82" s="27" t="str">
        <f>IF($B82="","",SUMIFS(TblApplications[Coût ROKS affecté (€)],TblApplications[Tribe],$B82,TblApplications[Environnement],p_envcrit))</f>
        <v/>
      </c>
      <c r="F82" s="27" t="str">
        <f t="shared" si="0"/>
        <v/>
      </c>
      <c r="I82" s="26" t="str">
        <f>IFERROR(IF(INDEX(TblDomaines[Domaine],20)="","",INDEX(TblDomaines[Domaine],20)),"")</f>
        <v/>
      </c>
      <c r="J82" s="27" t="str">
        <f>IF($I82="","",SUMIFS(TblApplications[Coût IKS affecté (€)],TblApplications[Domaine],$I82,TblApplications[Environnement],p_envcrit))</f>
        <v/>
      </c>
      <c r="K82" s="27" t="str">
        <f>IF($I82="","",SUMIFS(TblApplications[Coût ROKS affecté (€)],TblApplications[Domaine],$I82,TblApplications[Environnement],p_envcrit))</f>
        <v/>
      </c>
      <c r="L82" s="27" t="str">
        <f t="shared" si="1"/>
        <v/>
      </c>
    </row>
    <row r="83" spans="2:12" x14ac:dyDescent="0.2">
      <c r="B83" s="26" t="str">
        <f>IFERROR(IF(INDEX(TblTribes[Tribe],21)="","",INDEX(TblTribes[Tribe],21)),"")</f>
        <v/>
      </c>
      <c r="C83" s="26" t="str">
        <f>IF($B83="","",INDEX(TblTribes[Domaine de la tribe],21))</f>
        <v/>
      </c>
      <c r="D83" s="27" t="str">
        <f>IF($B83="","",SUMIFS(TblApplications[Coût IKS affecté (€)],TblApplications[Tribe],$B83,TblApplications[Environnement],p_envcrit))</f>
        <v/>
      </c>
      <c r="E83" s="27" t="str">
        <f>IF($B83="","",SUMIFS(TblApplications[Coût ROKS affecté (€)],TblApplications[Tribe],$B83,TblApplications[Environnement],p_envcrit))</f>
        <v/>
      </c>
      <c r="F83" s="27" t="str">
        <f t="shared" si="0"/>
        <v/>
      </c>
    </row>
    <row r="84" spans="2:12" x14ac:dyDescent="0.2">
      <c r="B84" s="26" t="str">
        <f>IFERROR(IF(INDEX(TblTribes[Tribe],22)="","",INDEX(TblTribes[Tribe],22)),"")</f>
        <v/>
      </c>
      <c r="C84" s="26" t="str">
        <f>IF($B84="","",INDEX(TblTribes[Domaine de la tribe],22))</f>
        <v/>
      </c>
      <c r="D84" s="27" t="str">
        <f>IF($B84="","",SUMIFS(TblApplications[Coût IKS affecté (€)],TblApplications[Tribe],$B84,TblApplications[Environnement],p_envcrit))</f>
        <v/>
      </c>
      <c r="E84" s="27" t="str">
        <f>IF($B84="","",SUMIFS(TblApplications[Coût ROKS affecté (€)],TblApplications[Tribe],$B84,TblApplications[Environnement],p_envcrit))</f>
        <v/>
      </c>
      <c r="F84" s="27" t="str">
        <f t="shared" si="0"/>
        <v/>
      </c>
    </row>
    <row r="85" spans="2:12" x14ac:dyDescent="0.2">
      <c r="B85" s="26" t="str">
        <f>IFERROR(IF(INDEX(TblTribes[Tribe],23)="","",INDEX(TblTribes[Tribe],23)),"")</f>
        <v/>
      </c>
      <c r="C85" s="26" t="str">
        <f>IF($B85="","",INDEX(TblTribes[Domaine de la tribe],23))</f>
        <v/>
      </c>
      <c r="D85" s="27" t="str">
        <f>IF($B85="","",SUMIFS(TblApplications[Coût IKS affecté (€)],TblApplications[Tribe],$B85,TblApplications[Environnement],p_envcrit))</f>
        <v/>
      </c>
      <c r="E85" s="27" t="str">
        <f>IF($B85="","",SUMIFS(TblApplications[Coût ROKS affecté (€)],TblApplications[Tribe],$B85,TblApplications[Environnement],p_envcrit))</f>
        <v/>
      </c>
      <c r="F85" s="27" t="str">
        <f t="shared" si="0"/>
        <v/>
      </c>
    </row>
    <row r="86" spans="2:12" x14ac:dyDescent="0.2">
      <c r="B86" s="26" t="str">
        <f>IFERROR(IF(INDEX(TblTribes[Tribe],24)="","",INDEX(TblTribes[Tribe],24)),"")</f>
        <v/>
      </c>
      <c r="C86" s="26" t="str">
        <f>IF($B86="","",INDEX(TblTribes[Domaine de la tribe],24))</f>
        <v/>
      </c>
      <c r="D86" s="27" t="str">
        <f>IF($B86="","",SUMIFS(TblApplications[Coût IKS affecté (€)],TblApplications[Tribe],$B86,TblApplications[Environnement],p_envcrit))</f>
        <v/>
      </c>
      <c r="E86" s="27" t="str">
        <f>IF($B86="","",SUMIFS(TblApplications[Coût ROKS affecté (€)],TblApplications[Tribe],$B86,TblApplications[Environnement],p_envcrit))</f>
        <v/>
      </c>
      <c r="F86" s="27" t="str">
        <f t="shared" si="0"/>
        <v/>
      </c>
    </row>
    <row r="87" spans="2:12" x14ac:dyDescent="0.2">
      <c r="B87" s="26" t="str">
        <f>IFERROR(IF(INDEX(TblTribes[Tribe],25)="","",INDEX(TblTribes[Tribe],25)),"")</f>
        <v/>
      </c>
      <c r="C87" s="26" t="str">
        <f>IF($B87="","",INDEX(TblTribes[Domaine de la tribe],25))</f>
        <v/>
      </c>
      <c r="D87" s="27" t="str">
        <f>IF($B87="","",SUMIFS(TblApplications[Coût IKS affecté (€)],TblApplications[Tribe],$B87,TblApplications[Environnement],p_envcrit))</f>
        <v/>
      </c>
      <c r="E87" s="27" t="str">
        <f>IF($B87="","",SUMIFS(TblApplications[Coût ROKS affecté (€)],TblApplications[Tribe],$B87,TblApplications[Environnement],p_envcrit))</f>
        <v/>
      </c>
      <c r="F87" s="27" t="str">
        <f t="shared" si="0"/>
        <v/>
      </c>
    </row>
    <row r="88" spans="2:12" x14ac:dyDescent="0.2">
      <c r="B88" s="26" t="str">
        <f>IFERROR(IF(INDEX(TblTribes[Tribe],26)="","",INDEX(TblTribes[Tribe],26)),"")</f>
        <v/>
      </c>
      <c r="C88" s="26" t="str">
        <f>IF($B88="","",INDEX(TblTribes[Domaine de la tribe],26))</f>
        <v/>
      </c>
      <c r="D88" s="27" t="str">
        <f>IF($B88="","",SUMIFS(TblApplications[Coût IKS affecté (€)],TblApplications[Tribe],$B88,TblApplications[Environnement],p_envcrit))</f>
        <v/>
      </c>
      <c r="E88" s="27" t="str">
        <f>IF($B88="","",SUMIFS(TblApplications[Coût ROKS affecté (€)],TblApplications[Tribe],$B88,TblApplications[Environnement],p_envcrit))</f>
        <v/>
      </c>
      <c r="F88" s="27" t="str">
        <f t="shared" si="0"/>
        <v/>
      </c>
    </row>
    <row r="89" spans="2:12" x14ac:dyDescent="0.2">
      <c r="B89" s="26" t="str">
        <f>IFERROR(IF(INDEX(TblTribes[Tribe],27)="","",INDEX(TblTribes[Tribe],27)),"")</f>
        <v/>
      </c>
      <c r="C89" s="26" t="str">
        <f>IF($B89="","",INDEX(TblTribes[Domaine de la tribe],27))</f>
        <v/>
      </c>
      <c r="D89" s="27" t="str">
        <f>IF($B89="","",SUMIFS(TblApplications[Coût IKS affecté (€)],TblApplications[Tribe],$B89,TblApplications[Environnement],p_envcrit))</f>
        <v/>
      </c>
      <c r="E89" s="27" t="str">
        <f>IF($B89="","",SUMIFS(TblApplications[Coût ROKS affecté (€)],TblApplications[Tribe],$B89,TblApplications[Environnement],p_envcrit))</f>
        <v/>
      </c>
      <c r="F89" s="27" t="str">
        <f t="shared" si="0"/>
        <v/>
      </c>
    </row>
    <row r="90" spans="2:12" x14ac:dyDescent="0.2">
      <c r="B90" s="26" t="str">
        <f>IFERROR(IF(INDEX(TblTribes[Tribe],28)="","",INDEX(TblTribes[Tribe],28)),"")</f>
        <v/>
      </c>
      <c r="C90" s="26" t="str">
        <f>IF($B90="","",INDEX(TblTribes[Domaine de la tribe],28))</f>
        <v/>
      </c>
      <c r="D90" s="27" t="str">
        <f>IF($B90="","",SUMIFS(TblApplications[Coût IKS affecté (€)],TblApplications[Tribe],$B90,TblApplications[Environnement],p_envcrit))</f>
        <v/>
      </c>
      <c r="E90" s="27" t="str">
        <f>IF($B90="","",SUMIFS(TblApplications[Coût ROKS affecté (€)],TblApplications[Tribe],$B90,TblApplications[Environnement],p_envcrit))</f>
        <v/>
      </c>
      <c r="F90" s="27" t="str">
        <f t="shared" si="0"/>
        <v/>
      </c>
    </row>
    <row r="91" spans="2:12" x14ac:dyDescent="0.2">
      <c r="B91" s="26" t="str">
        <f>IFERROR(IF(INDEX(TblTribes[Tribe],29)="","",INDEX(TblTribes[Tribe],29)),"")</f>
        <v/>
      </c>
      <c r="C91" s="26" t="str">
        <f>IF($B91="","",INDEX(TblTribes[Domaine de la tribe],29))</f>
        <v/>
      </c>
      <c r="D91" s="27" t="str">
        <f>IF($B91="","",SUMIFS(TblApplications[Coût IKS affecté (€)],TblApplications[Tribe],$B91,TblApplications[Environnement],p_envcrit))</f>
        <v/>
      </c>
      <c r="E91" s="27" t="str">
        <f>IF($B91="","",SUMIFS(TblApplications[Coût ROKS affecté (€)],TblApplications[Tribe],$B91,TblApplications[Environnement],p_envcrit))</f>
        <v/>
      </c>
      <c r="F91" s="27" t="str">
        <f t="shared" si="0"/>
        <v/>
      </c>
    </row>
    <row r="92" spans="2:12" x14ac:dyDescent="0.2">
      <c r="B92" s="26" t="str">
        <f>IFERROR(IF(INDEX(TblTribes[Tribe],30)="","",INDEX(TblTribes[Tribe],30)),"")</f>
        <v/>
      </c>
      <c r="C92" s="26" t="str">
        <f>IF($B92="","",INDEX(TblTribes[Domaine de la tribe],30))</f>
        <v/>
      </c>
      <c r="D92" s="27" t="str">
        <f>IF($B92="","",SUMIFS(TblApplications[Coût IKS affecté (€)],TblApplications[Tribe],$B92,TblApplications[Environnement],p_envcrit))</f>
        <v/>
      </c>
      <c r="E92" s="27" t="str">
        <f>IF($B92="","",SUMIFS(TblApplications[Coût ROKS affecté (€)],TblApplications[Tribe],$B92,TblApplications[Environnement],p_envcrit))</f>
        <v/>
      </c>
      <c r="F92" s="27" t="str">
        <f t="shared" si="0"/>
        <v/>
      </c>
    </row>
    <row r="93" spans="2:12" x14ac:dyDescent="0.2">
      <c r="B93" s="26" t="str">
        <f>IFERROR(IF(INDEX(TblTribes[Tribe],31)="","",INDEX(TblTribes[Tribe],31)),"")</f>
        <v/>
      </c>
      <c r="C93" s="26" t="str">
        <f>IF($B93="","",INDEX(TblTribes[Domaine de la tribe],31))</f>
        <v/>
      </c>
      <c r="D93" s="27" t="str">
        <f>IF($B93="","",SUMIFS(TblApplications[Coût IKS affecté (€)],TblApplications[Tribe],$B93,TblApplications[Environnement],p_envcrit))</f>
        <v/>
      </c>
      <c r="E93" s="27" t="str">
        <f>IF($B93="","",SUMIFS(TblApplications[Coût ROKS affecté (€)],TblApplications[Tribe],$B93,TblApplications[Environnement],p_envcrit))</f>
        <v/>
      </c>
      <c r="F93" s="27" t="str">
        <f t="shared" si="0"/>
        <v/>
      </c>
    </row>
    <row r="94" spans="2:12" x14ac:dyDescent="0.2">
      <c r="B94" s="26" t="str">
        <f>IFERROR(IF(INDEX(TblTribes[Tribe],32)="","",INDEX(TblTribes[Tribe],32)),"")</f>
        <v/>
      </c>
      <c r="C94" s="26" t="str">
        <f>IF($B94="","",INDEX(TblTribes[Domaine de la tribe],32))</f>
        <v/>
      </c>
      <c r="D94" s="27" t="str">
        <f>IF($B94="","",SUMIFS(TblApplications[Coût IKS affecté (€)],TblApplications[Tribe],$B94,TblApplications[Environnement],p_envcrit))</f>
        <v/>
      </c>
      <c r="E94" s="27" t="str">
        <f>IF($B94="","",SUMIFS(TblApplications[Coût ROKS affecté (€)],TblApplications[Tribe],$B94,TblApplications[Environnement],p_envcrit))</f>
        <v/>
      </c>
      <c r="F94" s="27" t="str">
        <f t="shared" si="0"/>
        <v/>
      </c>
    </row>
    <row r="95" spans="2:12" x14ac:dyDescent="0.2">
      <c r="B95" s="26" t="str">
        <f>IFERROR(IF(INDEX(TblTribes[Tribe],33)="","",INDEX(TblTribes[Tribe],33)),"")</f>
        <v/>
      </c>
      <c r="C95" s="26" t="str">
        <f>IF($B95="","",INDEX(TblTribes[Domaine de la tribe],33))</f>
        <v/>
      </c>
      <c r="D95" s="27" t="str">
        <f>IF($B95="","",SUMIFS(TblApplications[Coût IKS affecté (€)],TblApplications[Tribe],$B95,TblApplications[Environnement],p_envcrit))</f>
        <v/>
      </c>
      <c r="E95" s="27" t="str">
        <f>IF($B95="","",SUMIFS(TblApplications[Coût ROKS affecté (€)],TblApplications[Tribe],$B95,TblApplications[Environnement],p_envcrit))</f>
        <v/>
      </c>
      <c r="F95" s="27" t="str">
        <f t="shared" si="0"/>
        <v/>
      </c>
    </row>
    <row r="96" spans="2:12" x14ac:dyDescent="0.2">
      <c r="B96" s="26" t="str">
        <f>IFERROR(IF(INDEX(TblTribes[Tribe],34)="","",INDEX(TblTribes[Tribe],34)),"")</f>
        <v/>
      </c>
      <c r="C96" s="26" t="str">
        <f>IF($B96="","",INDEX(TblTribes[Domaine de la tribe],34))</f>
        <v/>
      </c>
      <c r="D96" s="27" t="str">
        <f>IF($B96="","",SUMIFS(TblApplications[Coût IKS affecté (€)],TblApplications[Tribe],$B96,TblApplications[Environnement],p_envcrit))</f>
        <v/>
      </c>
      <c r="E96" s="27" t="str">
        <f>IF($B96="","",SUMIFS(TblApplications[Coût ROKS affecté (€)],TblApplications[Tribe],$B96,TblApplications[Environnement],p_envcrit))</f>
        <v/>
      </c>
      <c r="F96" s="27" t="str">
        <f t="shared" si="0"/>
        <v/>
      </c>
    </row>
    <row r="97" spans="2:6" x14ac:dyDescent="0.2">
      <c r="B97" s="26" t="str">
        <f>IFERROR(IF(INDEX(TblTribes[Tribe],35)="","",INDEX(TblTribes[Tribe],35)),"")</f>
        <v/>
      </c>
      <c r="C97" s="26" t="str">
        <f>IF($B97="","",INDEX(TblTribes[Domaine de la tribe],35))</f>
        <v/>
      </c>
      <c r="D97" s="27" t="str">
        <f>IF($B97="","",SUMIFS(TblApplications[Coût IKS affecté (€)],TblApplications[Tribe],$B97,TblApplications[Environnement],p_envcrit))</f>
        <v/>
      </c>
      <c r="E97" s="27" t="str">
        <f>IF($B97="","",SUMIFS(TblApplications[Coût ROKS affecté (€)],TblApplications[Tribe],$B97,TblApplications[Environnement],p_envcrit))</f>
        <v/>
      </c>
      <c r="F97" s="27" t="str">
        <f t="shared" si="0"/>
        <v/>
      </c>
    </row>
    <row r="98" spans="2:6" x14ac:dyDescent="0.2">
      <c r="B98" s="26" t="str">
        <f>IFERROR(IF(INDEX(TblTribes[Tribe],36)="","",INDEX(TblTribes[Tribe],36)),"")</f>
        <v/>
      </c>
      <c r="C98" s="26" t="str">
        <f>IF($B98="","",INDEX(TblTribes[Domaine de la tribe],36))</f>
        <v/>
      </c>
      <c r="D98" s="27" t="str">
        <f>IF($B98="","",SUMIFS(TblApplications[Coût IKS affecté (€)],TblApplications[Tribe],$B98,TblApplications[Environnement],p_envcrit))</f>
        <v/>
      </c>
      <c r="E98" s="27" t="str">
        <f>IF($B98="","",SUMIFS(TblApplications[Coût ROKS affecté (€)],TblApplications[Tribe],$B98,TblApplications[Environnement],p_envcrit))</f>
        <v/>
      </c>
      <c r="F98" s="27" t="str">
        <f t="shared" si="0"/>
        <v/>
      </c>
    </row>
    <row r="99" spans="2:6" x14ac:dyDescent="0.2">
      <c r="B99" s="26" t="str">
        <f>IFERROR(IF(INDEX(TblTribes[Tribe],37)="","",INDEX(TblTribes[Tribe],37)),"")</f>
        <v/>
      </c>
      <c r="C99" s="26" t="str">
        <f>IF($B99="","",INDEX(TblTribes[Domaine de la tribe],37))</f>
        <v/>
      </c>
      <c r="D99" s="27" t="str">
        <f>IF($B99="","",SUMIFS(TblApplications[Coût IKS affecté (€)],TblApplications[Tribe],$B99,TblApplications[Environnement],p_envcrit))</f>
        <v/>
      </c>
      <c r="E99" s="27" t="str">
        <f>IF($B99="","",SUMIFS(TblApplications[Coût ROKS affecté (€)],TblApplications[Tribe],$B99,TblApplications[Environnement],p_envcrit))</f>
        <v/>
      </c>
      <c r="F99" s="27" t="str">
        <f t="shared" si="0"/>
        <v/>
      </c>
    </row>
    <row r="100" spans="2:6" x14ac:dyDescent="0.2">
      <c r="B100" s="26" t="str">
        <f>IFERROR(IF(INDEX(TblTribes[Tribe],38)="","",INDEX(TblTribes[Tribe],38)),"")</f>
        <v/>
      </c>
      <c r="C100" s="26" t="str">
        <f>IF($B100="","",INDEX(TblTribes[Domaine de la tribe],38))</f>
        <v/>
      </c>
      <c r="D100" s="27" t="str">
        <f>IF($B100="","",SUMIFS(TblApplications[Coût IKS affecté (€)],TblApplications[Tribe],$B100,TblApplications[Environnement],p_envcrit))</f>
        <v/>
      </c>
      <c r="E100" s="27" t="str">
        <f>IF($B100="","",SUMIFS(TblApplications[Coût ROKS affecté (€)],TblApplications[Tribe],$B100,TblApplications[Environnement],p_envcrit))</f>
        <v/>
      </c>
      <c r="F100" s="27" t="str">
        <f t="shared" si="0"/>
        <v/>
      </c>
    </row>
    <row r="101" spans="2:6" x14ac:dyDescent="0.2">
      <c r="B101" s="26" t="str">
        <f>IFERROR(IF(INDEX(TblTribes[Tribe],39)="","",INDEX(TblTribes[Tribe],39)),"")</f>
        <v/>
      </c>
      <c r="C101" s="26" t="str">
        <f>IF($B101="","",INDEX(TblTribes[Domaine de la tribe],39))</f>
        <v/>
      </c>
      <c r="D101" s="27" t="str">
        <f>IF($B101="","",SUMIFS(TblApplications[Coût IKS affecté (€)],TblApplications[Tribe],$B101,TblApplications[Environnement],p_envcrit))</f>
        <v/>
      </c>
      <c r="E101" s="27" t="str">
        <f>IF($B101="","",SUMIFS(TblApplications[Coût ROKS affecté (€)],TblApplications[Tribe],$B101,TblApplications[Environnement],p_envcrit))</f>
        <v/>
      </c>
      <c r="F101" s="27" t="str">
        <f t="shared" si="0"/>
        <v/>
      </c>
    </row>
    <row r="102" spans="2:6" x14ac:dyDescent="0.2">
      <c r="B102" s="26" t="str">
        <f>IFERROR(IF(INDEX(TblTribes[Tribe],40)="","",INDEX(TblTribes[Tribe],40)),"")</f>
        <v/>
      </c>
      <c r="C102" s="26" t="str">
        <f>IF($B102="","",INDEX(TblTribes[Domaine de la tribe],40))</f>
        <v/>
      </c>
      <c r="D102" s="27" t="str">
        <f>IF($B102="","",SUMIFS(TblApplications[Coût IKS affecté (€)],TblApplications[Tribe],$B102,TblApplications[Environnement],p_envcrit))</f>
        <v/>
      </c>
      <c r="E102" s="27" t="str">
        <f>IF($B102="","",SUMIFS(TblApplications[Coût ROKS affecté (€)],TblApplications[Tribe],$B102,TblApplications[Environnement],p_envcrit))</f>
        <v/>
      </c>
      <c r="F102" s="27" t="str">
        <f t="shared" si="0"/>
        <v/>
      </c>
    </row>
  </sheetData>
  <mergeCells count="12">
    <mergeCell ref="L4:M4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H4:I4"/>
    <mergeCell ref="J4:K4"/>
  </mergeCells>
  <dataValidations count="1">
    <dataValidation type="list" showErrorMessage="1" errorTitle="Saisie invalide" error="Choisir Tous, PRD ou NPRD" sqref="C8" xr:uid="{00000000-0002-0000-0000-000000000000}">
      <formula1>"Tous,PRD,NPRD"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Z98"/>
  <sheetViews>
    <sheetView showGridLines="0" zoomScaleNormal="100" workbookViewId="0">
      <selection activeCell="C4" sqref="C4"/>
    </sheetView>
  </sheetViews>
  <sheetFormatPr baseColWidth="10" defaultColWidth="8.6640625" defaultRowHeight="15" x14ac:dyDescent="0.2"/>
  <cols>
    <col min="1" max="1" width="2" customWidth="1"/>
    <col min="2" max="2" width="16" customWidth="1"/>
    <col min="3" max="3" width="14" customWidth="1"/>
    <col min="4" max="8" width="11" customWidth="1"/>
    <col min="9" max="10" width="4" customWidth="1"/>
    <col min="11" max="11" width="16.6640625" customWidth="1"/>
    <col min="12" max="16" width="11" customWidth="1"/>
    <col min="30" max="33" width="13" customWidth="1"/>
    <col min="48" max="52" width="12" customWidth="1"/>
  </cols>
  <sheetData>
    <row r="1" spans="2:33" ht="20" x14ac:dyDescent="0.2">
      <c r="B1" s="15" t="s">
        <v>24</v>
      </c>
    </row>
    <row r="2" spans="2:33" x14ac:dyDescent="0.2">
      <c r="B2" s="16" t="s">
        <v>25</v>
      </c>
    </row>
    <row r="4" spans="2:33" x14ac:dyDescent="0.2">
      <c r="B4" s="18" t="s">
        <v>26</v>
      </c>
      <c r="C4" s="20" t="s">
        <v>10</v>
      </c>
      <c r="E4" s="18" t="s">
        <v>20</v>
      </c>
      <c r="F4" s="20" t="s">
        <v>10</v>
      </c>
      <c r="H4" s="18" t="s">
        <v>19</v>
      </c>
      <c r="I4" s="20" t="s">
        <v>10</v>
      </c>
      <c r="K4" s="18" t="s">
        <v>27</v>
      </c>
      <c r="L4" s="28">
        <v>46722</v>
      </c>
      <c r="AD4" s="29" t="str">
        <f>IF(C4="Tous","*",C4)</f>
        <v>*</v>
      </c>
      <c r="AE4" s="29" t="str">
        <f>IF(F4="Tous","*",F4)</f>
        <v>*</v>
      </c>
      <c r="AF4" s="29" t="str">
        <f>IF(I4="Tous","*",I4)</f>
        <v>*</v>
      </c>
      <c r="AG4" s="30">
        <f>IFERROR(DATE(YEAR(L4),MONTH(L4),1),p_debut)</f>
        <v>46722</v>
      </c>
    </row>
    <row r="6" spans="2:33" ht="27.75" customHeight="1" x14ac:dyDescent="0.2">
      <c r="B6" s="5" t="s">
        <v>28</v>
      </c>
      <c r="C6" s="5"/>
      <c r="D6" s="4" t="s">
        <v>29</v>
      </c>
      <c r="E6" s="4"/>
      <c r="F6" s="3" t="s">
        <v>30</v>
      </c>
      <c r="G6" s="3"/>
      <c r="H6" s="2" t="s">
        <v>31</v>
      </c>
      <c r="I6" s="2"/>
      <c r="J6" s="1" t="s">
        <v>32</v>
      </c>
      <c r="K6" s="1"/>
      <c r="L6" s="1" t="s">
        <v>33</v>
      </c>
      <c r="M6" s="1"/>
    </row>
    <row r="7" spans="2:33" ht="36" customHeight="1" x14ac:dyDescent="0.2">
      <c r="B7" s="74">
        <f>COUNTIFS(TblApplications[Action],"Migré",TblApplications[Environnement],av_envc,TblApplications[Domaine],av_domc,TblApplications[Tribe],av_tric)</f>
        <v>1</v>
      </c>
      <c r="C7" s="74"/>
      <c r="D7" s="75">
        <f>COUNTIFS(TblApplications[Action],"À migrer",TblApplications[Environnement],av_envc,TblApplications[Domaine],av_domc,TblApplications[Tribe],av_tric)</f>
        <v>3</v>
      </c>
      <c r="E7" s="75"/>
      <c r="F7" s="76">
        <f>COUNTIFS(TblApplications[Action],"À décommissionner",TblApplications[Environnement],av_envc,TblApplications[Domaine],av_domc,TblApplications[Tribe],av_tric)</f>
        <v>1</v>
      </c>
      <c r="G7" s="76"/>
      <c r="H7" s="77">
        <f>COUNTIFS(TblApplications[Action],"Décommissionné",TblApplications[Environnement],av_envc,TblApplications[Domaine],av_domc,TblApplications[Tribe],av_tric)</f>
        <v>0</v>
      </c>
      <c r="I7" s="77"/>
      <c r="J7" s="78">
        <f>(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(calc)],"&lt;="&amp;av_mois,TblApplications[Environnement],av_envc,TblApplications[Domaine],av_domc,TblApplications[Tribe],av_tric)+COUNTIFS(TblApplications[Action],"À décommissionner",TblApplications[Mois lib (calc)],"&lt;="&amp;av_mois,TblApplications[Environnement],av_envc,TblApplications[Domaine],av_domc,TblApplications[Tribe],av_tric))</f>
        <v>3</v>
      </c>
      <c r="K7" s="78"/>
      <c r="L7" s="79">
        <f>IFERROR((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(calc)],"&lt;="&amp;av_mois,TblApplications[Environnement],av_envc,TblApplications[Domaine],av_domc,TblApplications[Tribe],av_tric)+COUNTIFS(TblApplications[Action],"À décommissionner",TblApplications[Mois lib (calc)],"&lt;="&amp;av_mois,TblApplications[Environnement],av_envc,TblApplications[Domaine],av_domc,TblApplications[Tribe],av_tric))/COUNTIFS(TblApplications[ID],"&lt;&gt;",TblApplications[Environnement],av_envc,TblApplications[Domaine],av_domc,TblApplications[Tribe],av_tric),0)</f>
        <v>0.6</v>
      </c>
      <c r="M7" s="79"/>
    </row>
    <row r="9" spans="2:33" x14ac:dyDescent="0.2">
      <c r="B9" s="24" t="s">
        <v>34</v>
      </c>
    </row>
    <row r="11" spans="2:33" ht="16" x14ac:dyDescent="0.2">
      <c r="B11" s="22" t="s">
        <v>35</v>
      </c>
    </row>
    <row r="33" spans="2:16" ht="59" customHeight="1" x14ac:dyDescent="0.2">
      <c r="B33" s="25" t="s">
        <v>19</v>
      </c>
      <c r="C33" s="25" t="s">
        <v>20</v>
      </c>
      <c r="D33" s="25" t="s">
        <v>36</v>
      </c>
      <c r="E33" s="25" t="s">
        <v>29</v>
      </c>
      <c r="F33" s="25" t="s">
        <v>30</v>
      </c>
      <c r="G33" s="25" t="s">
        <v>37</v>
      </c>
      <c r="H33" s="25" t="s">
        <v>38</v>
      </c>
      <c r="K33" s="25" t="s">
        <v>20</v>
      </c>
      <c r="L33" s="25" t="s">
        <v>36</v>
      </c>
      <c r="M33" s="25" t="s">
        <v>29</v>
      </c>
      <c r="N33" s="25" t="s">
        <v>30</v>
      </c>
      <c r="O33" s="25" t="s">
        <v>37</v>
      </c>
      <c r="P33" s="25" t="s">
        <v>38</v>
      </c>
    </row>
    <row r="34" spans="2:16" x14ac:dyDescent="0.2">
      <c r="B34" s="26" t="str">
        <f>IFERROR(IF(INDEX(TblTribes[Tribe],1)="","",INDEX(TblTribes[Tribe],1)),"")</f>
        <v>Parcours client</v>
      </c>
      <c r="C34" s="26" t="str">
        <f>IF($B34="","",INDEX(TblTribes[Domaine de la tribe],1))</f>
        <v>Distribution</v>
      </c>
      <c r="D34" s="26">
        <f>IF($B34="","",COUNTIFS(TblApplications[Tribe],$B34,TblApplications[Action],"Migré",TblApplications[Environnement],av_envc,TblApplications[Domaine],av_domc,TblApplications[Tribe],av_tric))</f>
        <v>0</v>
      </c>
      <c r="E34" s="26">
        <f>IF($B34="","",COUNTIFS(TblApplications[Tribe],$B34,TblApplications[Action],"À migrer",TblApplications[Environnement],av_envc,TblApplications[Domaine],av_domc,TblApplications[Tribe],av_tric))</f>
        <v>1</v>
      </c>
      <c r="F34" s="26">
        <f>IF($B34="","",COUNTIFS(TblApplications[Tribe],$B34,TblApplications[Action],"À décommissionner",TblApplications[Environnement],av_envc,TblApplications[Domaine],av_domc,TblApplications[Tribe],av_tric))</f>
        <v>1</v>
      </c>
      <c r="G34" s="26">
        <f>IF($B34="","",COUNTIFS(TblApplications[Tribe],$B34,TblApplications[Action],"Décommissionné",TblApplications[Environnement],av_envc,TblApplications[Domaine],av_domc,TblApplications[Tribe],av_tric))</f>
        <v>0</v>
      </c>
      <c r="H34" s="26">
        <f t="shared" ref="H34:H73" si="0">IF($B34="","",SUM(D34:G34))</f>
        <v>2</v>
      </c>
      <c r="K34" s="26" t="str">
        <f>IFERROR(IF(INDEX(TblDomaines[Domaine],1)="","",INDEX(TblDomaines[Domaine],1)),"")</f>
        <v>Distribution</v>
      </c>
      <c r="L34" s="26">
        <f>IF($K34="","",COUNTIFS(TblApplications[Domaine],$K34,TblApplications[Action],"Migré",TblApplications[Environnement],av_envc,TblApplications[Domaine],av_domc,TblApplications[Tribe],av_tric))</f>
        <v>0</v>
      </c>
      <c r="M34" s="26">
        <f>IF($K34="","",COUNTIFS(TblApplications[Domaine],$K34,TblApplications[Action],"À migrer",TblApplications[Environnement],av_envc,TblApplications[Domaine],av_domc,TblApplications[Tribe],av_tric))</f>
        <v>2</v>
      </c>
      <c r="N34" s="26">
        <f>IF($K34="","",COUNTIFS(TblApplications[Domaine],$K34,TblApplications[Action],"À décommissionner",TblApplications[Environnement],av_envc,TblApplications[Domaine],av_domc,TblApplications[Tribe],av_tric))</f>
        <v>1</v>
      </c>
      <c r="O34" s="26">
        <f>IF($K34="","",COUNTIFS(TblApplications[Domaine],$K34,TblApplications[Action],"Décommissionné",TblApplications[Environnement],av_envc,TblApplications[Domaine],av_domc,TblApplications[Tribe],av_tric))</f>
        <v>0</v>
      </c>
      <c r="P34" s="26">
        <f t="shared" ref="P34:P53" si="1">IF($K34="","",SUM(L34:O34))</f>
        <v>3</v>
      </c>
    </row>
    <row r="35" spans="2:16" x14ac:dyDescent="0.2">
      <c r="B35" s="26" t="str">
        <f>IFERROR(IF(INDEX(TblTribes[Tribe],2)="","",INDEX(TblTribes[Tribe],2)),"")</f>
        <v>Tarification</v>
      </c>
      <c r="C35" s="26" t="str">
        <f>IF($B35="","",INDEX(TblTribes[Domaine de la tribe],2))</f>
        <v>Distribution</v>
      </c>
      <c r="D35" s="26">
        <f>IF($B35="","",COUNTIFS(TblApplications[Tribe],$B35,TblApplications[Action],"Migré",TblApplications[Environnement],av_envc,TblApplications[Domaine],av_domc,TblApplications[Tribe],av_tric))</f>
        <v>0</v>
      </c>
      <c r="E35" s="26">
        <f>IF($B35="","",COUNTIFS(TblApplications[Tribe],$B35,TblApplications[Action],"À migrer",TblApplications[Environnement],av_envc,TblApplications[Domaine],av_domc,TblApplications[Tribe],av_tric))</f>
        <v>1</v>
      </c>
      <c r="F35" s="26">
        <f>IF($B35="","",COUNTIFS(TblApplications[Tribe],$B35,TblApplications[Action],"À décommissionner",TblApplications[Environnement],av_envc,TblApplications[Domaine],av_domc,TblApplications[Tribe],av_tric))</f>
        <v>0</v>
      </c>
      <c r="G35" s="26">
        <f>IF($B35="","",COUNTIFS(TblApplications[Tribe],$B35,TblApplications[Action],"Décommissionné",TblApplications[Environnement],av_envc,TblApplications[Domaine],av_domc,TblApplications[Tribe],av_tric))</f>
        <v>0</v>
      </c>
      <c r="H35" s="26">
        <f t="shared" si="0"/>
        <v>1</v>
      </c>
      <c r="K35" s="26" t="str">
        <f>IFERROR(IF(INDEX(TblDomaines[Domaine],2)="","",INDEX(TblDomaines[Domaine],2)),"")</f>
        <v>Indemnisation</v>
      </c>
      <c r="L35" s="26">
        <f>IF($K35="","",COUNTIFS(TblApplications[Domaine],$K35,TblApplications[Action],"Migré",TblApplications[Environnement],av_envc,TblApplications[Domaine],av_domc,TblApplications[Tribe],av_tric))</f>
        <v>1</v>
      </c>
      <c r="M35" s="26">
        <f>IF($K35="","",COUNTIFS(TblApplications[Domaine],$K35,TblApplications[Action],"À migrer",TblApplications[Environnement],av_envc,TblApplications[Domaine],av_domc,TblApplications[Tribe],av_tric))</f>
        <v>1</v>
      </c>
      <c r="N35" s="26">
        <f>IF($K35="","",COUNTIFS(TblApplications[Domaine],$K35,TblApplications[Action],"À décommissionner",TblApplications[Environnement],av_envc,TblApplications[Domaine],av_domc,TblApplications[Tribe],av_tric))</f>
        <v>0</v>
      </c>
      <c r="O35" s="26">
        <f>IF($K35="","",COUNTIFS(TblApplications[Domaine],$K35,TblApplications[Action],"Décommissionné",TblApplications[Environnement],av_envc,TblApplications[Domaine],av_domc,TblApplications[Tribe],av_tric))</f>
        <v>0</v>
      </c>
      <c r="P35" s="26">
        <f t="shared" si="1"/>
        <v>2</v>
      </c>
    </row>
    <row r="36" spans="2:16" x14ac:dyDescent="0.2">
      <c r="B36" s="26" t="str">
        <f>IFERROR(IF(INDEX(TblTribes[Tribe],3)="","",INDEX(TblTribes[Tribe],3)),"")</f>
        <v>Sinistres</v>
      </c>
      <c r="C36" s="26" t="str">
        <f>IF($B36="","",INDEX(TblTribes[Domaine de la tribe],3))</f>
        <v>Indemnisation</v>
      </c>
      <c r="D36" s="26">
        <f>IF($B36="","",COUNTIFS(TblApplications[Tribe],$B36,TblApplications[Action],"Migré",TblApplications[Environnement],av_envc,TblApplications[Domaine],av_domc,TblApplications[Tribe],av_tric))</f>
        <v>1</v>
      </c>
      <c r="E36" s="26">
        <f>IF($B36="","",COUNTIFS(TblApplications[Tribe],$B36,TblApplications[Action],"À migrer",TblApplications[Environnement],av_envc,TblApplications[Domaine],av_domc,TblApplications[Tribe],av_tric))</f>
        <v>1</v>
      </c>
      <c r="F36" s="26">
        <f>IF($B36="","",COUNTIFS(TblApplications[Tribe],$B36,TblApplications[Action],"À décommissionner",TblApplications[Environnement],av_envc,TblApplications[Domaine],av_domc,TblApplications[Tribe],av_tric))</f>
        <v>0</v>
      </c>
      <c r="G36" s="26">
        <f>IF($B36="","",COUNTIFS(TblApplications[Tribe],$B36,TblApplications[Action],"Décommissionné",TblApplications[Environnement],av_envc,TblApplications[Domaine],av_domc,TblApplications[Tribe],av_tric))</f>
        <v>0</v>
      </c>
      <c r="H36" s="26">
        <f t="shared" si="0"/>
        <v>2</v>
      </c>
      <c r="K36" s="26" t="str">
        <f>IFERROR(IF(INDEX(TblDomaines[Domaine],3)="","",INDEX(TblDomaines[Domaine],3)),"")</f>
        <v/>
      </c>
      <c r="L36" s="26" t="str">
        <f>IF($K36="","",COUNTIFS(TblApplications[Domaine],$K36,TblApplications[Action],"Migré",TblApplications[Environnement],av_envc,TblApplications[Domaine],av_domc,TblApplications[Tribe],av_tric))</f>
        <v/>
      </c>
      <c r="M36" s="26" t="str">
        <f>IF($K36="","",COUNTIFS(TblApplications[Domaine],$K36,TblApplications[Action],"À migrer",TblApplications[Environnement],av_envc,TblApplications[Domaine],av_domc,TblApplications[Tribe],av_tric))</f>
        <v/>
      </c>
      <c r="N36" s="26" t="str">
        <f>IF($K36="","",COUNTIFS(TblApplications[Domaine],$K36,TblApplications[Action],"À décommissionner",TblApplications[Environnement],av_envc,TblApplications[Domaine],av_domc,TblApplications[Tribe],av_tric))</f>
        <v/>
      </c>
      <c r="O36" s="26" t="str">
        <f>IF($K36="","",COUNTIFS(TblApplications[Domaine],$K36,TblApplications[Action],"Décommissionné",TblApplications[Environnement],av_envc,TblApplications[Domaine],av_domc,TblApplications[Tribe],av_tric))</f>
        <v/>
      </c>
      <c r="P36" s="26" t="str">
        <f t="shared" si="1"/>
        <v/>
      </c>
    </row>
    <row r="37" spans="2:16" x14ac:dyDescent="0.2">
      <c r="B37" s="26" t="str">
        <f>IFERROR(IF(INDEX(TblTribes[Tribe],4)="","",INDEX(TblTribes[Tribe],4)),"")</f>
        <v/>
      </c>
      <c r="C37" s="26" t="str">
        <f>IF($B37="","",INDEX(TblTribes[Domaine de la tribe],4))</f>
        <v/>
      </c>
      <c r="D37" s="26" t="str">
        <f>IF($B37="","",COUNTIFS(TblApplications[Tribe],$B37,TblApplications[Action],"Migré",TblApplications[Environnement],av_envc,TblApplications[Domaine],av_domc,TblApplications[Tribe],av_tric))</f>
        <v/>
      </c>
      <c r="E37" s="26" t="str">
        <f>IF($B37="","",COUNTIFS(TblApplications[Tribe],$B37,TblApplications[Action],"À migrer",TblApplications[Environnement],av_envc,TblApplications[Domaine],av_domc,TblApplications[Tribe],av_tric))</f>
        <v/>
      </c>
      <c r="F37" s="26" t="str">
        <f>IF($B37="","",COUNTIFS(TblApplications[Tribe],$B37,TblApplications[Action],"À décommissionner",TblApplications[Environnement],av_envc,TblApplications[Domaine],av_domc,TblApplications[Tribe],av_tric))</f>
        <v/>
      </c>
      <c r="G37" s="26" t="str">
        <f>IF($B37="","",COUNTIFS(TblApplications[Tribe],$B37,TblApplications[Action],"Décommissionné",TblApplications[Environnement],av_envc,TblApplications[Domaine],av_domc,TblApplications[Tribe],av_tric))</f>
        <v/>
      </c>
      <c r="H37" s="26" t="str">
        <f t="shared" si="0"/>
        <v/>
      </c>
      <c r="K37" s="26" t="str">
        <f>IFERROR(IF(INDEX(TblDomaines[Domaine],4)="","",INDEX(TblDomaines[Domaine],4)),"")</f>
        <v/>
      </c>
      <c r="L37" s="26" t="str">
        <f>IF($K37="","",COUNTIFS(TblApplications[Domaine],$K37,TblApplications[Action],"Migré",TblApplications[Environnement],av_envc,TblApplications[Domaine],av_domc,TblApplications[Tribe],av_tric))</f>
        <v/>
      </c>
      <c r="M37" s="26" t="str">
        <f>IF($K37="","",COUNTIFS(TblApplications[Domaine],$K37,TblApplications[Action],"À migrer",TblApplications[Environnement],av_envc,TblApplications[Domaine],av_domc,TblApplications[Tribe],av_tric))</f>
        <v/>
      </c>
      <c r="N37" s="26" t="str">
        <f>IF($K37="","",COUNTIFS(TblApplications[Domaine],$K37,TblApplications[Action],"À décommissionner",TblApplications[Environnement],av_envc,TblApplications[Domaine],av_domc,TblApplications[Tribe],av_tric))</f>
        <v/>
      </c>
      <c r="O37" s="26" t="str">
        <f>IF($K37="","",COUNTIFS(TblApplications[Domaine],$K37,TblApplications[Action],"Décommissionné",TblApplications[Environnement],av_envc,TblApplications[Domaine],av_domc,TblApplications[Tribe],av_tric))</f>
        <v/>
      </c>
      <c r="P37" s="26" t="str">
        <f t="shared" si="1"/>
        <v/>
      </c>
    </row>
    <row r="38" spans="2:16" x14ac:dyDescent="0.2">
      <c r="B38" s="26" t="str">
        <f>IFERROR(IF(INDEX(TblTribes[Tribe],5)="","",INDEX(TblTribes[Tribe],5)),"")</f>
        <v/>
      </c>
      <c r="C38" s="26" t="str">
        <f>IF($B38="","",INDEX(TblTribes[Domaine de la tribe],5))</f>
        <v/>
      </c>
      <c r="D38" s="26" t="str">
        <f>IF($B38="","",COUNTIFS(TblApplications[Tribe],$B38,TblApplications[Action],"Migré",TblApplications[Environnement],av_envc,TblApplications[Domaine],av_domc,TblApplications[Tribe],av_tric))</f>
        <v/>
      </c>
      <c r="E38" s="26" t="str">
        <f>IF($B38="","",COUNTIFS(TblApplications[Tribe],$B38,TblApplications[Action],"À migrer",TblApplications[Environnement],av_envc,TblApplications[Domaine],av_domc,TblApplications[Tribe],av_tric))</f>
        <v/>
      </c>
      <c r="F38" s="26" t="str">
        <f>IF($B38="","",COUNTIFS(TblApplications[Tribe],$B38,TblApplications[Action],"À décommissionner",TblApplications[Environnement],av_envc,TblApplications[Domaine],av_domc,TblApplications[Tribe],av_tric))</f>
        <v/>
      </c>
      <c r="G38" s="26" t="str">
        <f>IF($B38="","",COUNTIFS(TblApplications[Tribe],$B38,TblApplications[Action],"Décommissionné",TblApplications[Environnement],av_envc,TblApplications[Domaine],av_domc,TblApplications[Tribe],av_tric))</f>
        <v/>
      </c>
      <c r="H38" s="26" t="str">
        <f t="shared" si="0"/>
        <v/>
      </c>
      <c r="K38" s="26" t="str">
        <f>IFERROR(IF(INDEX(TblDomaines[Domaine],5)="","",INDEX(TblDomaines[Domaine],5)),"")</f>
        <v/>
      </c>
      <c r="L38" s="26" t="str">
        <f>IF($K38="","",COUNTIFS(TblApplications[Domaine],$K38,TblApplications[Action],"Migré",TblApplications[Environnement],av_envc,TblApplications[Domaine],av_domc,TblApplications[Tribe],av_tric))</f>
        <v/>
      </c>
      <c r="M38" s="26" t="str">
        <f>IF($K38="","",COUNTIFS(TblApplications[Domaine],$K38,TblApplications[Action],"À migrer",TblApplications[Environnement],av_envc,TblApplications[Domaine],av_domc,TblApplications[Tribe],av_tric))</f>
        <v/>
      </c>
      <c r="N38" s="26" t="str">
        <f>IF($K38="","",COUNTIFS(TblApplications[Domaine],$K38,TblApplications[Action],"À décommissionner",TblApplications[Environnement],av_envc,TblApplications[Domaine],av_domc,TblApplications[Tribe],av_tric))</f>
        <v/>
      </c>
      <c r="O38" s="26" t="str">
        <f>IF($K38="","",COUNTIFS(TblApplications[Domaine],$K38,TblApplications[Action],"Décommissionné",TblApplications[Environnement],av_envc,TblApplications[Domaine],av_domc,TblApplications[Tribe],av_tric))</f>
        <v/>
      </c>
      <c r="P38" s="26" t="str">
        <f t="shared" si="1"/>
        <v/>
      </c>
    </row>
    <row r="39" spans="2:16" x14ac:dyDescent="0.2">
      <c r="B39" s="26" t="str">
        <f>IFERROR(IF(INDEX(TblTribes[Tribe],6)="","",INDEX(TblTribes[Tribe],6)),"")</f>
        <v/>
      </c>
      <c r="C39" s="26" t="str">
        <f>IF($B39="","",INDEX(TblTribes[Domaine de la tribe],6))</f>
        <v/>
      </c>
      <c r="D39" s="26" t="str">
        <f>IF($B39="","",COUNTIFS(TblApplications[Tribe],$B39,TblApplications[Action],"Migré",TblApplications[Environnement],av_envc,TblApplications[Domaine],av_domc,TblApplications[Tribe],av_tric))</f>
        <v/>
      </c>
      <c r="E39" s="26" t="str">
        <f>IF($B39="","",COUNTIFS(TblApplications[Tribe],$B39,TblApplications[Action],"À migrer",TblApplications[Environnement],av_envc,TblApplications[Domaine],av_domc,TblApplications[Tribe],av_tric))</f>
        <v/>
      </c>
      <c r="F39" s="26" t="str">
        <f>IF($B39="","",COUNTIFS(TblApplications[Tribe],$B39,TblApplications[Action],"À décommissionner",TblApplications[Environnement],av_envc,TblApplications[Domaine],av_domc,TblApplications[Tribe],av_tric))</f>
        <v/>
      </c>
      <c r="G39" s="26" t="str">
        <f>IF($B39="","",COUNTIFS(TblApplications[Tribe],$B39,TblApplications[Action],"Décommissionné",TblApplications[Environnement],av_envc,TblApplications[Domaine],av_domc,TblApplications[Tribe],av_tric))</f>
        <v/>
      </c>
      <c r="H39" s="26" t="str">
        <f t="shared" si="0"/>
        <v/>
      </c>
      <c r="K39" s="26" t="str">
        <f>IFERROR(IF(INDEX(TblDomaines[Domaine],6)="","",INDEX(TblDomaines[Domaine],6)),"")</f>
        <v/>
      </c>
      <c r="L39" s="26" t="str">
        <f>IF($K39="","",COUNTIFS(TblApplications[Domaine],$K39,TblApplications[Action],"Migré",TblApplications[Environnement],av_envc,TblApplications[Domaine],av_domc,TblApplications[Tribe],av_tric))</f>
        <v/>
      </c>
      <c r="M39" s="26" t="str">
        <f>IF($K39="","",COUNTIFS(TblApplications[Domaine],$K39,TblApplications[Action],"À migrer",TblApplications[Environnement],av_envc,TblApplications[Domaine],av_domc,TblApplications[Tribe],av_tric))</f>
        <v/>
      </c>
      <c r="N39" s="26" t="str">
        <f>IF($K39="","",COUNTIFS(TblApplications[Domaine],$K39,TblApplications[Action],"À décommissionner",TblApplications[Environnement],av_envc,TblApplications[Domaine],av_domc,TblApplications[Tribe],av_tric))</f>
        <v/>
      </c>
      <c r="O39" s="26" t="str">
        <f>IF($K39="","",COUNTIFS(TblApplications[Domaine],$K39,TblApplications[Action],"Décommissionné",TblApplications[Environnement],av_envc,TblApplications[Domaine],av_domc,TblApplications[Tribe],av_tric))</f>
        <v/>
      </c>
      <c r="P39" s="26" t="str">
        <f t="shared" si="1"/>
        <v/>
      </c>
    </row>
    <row r="40" spans="2:16" x14ac:dyDescent="0.2">
      <c r="B40" s="26" t="str">
        <f>IFERROR(IF(INDEX(TblTribes[Tribe],7)="","",INDEX(TblTribes[Tribe],7)),"")</f>
        <v/>
      </c>
      <c r="C40" s="26" t="str">
        <f>IF($B40="","",INDEX(TblTribes[Domaine de la tribe],7))</f>
        <v/>
      </c>
      <c r="D40" s="26" t="str">
        <f>IF($B40="","",COUNTIFS(TblApplications[Tribe],$B40,TblApplications[Action],"Migré",TblApplications[Environnement],av_envc,TblApplications[Domaine],av_domc,TblApplications[Tribe],av_tric))</f>
        <v/>
      </c>
      <c r="E40" s="26" t="str">
        <f>IF($B40="","",COUNTIFS(TblApplications[Tribe],$B40,TblApplications[Action],"À migrer",TblApplications[Environnement],av_envc,TblApplications[Domaine],av_domc,TblApplications[Tribe],av_tric))</f>
        <v/>
      </c>
      <c r="F40" s="26" t="str">
        <f>IF($B40="","",COUNTIFS(TblApplications[Tribe],$B40,TblApplications[Action],"À décommissionner",TblApplications[Environnement],av_envc,TblApplications[Domaine],av_domc,TblApplications[Tribe],av_tric))</f>
        <v/>
      </c>
      <c r="G40" s="26" t="str">
        <f>IF($B40="","",COUNTIFS(TblApplications[Tribe],$B40,TblApplications[Action],"Décommissionné",TblApplications[Environnement],av_envc,TblApplications[Domaine],av_domc,TblApplications[Tribe],av_tric))</f>
        <v/>
      </c>
      <c r="H40" s="26" t="str">
        <f t="shared" si="0"/>
        <v/>
      </c>
      <c r="K40" s="26" t="str">
        <f>IFERROR(IF(INDEX(TblDomaines[Domaine],7)="","",INDEX(TblDomaines[Domaine],7)),"")</f>
        <v/>
      </c>
      <c r="L40" s="26" t="str">
        <f>IF($K40="","",COUNTIFS(TblApplications[Domaine],$K40,TblApplications[Action],"Migré",TblApplications[Environnement],av_envc,TblApplications[Domaine],av_domc,TblApplications[Tribe],av_tric))</f>
        <v/>
      </c>
      <c r="M40" s="26" t="str">
        <f>IF($K40="","",COUNTIFS(TblApplications[Domaine],$K40,TblApplications[Action],"À migrer",TblApplications[Environnement],av_envc,TblApplications[Domaine],av_domc,TblApplications[Tribe],av_tric))</f>
        <v/>
      </c>
      <c r="N40" s="26" t="str">
        <f>IF($K40="","",COUNTIFS(TblApplications[Domaine],$K40,TblApplications[Action],"À décommissionner",TblApplications[Environnement],av_envc,TblApplications[Domaine],av_domc,TblApplications[Tribe],av_tric))</f>
        <v/>
      </c>
      <c r="O40" s="26" t="str">
        <f>IF($K40="","",COUNTIFS(TblApplications[Domaine],$K40,TblApplications[Action],"Décommissionné",TblApplications[Environnement],av_envc,TblApplications[Domaine],av_domc,TblApplications[Tribe],av_tric))</f>
        <v/>
      </c>
      <c r="P40" s="26" t="str">
        <f t="shared" si="1"/>
        <v/>
      </c>
    </row>
    <row r="41" spans="2:16" x14ac:dyDescent="0.2">
      <c r="B41" s="26" t="str">
        <f>IFERROR(IF(INDEX(TblTribes[Tribe],8)="","",INDEX(TblTribes[Tribe],8)),"")</f>
        <v/>
      </c>
      <c r="C41" s="26" t="str">
        <f>IF($B41="","",INDEX(TblTribes[Domaine de la tribe],8))</f>
        <v/>
      </c>
      <c r="D41" s="26" t="str">
        <f>IF($B41="","",COUNTIFS(TblApplications[Tribe],$B41,TblApplications[Action],"Migré",TblApplications[Environnement],av_envc,TblApplications[Domaine],av_domc,TblApplications[Tribe],av_tric))</f>
        <v/>
      </c>
      <c r="E41" s="26" t="str">
        <f>IF($B41="","",COUNTIFS(TblApplications[Tribe],$B41,TblApplications[Action],"À migrer",TblApplications[Environnement],av_envc,TblApplications[Domaine],av_domc,TblApplications[Tribe],av_tric))</f>
        <v/>
      </c>
      <c r="F41" s="26" t="str">
        <f>IF($B41="","",COUNTIFS(TblApplications[Tribe],$B41,TblApplications[Action],"À décommissionner",TblApplications[Environnement],av_envc,TblApplications[Domaine],av_domc,TblApplications[Tribe],av_tric))</f>
        <v/>
      </c>
      <c r="G41" s="26" t="str">
        <f>IF($B41="","",COUNTIFS(TblApplications[Tribe],$B41,TblApplications[Action],"Décommissionné",TblApplications[Environnement],av_envc,TblApplications[Domaine],av_domc,TblApplications[Tribe],av_tric))</f>
        <v/>
      </c>
      <c r="H41" s="26" t="str">
        <f t="shared" si="0"/>
        <v/>
      </c>
      <c r="K41" s="26" t="str">
        <f>IFERROR(IF(INDEX(TblDomaines[Domaine],8)="","",INDEX(TblDomaines[Domaine],8)),"")</f>
        <v/>
      </c>
      <c r="L41" s="26" t="str">
        <f>IF($K41="","",COUNTIFS(TblApplications[Domaine],$K41,TblApplications[Action],"Migré",TblApplications[Environnement],av_envc,TblApplications[Domaine],av_domc,TblApplications[Tribe],av_tric))</f>
        <v/>
      </c>
      <c r="M41" s="26" t="str">
        <f>IF($K41="","",COUNTIFS(TblApplications[Domaine],$K41,TblApplications[Action],"À migrer",TblApplications[Environnement],av_envc,TblApplications[Domaine],av_domc,TblApplications[Tribe],av_tric))</f>
        <v/>
      </c>
      <c r="N41" s="26" t="str">
        <f>IF($K41="","",COUNTIFS(TblApplications[Domaine],$K41,TblApplications[Action],"À décommissionner",TblApplications[Environnement],av_envc,TblApplications[Domaine],av_domc,TblApplications[Tribe],av_tric))</f>
        <v/>
      </c>
      <c r="O41" s="26" t="str">
        <f>IF($K41="","",COUNTIFS(TblApplications[Domaine],$K41,TblApplications[Action],"Décommissionné",TblApplications[Environnement],av_envc,TblApplications[Domaine],av_domc,TblApplications[Tribe],av_tric))</f>
        <v/>
      </c>
      <c r="P41" s="26" t="str">
        <f t="shared" si="1"/>
        <v/>
      </c>
    </row>
    <row r="42" spans="2:16" x14ac:dyDescent="0.2">
      <c r="B42" s="26" t="str">
        <f>IFERROR(IF(INDEX(TblTribes[Tribe],9)="","",INDEX(TblTribes[Tribe],9)),"")</f>
        <v/>
      </c>
      <c r="C42" s="26" t="str">
        <f>IF($B42="","",INDEX(TblTribes[Domaine de la tribe],9))</f>
        <v/>
      </c>
      <c r="D42" s="26" t="str">
        <f>IF($B42="","",COUNTIFS(TblApplications[Tribe],$B42,TblApplications[Action],"Migré",TblApplications[Environnement],av_envc,TblApplications[Domaine],av_domc,TblApplications[Tribe],av_tric))</f>
        <v/>
      </c>
      <c r="E42" s="26" t="str">
        <f>IF($B42="","",COUNTIFS(TblApplications[Tribe],$B42,TblApplications[Action],"À migrer",TblApplications[Environnement],av_envc,TblApplications[Domaine],av_domc,TblApplications[Tribe],av_tric))</f>
        <v/>
      </c>
      <c r="F42" s="26" t="str">
        <f>IF($B42="","",COUNTIFS(TblApplications[Tribe],$B42,TblApplications[Action],"À décommissionner",TblApplications[Environnement],av_envc,TblApplications[Domaine],av_domc,TblApplications[Tribe],av_tric))</f>
        <v/>
      </c>
      <c r="G42" s="26" t="str">
        <f>IF($B42="","",COUNTIFS(TblApplications[Tribe],$B42,TblApplications[Action],"Décommissionné",TblApplications[Environnement],av_envc,TblApplications[Domaine],av_domc,TblApplications[Tribe],av_tric))</f>
        <v/>
      </c>
      <c r="H42" s="26" t="str">
        <f t="shared" si="0"/>
        <v/>
      </c>
      <c r="K42" s="26" t="str">
        <f>IFERROR(IF(INDEX(TblDomaines[Domaine],9)="","",INDEX(TblDomaines[Domaine],9)),"")</f>
        <v/>
      </c>
      <c r="L42" s="26" t="str">
        <f>IF($K42="","",COUNTIFS(TblApplications[Domaine],$K42,TblApplications[Action],"Migré",TblApplications[Environnement],av_envc,TblApplications[Domaine],av_domc,TblApplications[Tribe],av_tric))</f>
        <v/>
      </c>
      <c r="M42" s="26" t="str">
        <f>IF($K42="","",COUNTIFS(TblApplications[Domaine],$K42,TblApplications[Action],"À migrer",TblApplications[Environnement],av_envc,TblApplications[Domaine],av_domc,TblApplications[Tribe],av_tric))</f>
        <v/>
      </c>
      <c r="N42" s="26" t="str">
        <f>IF($K42="","",COUNTIFS(TblApplications[Domaine],$K42,TblApplications[Action],"À décommissionner",TblApplications[Environnement],av_envc,TblApplications[Domaine],av_domc,TblApplications[Tribe],av_tric))</f>
        <v/>
      </c>
      <c r="O42" s="26" t="str">
        <f>IF($K42="","",COUNTIFS(TblApplications[Domaine],$K42,TblApplications[Action],"Décommissionné",TblApplications[Environnement],av_envc,TblApplications[Domaine],av_domc,TblApplications[Tribe],av_tric))</f>
        <v/>
      </c>
      <c r="P42" s="26" t="str">
        <f t="shared" si="1"/>
        <v/>
      </c>
    </row>
    <row r="43" spans="2:16" x14ac:dyDescent="0.2">
      <c r="B43" s="26" t="str">
        <f>IFERROR(IF(INDEX(TblTribes[Tribe],10)="","",INDEX(TblTribes[Tribe],10)),"")</f>
        <v/>
      </c>
      <c r="C43" s="26" t="str">
        <f>IF($B43="","",INDEX(TblTribes[Domaine de la tribe],10))</f>
        <v/>
      </c>
      <c r="D43" s="26" t="str">
        <f>IF($B43="","",COUNTIFS(TblApplications[Tribe],$B43,TblApplications[Action],"Migré",TblApplications[Environnement],av_envc,TblApplications[Domaine],av_domc,TblApplications[Tribe],av_tric))</f>
        <v/>
      </c>
      <c r="E43" s="26" t="str">
        <f>IF($B43="","",COUNTIFS(TblApplications[Tribe],$B43,TblApplications[Action],"À migrer",TblApplications[Environnement],av_envc,TblApplications[Domaine],av_domc,TblApplications[Tribe],av_tric))</f>
        <v/>
      </c>
      <c r="F43" s="26" t="str">
        <f>IF($B43="","",COUNTIFS(TblApplications[Tribe],$B43,TblApplications[Action],"À décommissionner",TblApplications[Environnement],av_envc,TblApplications[Domaine],av_domc,TblApplications[Tribe],av_tric))</f>
        <v/>
      </c>
      <c r="G43" s="26" t="str">
        <f>IF($B43="","",COUNTIFS(TblApplications[Tribe],$B43,TblApplications[Action],"Décommissionné",TblApplications[Environnement],av_envc,TblApplications[Domaine],av_domc,TblApplications[Tribe],av_tric))</f>
        <v/>
      </c>
      <c r="H43" s="26" t="str">
        <f t="shared" si="0"/>
        <v/>
      </c>
      <c r="K43" s="26" t="str">
        <f>IFERROR(IF(INDEX(TblDomaines[Domaine],10)="","",INDEX(TblDomaines[Domaine],10)),"")</f>
        <v/>
      </c>
      <c r="L43" s="26" t="str">
        <f>IF($K43="","",COUNTIFS(TblApplications[Domaine],$K43,TblApplications[Action],"Migré",TblApplications[Environnement],av_envc,TblApplications[Domaine],av_domc,TblApplications[Tribe],av_tric))</f>
        <v/>
      </c>
      <c r="M43" s="26" t="str">
        <f>IF($K43="","",COUNTIFS(TblApplications[Domaine],$K43,TblApplications[Action],"À migrer",TblApplications[Environnement],av_envc,TblApplications[Domaine],av_domc,TblApplications[Tribe],av_tric))</f>
        <v/>
      </c>
      <c r="N43" s="26" t="str">
        <f>IF($K43="","",COUNTIFS(TblApplications[Domaine],$K43,TblApplications[Action],"À décommissionner",TblApplications[Environnement],av_envc,TblApplications[Domaine],av_domc,TblApplications[Tribe],av_tric))</f>
        <v/>
      </c>
      <c r="O43" s="26" t="str">
        <f>IF($K43="","",COUNTIFS(TblApplications[Domaine],$K43,TblApplications[Action],"Décommissionné",TblApplications[Environnement],av_envc,TblApplications[Domaine],av_domc,TblApplications[Tribe],av_tric))</f>
        <v/>
      </c>
      <c r="P43" s="26" t="str">
        <f t="shared" si="1"/>
        <v/>
      </c>
    </row>
    <row r="44" spans="2:16" x14ac:dyDescent="0.2">
      <c r="B44" s="26" t="str">
        <f>IFERROR(IF(INDEX(TblTribes[Tribe],11)="","",INDEX(TblTribes[Tribe],11)),"")</f>
        <v/>
      </c>
      <c r="C44" s="26" t="str">
        <f>IF($B44="","",INDEX(TblTribes[Domaine de la tribe],11))</f>
        <v/>
      </c>
      <c r="D44" s="26" t="str">
        <f>IF($B44="","",COUNTIFS(TblApplications[Tribe],$B44,TblApplications[Action],"Migré",TblApplications[Environnement],av_envc,TblApplications[Domaine],av_domc,TblApplications[Tribe],av_tric))</f>
        <v/>
      </c>
      <c r="E44" s="26" t="str">
        <f>IF($B44="","",COUNTIFS(TblApplications[Tribe],$B44,TblApplications[Action],"À migrer",TblApplications[Environnement],av_envc,TblApplications[Domaine],av_domc,TblApplications[Tribe],av_tric))</f>
        <v/>
      </c>
      <c r="F44" s="26" t="str">
        <f>IF($B44="","",COUNTIFS(TblApplications[Tribe],$B44,TblApplications[Action],"À décommissionner",TblApplications[Environnement],av_envc,TblApplications[Domaine],av_domc,TblApplications[Tribe],av_tric))</f>
        <v/>
      </c>
      <c r="G44" s="26" t="str">
        <f>IF($B44="","",COUNTIFS(TblApplications[Tribe],$B44,TblApplications[Action],"Décommissionné",TblApplications[Environnement],av_envc,TblApplications[Domaine],av_domc,TblApplications[Tribe],av_tric))</f>
        <v/>
      </c>
      <c r="H44" s="26" t="str">
        <f t="shared" si="0"/>
        <v/>
      </c>
      <c r="K44" s="26" t="str">
        <f>IFERROR(IF(INDEX(TblDomaines[Domaine],11)="","",INDEX(TblDomaines[Domaine],11)),"")</f>
        <v/>
      </c>
      <c r="L44" s="26" t="str">
        <f>IF($K44="","",COUNTIFS(TblApplications[Domaine],$K44,TblApplications[Action],"Migré",TblApplications[Environnement],av_envc,TblApplications[Domaine],av_domc,TblApplications[Tribe],av_tric))</f>
        <v/>
      </c>
      <c r="M44" s="26" t="str">
        <f>IF($K44="","",COUNTIFS(TblApplications[Domaine],$K44,TblApplications[Action],"À migrer",TblApplications[Environnement],av_envc,TblApplications[Domaine],av_domc,TblApplications[Tribe],av_tric))</f>
        <v/>
      </c>
      <c r="N44" s="26" t="str">
        <f>IF($K44="","",COUNTIFS(TblApplications[Domaine],$K44,TblApplications[Action],"À décommissionner",TblApplications[Environnement],av_envc,TblApplications[Domaine],av_domc,TblApplications[Tribe],av_tric))</f>
        <v/>
      </c>
      <c r="O44" s="26" t="str">
        <f>IF($K44="","",COUNTIFS(TblApplications[Domaine],$K44,TblApplications[Action],"Décommissionné",TblApplications[Environnement],av_envc,TblApplications[Domaine],av_domc,TblApplications[Tribe],av_tric))</f>
        <v/>
      </c>
      <c r="P44" s="26" t="str">
        <f t="shared" si="1"/>
        <v/>
      </c>
    </row>
    <row r="45" spans="2:16" x14ac:dyDescent="0.2">
      <c r="B45" s="26" t="str">
        <f>IFERROR(IF(INDEX(TblTribes[Tribe],12)="","",INDEX(TblTribes[Tribe],12)),"")</f>
        <v/>
      </c>
      <c r="C45" s="26" t="str">
        <f>IF($B45="","",INDEX(TblTribes[Domaine de la tribe],12))</f>
        <v/>
      </c>
      <c r="D45" s="26" t="str">
        <f>IF($B45="","",COUNTIFS(TblApplications[Tribe],$B45,TblApplications[Action],"Migré",TblApplications[Environnement],av_envc,TblApplications[Domaine],av_domc,TblApplications[Tribe],av_tric))</f>
        <v/>
      </c>
      <c r="E45" s="26" t="str">
        <f>IF($B45="","",COUNTIFS(TblApplications[Tribe],$B45,TblApplications[Action],"À migrer",TblApplications[Environnement],av_envc,TblApplications[Domaine],av_domc,TblApplications[Tribe],av_tric))</f>
        <v/>
      </c>
      <c r="F45" s="26" t="str">
        <f>IF($B45="","",COUNTIFS(TblApplications[Tribe],$B45,TblApplications[Action],"À décommissionner",TblApplications[Environnement],av_envc,TblApplications[Domaine],av_domc,TblApplications[Tribe],av_tric))</f>
        <v/>
      </c>
      <c r="G45" s="26" t="str">
        <f>IF($B45="","",COUNTIFS(TblApplications[Tribe],$B45,TblApplications[Action],"Décommissionné",TblApplications[Environnement],av_envc,TblApplications[Domaine],av_domc,TblApplications[Tribe],av_tric))</f>
        <v/>
      </c>
      <c r="H45" s="26" t="str">
        <f t="shared" si="0"/>
        <v/>
      </c>
      <c r="K45" s="26" t="str">
        <f>IFERROR(IF(INDEX(TblDomaines[Domaine],12)="","",INDEX(TblDomaines[Domaine],12)),"")</f>
        <v/>
      </c>
      <c r="L45" s="26" t="str">
        <f>IF($K45="","",COUNTIFS(TblApplications[Domaine],$K45,TblApplications[Action],"Migré",TblApplications[Environnement],av_envc,TblApplications[Domaine],av_domc,TblApplications[Tribe],av_tric))</f>
        <v/>
      </c>
      <c r="M45" s="26" t="str">
        <f>IF($K45="","",COUNTIFS(TblApplications[Domaine],$K45,TblApplications[Action],"À migrer",TblApplications[Environnement],av_envc,TblApplications[Domaine],av_domc,TblApplications[Tribe],av_tric))</f>
        <v/>
      </c>
      <c r="N45" s="26" t="str">
        <f>IF($K45="","",COUNTIFS(TblApplications[Domaine],$K45,TblApplications[Action],"À décommissionner",TblApplications[Environnement],av_envc,TblApplications[Domaine],av_domc,TblApplications[Tribe],av_tric))</f>
        <v/>
      </c>
      <c r="O45" s="26" t="str">
        <f>IF($K45="","",COUNTIFS(TblApplications[Domaine],$K45,TblApplications[Action],"Décommissionné",TblApplications[Environnement],av_envc,TblApplications[Domaine],av_domc,TblApplications[Tribe],av_tric))</f>
        <v/>
      </c>
      <c r="P45" s="26" t="str">
        <f t="shared" si="1"/>
        <v/>
      </c>
    </row>
    <row r="46" spans="2:16" x14ac:dyDescent="0.2">
      <c r="B46" s="26" t="str">
        <f>IFERROR(IF(INDEX(TblTribes[Tribe],13)="","",INDEX(TblTribes[Tribe],13)),"")</f>
        <v/>
      </c>
      <c r="C46" s="26" t="str">
        <f>IF($B46="","",INDEX(TblTribes[Domaine de la tribe],13))</f>
        <v/>
      </c>
      <c r="D46" s="26" t="str">
        <f>IF($B46="","",COUNTIFS(TblApplications[Tribe],$B46,TblApplications[Action],"Migré",TblApplications[Environnement],av_envc,TblApplications[Domaine],av_domc,TblApplications[Tribe],av_tric))</f>
        <v/>
      </c>
      <c r="E46" s="26" t="str">
        <f>IF($B46="","",COUNTIFS(TblApplications[Tribe],$B46,TblApplications[Action],"À migrer",TblApplications[Environnement],av_envc,TblApplications[Domaine],av_domc,TblApplications[Tribe],av_tric))</f>
        <v/>
      </c>
      <c r="F46" s="26" t="str">
        <f>IF($B46="","",COUNTIFS(TblApplications[Tribe],$B46,TblApplications[Action],"À décommissionner",TblApplications[Environnement],av_envc,TblApplications[Domaine],av_domc,TblApplications[Tribe],av_tric))</f>
        <v/>
      </c>
      <c r="G46" s="26" t="str">
        <f>IF($B46="","",COUNTIFS(TblApplications[Tribe],$B46,TblApplications[Action],"Décommissionné",TblApplications[Environnement],av_envc,TblApplications[Domaine],av_domc,TblApplications[Tribe],av_tric))</f>
        <v/>
      </c>
      <c r="H46" s="26" t="str">
        <f t="shared" si="0"/>
        <v/>
      </c>
      <c r="K46" s="26" t="str">
        <f>IFERROR(IF(INDEX(TblDomaines[Domaine],13)="","",INDEX(TblDomaines[Domaine],13)),"")</f>
        <v/>
      </c>
      <c r="L46" s="26" t="str">
        <f>IF($K46="","",COUNTIFS(TblApplications[Domaine],$K46,TblApplications[Action],"Migré",TblApplications[Environnement],av_envc,TblApplications[Domaine],av_domc,TblApplications[Tribe],av_tric))</f>
        <v/>
      </c>
      <c r="M46" s="26" t="str">
        <f>IF($K46="","",COUNTIFS(TblApplications[Domaine],$K46,TblApplications[Action],"À migrer",TblApplications[Environnement],av_envc,TblApplications[Domaine],av_domc,TblApplications[Tribe],av_tric))</f>
        <v/>
      </c>
      <c r="N46" s="26" t="str">
        <f>IF($K46="","",COUNTIFS(TblApplications[Domaine],$K46,TblApplications[Action],"À décommissionner",TblApplications[Environnement],av_envc,TblApplications[Domaine],av_domc,TblApplications[Tribe],av_tric))</f>
        <v/>
      </c>
      <c r="O46" s="26" t="str">
        <f>IF($K46="","",COUNTIFS(TblApplications[Domaine],$K46,TblApplications[Action],"Décommissionné",TblApplications[Environnement],av_envc,TblApplications[Domaine],av_domc,TblApplications[Tribe],av_tric))</f>
        <v/>
      </c>
      <c r="P46" s="26" t="str">
        <f t="shared" si="1"/>
        <v/>
      </c>
    </row>
    <row r="47" spans="2:16" x14ac:dyDescent="0.2">
      <c r="B47" s="26" t="str">
        <f>IFERROR(IF(INDEX(TblTribes[Tribe],14)="","",INDEX(TblTribes[Tribe],14)),"")</f>
        <v/>
      </c>
      <c r="C47" s="26" t="str">
        <f>IF($B47="","",INDEX(TblTribes[Domaine de la tribe],14))</f>
        <v/>
      </c>
      <c r="D47" s="26" t="str">
        <f>IF($B47="","",COUNTIFS(TblApplications[Tribe],$B47,TblApplications[Action],"Migré",TblApplications[Environnement],av_envc,TblApplications[Domaine],av_domc,TblApplications[Tribe],av_tric))</f>
        <v/>
      </c>
      <c r="E47" s="26" t="str">
        <f>IF($B47="","",COUNTIFS(TblApplications[Tribe],$B47,TblApplications[Action],"À migrer",TblApplications[Environnement],av_envc,TblApplications[Domaine],av_domc,TblApplications[Tribe],av_tric))</f>
        <v/>
      </c>
      <c r="F47" s="26" t="str">
        <f>IF($B47="","",COUNTIFS(TblApplications[Tribe],$B47,TblApplications[Action],"À décommissionner",TblApplications[Environnement],av_envc,TblApplications[Domaine],av_domc,TblApplications[Tribe],av_tric))</f>
        <v/>
      </c>
      <c r="G47" s="26" t="str">
        <f>IF($B47="","",COUNTIFS(TblApplications[Tribe],$B47,TblApplications[Action],"Décommissionné",TblApplications[Environnement],av_envc,TblApplications[Domaine],av_domc,TblApplications[Tribe],av_tric))</f>
        <v/>
      </c>
      <c r="H47" s="26" t="str">
        <f t="shared" si="0"/>
        <v/>
      </c>
      <c r="K47" s="26" t="str">
        <f>IFERROR(IF(INDEX(TblDomaines[Domaine],14)="","",INDEX(TblDomaines[Domaine],14)),"")</f>
        <v/>
      </c>
      <c r="L47" s="26" t="str">
        <f>IF($K47="","",COUNTIFS(TblApplications[Domaine],$K47,TblApplications[Action],"Migré",TblApplications[Environnement],av_envc,TblApplications[Domaine],av_domc,TblApplications[Tribe],av_tric))</f>
        <v/>
      </c>
      <c r="M47" s="26" t="str">
        <f>IF($K47="","",COUNTIFS(TblApplications[Domaine],$K47,TblApplications[Action],"À migrer",TblApplications[Environnement],av_envc,TblApplications[Domaine],av_domc,TblApplications[Tribe],av_tric))</f>
        <v/>
      </c>
      <c r="N47" s="26" t="str">
        <f>IF($K47="","",COUNTIFS(TblApplications[Domaine],$K47,TblApplications[Action],"À décommissionner",TblApplications[Environnement],av_envc,TblApplications[Domaine],av_domc,TblApplications[Tribe],av_tric))</f>
        <v/>
      </c>
      <c r="O47" s="26" t="str">
        <f>IF($K47="","",COUNTIFS(TblApplications[Domaine],$K47,TblApplications[Action],"Décommissionné",TblApplications[Environnement],av_envc,TblApplications[Domaine],av_domc,TblApplications[Tribe],av_tric))</f>
        <v/>
      </c>
      <c r="P47" s="26" t="str">
        <f t="shared" si="1"/>
        <v/>
      </c>
    </row>
    <row r="48" spans="2:16" x14ac:dyDescent="0.2">
      <c r="B48" s="26" t="str">
        <f>IFERROR(IF(INDEX(TblTribes[Tribe],15)="","",INDEX(TblTribes[Tribe],15)),"")</f>
        <v/>
      </c>
      <c r="C48" s="26" t="str">
        <f>IF($B48="","",INDEX(TblTribes[Domaine de la tribe],15))</f>
        <v/>
      </c>
      <c r="D48" s="26" t="str">
        <f>IF($B48="","",COUNTIFS(TblApplications[Tribe],$B48,TblApplications[Action],"Migré",TblApplications[Environnement],av_envc,TblApplications[Domaine],av_domc,TblApplications[Tribe],av_tric))</f>
        <v/>
      </c>
      <c r="E48" s="26" t="str">
        <f>IF($B48="","",COUNTIFS(TblApplications[Tribe],$B48,TblApplications[Action],"À migrer",TblApplications[Environnement],av_envc,TblApplications[Domaine],av_domc,TblApplications[Tribe],av_tric))</f>
        <v/>
      </c>
      <c r="F48" s="26" t="str">
        <f>IF($B48="","",COUNTIFS(TblApplications[Tribe],$B48,TblApplications[Action],"À décommissionner",TblApplications[Environnement],av_envc,TblApplications[Domaine],av_domc,TblApplications[Tribe],av_tric))</f>
        <v/>
      </c>
      <c r="G48" s="26" t="str">
        <f>IF($B48="","",COUNTIFS(TblApplications[Tribe],$B48,TblApplications[Action],"Décommissionné",TblApplications[Environnement],av_envc,TblApplications[Domaine],av_domc,TblApplications[Tribe],av_tric))</f>
        <v/>
      </c>
      <c r="H48" s="26" t="str">
        <f t="shared" si="0"/>
        <v/>
      </c>
      <c r="K48" s="26" t="str">
        <f>IFERROR(IF(INDEX(TblDomaines[Domaine],15)="","",INDEX(TblDomaines[Domaine],15)),"")</f>
        <v/>
      </c>
      <c r="L48" s="26" t="str">
        <f>IF($K48="","",COUNTIFS(TblApplications[Domaine],$K48,TblApplications[Action],"Migré",TblApplications[Environnement],av_envc,TblApplications[Domaine],av_domc,TblApplications[Tribe],av_tric))</f>
        <v/>
      </c>
      <c r="M48" s="26" t="str">
        <f>IF($K48="","",COUNTIFS(TblApplications[Domaine],$K48,TblApplications[Action],"À migrer",TblApplications[Environnement],av_envc,TblApplications[Domaine],av_domc,TblApplications[Tribe],av_tric))</f>
        <v/>
      </c>
      <c r="N48" s="26" t="str">
        <f>IF($K48="","",COUNTIFS(TblApplications[Domaine],$K48,TblApplications[Action],"À décommissionner",TblApplications[Environnement],av_envc,TblApplications[Domaine],av_domc,TblApplications[Tribe],av_tric))</f>
        <v/>
      </c>
      <c r="O48" s="26" t="str">
        <f>IF($K48="","",COUNTIFS(TblApplications[Domaine],$K48,TblApplications[Action],"Décommissionné",TblApplications[Environnement],av_envc,TblApplications[Domaine],av_domc,TblApplications[Tribe],av_tric))</f>
        <v/>
      </c>
      <c r="P48" s="26" t="str">
        <f t="shared" si="1"/>
        <v/>
      </c>
    </row>
    <row r="49" spans="2:52" x14ac:dyDescent="0.2">
      <c r="B49" s="26" t="str">
        <f>IFERROR(IF(INDEX(TblTribes[Tribe],16)="","",INDEX(TblTribes[Tribe],16)),"")</f>
        <v/>
      </c>
      <c r="C49" s="26" t="str">
        <f>IF($B49="","",INDEX(TblTribes[Domaine de la tribe],16))</f>
        <v/>
      </c>
      <c r="D49" s="26" t="str">
        <f>IF($B49="","",COUNTIFS(TblApplications[Tribe],$B49,TblApplications[Action],"Migré",TblApplications[Environnement],av_envc,TblApplications[Domaine],av_domc,TblApplications[Tribe],av_tric))</f>
        <v/>
      </c>
      <c r="E49" s="26" t="str">
        <f>IF($B49="","",COUNTIFS(TblApplications[Tribe],$B49,TblApplications[Action],"À migrer",TblApplications[Environnement],av_envc,TblApplications[Domaine],av_domc,TblApplications[Tribe],av_tric))</f>
        <v/>
      </c>
      <c r="F49" s="26" t="str">
        <f>IF($B49="","",COUNTIFS(TblApplications[Tribe],$B49,TblApplications[Action],"À décommissionner",TblApplications[Environnement],av_envc,TblApplications[Domaine],av_domc,TblApplications[Tribe],av_tric))</f>
        <v/>
      </c>
      <c r="G49" s="26" t="str">
        <f>IF($B49="","",COUNTIFS(TblApplications[Tribe],$B49,TblApplications[Action],"Décommissionné",TblApplications[Environnement],av_envc,TblApplications[Domaine],av_domc,TblApplications[Tribe],av_tric))</f>
        <v/>
      </c>
      <c r="H49" s="26" t="str">
        <f t="shared" si="0"/>
        <v/>
      </c>
      <c r="K49" s="26" t="str">
        <f>IFERROR(IF(INDEX(TblDomaines[Domaine],16)="","",INDEX(TblDomaines[Domaine],16)),"")</f>
        <v/>
      </c>
      <c r="L49" s="26" t="str">
        <f>IF($K49="","",COUNTIFS(TblApplications[Domaine],$K49,TblApplications[Action],"Migré",TblApplications[Environnement],av_envc,TblApplications[Domaine],av_domc,TblApplications[Tribe],av_tric))</f>
        <v/>
      </c>
      <c r="M49" s="26" t="str">
        <f>IF($K49="","",COUNTIFS(TblApplications[Domaine],$K49,TblApplications[Action],"À migrer",TblApplications[Environnement],av_envc,TblApplications[Domaine],av_domc,TblApplications[Tribe],av_tric))</f>
        <v/>
      </c>
      <c r="N49" s="26" t="str">
        <f>IF($K49="","",COUNTIFS(TblApplications[Domaine],$K49,TblApplications[Action],"À décommissionner",TblApplications[Environnement],av_envc,TblApplications[Domaine],av_domc,TblApplications[Tribe],av_tric))</f>
        <v/>
      </c>
      <c r="O49" s="26" t="str">
        <f>IF($K49="","",COUNTIFS(TblApplications[Domaine],$K49,TblApplications[Action],"Décommissionné",TblApplications[Environnement],av_envc,TblApplications[Domaine],av_domc,TblApplications[Tribe],av_tric))</f>
        <v/>
      </c>
      <c r="P49" s="26" t="str">
        <f t="shared" si="1"/>
        <v/>
      </c>
    </row>
    <row r="50" spans="2:52" x14ac:dyDescent="0.2">
      <c r="B50" s="26" t="str">
        <f>IFERROR(IF(INDEX(TblTribes[Tribe],17)="","",INDEX(TblTribes[Tribe],17)),"")</f>
        <v/>
      </c>
      <c r="C50" s="26" t="str">
        <f>IF($B50="","",INDEX(TblTribes[Domaine de la tribe],17))</f>
        <v/>
      </c>
      <c r="D50" s="26" t="str">
        <f>IF($B50="","",COUNTIFS(TblApplications[Tribe],$B50,TblApplications[Action],"Migré",TblApplications[Environnement],av_envc,TblApplications[Domaine],av_domc,TblApplications[Tribe],av_tric))</f>
        <v/>
      </c>
      <c r="E50" s="26" t="str">
        <f>IF($B50="","",COUNTIFS(TblApplications[Tribe],$B50,TblApplications[Action],"À migrer",TblApplications[Environnement],av_envc,TblApplications[Domaine],av_domc,TblApplications[Tribe],av_tric))</f>
        <v/>
      </c>
      <c r="F50" s="26" t="str">
        <f>IF($B50="","",COUNTIFS(TblApplications[Tribe],$B50,TblApplications[Action],"À décommissionner",TblApplications[Environnement],av_envc,TblApplications[Domaine],av_domc,TblApplications[Tribe],av_tric))</f>
        <v/>
      </c>
      <c r="G50" s="26" t="str">
        <f>IF($B50="","",COUNTIFS(TblApplications[Tribe],$B50,TblApplications[Action],"Décommissionné",TblApplications[Environnement],av_envc,TblApplications[Domaine],av_domc,TblApplications[Tribe],av_tric))</f>
        <v/>
      </c>
      <c r="H50" s="26" t="str">
        <f t="shared" si="0"/>
        <v/>
      </c>
      <c r="K50" s="26" t="str">
        <f>IFERROR(IF(INDEX(TblDomaines[Domaine],17)="","",INDEX(TblDomaines[Domaine],17)),"")</f>
        <v/>
      </c>
      <c r="L50" s="26" t="str">
        <f>IF($K50="","",COUNTIFS(TblApplications[Domaine],$K50,TblApplications[Action],"Migré",TblApplications[Environnement],av_envc,TblApplications[Domaine],av_domc,TblApplications[Tribe],av_tric))</f>
        <v/>
      </c>
      <c r="M50" s="26" t="str">
        <f>IF($K50="","",COUNTIFS(TblApplications[Domaine],$K50,TblApplications[Action],"À migrer",TblApplications[Environnement],av_envc,TblApplications[Domaine],av_domc,TblApplications[Tribe],av_tric))</f>
        <v/>
      </c>
      <c r="N50" s="26" t="str">
        <f>IF($K50="","",COUNTIFS(TblApplications[Domaine],$K50,TblApplications[Action],"À décommissionner",TblApplications[Environnement],av_envc,TblApplications[Domaine],av_domc,TblApplications[Tribe],av_tric))</f>
        <v/>
      </c>
      <c r="O50" s="26" t="str">
        <f>IF($K50="","",COUNTIFS(TblApplications[Domaine],$K50,TblApplications[Action],"Décommissionné",TblApplications[Environnement],av_envc,TblApplications[Domaine],av_domc,TblApplications[Tribe],av_tric))</f>
        <v/>
      </c>
      <c r="P50" s="26" t="str">
        <f t="shared" si="1"/>
        <v/>
      </c>
    </row>
    <row r="51" spans="2:52" x14ac:dyDescent="0.2">
      <c r="B51" s="26" t="str">
        <f>IFERROR(IF(INDEX(TblTribes[Tribe],18)="","",INDEX(TblTribes[Tribe],18)),"")</f>
        <v/>
      </c>
      <c r="C51" s="26" t="str">
        <f>IF($B51="","",INDEX(TblTribes[Domaine de la tribe],18))</f>
        <v/>
      </c>
      <c r="D51" s="26" t="str">
        <f>IF($B51="","",COUNTIFS(TblApplications[Tribe],$B51,TblApplications[Action],"Migré",TblApplications[Environnement],av_envc,TblApplications[Domaine],av_domc,TblApplications[Tribe],av_tric))</f>
        <v/>
      </c>
      <c r="E51" s="26" t="str">
        <f>IF($B51="","",COUNTIFS(TblApplications[Tribe],$B51,TblApplications[Action],"À migrer",TblApplications[Environnement],av_envc,TblApplications[Domaine],av_domc,TblApplications[Tribe],av_tric))</f>
        <v/>
      </c>
      <c r="F51" s="26" t="str">
        <f>IF($B51="","",COUNTIFS(TblApplications[Tribe],$B51,TblApplications[Action],"À décommissionner",TblApplications[Environnement],av_envc,TblApplications[Domaine],av_domc,TblApplications[Tribe],av_tric))</f>
        <v/>
      </c>
      <c r="G51" s="26" t="str">
        <f>IF($B51="","",COUNTIFS(TblApplications[Tribe],$B51,TblApplications[Action],"Décommissionné",TblApplications[Environnement],av_envc,TblApplications[Domaine],av_domc,TblApplications[Tribe],av_tric))</f>
        <v/>
      </c>
      <c r="H51" s="26" t="str">
        <f t="shared" si="0"/>
        <v/>
      </c>
      <c r="K51" s="26" t="str">
        <f>IFERROR(IF(INDEX(TblDomaines[Domaine],18)="","",INDEX(TblDomaines[Domaine],18)),"")</f>
        <v/>
      </c>
      <c r="L51" s="26" t="str">
        <f>IF($K51="","",COUNTIFS(TblApplications[Domaine],$K51,TblApplications[Action],"Migré",TblApplications[Environnement],av_envc,TblApplications[Domaine],av_domc,TblApplications[Tribe],av_tric))</f>
        <v/>
      </c>
      <c r="M51" s="26" t="str">
        <f>IF($K51="","",COUNTIFS(TblApplications[Domaine],$K51,TblApplications[Action],"À migrer",TblApplications[Environnement],av_envc,TblApplications[Domaine],av_domc,TblApplications[Tribe],av_tric))</f>
        <v/>
      </c>
      <c r="N51" s="26" t="str">
        <f>IF($K51="","",COUNTIFS(TblApplications[Domaine],$K51,TblApplications[Action],"À décommissionner",TblApplications[Environnement],av_envc,TblApplications[Domaine],av_domc,TblApplications[Tribe],av_tric))</f>
        <v/>
      </c>
      <c r="O51" s="26" t="str">
        <f>IF($K51="","",COUNTIFS(TblApplications[Domaine],$K51,TblApplications[Action],"Décommissionné",TblApplications[Environnement],av_envc,TblApplications[Domaine],av_domc,TblApplications[Tribe],av_tric))</f>
        <v/>
      </c>
      <c r="P51" s="26" t="str">
        <f t="shared" si="1"/>
        <v/>
      </c>
    </row>
    <row r="52" spans="2:52" x14ac:dyDescent="0.2">
      <c r="B52" s="26" t="str">
        <f>IFERROR(IF(INDEX(TblTribes[Tribe],19)="","",INDEX(TblTribes[Tribe],19)),"")</f>
        <v/>
      </c>
      <c r="C52" s="26" t="str">
        <f>IF($B52="","",INDEX(TblTribes[Domaine de la tribe],19))</f>
        <v/>
      </c>
      <c r="D52" s="26" t="str">
        <f>IF($B52="","",COUNTIFS(TblApplications[Tribe],$B52,TblApplications[Action],"Migré",TblApplications[Environnement],av_envc,TblApplications[Domaine],av_domc,TblApplications[Tribe],av_tric))</f>
        <v/>
      </c>
      <c r="E52" s="26" t="str">
        <f>IF($B52="","",COUNTIFS(TblApplications[Tribe],$B52,TblApplications[Action],"À migrer",TblApplications[Environnement],av_envc,TblApplications[Domaine],av_domc,TblApplications[Tribe],av_tric))</f>
        <v/>
      </c>
      <c r="F52" s="26" t="str">
        <f>IF($B52="","",COUNTIFS(TblApplications[Tribe],$B52,TblApplications[Action],"À décommissionner",TblApplications[Environnement],av_envc,TblApplications[Domaine],av_domc,TblApplications[Tribe],av_tric))</f>
        <v/>
      </c>
      <c r="G52" s="26" t="str">
        <f>IF($B52="","",COUNTIFS(TblApplications[Tribe],$B52,TblApplications[Action],"Décommissionné",TblApplications[Environnement],av_envc,TblApplications[Domaine],av_domc,TblApplications[Tribe],av_tric))</f>
        <v/>
      </c>
      <c r="H52" s="26" t="str">
        <f t="shared" si="0"/>
        <v/>
      </c>
      <c r="K52" s="26" t="str">
        <f>IFERROR(IF(INDEX(TblDomaines[Domaine],19)="","",INDEX(TblDomaines[Domaine],19)),"")</f>
        <v/>
      </c>
      <c r="L52" s="26" t="str">
        <f>IF($K52="","",COUNTIFS(TblApplications[Domaine],$K52,TblApplications[Action],"Migré",TblApplications[Environnement],av_envc,TblApplications[Domaine],av_domc,TblApplications[Tribe],av_tric))</f>
        <v/>
      </c>
      <c r="M52" s="26" t="str">
        <f>IF($K52="","",COUNTIFS(TblApplications[Domaine],$K52,TblApplications[Action],"À migrer",TblApplications[Environnement],av_envc,TblApplications[Domaine],av_domc,TblApplications[Tribe],av_tric))</f>
        <v/>
      </c>
      <c r="N52" s="26" t="str">
        <f>IF($K52="","",COUNTIFS(TblApplications[Domaine],$K52,TblApplications[Action],"À décommissionner",TblApplications[Environnement],av_envc,TblApplications[Domaine],av_domc,TblApplications[Tribe],av_tric))</f>
        <v/>
      </c>
      <c r="O52" s="26" t="str">
        <f>IF($K52="","",COUNTIFS(TblApplications[Domaine],$K52,TblApplications[Action],"Décommissionné",TblApplications[Environnement],av_envc,TblApplications[Domaine],av_domc,TblApplications[Tribe],av_tric))</f>
        <v/>
      </c>
      <c r="P52" s="26" t="str">
        <f t="shared" si="1"/>
        <v/>
      </c>
    </row>
    <row r="53" spans="2:52" x14ac:dyDescent="0.2">
      <c r="B53" s="26" t="str">
        <f>IFERROR(IF(INDEX(TblTribes[Tribe],20)="","",INDEX(TblTribes[Tribe],20)),"")</f>
        <v/>
      </c>
      <c r="C53" s="26" t="str">
        <f>IF($B53="","",INDEX(TblTribes[Domaine de la tribe],20))</f>
        <v/>
      </c>
      <c r="D53" s="26" t="str">
        <f>IF($B53="","",COUNTIFS(TblApplications[Tribe],$B53,TblApplications[Action],"Migré",TblApplications[Environnement],av_envc,TblApplications[Domaine],av_domc,TblApplications[Tribe],av_tric))</f>
        <v/>
      </c>
      <c r="E53" s="26" t="str">
        <f>IF($B53="","",COUNTIFS(TblApplications[Tribe],$B53,TblApplications[Action],"À migrer",TblApplications[Environnement],av_envc,TblApplications[Domaine],av_domc,TblApplications[Tribe],av_tric))</f>
        <v/>
      </c>
      <c r="F53" s="26" t="str">
        <f>IF($B53="","",COUNTIFS(TblApplications[Tribe],$B53,TblApplications[Action],"À décommissionner",TblApplications[Environnement],av_envc,TblApplications[Domaine],av_domc,TblApplications[Tribe],av_tric))</f>
        <v/>
      </c>
      <c r="G53" s="26" t="str">
        <f>IF($B53="","",COUNTIFS(TblApplications[Tribe],$B53,TblApplications[Action],"Décommissionné",TblApplications[Environnement],av_envc,TblApplications[Domaine],av_domc,TblApplications[Tribe],av_tric))</f>
        <v/>
      </c>
      <c r="H53" s="26" t="str">
        <f t="shared" si="0"/>
        <v/>
      </c>
      <c r="K53" s="26" t="str">
        <f>IFERROR(IF(INDEX(TblDomaines[Domaine],20)="","",INDEX(TblDomaines[Domaine],20)),"")</f>
        <v/>
      </c>
      <c r="L53" s="26" t="str">
        <f>IF($K53="","",COUNTIFS(TblApplications[Domaine],$K53,TblApplications[Action],"Migré",TblApplications[Environnement],av_envc,TblApplications[Domaine],av_domc,TblApplications[Tribe],av_tric))</f>
        <v/>
      </c>
      <c r="M53" s="26" t="str">
        <f>IF($K53="","",COUNTIFS(TblApplications[Domaine],$K53,TblApplications[Action],"À migrer",TblApplications[Environnement],av_envc,TblApplications[Domaine],av_domc,TblApplications[Tribe],av_tric))</f>
        <v/>
      </c>
      <c r="N53" s="26" t="str">
        <f>IF($K53="","",COUNTIFS(TblApplications[Domaine],$K53,TblApplications[Action],"À décommissionner",TblApplications[Environnement],av_envc,TblApplications[Domaine],av_domc,TblApplications[Tribe],av_tric))</f>
        <v/>
      </c>
      <c r="O53" s="26" t="str">
        <f>IF($K53="","",COUNTIFS(TblApplications[Domaine],$K53,TblApplications[Action],"Décommissionné",TblApplications[Environnement],av_envc,TblApplications[Domaine],av_domc,TblApplications[Tribe],av_tric))</f>
        <v/>
      </c>
      <c r="P53" s="26" t="str">
        <f t="shared" si="1"/>
        <v/>
      </c>
    </row>
    <row r="54" spans="2:52" x14ac:dyDescent="0.2">
      <c r="B54" s="26" t="str">
        <f>IFERROR(IF(INDEX(TblTribes[Tribe],21)="","",INDEX(TblTribes[Tribe],21)),"")</f>
        <v/>
      </c>
      <c r="C54" s="26" t="str">
        <f>IF($B54="","",INDEX(TblTribes[Domaine de la tribe],21))</f>
        <v/>
      </c>
      <c r="D54" s="26" t="str">
        <f>IF($B54="","",COUNTIFS(TblApplications[Tribe],$B54,TblApplications[Action],"Migré",TblApplications[Environnement],av_envc,TblApplications[Domaine],av_domc,TblApplications[Tribe],av_tric))</f>
        <v/>
      </c>
      <c r="E54" s="26" t="str">
        <f>IF($B54="","",COUNTIFS(TblApplications[Tribe],$B54,TblApplications[Action],"À migrer",TblApplications[Environnement],av_envc,TblApplications[Domaine],av_domc,TblApplications[Tribe],av_tric))</f>
        <v/>
      </c>
      <c r="F54" s="26" t="str">
        <f>IF($B54="","",COUNTIFS(TblApplications[Tribe],$B54,TblApplications[Action],"À décommissionner",TblApplications[Environnement],av_envc,TblApplications[Domaine],av_domc,TblApplications[Tribe],av_tric))</f>
        <v/>
      </c>
      <c r="G54" s="26" t="str">
        <f>IF($B54="","",COUNTIFS(TblApplications[Tribe],$B54,TblApplications[Action],"Décommissionné",TblApplications[Environnement],av_envc,TblApplications[Domaine],av_domc,TblApplications[Tribe],av_tric))</f>
        <v/>
      </c>
      <c r="H54" s="26" t="str">
        <f t="shared" si="0"/>
        <v/>
      </c>
    </row>
    <row r="55" spans="2:52" x14ac:dyDescent="0.2">
      <c r="B55" s="26" t="str">
        <f>IFERROR(IF(INDEX(TblTribes[Tribe],22)="","",INDEX(TblTribes[Tribe],22)),"")</f>
        <v/>
      </c>
      <c r="C55" s="26" t="str">
        <f>IF($B55="","",INDEX(TblTribes[Domaine de la tribe],22))</f>
        <v/>
      </c>
      <c r="D55" s="26" t="str">
        <f>IF($B55="","",COUNTIFS(TblApplications[Tribe],$B55,TblApplications[Action],"Migré",TblApplications[Environnement],av_envc,TblApplications[Domaine],av_domc,TblApplications[Tribe],av_tric))</f>
        <v/>
      </c>
      <c r="E55" s="26" t="str">
        <f>IF($B55="","",COUNTIFS(TblApplications[Tribe],$B55,TblApplications[Action],"À migrer",TblApplications[Environnement],av_envc,TblApplications[Domaine],av_domc,TblApplications[Tribe],av_tric))</f>
        <v/>
      </c>
      <c r="F55" s="26" t="str">
        <f>IF($B55="","",COUNTIFS(TblApplications[Tribe],$B55,TblApplications[Action],"À décommissionner",TblApplications[Environnement],av_envc,TblApplications[Domaine],av_domc,TblApplications[Tribe],av_tric))</f>
        <v/>
      </c>
      <c r="G55" s="26" t="str">
        <f>IF($B55="","",COUNTIFS(TblApplications[Tribe],$B55,TblApplications[Action],"Décommissionné",TblApplications[Environnement],av_envc,TblApplications[Domaine],av_domc,TblApplications[Tribe],av_tric))</f>
        <v/>
      </c>
      <c r="H55" s="26" t="str">
        <f t="shared" si="0"/>
        <v/>
      </c>
    </row>
    <row r="56" spans="2:52" ht="44" customHeight="1" x14ac:dyDescent="0.2">
      <c r="B56" s="26" t="str">
        <f>IFERROR(IF(INDEX(TblTribes[Tribe],23)="","",INDEX(TblTribes[Tribe],23)),"")</f>
        <v/>
      </c>
      <c r="C56" s="26" t="str">
        <f>IF($B56="","",INDEX(TblTribes[Domaine de la tribe],23))</f>
        <v/>
      </c>
      <c r="D56" s="26" t="str">
        <f>IF($B56="","",COUNTIFS(TblApplications[Tribe],$B56,TblApplications[Action],"Migré",TblApplications[Environnement],av_envc,TblApplications[Domaine],av_domc,TblApplications[Tribe],av_tric))</f>
        <v/>
      </c>
      <c r="E56" s="26" t="str">
        <f>IF($B56="","",COUNTIFS(TblApplications[Tribe],$B56,TblApplications[Action],"À migrer",TblApplications[Environnement],av_envc,TblApplications[Domaine],av_domc,TblApplications[Tribe],av_tric))</f>
        <v/>
      </c>
      <c r="F56" s="26" t="str">
        <f>IF($B56="","",COUNTIFS(TblApplications[Tribe],$B56,TblApplications[Action],"À décommissionner",TblApplications[Environnement],av_envc,TblApplications[Domaine],av_domc,TblApplications[Tribe],av_tric))</f>
        <v/>
      </c>
      <c r="G56" s="26" t="str">
        <f>IF($B56="","",COUNTIFS(TblApplications[Tribe],$B56,TblApplications[Action],"Décommissionné",TblApplications[Environnement],av_envc,TblApplications[Domaine],av_domc,TblApplications[Tribe],av_tric))</f>
        <v/>
      </c>
      <c r="H56" s="26" t="str">
        <f t="shared" si="0"/>
        <v/>
      </c>
      <c r="K56" s="25" t="s">
        <v>26</v>
      </c>
      <c r="L56" s="25" t="s">
        <v>36</v>
      </c>
      <c r="M56" s="25" t="s">
        <v>29</v>
      </c>
      <c r="N56" s="25" t="s">
        <v>30</v>
      </c>
      <c r="O56" s="25" t="s">
        <v>37</v>
      </c>
      <c r="P56" s="25" t="s">
        <v>38</v>
      </c>
    </row>
    <row r="57" spans="2:52" x14ac:dyDescent="0.2">
      <c r="B57" s="26" t="str">
        <f>IFERROR(IF(INDEX(TblTribes[Tribe],24)="","",INDEX(TblTribes[Tribe],24)),"")</f>
        <v/>
      </c>
      <c r="C57" s="26" t="str">
        <f>IF($B57="","",INDEX(TblTribes[Domaine de la tribe],24))</f>
        <v/>
      </c>
      <c r="D57" s="26" t="str">
        <f>IF($B57="","",COUNTIFS(TblApplications[Tribe],$B57,TblApplications[Action],"Migré",TblApplications[Environnement],av_envc,TblApplications[Domaine],av_domc,TblApplications[Tribe],av_tric))</f>
        <v/>
      </c>
      <c r="E57" s="26" t="str">
        <f>IF($B57="","",COUNTIFS(TblApplications[Tribe],$B57,TblApplications[Action],"À migrer",TblApplications[Environnement],av_envc,TblApplications[Domaine],av_domc,TblApplications[Tribe],av_tric))</f>
        <v/>
      </c>
      <c r="F57" s="26" t="str">
        <f>IF($B57="","",COUNTIFS(TblApplications[Tribe],$B57,TblApplications[Action],"À décommissionner",TblApplications[Environnement],av_envc,TblApplications[Domaine],av_domc,TblApplications[Tribe],av_tric))</f>
        <v/>
      </c>
      <c r="G57" s="26" t="str">
        <f>IF($B57="","",COUNTIFS(TblApplications[Tribe],$B57,TblApplications[Action],"Décommissionné",TblApplications[Environnement],av_envc,TblApplications[Domaine],av_domc,TblApplications[Tribe],av_tric))</f>
        <v/>
      </c>
      <c r="H57" s="26" t="str">
        <f t="shared" si="0"/>
        <v/>
      </c>
      <c r="K57" s="31" t="s">
        <v>39</v>
      </c>
      <c r="L57" s="26">
        <f>COUNTIFS(TblApplications[Environnement],"PRD",TblApplications[Action],"Migré",TblApplications[Environnement],av_envc,TblApplications[Domaine],av_domc,TblApplications[Tribe],av_tric)</f>
        <v>1</v>
      </c>
      <c r="M57" s="26">
        <f>COUNTIFS(TblApplications[Environnement],"PRD",TblApplications[Action],"À migrer",TblApplications[Environnement],av_envc,TblApplications[Domaine],av_domc,TblApplications[Tribe],av_tric)</f>
        <v>3</v>
      </c>
      <c r="N57" s="26">
        <f>COUNTIFS(TblApplications[Environnement],"PRD",TblApplications[Action],"À décommissionner",TblApplications[Environnement],av_envc,TblApplications[Domaine],av_domc,TblApplications[Tribe],av_tric)</f>
        <v>1</v>
      </c>
      <c r="O57" s="26">
        <f>COUNTIFS(TblApplications[Environnement],"PRD",TblApplications[Action],"Décommissionné",TblApplications[Environnement],av_envc,TblApplications[Domaine],av_domc,TblApplications[Tribe],av_tric)</f>
        <v>0</v>
      </c>
      <c r="P57" s="26">
        <f>SUM(L57:O57)</f>
        <v>5</v>
      </c>
    </row>
    <row r="58" spans="2:52" x14ac:dyDescent="0.2">
      <c r="B58" s="26" t="str">
        <f>IFERROR(IF(INDEX(TblTribes[Tribe],25)="","",INDEX(TblTribes[Tribe],25)),"")</f>
        <v/>
      </c>
      <c r="C58" s="26" t="str">
        <f>IF($B58="","",INDEX(TblTribes[Domaine de la tribe],25))</f>
        <v/>
      </c>
      <c r="D58" s="26" t="str">
        <f>IF($B58="","",COUNTIFS(TblApplications[Tribe],$B58,TblApplications[Action],"Migré",TblApplications[Environnement],av_envc,TblApplications[Domaine],av_domc,TblApplications[Tribe],av_tric))</f>
        <v/>
      </c>
      <c r="E58" s="26" t="str">
        <f>IF($B58="","",COUNTIFS(TblApplications[Tribe],$B58,TblApplications[Action],"À migrer",TblApplications[Environnement],av_envc,TblApplications[Domaine],av_domc,TblApplications[Tribe],av_tric))</f>
        <v/>
      </c>
      <c r="F58" s="26" t="str">
        <f>IF($B58="","",COUNTIFS(TblApplications[Tribe],$B58,TblApplications[Action],"À décommissionner",TblApplications[Environnement],av_envc,TblApplications[Domaine],av_domc,TblApplications[Tribe],av_tric))</f>
        <v/>
      </c>
      <c r="G58" s="26" t="str">
        <f>IF($B58="","",COUNTIFS(TblApplications[Tribe],$B58,TblApplications[Action],"Décommissionné",TblApplications[Environnement],av_envc,TblApplications[Domaine],av_domc,TblApplications[Tribe],av_tric))</f>
        <v/>
      </c>
      <c r="H58" s="26" t="str">
        <f t="shared" si="0"/>
        <v/>
      </c>
      <c r="K58" s="31" t="s">
        <v>40</v>
      </c>
      <c r="L58" s="26">
        <f>COUNTIFS(TblApplications[Environnement],"NPRD",TblApplications[Action],"Migré",TblApplications[Environnement],av_envc,TblApplications[Domaine],av_domc,TblApplications[Tribe],av_tric)</f>
        <v>0</v>
      </c>
      <c r="M58" s="26">
        <f>COUNTIFS(TblApplications[Environnement],"NPRD",TblApplications[Action],"À migrer",TblApplications[Environnement],av_envc,TblApplications[Domaine],av_domc,TblApplications[Tribe],av_tric)</f>
        <v>0</v>
      </c>
      <c r="N58" s="26">
        <f>COUNTIFS(TblApplications[Environnement],"NPRD",TblApplications[Action],"À décommissionner",TblApplications[Environnement],av_envc,TblApplications[Domaine],av_domc,TblApplications[Tribe],av_tric)</f>
        <v>0</v>
      </c>
      <c r="O58" s="26">
        <f>COUNTIFS(TblApplications[Environnement],"NPRD",TblApplications[Action],"Décommissionné",TblApplications[Environnement],av_envc,TblApplications[Domaine],av_domc,TblApplications[Tribe],av_tric)</f>
        <v>0</v>
      </c>
      <c r="P58" s="26">
        <f>SUM(L58:O58)</f>
        <v>0</v>
      </c>
    </row>
    <row r="59" spans="2:52" x14ac:dyDescent="0.2">
      <c r="B59" s="26" t="str">
        <f>IFERROR(IF(INDEX(TblTribes[Tribe],26)="","",INDEX(TblTribes[Tribe],26)),"")</f>
        <v/>
      </c>
      <c r="C59" s="26" t="str">
        <f>IF($B59="","",INDEX(TblTribes[Domaine de la tribe],26))</f>
        <v/>
      </c>
      <c r="D59" s="26" t="str">
        <f>IF($B59="","",COUNTIFS(TblApplications[Tribe],$B59,TblApplications[Action],"Migré",TblApplications[Environnement],av_envc,TblApplications[Domaine],av_domc,TblApplications[Tribe],av_tric))</f>
        <v/>
      </c>
      <c r="E59" s="26" t="str">
        <f>IF($B59="","",COUNTIFS(TblApplications[Tribe],$B59,TblApplications[Action],"À migrer",TblApplications[Environnement],av_envc,TblApplications[Domaine],av_domc,TblApplications[Tribe],av_tric))</f>
        <v/>
      </c>
      <c r="F59" s="26" t="str">
        <f>IF($B59="","",COUNTIFS(TblApplications[Tribe],$B59,TblApplications[Action],"À décommissionner",TblApplications[Environnement],av_envc,TblApplications[Domaine],av_domc,TblApplications[Tribe],av_tric))</f>
        <v/>
      </c>
      <c r="G59" s="26" t="str">
        <f>IF($B59="","",COUNTIFS(TblApplications[Tribe],$B59,TblApplications[Action],"Décommissionné",TblApplications[Environnement],av_envc,TblApplications[Domaine],av_domc,TblApplications[Tribe],av_tric))</f>
        <v/>
      </c>
      <c r="H59" s="26" t="str">
        <f t="shared" si="0"/>
        <v/>
      </c>
    </row>
    <row r="60" spans="2:52" x14ac:dyDescent="0.2">
      <c r="B60" s="26" t="str">
        <f>IFERROR(IF(INDEX(TblTribes[Tribe],27)="","",INDEX(TblTribes[Tribe],27)),"")</f>
        <v/>
      </c>
      <c r="C60" s="26" t="str">
        <f>IF($B60="","",INDEX(TblTribes[Domaine de la tribe],27))</f>
        <v/>
      </c>
      <c r="D60" s="26" t="str">
        <f>IF($B60="","",COUNTIFS(TblApplications[Tribe],$B60,TblApplications[Action],"Migré",TblApplications[Environnement],av_envc,TblApplications[Domaine],av_domc,TblApplications[Tribe],av_tric))</f>
        <v/>
      </c>
      <c r="E60" s="26" t="str">
        <f>IF($B60="","",COUNTIFS(TblApplications[Tribe],$B60,TblApplications[Action],"À migrer",TblApplications[Environnement],av_envc,TblApplications[Domaine],av_domc,TblApplications[Tribe],av_tric))</f>
        <v/>
      </c>
      <c r="F60" s="26" t="str">
        <f>IF($B60="","",COUNTIFS(TblApplications[Tribe],$B60,TblApplications[Action],"À décommissionner",TblApplications[Environnement],av_envc,TblApplications[Domaine],av_domc,TblApplications[Tribe],av_tric))</f>
        <v/>
      </c>
      <c r="G60" s="26" t="str">
        <f>IF($B60="","",COUNTIFS(TblApplications[Tribe],$B60,TblApplications[Action],"Décommissionné",TblApplications[Environnement],av_envc,TblApplications[Domaine],av_domc,TblApplications[Tribe],av_tric))</f>
        <v/>
      </c>
      <c r="H60" s="26" t="str">
        <f t="shared" si="0"/>
        <v/>
      </c>
    </row>
    <row r="61" spans="2:52" x14ac:dyDescent="0.2">
      <c r="B61" s="26" t="str">
        <f>IFERROR(IF(INDEX(TblTribes[Tribe],28)="","",INDEX(TblTribes[Tribe],28)),"")</f>
        <v/>
      </c>
      <c r="C61" s="26" t="str">
        <f>IF($B61="","",INDEX(TblTribes[Domaine de la tribe],28))</f>
        <v/>
      </c>
      <c r="D61" s="26" t="str">
        <f>IF($B61="","",COUNTIFS(TblApplications[Tribe],$B61,TblApplications[Action],"Migré",TblApplications[Environnement],av_envc,TblApplications[Domaine],av_domc,TblApplications[Tribe],av_tric))</f>
        <v/>
      </c>
      <c r="E61" s="26" t="str">
        <f>IF($B61="","",COUNTIFS(TblApplications[Tribe],$B61,TblApplications[Action],"À migrer",TblApplications[Environnement],av_envc,TblApplications[Domaine],av_domc,TblApplications[Tribe],av_tric))</f>
        <v/>
      </c>
      <c r="F61" s="26" t="str">
        <f>IF($B61="","",COUNTIFS(TblApplications[Tribe],$B61,TblApplications[Action],"À décommissionner",TblApplications[Environnement],av_envc,TblApplications[Domaine],av_domc,TblApplications[Tribe],av_tric))</f>
        <v/>
      </c>
      <c r="G61" s="26" t="str">
        <f>IF($B61="","",COUNTIFS(TblApplications[Tribe],$B61,TblApplications[Action],"Décommissionné",TblApplications[Environnement],av_envc,TblApplications[Domaine],av_domc,TblApplications[Tribe],av_tric))</f>
        <v/>
      </c>
      <c r="H61" s="26" t="str">
        <f t="shared" si="0"/>
        <v/>
      </c>
      <c r="AV61" s="32" t="s">
        <v>41</v>
      </c>
    </row>
    <row r="62" spans="2:52" ht="30" customHeight="1" x14ac:dyDescent="0.2">
      <c r="B62" s="26" t="str">
        <f>IFERROR(IF(INDEX(TblTribes[Tribe],29)="","",INDEX(TblTribes[Tribe],29)),"")</f>
        <v/>
      </c>
      <c r="C62" s="26" t="str">
        <f>IF($B62="","",INDEX(TblTribes[Domaine de la tribe],29))</f>
        <v/>
      </c>
      <c r="D62" s="26" t="str">
        <f>IF($B62="","",COUNTIFS(TblApplications[Tribe],$B62,TblApplications[Action],"Migré",TblApplications[Environnement],av_envc,TblApplications[Domaine],av_domc,TblApplications[Tribe],av_tric))</f>
        <v/>
      </c>
      <c r="E62" s="26" t="str">
        <f>IF($B62="","",COUNTIFS(TblApplications[Tribe],$B62,TblApplications[Action],"À migrer",TblApplications[Environnement],av_envc,TblApplications[Domaine],av_domc,TblApplications[Tribe],av_tric))</f>
        <v/>
      </c>
      <c r="F62" s="26" t="str">
        <f>IF($B62="","",COUNTIFS(TblApplications[Tribe],$B62,TblApplications[Action],"À décommissionner",TblApplications[Environnement],av_envc,TblApplications[Domaine],av_domc,TblApplications[Tribe],av_tric))</f>
        <v/>
      </c>
      <c r="G62" s="26" t="str">
        <f>IF($B62="","",COUNTIFS(TblApplications[Tribe],$B62,TblApplications[Action],"Décommissionné",TblApplications[Environnement],av_envc,TblApplications[Domaine],av_domc,TblApplications[Tribe],av_tric))</f>
        <v/>
      </c>
      <c r="H62" s="26" t="str">
        <f t="shared" si="0"/>
        <v/>
      </c>
      <c r="AV62" s="25" t="s">
        <v>42</v>
      </c>
      <c r="AW62" s="25" t="s">
        <v>43</v>
      </c>
      <c r="AX62" s="25" t="s">
        <v>44</v>
      </c>
      <c r="AY62" s="25" t="s">
        <v>45</v>
      </c>
      <c r="AZ62" s="25" t="s">
        <v>46</v>
      </c>
    </row>
    <row r="63" spans="2:52" x14ac:dyDescent="0.2">
      <c r="B63" s="26" t="str">
        <f>IFERROR(IF(INDEX(TblTribes[Tribe],30)="","",INDEX(TblTribes[Tribe],30)),"")</f>
        <v/>
      </c>
      <c r="C63" s="26" t="str">
        <f>IF($B63="","",INDEX(TblTribes[Domaine de la tribe],30))</f>
        <v/>
      </c>
      <c r="D63" s="26" t="str">
        <f>IF($B63="","",COUNTIFS(TblApplications[Tribe],$B63,TblApplications[Action],"Migré",TblApplications[Environnement],av_envc,TblApplications[Domaine],av_domc,TblApplications[Tribe],av_tric))</f>
        <v/>
      </c>
      <c r="E63" s="26" t="str">
        <f>IF($B63="","",COUNTIFS(TblApplications[Tribe],$B63,TblApplications[Action],"À migrer",TblApplications[Environnement],av_envc,TblApplications[Domaine],av_domc,TblApplications[Tribe],av_tric))</f>
        <v/>
      </c>
      <c r="F63" s="26" t="str">
        <f>IF($B63="","",COUNTIFS(TblApplications[Tribe],$B63,TblApplications[Action],"À décommissionner",TblApplications[Environnement],av_envc,TblApplications[Domaine],av_domc,TblApplications[Tribe],av_tric))</f>
        <v/>
      </c>
      <c r="G63" s="26" t="str">
        <f>IF($B63="","",COUNTIFS(TblApplications[Tribe],$B63,TblApplications[Action],"Décommissionné",TblApplications[Environnement],av_envc,TblApplications[Domaine],av_domc,TblApplications[Tribe],av_tric))</f>
        <v/>
      </c>
      <c r="H63" s="26" t="str">
        <f t="shared" si="0"/>
        <v/>
      </c>
      <c r="AV63" s="33">
        <f>IF(1&gt;p_horizon,"",EDATE(p_debut,0))</f>
        <v>46296</v>
      </c>
      <c r="AW63" s="34">
        <f>IF(1&gt;p_horizon,"",COUNTIFS(TblApplications[Action],"À migrer",TblApplications[Mois bascule],"&gt;="&amp;AV63,TblApplications[Mois bascule],"&lt;"&amp;EDATE(AV63,1),TblApplications[Environnement],av_envc,TblApplications[Domaine],av_domc,TblApplications[Tribe],av_tric))</f>
        <v>0</v>
      </c>
      <c r="AX63" s="34">
        <f>IF(1&gt;p_horizon,"",COUNTIFS(TblApplications[Action],"À décommissionner",TblApplications[Mois lib (calc)],AV63,TblApplications[Environnement],av_envc,TblApplications[Domaine],av_domc,TblApplications[Tribe],av_tric))</f>
        <v>0</v>
      </c>
      <c r="AY63" s="34">
        <f>IF(1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(calc)],"&lt;="&amp;AV63,TblApplications[Environnement],av_envc,TblApplications[Domaine],av_domc,TblApplications[Tribe],av_tric)+COUNTIFS(TblApplications[Action],"À décommissionner",TblApplications[Mois lib (calc)],"&lt;="&amp;AV63,TblApplications[Environnement],av_envc,TblApplications[Domaine],av_domc,TblApplications[Tribe],av_tric))</f>
        <v>1</v>
      </c>
      <c r="AZ63" s="35">
        <f>IF(1&gt;p_horizon,"",IFERROR(AY63/COUNTIFS(TblApplications[ID],"&lt;&gt;",TblApplications[Environnement],av_envc,TblApplications[Domaine],av_domc,TblApplications[Tribe],av_tric),0))</f>
        <v>0.2</v>
      </c>
    </row>
    <row r="64" spans="2:52" x14ac:dyDescent="0.2">
      <c r="B64" s="26" t="str">
        <f>IFERROR(IF(INDEX(TblTribes[Tribe],31)="","",INDEX(TblTribes[Tribe],31)),"")</f>
        <v/>
      </c>
      <c r="C64" s="26" t="str">
        <f>IF($B64="","",INDEX(TblTribes[Domaine de la tribe],31))</f>
        <v/>
      </c>
      <c r="D64" s="26" t="str">
        <f>IF($B64="","",COUNTIFS(TblApplications[Tribe],$B64,TblApplications[Action],"Migré",TblApplications[Environnement],av_envc,TblApplications[Domaine],av_domc,TblApplications[Tribe],av_tric))</f>
        <v/>
      </c>
      <c r="E64" s="26" t="str">
        <f>IF($B64="","",COUNTIFS(TblApplications[Tribe],$B64,TblApplications[Action],"À migrer",TblApplications[Environnement],av_envc,TblApplications[Domaine],av_domc,TblApplications[Tribe],av_tric))</f>
        <v/>
      </c>
      <c r="F64" s="26" t="str">
        <f>IF($B64="","",COUNTIFS(TblApplications[Tribe],$B64,TblApplications[Action],"À décommissionner",TblApplications[Environnement],av_envc,TblApplications[Domaine],av_domc,TblApplications[Tribe],av_tric))</f>
        <v/>
      </c>
      <c r="G64" s="26" t="str">
        <f>IF($B64="","",COUNTIFS(TblApplications[Tribe],$B64,TblApplications[Action],"Décommissionné",TblApplications[Environnement],av_envc,TblApplications[Domaine],av_domc,TblApplications[Tribe],av_tric))</f>
        <v/>
      </c>
      <c r="H64" s="26" t="str">
        <f t="shared" si="0"/>
        <v/>
      </c>
      <c r="AV64" s="33">
        <f>IF(2&gt;p_horizon,"",EDATE(p_debut,1))</f>
        <v>46327</v>
      </c>
      <c r="AW64" s="34">
        <f>IF(2&gt;p_horizon,"",COUNTIFS(TblApplications[Action],"À migrer",TblApplications[Mois bascule],"&gt;="&amp;AV64,TblApplications[Mois bascule],"&lt;"&amp;EDATE(AV64,1),TblApplications[Environnement],av_envc,TblApplications[Domaine],av_domc,TblApplications[Tribe],av_tric))</f>
        <v>0</v>
      </c>
      <c r="AX64" s="34">
        <f>IF(2&gt;p_horizon,"",COUNTIFS(TblApplications[Action],"À décommissionner",TblApplications[Mois lib (calc)],AV64,TblApplications[Environnement],av_envc,TblApplications[Domaine],av_domc,TblApplications[Tribe],av_tric))</f>
        <v>0</v>
      </c>
      <c r="AY64" s="34">
        <f>IF(2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(calc)],"&lt;="&amp;AV64,TblApplications[Environnement],av_envc,TblApplications[Domaine],av_domc,TblApplications[Tribe],av_tric)+COUNTIFS(TblApplications[Action],"À décommissionner",TblApplications[Mois lib (calc)],"&lt;="&amp;AV64,TblApplications[Environnement],av_envc,TblApplications[Domaine],av_domc,TblApplications[Tribe],av_tric))</f>
        <v>1</v>
      </c>
      <c r="AZ64" s="35">
        <f>IF(2&gt;p_horizon,"",IFERROR(AY64/COUNTIFS(TblApplications[ID],"&lt;&gt;",TblApplications[Environnement],av_envc,TblApplications[Domaine],av_domc,TblApplications[Tribe],av_tric),0))</f>
        <v>0.2</v>
      </c>
    </row>
    <row r="65" spans="2:52" x14ac:dyDescent="0.2">
      <c r="B65" s="26" t="str">
        <f>IFERROR(IF(INDEX(TblTribes[Tribe],32)="","",INDEX(TblTribes[Tribe],32)),"")</f>
        <v/>
      </c>
      <c r="C65" s="26" t="str">
        <f>IF($B65="","",INDEX(TblTribes[Domaine de la tribe],32))</f>
        <v/>
      </c>
      <c r="D65" s="26" t="str">
        <f>IF($B65="","",COUNTIFS(TblApplications[Tribe],$B65,TblApplications[Action],"Migré",TblApplications[Environnement],av_envc,TblApplications[Domaine],av_domc,TblApplications[Tribe],av_tric))</f>
        <v/>
      </c>
      <c r="E65" s="26" t="str">
        <f>IF($B65="","",COUNTIFS(TblApplications[Tribe],$B65,TblApplications[Action],"À migrer",TblApplications[Environnement],av_envc,TblApplications[Domaine],av_domc,TblApplications[Tribe],av_tric))</f>
        <v/>
      </c>
      <c r="F65" s="26" t="str">
        <f>IF($B65="","",COUNTIFS(TblApplications[Tribe],$B65,TblApplications[Action],"À décommissionner",TblApplications[Environnement],av_envc,TblApplications[Domaine],av_domc,TblApplications[Tribe],av_tric))</f>
        <v/>
      </c>
      <c r="G65" s="26" t="str">
        <f>IF($B65="","",COUNTIFS(TblApplications[Tribe],$B65,TblApplications[Action],"Décommissionné",TblApplications[Environnement],av_envc,TblApplications[Domaine],av_domc,TblApplications[Tribe],av_tric))</f>
        <v/>
      </c>
      <c r="H65" s="26" t="str">
        <f t="shared" si="0"/>
        <v/>
      </c>
      <c r="AV65" s="33">
        <f>IF(3&gt;p_horizon,"",EDATE(p_debut,2))</f>
        <v>46357</v>
      </c>
      <c r="AW65" s="34">
        <f>IF(3&gt;p_horizon,"",COUNTIFS(TblApplications[Action],"À migrer",TblApplications[Mois bascule],"&gt;="&amp;AV65,TblApplications[Mois bascule],"&lt;"&amp;EDATE(AV65,1),TblApplications[Environnement],av_envc,TblApplications[Domaine],av_domc,TblApplications[Tribe],av_tric))</f>
        <v>0</v>
      </c>
      <c r="AX65" s="34">
        <f>IF(3&gt;p_horizon,"",COUNTIFS(TblApplications[Action],"À décommissionner",TblApplications[Mois lib (calc)],AV65,TblApplications[Environnement],av_envc,TblApplications[Domaine],av_domc,TblApplications[Tribe],av_tric))</f>
        <v>0</v>
      </c>
      <c r="AY65" s="34">
        <f>IF(3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(calc)],"&lt;="&amp;AV65,TblApplications[Environnement],av_envc,TblApplications[Domaine],av_domc,TblApplications[Tribe],av_tric)+COUNTIFS(TblApplications[Action],"À décommissionner",TblApplications[Mois lib (calc)],"&lt;="&amp;AV65,TblApplications[Environnement],av_envc,TblApplications[Domaine],av_domc,TblApplications[Tribe],av_tric))</f>
        <v>1</v>
      </c>
      <c r="AZ65" s="35">
        <f>IF(3&gt;p_horizon,"",IFERROR(AY65/COUNTIFS(TblApplications[ID],"&lt;&gt;",TblApplications[Environnement],av_envc,TblApplications[Domaine],av_domc,TblApplications[Tribe],av_tric),0))</f>
        <v>0.2</v>
      </c>
    </row>
    <row r="66" spans="2:52" x14ac:dyDescent="0.2">
      <c r="B66" s="26" t="str">
        <f>IFERROR(IF(INDEX(TblTribes[Tribe],33)="","",INDEX(TblTribes[Tribe],33)),"")</f>
        <v/>
      </c>
      <c r="C66" s="26" t="str">
        <f>IF($B66="","",INDEX(TblTribes[Domaine de la tribe],33))</f>
        <v/>
      </c>
      <c r="D66" s="26" t="str">
        <f>IF($B66="","",COUNTIFS(TblApplications[Tribe],$B66,TblApplications[Action],"Migré",TblApplications[Environnement],av_envc,TblApplications[Domaine],av_domc,TblApplications[Tribe],av_tric))</f>
        <v/>
      </c>
      <c r="E66" s="26" t="str">
        <f>IF($B66="","",COUNTIFS(TblApplications[Tribe],$B66,TblApplications[Action],"À migrer",TblApplications[Environnement],av_envc,TblApplications[Domaine],av_domc,TblApplications[Tribe],av_tric))</f>
        <v/>
      </c>
      <c r="F66" s="26" t="str">
        <f>IF($B66="","",COUNTIFS(TblApplications[Tribe],$B66,TblApplications[Action],"À décommissionner",TblApplications[Environnement],av_envc,TblApplications[Domaine],av_domc,TblApplications[Tribe],av_tric))</f>
        <v/>
      </c>
      <c r="G66" s="26" t="str">
        <f>IF($B66="","",COUNTIFS(TblApplications[Tribe],$B66,TblApplications[Action],"Décommissionné",TblApplications[Environnement],av_envc,TblApplications[Domaine],av_domc,TblApplications[Tribe],av_tric))</f>
        <v/>
      </c>
      <c r="H66" s="26" t="str">
        <f t="shared" si="0"/>
        <v/>
      </c>
      <c r="AV66" s="33">
        <f>IF(4&gt;p_horizon,"",EDATE(p_debut,3))</f>
        <v>46388</v>
      </c>
      <c r="AW66" s="34">
        <f>IF(4&gt;p_horizon,"",COUNTIFS(TblApplications[Action],"À migrer",TblApplications[Mois bascule],"&gt;="&amp;AV66,TblApplications[Mois bascule],"&lt;"&amp;EDATE(AV66,1),TblApplications[Environnement],av_envc,TblApplications[Domaine],av_domc,TblApplications[Tribe],av_tric))</f>
        <v>0</v>
      </c>
      <c r="AX66" s="34">
        <f>IF(4&gt;p_horizon,"",COUNTIFS(TblApplications[Action],"À décommissionner",TblApplications[Mois lib (calc)],AV66,TblApplications[Environnement],av_envc,TblApplications[Domaine],av_domc,TblApplications[Tribe],av_tric))</f>
        <v>0</v>
      </c>
      <c r="AY66" s="34">
        <f>IF(4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(calc)],"&lt;="&amp;AV66,TblApplications[Environnement],av_envc,TblApplications[Domaine],av_domc,TblApplications[Tribe],av_tric)+COUNTIFS(TblApplications[Action],"À décommissionner",TblApplications[Mois lib (calc)],"&lt;="&amp;AV66,TblApplications[Environnement],av_envc,TblApplications[Domaine],av_domc,TblApplications[Tribe],av_tric))</f>
        <v>1</v>
      </c>
      <c r="AZ66" s="35">
        <f>IF(4&gt;p_horizon,"",IFERROR(AY66/COUNTIFS(TblApplications[ID],"&lt;&gt;",TblApplications[Environnement],av_envc,TblApplications[Domaine],av_domc,TblApplications[Tribe],av_tric),0))</f>
        <v>0.2</v>
      </c>
    </row>
    <row r="67" spans="2:52" x14ac:dyDescent="0.2">
      <c r="B67" s="26" t="str">
        <f>IFERROR(IF(INDEX(TblTribes[Tribe],34)="","",INDEX(TblTribes[Tribe],34)),"")</f>
        <v/>
      </c>
      <c r="C67" s="26" t="str">
        <f>IF($B67="","",INDEX(TblTribes[Domaine de la tribe],34))</f>
        <v/>
      </c>
      <c r="D67" s="26" t="str">
        <f>IF($B67="","",COUNTIFS(TblApplications[Tribe],$B67,TblApplications[Action],"Migré",TblApplications[Environnement],av_envc,TblApplications[Domaine],av_domc,TblApplications[Tribe],av_tric))</f>
        <v/>
      </c>
      <c r="E67" s="26" t="str">
        <f>IF($B67="","",COUNTIFS(TblApplications[Tribe],$B67,TblApplications[Action],"À migrer",TblApplications[Environnement],av_envc,TblApplications[Domaine],av_domc,TblApplications[Tribe],av_tric))</f>
        <v/>
      </c>
      <c r="F67" s="26" t="str">
        <f>IF($B67="","",COUNTIFS(TblApplications[Tribe],$B67,TblApplications[Action],"À décommissionner",TblApplications[Environnement],av_envc,TblApplications[Domaine],av_domc,TblApplications[Tribe],av_tric))</f>
        <v/>
      </c>
      <c r="G67" s="26" t="str">
        <f>IF($B67="","",COUNTIFS(TblApplications[Tribe],$B67,TblApplications[Action],"Décommissionné",TblApplications[Environnement],av_envc,TblApplications[Domaine],av_domc,TblApplications[Tribe],av_tric))</f>
        <v/>
      </c>
      <c r="H67" s="26" t="str">
        <f t="shared" si="0"/>
        <v/>
      </c>
      <c r="AV67" s="33">
        <f>IF(5&gt;p_horizon,"",EDATE(p_debut,4))</f>
        <v>46419</v>
      </c>
      <c r="AW67" s="34">
        <f>IF(5&gt;p_horizon,"",COUNTIFS(TblApplications[Action],"À migrer",TblApplications[Mois bascule],"&gt;="&amp;AV67,TblApplications[Mois bascule],"&lt;"&amp;EDATE(AV67,1),TblApplications[Environnement],av_envc,TblApplications[Domaine],av_domc,TblApplications[Tribe],av_tric))</f>
        <v>0</v>
      </c>
      <c r="AX67" s="34">
        <f>IF(5&gt;p_horizon,"",COUNTIFS(TblApplications[Action],"À décommissionner",TblApplications[Mois lib (calc)],AV67,TblApplications[Environnement],av_envc,TblApplications[Domaine],av_domc,TblApplications[Tribe],av_tric))</f>
        <v>0</v>
      </c>
      <c r="AY67" s="34">
        <f>IF(5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(calc)],"&lt;="&amp;AV67,TblApplications[Environnement],av_envc,TblApplications[Domaine],av_domc,TblApplications[Tribe],av_tric)+COUNTIFS(TblApplications[Action],"À décommissionner",TblApplications[Mois lib (calc)],"&lt;="&amp;AV67,TblApplications[Environnement],av_envc,TblApplications[Domaine],av_domc,TblApplications[Tribe],av_tric))</f>
        <v>1</v>
      </c>
      <c r="AZ67" s="35">
        <f>IF(5&gt;p_horizon,"",IFERROR(AY67/COUNTIFS(TblApplications[ID],"&lt;&gt;",TblApplications[Environnement],av_envc,TblApplications[Domaine],av_domc,TblApplications[Tribe],av_tric),0))</f>
        <v>0.2</v>
      </c>
    </row>
    <row r="68" spans="2:52" x14ac:dyDescent="0.2">
      <c r="B68" s="26" t="str">
        <f>IFERROR(IF(INDEX(TblTribes[Tribe],35)="","",INDEX(TblTribes[Tribe],35)),"")</f>
        <v/>
      </c>
      <c r="C68" s="26" t="str">
        <f>IF($B68="","",INDEX(TblTribes[Domaine de la tribe],35))</f>
        <v/>
      </c>
      <c r="D68" s="26" t="str">
        <f>IF($B68="","",COUNTIFS(TblApplications[Tribe],$B68,TblApplications[Action],"Migré",TblApplications[Environnement],av_envc,TblApplications[Domaine],av_domc,TblApplications[Tribe],av_tric))</f>
        <v/>
      </c>
      <c r="E68" s="26" t="str">
        <f>IF($B68="","",COUNTIFS(TblApplications[Tribe],$B68,TblApplications[Action],"À migrer",TblApplications[Environnement],av_envc,TblApplications[Domaine],av_domc,TblApplications[Tribe],av_tric))</f>
        <v/>
      </c>
      <c r="F68" s="26" t="str">
        <f>IF($B68="","",COUNTIFS(TblApplications[Tribe],$B68,TblApplications[Action],"À décommissionner",TblApplications[Environnement],av_envc,TblApplications[Domaine],av_domc,TblApplications[Tribe],av_tric))</f>
        <v/>
      </c>
      <c r="G68" s="26" t="str">
        <f>IF($B68="","",COUNTIFS(TblApplications[Tribe],$B68,TblApplications[Action],"Décommissionné",TblApplications[Environnement],av_envc,TblApplications[Domaine],av_domc,TblApplications[Tribe],av_tric))</f>
        <v/>
      </c>
      <c r="H68" s="26" t="str">
        <f t="shared" si="0"/>
        <v/>
      </c>
      <c r="AV68" s="33">
        <f>IF(6&gt;p_horizon,"",EDATE(p_debut,5))</f>
        <v>46447</v>
      </c>
      <c r="AW68" s="34">
        <f>IF(6&gt;p_horizon,"",COUNTIFS(TblApplications[Action],"À migrer",TblApplications[Mois bascule],"&gt;="&amp;AV68,TblApplications[Mois bascule],"&lt;"&amp;EDATE(AV68,1),TblApplications[Environnement],av_envc,TblApplications[Domaine],av_domc,TblApplications[Tribe],av_tric))</f>
        <v>0</v>
      </c>
      <c r="AX68" s="34">
        <f>IF(6&gt;p_horizon,"",COUNTIFS(TblApplications[Action],"À décommissionner",TblApplications[Mois lib (calc)],AV68,TblApplications[Environnement],av_envc,TblApplications[Domaine],av_domc,TblApplications[Tribe],av_tric))</f>
        <v>0</v>
      </c>
      <c r="AY68" s="34">
        <f>IF(6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(calc)],"&lt;="&amp;AV68,TblApplications[Environnement],av_envc,TblApplications[Domaine],av_domc,TblApplications[Tribe],av_tric)+COUNTIFS(TblApplications[Action],"À décommissionner",TblApplications[Mois lib (calc)],"&lt;="&amp;AV68,TblApplications[Environnement],av_envc,TblApplications[Domaine],av_domc,TblApplications[Tribe],av_tric))</f>
        <v>1</v>
      </c>
      <c r="AZ68" s="35">
        <f>IF(6&gt;p_horizon,"",IFERROR(AY68/COUNTIFS(TblApplications[ID],"&lt;&gt;",TblApplications[Environnement],av_envc,TblApplications[Domaine],av_domc,TblApplications[Tribe],av_tric),0))</f>
        <v>0.2</v>
      </c>
    </row>
    <row r="69" spans="2:52" x14ac:dyDescent="0.2">
      <c r="B69" s="26" t="str">
        <f>IFERROR(IF(INDEX(TblTribes[Tribe],36)="","",INDEX(TblTribes[Tribe],36)),"")</f>
        <v/>
      </c>
      <c r="C69" s="26" t="str">
        <f>IF($B69="","",INDEX(TblTribes[Domaine de la tribe],36))</f>
        <v/>
      </c>
      <c r="D69" s="26" t="str">
        <f>IF($B69="","",COUNTIFS(TblApplications[Tribe],$B69,TblApplications[Action],"Migré",TblApplications[Environnement],av_envc,TblApplications[Domaine],av_domc,TblApplications[Tribe],av_tric))</f>
        <v/>
      </c>
      <c r="E69" s="26" t="str">
        <f>IF($B69="","",COUNTIFS(TblApplications[Tribe],$B69,TblApplications[Action],"À migrer",TblApplications[Environnement],av_envc,TblApplications[Domaine],av_domc,TblApplications[Tribe],av_tric))</f>
        <v/>
      </c>
      <c r="F69" s="26" t="str">
        <f>IF($B69="","",COUNTIFS(TblApplications[Tribe],$B69,TblApplications[Action],"À décommissionner",TblApplications[Environnement],av_envc,TblApplications[Domaine],av_domc,TblApplications[Tribe],av_tric))</f>
        <v/>
      </c>
      <c r="G69" s="26" t="str">
        <f>IF($B69="","",COUNTIFS(TblApplications[Tribe],$B69,TblApplications[Action],"Décommissionné",TblApplications[Environnement],av_envc,TblApplications[Domaine],av_domc,TblApplications[Tribe],av_tric))</f>
        <v/>
      </c>
      <c r="H69" s="26" t="str">
        <f t="shared" si="0"/>
        <v/>
      </c>
      <c r="AV69" s="33">
        <f>IF(7&gt;p_horizon,"",EDATE(p_debut,6))</f>
        <v>46478</v>
      </c>
      <c r="AW69" s="34">
        <f>IF(7&gt;p_horizon,"",COUNTIFS(TblApplications[Action],"À migrer",TblApplications[Mois bascule],"&gt;="&amp;AV69,TblApplications[Mois bascule],"&lt;"&amp;EDATE(AV69,1),TblApplications[Environnement],av_envc,TblApplications[Domaine],av_domc,TblApplications[Tribe],av_tric))</f>
        <v>0</v>
      </c>
      <c r="AX69" s="34">
        <f>IF(7&gt;p_horizon,"",COUNTIFS(TblApplications[Action],"À décommissionner",TblApplications[Mois lib (calc)],AV69,TblApplications[Environnement],av_envc,TblApplications[Domaine],av_domc,TblApplications[Tribe],av_tric))</f>
        <v>0</v>
      </c>
      <c r="AY69" s="34">
        <f>IF(7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(calc)],"&lt;="&amp;AV69,TblApplications[Environnement],av_envc,TblApplications[Domaine],av_domc,TblApplications[Tribe],av_tric)+COUNTIFS(TblApplications[Action],"À décommissionner",TblApplications[Mois lib (calc)],"&lt;="&amp;AV69,TblApplications[Environnement],av_envc,TblApplications[Domaine],av_domc,TblApplications[Tribe],av_tric))</f>
        <v>1</v>
      </c>
      <c r="AZ69" s="35">
        <f>IF(7&gt;p_horizon,"",IFERROR(AY69/COUNTIFS(TblApplications[ID],"&lt;&gt;",TblApplications[Environnement],av_envc,TblApplications[Domaine],av_domc,TblApplications[Tribe],av_tric),0))</f>
        <v>0.2</v>
      </c>
    </row>
    <row r="70" spans="2:52" x14ac:dyDescent="0.2">
      <c r="B70" s="26" t="str">
        <f>IFERROR(IF(INDEX(TblTribes[Tribe],37)="","",INDEX(TblTribes[Tribe],37)),"")</f>
        <v/>
      </c>
      <c r="C70" s="26" t="str">
        <f>IF($B70="","",INDEX(TblTribes[Domaine de la tribe],37))</f>
        <v/>
      </c>
      <c r="D70" s="26" t="str">
        <f>IF($B70="","",COUNTIFS(TblApplications[Tribe],$B70,TblApplications[Action],"Migré",TblApplications[Environnement],av_envc,TblApplications[Domaine],av_domc,TblApplications[Tribe],av_tric))</f>
        <v/>
      </c>
      <c r="E70" s="26" t="str">
        <f>IF($B70="","",COUNTIFS(TblApplications[Tribe],$B70,TblApplications[Action],"À migrer",TblApplications[Environnement],av_envc,TblApplications[Domaine],av_domc,TblApplications[Tribe],av_tric))</f>
        <v/>
      </c>
      <c r="F70" s="26" t="str">
        <f>IF($B70="","",COUNTIFS(TblApplications[Tribe],$B70,TblApplications[Action],"À décommissionner",TblApplications[Environnement],av_envc,TblApplications[Domaine],av_domc,TblApplications[Tribe],av_tric))</f>
        <v/>
      </c>
      <c r="G70" s="26" t="str">
        <f>IF($B70="","",COUNTIFS(TblApplications[Tribe],$B70,TblApplications[Action],"Décommissionné",TblApplications[Environnement],av_envc,TblApplications[Domaine],av_domc,TblApplications[Tribe],av_tric))</f>
        <v/>
      </c>
      <c r="H70" s="26" t="str">
        <f t="shared" si="0"/>
        <v/>
      </c>
      <c r="AV70" s="33">
        <f>IF(8&gt;p_horizon,"",EDATE(p_debut,7))</f>
        <v>46508</v>
      </c>
      <c r="AW70" s="34">
        <f>IF(8&gt;p_horizon,"",COUNTIFS(TblApplications[Action],"À migrer",TblApplications[Mois bascule],"&gt;="&amp;AV70,TblApplications[Mois bascule],"&lt;"&amp;EDATE(AV70,1),TblApplications[Environnement],av_envc,TblApplications[Domaine],av_domc,TblApplications[Tribe],av_tric))</f>
        <v>1</v>
      </c>
      <c r="AX70" s="34">
        <f>IF(8&gt;p_horizon,"",COUNTIFS(TblApplications[Action],"À décommissionner",TblApplications[Mois lib (calc)],AV70,TblApplications[Environnement],av_envc,TblApplications[Domaine],av_domc,TblApplications[Tribe],av_tric))</f>
        <v>0</v>
      </c>
      <c r="AY70" s="34">
        <f>IF(8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(calc)],"&lt;="&amp;AV70,TblApplications[Environnement],av_envc,TblApplications[Domaine],av_domc,TblApplications[Tribe],av_tric)+COUNTIFS(TblApplications[Action],"À décommissionner",TblApplications[Mois lib (calc)],"&lt;="&amp;AV70,TblApplications[Environnement],av_envc,TblApplications[Domaine],av_domc,TblApplications[Tribe],av_tric))</f>
        <v>1</v>
      </c>
      <c r="AZ70" s="35">
        <f>IF(8&gt;p_horizon,"",IFERROR(AY70/COUNTIFS(TblApplications[ID],"&lt;&gt;",TblApplications[Environnement],av_envc,TblApplications[Domaine],av_domc,TblApplications[Tribe],av_tric),0))</f>
        <v>0.2</v>
      </c>
    </row>
    <row r="71" spans="2:52" x14ac:dyDescent="0.2">
      <c r="B71" s="26" t="str">
        <f>IFERROR(IF(INDEX(TblTribes[Tribe],38)="","",INDEX(TblTribes[Tribe],38)),"")</f>
        <v/>
      </c>
      <c r="C71" s="26" t="str">
        <f>IF($B71="","",INDEX(TblTribes[Domaine de la tribe],38))</f>
        <v/>
      </c>
      <c r="D71" s="26" t="str">
        <f>IF($B71="","",COUNTIFS(TblApplications[Tribe],$B71,TblApplications[Action],"Migré",TblApplications[Environnement],av_envc,TblApplications[Domaine],av_domc,TblApplications[Tribe],av_tric))</f>
        <v/>
      </c>
      <c r="E71" s="26" t="str">
        <f>IF($B71="","",COUNTIFS(TblApplications[Tribe],$B71,TblApplications[Action],"À migrer",TblApplications[Environnement],av_envc,TblApplications[Domaine],av_domc,TblApplications[Tribe],av_tric))</f>
        <v/>
      </c>
      <c r="F71" s="26" t="str">
        <f>IF($B71="","",COUNTIFS(TblApplications[Tribe],$B71,TblApplications[Action],"À décommissionner",TblApplications[Environnement],av_envc,TblApplications[Domaine],av_domc,TblApplications[Tribe],av_tric))</f>
        <v/>
      </c>
      <c r="G71" s="26" t="str">
        <f>IF($B71="","",COUNTIFS(TblApplications[Tribe],$B71,TblApplications[Action],"Décommissionné",TblApplications[Environnement],av_envc,TblApplications[Domaine],av_domc,TblApplications[Tribe],av_tric))</f>
        <v/>
      </c>
      <c r="H71" s="26" t="str">
        <f t="shared" si="0"/>
        <v/>
      </c>
      <c r="AV71" s="33">
        <f>IF(9&gt;p_horizon,"",EDATE(p_debut,8))</f>
        <v>46539</v>
      </c>
      <c r="AW71" s="34">
        <f>IF(9&gt;p_horizon,"",COUNTIFS(TblApplications[Action],"À migrer",TblApplications[Mois bascule],"&gt;="&amp;AV71,TblApplications[Mois bascule],"&lt;"&amp;EDATE(AV71,1),TblApplications[Environnement],av_envc,TblApplications[Domaine],av_domc,TblApplications[Tribe],av_tric))</f>
        <v>0</v>
      </c>
      <c r="AX71" s="34">
        <f>IF(9&gt;p_horizon,"",COUNTIFS(TblApplications[Action],"À décommissionner",TblApplications[Mois lib (calc)],AV71,TblApplications[Environnement],av_envc,TblApplications[Domaine],av_domc,TblApplications[Tribe],av_tric))</f>
        <v>1</v>
      </c>
      <c r="AY71" s="34">
        <f>IF(9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(calc)],"&lt;="&amp;AV71,TblApplications[Environnement],av_envc,TblApplications[Domaine],av_domc,TblApplications[Tribe],av_tric)+COUNTIFS(TblApplications[Action],"À décommissionner",TblApplications[Mois lib (calc)],"&lt;="&amp;AV71,TblApplications[Environnement],av_envc,TblApplications[Domaine],av_domc,TblApplications[Tribe],av_tric))</f>
        <v>2</v>
      </c>
      <c r="AZ71" s="35">
        <f>IF(9&gt;p_horizon,"",IFERROR(AY71/COUNTIFS(TblApplications[ID],"&lt;&gt;",TblApplications[Environnement],av_envc,TblApplications[Domaine],av_domc,TblApplications[Tribe],av_tric),0))</f>
        <v>0.4</v>
      </c>
    </row>
    <row r="72" spans="2:52" x14ac:dyDescent="0.2">
      <c r="B72" s="26" t="str">
        <f>IFERROR(IF(INDEX(TblTribes[Tribe],39)="","",INDEX(TblTribes[Tribe],39)),"")</f>
        <v/>
      </c>
      <c r="C72" s="26" t="str">
        <f>IF($B72="","",INDEX(TblTribes[Domaine de la tribe],39))</f>
        <v/>
      </c>
      <c r="D72" s="26" t="str">
        <f>IF($B72="","",COUNTIFS(TblApplications[Tribe],$B72,TblApplications[Action],"Migré",TblApplications[Environnement],av_envc,TblApplications[Domaine],av_domc,TblApplications[Tribe],av_tric))</f>
        <v/>
      </c>
      <c r="E72" s="26" t="str">
        <f>IF($B72="","",COUNTIFS(TblApplications[Tribe],$B72,TblApplications[Action],"À migrer",TblApplications[Environnement],av_envc,TblApplications[Domaine],av_domc,TblApplications[Tribe],av_tric))</f>
        <v/>
      </c>
      <c r="F72" s="26" t="str">
        <f>IF($B72="","",COUNTIFS(TblApplications[Tribe],$B72,TblApplications[Action],"À décommissionner",TblApplications[Environnement],av_envc,TblApplications[Domaine],av_domc,TblApplications[Tribe],av_tric))</f>
        <v/>
      </c>
      <c r="G72" s="26" t="str">
        <f>IF($B72="","",COUNTIFS(TblApplications[Tribe],$B72,TblApplications[Action],"Décommissionné",TblApplications[Environnement],av_envc,TblApplications[Domaine],av_domc,TblApplications[Tribe],av_tric))</f>
        <v/>
      </c>
      <c r="H72" s="26" t="str">
        <f t="shared" si="0"/>
        <v/>
      </c>
      <c r="AV72" s="33">
        <f>IF(10&gt;p_horizon,"",EDATE(p_debut,9))</f>
        <v>46569</v>
      </c>
      <c r="AW72" s="34">
        <f>IF(10&gt;p_horizon,"",COUNTIFS(TblApplications[Action],"À migrer",TblApplications[Mois bascule],"&gt;="&amp;AV72,TblApplications[Mois bascule],"&lt;"&amp;EDATE(AV72,1),TblApplications[Environnement],av_envc,TblApplications[Domaine],av_domc,TblApplications[Tribe],av_tric))</f>
        <v>0</v>
      </c>
      <c r="AX72" s="34">
        <f>IF(10&gt;p_horizon,"",COUNTIFS(TblApplications[Action],"À décommissionner",TblApplications[Mois lib (calc)],AV72,TblApplications[Environnement],av_envc,TblApplications[Domaine],av_domc,TblApplications[Tribe],av_tric))</f>
        <v>0</v>
      </c>
      <c r="AY72" s="34">
        <f>IF(10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(calc)],"&lt;="&amp;AV72,TblApplications[Environnement],av_envc,TblApplications[Domaine],av_domc,TblApplications[Tribe],av_tric)+COUNTIFS(TblApplications[Action],"À décommissionner",TblApplications[Mois lib (calc)],"&lt;="&amp;AV72,TblApplications[Environnement],av_envc,TblApplications[Domaine],av_domc,TblApplications[Tribe],av_tric))</f>
        <v>3</v>
      </c>
      <c r="AZ72" s="35">
        <f>IF(10&gt;p_horizon,"",IFERROR(AY72/COUNTIFS(TblApplications[ID],"&lt;&gt;",TblApplications[Environnement],av_envc,TblApplications[Domaine],av_domc,TblApplications[Tribe],av_tric),0))</f>
        <v>0.6</v>
      </c>
    </row>
    <row r="73" spans="2:52" x14ac:dyDescent="0.2">
      <c r="B73" s="26" t="str">
        <f>IFERROR(IF(INDEX(TblTribes[Tribe],40)="","",INDEX(TblTribes[Tribe],40)),"")</f>
        <v/>
      </c>
      <c r="C73" s="26" t="str">
        <f>IF($B73="","",INDEX(TblTribes[Domaine de la tribe],40))</f>
        <v/>
      </c>
      <c r="D73" s="26" t="str">
        <f>IF($B73="","",COUNTIFS(TblApplications[Tribe],$B73,TblApplications[Action],"Migré",TblApplications[Environnement],av_envc,TblApplications[Domaine],av_domc,TblApplications[Tribe],av_tric))</f>
        <v/>
      </c>
      <c r="E73" s="26" t="str">
        <f>IF($B73="","",COUNTIFS(TblApplications[Tribe],$B73,TblApplications[Action],"À migrer",TblApplications[Environnement],av_envc,TblApplications[Domaine],av_domc,TblApplications[Tribe],av_tric))</f>
        <v/>
      </c>
      <c r="F73" s="26" t="str">
        <f>IF($B73="","",COUNTIFS(TblApplications[Tribe],$B73,TblApplications[Action],"À décommissionner",TblApplications[Environnement],av_envc,TblApplications[Domaine],av_domc,TblApplications[Tribe],av_tric))</f>
        <v/>
      </c>
      <c r="G73" s="26" t="str">
        <f>IF($B73="","",COUNTIFS(TblApplications[Tribe],$B73,TblApplications[Action],"Décommissionné",TblApplications[Environnement],av_envc,TblApplications[Domaine],av_domc,TblApplications[Tribe],av_tric))</f>
        <v/>
      </c>
      <c r="H73" s="26" t="str">
        <f t="shared" si="0"/>
        <v/>
      </c>
      <c r="AV73" s="33">
        <f>IF(11&gt;p_horizon,"",EDATE(p_debut,10))</f>
        <v>46600</v>
      </c>
      <c r="AW73" s="34">
        <f>IF(11&gt;p_horizon,"",COUNTIFS(TblApplications[Action],"À migrer",TblApplications[Mois bascule],"&gt;="&amp;AV73,TblApplications[Mois bascule],"&lt;"&amp;EDATE(AV73,1),TblApplications[Environnement],av_envc,TblApplications[Domaine],av_domc,TblApplications[Tribe],av_tric))</f>
        <v>0</v>
      </c>
      <c r="AX73" s="34">
        <f>IF(11&gt;p_horizon,"",COUNTIFS(TblApplications[Action],"À décommissionner",TblApplications[Mois lib (calc)],AV73,TblApplications[Environnement],av_envc,TblApplications[Domaine],av_domc,TblApplications[Tribe],av_tric))</f>
        <v>0</v>
      </c>
      <c r="AY73" s="34">
        <f>IF(11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(calc)],"&lt;="&amp;AV73,TblApplications[Environnement],av_envc,TblApplications[Domaine],av_domc,TblApplications[Tribe],av_tric)+COUNTIFS(TblApplications[Action],"À décommissionner",TblApplications[Mois lib (calc)],"&lt;="&amp;AV73,TblApplications[Environnement],av_envc,TblApplications[Domaine],av_domc,TblApplications[Tribe],av_tric))</f>
        <v>3</v>
      </c>
      <c r="AZ73" s="35">
        <f>IF(11&gt;p_horizon,"",IFERROR(AY73/COUNTIFS(TblApplications[ID],"&lt;&gt;",TblApplications[Environnement],av_envc,TblApplications[Domaine],av_domc,TblApplications[Tribe],av_tric),0))</f>
        <v>0.6</v>
      </c>
    </row>
    <row r="74" spans="2:52" x14ac:dyDescent="0.2">
      <c r="AV74" s="33">
        <f>IF(12&gt;p_horizon,"",EDATE(p_debut,11))</f>
        <v>46631</v>
      </c>
      <c r="AW74" s="34">
        <f>IF(12&gt;p_horizon,"",COUNTIFS(TblApplications[Action],"À migrer",TblApplications[Mois bascule],"&gt;="&amp;AV74,TblApplications[Mois bascule],"&lt;"&amp;EDATE(AV74,1),TblApplications[Environnement],av_envc,TblApplications[Domaine],av_domc,TblApplications[Tribe],av_tric))</f>
        <v>0</v>
      </c>
      <c r="AX74" s="34">
        <f>IF(12&gt;p_horizon,"",COUNTIFS(TblApplications[Action],"À décommissionner",TblApplications[Mois lib (calc)],AV74,TblApplications[Environnement],av_envc,TblApplications[Domaine],av_domc,TblApplications[Tribe],av_tric))</f>
        <v>0</v>
      </c>
      <c r="AY74" s="34">
        <f>IF(12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(calc)],"&lt;="&amp;AV74,TblApplications[Environnement],av_envc,TblApplications[Domaine],av_domc,TblApplications[Tribe],av_tric)+COUNTIFS(TblApplications[Action],"À décommissionner",TblApplications[Mois lib (calc)],"&lt;="&amp;AV74,TblApplications[Environnement],av_envc,TblApplications[Domaine],av_domc,TblApplications[Tribe],av_tric))</f>
        <v>3</v>
      </c>
      <c r="AZ74" s="35">
        <f>IF(12&gt;p_horizon,"",IFERROR(AY74/COUNTIFS(TblApplications[ID],"&lt;&gt;",TblApplications[Environnement],av_envc,TblApplications[Domaine],av_domc,TblApplications[Tribe],av_tric),0))</f>
        <v>0.6</v>
      </c>
    </row>
    <row r="75" spans="2:52" ht="9" customHeight="1" x14ac:dyDescent="0.2">
      <c r="AV75" s="33">
        <f>IF(13&gt;p_horizon,"",EDATE(p_debut,12))</f>
        <v>46661</v>
      </c>
      <c r="AW75" s="34">
        <f>IF(13&gt;p_horizon,"",COUNTIFS(TblApplications[Action],"À migrer",TblApplications[Mois bascule],"&gt;="&amp;AV75,TblApplications[Mois bascule],"&lt;"&amp;EDATE(AV75,1),TblApplications[Environnement],av_envc,TblApplications[Domaine],av_domc,TblApplications[Tribe],av_tric))</f>
        <v>0</v>
      </c>
      <c r="AX75" s="34">
        <f>IF(13&gt;p_horizon,"",COUNTIFS(TblApplications[Action],"À décommissionner",TblApplications[Mois lib (calc)],AV75,TblApplications[Environnement],av_envc,TblApplications[Domaine],av_domc,TblApplications[Tribe],av_tric))</f>
        <v>0</v>
      </c>
      <c r="AY75" s="34">
        <f>IF(13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(calc)],"&lt;="&amp;AV75,TblApplications[Environnement],av_envc,TblApplications[Domaine],av_domc,TblApplications[Tribe],av_tric)+COUNTIFS(TblApplications[Action],"À décommissionner",TblApplications[Mois lib (calc)],"&lt;="&amp;AV75,TblApplications[Environnement],av_envc,TblApplications[Domaine],av_domc,TblApplications[Tribe],av_tric))</f>
        <v>3</v>
      </c>
      <c r="AZ75" s="35">
        <f>IF(13&gt;p_horizon,"",IFERROR(AY75/COUNTIFS(TblApplications[ID],"&lt;&gt;",TblApplications[Environnement],av_envc,TblApplications[Domaine],av_domc,TblApplications[Tribe],av_tric),0))</f>
        <v>0.6</v>
      </c>
    </row>
    <row r="76" spans="2:52" ht="16" x14ac:dyDescent="0.2">
      <c r="B76" s="22"/>
      <c r="AV76" s="33">
        <f>IF(14&gt;p_horizon,"",EDATE(p_debut,13))</f>
        <v>46692</v>
      </c>
      <c r="AW76" s="34">
        <f>IF(14&gt;p_horizon,"",COUNTIFS(TblApplications[Action],"À migrer",TblApplications[Mois bascule],"&gt;="&amp;AV76,TblApplications[Mois bascule],"&lt;"&amp;EDATE(AV76,1),TblApplications[Environnement],av_envc,TblApplications[Domaine],av_domc,TblApplications[Tribe],av_tric))</f>
        <v>0</v>
      </c>
      <c r="AX76" s="34">
        <f>IF(14&gt;p_horizon,"",COUNTIFS(TblApplications[Action],"À décommissionner",TblApplications[Mois lib (calc)],AV76,TblApplications[Environnement],av_envc,TblApplications[Domaine],av_domc,TblApplications[Tribe],av_tric))</f>
        <v>0</v>
      </c>
      <c r="AY76" s="34">
        <f>IF(14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(calc)],"&lt;="&amp;AV76,TblApplications[Environnement],av_envc,TblApplications[Domaine],av_domc,TblApplications[Tribe],av_tric)+COUNTIFS(TblApplications[Action],"À décommissionner",TblApplications[Mois lib (calc)],"&lt;="&amp;AV76,TblApplications[Environnement],av_envc,TblApplications[Domaine],av_domc,TblApplications[Tribe],av_tric))</f>
        <v>3</v>
      </c>
      <c r="AZ76" s="35">
        <f>IF(14&gt;p_horizon,"",IFERROR(AY76/COUNTIFS(TblApplications[ID],"&lt;&gt;",TblApplications[Environnement],av_envc,TblApplications[Domaine],av_domc,TblApplications[Tribe],av_tric),0))</f>
        <v>0.6</v>
      </c>
    </row>
    <row r="77" spans="2:52" x14ac:dyDescent="0.2">
      <c r="AV77" s="33">
        <f>IF(15&gt;p_horizon,"",EDATE(p_debut,14))</f>
        <v>46722</v>
      </c>
      <c r="AW77" s="34">
        <f>IF(15&gt;p_horizon,"",COUNTIFS(TblApplications[Action],"À migrer",TblApplications[Mois bascule],"&gt;="&amp;AV77,TblApplications[Mois bascule],"&lt;"&amp;EDATE(AV77,1),TblApplications[Environnement],av_envc,TblApplications[Domaine],av_domc,TblApplications[Tribe],av_tric))</f>
        <v>0</v>
      </c>
      <c r="AX77" s="34">
        <f>IF(15&gt;p_horizon,"",COUNTIFS(TblApplications[Action],"À décommissionner",TblApplications[Mois lib (calc)],AV77,TblApplications[Environnement],av_envc,TblApplications[Domaine],av_domc,TblApplications[Tribe],av_tric))</f>
        <v>0</v>
      </c>
      <c r="AY77" s="34">
        <f>IF(15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(calc)],"&lt;="&amp;AV77,TblApplications[Environnement],av_envc,TblApplications[Domaine],av_domc,TblApplications[Tribe],av_tric)+COUNTIFS(TblApplications[Action],"À décommissionner",TblApplications[Mois lib (calc)],"&lt;="&amp;AV77,TblApplications[Environnement],av_envc,TblApplications[Domaine],av_domc,TblApplications[Tribe],av_tric))</f>
        <v>3</v>
      </c>
      <c r="AZ77" s="35">
        <f>IF(15&gt;p_horizon,"",IFERROR(AY77/COUNTIFS(TblApplications[ID],"&lt;&gt;",TblApplications[Environnement],av_envc,TblApplications[Domaine],av_domc,TblApplications[Tribe],av_tric),0))</f>
        <v>0.6</v>
      </c>
    </row>
    <row r="78" spans="2:52" x14ac:dyDescent="0.2">
      <c r="AV78" s="33">
        <f>IF(16&gt;p_horizon,"",EDATE(p_debut,15))</f>
        <v>46753</v>
      </c>
      <c r="AW78" s="34">
        <f>IF(16&gt;p_horizon,"",COUNTIFS(TblApplications[Action],"À migrer",TblApplications[Mois bascule],"&gt;="&amp;AV78,TblApplications[Mois bascule],"&lt;"&amp;EDATE(AV78,1),TblApplications[Environnement],av_envc,TblApplications[Domaine],av_domc,TblApplications[Tribe],av_tric))</f>
        <v>0</v>
      </c>
      <c r="AX78" s="34">
        <f>IF(16&gt;p_horizon,"",COUNTIFS(TblApplications[Action],"À décommissionner",TblApplications[Mois lib (calc)],AV78,TblApplications[Environnement],av_envc,TblApplications[Domaine],av_domc,TblApplications[Tribe],av_tric))</f>
        <v>0</v>
      </c>
      <c r="AY78" s="34">
        <f>IF(16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(calc)],"&lt;="&amp;AV78,TblApplications[Environnement],av_envc,TblApplications[Domaine],av_domc,TblApplications[Tribe],av_tric)+COUNTIFS(TblApplications[Action],"À décommissionner",TblApplications[Mois lib (calc)],"&lt;="&amp;AV78,TblApplications[Environnement],av_envc,TblApplications[Domaine],av_domc,TblApplications[Tribe],av_tric))</f>
        <v>3</v>
      </c>
      <c r="AZ78" s="35">
        <f>IF(16&gt;p_horizon,"",IFERROR(AY78/COUNTIFS(TblApplications[ID],"&lt;&gt;",TblApplications[Environnement],av_envc,TblApplications[Domaine],av_domc,TblApplications[Tribe],av_tric),0))</f>
        <v>0.6</v>
      </c>
    </row>
    <row r="79" spans="2:52" x14ac:dyDescent="0.2">
      <c r="AV79" s="33">
        <f>IF(17&gt;p_horizon,"",EDATE(p_debut,16))</f>
        <v>46784</v>
      </c>
      <c r="AW79" s="34">
        <f>IF(17&gt;p_horizon,"",COUNTIFS(TblApplications[Action],"À migrer",TblApplications[Mois bascule],"&gt;="&amp;AV79,TblApplications[Mois bascule],"&lt;"&amp;EDATE(AV79,1),TblApplications[Environnement],av_envc,TblApplications[Domaine],av_domc,TblApplications[Tribe],av_tric))</f>
        <v>1</v>
      </c>
      <c r="AX79" s="34">
        <f>IF(17&gt;p_horizon,"",COUNTIFS(TblApplications[Action],"À décommissionner",TblApplications[Mois lib (calc)],AV79,TblApplications[Environnement],av_envc,TblApplications[Domaine],av_domc,TblApplications[Tribe],av_tric))</f>
        <v>0</v>
      </c>
      <c r="AY79" s="34">
        <f>IF(17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(calc)],"&lt;="&amp;AV79,TblApplications[Environnement],av_envc,TblApplications[Domaine],av_domc,TblApplications[Tribe],av_tric)+COUNTIFS(TblApplications[Action],"À décommissionner",TblApplications[Mois lib (calc)],"&lt;="&amp;AV79,TblApplications[Environnement],av_envc,TblApplications[Domaine],av_domc,TblApplications[Tribe],av_tric))</f>
        <v>3</v>
      </c>
      <c r="AZ79" s="35">
        <f>IF(17&gt;p_horizon,"",IFERROR(AY79/COUNTIFS(TblApplications[ID],"&lt;&gt;",TblApplications[Environnement],av_envc,TblApplications[Domaine],av_domc,TblApplications[Tribe],av_tric),0))</f>
        <v>0.6</v>
      </c>
    </row>
    <row r="80" spans="2:52" x14ac:dyDescent="0.2">
      <c r="AV80" s="33">
        <f>IF(18&gt;p_horizon,"",EDATE(p_debut,17))</f>
        <v>46813</v>
      </c>
      <c r="AW80" s="34">
        <f>IF(18&gt;p_horizon,"",COUNTIFS(TblApplications[Action],"À migrer",TblApplications[Mois bascule],"&gt;="&amp;AV80,TblApplications[Mois bascule],"&lt;"&amp;EDATE(AV80,1),TblApplications[Environnement],av_envc,TblApplications[Domaine],av_domc,TblApplications[Tribe],av_tric))</f>
        <v>0</v>
      </c>
      <c r="AX80" s="34">
        <f>IF(18&gt;p_horizon,"",COUNTIFS(TblApplications[Action],"À décommissionner",TblApplications[Mois lib (calc)],AV80,TblApplications[Environnement],av_envc,TblApplications[Domaine],av_domc,TblApplications[Tribe],av_tric))</f>
        <v>0</v>
      </c>
      <c r="AY80" s="34">
        <f>IF(18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(calc)],"&lt;="&amp;AV80,TblApplications[Environnement],av_envc,TblApplications[Domaine],av_domc,TblApplications[Tribe],av_tric)+COUNTIFS(TblApplications[Action],"À décommissionner",TblApplications[Mois lib (calc)],"&lt;="&amp;AV80,TblApplications[Environnement],av_envc,TblApplications[Domaine],av_domc,TblApplications[Tribe],av_tric))</f>
        <v>4</v>
      </c>
      <c r="AZ80" s="35">
        <f>IF(18&gt;p_horizon,"",IFERROR(AY80/COUNTIFS(TblApplications[ID],"&lt;&gt;",TblApplications[Environnement],av_envc,TblApplications[Domaine],av_domc,TblApplications[Tribe],av_tric),0))</f>
        <v>0.8</v>
      </c>
    </row>
    <row r="81" spans="2:52" x14ac:dyDescent="0.2">
      <c r="AV81" s="33">
        <f>IF(19&gt;p_horizon,"",EDATE(p_debut,18))</f>
        <v>46844</v>
      </c>
      <c r="AW81" s="34">
        <f>IF(19&gt;p_horizon,"",COUNTIFS(TblApplications[Action],"À migrer",TblApplications[Mois bascule],"&gt;="&amp;AV81,TblApplications[Mois bascule],"&lt;"&amp;EDATE(AV81,1),TblApplications[Environnement],av_envc,TblApplications[Domaine],av_domc,TblApplications[Tribe],av_tric))</f>
        <v>0</v>
      </c>
      <c r="AX81" s="34">
        <f>IF(19&gt;p_horizon,"",COUNTIFS(TblApplications[Action],"À décommissionner",TblApplications[Mois lib (calc)],AV81,TblApplications[Environnement],av_envc,TblApplications[Domaine],av_domc,TblApplications[Tribe],av_tric))</f>
        <v>0</v>
      </c>
      <c r="AY81" s="34">
        <f>IF(19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(calc)],"&lt;="&amp;AV81,TblApplications[Environnement],av_envc,TblApplications[Domaine],av_domc,TblApplications[Tribe],av_tric)+COUNTIFS(TblApplications[Action],"À décommissionner",TblApplications[Mois lib (calc)],"&lt;="&amp;AV81,TblApplications[Environnement],av_envc,TblApplications[Domaine],av_domc,TblApplications[Tribe],av_tric))</f>
        <v>4</v>
      </c>
      <c r="AZ81" s="35">
        <f>IF(19&gt;p_horizon,"",IFERROR(AY81/COUNTIFS(TblApplications[ID],"&lt;&gt;",TblApplications[Environnement],av_envc,TblApplications[Domaine],av_domc,TblApplications[Tribe],av_tric),0))</f>
        <v>0.8</v>
      </c>
    </row>
    <row r="82" spans="2:52" x14ac:dyDescent="0.2">
      <c r="AV82" s="33">
        <f>IF(20&gt;p_horizon,"",EDATE(p_debut,19))</f>
        <v>46874</v>
      </c>
      <c r="AW82" s="34">
        <f>IF(20&gt;p_horizon,"",COUNTIFS(TblApplications[Action],"À migrer",TblApplications[Mois bascule],"&gt;="&amp;AV82,TblApplications[Mois bascule],"&lt;"&amp;EDATE(AV82,1),TblApplications[Environnement],av_envc,TblApplications[Domaine],av_domc,TblApplications[Tribe],av_tric))</f>
        <v>0</v>
      </c>
      <c r="AX82" s="34">
        <f>IF(20&gt;p_horizon,"",COUNTIFS(TblApplications[Action],"À décommissionner",TblApplications[Mois lib (calc)],AV82,TblApplications[Environnement],av_envc,TblApplications[Domaine],av_domc,TblApplications[Tribe],av_tric))</f>
        <v>0</v>
      </c>
      <c r="AY82" s="34">
        <f>IF(20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(calc)],"&lt;="&amp;AV82,TblApplications[Environnement],av_envc,TblApplications[Domaine],av_domc,TblApplications[Tribe],av_tric)+COUNTIFS(TblApplications[Action],"À décommissionner",TblApplications[Mois lib (calc)],"&lt;="&amp;AV82,TblApplications[Environnement],av_envc,TblApplications[Domaine],av_domc,TblApplications[Tribe],av_tric))</f>
        <v>4</v>
      </c>
      <c r="AZ82" s="35">
        <f>IF(20&gt;p_horizon,"",IFERROR(AY82/COUNTIFS(TblApplications[ID],"&lt;&gt;",TblApplications[Environnement],av_envc,TblApplications[Domaine],av_domc,TblApplications[Tribe],av_tric),0))</f>
        <v>0.8</v>
      </c>
    </row>
    <row r="83" spans="2:52" x14ac:dyDescent="0.2">
      <c r="AV83" s="33">
        <f>IF(21&gt;p_horizon,"",EDATE(p_debut,20))</f>
        <v>46905</v>
      </c>
      <c r="AW83" s="34">
        <f>IF(21&gt;p_horizon,"",COUNTIFS(TblApplications[Action],"À migrer",TblApplications[Mois bascule],"&gt;="&amp;AV83,TblApplications[Mois bascule],"&lt;"&amp;EDATE(AV83,1),TblApplications[Environnement],av_envc,TblApplications[Domaine],av_domc,TblApplications[Tribe],av_tric))</f>
        <v>0</v>
      </c>
      <c r="AX83" s="34">
        <f>IF(21&gt;p_horizon,"",COUNTIFS(TblApplications[Action],"À décommissionner",TblApplications[Mois lib (calc)],AV83,TblApplications[Environnement],av_envc,TblApplications[Domaine],av_domc,TblApplications[Tribe],av_tric))</f>
        <v>0</v>
      </c>
      <c r="AY83" s="34">
        <f>IF(21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(calc)],"&lt;="&amp;AV83,TblApplications[Environnement],av_envc,TblApplications[Domaine],av_domc,TblApplications[Tribe],av_tric)+COUNTIFS(TblApplications[Action],"À décommissionner",TblApplications[Mois lib (calc)],"&lt;="&amp;AV83,TblApplications[Environnement],av_envc,TblApplications[Domaine],av_domc,TblApplications[Tribe],av_tric))</f>
        <v>4</v>
      </c>
      <c r="AZ83" s="35">
        <f>IF(21&gt;p_horizon,"",IFERROR(AY83/COUNTIFS(TblApplications[ID],"&lt;&gt;",TblApplications[Environnement],av_envc,TblApplications[Domaine],av_domc,TblApplications[Tribe],av_tric),0))</f>
        <v>0.8</v>
      </c>
    </row>
    <row r="84" spans="2:52" x14ac:dyDescent="0.2">
      <c r="AV84" s="33">
        <f>IF(22&gt;p_horizon,"",EDATE(p_debut,21))</f>
        <v>46935</v>
      </c>
      <c r="AW84" s="34">
        <f>IF(22&gt;p_horizon,"",COUNTIFS(TblApplications[Action],"À migrer",TblApplications[Mois bascule],"&gt;="&amp;AV84,TblApplications[Mois bascule],"&lt;"&amp;EDATE(AV84,1),TblApplications[Environnement],av_envc,TblApplications[Domaine],av_domc,TblApplications[Tribe],av_tric))</f>
        <v>0</v>
      </c>
      <c r="AX84" s="34">
        <f>IF(22&gt;p_horizon,"",COUNTIFS(TblApplications[Action],"À décommissionner",TblApplications[Mois lib (calc)],AV84,TblApplications[Environnement],av_envc,TblApplications[Domaine],av_domc,TblApplications[Tribe],av_tric))</f>
        <v>0</v>
      </c>
      <c r="AY84" s="34">
        <f>IF(22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(calc)],"&lt;="&amp;AV84,TblApplications[Environnement],av_envc,TblApplications[Domaine],av_domc,TblApplications[Tribe],av_tric)+COUNTIFS(TblApplications[Action],"À décommissionner",TblApplications[Mois lib (calc)],"&lt;="&amp;AV84,TblApplications[Environnement],av_envc,TblApplications[Domaine],av_domc,TblApplications[Tribe],av_tric))</f>
        <v>4</v>
      </c>
      <c r="AZ84" s="35">
        <f>IF(22&gt;p_horizon,"",IFERROR(AY84/COUNTIFS(TblApplications[ID],"&lt;&gt;",TblApplications[Environnement],av_envc,TblApplications[Domaine],av_domc,TblApplications[Tribe],av_tric),0))</f>
        <v>0.8</v>
      </c>
    </row>
    <row r="85" spans="2:52" x14ac:dyDescent="0.2">
      <c r="AV85" s="33">
        <f>IF(23&gt;p_horizon,"",EDATE(p_debut,22))</f>
        <v>46966</v>
      </c>
      <c r="AW85" s="34">
        <f>IF(23&gt;p_horizon,"",COUNTIFS(TblApplications[Action],"À migrer",TblApplications[Mois bascule],"&gt;="&amp;AV85,TblApplications[Mois bascule],"&lt;"&amp;EDATE(AV85,1),TblApplications[Environnement],av_envc,TblApplications[Domaine],av_domc,TblApplications[Tribe],av_tric))</f>
        <v>0</v>
      </c>
      <c r="AX85" s="34">
        <f>IF(23&gt;p_horizon,"",COUNTIFS(TblApplications[Action],"À décommissionner",TblApplications[Mois lib (calc)],AV85,TblApplications[Environnement],av_envc,TblApplications[Domaine],av_domc,TblApplications[Tribe],av_tric))</f>
        <v>0</v>
      </c>
      <c r="AY85" s="34">
        <f>IF(23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(calc)],"&lt;="&amp;AV85,TblApplications[Environnement],av_envc,TblApplications[Domaine],av_domc,TblApplications[Tribe],av_tric)+COUNTIFS(TblApplications[Action],"À décommissionner",TblApplications[Mois lib (calc)],"&lt;="&amp;AV85,TblApplications[Environnement],av_envc,TblApplications[Domaine],av_domc,TblApplications[Tribe],av_tric))</f>
        <v>4</v>
      </c>
      <c r="AZ85" s="35">
        <f>IF(23&gt;p_horizon,"",IFERROR(AY85/COUNTIFS(TblApplications[ID],"&lt;&gt;",TblApplications[Environnement],av_envc,TblApplications[Domaine],av_domc,TblApplications[Tribe],av_tric),0))</f>
        <v>0.8</v>
      </c>
    </row>
    <row r="86" spans="2:52" x14ac:dyDescent="0.2">
      <c r="AV86" s="33">
        <f>IF(24&gt;p_horizon,"",EDATE(p_debut,23))</f>
        <v>46997</v>
      </c>
      <c r="AW86" s="34">
        <f>IF(24&gt;p_horizon,"",COUNTIFS(TblApplications[Action],"À migrer",TblApplications[Mois bascule],"&gt;="&amp;AV86,TblApplications[Mois bascule],"&lt;"&amp;EDATE(AV86,1),TblApplications[Environnement],av_envc,TblApplications[Domaine],av_domc,TblApplications[Tribe],av_tric))</f>
        <v>0</v>
      </c>
      <c r="AX86" s="34">
        <f>IF(24&gt;p_horizon,"",COUNTIFS(TblApplications[Action],"À décommissionner",TblApplications[Mois lib (calc)],AV86,TblApplications[Environnement],av_envc,TblApplications[Domaine],av_domc,TblApplications[Tribe],av_tric))</f>
        <v>0</v>
      </c>
      <c r="AY86" s="34">
        <f>IF(24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(calc)],"&lt;="&amp;AV86,TblApplications[Environnement],av_envc,TblApplications[Domaine],av_domc,TblApplications[Tribe],av_tric)+COUNTIFS(TblApplications[Action],"À décommissionner",TblApplications[Mois lib (calc)],"&lt;="&amp;AV86,TblApplications[Environnement],av_envc,TblApplications[Domaine],av_domc,TblApplications[Tribe],av_tric))</f>
        <v>4</v>
      </c>
      <c r="AZ86" s="35">
        <f>IF(24&gt;p_horizon,"",IFERROR(AY86/COUNTIFS(TblApplications[ID],"&lt;&gt;",TblApplications[Environnement],av_envc,TblApplications[Domaine],av_domc,TblApplications[Tribe],av_tric),0))</f>
        <v>0.8</v>
      </c>
    </row>
    <row r="87" spans="2:52" x14ac:dyDescent="0.2">
      <c r="AV87" s="33">
        <f>IF(25&gt;p_horizon,"",EDATE(p_debut,24))</f>
        <v>47027</v>
      </c>
      <c r="AW87" s="34">
        <f>IF(25&gt;p_horizon,"",COUNTIFS(TblApplications[Action],"À migrer",TblApplications[Mois bascule],"&gt;="&amp;AV87,TblApplications[Mois bascule],"&lt;"&amp;EDATE(AV87,1),TblApplications[Environnement],av_envc,TblApplications[Domaine],av_domc,TblApplications[Tribe],av_tric))</f>
        <v>1</v>
      </c>
      <c r="AX87" s="34">
        <f>IF(25&gt;p_horizon,"",COUNTIFS(TblApplications[Action],"À décommissionner",TblApplications[Mois lib (calc)],AV87,TblApplications[Environnement],av_envc,TblApplications[Domaine],av_domc,TblApplications[Tribe],av_tric))</f>
        <v>0</v>
      </c>
      <c r="AY87" s="34">
        <f>IF(25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(calc)],"&lt;="&amp;AV87,TblApplications[Environnement],av_envc,TblApplications[Domaine],av_domc,TblApplications[Tribe],av_tric)+COUNTIFS(TblApplications[Action],"À décommissionner",TblApplications[Mois lib (calc)],"&lt;="&amp;AV87,TblApplications[Environnement],av_envc,TblApplications[Domaine],av_domc,TblApplications[Tribe],av_tric))</f>
        <v>4</v>
      </c>
      <c r="AZ87" s="35">
        <f>IF(25&gt;p_horizon,"",IFERROR(AY87/COUNTIFS(TblApplications[ID],"&lt;&gt;",TblApplications[Environnement],av_envc,TblApplications[Domaine],av_domc,TblApplications[Tribe],av_tric),0))</f>
        <v>0.8</v>
      </c>
    </row>
    <row r="88" spans="2:52" x14ac:dyDescent="0.2">
      <c r="AV88" s="33">
        <f>IF(26&gt;p_horizon,"",EDATE(p_debut,25))</f>
        <v>47058</v>
      </c>
      <c r="AW88" s="34">
        <f>IF(26&gt;p_horizon,"",COUNTIFS(TblApplications[Action],"À migrer",TblApplications[Mois bascule],"&gt;="&amp;AV88,TblApplications[Mois bascule],"&lt;"&amp;EDATE(AV88,1),TblApplications[Environnement],av_envc,TblApplications[Domaine],av_domc,TblApplications[Tribe],av_tric))</f>
        <v>0</v>
      </c>
      <c r="AX88" s="34">
        <f>IF(26&gt;p_horizon,"",COUNTIFS(TblApplications[Action],"À décommissionner",TblApplications[Mois lib (calc)],AV88,TblApplications[Environnement],av_envc,TblApplications[Domaine],av_domc,TblApplications[Tribe],av_tric))</f>
        <v>0</v>
      </c>
      <c r="AY88" s="34">
        <f>IF(26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(calc)],"&lt;="&amp;AV88,TblApplications[Environnement],av_envc,TblApplications[Domaine],av_domc,TblApplications[Tribe],av_tric)+COUNTIFS(TblApplications[Action],"À décommissionner",TblApplications[Mois lib (calc)],"&lt;="&amp;AV88,TblApplications[Environnement],av_envc,TblApplications[Domaine],av_domc,TblApplications[Tribe],av_tric))</f>
        <v>4</v>
      </c>
      <c r="AZ88" s="35">
        <f>IF(26&gt;p_horizon,"",IFERROR(AY88/COUNTIFS(TblApplications[ID],"&lt;&gt;",TblApplications[Environnement],av_envc,TblApplications[Domaine],av_domc,TblApplications[Tribe],av_tric),0))</f>
        <v>0.8</v>
      </c>
    </row>
    <row r="89" spans="2:52" x14ac:dyDescent="0.2">
      <c r="AV89" s="33">
        <f>IF(27&gt;p_horizon,"",EDATE(p_debut,26))</f>
        <v>47088</v>
      </c>
      <c r="AW89" s="34">
        <f>IF(27&gt;p_horizon,"",COUNTIFS(TblApplications[Action],"À migrer",TblApplications[Mois bascule],"&gt;="&amp;AV89,TblApplications[Mois bascule],"&lt;"&amp;EDATE(AV89,1),TblApplications[Environnement],av_envc,TblApplications[Domaine],av_domc,TblApplications[Tribe],av_tric))</f>
        <v>0</v>
      </c>
      <c r="AX89" s="34">
        <f>IF(27&gt;p_horizon,"",COUNTIFS(TblApplications[Action],"À décommissionner",TblApplications[Mois lib (calc)],AV89,TblApplications[Environnement],av_envc,TblApplications[Domaine],av_domc,TblApplications[Tribe],av_tric))</f>
        <v>0</v>
      </c>
      <c r="AY89" s="34">
        <f>IF(27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(calc)],"&lt;="&amp;AV89,TblApplications[Environnement],av_envc,TblApplications[Domaine],av_domc,TblApplications[Tribe],av_tric)+COUNTIFS(TblApplications[Action],"À décommissionner",TblApplications[Mois lib (calc)],"&lt;="&amp;AV89,TblApplications[Environnement],av_envc,TblApplications[Domaine],av_domc,TblApplications[Tribe],av_tric))</f>
        <v>5</v>
      </c>
      <c r="AZ89" s="35">
        <f>IF(27&gt;p_horizon,"",IFERROR(AY89/COUNTIFS(TblApplications[ID],"&lt;&gt;",TblApplications[Environnement],av_envc,TblApplications[Domaine],av_domc,TblApplications[Tribe],av_tric),0))</f>
        <v>1</v>
      </c>
    </row>
    <row r="90" spans="2:52" x14ac:dyDescent="0.2">
      <c r="AV90" s="33">
        <f>IF(28&gt;p_horizon,"",EDATE(p_debut,27))</f>
        <v>47119</v>
      </c>
      <c r="AW90" s="34">
        <f>IF(28&gt;p_horizon,"",COUNTIFS(TblApplications[Action],"À migrer",TblApplications[Mois bascule],"&gt;="&amp;AV90,TblApplications[Mois bascule],"&lt;"&amp;EDATE(AV90,1),TblApplications[Environnement],av_envc,TblApplications[Domaine],av_domc,TblApplications[Tribe],av_tric))</f>
        <v>0</v>
      </c>
      <c r="AX90" s="34">
        <f>IF(28&gt;p_horizon,"",COUNTIFS(TblApplications[Action],"À décommissionner",TblApplications[Mois lib (calc)],AV90,TblApplications[Environnement],av_envc,TblApplications[Domaine],av_domc,TblApplications[Tribe],av_tric))</f>
        <v>0</v>
      </c>
      <c r="AY90" s="34">
        <f>IF(28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(calc)],"&lt;="&amp;AV90,TblApplications[Environnement],av_envc,TblApplications[Domaine],av_domc,TblApplications[Tribe],av_tric)+COUNTIFS(TblApplications[Action],"À décommissionner",TblApplications[Mois lib (calc)],"&lt;="&amp;AV90,TblApplications[Environnement],av_envc,TblApplications[Domaine],av_domc,TblApplications[Tribe],av_tric))</f>
        <v>5</v>
      </c>
      <c r="AZ90" s="35">
        <f>IF(28&gt;p_horizon,"",IFERROR(AY90/COUNTIFS(TblApplications[ID],"&lt;&gt;",TblApplications[Environnement],av_envc,TblApplications[Domaine],av_domc,TblApplications[Tribe],av_tric),0))</f>
        <v>1</v>
      </c>
    </row>
    <row r="91" spans="2:52" x14ac:dyDescent="0.2">
      <c r="AV91" s="33">
        <f>IF(29&gt;p_horizon,"",EDATE(p_debut,28))</f>
        <v>47150</v>
      </c>
      <c r="AW91" s="34">
        <f>IF(29&gt;p_horizon,"",COUNTIFS(TblApplications[Action],"À migrer",TblApplications[Mois bascule],"&gt;="&amp;AV91,TblApplications[Mois bascule],"&lt;"&amp;EDATE(AV91,1),TblApplications[Environnement],av_envc,TblApplications[Domaine],av_domc,TblApplications[Tribe],av_tric))</f>
        <v>0</v>
      </c>
      <c r="AX91" s="34">
        <f>IF(29&gt;p_horizon,"",COUNTIFS(TblApplications[Action],"À décommissionner",TblApplications[Mois lib (calc)],AV91,TblApplications[Environnement],av_envc,TblApplications[Domaine],av_domc,TblApplications[Tribe],av_tric))</f>
        <v>0</v>
      </c>
      <c r="AY91" s="34">
        <f>IF(29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(calc)],"&lt;="&amp;AV91,TblApplications[Environnement],av_envc,TblApplications[Domaine],av_domc,TblApplications[Tribe],av_tric)+COUNTIFS(TblApplications[Action],"À décommissionner",TblApplications[Mois lib (calc)],"&lt;="&amp;AV91,TblApplications[Environnement],av_envc,TblApplications[Domaine],av_domc,TblApplications[Tribe],av_tric))</f>
        <v>5</v>
      </c>
      <c r="AZ91" s="35">
        <f>IF(29&gt;p_horizon,"",IFERROR(AY91/COUNTIFS(TblApplications[ID],"&lt;&gt;",TblApplications[Environnement],av_envc,TblApplications[Domaine],av_domc,TblApplications[Tribe],av_tric),0))</f>
        <v>1</v>
      </c>
    </row>
    <row r="92" spans="2:52" x14ac:dyDescent="0.2">
      <c r="AV92" s="33">
        <f>IF(30&gt;p_horizon,"",EDATE(p_debut,29))</f>
        <v>47178</v>
      </c>
      <c r="AW92" s="34">
        <f>IF(30&gt;p_horizon,"",COUNTIFS(TblApplications[Action],"À migrer",TblApplications[Mois bascule],"&gt;="&amp;AV92,TblApplications[Mois bascule],"&lt;"&amp;EDATE(AV92,1),TblApplications[Environnement],av_envc,TblApplications[Domaine],av_domc,TblApplications[Tribe],av_tric))</f>
        <v>0</v>
      </c>
      <c r="AX92" s="34">
        <f>IF(30&gt;p_horizon,"",COUNTIFS(TblApplications[Action],"À décommissionner",TblApplications[Mois lib (calc)],AV92,TblApplications[Environnement],av_envc,TblApplications[Domaine],av_domc,TblApplications[Tribe],av_tric))</f>
        <v>0</v>
      </c>
      <c r="AY92" s="34">
        <f>IF(30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(calc)],"&lt;="&amp;AV92,TblApplications[Environnement],av_envc,TblApplications[Domaine],av_domc,TblApplications[Tribe],av_tric)+COUNTIFS(TblApplications[Action],"À décommissionner",TblApplications[Mois lib (calc)],"&lt;="&amp;AV92,TblApplications[Environnement],av_envc,TblApplications[Domaine],av_domc,TblApplications[Tribe],av_tric))</f>
        <v>5</v>
      </c>
      <c r="AZ92" s="35">
        <f>IF(30&gt;p_horizon,"",IFERROR(AY92/COUNTIFS(TblApplications[ID],"&lt;&gt;",TblApplications[Environnement],av_envc,TblApplications[Domaine],av_domc,TblApplications[Tribe],av_tric),0))</f>
        <v>1</v>
      </c>
    </row>
    <row r="93" spans="2:52" x14ac:dyDescent="0.2">
      <c r="AV93" s="33">
        <f>IF(31&gt;p_horizon,"",EDATE(p_debut,30))</f>
        <v>47209</v>
      </c>
      <c r="AW93" s="34">
        <f>IF(31&gt;p_horizon,"",COUNTIFS(TblApplications[Action],"À migrer",TblApplications[Mois bascule],"&gt;="&amp;AV93,TblApplications[Mois bascule],"&lt;"&amp;EDATE(AV93,1),TblApplications[Environnement],av_envc,TblApplications[Domaine],av_domc,TblApplications[Tribe],av_tric))</f>
        <v>0</v>
      </c>
      <c r="AX93" s="34">
        <f>IF(31&gt;p_horizon,"",COUNTIFS(TblApplications[Action],"À décommissionner",TblApplications[Mois lib (calc)],AV93,TblApplications[Environnement],av_envc,TblApplications[Domaine],av_domc,TblApplications[Tribe],av_tric))</f>
        <v>0</v>
      </c>
      <c r="AY93" s="34">
        <f>IF(31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(calc)],"&lt;="&amp;AV93,TblApplications[Environnement],av_envc,TblApplications[Domaine],av_domc,TblApplications[Tribe],av_tric)+COUNTIFS(TblApplications[Action],"À décommissionner",TblApplications[Mois lib (calc)],"&lt;="&amp;AV93,TblApplications[Environnement],av_envc,TblApplications[Domaine],av_domc,TblApplications[Tribe],av_tric))</f>
        <v>5</v>
      </c>
      <c r="AZ93" s="35">
        <f>IF(31&gt;p_horizon,"",IFERROR(AY93/COUNTIFS(TblApplications[ID],"&lt;&gt;",TblApplications[Environnement],av_envc,TblApplications[Domaine],av_domc,TblApplications[Tribe],av_tric),0))</f>
        <v>1</v>
      </c>
    </row>
    <row r="94" spans="2:52" x14ac:dyDescent="0.2">
      <c r="AV94" s="33">
        <f>IF(32&gt;p_horizon,"",EDATE(p_debut,31))</f>
        <v>47239</v>
      </c>
      <c r="AW94" s="34">
        <f>IF(32&gt;p_horizon,"",COUNTIFS(TblApplications[Action],"À migrer",TblApplications[Mois bascule],"&gt;="&amp;AV94,TblApplications[Mois bascule],"&lt;"&amp;EDATE(AV94,1),TblApplications[Environnement],av_envc,TblApplications[Domaine],av_domc,TblApplications[Tribe],av_tric))</f>
        <v>0</v>
      </c>
      <c r="AX94" s="34">
        <f>IF(32&gt;p_horizon,"",COUNTIFS(TblApplications[Action],"À décommissionner",TblApplications[Mois lib (calc)],AV94,TblApplications[Environnement],av_envc,TblApplications[Domaine],av_domc,TblApplications[Tribe],av_tric))</f>
        <v>0</v>
      </c>
      <c r="AY94" s="34">
        <f>IF(32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(calc)],"&lt;="&amp;AV94,TblApplications[Environnement],av_envc,TblApplications[Domaine],av_domc,TblApplications[Tribe],av_tric)+COUNTIFS(TblApplications[Action],"À décommissionner",TblApplications[Mois lib (calc)],"&lt;="&amp;AV94,TblApplications[Environnement],av_envc,TblApplications[Domaine],av_domc,TblApplications[Tribe],av_tric))</f>
        <v>5</v>
      </c>
      <c r="AZ94" s="35">
        <f>IF(32&gt;p_horizon,"",IFERROR(AY94/COUNTIFS(TblApplications[ID],"&lt;&gt;",TblApplications[Environnement],av_envc,TblApplications[Domaine],av_domc,TblApplications[Tribe],av_tric),0))</f>
        <v>1</v>
      </c>
    </row>
    <row r="95" spans="2:52" x14ac:dyDescent="0.2">
      <c r="AV95" s="33">
        <f>IF(33&gt;p_horizon,"",EDATE(p_debut,32))</f>
        <v>47270</v>
      </c>
      <c r="AW95" s="34">
        <f>IF(33&gt;p_horizon,"",COUNTIFS(TblApplications[Action],"À migrer",TblApplications[Mois bascule],"&gt;="&amp;AV95,TblApplications[Mois bascule],"&lt;"&amp;EDATE(AV95,1),TblApplications[Environnement],av_envc,TblApplications[Domaine],av_domc,TblApplications[Tribe],av_tric))</f>
        <v>0</v>
      </c>
      <c r="AX95" s="34">
        <f>IF(33&gt;p_horizon,"",COUNTIFS(TblApplications[Action],"À décommissionner",TblApplications[Mois lib (calc)],AV95,TblApplications[Environnement],av_envc,TblApplications[Domaine],av_domc,TblApplications[Tribe],av_tric))</f>
        <v>0</v>
      </c>
      <c r="AY95" s="34">
        <f>IF(33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(calc)],"&lt;="&amp;AV95,TblApplications[Environnement],av_envc,TblApplications[Domaine],av_domc,TblApplications[Tribe],av_tric)+COUNTIFS(TblApplications[Action],"À décommissionner",TblApplications[Mois lib (calc)],"&lt;="&amp;AV95,TblApplications[Environnement],av_envc,TblApplications[Domaine],av_domc,TblApplications[Tribe],av_tric))</f>
        <v>5</v>
      </c>
      <c r="AZ95" s="35">
        <f>IF(33&gt;p_horizon,"",IFERROR(AY95/COUNTIFS(TblApplications[ID],"&lt;&gt;",TblApplications[Environnement],av_envc,TblApplications[Domaine],av_domc,TblApplications[Tribe],av_tric),0))</f>
        <v>1</v>
      </c>
    </row>
    <row r="96" spans="2:52" x14ac:dyDescent="0.2">
      <c r="B96" s="16"/>
      <c r="AV96" s="33">
        <f>IF(34&gt;p_horizon,"",EDATE(p_debut,33))</f>
        <v>47300</v>
      </c>
      <c r="AW96" s="34">
        <f>IF(34&gt;p_horizon,"",COUNTIFS(TblApplications[Action],"À migrer",TblApplications[Mois bascule],"&gt;="&amp;AV96,TblApplications[Mois bascule],"&lt;"&amp;EDATE(AV96,1),TblApplications[Environnement],av_envc,TblApplications[Domaine],av_domc,TblApplications[Tribe],av_tric))</f>
        <v>0</v>
      </c>
      <c r="AX96" s="34">
        <f>IF(34&gt;p_horizon,"",COUNTIFS(TblApplications[Action],"À décommissionner",TblApplications[Mois lib (calc)],AV96,TblApplications[Environnement],av_envc,TblApplications[Domaine],av_domc,TblApplications[Tribe],av_tric))</f>
        <v>0</v>
      </c>
      <c r="AY96" s="34">
        <f>IF(34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(calc)],"&lt;="&amp;AV96,TblApplications[Environnement],av_envc,TblApplications[Domaine],av_domc,TblApplications[Tribe],av_tric)+COUNTIFS(TblApplications[Action],"À décommissionner",TblApplications[Mois lib (calc)],"&lt;="&amp;AV96,TblApplications[Environnement],av_envc,TblApplications[Domaine],av_domc,TblApplications[Tribe],av_tric))</f>
        <v>5</v>
      </c>
      <c r="AZ96" s="35">
        <f>IF(34&gt;p_horizon,"",IFERROR(AY96/COUNTIFS(TblApplications[ID],"&lt;&gt;",TblApplications[Environnement],av_envc,TblApplications[Domaine],av_domc,TblApplications[Tribe],av_tric),0))</f>
        <v>1</v>
      </c>
    </row>
    <row r="97" spans="48:52" x14ac:dyDescent="0.2">
      <c r="AV97" s="33">
        <f>IF(35&gt;p_horizon,"",EDATE(p_debut,34))</f>
        <v>47331</v>
      </c>
      <c r="AW97" s="34">
        <f>IF(35&gt;p_horizon,"",COUNTIFS(TblApplications[Action],"À migrer",TblApplications[Mois bascule],"&gt;="&amp;AV97,TblApplications[Mois bascule],"&lt;"&amp;EDATE(AV97,1),TblApplications[Environnement],av_envc,TblApplications[Domaine],av_domc,TblApplications[Tribe],av_tric))</f>
        <v>0</v>
      </c>
      <c r="AX97" s="34">
        <f>IF(35&gt;p_horizon,"",COUNTIFS(TblApplications[Action],"À décommissionner",TblApplications[Mois lib (calc)],AV97,TblApplications[Environnement],av_envc,TblApplications[Domaine],av_domc,TblApplications[Tribe],av_tric))</f>
        <v>0</v>
      </c>
      <c r="AY97" s="34">
        <f>IF(35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(calc)],"&lt;="&amp;AV97,TblApplications[Environnement],av_envc,TblApplications[Domaine],av_domc,TblApplications[Tribe],av_tric)+COUNTIFS(TblApplications[Action],"À décommissionner",TblApplications[Mois lib (calc)],"&lt;="&amp;AV97,TblApplications[Environnement],av_envc,TblApplications[Domaine],av_domc,TblApplications[Tribe],av_tric))</f>
        <v>5</v>
      </c>
      <c r="AZ97" s="35">
        <f>IF(35&gt;p_horizon,"",IFERROR(AY97/COUNTIFS(TblApplications[ID],"&lt;&gt;",TblApplications[Environnement],av_envc,TblApplications[Domaine],av_domc,TblApplications[Tribe],av_tric),0))</f>
        <v>1</v>
      </c>
    </row>
    <row r="98" spans="48:52" x14ac:dyDescent="0.2">
      <c r="AV98" s="33">
        <f>IF(36&gt;p_horizon,"",EDATE(p_debut,35))</f>
        <v>47362</v>
      </c>
      <c r="AW98" s="34">
        <f>IF(36&gt;p_horizon,"",COUNTIFS(TblApplications[Action],"À migrer",TblApplications[Mois bascule],"&gt;="&amp;AV98,TblApplications[Mois bascule],"&lt;"&amp;EDATE(AV98,1),TblApplications[Environnement],av_envc,TblApplications[Domaine],av_domc,TblApplications[Tribe],av_tric))</f>
        <v>0</v>
      </c>
      <c r="AX98" s="34">
        <f>IF(36&gt;p_horizon,"",COUNTIFS(TblApplications[Action],"À décommissionner",TblApplications[Mois lib (calc)],AV98,TblApplications[Environnement],av_envc,TblApplications[Domaine],av_domc,TblApplications[Tribe],av_tric))</f>
        <v>0</v>
      </c>
      <c r="AY98" s="34">
        <f>IF(36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(calc)],"&lt;="&amp;AV98,TblApplications[Environnement],av_envc,TblApplications[Domaine],av_domc,TblApplications[Tribe],av_tric)+COUNTIFS(TblApplications[Action],"À décommissionner",TblApplications[Mois lib (calc)],"&lt;="&amp;AV98,TblApplications[Environnement],av_envc,TblApplications[Domaine],av_domc,TblApplications[Tribe],av_tric))</f>
        <v>5</v>
      </c>
      <c r="AZ98" s="35">
        <f>IF(36&gt;p_horizon,"",IFERROR(AY98/COUNTIFS(TblApplications[ID],"&lt;&gt;",TblApplications[Environnement],av_envc,TblApplications[Domaine],av_domc,TblApplications[Tribe],av_tric),0))</f>
        <v>1</v>
      </c>
    </row>
  </sheetData>
  <mergeCells count="12">
    <mergeCell ref="L6:M6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</mergeCells>
  <dataValidations count="2">
    <dataValidation type="list" showErrorMessage="1" error="Choisir une valeur de la liste" sqref="C4" xr:uid="{00000000-0002-0000-0100-000000000000}">
      <formula1>"Tous,PRD,NPRD"</formula1>
      <formula2>0</formula2>
    </dataValidation>
    <dataValidation type="date" operator="greaterThan" showErrorMessage="1" error="Saisir un mois" sqref="L4" xr:uid="{00000000-0002-0000-0100-000003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="Choisir une valeur de la liste" xr:uid="{00000000-0002-0000-0100-000001000000}">
          <x14:formula1>
            <xm:f>'Paramètres &amp; ABS'!$O$21:$O$41</xm:f>
          </x14:formula1>
          <x14:formula2>
            <xm:f>0</xm:f>
          </x14:formula2>
          <xm:sqref>F4</xm:sqref>
        </x14:dataValidation>
        <x14:dataValidation type="list" showErrorMessage="1" error="Choisir une valeur de la liste" xr:uid="{00000000-0002-0000-0100-000002000000}">
          <x14:formula1>
            <xm:f>'Paramètres &amp; ABS'!$P$21:$P$61</xm:f>
          </x14:formula1>
          <x14:formula2>
            <xm:f>0</xm:f>
          </x14:formula2>
          <xm:sqref>I4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05"/>
  <sheetViews>
    <sheetView showGridLines="0" zoomScaleNormal="100" workbookViewId="0">
      <pane ySplit="4" topLeftCell="A5" activePane="bottomLeft" state="frozen"/>
      <selection pane="bottomLeft" activeCell="S6" sqref="S6"/>
    </sheetView>
  </sheetViews>
  <sheetFormatPr baseColWidth="10" defaultColWidth="8.6640625" defaultRowHeight="15" x14ac:dyDescent="0.2"/>
  <cols>
    <col min="1" max="1" width="2" customWidth="1"/>
    <col min="2" max="2" width="15" customWidth="1"/>
    <col min="3" max="3" width="9" customWidth="1"/>
    <col min="4" max="4" width="7" customWidth="1"/>
    <col min="5" max="5" width="16.5" bestFit="1" customWidth="1"/>
    <col min="6" max="7" width="7.5" customWidth="1"/>
    <col min="8" max="8" width="14" bestFit="1" customWidth="1"/>
    <col min="9" max="41" width="7.5" customWidth="1"/>
  </cols>
  <sheetData>
    <row r="1" spans="2:31" ht="20" x14ac:dyDescent="0.2">
      <c r="B1" s="15" t="s">
        <v>47</v>
      </c>
    </row>
    <row r="2" spans="2:31" x14ac:dyDescent="0.2">
      <c r="B2" s="16" t="s">
        <v>48</v>
      </c>
    </row>
    <row r="4" spans="2:31" x14ac:dyDescent="0.2">
      <c r="B4" s="18" t="s">
        <v>26</v>
      </c>
      <c r="C4" s="20" t="s">
        <v>10</v>
      </c>
      <c r="E4" s="18" t="s">
        <v>49</v>
      </c>
      <c r="F4" s="20" t="s">
        <v>50</v>
      </c>
      <c r="H4" s="18" t="s">
        <v>27</v>
      </c>
      <c r="I4" s="28">
        <v>46722</v>
      </c>
      <c r="AD4" s="29" t="str">
        <f>IF(C4="Tous","*",C4)</f>
        <v>*</v>
      </c>
      <c r="AE4" s="30">
        <f>IFERROR(DATE(YEAR(I4),MONTH(I4),1),p_debut)</f>
        <v>46722</v>
      </c>
    </row>
    <row r="6" spans="2:31" ht="27.75" customHeight="1" x14ac:dyDescent="0.2">
      <c r="B6" s="80" t="s">
        <v>51</v>
      </c>
      <c r="C6" s="80"/>
      <c r="D6" s="5" t="s">
        <v>52</v>
      </c>
      <c r="E6" s="5"/>
      <c r="F6" s="80" t="s">
        <v>53</v>
      </c>
      <c r="G6" s="80"/>
      <c r="H6" s="5" t="s">
        <v>54</v>
      </c>
      <c r="I6" s="5"/>
      <c r="J6" s="80" t="s">
        <v>55</v>
      </c>
      <c r="K6" s="80"/>
      <c r="L6" s="5" t="s">
        <v>56</v>
      </c>
      <c r="M6" s="5"/>
    </row>
    <row r="7" spans="2:31" ht="36" customHeight="1" x14ac:dyDescent="0.2">
      <c r="B7" s="81">
        <f>SUMIFS(TblCalculs[CPU provisionné],TblCalculs[Mois],ca_mois,TblCalculs[Plateforme],"IKS",TblCalculs[Environnement],ca_envc)</f>
        <v>2048</v>
      </c>
      <c r="C7" s="81"/>
      <c r="D7" s="82">
        <f>SUMIFS(TblCalculs[CPU provisionné],TblCalculs[Mois],ca_mois,TblCalculs[Plateforme],"ROKS",TblCalculs[Environnement],ca_envc)</f>
        <v>736</v>
      </c>
      <c r="E7" s="82"/>
      <c r="F7" s="81">
        <f>SUMIFS(TblCalculs[RAM provisionnée],TblCalculs[Mois],ca_mois,TblCalculs[Plateforme],"IKS",TblCalculs[Environnement],ca_envc)</f>
        <v>13184</v>
      </c>
      <c r="G7" s="81"/>
      <c r="H7" s="82">
        <f>SUMIFS(TblCalculs[RAM provisionnée],TblCalculs[Mois],ca_mois,TblCalculs[Plateforme],"ROKS",TblCalculs[Environnement],ca_envc)</f>
        <v>3200</v>
      </c>
      <c r="I7" s="82"/>
      <c r="J7" s="81">
        <f>SUMIFS(TblCalculs[Workers],TblCalculs[Mois],ca_mois,TblCalculs[Plateforme],"IKS",TblCalculs[Environnement],ca_envc)</f>
        <v>61</v>
      </c>
      <c r="K7" s="81"/>
      <c r="L7" s="82">
        <f>SUMIFS(TblCalculs[Workers],TblCalculs[Mois],ca_mois,TblCalculs[Plateforme],"ROKS",TblCalculs[Environnement],ca_envc)</f>
        <v>68</v>
      </c>
      <c r="M7" s="82"/>
    </row>
    <row r="9" spans="2:31" x14ac:dyDescent="0.2">
      <c r="B9" s="24" t="s">
        <v>57</v>
      </c>
    </row>
    <row r="11" spans="2:31" ht="16" x14ac:dyDescent="0.2">
      <c r="B11" s="22" t="s">
        <v>58</v>
      </c>
    </row>
    <row r="31" spans="2:2" ht="16" x14ac:dyDescent="0.2">
      <c r="B31" s="22" t="s">
        <v>59</v>
      </c>
    </row>
    <row r="33" spans="1:41" ht="48" customHeight="1" x14ac:dyDescent="0.2">
      <c r="B33" s="25" t="s">
        <v>60</v>
      </c>
      <c r="C33" s="25" t="s">
        <v>61</v>
      </c>
      <c r="D33" s="25" t="s">
        <v>62</v>
      </c>
      <c r="E33" s="25" t="s">
        <v>63</v>
      </c>
      <c r="F33" s="36">
        <f>IF(1&gt;p_horizon,"",EDATE(p_debut,0))</f>
        <v>46296</v>
      </c>
      <c r="G33" s="36">
        <f>IF(2&gt;p_horizon,"",EDATE(p_debut,1))</f>
        <v>46327</v>
      </c>
      <c r="H33" s="36">
        <f>IF(3&gt;p_horizon,"",EDATE(p_debut,2))</f>
        <v>46357</v>
      </c>
      <c r="I33" s="36">
        <f>IF(4&gt;p_horizon,"",EDATE(p_debut,3))</f>
        <v>46388</v>
      </c>
      <c r="J33" s="36">
        <f>IF(5&gt;p_horizon,"",EDATE(p_debut,4))</f>
        <v>46419</v>
      </c>
      <c r="K33" s="36">
        <f>IF(6&gt;p_horizon,"",EDATE(p_debut,5))</f>
        <v>46447</v>
      </c>
      <c r="L33" s="36">
        <f>IF(7&gt;p_horizon,"",EDATE(p_debut,6))</f>
        <v>46478</v>
      </c>
      <c r="M33" s="36">
        <f>IF(8&gt;p_horizon,"",EDATE(p_debut,7))</f>
        <v>46508</v>
      </c>
      <c r="N33" s="36">
        <f>IF(9&gt;p_horizon,"",EDATE(p_debut,8))</f>
        <v>46539</v>
      </c>
      <c r="O33" s="36">
        <f>IF(10&gt;p_horizon,"",EDATE(p_debut,9))</f>
        <v>46569</v>
      </c>
      <c r="P33" s="36">
        <f>IF(11&gt;p_horizon,"",EDATE(p_debut,10))</f>
        <v>46600</v>
      </c>
      <c r="Q33" s="36">
        <f>IF(12&gt;p_horizon,"",EDATE(p_debut,11))</f>
        <v>46631</v>
      </c>
      <c r="R33" s="36">
        <f>IF(13&gt;p_horizon,"",EDATE(p_debut,12))</f>
        <v>46661</v>
      </c>
      <c r="S33" s="36">
        <f>IF(14&gt;p_horizon,"",EDATE(p_debut,13))</f>
        <v>46692</v>
      </c>
      <c r="T33" s="36">
        <f>IF(15&gt;p_horizon,"",EDATE(p_debut,14))</f>
        <v>46722</v>
      </c>
      <c r="U33" s="36">
        <f>IF(16&gt;p_horizon,"",EDATE(p_debut,15))</f>
        <v>46753</v>
      </c>
      <c r="V33" s="36">
        <f>IF(17&gt;p_horizon,"",EDATE(p_debut,16))</f>
        <v>46784</v>
      </c>
      <c r="W33" s="36">
        <f>IF(18&gt;p_horizon,"",EDATE(p_debut,17))</f>
        <v>46813</v>
      </c>
      <c r="X33" s="36">
        <f>IF(19&gt;p_horizon,"",EDATE(p_debut,18))</f>
        <v>46844</v>
      </c>
      <c r="Y33" s="36">
        <f>IF(20&gt;p_horizon,"",EDATE(p_debut,19))</f>
        <v>46874</v>
      </c>
      <c r="Z33" s="36">
        <f>IF(21&gt;p_horizon,"",EDATE(p_debut,20))</f>
        <v>46905</v>
      </c>
      <c r="AA33" s="36">
        <f>IF(22&gt;p_horizon,"",EDATE(p_debut,21))</f>
        <v>46935</v>
      </c>
      <c r="AB33" s="36">
        <f>IF(23&gt;p_horizon,"",EDATE(p_debut,22))</f>
        <v>46966</v>
      </c>
      <c r="AC33" s="36">
        <f>IF(24&gt;p_horizon,"",EDATE(p_debut,23))</f>
        <v>46997</v>
      </c>
      <c r="AD33" s="36">
        <f>IF(25&gt;p_horizon,"",EDATE(p_debut,24))</f>
        <v>47027</v>
      </c>
      <c r="AE33" s="36">
        <f>IF(26&gt;p_horizon,"",EDATE(p_debut,25))</f>
        <v>47058</v>
      </c>
      <c r="AF33" s="36">
        <f>IF(27&gt;p_horizon,"",EDATE(p_debut,26))</f>
        <v>47088</v>
      </c>
      <c r="AG33" s="36">
        <f>IF(28&gt;p_horizon,"",EDATE(p_debut,27))</f>
        <v>47119</v>
      </c>
      <c r="AH33" s="36">
        <f>IF(29&gt;p_horizon,"",EDATE(p_debut,28))</f>
        <v>47150</v>
      </c>
      <c r="AI33" s="36">
        <f>IF(30&gt;p_horizon,"",EDATE(p_debut,29))</f>
        <v>47178</v>
      </c>
      <c r="AJ33" s="36">
        <f>IF(31&gt;p_horizon,"",EDATE(p_debut,30))</f>
        <v>47209</v>
      </c>
      <c r="AK33" s="36">
        <f>IF(32&gt;p_horizon,"",EDATE(p_debut,31))</f>
        <v>47239</v>
      </c>
      <c r="AL33" s="36">
        <f>IF(33&gt;p_horizon,"",EDATE(p_debut,32))</f>
        <v>47270</v>
      </c>
      <c r="AM33" s="36">
        <f>IF(34&gt;p_horizon,"",EDATE(p_debut,33))</f>
        <v>47300</v>
      </c>
      <c r="AN33" s="36">
        <f>IF(35&gt;p_horizon,"",EDATE(p_debut,34))</f>
        <v>47331</v>
      </c>
      <c r="AO33" s="36">
        <f>IF(36&gt;p_horizon,"",EDATE(p_debut,35))</f>
        <v>47362</v>
      </c>
    </row>
    <row r="34" spans="1:41" x14ac:dyDescent="0.2">
      <c r="A34" s="37">
        <f>IFERROR(MATCH(1,TblClusters[Rang capacités],0),"")</f>
        <v>1</v>
      </c>
      <c r="B34" s="38" t="str">
        <f>IF($A34="","",INDEX(TblClusters[Cluster],$A34))</f>
        <v>oc002i000577</v>
      </c>
      <c r="C34" s="39" t="str">
        <f>IF($A34="","",INDEX(TblClusters[Plateforme],$A34))</f>
        <v>ROKS</v>
      </c>
      <c r="D34" s="39" t="str">
        <f>IF($A34="","",INDEX(TblClusters[Environnement],$A34))</f>
        <v>PRD</v>
      </c>
      <c r="E34" s="39" t="str">
        <f>IF($A34="","",INDEX(TblClusters[Flavor],$A34))</f>
        <v>bx3d.8x40</v>
      </c>
      <c r="F34" s="40">
        <f>IF(OR($A34="",F$33=""),"",IF(ca_mesure="CPU",SUMIFS(TblCalculs[CPU provisionné],TblCalculs[Cluster],$B34,TblCalculs[Mois],F$33),IF(ca_mesure="RAM",SUMIFS(TblCalculs[RAM provisionnée],TblCalculs[Cluster],$B34,TblCalculs[Mois],F$33),SUMIFS(TblCalculs[Workers],TblCalculs[Cluster],$B34,TblCalculs[Mois],F$33))))</f>
        <v>6</v>
      </c>
      <c r="G34" s="40">
        <f>IF(OR($A34="",G$33=""),"",IF(ca_mesure="CPU",SUMIFS(TblCalculs[CPU provisionné],TblCalculs[Cluster],$B34,TblCalculs[Mois],G$33),IF(ca_mesure="RAM",SUMIFS(TblCalculs[RAM provisionnée],TblCalculs[Cluster],$B34,TblCalculs[Mois],G$33),SUMIFS(TblCalculs[Workers],TblCalculs[Cluster],$B34,TblCalculs[Mois],G$33))))</f>
        <v>6</v>
      </c>
      <c r="H34" s="40">
        <f>IF(OR($A34="",H$33=""),"",IF(ca_mesure="CPU",SUMIFS(TblCalculs[CPU provisionné],TblCalculs[Cluster],$B34,TblCalculs[Mois],H$33),IF(ca_mesure="RAM",SUMIFS(TblCalculs[RAM provisionnée],TblCalculs[Cluster],$B34,TblCalculs[Mois],H$33),SUMIFS(TblCalculs[Workers],TblCalculs[Cluster],$B34,TblCalculs[Mois],H$33))))</f>
        <v>6</v>
      </c>
      <c r="I34" s="40">
        <f>IF(OR($A34="",I$33=""),"",IF(ca_mesure="CPU",SUMIFS(TblCalculs[CPU provisionné],TblCalculs[Cluster],$B34,TblCalculs[Mois],I$33),IF(ca_mesure="RAM",SUMIFS(TblCalculs[RAM provisionnée],TblCalculs[Cluster],$B34,TblCalculs[Mois],I$33),SUMIFS(TblCalculs[Workers],TblCalculs[Cluster],$B34,TblCalculs[Mois],I$33))))</f>
        <v>6</v>
      </c>
      <c r="J34" s="40">
        <f>IF(OR($A34="",J$33=""),"",IF(ca_mesure="CPU",SUMIFS(TblCalculs[CPU provisionné],TblCalculs[Cluster],$B34,TblCalculs[Mois],J$33),IF(ca_mesure="RAM",SUMIFS(TblCalculs[RAM provisionnée],TblCalculs[Cluster],$B34,TblCalculs[Mois],J$33),SUMIFS(TblCalculs[Workers],TblCalculs[Cluster],$B34,TblCalculs[Mois],J$33))))</f>
        <v>6</v>
      </c>
      <c r="K34" s="40">
        <f>IF(OR($A34="",K$33=""),"",IF(ca_mesure="CPU",SUMIFS(TblCalculs[CPU provisionné],TblCalculs[Cluster],$B34,TblCalculs[Mois],K$33),IF(ca_mesure="RAM",SUMIFS(TblCalculs[RAM provisionnée],TblCalculs[Cluster],$B34,TblCalculs[Mois],K$33),SUMIFS(TblCalculs[Workers],TblCalculs[Cluster],$B34,TblCalculs[Mois],K$33))))</f>
        <v>6</v>
      </c>
      <c r="L34" s="40">
        <f>IF(OR($A34="",L$33=""),"",IF(ca_mesure="CPU",SUMIFS(TblCalculs[CPU provisionné],TblCalculs[Cluster],$B34,TblCalculs[Mois],L$33),IF(ca_mesure="RAM",SUMIFS(TblCalculs[RAM provisionnée],TblCalculs[Cluster],$B34,TblCalculs[Mois],L$33),SUMIFS(TblCalculs[Workers],TblCalculs[Cluster],$B34,TblCalculs[Mois],L$33))))</f>
        <v>8</v>
      </c>
      <c r="M34" s="40">
        <f>IF(OR($A34="",M$33=""),"",IF(ca_mesure="CPU",SUMIFS(TblCalculs[CPU provisionné],TblCalculs[Cluster],$B34,TblCalculs[Mois],M$33),IF(ca_mesure="RAM",SUMIFS(TblCalculs[RAM provisionnée],TblCalculs[Cluster],$B34,TblCalculs[Mois],M$33),SUMIFS(TblCalculs[Workers],TblCalculs[Cluster],$B34,TblCalculs[Mois],M$33))))</f>
        <v>8</v>
      </c>
      <c r="N34" s="40">
        <f>IF(OR($A34="",N$33=""),"",IF(ca_mesure="CPU",SUMIFS(TblCalculs[CPU provisionné],TblCalculs[Cluster],$B34,TblCalculs[Mois],N$33),IF(ca_mesure="RAM",SUMIFS(TblCalculs[RAM provisionnée],TblCalculs[Cluster],$B34,TblCalculs[Mois],N$33),SUMIFS(TblCalculs[Workers],TblCalculs[Cluster],$B34,TblCalculs[Mois],N$33))))</f>
        <v>8</v>
      </c>
      <c r="O34" s="40">
        <f>IF(OR($A34="",O$33=""),"",IF(ca_mesure="CPU",SUMIFS(TblCalculs[CPU provisionné],TblCalculs[Cluster],$B34,TblCalculs[Mois],O$33),IF(ca_mesure="RAM",SUMIFS(TblCalculs[RAM provisionnée],TblCalculs[Cluster],$B34,TblCalculs[Mois],O$33),SUMIFS(TblCalculs[Workers],TblCalculs[Cluster],$B34,TblCalculs[Mois],O$33))))</f>
        <v>8</v>
      </c>
      <c r="P34" s="40">
        <f>IF(OR($A34="",P$33=""),"",IF(ca_mesure="CPU",SUMIFS(TblCalculs[CPU provisionné],TblCalculs[Cluster],$B34,TblCalculs[Mois],P$33),IF(ca_mesure="RAM",SUMIFS(TblCalculs[RAM provisionnée],TblCalculs[Cluster],$B34,TblCalculs[Mois],P$33),SUMIFS(TblCalculs[Workers],TblCalculs[Cluster],$B34,TblCalculs[Mois],P$33))))</f>
        <v>8</v>
      </c>
      <c r="Q34" s="40">
        <f>IF(OR($A34="",Q$33=""),"",IF(ca_mesure="CPU",SUMIFS(TblCalculs[CPU provisionné],TblCalculs[Cluster],$B34,TblCalculs[Mois],Q$33),IF(ca_mesure="RAM",SUMIFS(TblCalculs[RAM provisionnée],TblCalculs[Cluster],$B34,TblCalculs[Mois],Q$33),SUMIFS(TblCalculs[Workers],TblCalculs[Cluster],$B34,TblCalculs[Mois],Q$33))))</f>
        <v>8</v>
      </c>
      <c r="R34" s="40">
        <f>IF(OR($A34="",R$33=""),"",IF(ca_mesure="CPU",SUMIFS(TblCalculs[CPU provisionné],TblCalculs[Cluster],$B34,TblCalculs[Mois],R$33),IF(ca_mesure="RAM",SUMIFS(TblCalculs[RAM provisionnée],TblCalculs[Cluster],$B34,TblCalculs[Mois],R$33),SUMIFS(TblCalculs[Workers],TblCalculs[Cluster],$B34,TblCalculs[Mois],R$33))))</f>
        <v>8</v>
      </c>
      <c r="S34" s="40">
        <f>IF(OR($A34="",S$33=""),"",IF(ca_mesure="CPU",SUMIFS(TblCalculs[CPU provisionné],TblCalculs[Cluster],$B34,TblCalculs[Mois],S$33),IF(ca_mesure="RAM",SUMIFS(TblCalculs[RAM provisionnée],TblCalculs[Cluster],$B34,TblCalculs[Mois],S$33),SUMIFS(TblCalculs[Workers],TblCalculs[Cluster],$B34,TblCalculs[Mois],S$33))))</f>
        <v>8</v>
      </c>
      <c r="T34" s="40">
        <f>IF(OR($A34="",T$33=""),"",IF(ca_mesure="CPU",SUMIFS(TblCalculs[CPU provisionné],TblCalculs[Cluster],$B34,TblCalculs[Mois],T$33),IF(ca_mesure="RAM",SUMIFS(TblCalculs[RAM provisionnée],TblCalculs[Cluster],$B34,TblCalculs[Mois],T$33),SUMIFS(TblCalculs[Workers],TblCalculs[Cluster],$B34,TblCalculs[Mois],T$33))))</f>
        <v>8</v>
      </c>
      <c r="U34" s="40">
        <f>IF(OR($A34="",U$33=""),"",IF(ca_mesure="CPU",SUMIFS(TblCalculs[CPU provisionné],TblCalculs[Cluster],$B34,TblCalculs[Mois],U$33),IF(ca_mesure="RAM",SUMIFS(TblCalculs[RAM provisionnée],TblCalculs[Cluster],$B34,TblCalculs[Mois],U$33),SUMIFS(TblCalculs[Workers],TblCalculs[Cluster],$B34,TblCalculs[Mois],U$33))))</f>
        <v>10</v>
      </c>
      <c r="V34" s="40">
        <f>IF(OR($A34="",V$33=""),"",IF(ca_mesure="CPU",SUMIFS(TblCalculs[CPU provisionné],TblCalculs[Cluster],$B34,TblCalculs[Mois],V$33),IF(ca_mesure="RAM",SUMIFS(TblCalculs[RAM provisionnée],TblCalculs[Cluster],$B34,TblCalculs[Mois],V$33),SUMIFS(TblCalculs[Workers],TblCalculs[Cluster],$B34,TblCalculs[Mois],V$33))))</f>
        <v>10</v>
      </c>
      <c r="W34" s="40">
        <f>IF(OR($A34="",W$33=""),"",IF(ca_mesure="CPU",SUMIFS(TblCalculs[CPU provisionné],TblCalculs[Cluster],$B34,TblCalculs[Mois],W$33),IF(ca_mesure="RAM",SUMIFS(TblCalculs[RAM provisionnée],TblCalculs[Cluster],$B34,TblCalculs[Mois],W$33),SUMIFS(TblCalculs[Workers],TblCalculs[Cluster],$B34,TblCalculs[Mois],W$33))))</f>
        <v>10</v>
      </c>
      <c r="X34" s="40">
        <f>IF(OR($A34="",X$33=""),"",IF(ca_mesure="CPU",SUMIFS(TblCalculs[CPU provisionné],TblCalculs[Cluster],$B34,TblCalculs[Mois],X$33),IF(ca_mesure="RAM",SUMIFS(TblCalculs[RAM provisionnée],TblCalculs[Cluster],$B34,TblCalculs[Mois],X$33),SUMIFS(TblCalculs[Workers],TblCalculs[Cluster],$B34,TblCalculs[Mois],X$33))))</f>
        <v>10</v>
      </c>
      <c r="Y34" s="40">
        <f>IF(OR($A34="",Y$33=""),"",IF(ca_mesure="CPU",SUMIFS(TblCalculs[CPU provisionné],TblCalculs[Cluster],$B34,TblCalculs[Mois],Y$33),IF(ca_mesure="RAM",SUMIFS(TblCalculs[RAM provisionnée],TblCalculs[Cluster],$B34,TblCalculs[Mois],Y$33),SUMIFS(TblCalculs[Workers],TblCalculs[Cluster],$B34,TblCalculs[Mois],Y$33))))</f>
        <v>10</v>
      </c>
      <c r="Z34" s="40">
        <f>IF(OR($A34="",Z$33=""),"",IF(ca_mesure="CPU",SUMIFS(TblCalculs[CPU provisionné],TblCalculs[Cluster],$B34,TblCalculs[Mois],Z$33),IF(ca_mesure="RAM",SUMIFS(TblCalculs[RAM provisionnée],TblCalculs[Cluster],$B34,TblCalculs[Mois],Z$33),SUMIFS(TblCalculs[Workers],TblCalculs[Cluster],$B34,TblCalculs[Mois],Z$33))))</f>
        <v>10</v>
      </c>
      <c r="AA34" s="40">
        <f>IF(OR($A34="",AA$33=""),"",IF(ca_mesure="CPU",SUMIFS(TblCalculs[CPU provisionné],TblCalculs[Cluster],$B34,TblCalculs[Mois],AA$33),IF(ca_mesure="RAM",SUMIFS(TblCalculs[RAM provisionnée],TblCalculs[Cluster],$B34,TblCalculs[Mois],AA$33),SUMIFS(TblCalculs[Workers],TblCalculs[Cluster],$B34,TblCalculs[Mois],AA$33))))</f>
        <v>10</v>
      </c>
      <c r="AB34" s="40">
        <f>IF(OR($A34="",AB$33=""),"",IF(ca_mesure="CPU",SUMIFS(TblCalculs[CPU provisionné],TblCalculs[Cluster],$B34,TblCalculs[Mois],AB$33),IF(ca_mesure="RAM",SUMIFS(TblCalculs[RAM provisionnée],TblCalculs[Cluster],$B34,TblCalculs[Mois],AB$33),SUMIFS(TblCalculs[Workers],TblCalculs[Cluster],$B34,TblCalculs[Mois],AB$33))))</f>
        <v>10</v>
      </c>
      <c r="AC34" s="40">
        <f>IF(OR($A34="",AC$33=""),"",IF(ca_mesure="CPU",SUMIFS(TblCalculs[CPU provisionné],TblCalculs[Cluster],$B34,TblCalculs[Mois],AC$33),IF(ca_mesure="RAM",SUMIFS(TblCalculs[RAM provisionnée],TblCalculs[Cluster],$B34,TblCalculs[Mois],AC$33),SUMIFS(TblCalculs[Workers],TblCalculs[Cluster],$B34,TblCalculs[Mois],AC$33))))</f>
        <v>12</v>
      </c>
      <c r="AD34" s="40">
        <f>IF(OR($A34="",AD$33=""),"",IF(ca_mesure="CPU",SUMIFS(TblCalculs[CPU provisionné],TblCalculs[Cluster],$B34,TblCalculs[Mois],AD$33),IF(ca_mesure="RAM",SUMIFS(TblCalculs[RAM provisionnée],TblCalculs[Cluster],$B34,TblCalculs[Mois],AD$33),SUMIFS(TblCalculs[Workers],TblCalculs[Cluster],$B34,TblCalculs[Mois],AD$33))))</f>
        <v>12</v>
      </c>
      <c r="AE34" s="40">
        <f>IF(OR($A34="",AE$33=""),"",IF(ca_mesure="CPU",SUMIFS(TblCalculs[CPU provisionné],TblCalculs[Cluster],$B34,TblCalculs[Mois],AE$33),IF(ca_mesure="RAM",SUMIFS(TblCalculs[RAM provisionnée],TblCalculs[Cluster],$B34,TblCalculs[Mois],AE$33),SUMIFS(TblCalculs[Workers],TblCalculs[Cluster],$B34,TblCalculs[Mois],AE$33))))</f>
        <v>12</v>
      </c>
      <c r="AF34" s="40">
        <f>IF(OR($A34="",AF$33=""),"",IF(ca_mesure="CPU",SUMIFS(TblCalculs[CPU provisionné],TblCalculs[Cluster],$B34,TblCalculs[Mois],AF$33),IF(ca_mesure="RAM",SUMIFS(TblCalculs[RAM provisionnée],TblCalculs[Cluster],$B34,TblCalculs[Mois],AF$33),SUMIFS(TblCalculs[Workers],TblCalculs[Cluster],$B34,TblCalculs[Mois],AF$33))))</f>
        <v>12</v>
      </c>
      <c r="AG34" s="40">
        <f>IF(OR($A34="",AG$33=""),"",IF(ca_mesure="CPU",SUMIFS(TblCalculs[CPU provisionné],TblCalculs[Cluster],$B34,TblCalculs[Mois],AG$33),IF(ca_mesure="RAM",SUMIFS(TblCalculs[RAM provisionnée],TblCalculs[Cluster],$B34,TblCalculs[Mois],AG$33),SUMIFS(TblCalculs[Workers],TblCalculs[Cluster],$B34,TblCalculs[Mois],AG$33))))</f>
        <v>12</v>
      </c>
      <c r="AH34" s="40">
        <f>IF(OR($A34="",AH$33=""),"",IF(ca_mesure="CPU",SUMIFS(TblCalculs[CPU provisionné],TblCalculs[Cluster],$B34,TblCalculs[Mois],AH$33),IF(ca_mesure="RAM",SUMIFS(TblCalculs[RAM provisionnée],TblCalculs[Cluster],$B34,TblCalculs[Mois],AH$33),SUMIFS(TblCalculs[Workers],TblCalculs[Cluster],$B34,TblCalculs[Mois],AH$33))))</f>
        <v>12</v>
      </c>
      <c r="AI34" s="40">
        <f>IF(OR($A34="",AI$33=""),"",IF(ca_mesure="CPU",SUMIFS(TblCalculs[CPU provisionné],TblCalculs[Cluster],$B34,TblCalculs[Mois],AI$33),IF(ca_mesure="RAM",SUMIFS(TblCalculs[RAM provisionnée],TblCalculs[Cluster],$B34,TblCalculs[Mois],AI$33),SUMIFS(TblCalculs[Workers],TblCalculs[Cluster],$B34,TblCalculs[Mois],AI$33))))</f>
        <v>12</v>
      </c>
      <c r="AJ34" s="40">
        <f>IF(OR($A34="",AJ$33=""),"",IF(ca_mesure="CPU",SUMIFS(TblCalculs[CPU provisionné],TblCalculs[Cluster],$B34,TblCalculs[Mois],AJ$33),IF(ca_mesure="RAM",SUMIFS(TblCalculs[RAM provisionnée],TblCalculs[Cluster],$B34,TblCalculs[Mois],AJ$33),SUMIFS(TblCalculs[Workers],TblCalculs[Cluster],$B34,TblCalculs[Mois],AJ$33))))</f>
        <v>12</v>
      </c>
      <c r="AK34" s="40">
        <f>IF(OR($A34="",AK$33=""),"",IF(ca_mesure="CPU",SUMIFS(TblCalculs[CPU provisionné],TblCalculs[Cluster],$B34,TblCalculs[Mois],AK$33),IF(ca_mesure="RAM",SUMIFS(TblCalculs[RAM provisionnée],TblCalculs[Cluster],$B34,TblCalculs[Mois],AK$33),SUMIFS(TblCalculs[Workers],TblCalculs[Cluster],$B34,TblCalculs[Mois],AK$33))))</f>
        <v>12</v>
      </c>
      <c r="AL34" s="40">
        <f>IF(OR($A34="",AL$33=""),"",IF(ca_mesure="CPU",SUMIFS(TblCalculs[CPU provisionné],TblCalculs[Cluster],$B34,TblCalculs[Mois],AL$33),IF(ca_mesure="RAM",SUMIFS(TblCalculs[RAM provisionnée],TblCalculs[Cluster],$B34,TblCalculs[Mois],AL$33),SUMIFS(TblCalculs[Workers],TblCalculs[Cluster],$B34,TblCalculs[Mois],AL$33))))</f>
        <v>12</v>
      </c>
      <c r="AM34" s="40">
        <f>IF(OR($A34="",AM$33=""),"",IF(ca_mesure="CPU",SUMIFS(TblCalculs[CPU provisionné],TblCalculs[Cluster],$B34,TblCalculs[Mois],AM$33),IF(ca_mesure="RAM",SUMIFS(TblCalculs[RAM provisionnée],TblCalculs[Cluster],$B34,TblCalculs[Mois],AM$33),SUMIFS(TblCalculs[Workers],TblCalculs[Cluster],$B34,TblCalculs[Mois],AM$33))))</f>
        <v>12</v>
      </c>
      <c r="AN34" s="40">
        <f>IF(OR($A34="",AN$33=""),"",IF(ca_mesure="CPU",SUMIFS(TblCalculs[CPU provisionné],TblCalculs[Cluster],$B34,TblCalculs[Mois],AN$33),IF(ca_mesure="RAM",SUMIFS(TblCalculs[RAM provisionnée],TblCalculs[Cluster],$B34,TblCalculs[Mois],AN$33),SUMIFS(TblCalculs[Workers],TblCalculs[Cluster],$B34,TblCalculs[Mois],AN$33))))</f>
        <v>12</v>
      </c>
      <c r="AO34" s="40">
        <f>IF(OR($A34="",AO$33=""),"",IF(ca_mesure="CPU",SUMIFS(TblCalculs[CPU provisionné],TblCalculs[Cluster],$B34,TblCalculs[Mois],AO$33),IF(ca_mesure="RAM",SUMIFS(TblCalculs[RAM provisionnée],TblCalculs[Cluster],$B34,TblCalculs[Mois],AO$33),SUMIFS(TblCalculs[Workers],TblCalculs[Cluster],$B34,TblCalculs[Mois],AO$33))))</f>
        <v>12</v>
      </c>
    </row>
    <row r="35" spans="1:41" x14ac:dyDescent="0.2">
      <c r="A35" s="37">
        <f>IFERROR(MATCH(2,TblClusters[Rang capacités],0),"")</f>
        <v>2</v>
      </c>
      <c r="B35" s="38" t="str">
        <f>IF($A35="","",INDEX(TblClusters[Cluster],$A35))</f>
        <v>oc002i000578</v>
      </c>
      <c r="C35" s="39" t="str">
        <f>IF($A35="","",INDEX(TblClusters[Plateforme],$A35))</f>
        <v>ROKS</v>
      </c>
      <c r="D35" s="39" t="str">
        <f>IF($A35="","",INDEX(TblClusters[Environnement],$A35))</f>
        <v>NPRD</v>
      </c>
      <c r="E35" s="39" t="str">
        <f>IF($A35="","",INDEX(TblClusters[Flavor],$A35))</f>
        <v>cx3d.32x80</v>
      </c>
      <c r="F35" s="40">
        <f>IF(OR($A35="",F$33=""),"",IF(ca_mesure="CPU",SUMIFS(TblCalculs[CPU provisionné],TblCalculs[Cluster],$B35,TblCalculs[Mois],F$33),IF(ca_mesure="RAM",SUMIFS(TblCalculs[RAM provisionnée],TblCalculs[Cluster],$B35,TblCalculs[Mois],F$33),SUMIFS(TblCalculs[Workers],TblCalculs[Cluster],$B35,TblCalculs[Mois],F$33))))</f>
        <v>6</v>
      </c>
      <c r="G35" s="40">
        <f>IF(OR($A35="",G$33=""),"",IF(ca_mesure="CPU",SUMIFS(TblCalculs[CPU provisionné],TblCalculs[Cluster],$B35,TblCalculs[Mois],G$33),IF(ca_mesure="RAM",SUMIFS(TblCalculs[RAM provisionnée],TblCalculs[Cluster],$B35,TblCalculs[Mois],G$33),SUMIFS(TblCalculs[Workers],TblCalculs[Cluster],$B35,TblCalculs[Mois],G$33))))</f>
        <v>6</v>
      </c>
      <c r="H35" s="40">
        <f>IF(OR($A35="",H$33=""),"",IF(ca_mesure="CPU",SUMIFS(TblCalculs[CPU provisionné],TblCalculs[Cluster],$B35,TblCalculs[Mois],H$33),IF(ca_mesure="RAM",SUMIFS(TblCalculs[RAM provisionnée],TblCalculs[Cluster],$B35,TblCalculs[Mois],H$33),SUMIFS(TblCalculs[Workers],TblCalculs[Cluster],$B35,TblCalculs[Mois],H$33))))</f>
        <v>6</v>
      </c>
      <c r="I35" s="40">
        <f>IF(OR($A35="",I$33=""),"",IF(ca_mesure="CPU",SUMIFS(TblCalculs[CPU provisionné],TblCalculs[Cluster],$B35,TblCalculs[Mois],I$33),IF(ca_mesure="RAM",SUMIFS(TblCalculs[RAM provisionnée],TblCalculs[Cluster],$B35,TblCalculs[Mois],I$33),SUMIFS(TblCalculs[Workers],TblCalculs[Cluster],$B35,TblCalculs[Mois],I$33))))</f>
        <v>6</v>
      </c>
      <c r="J35" s="40">
        <f>IF(OR($A35="",J$33=""),"",IF(ca_mesure="CPU",SUMIFS(TblCalculs[CPU provisionné],TblCalculs[Cluster],$B35,TblCalculs[Mois],J$33),IF(ca_mesure="RAM",SUMIFS(TblCalculs[RAM provisionnée],TblCalculs[Cluster],$B35,TblCalculs[Mois],J$33),SUMIFS(TblCalculs[Workers],TblCalculs[Cluster],$B35,TblCalculs[Mois],J$33))))</f>
        <v>6</v>
      </c>
      <c r="K35" s="40">
        <f>IF(OR($A35="",K$33=""),"",IF(ca_mesure="CPU",SUMIFS(TblCalculs[CPU provisionné],TblCalculs[Cluster],$B35,TblCalculs[Mois],K$33),IF(ca_mesure="RAM",SUMIFS(TblCalculs[RAM provisionnée],TblCalculs[Cluster],$B35,TblCalculs[Mois],K$33),SUMIFS(TblCalculs[Workers],TblCalculs[Cluster],$B35,TblCalculs[Mois],K$33))))</f>
        <v>6</v>
      </c>
      <c r="L35" s="40">
        <f>IF(OR($A35="",L$33=""),"",IF(ca_mesure="CPU",SUMIFS(TblCalculs[CPU provisionné],TblCalculs[Cluster],$B35,TblCalculs[Mois],L$33),IF(ca_mesure="RAM",SUMIFS(TblCalculs[RAM provisionnée],TblCalculs[Cluster],$B35,TblCalculs[Mois],L$33),SUMIFS(TblCalculs[Workers],TblCalculs[Cluster],$B35,TblCalculs[Mois],L$33))))</f>
        <v>6</v>
      </c>
      <c r="M35" s="40">
        <f>IF(OR($A35="",M$33=""),"",IF(ca_mesure="CPU",SUMIFS(TblCalculs[CPU provisionné],TblCalculs[Cluster],$B35,TblCalculs[Mois],M$33),IF(ca_mesure="RAM",SUMIFS(TblCalculs[RAM provisionnée],TblCalculs[Cluster],$B35,TblCalculs[Mois],M$33),SUMIFS(TblCalculs[Workers],TblCalculs[Cluster],$B35,TblCalculs[Mois],M$33))))</f>
        <v>6</v>
      </c>
      <c r="N35" s="40">
        <f>IF(OR($A35="",N$33=""),"",IF(ca_mesure="CPU",SUMIFS(TblCalculs[CPU provisionné],TblCalculs[Cluster],$B35,TblCalculs[Mois],N$33),IF(ca_mesure="RAM",SUMIFS(TblCalculs[RAM provisionnée],TblCalculs[Cluster],$B35,TblCalculs[Mois],N$33),SUMIFS(TblCalculs[Workers],TblCalculs[Cluster],$B35,TblCalculs[Mois],N$33))))</f>
        <v>6</v>
      </c>
      <c r="O35" s="40">
        <f>IF(OR($A35="",O$33=""),"",IF(ca_mesure="CPU",SUMIFS(TblCalculs[CPU provisionné],TblCalculs[Cluster],$B35,TblCalculs[Mois],O$33),IF(ca_mesure="RAM",SUMIFS(TblCalculs[RAM provisionnée],TblCalculs[Cluster],$B35,TblCalculs[Mois],O$33),SUMIFS(TblCalculs[Workers],TblCalculs[Cluster],$B35,TblCalculs[Mois],O$33))))</f>
        <v>6</v>
      </c>
      <c r="P35" s="40">
        <f>IF(OR($A35="",P$33=""),"",IF(ca_mesure="CPU",SUMIFS(TblCalculs[CPU provisionné],TblCalculs[Cluster],$B35,TblCalculs[Mois],P$33),IF(ca_mesure="RAM",SUMIFS(TblCalculs[RAM provisionnée],TblCalculs[Cluster],$B35,TblCalculs[Mois],P$33),SUMIFS(TblCalculs[Workers],TblCalculs[Cluster],$B35,TblCalculs[Mois],P$33))))</f>
        <v>6</v>
      </c>
      <c r="Q35" s="40">
        <f>IF(OR($A35="",Q$33=""),"",IF(ca_mesure="CPU",SUMIFS(TblCalculs[CPU provisionné],TblCalculs[Cluster],$B35,TblCalculs[Mois],Q$33),IF(ca_mesure="RAM",SUMIFS(TblCalculs[RAM provisionnée],TblCalculs[Cluster],$B35,TblCalculs[Mois],Q$33),SUMIFS(TblCalculs[Workers],TblCalculs[Cluster],$B35,TblCalculs[Mois],Q$33))))</f>
        <v>6</v>
      </c>
      <c r="R35" s="40">
        <f>IF(OR($A35="",R$33=""),"",IF(ca_mesure="CPU",SUMIFS(TblCalculs[CPU provisionné],TblCalculs[Cluster],$B35,TblCalculs[Mois],R$33),IF(ca_mesure="RAM",SUMIFS(TblCalculs[RAM provisionnée],TblCalculs[Cluster],$B35,TblCalculs[Mois],R$33),SUMIFS(TblCalculs[Workers],TblCalculs[Cluster],$B35,TblCalculs[Mois],R$33))))</f>
        <v>6</v>
      </c>
      <c r="S35" s="40">
        <f>IF(OR($A35="",S$33=""),"",IF(ca_mesure="CPU",SUMIFS(TblCalculs[CPU provisionné],TblCalculs[Cluster],$B35,TblCalculs[Mois],S$33),IF(ca_mesure="RAM",SUMIFS(TblCalculs[RAM provisionnée],TblCalculs[Cluster],$B35,TblCalculs[Mois],S$33),SUMIFS(TblCalculs[Workers],TblCalculs[Cluster],$B35,TblCalculs[Mois],S$33))))</f>
        <v>6</v>
      </c>
      <c r="T35" s="40">
        <f>IF(OR($A35="",T$33=""),"",IF(ca_mesure="CPU",SUMIFS(TblCalculs[CPU provisionné],TblCalculs[Cluster],$B35,TblCalculs[Mois],T$33),IF(ca_mesure="RAM",SUMIFS(TblCalculs[RAM provisionnée],TblCalculs[Cluster],$B35,TblCalculs[Mois],T$33),SUMIFS(TblCalculs[Workers],TblCalculs[Cluster],$B35,TblCalculs[Mois],T$33))))</f>
        <v>6</v>
      </c>
      <c r="U35" s="40">
        <f>IF(OR($A35="",U$33=""),"",IF(ca_mesure="CPU",SUMIFS(TblCalculs[CPU provisionné],TblCalculs[Cluster],$B35,TblCalculs[Mois],U$33),IF(ca_mesure="RAM",SUMIFS(TblCalculs[RAM provisionnée],TblCalculs[Cluster],$B35,TblCalculs[Mois],U$33),SUMIFS(TblCalculs[Workers],TblCalculs[Cluster],$B35,TblCalculs[Mois],U$33))))</f>
        <v>6</v>
      </c>
      <c r="V35" s="40">
        <f>IF(OR($A35="",V$33=""),"",IF(ca_mesure="CPU",SUMIFS(TblCalculs[CPU provisionné],TblCalculs[Cluster],$B35,TblCalculs[Mois],V$33),IF(ca_mesure="RAM",SUMIFS(TblCalculs[RAM provisionnée],TblCalculs[Cluster],$B35,TblCalculs[Mois],V$33),SUMIFS(TblCalculs[Workers],TblCalculs[Cluster],$B35,TblCalculs[Mois],V$33))))</f>
        <v>6</v>
      </c>
      <c r="W35" s="40">
        <f>IF(OR($A35="",W$33=""),"",IF(ca_mesure="CPU",SUMIFS(TblCalculs[CPU provisionné],TblCalculs[Cluster],$B35,TblCalculs[Mois],W$33),IF(ca_mesure="RAM",SUMIFS(TblCalculs[RAM provisionnée],TblCalculs[Cluster],$B35,TblCalculs[Mois],W$33),SUMIFS(TblCalculs[Workers],TblCalculs[Cluster],$B35,TblCalculs[Mois],W$33))))</f>
        <v>6</v>
      </c>
      <c r="X35" s="40">
        <f>IF(OR($A35="",X$33=""),"",IF(ca_mesure="CPU",SUMIFS(TblCalculs[CPU provisionné],TblCalculs[Cluster],$B35,TblCalculs[Mois],X$33),IF(ca_mesure="RAM",SUMIFS(TblCalculs[RAM provisionnée],TblCalculs[Cluster],$B35,TblCalculs[Mois],X$33),SUMIFS(TblCalculs[Workers],TblCalculs[Cluster],$B35,TblCalculs[Mois],X$33))))</f>
        <v>6</v>
      </c>
      <c r="Y35" s="40">
        <f>IF(OR($A35="",Y$33=""),"",IF(ca_mesure="CPU",SUMIFS(TblCalculs[CPU provisionné],TblCalculs[Cluster],$B35,TblCalculs[Mois],Y$33),IF(ca_mesure="RAM",SUMIFS(TblCalculs[RAM provisionnée],TblCalculs[Cluster],$B35,TblCalculs[Mois],Y$33),SUMIFS(TblCalculs[Workers],TblCalculs[Cluster],$B35,TblCalculs[Mois],Y$33))))</f>
        <v>6</v>
      </c>
      <c r="Z35" s="40">
        <f>IF(OR($A35="",Z$33=""),"",IF(ca_mesure="CPU",SUMIFS(TblCalculs[CPU provisionné],TblCalculs[Cluster],$B35,TblCalculs[Mois],Z$33),IF(ca_mesure="RAM",SUMIFS(TblCalculs[RAM provisionnée],TblCalculs[Cluster],$B35,TblCalculs[Mois],Z$33),SUMIFS(TblCalculs[Workers],TblCalculs[Cluster],$B35,TblCalculs[Mois],Z$33))))</f>
        <v>6</v>
      </c>
      <c r="AA35" s="40">
        <f>IF(OR($A35="",AA$33=""),"",IF(ca_mesure="CPU",SUMIFS(TblCalculs[CPU provisionné],TblCalculs[Cluster],$B35,TblCalculs[Mois],AA$33),IF(ca_mesure="RAM",SUMIFS(TblCalculs[RAM provisionnée],TblCalculs[Cluster],$B35,TblCalculs[Mois],AA$33),SUMIFS(TblCalculs[Workers],TblCalculs[Cluster],$B35,TblCalculs[Mois],AA$33))))</f>
        <v>6</v>
      </c>
      <c r="AB35" s="40">
        <f>IF(OR($A35="",AB$33=""),"",IF(ca_mesure="CPU",SUMIFS(TblCalculs[CPU provisionné],TblCalculs[Cluster],$B35,TblCalculs[Mois],AB$33),IF(ca_mesure="RAM",SUMIFS(TblCalculs[RAM provisionnée],TblCalculs[Cluster],$B35,TblCalculs[Mois],AB$33),SUMIFS(TblCalculs[Workers],TblCalculs[Cluster],$B35,TblCalculs[Mois],AB$33))))</f>
        <v>6</v>
      </c>
      <c r="AC35" s="40">
        <f>IF(OR($A35="",AC$33=""),"",IF(ca_mesure="CPU",SUMIFS(TblCalculs[CPU provisionné],TblCalculs[Cluster],$B35,TblCalculs[Mois],AC$33),IF(ca_mesure="RAM",SUMIFS(TblCalculs[RAM provisionnée],TblCalculs[Cluster],$B35,TblCalculs[Mois],AC$33),SUMIFS(TblCalculs[Workers],TblCalculs[Cluster],$B35,TblCalculs[Mois],AC$33))))</f>
        <v>6</v>
      </c>
      <c r="AD35" s="40">
        <f>IF(OR($A35="",AD$33=""),"",IF(ca_mesure="CPU",SUMIFS(TblCalculs[CPU provisionné],TblCalculs[Cluster],$B35,TblCalculs[Mois],AD$33),IF(ca_mesure="RAM",SUMIFS(TblCalculs[RAM provisionnée],TblCalculs[Cluster],$B35,TblCalculs[Mois],AD$33),SUMIFS(TblCalculs[Workers],TblCalculs[Cluster],$B35,TblCalculs[Mois],AD$33))))</f>
        <v>6</v>
      </c>
      <c r="AE35" s="40">
        <f>IF(OR($A35="",AE$33=""),"",IF(ca_mesure="CPU",SUMIFS(TblCalculs[CPU provisionné],TblCalculs[Cluster],$B35,TblCalculs[Mois],AE$33),IF(ca_mesure="RAM",SUMIFS(TblCalculs[RAM provisionnée],TblCalculs[Cluster],$B35,TblCalculs[Mois],AE$33),SUMIFS(TblCalculs[Workers],TblCalculs[Cluster],$B35,TblCalculs[Mois],AE$33))))</f>
        <v>6</v>
      </c>
      <c r="AF35" s="40">
        <f>IF(OR($A35="",AF$33=""),"",IF(ca_mesure="CPU",SUMIFS(TblCalculs[CPU provisionné],TblCalculs[Cluster],$B35,TblCalculs[Mois],AF$33),IF(ca_mesure="RAM",SUMIFS(TblCalculs[RAM provisionnée],TblCalculs[Cluster],$B35,TblCalculs[Mois],AF$33),SUMIFS(TblCalculs[Workers],TblCalculs[Cluster],$B35,TblCalculs[Mois],AF$33))))</f>
        <v>6</v>
      </c>
      <c r="AG35" s="40">
        <f>IF(OR($A35="",AG$33=""),"",IF(ca_mesure="CPU",SUMIFS(TblCalculs[CPU provisionné],TblCalculs[Cluster],$B35,TblCalculs[Mois],AG$33),IF(ca_mesure="RAM",SUMIFS(TblCalculs[RAM provisionnée],TblCalculs[Cluster],$B35,TblCalculs[Mois],AG$33),SUMIFS(TblCalculs[Workers],TblCalculs[Cluster],$B35,TblCalculs[Mois],AG$33))))</f>
        <v>6</v>
      </c>
      <c r="AH35" s="40">
        <f>IF(OR($A35="",AH$33=""),"",IF(ca_mesure="CPU",SUMIFS(TblCalculs[CPU provisionné],TblCalculs[Cluster],$B35,TblCalculs[Mois],AH$33),IF(ca_mesure="RAM",SUMIFS(TblCalculs[RAM provisionnée],TblCalculs[Cluster],$B35,TblCalculs[Mois],AH$33),SUMIFS(TblCalculs[Workers],TblCalculs[Cluster],$B35,TblCalculs[Mois],AH$33))))</f>
        <v>6</v>
      </c>
      <c r="AI35" s="40">
        <f>IF(OR($A35="",AI$33=""),"",IF(ca_mesure="CPU",SUMIFS(TblCalculs[CPU provisionné],TblCalculs[Cluster],$B35,TblCalculs[Mois],AI$33),IF(ca_mesure="RAM",SUMIFS(TblCalculs[RAM provisionnée],TblCalculs[Cluster],$B35,TblCalculs[Mois],AI$33),SUMIFS(TblCalculs[Workers],TblCalculs[Cluster],$B35,TblCalculs[Mois],AI$33))))</f>
        <v>6</v>
      </c>
      <c r="AJ35" s="40">
        <f>IF(OR($A35="",AJ$33=""),"",IF(ca_mesure="CPU",SUMIFS(TblCalculs[CPU provisionné],TblCalculs[Cluster],$B35,TblCalculs[Mois],AJ$33),IF(ca_mesure="RAM",SUMIFS(TblCalculs[RAM provisionnée],TblCalculs[Cluster],$B35,TblCalculs[Mois],AJ$33),SUMIFS(TblCalculs[Workers],TblCalculs[Cluster],$B35,TblCalculs[Mois],AJ$33))))</f>
        <v>6</v>
      </c>
      <c r="AK35" s="40">
        <f>IF(OR($A35="",AK$33=""),"",IF(ca_mesure="CPU",SUMIFS(TblCalculs[CPU provisionné],TblCalculs[Cluster],$B35,TblCalculs[Mois],AK$33),IF(ca_mesure="RAM",SUMIFS(TblCalculs[RAM provisionnée],TblCalculs[Cluster],$B35,TblCalculs[Mois],AK$33),SUMIFS(TblCalculs[Workers],TblCalculs[Cluster],$B35,TblCalculs[Mois],AK$33))))</f>
        <v>6</v>
      </c>
      <c r="AL35" s="40">
        <f>IF(OR($A35="",AL$33=""),"",IF(ca_mesure="CPU",SUMIFS(TblCalculs[CPU provisionné],TblCalculs[Cluster],$B35,TblCalculs[Mois],AL$33),IF(ca_mesure="RAM",SUMIFS(TblCalculs[RAM provisionnée],TblCalculs[Cluster],$B35,TblCalculs[Mois],AL$33),SUMIFS(TblCalculs[Workers],TblCalculs[Cluster],$B35,TblCalculs[Mois],AL$33))))</f>
        <v>6</v>
      </c>
      <c r="AM35" s="40">
        <f>IF(OR($A35="",AM$33=""),"",IF(ca_mesure="CPU",SUMIFS(TblCalculs[CPU provisionné],TblCalculs[Cluster],$B35,TblCalculs[Mois],AM$33),IF(ca_mesure="RAM",SUMIFS(TblCalculs[RAM provisionnée],TblCalculs[Cluster],$B35,TblCalculs[Mois],AM$33),SUMIFS(TblCalculs[Workers],TblCalculs[Cluster],$B35,TblCalculs[Mois],AM$33))))</f>
        <v>6</v>
      </c>
      <c r="AN35" s="40">
        <f>IF(OR($A35="",AN$33=""),"",IF(ca_mesure="CPU",SUMIFS(TblCalculs[CPU provisionné],TblCalculs[Cluster],$B35,TblCalculs[Mois],AN$33),IF(ca_mesure="RAM",SUMIFS(TblCalculs[RAM provisionnée],TblCalculs[Cluster],$B35,TblCalculs[Mois],AN$33),SUMIFS(TblCalculs[Workers],TblCalculs[Cluster],$B35,TblCalculs[Mois],AN$33))))</f>
        <v>6</v>
      </c>
      <c r="AO35" s="40">
        <f>IF(OR($A35="",AO$33=""),"",IF(ca_mesure="CPU",SUMIFS(TblCalculs[CPU provisionné],TblCalculs[Cluster],$B35,TblCalculs[Mois],AO$33),IF(ca_mesure="RAM",SUMIFS(TblCalculs[RAM provisionnée],TblCalculs[Cluster],$B35,TblCalculs[Mois],AO$33),SUMIFS(TblCalculs[Workers],TblCalculs[Cluster],$B35,TblCalculs[Mois],AO$33))))</f>
        <v>6</v>
      </c>
    </row>
    <row r="36" spans="1:41" x14ac:dyDescent="0.2">
      <c r="A36" s="37">
        <f>IFERROR(MATCH(3,TblClusters[Rang capacités],0),"")</f>
        <v>3</v>
      </c>
      <c r="B36" s="38" t="str">
        <f>IF($A36="","",INDEX(TblClusters[Cluster],$A36))</f>
        <v>oc002i000807</v>
      </c>
      <c r="C36" s="39" t="str">
        <f>IF($A36="","",INDEX(TblClusters[Plateforme],$A36))</f>
        <v>ROKS</v>
      </c>
      <c r="D36" s="39" t="str">
        <f>IF($A36="","",INDEX(TblClusters[Environnement],$A36))</f>
        <v>NPRD</v>
      </c>
      <c r="E36" s="39" t="str">
        <f>IF($A36="","",INDEX(TblClusters[Flavor],$A36))</f>
        <v>bx3d.16x80</v>
      </c>
      <c r="F36" s="40">
        <f>IF(OR($A36="",F$33=""),"",IF(ca_mesure="CPU",SUMIFS(TblCalculs[CPU provisionné],TblCalculs[Cluster],$B36,TblCalculs[Mois],F$33),IF(ca_mesure="RAM",SUMIFS(TblCalculs[RAM provisionnée],TblCalculs[Cluster],$B36,TblCalculs[Mois],F$33),SUMIFS(TblCalculs[Workers],TblCalculs[Cluster],$B36,TblCalculs[Mois],F$33))))</f>
        <v>6</v>
      </c>
      <c r="G36" s="40">
        <f>IF(OR($A36="",G$33=""),"",IF(ca_mesure="CPU",SUMIFS(TblCalculs[CPU provisionné],TblCalculs[Cluster],$B36,TblCalculs[Mois],G$33),IF(ca_mesure="RAM",SUMIFS(TblCalculs[RAM provisionnée],TblCalculs[Cluster],$B36,TblCalculs[Mois],G$33),SUMIFS(TblCalculs[Workers],TblCalculs[Cluster],$B36,TblCalculs[Mois],G$33))))</f>
        <v>6</v>
      </c>
      <c r="H36" s="40">
        <f>IF(OR($A36="",H$33=""),"",IF(ca_mesure="CPU",SUMIFS(TblCalculs[CPU provisionné],TblCalculs[Cluster],$B36,TblCalculs[Mois],H$33),IF(ca_mesure="RAM",SUMIFS(TblCalculs[RAM provisionnée],TblCalculs[Cluster],$B36,TblCalculs[Mois],H$33),SUMIFS(TblCalculs[Workers],TblCalculs[Cluster],$B36,TblCalculs[Mois],H$33))))</f>
        <v>6</v>
      </c>
      <c r="I36" s="40">
        <f>IF(OR($A36="",I$33=""),"",IF(ca_mesure="CPU",SUMIFS(TblCalculs[CPU provisionné],TblCalculs[Cluster],$B36,TblCalculs[Mois],I$33),IF(ca_mesure="RAM",SUMIFS(TblCalculs[RAM provisionnée],TblCalculs[Cluster],$B36,TblCalculs[Mois],I$33),SUMIFS(TblCalculs[Workers],TblCalculs[Cluster],$B36,TblCalculs[Mois],I$33))))</f>
        <v>6</v>
      </c>
      <c r="J36" s="40">
        <f>IF(OR($A36="",J$33=""),"",IF(ca_mesure="CPU",SUMIFS(TblCalculs[CPU provisionné],TblCalculs[Cluster],$B36,TblCalculs[Mois],J$33),IF(ca_mesure="RAM",SUMIFS(TblCalculs[RAM provisionnée],TblCalculs[Cluster],$B36,TblCalculs[Mois],J$33),SUMIFS(TblCalculs[Workers],TblCalculs[Cluster],$B36,TblCalculs[Mois],J$33))))</f>
        <v>6</v>
      </c>
      <c r="K36" s="40">
        <f>IF(OR($A36="",K$33=""),"",IF(ca_mesure="CPU",SUMIFS(TblCalculs[CPU provisionné],TblCalculs[Cluster],$B36,TblCalculs[Mois],K$33),IF(ca_mesure="RAM",SUMIFS(TblCalculs[RAM provisionnée],TblCalculs[Cluster],$B36,TblCalculs[Mois],K$33),SUMIFS(TblCalculs[Workers],TblCalculs[Cluster],$B36,TblCalculs[Mois],K$33))))</f>
        <v>6</v>
      </c>
      <c r="L36" s="40">
        <f>IF(OR($A36="",L$33=""),"",IF(ca_mesure="CPU",SUMIFS(TblCalculs[CPU provisionné],TblCalculs[Cluster],$B36,TblCalculs[Mois],L$33),IF(ca_mesure="RAM",SUMIFS(TblCalculs[RAM provisionnée],TblCalculs[Cluster],$B36,TblCalculs[Mois],L$33),SUMIFS(TblCalculs[Workers],TblCalculs[Cluster],$B36,TblCalculs[Mois],L$33))))</f>
        <v>6</v>
      </c>
      <c r="M36" s="40">
        <f>IF(OR($A36="",M$33=""),"",IF(ca_mesure="CPU",SUMIFS(TblCalculs[CPU provisionné],TblCalculs[Cluster],$B36,TblCalculs[Mois],M$33),IF(ca_mesure="RAM",SUMIFS(TblCalculs[RAM provisionnée],TblCalculs[Cluster],$B36,TblCalculs[Mois],M$33),SUMIFS(TblCalculs[Workers],TblCalculs[Cluster],$B36,TblCalculs[Mois],M$33))))</f>
        <v>6</v>
      </c>
      <c r="N36" s="40">
        <f>IF(OR($A36="",N$33=""),"",IF(ca_mesure="CPU",SUMIFS(TblCalculs[CPU provisionné],TblCalculs[Cluster],$B36,TblCalculs[Mois],N$33),IF(ca_mesure="RAM",SUMIFS(TblCalculs[RAM provisionnée],TblCalculs[Cluster],$B36,TblCalculs[Mois],N$33),SUMIFS(TblCalculs[Workers],TblCalculs[Cluster],$B36,TblCalculs[Mois],N$33))))</f>
        <v>6</v>
      </c>
      <c r="O36" s="40">
        <f>IF(OR($A36="",O$33=""),"",IF(ca_mesure="CPU",SUMIFS(TblCalculs[CPU provisionné],TblCalculs[Cluster],$B36,TblCalculs[Mois],O$33),IF(ca_mesure="RAM",SUMIFS(TblCalculs[RAM provisionnée],TblCalculs[Cluster],$B36,TblCalculs[Mois],O$33),SUMIFS(TblCalculs[Workers],TblCalculs[Cluster],$B36,TblCalculs[Mois],O$33))))</f>
        <v>6</v>
      </c>
      <c r="P36" s="40">
        <f>IF(OR($A36="",P$33=""),"",IF(ca_mesure="CPU",SUMIFS(TblCalculs[CPU provisionné],TblCalculs[Cluster],$B36,TblCalculs[Mois],P$33),IF(ca_mesure="RAM",SUMIFS(TblCalculs[RAM provisionnée],TblCalculs[Cluster],$B36,TblCalculs[Mois],P$33),SUMIFS(TblCalculs[Workers],TblCalculs[Cluster],$B36,TblCalculs[Mois],P$33))))</f>
        <v>6</v>
      </c>
      <c r="Q36" s="40">
        <f>IF(OR($A36="",Q$33=""),"",IF(ca_mesure="CPU",SUMIFS(TblCalculs[CPU provisionné],TblCalculs[Cluster],$B36,TblCalculs[Mois],Q$33),IF(ca_mesure="RAM",SUMIFS(TblCalculs[RAM provisionnée],TblCalculs[Cluster],$B36,TblCalculs[Mois],Q$33),SUMIFS(TblCalculs[Workers],TblCalculs[Cluster],$B36,TblCalculs[Mois],Q$33))))</f>
        <v>6</v>
      </c>
      <c r="R36" s="40">
        <f>IF(OR($A36="",R$33=""),"",IF(ca_mesure="CPU",SUMIFS(TblCalculs[CPU provisionné],TblCalculs[Cluster],$B36,TblCalculs[Mois],R$33),IF(ca_mesure="RAM",SUMIFS(TblCalculs[RAM provisionnée],TblCalculs[Cluster],$B36,TblCalculs[Mois],R$33),SUMIFS(TblCalculs[Workers],TblCalculs[Cluster],$B36,TblCalculs[Mois],R$33))))</f>
        <v>6</v>
      </c>
      <c r="S36" s="40">
        <f>IF(OR($A36="",S$33=""),"",IF(ca_mesure="CPU",SUMIFS(TblCalculs[CPU provisionné],TblCalculs[Cluster],$B36,TblCalculs[Mois],S$33),IF(ca_mesure="RAM",SUMIFS(TblCalculs[RAM provisionnée],TblCalculs[Cluster],$B36,TblCalculs[Mois],S$33),SUMIFS(TblCalculs[Workers],TblCalculs[Cluster],$B36,TblCalculs[Mois],S$33))))</f>
        <v>6</v>
      </c>
      <c r="T36" s="40">
        <f>IF(OR($A36="",T$33=""),"",IF(ca_mesure="CPU",SUMIFS(TblCalculs[CPU provisionné],TblCalculs[Cluster],$B36,TblCalculs[Mois],T$33),IF(ca_mesure="RAM",SUMIFS(TblCalculs[RAM provisionnée],TblCalculs[Cluster],$B36,TblCalculs[Mois],T$33),SUMIFS(TblCalculs[Workers],TblCalculs[Cluster],$B36,TblCalculs[Mois],T$33))))</f>
        <v>6</v>
      </c>
      <c r="U36" s="40">
        <f>IF(OR($A36="",U$33=""),"",IF(ca_mesure="CPU",SUMIFS(TblCalculs[CPU provisionné],TblCalculs[Cluster],$B36,TblCalculs[Mois],U$33),IF(ca_mesure="RAM",SUMIFS(TblCalculs[RAM provisionnée],TblCalculs[Cluster],$B36,TblCalculs[Mois],U$33),SUMIFS(TblCalculs[Workers],TblCalculs[Cluster],$B36,TblCalculs[Mois],U$33))))</f>
        <v>6</v>
      </c>
      <c r="V36" s="40">
        <f>IF(OR($A36="",V$33=""),"",IF(ca_mesure="CPU",SUMIFS(TblCalculs[CPU provisionné],TblCalculs[Cluster],$B36,TblCalculs[Mois],V$33),IF(ca_mesure="RAM",SUMIFS(TblCalculs[RAM provisionnée],TblCalculs[Cluster],$B36,TblCalculs[Mois],V$33),SUMIFS(TblCalculs[Workers],TblCalculs[Cluster],$B36,TblCalculs[Mois],V$33))))</f>
        <v>6</v>
      </c>
      <c r="W36" s="40">
        <f>IF(OR($A36="",W$33=""),"",IF(ca_mesure="CPU",SUMIFS(TblCalculs[CPU provisionné],TblCalculs[Cluster],$B36,TblCalculs[Mois],W$33),IF(ca_mesure="RAM",SUMIFS(TblCalculs[RAM provisionnée],TblCalculs[Cluster],$B36,TblCalculs[Mois],W$33),SUMIFS(TblCalculs[Workers],TblCalculs[Cluster],$B36,TblCalculs[Mois],W$33))))</f>
        <v>6</v>
      </c>
      <c r="X36" s="40">
        <f>IF(OR($A36="",X$33=""),"",IF(ca_mesure="CPU",SUMIFS(TblCalculs[CPU provisionné],TblCalculs[Cluster],$B36,TblCalculs[Mois],X$33),IF(ca_mesure="RAM",SUMIFS(TblCalculs[RAM provisionnée],TblCalculs[Cluster],$B36,TblCalculs[Mois],X$33),SUMIFS(TblCalculs[Workers],TblCalculs[Cluster],$B36,TblCalculs[Mois],X$33))))</f>
        <v>6</v>
      </c>
      <c r="Y36" s="40">
        <f>IF(OR($A36="",Y$33=""),"",IF(ca_mesure="CPU",SUMIFS(TblCalculs[CPU provisionné],TblCalculs[Cluster],$B36,TblCalculs[Mois],Y$33),IF(ca_mesure="RAM",SUMIFS(TblCalculs[RAM provisionnée],TblCalculs[Cluster],$B36,TblCalculs[Mois],Y$33),SUMIFS(TblCalculs[Workers],TblCalculs[Cluster],$B36,TblCalculs[Mois],Y$33))))</f>
        <v>6</v>
      </c>
      <c r="Z36" s="40">
        <f>IF(OR($A36="",Z$33=""),"",IF(ca_mesure="CPU",SUMIFS(TblCalculs[CPU provisionné],TblCalculs[Cluster],$B36,TblCalculs[Mois],Z$33),IF(ca_mesure="RAM",SUMIFS(TblCalculs[RAM provisionnée],TblCalculs[Cluster],$B36,TblCalculs[Mois],Z$33),SUMIFS(TblCalculs[Workers],TblCalculs[Cluster],$B36,TblCalculs[Mois],Z$33))))</f>
        <v>6</v>
      </c>
      <c r="AA36" s="40">
        <f>IF(OR($A36="",AA$33=""),"",IF(ca_mesure="CPU",SUMIFS(TblCalculs[CPU provisionné],TblCalculs[Cluster],$B36,TblCalculs[Mois],AA$33),IF(ca_mesure="RAM",SUMIFS(TblCalculs[RAM provisionnée],TblCalculs[Cluster],$B36,TblCalculs[Mois],AA$33),SUMIFS(TblCalculs[Workers],TblCalculs[Cluster],$B36,TblCalculs[Mois],AA$33))))</f>
        <v>6</v>
      </c>
      <c r="AB36" s="40">
        <f>IF(OR($A36="",AB$33=""),"",IF(ca_mesure="CPU",SUMIFS(TblCalculs[CPU provisionné],TblCalculs[Cluster],$B36,TblCalculs[Mois],AB$33),IF(ca_mesure="RAM",SUMIFS(TblCalculs[RAM provisionnée],TblCalculs[Cluster],$B36,TblCalculs[Mois],AB$33),SUMIFS(TblCalculs[Workers],TblCalculs[Cluster],$B36,TblCalculs[Mois],AB$33))))</f>
        <v>6</v>
      </c>
      <c r="AC36" s="40">
        <f>IF(OR($A36="",AC$33=""),"",IF(ca_mesure="CPU",SUMIFS(TblCalculs[CPU provisionné],TblCalculs[Cluster],$B36,TblCalculs[Mois],AC$33),IF(ca_mesure="RAM",SUMIFS(TblCalculs[RAM provisionnée],TblCalculs[Cluster],$B36,TblCalculs[Mois],AC$33),SUMIFS(TblCalculs[Workers],TblCalculs[Cluster],$B36,TblCalculs[Mois],AC$33))))</f>
        <v>6</v>
      </c>
      <c r="AD36" s="40">
        <f>IF(OR($A36="",AD$33=""),"",IF(ca_mesure="CPU",SUMIFS(TblCalculs[CPU provisionné],TblCalculs[Cluster],$B36,TblCalculs[Mois],AD$33),IF(ca_mesure="RAM",SUMIFS(TblCalculs[RAM provisionnée],TblCalculs[Cluster],$B36,TblCalculs[Mois],AD$33),SUMIFS(TblCalculs[Workers],TblCalculs[Cluster],$B36,TblCalculs[Mois],AD$33))))</f>
        <v>6</v>
      </c>
      <c r="AE36" s="40">
        <f>IF(OR($A36="",AE$33=""),"",IF(ca_mesure="CPU",SUMIFS(TblCalculs[CPU provisionné],TblCalculs[Cluster],$B36,TblCalculs[Mois],AE$33),IF(ca_mesure="RAM",SUMIFS(TblCalculs[RAM provisionnée],TblCalculs[Cluster],$B36,TblCalculs[Mois],AE$33),SUMIFS(TblCalculs[Workers],TblCalculs[Cluster],$B36,TblCalculs[Mois],AE$33))))</f>
        <v>6</v>
      </c>
      <c r="AF36" s="40">
        <f>IF(OR($A36="",AF$33=""),"",IF(ca_mesure="CPU",SUMIFS(TblCalculs[CPU provisionné],TblCalculs[Cluster],$B36,TblCalculs[Mois],AF$33),IF(ca_mesure="RAM",SUMIFS(TblCalculs[RAM provisionnée],TblCalculs[Cluster],$B36,TblCalculs[Mois],AF$33),SUMIFS(TblCalculs[Workers],TblCalculs[Cluster],$B36,TblCalculs[Mois],AF$33))))</f>
        <v>6</v>
      </c>
      <c r="AG36" s="40">
        <f>IF(OR($A36="",AG$33=""),"",IF(ca_mesure="CPU",SUMIFS(TblCalculs[CPU provisionné],TblCalculs[Cluster],$B36,TblCalculs[Mois],AG$33),IF(ca_mesure="RAM",SUMIFS(TblCalculs[RAM provisionnée],TblCalculs[Cluster],$B36,TblCalculs[Mois],AG$33),SUMIFS(TblCalculs[Workers],TblCalculs[Cluster],$B36,TblCalculs[Mois],AG$33))))</f>
        <v>6</v>
      </c>
      <c r="AH36" s="40">
        <f>IF(OR($A36="",AH$33=""),"",IF(ca_mesure="CPU",SUMIFS(TblCalculs[CPU provisionné],TblCalculs[Cluster],$B36,TblCalculs[Mois],AH$33),IF(ca_mesure="RAM",SUMIFS(TblCalculs[RAM provisionnée],TblCalculs[Cluster],$B36,TblCalculs[Mois],AH$33),SUMIFS(TblCalculs[Workers],TblCalculs[Cluster],$B36,TblCalculs[Mois],AH$33))))</f>
        <v>6</v>
      </c>
      <c r="AI36" s="40">
        <f>IF(OR($A36="",AI$33=""),"",IF(ca_mesure="CPU",SUMIFS(TblCalculs[CPU provisionné],TblCalculs[Cluster],$B36,TblCalculs[Mois],AI$33),IF(ca_mesure="RAM",SUMIFS(TblCalculs[RAM provisionnée],TblCalculs[Cluster],$B36,TblCalculs[Mois],AI$33),SUMIFS(TblCalculs[Workers],TblCalculs[Cluster],$B36,TblCalculs[Mois],AI$33))))</f>
        <v>6</v>
      </c>
      <c r="AJ36" s="40">
        <f>IF(OR($A36="",AJ$33=""),"",IF(ca_mesure="CPU",SUMIFS(TblCalculs[CPU provisionné],TblCalculs[Cluster],$B36,TblCalculs[Mois],AJ$33),IF(ca_mesure="RAM",SUMIFS(TblCalculs[RAM provisionnée],TblCalculs[Cluster],$B36,TblCalculs[Mois],AJ$33),SUMIFS(TblCalculs[Workers],TblCalculs[Cluster],$B36,TblCalculs[Mois],AJ$33))))</f>
        <v>6</v>
      </c>
      <c r="AK36" s="40">
        <f>IF(OR($A36="",AK$33=""),"",IF(ca_mesure="CPU",SUMIFS(TblCalculs[CPU provisionné],TblCalculs[Cluster],$B36,TblCalculs[Mois],AK$33),IF(ca_mesure="RAM",SUMIFS(TblCalculs[RAM provisionnée],TblCalculs[Cluster],$B36,TblCalculs[Mois],AK$33),SUMIFS(TblCalculs[Workers],TblCalculs[Cluster],$B36,TblCalculs[Mois],AK$33))))</f>
        <v>6</v>
      </c>
      <c r="AL36" s="40">
        <f>IF(OR($A36="",AL$33=""),"",IF(ca_mesure="CPU",SUMIFS(TblCalculs[CPU provisionné],TblCalculs[Cluster],$B36,TblCalculs[Mois],AL$33),IF(ca_mesure="RAM",SUMIFS(TblCalculs[RAM provisionnée],TblCalculs[Cluster],$B36,TblCalculs[Mois],AL$33),SUMIFS(TblCalculs[Workers],TblCalculs[Cluster],$B36,TblCalculs[Mois],AL$33))))</f>
        <v>6</v>
      </c>
      <c r="AM36" s="40">
        <f>IF(OR($A36="",AM$33=""),"",IF(ca_mesure="CPU",SUMIFS(TblCalculs[CPU provisionné],TblCalculs[Cluster],$B36,TblCalculs[Mois],AM$33),IF(ca_mesure="RAM",SUMIFS(TblCalculs[RAM provisionnée],TblCalculs[Cluster],$B36,TblCalculs[Mois],AM$33),SUMIFS(TblCalculs[Workers],TblCalculs[Cluster],$B36,TblCalculs[Mois],AM$33))))</f>
        <v>6</v>
      </c>
      <c r="AN36" s="40">
        <f>IF(OR($A36="",AN$33=""),"",IF(ca_mesure="CPU",SUMIFS(TblCalculs[CPU provisionné],TblCalculs[Cluster],$B36,TblCalculs[Mois],AN$33),IF(ca_mesure="RAM",SUMIFS(TblCalculs[RAM provisionnée],TblCalculs[Cluster],$B36,TblCalculs[Mois],AN$33),SUMIFS(TblCalculs[Workers],TblCalculs[Cluster],$B36,TblCalculs[Mois],AN$33))))</f>
        <v>6</v>
      </c>
      <c r="AO36" s="40">
        <f>IF(OR($A36="",AO$33=""),"",IF(ca_mesure="CPU",SUMIFS(TblCalculs[CPU provisionné],TblCalculs[Cluster],$B36,TblCalculs[Mois],AO$33),IF(ca_mesure="RAM",SUMIFS(TblCalculs[RAM provisionnée],TblCalculs[Cluster],$B36,TblCalculs[Mois],AO$33),SUMIFS(TblCalculs[Workers],TblCalculs[Cluster],$B36,TblCalculs[Mois],AO$33))))</f>
        <v>6</v>
      </c>
    </row>
    <row r="37" spans="1:41" x14ac:dyDescent="0.2">
      <c r="A37" s="37">
        <f>IFERROR(MATCH(4,TblClusters[Rang capacités],0),"")</f>
        <v>4</v>
      </c>
      <c r="B37" s="38" t="str">
        <f>IF($A37="","",INDEX(TblClusters[Cluster],$A37))</f>
        <v>oc002i000809</v>
      </c>
      <c r="C37" s="39" t="str">
        <f>IF($A37="","",INDEX(TblClusters[Plateforme],$A37))</f>
        <v>ROKS</v>
      </c>
      <c r="D37" s="39" t="str">
        <f>IF($A37="","",INDEX(TblClusters[Environnement],$A37))</f>
        <v>PRD</v>
      </c>
      <c r="E37" s="39" t="str">
        <f>IF($A37="","",INDEX(TblClusters[Flavor],$A37))</f>
        <v>bx3d.8x40</v>
      </c>
      <c r="F37" s="40">
        <f>IF(OR($A37="",F$33=""),"",IF(ca_mesure="CPU",SUMIFS(TblCalculs[CPU provisionné],TblCalculs[Cluster],$B37,TblCalculs[Mois],F$33),IF(ca_mesure="RAM",SUMIFS(TblCalculs[RAM provisionnée],TblCalculs[Cluster],$B37,TblCalculs[Mois],F$33),SUMIFS(TblCalculs[Workers],TblCalculs[Cluster],$B37,TblCalculs[Mois],F$33))))</f>
        <v>6</v>
      </c>
      <c r="G37" s="40">
        <f>IF(OR($A37="",G$33=""),"",IF(ca_mesure="CPU",SUMIFS(TblCalculs[CPU provisionné],TblCalculs[Cluster],$B37,TblCalculs[Mois],G$33),IF(ca_mesure="RAM",SUMIFS(TblCalculs[RAM provisionnée],TblCalculs[Cluster],$B37,TblCalculs[Mois],G$33),SUMIFS(TblCalculs[Workers],TblCalculs[Cluster],$B37,TblCalculs[Mois],G$33))))</f>
        <v>6</v>
      </c>
      <c r="H37" s="40">
        <f>IF(OR($A37="",H$33=""),"",IF(ca_mesure="CPU",SUMIFS(TblCalculs[CPU provisionné],TblCalculs[Cluster],$B37,TblCalculs[Mois],H$33),IF(ca_mesure="RAM",SUMIFS(TblCalculs[RAM provisionnée],TblCalculs[Cluster],$B37,TblCalculs[Mois],H$33),SUMIFS(TblCalculs[Workers],TblCalculs[Cluster],$B37,TblCalculs[Mois],H$33))))</f>
        <v>6</v>
      </c>
      <c r="I37" s="40">
        <f>IF(OR($A37="",I$33=""),"",IF(ca_mesure="CPU",SUMIFS(TblCalculs[CPU provisionné],TblCalculs[Cluster],$B37,TblCalculs[Mois],I$33),IF(ca_mesure="RAM",SUMIFS(TblCalculs[RAM provisionnée],TblCalculs[Cluster],$B37,TblCalculs[Mois],I$33),SUMIFS(TblCalculs[Workers],TblCalculs[Cluster],$B37,TblCalculs[Mois],I$33))))</f>
        <v>6</v>
      </c>
      <c r="J37" s="40">
        <f>IF(OR($A37="",J$33=""),"",IF(ca_mesure="CPU",SUMIFS(TblCalculs[CPU provisionné],TblCalculs[Cluster],$B37,TblCalculs[Mois],J$33),IF(ca_mesure="RAM",SUMIFS(TblCalculs[RAM provisionnée],TblCalculs[Cluster],$B37,TblCalculs[Mois],J$33),SUMIFS(TblCalculs[Workers],TblCalculs[Cluster],$B37,TblCalculs[Mois],J$33))))</f>
        <v>6</v>
      </c>
      <c r="K37" s="40">
        <f>IF(OR($A37="",K$33=""),"",IF(ca_mesure="CPU",SUMIFS(TblCalculs[CPU provisionné],TblCalculs[Cluster],$B37,TblCalculs[Mois],K$33),IF(ca_mesure="RAM",SUMIFS(TblCalculs[RAM provisionnée],TblCalculs[Cluster],$B37,TblCalculs[Mois],K$33),SUMIFS(TblCalculs[Workers],TblCalculs[Cluster],$B37,TblCalculs[Mois],K$33))))</f>
        <v>6</v>
      </c>
      <c r="L37" s="40">
        <f>IF(OR($A37="",L$33=""),"",IF(ca_mesure="CPU",SUMIFS(TblCalculs[CPU provisionné],TblCalculs[Cluster],$B37,TblCalculs[Mois],L$33),IF(ca_mesure="RAM",SUMIFS(TblCalculs[RAM provisionnée],TblCalculs[Cluster],$B37,TblCalculs[Mois],L$33),SUMIFS(TblCalculs[Workers],TblCalculs[Cluster],$B37,TblCalculs[Mois],L$33))))</f>
        <v>6</v>
      </c>
      <c r="M37" s="40">
        <f>IF(OR($A37="",M$33=""),"",IF(ca_mesure="CPU",SUMIFS(TblCalculs[CPU provisionné],TblCalculs[Cluster],$B37,TblCalculs[Mois],M$33),IF(ca_mesure="RAM",SUMIFS(TblCalculs[RAM provisionnée],TblCalculs[Cluster],$B37,TblCalculs[Mois],M$33),SUMIFS(TblCalculs[Workers],TblCalculs[Cluster],$B37,TblCalculs[Mois],M$33))))</f>
        <v>6</v>
      </c>
      <c r="N37" s="40">
        <f>IF(OR($A37="",N$33=""),"",IF(ca_mesure="CPU",SUMIFS(TblCalculs[CPU provisionné],TblCalculs[Cluster],$B37,TblCalculs[Mois],N$33),IF(ca_mesure="RAM",SUMIFS(TblCalculs[RAM provisionnée],TblCalculs[Cluster],$B37,TblCalculs[Mois],N$33),SUMIFS(TblCalculs[Workers],TblCalculs[Cluster],$B37,TblCalculs[Mois],N$33))))</f>
        <v>6</v>
      </c>
      <c r="O37" s="40">
        <f>IF(OR($A37="",O$33=""),"",IF(ca_mesure="CPU",SUMIFS(TblCalculs[CPU provisionné],TblCalculs[Cluster],$B37,TblCalculs[Mois],O$33),IF(ca_mesure="RAM",SUMIFS(TblCalculs[RAM provisionnée],TblCalculs[Cluster],$B37,TblCalculs[Mois],O$33),SUMIFS(TblCalculs[Workers],TblCalculs[Cluster],$B37,TblCalculs[Mois],O$33))))</f>
        <v>6</v>
      </c>
      <c r="P37" s="40">
        <f>IF(OR($A37="",P$33=""),"",IF(ca_mesure="CPU",SUMIFS(TblCalculs[CPU provisionné],TblCalculs[Cluster],$B37,TblCalculs[Mois],P$33),IF(ca_mesure="RAM",SUMIFS(TblCalculs[RAM provisionnée],TblCalculs[Cluster],$B37,TblCalculs[Mois],P$33),SUMIFS(TblCalculs[Workers],TblCalculs[Cluster],$B37,TblCalculs[Mois],P$33))))</f>
        <v>6</v>
      </c>
      <c r="Q37" s="40">
        <f>IF(OR($A37="",Q$33=""),"",IF(ca_mesure="CPU",SUMIFS(TblCalculs[CPU provisionné],TblCalculs[Cluster],$B37,TblCalculs[Mois],Q$33),IF(ca_mesure="RAM",SUMIFS(TblCalculs[RAM provisionnée],TblCalculs[Cluster],$B37,TblCalculs[Mois],Q$33),SUMIFS(TblCalculs[Workers],TblCalculs[Cluster],$B37,TblCalculs[Mois],Q$33))))</f>
        <v>6</v>
      </c>
      <c r="R37" s="40">
        <f>IF(OR($A37="",R$33=""),"",IF(ca_mesure="CPU",SUMIFS(TblCalculs[CPU provisionné],TblCalculs[Cluster],$B37,TblCalculs[Mois],R$33),IF(ca_mesure="RAM",SUMIFS(TblCalculs[RAM provisionnée],TblCalculs[Cluster],$B37,TblCalculs[Mois],R$33),SUMIFS(TblCalculs[Workers],TblCalculs[Cluster],$B37,TblCalculs[Mois],R$33))))</f>
        <v>6</v>
      </c>
      <c r="S37" s="40">
        <f>IF(OR($A37="",S$33=""),"",IF(ca_mesure="CPU",SUMIFS(TblCalculs[CPU provisionné],TblCalculs[Cluster],$B37,TblCalculs[Mois],S$33),IF(ca_mesure="RAM",SUMIFS(TblCalculs[RAM provisionnée],TblCalculs[Cluster],$B37,TblCalculs[Mois],S$33),SUMIFS(TblCalculs[Workers],TblCalculs[Cluster],$B37,TblCalculs[Mois],S$33))))</f>
        <v>6</v>
      </c>
      <c r="T37" s="40">
        <f>IF(OR($A37="",T$33=""),"",IF(ca_mesure="CPU",SUMIFS(TblCalculs[CPU provisionné],TblCalculs[Cluster],$B37,TblCalculs[Mois],T$33),IF(ca_mesure="RAM",SUMIFS(TblCalculs[RAM provisionnée],TblCalculs[Cluster],$B37,TblCalculs[Mois],T$33),SUMIFS(TblCalculs[Workers],TblCalculs[Cluster],$B37,TblCalculs[Mois],T$33))))</f>
        <v>6</v>
      </c>
      <c r="U37" s="40">
        <f>IF(OR($A37="",U$33=""),"",IF(ca_mesure="CPU",SUMIFS(TblCalculs[CPU provisionné],TblCalculs[Cluster],$B37,TblCalculs[Mois],U$33),IF(ca_mesure="RAM",SUMIFS(TblCalculs[RAM provisionnée],TblCalculs[Cluster],$B37,TblCalculs[Mois],U$33),SUMIFS(TblCalculs[Workers],TblCalculs[Cluster],$B37,TblCalculs[Mois],U$33))))</f>
        <v>6</v>
      </c>
      <c r="V37" s="40">
        <f>IF(OR($A37="",V$33=""),"",IF(ca_mesure="CPU",SUMIFS(TblCalculs[CPU provisionné],TblCalculs[Cluster],$B37,TblCalculs[Mois],V$33),IF(ca_mesure="RAM",SUMIFS(TblCalculs[RAM provisionnée],TblCalculs[Cluster],$B37,TblCalculs[Mois],V$33),SUMIFS(TblCalculs[Workers],TblCalculs[Cluster],$B37,TblCalculs[Mois],V$33))))</f>
        <v>6</v>
      </c>
      <c r="W37" s="40">
        <f>IF(OR($A37="",W$33=""),"",IF(ca_mesure="CPU",SUMIFS(TblCalculs[CPU provisionné],TblCalculs[Cluster],$B37,TblCalculs[Mois],W$33),IF(ca_mesure="RAM",SUMIFS(TblCalculs[RAM provisionnée],TblCalculs[Cluster],$B37,TblCalculs[Mois],W$33),SUMIFS(TblCalculs[Workers],TblCalculs[Cluster],$B37,TblCalculs[Mois],W$33))))</f>
        <v>6</v>
      </c>
      <c r="X37" s="40">
        <f>IF(OR($A37="",X$33=""),"",IF(ca_mesure="CPU",SUMIFS(TblCalculs[CPU provisionné],TblCalculs[Cluster],$B37,TblCalculs[Mois],X$33),IF(ca_mesure="RAM",SUMIFS(TblCalculs[RAM provisionnée],TblCalculs[Cluster],$B37,TblCalculs[Mois],X$33),SUMIFS(TblCalculs[Workers],TblCalculs[Cluster],$B37,TblCalculs[Mois],X$33))))</f>
        <v>6</v>
      </c>
      <c r="Y37" s="40">
        <f>IF(OR($A37="",Y$33=""),"",IF(ca_mesure="CPU",SUMIFS(TblCalculs[CPU provisionné],TblCalculs[Cluster],$B37,TblCalculs[Mois],Y$33),IF(ca_mesure="RAM",SUMIFS(TblCalculs[RAM provisionnée],TblCalculs[Cluster],$B37,TblCalculs[Mois],Y$33),SUMIFS(TblCalculs[Workers],TblCalculs[Cluster],$B37,TblCalculs[Mois],Y$33))))</f>
        <v>6</v>
      </c>
      <c r="Z37" s="40">
        <f>IF(OR($A37="",Z$33=""),"",IF(ca_mesure="CPU",SUMIFS(TblCalculs[CPU provisionné],TblCalculs[Cluster],$B37,TblCalculs[Mois],Z$33),IF(ca_mesure="RAM",SUMIFS(TblCalculs[RAM provisionnée],TblCalculs[Cluster],$B37,TblCalculs[Mois],Z$33),SUMIFS(TblCalculs[Workers],TblCalculs[Cluster],$B37,TblCalculs[Mois],Z$33))))</f>
        <v>6</v>
      </c>
      <c r="AA37" s="40">
        <f>IF(OR($A37="",AA$33=""),"",IF(ca_mesure="CPU",SUMIFS(TblCalculs[CPU provisionné],TblCalculs[Cluster],$B37,TblCalculs[Mois],AA$33),IF(ca_mesure="RAM",SUMIFS(TblCalculs[RAM provisionnée],TblCalculs[Cluster],$B37,TblCalculs[Mois],AA$33),SUMIFS(TblCalculs[Workers],TblCalculs[Cluster],$B37,TblCalculs[Mois],AA$33))))</f>
        <v>6</v>
      </c>
      <c r="AB37" s="40">
        <f>IF(OR($A37="",AB$33=""),"",IF(ca_mesure="CPU",SUMIFS(TblCalculs[CPU provisionné],TblCalculs[Cluster],$B37,TblCalculs[Mois],AB$33),IF(ca_mesure="RAM",SUMIFS(TblCalculs[RAM provisionnée],TblCalculs[Cluster],$B37,TblCalculs[Mois],AB$33),SUMIFS(TblCalculs[Workers],TblCalculs[Cluster],$B37,TblCalculs[Mois],AB$33))))</f>
        <v>6</v>
      </c>
      <c r="AC37" s="40">
        <f>IF(OR($A37="",AC$33=""),"",IF(ca_mesure="CPU",SUMIFS(TblCalculs[CPU provisionné],TblCalculs[Cluster],$B37,TblCalculs[Mois],AC$33),IF(ca_mesure="RAM",SUMIFS(TblCalculs[RAM provisionnée],TblCalculs[Cluster],$B37,TblCalculs[Mois],AC$33),SUMIFS(TblCalculs[Workers],TblCalculs[Cluster],$B37,TblCalculs[Mois],AC$33))))</f>
        <v>6</v>
      </c>
      <c r="AD37" s="40">
        <f>IF(OR($A37="",AD$33=""),"",IF(ca_mesure="CPU",SUMIFS(TblCalculs[CPU provisionné],TblCalculs[Cluster],$B37,TblCalculs[Mois],AD$33),IF(ca_mesure="RAM",SUMIFS(TblCalculs[RAM provisionnée],TblCalculs[Cluster],$B37,TblCalculs[Mois],AD$33),SUMIFS(TblCalculs[Workers],TblCalculs[Cluster],$B37,TblCalculs[Mois],AD$33))))</f>
        <v>6</v>
      </c>
      <c r="AE37" s="40">
        <f>IF(OR($A37="",AE$33=""),"",IF(ca_mesure="CPU",SUMIFS(TblCalculs[CPU provisionné],TblCalculs[Cluster],$B37,TblCalculs[Mois],AE$33),IF(ca_mesure="RAM",SUMIFS(TblCalculs[RAM provisionnée],TblCalculs[Cluster],$B37,TblCalculs[Mois],AE$33),SUMIFS(TblCalculs[Workers],TblCalculs[Cluster],$B37,TblCalculs[Mois],AE$33))))</f>
        <v>6</v>
      </c>
      <c r="AF37" s="40">
        <f>IF(OR($A37="",AF$33=""),"",IF(ca_mesure="CPU",SUMIFS(TblCalculs[CPU provisionné],TblCalculs[Cluster],$B37,TblCalculs[Mois],AF$33),IF(ca_mesure="RAM",SUMIFS(TblCalculs[RAM provisionnée],TblCalculs[Cluster],$B37,TblCalculs[Mois],AF$33),SUMIFS(TblCalculs[Workers],TblCalculs[Cluster],$B37,TblCalculs[Mois],AF$33))))</f>
        <v>6</v>
      </c>
      <c r="AG37" s="40">
        <f>IF(OR($A37="",AG$33=""),"",IF(ca_mesure="CPU",SUMIFS(TblCalculs[CPU provisionné],TblCalculs[Cluster],$B37,TblCalculs[Mois],AG$33),IF(ca_mesure="RAM",SUMIFS(TblCalculs[RAM provisionnée],TblCalculs[Cluster],$B37,TblCalculs[Mois],AG$33),SUMIFS(TblCalculs[Workers],TblCalculs[Cluster],$B37,TblCalculs[Mois],AG$33))))</f>
        <v>6</v>
      </c>
      <c r="AH37" s="40">
        <f>IF(OR($A37="",AH$33=""),"",IF(ca_mesure="CPU",SUMIFS(TblCalculs[CPU provisionné],TblCalculs[Cluster],$B37,TblCalculs[Mois],AH$33),IF(ca_mesure="RAM",SUMIFS(TblCalculs[RAM provisionnée],TblCalculs[Cluster],$B37,TblCalculs[Mois],AH$33),SUMIFS(TblCalculs[Workers],TblCalculs[Cluster],$B37,TblCalculs[Mois],AH$33))))</f>
        <v>6</v>
      </c>
      <c r="AI37" s="40">
        <f>IF(OR($A37="",AI$33=""),"",IF(ca_mesure="CPU",SUMIFS(TblCalculs[CPU provisionné],TblCalculs[Cluster],$B37,TblCalculs[Mois],AI$33),IF(ca_mesure="RAM",SUMIFS(TblCalculs[RAM provisionnée],TblCalculs[Cluster],$B37,TblCalculs[Mois],AI$33),SUMIFS(TblCalculs[Workers],TblCalculs[Cluster],$B37,TblCalculs[Mois],AI$33))))</f>
        <v>6</v>
      </c>
      <c r="AJ37" s="40">
        <f>IF(OR($A37="",AJ$33=""),"",IF(ca_mesure="CPU",SUMIFS(TblCalculs[CPU provisionné],TblCalculs[Cluster],$B37,TblCalculs[Mois],AJ$33),IF(ca_mesure="RAM",SUMIFS(TblCalculs[RAM provisionnée],TblCalculs[Cluster],$B37,TblCalculs[Mois],AJ$33),SUMIFS(TblCalculs[Workers],TblCalculs[Cluster],$B37,TblCalculs[Mois],AJ$33))))</f>
        <v>6</v>
      </c>
      <c r="AK37" s="40">
        <f>IF(OR($A37="",AK$33=""),"",IF(ca_mesure="CPU",SUMIFS(TblCalculs[CPU provisionné],TblCalculs[Cluster],$B37,TblCalculs[Mois],AK$33),IF(ca_mesure="RAM",SUMIFS(TblCalculs[RAM provisionnée],TblCalculs[Cluster],$B37,TblCalculs[Mois],AK$33),SUMIFS(TblCalculs[Workers],TblCalculs[Cluster],$B37,TblCalculs[Mois],AK$33))))</f>
        <v>6</v>
      </c>
      <c r="AL37" s="40">
        <f>IF(OR($A37="",AL$33=""),"",IF(ca_mesure="CPU",SUMIFS(TblCalculs[CPU provisionné],TblCalculs[Cluster],$B37,TblCalculs[Mois],AL$33),IF(ca_mesure="RAM",SUMIFS(TblCalculs[RAM provisionnée],TblCalculs[Cluster],$B37,TblCalculs[Mois],AL$33),SUMIFS(TblCalculs[Workers],TblCalculs[Cluster],$B37,TblCalculs[Mois],AL$33))))</f>
        <v>6</v>
      </c>
      <c r="AM37" s="40">
        <f>IF(OR($A37="",AM$33=""),"",IF(ca_mesure="CPU",SUMIFS(TblCalculs[CPU provisionné],TblCalculs[Cluster],$B37,TblCalculs[Mois],AM$33),IF(ca_mesure="RAM",SUMIFS(TblCalculs[RAM provisionnée],TblCalculs[Cluster],$B37,TblCalculs[Mois],AM$33),SUMIFS(TblCalculs[Workers],TblCalculs[Cluster],$B37,TblCalculs[Mois],AM$33))))</f>
        <v>6</v>
      </c>
      <c r="AN37" s="40">
        <f>IF(OR($A37="",AN$33=""),"",IF(ca_mesure="CPU",SUMIFS(TblCalculs[CPU provisionné],TblCalculs[Cluster],$B37,TblCalculs[Mois],AN$33),IF(ca_mesure="RAM",SUMIFS(TblCalculs[RAM provisionnée],TblCalculs[Cluster],$B37,TblCalculs[Mois],AN$33),SUMIFS(TblCalculs[Workers],TblCalculs[Cluster],$B37,TblCalculs[Mois],AN$33))))</f>
        <v>6</v>
      </c>
      <c r="AO37" s="40">
        <f>IF(OR($A37="",AO$33=""),"",IF(ca_mesure="CPU",SUMIFS(TblCalculs[CPU provisionné],TblCalculs[Cluster],$B37,TblCalculs[Mois],AO$33),IF(ca_mesure="RAM",SUMIFS(TblCalculs[RAM provisionnée],TblCalculs[Cluster],$B37,TblCalculs[Mois],AO$33),SUMIFS(TblCalculs[Workers],TblCalculs[Cluster],$B37,TblCalculs[Mois],AO$33))))</f>
        <v>6</v>
      </c>
    </row>
    <row r="38" spans="1:41" x14ac:dyDescent="0.2">
      <c r="A38" s="37">
        <f>IFERROR(MATCH(5,TblClusters[Rang capacités],0),"")</f>
        <v>5</v>
      </c>
      <c r="B38" s="38" t="str">
        <f>IF($A38="","",INDEX(TblClusters[Cluster],$A38))</f>
        <v>oc002i000849</v>
      </c>
      <c r="C38" s="39" t="str">
        <f>IF($A38="","",INDEX(TblClusters[Plateforme],$A38))</f>
        <v>ROKS</v>
      </c>
      <c r="D38" s="39" t="str">
        <f>IF($A38="","",INDEX(TblClusters[Environnement],$A38))</f>
        <v>NPRD</v>
      </c>
      <c r="E38" s="39" t="str">
        <f>IF($A38="","",INDEX(TblClusters[Flavor],$A38))</f>
        <v>bx3d.8x40</v>
      </c>
      <c r="F38" s="40">
        <f>IF(OR($A38="",F$33=""),"",IF(ca_mesure="CPU",SUMIFS(TblCalculs[CPU provisionné],TblCalculs[Cluster],$B38,TblCalculs[Mois],F$33),IF(ca_mesure="RAM",SUMIFS(TblCalculs[RAM provisionnée],TblCalculs[Cluster],$B38,TblCalculs[Mois],F$33),SUMIFS(TblCalculs[Workers],TblCalculs[Cluster],$B38,TblCalculs[Mois],F$33))))</f>
        <v>6</v>
      </c>
      <c r="G38" s="40">
        <f>IF(OR($A38="",G$33=""),"",IF(ca_mesure="CPU",SUMIFS(TblCalculs[CPU provisionné],TblCalculs[Cluster],$B38,TblCalculs[Mois],G$33),IF(ca_mesure="RAM",SUMIFS(TblCalculs[RAM provisionnée],TblCalculs[Cluster],$B38,TblCalculs[Mois],G$33),SUMIFS(TblCalculs[Workers],TblCalculs[Cluster],$B38,TblCalculs[Mois],G$33))))</f>
        <v>6</v>
      </c>
      <c r="H38" s="40">
        <f>IF(OR($A38="",H$33=""),"",IF(ca_mesure="CPU",SUMIFS(TblCalculs[CPU provisionné],TblCalculs[Cluster],$B38,TblCalculs[Mois],H$33),IF(ca_mesure="RAM",SUMIFS(TblCalculs[RAM provisionnée],TblCalculs[Cluster],$B38,TblCalculs[Mois],H$33),SUMIFS(TblCalculs[Workers],TblCalculs[Cluster],$B38,TblCalculs[Mois],H$33))))</f>
        <v>6</v>
      </c>
      <c r="I38" s="40">
        <f>IF(OR($A38="",I$33=""),"",IF(ca_mesure="CPU",SUMIFS(TblCalculs[CPU provisionné],TblCalculs[Cluster],$B38,TblCalculs[Mois],I$33),IF(ca_mesure="RAM",SUMIFS(TblCalculs[RAM provisionnée],TblCalculs[Cluster],$B38,TblCalculs[Mois],I$33),SUMIFS(TblCalculs[Workers],TblCalculs[Cluster],$B38,TblCalculs[Mois],I$33))))</f>
        <v>6</v>
      </c>
      <c r="J38" s="40">
        <f>IF(OR($A38="",J$33=""),"",IF(ca_mesure="CPU",SUMIFS(TblCalculs[CPU provisionné],TblCalculs[Cluster],$B38,TblCalculs[Mois],J$33),IF(ca_mesure="RAM",SUMIFS(TblCalculs[RAM provisionnée],TblCalculs[Cluster],$B38,TblCalculs[Mois],J$33),SUMIFS(TblCalculs[Workers],TblCalculs[Cluster],$B38,TblCalculs[Mois],J$33))))</f>
        <v>6</v>
      </c>
      <c r="K38" s="40">
        <f>IF(OR($A38="",K$33=""),"",IF(ca_mesure="CPU",SUMIFS(TblCalculs[CPU provisionné],TblCalculs[Cluster],$B38,TblCalculs[Mois],K$33),IF(ca_mesure="RAM",SUMIFS(TblCalculs[RAM provisionnée],TblCalculs[Cluster],$B38,TblCalculs[Mois],K$33),SUMIFS(TblCalculs[Workers],TblCalculs[Cluster],$B38,TblCalculs[Mois],K$33))))</f>
        <v>6</v>
      </c>
      <c r="L38" s="40">
        <f>IF(OR($A38="",L$33=""),"",IF(ca_mesure="CPU",SUMIFS(TblCalculs[CPU provisionné],TblCalculs[Cluster],$B38,TblCalculs[Mois],L$33),IF(ca_mesure="RAM",SUMIFS(TblCalculs[RAM provisionnée],TblCalculs[Cluster],$B38,TblCalculs[Mois],L$33),SUMIFS(TblCalculs[Workers],TblCalculs[Cluster],$B38,TblCalculs[Mois],L$33))))</f>
        <v>6</v>
      </c>
      <c r="M38" s="40">
        <f>IF(OR($A38="",M$33=""),"",IF(ca_mesure="CPU",SUMIFS(TblCalculs[CPU provisionné],TblCalculs[Cluster],$B38,TblCalculs[Mois],M$33),IF(ca_mesure="RAM",SUMIFS(TblCalculs[RAM provisionnée],TblCalculs[Cluster],$B38,TblCalculs[Mois],M$33),SUMIFS(TblCalculs[Workers],TblCalculs[Cluster],$B38,TblCalculs[Mois],M$33))))</f>
        <v>6</v>
      </c>
      <c r="N38" s="40">
        <f>IF(OR($A38="",N$33=""),"",IF(ca_mesure="CPU",SUMIFS(TblCalculs[CPU provisionné],TblCalculs[Cluster],$B38,TblCalculs[Mois],N$33),IF(ca_mesure="RAM",SUMIFS(TblCalculs[RAM provisionnée],TblCalculs[Cluster],$B38,TblCalculs[Mois],N$33),SUMIFS(TblCalculs[Workers],TblCalculs[Cluster],$B38,TblCalculs[Mois],N$33))))</f>
        <v>6</v>
      </c>
      <c r="O38" s="40">
        <f>IF(OR($A38="",O$33=""),"",IF(ca_mesure="CPU",SUMIFS(TblCalculs[CPU provisionné],TblCalculs[Cluster],$B38,TblCalculs[Mois],O$33),IF(ca_mesure="RAM",SUMIFS(TblCalculs[RAM provisionnée],TblCalculs[Cluster],$B38,TblCalculs[Mois],O$33),SUMIFS(TblCalculs[Workers],TblCalculs[Cluster],$B38,TblCalculs[Mois],O$33))))</f>
        <v>6</v>
      </c>
      <c r="P38" s="40">
        <f>IF(OR($A38="",P$33=""),"",IF(ca_mesure="CPU",SUMIFS(TblCalculs[CPU provisionné],TblCalculs[Cluster],$B38,TblCalculs[Mois],P$33),IF(ca_mesure="RAM",SUMIFS(TblCalculs[RAM provisionnée],TblCalculs[Cluster],$B38,TblCalculs[Mois],P$33),SUMIFS(TblCalculs[Workers],TblCalculs[Cluster],$B38,TblCalculs[Mois],P$33))))</f>
        <v>6</v>
      </c>
      <c r="Q38" s="40">
        <f>IF(OR($A38="",Q$33=""),"",IF(ca_mesure="CPU",SUMIFS(TblCalculs[CPU provisionné],TblCalculs[Cluster],$B38,TblCalculs[Mois],Q$33),IF(ca_mesure="RAM",SUMIFS(TblCalculs[RAM provisionnée],TblCalculs[Cluster],$B38,TblCalculs[Mois],Q$33),SUMIFS(TblCalculs[Workers],TblCalculs[Cluster],$B38,TblCalculs[Mois],Q$33))))</f>
        <v>6</v>
      </c>
      <c r="R38" s="40">
        <f>IF(OR($A38="",R$33=""),"",IF(ca_mesure="CPU",SUMIFS(TblCalculs[CPU provisionné],TblCalculs[Cluster],$B38,TblCalculs[Mois],R$33),IF(ca_mesure="RAM",SUMIFS(TblCalculs[RAM provisionnée],TblCalculs[Cluster],$B38,TblCalculs[Mois],R$33),SUMIFS(TblCalculs[Workers],TblCalculs[Cluster],$B38,TblCalculs[Mois],R$33))))</f>
        <v>6</v>
      </c>
      <c r="S38" s="40">
        <f>IF(OR($A38="",S$33=""),"",IF(ca_mesure="CPU",SUMIFS(TblCalculs[CPU provisionné],TblCalculs[Cluster],$B38,TblCalculs[Mois],S$33),IF(ca_mesure="RAM",SUMIFS(TblCalculs[RAM provisionnée],TblCalculs[Cluster],$B38,TblCalculs[Mois],S$33),SUMIFS(TblCalculs[Workers],TblCalculs[Cluster],$B38,TblCalculs[Mois],S$33))))</f>
        <v>6</v>
      </c>
      <c r="T38" s="40">
        <f>IF(OR($A38="",T$33=""),"",IF(ca_mesure="CPU",SUMIFS(TblCalculs[CPU provisionné],TblCalculs[Cluster],$B38,TblCalculs[Mois],T$33),IF(ca_mesure="RAM",SUMIFS(TblCalculs[RAM provisionnée],TblCalculs[Cluster],$B38,TblCalculs[Mois],T$33),SUMIFS(TblCalculs[Workers],TblCalculs[Cluster],$B38,TblCalculs[Mois],T$33))))</f>
        <v>6</v>
      </c>
      <c r="U38" s="40">
        <f>IF(OR($A38="",U$33=""),"",IF(ca_mesure="CPU",SUMIFS(TblCalculs[CPU provisionné],TblCalculs[Cluster],$B38,TblCalculs[Mois],U$33),IF(ca_mesure="RAM",SUMIFS(TblCalculs[RAM provisionnée],TblCalculs[Cluster],$B38,TblCalculs[Mois],U$33),SUMIFS(TblCalculs[Workers],TblCalculs[Cluster],$B38,TblCalculs[Mois],U$33))))</f>
        <v>6</v>
      </c>
      <c r="V38" s="40">
        <f>IF(OR($A38="",V$33=""),"",IF(ca_mesure="CPU",SUMIFS(TblCalculs[CPU provisionné],TblCalculs[Cluster],$B38,TblCalculs[Mois],V$33),IF(ca_mesure="RAM",SUMIFS(TblCalculs[RAM provisionnée],TblCalculs[Cluster],$B38,TblCalculs[Mois],V$33),SUMIFS(TblCalculs[Workers],TblCalculs[Cluster],$B38,TblCalculs[Mois],V$33))))</f>
        <v>6</v>
      </c>
      <c r="W38" s="40">
        <f>IF(OR($A38="",W$33=""),"",IF(ca_mesure="CPU",SUMIFS(TblCalculs[CPU provisionné],TblCalculs[Cluster],$B38,TblCalculs[Mois],W$33),IF(ca_mesure="RAM",SUMIFS(TblCalculs[RAM provisionnée],TblCalculs[Cluster],$B38,TblCalculs[Mois],W$33),SUMIFS(TblCalculs[Workers],TblCalculs[Cluster],$B38,TblCalculs[Mois],W$33))))</f>
        <v>6</v>
      </c>
      <c r="X38" s="40">
        <f>IF(OR($A38="",X$33=""),"",IF(ca_mesure="CPU",SUMIFS(TblCalculs[CPU provisionné],TblCalculs[Cluster],$B38,TblCalculs[Mois],X$33),IF(ca_mesure="RAM",SUMIFS(TblCalculs[RAM provisionnée],TblCalculs[Cluster],$B38,TblCalculs[Mois],X$33),SUMIFS(TblCalculs[Workers],TblCalculs[Cluster],$B38,TblCalculs[Mois],X$33))))</f>
        <v>6</v>
      </c>
      <c r="Y38" s="40">
        <f>IF(OR($A38="",Y$33=""),"",IF(ca_mesure="CPU",SUMIFS(TblCalculs[CPU provisionné],TblCalculs[Cluster],$B38,TblCalculs[Mois],Y$33),IF(ca_mesure="RAM",SUMIFS(TblCalculs[RAM provisionnée],TblCalculs[Cluster],$B38,TblCalculs[Mois],Y$33),SUMIFS(TblCalculs[Workers],TblCalculs[Cluster],$B38,TblCalculs[Mois],Y$33))))</f>
        <v>6</v>
      </c>
      <c r="Z38" s="40">
        <f>IF(OR($A38="",Z$33=""),"",IF(ca_mesure="CPU",SUMIFS(TblCalculs[CPU provisionné],TblCalculs[Cluster],$B38,TblCalculs[Mois],Z$33),IF(ca_mesure="RAM",SUMIFS(TblCalculs[RAM provisionnée],TblCalculs[Cluster],$B38,TblCalculs[Mois],Z$33),SUMIFS(TblCalculs[Workers],TblCalculs[Cluster],$B38,TblCalculs[Mois],Z$33))))</f>
        <v>6</v>
      </c>
      <c r="AA38" s="40">
        <f>IF(OR($A38="",AA$33=""),"",IF(ca_mesure="CPU",SUMIFS(TblCalculs[CPU provisionné],TblCalculs[Cluster],$B38,TblCalculs[Mois],AA$33),IF(ca_mesure="RAM",SUMIFS(TblCalculs[RAM provisionnée],TblCalculs[Cluster],$B38,TblCalculs[Mois],AA$33),SUMIFS(TblCalculs[Workers],TblCalculs[Cluster],$B38,TblCalculs[Mois],AA$33))))</f>
        <v>6</v>
      </c>
      <c r="AB38" s="40">
        <f>IF(OR($A38="",AB$33=""),"",IF(ca_mesure="CPU",SUMIFS(TblCalculs[CPU provisionné],TblCalculs[Cluster],$B38,TblCalculs[Mois],AB$33),IF(ca_mesure="RAM",SUMIFS(TblCalculs[RAM provisionnée],TblCalculs[Cluster],$B38,TblCalculs[Mois],AB$33),SUMIFS(TblCalculs[Workers],TblCalculs[Cluster],$B38,TblCalculs[Mois],AB$33))))</f>
        <v>6</v>
      </c>
      <c r="AC38" s="40">
        <f>IF(OR($A38="",AC$33=""),"",IF(ca_mesure="CPU",SUMIFS(TblCalculs[CPU provisionné],TblCalculs[Cluster],$B38,TblCalculs[Mois],AC$33),IF(ca_mesure="RAM",SUMIFS(TblCalculs[RAM provisionnée],TblCalculs[Cluster],$B38,TblCalculs[Mois],AC$33),SUMIFS(TblCalculs[Workers],TblCalculs[Cluster],$B38,TblCalculs[Mois],AC$33))))</f>
        <v>6</v>
      </c>
      <c r="AD38" s="40">
        <f>IF(OR($A38="",AD$33=""),"",IF(ca_mesure="CPU",SUMIFS(TblCalculs[CPU provisionné],TblCalculs[Cluster],$B38,TblCalculs[Mois],AD$33),IF(ca_mesure="RAM",SUMIFS(TblCalculs[RAM provisionnée],TblCalculs[Cluster],$B38,TblCalculs[Mois],AD$33),SUMIFS(TblCalculs[Workers],TblCalculs[Cluster],$B38,TblCalculs[Mois],AD$33))))</f>
        <v>6</v>
      </c>
      <c r="AE38" s="40">
        <f>IF(OR($A38="",AE$33=""),"",IF(ca_mesure="CPU",SUMIFS(TblCalculs[CPU provisionné],TblCalculs[Cluster],$B38,TblCalculs[Mois],AE$33),IF(ca_mesure="RAM",SUMIFS(TblCalculs[RAM provisionnée],TblCalculs[Cluster],$B38,TblCalculs[Mois],AE$33),SUMIFS(TblCalculs[Workers],TblCalculs[Cluster],$B38,TblCalculs[Mois],AE$33))))</f>
        <v>6</v>
      </c>
      <c r="AF38" s="40">
        <f>IF(OR($A38="",AF$33=""),"",IF(ca_mesure="CPU",SUMIFS(TblCalculs[CPU provisionné],TblCalculs[Cluster],$B38,TblCalculs[Mois],AF$33),IF(ca_mesure="RAM",SUMIFS(TblCalculs[RAM provisionnée],TblCalculs[Cluster],$B38,TblCalculs[Mois],AF$33),SUMIFS(TblCalculs[Workers],TblCalculs[Cluster],$B38,TblCalculs[Mois],AF$33))))</f>
        <v>6</v>
      </c>
      <c r="AG38" s="40">
        <f>IF(OR($A38="",AG$33=""),"",IF(ca_mesure="CPU",SUMIFS(TblCalculs[CPU provisionné],TblCalculs[Cluster],$B38,TblCalculs[Mois],AG$33),IF(ca_mesure="RAM",SUMIFS(TblCalculs[RAM provisionnée],TblCalculs[Cluster],$B38,TblCalculs[Mois],AG$33),SUMIFS(TblCalculs[Workers],TblCalculs[Cluster],$B38,TblCalculs[Mois],AG$33))))</f>
        <v>6</v>
      </c>
      <c r="AH38" s="40">
        <f>IF(OR($A38="",AH$33=""),"",IF(ca_mesure="CPU",SUMIFS(TblCalculs[CPU provisionné],TblCalculs[Cluster],$B38,TblCalculs[Mois],AH$33),IF(ca_mesure="RAM",SUMIFS(TblCalculs[RAM provisionnée],TblCalculs[Cluster],$B38,TblCalculs[Mois],AH$33),SUMIFS(TblCalculs[Workers],TblCalculs[Cluster],$B38,TblCalculs[Mois],AH$33))))</f>
        <v>6</v>
      </c>
      <c r="AI38" s="40">
        <f>IF(OR($A38="",AI$33=""),"",IF(ca_mesure="CPU",SUMIFS(TblCalculs[CPU provisionné],TblCalculs[Cluster],$B38,TblCalculs[Mois],AI$33),IF(ca_mesure="RAM",SUMIFS(TblCalculs[RAM provisionnée],TblCalculs[Cluster],$B38,TblCalculs[Mois],AI$33),SUMIFS(TblCalculs[Workers],TblCalculs[Cluster],$B38,TblCalculs[Mois],AI$33))))</f>
        <v>6</v>
      </c>
      <c r="AJ38" s="40">
        <f>IF(OR($A38="",AJ$33=""),"",IF(ca_mesure="CPU",SUMIFS(TblCalculs[CPU provisionné],TblCalculs[Cluster],$B38,TblCalculs[Mois],AJ$33),IF(ca_mesure="RAM",SUMIFS(TblCalculs[RAM provisionnée],TblCalculs[Cluster],$B38,TblCalculs[Mois],AJ$33),SUMIFS(TblCalculs[Workers],TblCalculs[Cluster],$B38,TblCalculs[Mois],AJ$33))))</f>
        <v>6</v>
      </c>
      <c r="AK38" s="40">
        <f>IF(OR($A38="",AK$33=""),"",IF(ca_mesure="CPU",SUMIFS(TblCalculs[CPU provisionné],TblCalculs[Cluster],$B38,TblCalculs[Mois],AK$33),IF(ca_mesure="RAM",SUMIFS(TblCalculs[RAM provisionnée],TblCalculs[Cluster],$B38,TblCalculs[Mois],AK$33),SUMIFS(TblCalculs[Workers],TblCalculs[Cluster],$B38,TblCalculs[Mois],AK$33))))</f>
        <v>6</v>
      </c>
      <c r="AL38" s="40">
        <f>IF(OR($A38="",AL$33=""),"",IF(ca_mesure="CPU",SUMIFS(TblCalculs[CPU provisionné],TblCalculs[Cluster],$B38,TblCalculs[Mois],AL$33),IF(ca_mesure="RAM",SUMIFS(TblCalculs[RAM provisionnée],TblCalculs[Cluster],$B38,TblCalculs[Mois],AL$33),SUMIFS(TblCalculs[Workers],TblCalculs[Cluster],$B38,TblCalculs[Mois],AL$33))))</f>
        <v>6</v>
      </c>
      <c r="AM38" s="40">
        <f>IF(OR($A38="",AM$33=""),"",IF(ca_mesure="CPU",SUMIFS(TblCalculs[CPU provisionné],TblCalculs[Cluster],$B38,TblCalculs[Mois],AM$33),IF(ca_mesure="RAM",SUMIFS(TblCalculs[RAM provisionnée],TblCalculs[Cluster],$B38,TblCalculs[Mois],AM$33),SUMIFS(TblCalculs[Workers],TblCalculs[Cluster],$B38,TblCalculs[Mois],AM$33))))</f>
        <v>6</v>
      </c>
      <c r="AN38" s="40">
        <f>IF(OR($A38="",AN$33=""),"",IF(ca_mesure="CPU",SUMIFS(TblCalculs[CPU provisionné],TblCalculs[Cluster],$B38,TblCalculs[Mois],AN$33),IF(ca_mesure="RAM",SUMIFS(TblCalculs[RAM provisionnée],TblCalculs[Cluster],$B38,TblCalculs[Mois],AN$33),SUMIFS(TblCalculs[Workers],TblCalculs[Cluster],$B38,TblCalculs[Mois],AN$33))))</f>
        <v>6</v>
      </c>
      <c r="AO38" s="40">
        <f>IF(OR($A38="",AO$33=""),"",IF(ca_mesure="CPU",SUMIFS(TblCalculs[CPU provisionné],TblCalculs[Cluster],$B38,TblCalculs[Mois],AO$33),IF(ca_mesure="RAM",SUMIFS(TblCalculs[RAM provisionnée],TblCalculs[Cluster],$B38,TblCalculs[Mois],AO$33),SUMIFS(TblCalculs[Workers],TblCalculs[Cluster],$B38,TblCalculs[Mois],AO$33))))</f>
        <v>6</v>
      </c>
    </row>
    <row r="39" spans="1:41" x14ac:dyDescent="0.2">
      <c r="A39" s="37">
        <f>IFERROR(MATCH(6,TblClusters[Rang capacités],0),"")</f>
        <v>6</v>
      </c>
      <c r="B39" s="38" t="str">
        <f>IF($A39="","",INDEX(TblClusters[Cluster],$A39))</f>
        <v>oc002i000850</v>
      </c>
      <c r="C39" s="39" t="str">
        <f>IF($A39="","",INDEX(TblClusters[Plateforme],$A39))</f>
        <v>ROKS</v>
      </c>
      <c r="D39" s="39" t="str">
        <f>IF($A39="","",INDEX(TblClusters[Environnement],$A39))</f>
        <v>PRD</v>
      </c>
      <c r="E39" s="39" t="str">
        <f>IF($A39="","",INDEX(TblClusters[Flavor],$A39))</f>
        <v>bx3d.8x40</v>
      </c>
      <c r="F39" s="40">
        <f>IF(OR($A39="",F$33=""),"",IF(ca_mesure="CPU",SUMIFS(TblCalculs[CPU provisionné],TblCalculs[Cluster],$B39,TblCalculs[Mois],F$33),IF(ca_mesure="RAM",SUMIFS(TblCalculs[RAM provisionnée],TblCalculs[Cluster],$B39,TblCalculs[Mois],F$33),SUMIFS(TblCalculs[Workers],TblCalculs[Cluster],$B39,TblCalculs[Mois],F$33))))</f>
        <v>6</v>
      </c>
      <c r="G39" s="40">
        <f>IF(OR($A39="",G$33=""),"",IF(ca_mesure="CPU",SUMIFS(TblCalculs[CPU provisionné],TblCalculs[Cluster],$B39,TblCalculs[Mois],G$33),IF(ca_mesure="RAM",SUMIFS(TblCalculs[RAM provisionnée],TblCalculs[Cluster],$B39,TblCalculs[Mois],G$33),SUMIFS(TblCalculs[Workers],TblCalculs[Cluster],$B39,TblCalculs[Mois],G$33))))</f>
        <v>6</v>
      </c>
      <c r="H39" s="40">
        <f>IF(OR($A39="",H$33=""),"",IF(ca_mesure="CPU",SUMIFS(TblCalculs[CPU provisionné],TblCalculs[Cluster],$B39,TblCalculs[Mois],H$33),IF(ca_mesure="RAM",SUMIFS(TblCalculs[RAM provisionnée],TblCalculs[Cluster],$B39,TblCalculs[Mois],H$33),SUMIFS(TblCalculs[Workers],TblCalculs[Cluster],$B39,TblCalculs[Mois],H$33))))</f>
        <v>6</v>
      </c>
      <c r="I39" s="40">
        <f>IF(OR($A39="",I$33=""),"",IF(ca_mesure="CPU",SUMIFS(TblCalculs[CPU provisionné],TblCalculs[Cluster],$B39,TblCalculs[Mois],I$33),IF(ca_mesure="RAM",SUMIFS(TblCalculs[RAM provisionnée],TblCalculs[Cluster],$B39,TblCalculs[Mois],I$33),SUMIFS(TblCalculs[Workers],TblCalculs[Cluster],$B39,TblCalculs[Mois],I$33))))</f>
        <v>6</v>
      </c>
      <c r="J39" s="40">
        <f>IF(OR($A39="",J$33=""),"",IF(ca_mesure="CPU",SUMIFS(TblCalculs[CPU provisionné],TblCalculs[Cluster],$B39,TblCalculs[Mois],J$33),IF(ca_mesure="RAM",SUMIFS(TblCalculs[RAM provisionnée],TblCalculs[Cluster],$B39,TblCalculs[Mois],J$33),SUMIFS(TblCalculs[Workers],TblCalculs[Cluster],$B39,TblCalculs[Mois],J$33))))</f>
        <v>6</v>
      </c>
      <c r="K39" s="40">
        <f>IF(OR($A39="",K$33=""),"",IF(ca_mesure="CPU",SUMIFS(TblCalculs[CPU provisionné],TblCalculs[Cluster],$B39,TblCalculs[Mois],K$33),IF(ca_mesure="RAM",SUMIFS(TblCalculs[RAM provisionnée],TblCalculs[Cluster],$B39,TblCalculs[Mois],K$33),SUMIFS(TblCalculs[Workers],TblCalculs[Cluster],$B39,TblCalculs[Mois],K$33))))</f>
        <v>6</v>
      </c>
      <c r="L39" s="40">
        <f>IF(OR($A39="",L$33=""),"",IF(ca_mesure="CPU",SUMIFS(TblCalculs[CPU provisionné],TblCalculs[Cluster],$B39,TblCalculs[Mois],L$33),IF(ca_mesure="RAM",SUMIFS(TblCalculs[RAM provisionnée],TblCalculs[Cluster],$B39,TblCalculs[Mois],L$33),SUMIFS(TblCalculs[Workers],TblCalculs[Cluster],$B39,TblCalculs[Mois],L$33))))</f>
        <v>6</v>
      </c>
      <c r="M39" s="40">
        <f>IF(OR($A39="",M$33=""),"",IF(ca_mesure="CPU",SUMIFS(TblCalculs[CPU provisionné],TblCalculs[Cluster],$B39,TblCalculs[Mois],M$33),IF(ca_mesure="RAM",SUMIFS(TblCalculs[RAM provisionnée],TblCalculs[Cluster],$B39,TblCalculs[Mois],M$33),SUMIFS(TblCalculs[Workers],TblCalculs[Cluster],$B39,TblCalculs[Mois],M$33))))</f>
        <v>6</v>
      </c>
      <c r="N39" s="40">
        <f>IF(OR($A39="",N$33=""),"",IF(ca_mesure="CPU",SUMIFS(TblCalculs[CPU provisionné],TblCalculs[Cluster],$B39,TblCalculs[Mois],N$33),IF(ca_mesure="RAM",SUMIFS(TblCalculs[RAM provisionnée],TblCalculs[Cluster],$B39,TblCalculs[Mois],N$33),SUMIFS(TblCalculs[Workers],TblCalculs[Cluster],$B39,TblCalculs[Mois],N$33))))</f>
        <v>6</v>
      </c>
      <c r="O39" s="40">
        <f>IF(OR($A39="",O$33=""),"",IF(ca_mesure="CPU",SUMIFS(TblCalculs[CPU provisionné],TblCalculs[Cluster],$B39,TblCalculs[Mois],O$33),IF(ca_mesure="RAM",SUMIFS(TblCalculs[RAM provisionnée],TblCalculs[Cluster],$B39,TblCalculs[Mois],O$33),SUMIFS(TblCalculs[Workers],TblCalculs[Cluster],$B39,TblCalculs[Mois],O$33))))</f>
        <v>6</v>
      </c>
      <c r="P39" s="40">
        <f>IF(OR($A39="",P$33=""),"",IF(ca_mesure="CPU",SUMIFS(TblCalculs[CPU provisionné],TblCalculs[Cluster],$B39,TblCalculs[Mois],P$33),IF(ca_mesure="RAM",SUMIFS(TblCalculs[RAM provisionnée],TblCalculs[Cluster],$B39,TblCalculs[Mois],P$33),SUMIFS(TblCalculs[Workers],TblCalculs[Cluster],$B39,TblCalculs[Mois],P$33))))</f>
        <v>6</v>
      </c>
      <c r="Q39" s="40">
        <f>IF(OR($A39="",Q$33=""),"",IF(ca_mesure="CPU",SUMIFS(TblCalculs[CPU provisionné],TblCalculs[Cluster],$B39,TblCalculs[Mois],Q$33),IF(ca_mesure="RAM",SUMIFS(TblCalculs[RAM provisionnée],TblCalculs[Cluster],$B39,TblCalculs[Mois],Q$33),SUMIFS(TblCalculs[Workers],TblCalculs[Cluster],$B39,TblCalculs[Mois],Q$33))))</f>
        <v>6</v>
      </c>
      <c r="R39" s="40">
        <f>IF(OR($A39="",R$33=""),"",IF(ca_mesure="CPU",SUMIFS(TblCalculs[CPU provisionné],TblCalculs[Cluster],$B39,TblCalculs[Mois],R$33),IF(ca_mesure="RAM",SUMIFS(TblCalculs[RAM provisionnée],TblCalculs[Cluster],$B39,TblCalculs[Mois],R$33),SUMIFS(TblCalculs[Workers],TblCalculs[Cluster],$B39,TblCalculs[Mois],R$33))))</f>
        <v>6</v>
      </c>
      <c r="S39" s="40">
        <f>IF(OR($A39="",S$33=""),"",IF(ca_mesure="CPU",SUMIFS(TblCalculs[CPU provisionné],TblCalculs[Cluster],$B39,TblCalculs[Mois],S$33),IF(ca_mesure="RAM",SUMIFS(TblCalculs[RAM provisionnée],TblCalculs[Cluster],$B39,TblCalculs[Mois],S$33),SUMIFS(TblCalculs[Workers],TblCalculs[Cluster],$B39,TblCalculs[Mois],S$33))))</f>
        <v>6</v>
      </c>
      <c r="T39" s="40">
        <f>IF(OR($A39="",T$33=""),"",IF(ca_mesure="CPU",SUMIFS(TblCalculs[CPU provisionné],TblCalculs[Cluster],$B39,TblCalculs[Mois],T$33),IF(ca_mesure="RAM",SUMIFS(TblCalculs[RAM provisionnée],TblCalculs[Cluster],$B39,TblCalculs[Mois],T$33),SUMIFS(TblCalculs[Workers],TblCalculs[Cluster],$B39,TblCalculs[Mois],T$33))))</f>
        <v>6</v>
      </c>
      <c r="U39" s="40">
        <f>IF(OR($A39="",U$33=""),"",IF(ca_mesure="CPU",SUMIFS(TblCalculs[CPU provisionné],TblCalculs[Cluster],$B39,TblCalculs[Mois],U$33),IF(ca_mesure="RAM",SUMIFS(TblCalculs[RAM provisionnée],TblCalculs[Cluster],$B39,TblCalculs[Mois],U$33),SUMIFS(TblCalculs[Workers],TblCalculs[Cluster],$B39,TblCalculs[Mois],U$33))))</f>
        <v>6</v>
      </c>
      <c r="V39" s="40">
        <f>IF(OR($A39="",V$33=""),"",IF(ca_mesure="CPU",SUMIFS(TblCalculs[CPU provisionné],TblCalculs[Cluster],$B39,TblCalculs[Mois],V$33),IF(ca_mesure="RAM",SUMIFS(TblCalculs[RAM provisionnée],TblCalculs[Cluster],$B39,TblCalculs[Mois],V$33),SUMIFS(TblCalculs[Workers],TblCalculs[Cluster],$B39,TblCalculs[Mois],V$33))))</f>
        <v>6</v>
      </c>
      <c r="W39" s="40">
        <f>IF(OR($A39="",W$33=""),"",IF(ca_mesure="CPU",SUMIFS(TblCalculs[CPU provisionné],TblCalculs[Cluster],$B39,TblCalculs[Mois],W$33),IF(ca_mesure="RAM",SUMIFS(TblCalculs[RAM provisionnée],TblCalculs[Cluster],$B39,TblCalculs[Mois],W$33),SUMIFS(TblCalculs[Workers],TblCalculs[Cluster],$B39,TblCalculs[Mois],W$33))))</f>
        <v>6</v>
      </c>
      <c r="X39" s="40">
        <f>IF(OR($A39="",X$33=""),"",IF(ca_mesure="CPU",SUMIFS(TblCalculs[CPU provisionné],TblCalculs[Cluster],$B39,TblCalculs[Mois],X$33),IF(ca_mesure="RAM",SUMIFS(TblCalculs[RAM provisionnée],TblCalculs[Cluster],$B39,TblCalculs[Mois],X$33),SUMIFS(TblCalculs[Workers],TblCalculs[Cluster],$B39,TblCalculs[Mois],X$33))))</f>
        <v>6</v>
      </c>
      <c r="Y39" s="40">
        <f>IF(OR($A39="",Y$33=""),"",IF(ca_mesure="CPU",SUMIFS(TblCalculs[CPU provisionné],TblCalculs[Cluster],$B39,TblCalculs[Mois],Y$33),IF(ca_mesure="RAM",SUMIFS(TblCalculs[RAM provisionnée],TblCalculs[Cluster],$B39,TblCalculs[Mois],Y$33),SUMIFS(TblCalculs[Workers],TblCalculs[Cluster],$B39,TblCalculs[Mois],Y$33))))</f>
        <v>6</v>
      </c>
      <c r="Z39" s="40">
        <f>IF(OR($A39="",Z$33=""),"",IF(ca_mesure="CPU",SUMIFS(TblCalculs[CPU provisionné],TblCalculs[Cluster],$B39,TblCalculs[Mois],Z$33),IF(ca_mesure="RAM",SUMIFS(TblCalculs[RAM provisionnée],TblCalculs[Cluster],$B39,TblCalculs[Mois],Z$33),SUMIFS(TblCalculs[Workers],TblCalculs[Cluster],$B39,TblCalculs[Mois],Z$33))))</f>
        <v>6</v>
      </c>
      <c r="AA39" s="40">
        <f>IF(OR($A39="",AA$33=""),"",IF(ca_mesure="CPU",SUMIFS(TblCalculs[CPU provisionné],TblCalculs[Cluster],$B39,TblCalculs[Mois],AA$33),IF(ca_mesure="RAM",SUMIFS(TblCalculs[RAM provisionnée],TblCalculs[Cluster],$B39,TblCalculs[Mois],AA$33),SUMIFS(TblCalculs[Workers],TblCalculs[Cluster],$B39,TblCalculs[Mois],AA$33))))</f>
        <v>6</v>
      </c>
      <c r="AB39" s="40">
        <f>IF(OR($A39="",AB$33=""),"",IF(ca_mesure="CPU",SUMIFS(TblCalculs[CPU provisionné],TblCalculs[Cluster],$B39,TblCalculs[Mois],AB$33),IF(ca_mesure="RAM",SUMIFS(TblCalculs[RAM provisionnée],TblCalculs[Cluster],$B39,TblCalculs[Mois],AB$33),SUMIFS(TblCalculs[Workers],TblCalculs[Cluster],$B39,TblCalculs[Mois],AB$33))))</f>
        <v>6</v>
      </c>
      <c r="AC39" s="40">
        <f>IF(OR($A39="",AC$33=""),"",IF(ca_mesure="CPU",SUMIFS(TblCalculs[CPU provisionné],TblCalculs[Cluster],$B39,TblCalculs[Mois],AC$33),IF(ca_mesure="RAM",SUMIFS(TblCalculs[RAM provisionnée],TblCalculs[Cluster],$B39,TblCalculs[Mois],AC$33),SUMIFS(TblCalculs[Workers],TblCalculs[Cluster],$B39,TblCalculs[Mois],AC$33))))</f>
        <v>6</v>
      </c>
      <c r="AD39" s="40">
        <f>IF(OR($A39="",AD$33=""),"",IF(ca_mesure="CPU",SUMIFS(TblCalculs[CPU provisionné],TblCalculs[Cluster],$B39,TblCalculs[Mois],AD$33),IF(ca_mesure="RAM",SUMIFS(TblCalculs[RAM provisionnée],TblCalculs[Cluster],$B39,TblCalculs[Mois],AD$33),SUMIFS(TblCalculs[Workers],TblCalculs[Cluster],$B39,TblCalculs[Mois],AD$33))))</f>
        <v>6</v>
      </c>
      <c r="AE39" s="40">
        <f>IF(OR($A39="",AE$33=""),"",IF(ca_mesure="CPU",SUMIFS(TblCalculs[CPU provisionné],TblCalculs[Cluster],$B39,TblCalculs[Mois],AE$33),IF(ca_mesure="RAM",SUMIFS(TblCalculs[RAM provisionnée],TblCalculs[Cluster],$B39,TblCalculs[Mois],AE$33),SUMIFS(TblCalculs[Workers],TblCalculs[Cluster],$B39,TblCalculs[Mois],AE$33))))</f>
        <v>6</v>
      </c>
      <c r="AF39" s="40">
        <f>IF(OR($A39="",AF$33=""),"",IF(ca_mesure="CPU",SUMIFS(TblCalculs[CPU provisionné],TblCalculs[Cluster],$B39,TblCalculs[Mois],AF$33),IF(ca_mesure="RAM",SUMIFS(TblCalculs[RAM provisionnée],TblCalculs[Cluster],$B39,TblCalculs[Mois],AF$33),SUMIFS(TblCalculs[Workers],TblCalculs[Cluster],$B39,TblCalculs[Mois],AF$33))))</f>
        <v>6</v>
      </c>
      <c r="AG39" s="40">
        <f>IF(OR($A39="",AG$33=""),"",IF(ca_mesure="CPU",SUMIFS(TblCalculs[CPU provisionné],TblCalculs[Cluster],$B39,TblCalculs[Mois],AG$33),IF(ca_mesure="RAM",SUMIFS(TblCalculs[RAM provisionnée],TblCalculs[Cluster],$B39,TblCalculs[Mois],AG$33),SUMIFS(TblCalculs[Workers],TblCalculs[Cluster],$B39,TblCalculs[Mois],AG$33))))</f>
        <v>6</v>
      </c>
      <c r="AH39" s="40">
        <f>IF(OR($A39="",AH$33=""),"",IF(ca_mesure="CPU",SUMIFS(TblCalculs[CPU provisionné],TblCalculs[Cluster],$B39,TblCalculs[Mois],AH$33),IF(ca_mesure="RAM",SUMIFS(TblCalculs[RAM provisionnée],TblCalculs[Cluster],$B39,TblCalculs[Mois],AH$33),SUMIFS(TblCalculs[Workers],TblCalculs[Cluster],$B39,TblCalculs[Mois],AH$33))))</f>
        <v>6</v>
      </c>
      <c r="AI39" s="40">
        <f>IF(OR($A39="",AI$33=""),"",IF(ca_mesure="CPU",SUMIFS(TblCalculs[CPU provisionné],TblCalculs[Cluster],$B39,TblCalculs[Mois],AI$33),IF(ca_mesure="RAM",SUMIFS(TblCalculs[RAM provisionnée],TblCalculs[Cluster],$B39,TblCalculs[Mois],AI$33),SUMIFS(TblCalculs[Workers],TblCalculs[Cluster],$B39,TblCalculs[Mois],AI$33))))</f>
        <v>6</v>
      </c>
      <c r="AJ39" s="40">
        <f>IF(OR($A39="",AJ$33=""),"",IF(ca_mesure="CPU",SUMIFS(TblCalculs[CPU provisionné],TblCalculs[Cluster],$B39,TblCalculs[Mois],AJ$33),IF(ca_mesure="RAM",SUMIFS(TblCalculs[RAM provisionnée],TblCalculs[Cluster],$B39,TblCalculs[Mois],AJ$33),SUMIFS(TblCalculs[Workers],TblCalculs[Cluster],$B39,TblCalculs[Mois],AJ$33))))</f>
        <v>6</v>
      </c>
      <c r="AK39" s="40">
        <f>IF(OR($A39="",AK$33=""),"",IF(ca_mesure="CPU",SUMIFS(TblCalculs[CPU provisionné],TblCalculs[Cluster],$B39,TblCalculs[Mois],AK$33),IF(ca_mesure="RAM",SUMIFS(TblCalculs[RAM provisionnée],TblCalculs[Cluster],$B39,TblCalculs[Mois],AK$33),SUMIFS(TblCalculs[Workers],TblCalculs[Cluster],$B39,TblCalculs[Mois],AK$33))))</f>
        <v>6</v>
      </c>
      <c r="AL39" s="40">
        <f>IF(OR($A39="",AL$33=""),"",IF(ca_mesure="CPU",SUMIFS(TblCalculs[CPU provisionné],TblCalculs[Cluster],$B39,TblCalculs[Mois],AL$33),IF(ca_mesure="RAM",SUMIFS(TblCalculs[RAM provisionnée],TblCalculs[Cluster],$B39,TblCalculs[Mois],AL$33),SUMIFS(TblCalculs[Workers],TblCalculs[Cluster],$B39,TblCalculs[Mois],AL$33))))</f>
        <v>6</v>
      </c>
      <c r="AM39" s="40">
        <f>IF(OR($A39="",AM$33=""),"",IF(ca_mesure="CPU",SUMIFS(TblCalculs[CPU provisionné],TblCalculs[Cluster],$B39,TblCalculs[Mois],AM$33),IF(ca_mesure="RAM",SUMIFS(TblCalculs[RAM provisionnée],TblCalculs[Cluster],$B39,TblCalculs[Mois],AM$33),SUMIFS(TblCalculs[Workers],TblCalculs[Cluster],$B39,TblCalculs[Mois],AM$33))))</f>
        <v>6</v>
      </c>
      <c r="AN39" s="40">
        <f>IF(OR($A39="",AN$33=""),"",IF(ca_mesure="CPU",SUMIFS(TblCalculs[CPU provisionné],TblCalculs[Cluster],$B39,TblCalculs[Mois],AN$33),IF(ca_mesure="RAM",SUMIFS(TblCalculs[RAM provisionnée],TblCalculs[Cluster],$B39,TblCalculs[Mois],AN$33),SUMIFS(TblCalculs[Workers],TblCalculs[Cluster],$B39,TblCalculs[Mois],AN$33))))</f>
        <v>6</v>
      </c>
      <c r="AO39" s="40">
        <f>IF(OR($A39="",AO$33=""),"",IF(ca_mesure="CPU",SUMIFS(TblCalculs[CPU provisionné],TblCalculs[Cluster],$B39,TblCalculs[Mois],AO$33),IF(ca_mesure="RAM",SUMIFS(TblCalculs[RAM provisionnée],TblCalculs[Cluster],$B39,TblCalculs[Mois],AO$33),SUMIFS(TblCalculs[Workers],TblCalculs[Cluster],$B39,TblCalculs[Mois],AO$33))))</f>
        <v>6</v>
      </c>
    </row>
    <row r="40" spans="1:41" x14ac:dyDescent="0.2">
      <c r="A40" s="37">
        <f>IFERROR(MATCH(7,TblClusters[Rang capacités],0),"")</f>
        <v>7</v>
      </c>
      <c r="B40" s="38" t="str">
        <f>IF($A40="","",INDEX(TblClusters[Cluster],$A40))</f>
        <v>oc002i001009</v>
      </c>
      <c r="C40" s="39" t="str">
        <f>IF($A40="","",INDEX(TblClusters[Plateforme],$A40))</f>
        <v>ROKS</v>
      </c>
      <c r="D40" s="39" t="str">
        <f>IF($A40="","",INDEX(TblClusters[Environnement],$A40))</f>
        <v>NPRD</v>
      </c>
      <c r="E40" s="39">
        <f>IF($A40="","",INDEX(TblClusters[Flavor],$A40))</f>
        <v>0</v>
      </c>
      <c r="F40" s="40">
        <f>IF(OR($A40="",F$33=""),"",IF(ca_mesure="CPU",SUMIFS(TblCalculs[CPU provisionné],TblCalculs[Cluster],$B40,TblCalculs[Mois],F$33),IF(ca_mesure="RAM",SUMIFS(TblCalculs[RAM provisionnée],TblCalculs[Cluster],$B40,TblCalculs[Mois],F$33),SUMIFS(TblCalculs[Workers],TblCalculs[Cluster],$B40,TblCalculs[Mois],F$33))))</f>
        <v>0</v>
      </c>
      <c r="G40" s="40">
        <f>IF(OR($A40="",G$33=""),"",IF(ca_mesure="CPU",SUMIFS(TblCalculs[CPU provisionné],TblCalculs[Cluster],$B40,TblCalculs[Mois],G$33),IF(ca_mesure="RAM",SUMIFS(TblCalculs[RAM provisionnée],TblCalculs[Cluster],$B40,TblCalculs[Mois],G$33),SUMIFS(TblCalculs[Workers],TblCalculs[Cluster],$B40,TblCalculs[Mois],G$33))))</f>
        <v>0</v>
      </c>
      <c r="H40" s="40">
        <f>IF(OR($A40="",H$33=""),"",IF(ca_mesure="CPU",SUMIFS(TblCalculs[CPU provisionné],TblCalculs[Cluster],$B40,TblCalculs[Mois],H$33),IF(ca_mesure="RAM",SUMIFS(TblCalculs[RAM provisionnée],TblCalculs[Cluster],$B40,TblCalculs[Mois],H$33),SUMIFS(TblCalculs[Workers],TblCalculs[Cluster],$B40,TblCalculs[Mois],H$33))))</f>
        <v>0</v>
      </c>
      <c r="I40" s="40">
        <f>IF(OR($A40="",I$33=""),"",IF(ca_mesure="CPU",SUMIFS(TblCalculs[CPU provisionné],TblCalculs[Cluster],$B40,TblCalculs[Mois],I$33),IF(ca_mesure="RAM",SUMIFS(TblCalculs[RAM provisionnée],TblCalculs[Cluster],$B40,TblCalculs[Mois],I$33),SUMIFS(TblCalculs[Workers],TblCalculs[Cluster],$B40,TblCalculs[Mois],I$33))))</f>
        <v>0</v>
      </c>
      <c r="J40" s="40">
        <f>IF(OR($A40="",J$33=""),"",IF(ca_mesure="CPU",SUMIFS(TblCalculs[CPU provisionné],TblCalculs[Cluster],$B40,TblCalculs[Mois],J$33),IF(ca_mesure="RAM",SUMIFS(TblCalculs[RAM provisionnée],TblCalculs[Cluster],$B40,TblCalculs[Mois],J$33),SUMIFS(TblCalculs[Workers],TblCalculs[Cluster],$B40,TblCalculs[Mois],J$33))))</f>
        <v>0</v>
      </c>
      <c r="K40" s="40">
        <f>IF(OR($A40="",K$33=""),"",IF(ca_mesure="CPU",SUMIFS(TblCalculs[CPU provisionné],TblCalculs[Cluster],$B40,TblCalculs[Mois],K$33),IF(ca_mesure="RAM",SUMIFS(TblCalculs[RAM provisionnée],TblCalculs[Cluster],$B40,TblCalculs[Mois],K$33),SUMIFS(TblCalculs[Workers],TblCalculs[Cluster],$B40,TblCalculs[Mois],K$33))))</f>
        <v>0</v>
      </c>
      <c r="L40" s="40">
        <f>IF(OR($A40="",L$33=""),"",IF(ca_mesure="CPU",SUMIFS(TblCalculs[CPU provisionné],TblCalculs[Cluster],$B40,TblCalculs[Mois],L$33),IF(ca_mesure="RAM",SUMIFS(TblCalculs[RAM provisionnée],TblCalculs[Cluster],$B40,TblCalculs[Mois],L$33),SUMIFS(TblCalculs[Workers],TblCalculs[Cluster],$B40,TblCalculs[Mois],L$33))))</f>
        <v>0</v>
      </c>
      <c r="M40" s="40">
        <f>IF(OR($A40="",M$33=""),"",IF(ca_mesure="CPU",SUMIFS(TblCalculs[CPU provisionné],TblCalculs[Cluster],$B40,TblCalculs[Mois],M$33),IF(ca_mesure="RAM",SUMIFS(TblCalculs[RAM provisionnée],TblCalculs[Cluster],$B40,TblCalculs[Mois],M$33),SUMIFS(TblCalculs[Workers],TblCalculs[Cluster],$B40,TblCalculs[Mois],M$33))))</f>
        <v>0</v>
      </c>
      <c r="N40" s="40">
        <f>IF(OR($A40="",N$33=""),"",IF(ca_mesure="CPU",SUMIFS(TblCalculs[CPU provisionné],TblCalculs[Cluster],$B40,TblCalculs[Mois],N$33),IF(ca_mesure="RAM",SUMIFS(TblCalculs[RAM provisionnée],TblCalculs[Cluster],$B40,TblCalculs[Mois],N$33),SUMIFS(TblCalculs[Workers],TblCalculs[Cluster],$B40,TblCalculs[Mois],N$33))))</f>
        <v>0</v>
      </c>
      <c r="O40" s="40">
        <f>IF(OR($A40="",O$33=""),"",IF(ca_mesure="CPU",SUMIFS(TblCalculs[CPU provisionné],TblCalculs[Cluster],$B40,TblCalculs[Mois],O$33),IF(ca_mesure="RAM",SUMIFS(TblCalculs[RAM provisionnée],TblCalculs[Cluster],$B40,TblCalculs[Mois],O$33),SUMIFS(TblCalculs[Workers],TblCalculs[Cluster],$B40,TblCalculs[Mois],O$33))))</f>
        <v>0</v>
      </c>
      <c r="P40" s="40">
        <f>IF(OR($A40="",P$33=""),"",IF(ca_mesure="CPU",SUMIFS(TblCalculs[CPU provisionné],TblCalculs[Cluster],$B40,TblCalculs[Mois],P$33),IF(ca_mesure="RAM",SUMIFS(TblCalculs[RAM provisionnée],TblCalculs[Cluster],$B40,TblCalculs[Mois],P$33),SUMIFS(TblCalculs[Workers],TblCalculs[Cluster],$B40,TblCalculs[Mois],P$33))))</f>
        <v>0</v>
      </c>
      <c r="Q40" s="40">
        <f>IF(OR($A40="",Q$33=""),"",IF(ca_mesure="CPU",SUMIFS(TblCalculs[CPU provisionné],TblCalculs[Cluster],$B40,TblCalculs[Mois],Q$33),IF(ca_mesure="RAM",SUMIFS(TblCalculs[RAM provisionnée],TblCalculs[Cluster],$B40,TblCalculs[Mois],Q$33),SUMIFS(TblCalculs[Workers],TblCalculs[Cluster],$B40,TblCalculs[Mois],Q$33))))</f>
        <v>0</v>
      </c>
      <c r="R40" s="40">
        <f>IF(OR($A40="",R$33=""),"",IF(ca_mesure="CPU",SUMIFS(TblCalculs[CPU provisionné],TblCalculs[Cluster],$B40,TblCalculs[Mois],R$33),IF(ca_mesure="RAM",SUMIFS(TblCalculs[RAM provisionnée],TblCalculs[Cluster],$B40,TblCalculs[Mois],R$33),SUMIFS(TblCalculs[Workers],TblCalculs[Cluster],$B40,TblCalculs[Mois],R$33))))</f>
        <v>0</v>
      </c>
      <c r="S40" s="40">
        <f>IF(OR($A40="",S$33=""),"",IF(ca_mesure="CPU",SUMIFS(TblCalculs[CPU provisionné],TblCalculs[Cluster],$B40,TblCalculs[Mois],S$33),IF(ca_mesure="RAM",SUMIFS(TblCalculs[RAM provisionnée],TblCalculs[Cluster],$B40,TblCalculs[Mois],S$33),SUMIFS(TblCalculs[Workers],TblCalculs[Cluster],$B40,TblCalculs[Mois],S$33))))</f>
        <v>0</v>
      </c>
      <c r="T40" s="40">
        <f>IF(OR($A40="",T$33=""),"",IF(ca_mesure="CPU",SUMIFS(TblCalculs[CPU provisionné],TblCalculs[Cluster],$B40,TblCalculs[Mois],T$33),IF(ca_mesure="RAM",SUMIFS(TblCalculs[RAM provisionnée],TblCalculs[Cluster],$B40,TblCalculs[Mois],T$33),SUMIFS(TblCalculs[Workers],TblCalculs[Cluster],$B40,TblCalculs[Mois],T$33))))</f>
        <v>0</v>
      </c>
      <c r="U40" s="40">
        <f>IF(OR($A40="",U$33=""),"",IF(ca_mesure="CPU",SUMIFS(TblCalculs[CPU provisionné],TblCalculs[Cluster],$B40,TblCalculs[Mois],U$33),IF(ca_mesure="RAM",SUMIFS(TblCalculs[RAM provisionnée],TblCalculs[Cluster],$B40,TblCalculs[Mois],U$33),SUMIFS(TblCalculs[Workers],TblCalculs[Cluster],$B40,TblCalculs[Mois],U$33))))</f>
        <v>0</v>
      </c>
      <c r="V40" s="40">
        <f>IF(OR($A40="",V$33=""),"",IF(ca_mesure="CPU",SUMIFS(TblCalculs[CPU provisionné],TblCalculs[Cluster],$B40,TblCalculs[Mois],V$33),IF(ca_mesure="RAM",SUMIFS(TblCalculs[RAM provisionnée],TblCalculs[Cluster],$B40,TblCalculs[Mois],V$33),SUMIFS(TblCalculs[Workers],TblCalculs[Cluster],$B40,TblCalculs[Mois],V$33))))</f>
        <v>0</v>
      </c>
      <c r="W40" s="40">
        <f>IF(OR($A40="",W$33=""),"",IF(ca_mesure="CPU",SUMIFS(TblCalculs[CPU provisionné],TblCalculs[Cluster],$B40,TblCalculs[Mois],W$33),IF(ca_mesure="RAM",SUMIFS(TblCalculs[RAM provisionnée],TblCalculs[Cluster],$B40,TblCalculs[Mois],W$33),SUMIFS(TblCalculs[Workers],TblCalculs[Cluster],$B40,TblCalculs[Mois],W$33))))</f>
        <v>0</v>
      </c>
      <c r="X40" s="40">
        <f>IF(OR($A40="",X$33=""),"",IF(ca_mesure="CPU",SUMIFS(TblCalculs[CPU provisionné],TblCalculs[Cluster],$B40,TblCalculs[Mois],X$33),IF(ca_mesure="RAM",SUMIFS(TblCalculs[RAM provisionnée],TblCalculs[Cluster],$B40,TblCalculs[Mois],X$33),SUMIFS(TblCalculs[Workers],TblCalculs[Cluster],$B40,TblCalculs[Mois],X$33))))</f>
        <v>0</v>
      </c>
      <c r="Y40" s="40">
        <f>IF(OR($A40="",Y$33=""),"",IF(ca_mesure="CPU",SUMIFS(TblCalculs[CPU provisionné],TblCalculs[Cluster],$B40,TblCalculs[Mois],Y$33),IF(ca_mesure="RAM",SUMIFS(TblCalculs[RAM provisionnée],TblCalculs[Cluster],$B40,TblCalculs[Mois],Y$33),SUMIFS(TblCalculs[Workers],TblCalculs[Cluster],$B40,TblCalculs[Mois],Y$33))))</f>
        <v>0</v>
      </c>
      <c r="Z40" s="40">
        <f>IF(OR($A40="",Z$33=""),"",IF(ca_mesure="CPU",SUMIFS(TblCalculs[CPU provisionné],TblCalculs[Cluster],$B40,TblCalculs[Mois],Z$33),IF(ca_mesure="RAM",SUMIFS(TblCalculs[RAM provisionnée],TblCalculs[Cluster],$B40,TblCalculs[Mois],Z$33),SUMIFS(TblCalculs[Workers],TblCalculs[Cluster],$B40,TblCalculs[Mois],Z$33))))</f>
        <v>0</v>
      </c>
      <c r="AA40" s="40">
        <f>IF(OR($A40="",AA$33=""),"",IF(ca_mesure="CPU",SUMIFS(TblCalculs[CPU provisionné],TblCalculs[Cluster],$B40,TblCalculs[Mois],AA$33),IF(ca_mesure="RAM",SUMIFS(TblCalculs[RAM provisionnée],TblCalculs[Cluster],$B40,TblCalculs[Mois],AA$33),SUMIFS(TblCalculs[Workers],TblCalculs[Cluster],$B40,TblCalculs[Mois],AA$33))))</f>
        <v>0</v>
      </c>
      <c r="AB40" s="40">
        <f>IF(OR($A40="",AB$33=""),"",IF(ca_mesure="CPU",SUMIFS(TblCalculs[CPU provisionné],TblCalculs[Cluster],$B40,TblCalculs[Mois],AB$33),IF(ca_mesure="RAM",SUMIFS(TblCalculs[RAM provisionnée],TblCalculs[Cluster],$B40,TblCalculs[Mois],AB$33),SUMIFS(TblCalculs[Workers],TblCalculs[Cluster],$B40,TblCalculs[Mois],AB$33))))</f>
        <v>0</v>
      </c>
      <c r="AC40" s="40">
        <f>IF(OR($A40="",AC$33=""),"",IF(ca_mesure="CPU",SUMIFS(TblCalculs[CPU provisionné],TblCalculs[Cluster],$B40,TblCalculs[Mois],AC$33),IF(ca_mesure="RAM",SUMIFS(TblCalculs[RAM provisionnée],TblCalculs[Cluster],$B40,TblCalculs[Mois],AC$33),SUMIFS(TblCalculs[Workers],TblCalculs[Cluster],$B40,TblCalculs[Mois],AC$33))))</f>
        <v>0</v>
      </c>
      <c r="AD40" s="40">
        <f>IF(OR($A40="",AD$33=""),"",IF(ca_mesure="CPU",SUMIFS(TblCalculs[CPU provisionné],TblCalculs[Cluster],$B40,TblCalculs[Mois],AD$33),IF(ca_mesure="RAM",SUMIFS(TblCalculs[RAM provisionnée],TblCalculs[Cluster],$B40,TblCalculs[Mois],AD$33),SUMIFS(TblCalculs[Workers],TblCalculs[Cluster],$B40,TblCalculs[Mois],AD$33))))</f>
        <v>0</v>
      </c>
      <c r="AE40" s="40">
        <f>IF(OR($A40="",AE$33=""),"",IF(ca_mesure="CPU",SUMIFS(TblCalculs[CPU provisionné],TblCalculs[Cluster],$B40,TblCalculs[Mois],AE$33),IF(ca_mesure="RAM",SUMIFS(TblCalculs[RAM provisionnée],TblCalculs[Cluster],$B40,TblCalculs[Mois],AE$33),SUMIFS(TblCalculs[Workers],TblCalculs[Cluster],$B40,TblCalculs[Mois],AE$33))))</f>
        <v>0</v>
      </c>
      <c r="AF40" s="40">
        <f>IF(OR($A40="",AF$33=""),"",IF(ca_mesure="CPU",SUMIFS(TblCalculs[CPU provisionné],TblCalculs[Cluster],$B40,TblCalculs[Mois],AF$33),IF(ca_mesure="RAM",SUMIFS(TblCalculs[RAM provisionnée],TblCalculs[Cluster],$B40,TblCalculs[Mois],AF$33),SUMIFS(TblCalculs[Workers],TblCalculs[Cluster],$B40,TblCalculs[Mois],AF$33))))</f>
        <v>0</v>
      </c>
      <c r="AG40" s="40">
        <f>IF(OR($A40="",AG$33=""),"",IF(ca_mesure="CPU",SUMIFS(TblCalculs[CPU provisionné],TblCalculs[Cluster],$B40,TblCalculs[Mois],AG$33),IF(ca_mesure="RAM",SUMIFS(TblCalculs[RAM provisionnée],TblCalculs[Cluster],$B40,TblCalculs[Mois],AG$33),SUMIFS(TblCalculs[Workers],TblCalculs[Cluster],$B40,TblCalculs[Mois],AG$33))))</f>
        <v>0</v>
      </c>
      <c r="AH40" s="40">
        <f>IF(OR($A40="",AH$33=""),"",IF(ca_mesure="CPU",SUMIFS(TblCalculs[CPU provisionné],TblCalculs[Cluster],$B40,TblCalculs[Mois],AH$33),IF(ca_mesure="RAM",SUMIFS(TblCalculs[RAM provisionnée],TblCalculs[Cluster],$B40,TblCalculs[Mois],AH$33),SUMIFS(TblCalculs[Workers],TblCalculs[Cluster],$B40,TblCalculs[Mois],AH$33))))</f>
        <v>0</v>
      </c>
      <c r="AI40" s="40">
        <f>IF(OR($A40="",AI$33=""),"",IF(ca_mesure="CPU",SUMIFS(TblCalculs[CPU provisionné],TblCalculs[Cluster],$B40,TblCalculs[Mois],AI$33),IF(ca_mesure="RAM",SUMIFS(TblCalculs[RAM provisionnée],TblCalculs[Cluster],$B40,TblCalculs[Mois],AI$33),SUMIFS(TblCalculs[Workers],TblCalculs[Cluster],$B40,TblCalculs[Mois],AI$33))))</f>
        <v>0</v>
      </c>
      <c r="AJ40" s="40">
        <f>IF(OR($A40="",AJ$33=""),"",IF(ca_mesure="CPU",SUMIFS(TblCalculs[CPU provisionné],TblCalculs[Cluster],$B40,TblCalculs[Mois],AJ$33),IF(ca_mesure="RAM",SUMIFS(TblCalculs[RAM provisionnée],TblCalculs[Cluster],$B40,TblCalculs[Mois],AJ$33),SUMIFS(TblCalculs[Workers],TblCalculs[Cluster],$B40,TblCalculs[Mois],AJ$33))))</f>
        <v>0</v>
      </c>
      <c r="AK40" s="40">
        <f>IF(OR($A40="",AK$33=""),"",IF(ca_mesure="CPU",SUMIFS(TblCalculs[CPU provisionné],TblCalculs[Cluster],$B40,TblCalculs[Mois],AK$33),IF(ca_mesure="RAM",SUMIFS(TblCalculs[RAM provisionnée],TblCalculs[Cluster],$B40,TblCalculs[Mois],AK$33),SUMIFS(TblCalculs[Workers],TblCalculs[Cluster],$B40,TblCalculs[Mois],AK$33))))</f>
        <v>0</v>
      </c>
      <c r="AL40" s="40">
        <f>IF(OR($A40="",AL$33=""),"",IF(ca_mesure="CPU",SUMIFS(TblCalculs[CPU provisionné],TblCalculs[Cluster],$B40,TblCalculs[Mois],AL$33),IF(ca_mesure="RAM",SUMIFS(TblCalculs[RAM provisionnée],TblCalculs[Cluster],$B40,TblCalculs[Mois],AL$33),SUMIFS(TblCalculs[Workers],TblCalculs[Cluster],$B40,TblCalculs[Mois],AL$33))))</f>
        <v>0</v>
      </c>
      <c r="AM40" s="40">
        <f>IF(OR($A40="",AM$33=""),"",IF(ca_mesure="CPU",SUMIFS(TblCalculs[CPU provisionné],TblCalculs[Cluster],$B40,TblCalculs[Mois],AM$33),IF(ca_mesure="RAM",SUMIFS(TblCalculs[RAM provisionnée],TblCalculs[Cluster],$B40,TblCalculs[Mois],AM$33),SUMIFS(TblCalculs[Workers],TblCalculs[Cluster],$B40,TblCalculs[Mois],AM$33))))</f>
        <v>0</v>
      </c>
      <c r="AN40" s="40">
        <f>IF(OR($A40="",AN$33=""),"",IF(ca_mesure="CPU",SUMIFS(TblCalculs[CPU provisionné],TblCalculs[Cluster],$B40,TblCalculs[Mois],AN$33),IF(ca_mesure="RAM",SUMIFS(TblCalculs[RAM provisionnée],TblCalculs[Cluster],$B40,TblCalculs[Mois],AN$33),SUMIFS(TblCalculs[Workers],TblCalculs[Cluster],$B40,TblCalculs[Mois],AN$33))))</f>
        <v>0</v>
      </c>
      <c r="AO40" s="40">
        <f>IF(OR($A40="",AO$33=""),"",IF(ca_mesure="CPU",SUMIFS(TblCalculs[CPU provisionné],TblCalculs[Cluster],$B40,TblCalculs[Mois],AO$33),IF(ca_mesure="RAM",SUMIFS(TblCalculs[RAM provisionnée],TblCalculs[Cluster],$B40,TblCalculs[Mois],AO$33),SUMIFS(TblCalculs[Workers],TblCalculs[Cluster],$B40,TblCalculs[Mois],AO$33))))</f>
        <v>0</v>
      </c>
    </row>
    <row r="41" spans="1:41" x14ac:dyDescent="0.2">
      <c r="A41" s="37">
        <f>IFERROR(MATCH(8,TblClusters[Rang capacités],0),"")</f>
        <v>8</v>
      </c>
      <c r="B41" s="38" t="str">
        <f>IF($A41="","",INDEX(TblClusters[Cluster],$A41))</f>
        <v>oc002i001010</v>
      </c>
      <c r="C41" s="39" t="str">
        <f>IF($A41="","",INDEX(TblClusters[Plateforme],$A41))</f>
        <v>ROKS</v>
      </c>
      <c r="D41" s="39" t="str">
        <f>IF($A41="","",INDEX(TblClusters[Environnement],$A41))</f>
        <v>NPRD</v>
      </c>
      <c r="E41" s="39" t="str">
        <f>IF($A41="","",INDEX(TblClusters[Flavor],$A41))</f>
        <v>bx3d.8x40</v>
      </c>
      <c r="F41" s="40">
        <f>IF(OR($A41="",F$33=""),"",IF(ca_mesure="CPU",SUMIFS(TblCalculs[CPU provisionné],TblCalculs[Cluster],$B41,TblCalculs[Mois],F$33),IF(ca_mesure="RAM",SUMIFS(TblCalculs[RAM provisionnée],TblCalculs[Cluster],$B41,TblCalculs[Mois],F$33),SUMIFS(TblCalculs[Workers],TblCalculs[Cluster],$B41,TblCalculs[Mois],F$33))))</f>
        <v>6</v>
      </c>
      <c r="G41" s="40">
        <f>IF(OR($A41="",G$33=""),"",IF(ca_mesure="CPU",SUMIFS(TblCalculs[CPU provisionné],TblCalculs[Cluster],$B41,TblCalculs[Mois],G$33),IF(ca_mesure="RAM",SUMIFS(TblCalculs[RAM provisionnée],TblCalculs[Cluster],$B41,TblCalculs[Mois],G$33),SUMIFS(TblCalculs[Workers],TblCalculs[Cluster],$B41,TblCalculs[Mois],G$33))))</f>
        <v>6</v>
      </c>
      <c r="H41" s="40">
        <f>IF(OR($A41="",H$33=""),"",IF(ca_mesure="CPU",SUMIFS(TblCalculs[CPU provisionné],TblCalculs[Cluster],$B41,TblCalculs[Mois],H$33),IF(ca_mesure="RAM",SUMIFS(TblCalculs[RAM provisionnée],TblCalculs[Cluster],$B41,TblCalculs[Mois],H$33),SUMIFS(TblCalculs[Workers],TblCalculs[Cluster],$B41,TblCalculs[Mois],H$33))))</f>
        <v>6</v>
      </c>
      <c r="I41" s="40">
        <f>IF(OR($A41="",I$33=""),"",IF(ca_mesure="CPU",SUMIFS(TblCalculs[CPU provisionné],TblCalculs[Cluster],$B41,TblCalculs[Mois],I$33),IF(ca_mesure="RAM",SUMIFS(TblCalculs[RAM provisionnée],TblCalculs[Cluster],$B41,TblCalculs[Mois],I$33),SUMIFS(TblCalculs[Workers],TblCalculs[Cluster],$B41,TblCalculs[Mois],I$33))))</f>
        <v>6</v>
      </c>
      <c r="J41" s="40">
        <f>IF(OR($A41="",J$33=""),"",IF(ca_mesure="CPU",SUMIFS(TblCalculs[CPU provisionné],TblCalculs[Cluster],$B41,TblCalculs[Mois],J$33),IF(ca_mesure="RAM",SUMIFS(TblCalculs[RAM provisionnée],TblCalculs[Cluster],$B41,TblCalculs[Mois],J$33),SUMIFS(TblCalculs[Workers],TblCalculs[Cluster],$B41,TblCalculs[Mois],J$33))))</f>
        <v>6</v>
      </c>
      <c r="K41" s="40">
        <f>IF(OR($A41="",K$33=""),"",IF(ca_mesure="CPU",SUMIFS(TblCalculs[CPU provisionné],TblCalculs[Cluster],$B41,TblCalculs[Mois],K$33),IF(ca_mesure="RAM",SUMIFS(TblCalculs[RAM provisionnée],TblCalculs[Cluster],$B41,TblCalculs[Mois],K$33),SUMIFS(TblCalculs[Workers],TblCalculs[Cluster],$B41,TblCalculs[Mois],K$33))))</f>
        <v>6</v>
      </c>
      <c r="L41" s="40">
        <f>IF(OR($A41="",L$33=""),"",IF(ca_mesure="CPU",SUMIFS(TblCalculs[CPU provisionné],TblCalculs[Cluster],$B41,TblCalculs[Mois],L$33),IF(ca_mesure="RAM",SUMIFS(TblCalculs[RAM provisionnée],TblCalculs[Cluster],$B41,TblCalculs[Mois],L$33),SUMIFS(TblCalculs[Workers],TblCalculs[Cluster],$B41,TblCalculs[Mois],L$33))))</f>
        <v>6</v>
      </c>
      <c r="M41" s="40">
        <f>IF(OR($A41="",M$33=""),"",IF(ca_mesure="CPU",SUMIFS(TblCalculs[CPU provisionné],TblCalculs[Cluster],$B41,TblCalculs[Mois],M$33),IF(ca_mesure="RAM",SUMIFS(TblCalculs[RAM provisionnée],TblCalculs[Cluster],$B41,TblCalculs[Mois],M$33),SUMIFS(TblCalculs[Workers],TblCalculs[Cluster],$B41,TblCalculs[Mois],M$33))))</f>
        <v>6</v>
      </c>
      <c r="N41" s="40">
        <f>IF(OR($A41="",N$33=""),"",IF(ca_mesure="CPU",SUMIFS(TblCalculs[CPU provisionné],TblCalculs[Cluster],$B41,TblCalculs[Mois],N$33),IF(ca_mesure="RAM",SUMIFS(TblCalculs[RAM provisionnée],TblCalculs[Cluster],$B41,TblCalculs[Mois],N$33),SUMIFS(TblCalculs[Workers],TblCalculs[Cluster],$B41,TblCalculs[Mois],N$33))))</f>
        <v>6</v>
      </c>
      <c r="O41" s="40">
        <f>IF(OR($A41="",O$33=""),"",IF(ca_mesure="CPU",SUMIFS(TblCalculs[CPU provisionné],TblCalculs[Cluster],$B41,TblCalculs[Mois],O$33),IF(ca_mesure="RAM",SUMIFS(TblCalculs[RAM provisionnée],TblCalculs[Cluster],$B41,TblCalculs[Mois],O$33),SUMIFS(TblCalculs[Workers],TblCalculs[Cluster],$B41,TblCalculs[Mois],O$33))))</f>
        <v>6</v>
      </c>
      <c r="P41" s="40">
        <f>IF(OR($A41="",P$33=""),"",IF(ca_mesure="CPU",SUMIFS(TblCalculs[CPU provisionné],TblCalculs[Cluster],$B41,TblCalculs[Mois],P$33),IF(ca_mesure="RAM",SUMIFS(TblCalculs[RAM provisionnée],TblCalculs[Cluster],$B41,TblCalculs[Mois],P$33),SUMIFS(TblCalculs[Workers],TblCalculs[Cluster],$B41,TblCalculs[Mois],P$33))))</f>
        <v>6</v>
      </c>
      <c r="Q41" s="40">
        <f>IF(OR($A41="",Q$33=""),"",IF(ca_mesure="CPU",SUMIFS(TblCalculs[CPU provisionné],TblCalculs[Cluster],$B41,TblCalculs[Mois],Q$33),IF(ca_mesure="RAM",SUMIFS(TblCalculs[RAM provisionnée],TblCalculs[Cluster],$B41,TblCalculs[Mois],Q$33),SUMIFS(TblCalculs[Workers],TblCalculs[Cluster],$B41,TblCalculs[Mois],Q$33))))</f>
        <v>6</v>
      </c>
      <c r="R41" s="40">
        <f>IF(OR($A41="",R$33=""),"",IF(ca_mesure="CPU",SUMIFS(TblCalculs[CPU provisionné],TblCalculs[Cluster],$B41,TblCalculs[Mois],R$33),IF(ca_mesure="RAM",SUMIFS(TblCalculs[RAM provisionnée],TblCalculs[Cluster],$B41,TblCalculs[Mois],R$33),SUMIFS(TblCalculs[Workers],TblCalculs[Cluster],$B41,TblCalculs[Mois],R$33))))</f>
        <v>6</v>
      </c>
      <c r="S41" s="40">
        <f>IF(OR($A41="",S$33=""),"",IF(ca_mesure="CPU",SUMIFS(TblCalculs[CPU provisionné],TblCalculs[Cluster],$B41,TblCalculs[Mois],S$33),IF(ca_mesure="RAM",SUMIFS(TblCalculs[RAM provisionnée],TblCalculs[Cluster],$B41,TblCalculs[Mois],S$33),SUMIFS(TblCalculs[Workers],TblCalculs[Cluster],$B41,TblCalculs[Mois],S$33))))</f>
        <v>6</v>
      </c>
      <c r="T41" s="40">
        <f>IF(OR($A41="",T$33=""),"",IF(ca_mesure="CPU",SUMIFS(TblCalculs[CPU provisionné],TblCalculs[Cluster],$B41,TblCalculs[Mois],T$33),IF(ca_mesure="RAM",SUMIFS(TblCalculs[RAM provisionnée],TblCalculs[Cluster],$B41,TblCalculs[Mois],T$33),SUMIFS(TblCalculs[Workers],TblCalculs[Cluster],$B41,TblCalculs[Mois],T$33))))</f>
        <v>6</v>
      </c>
      <c r="U41" s="40">
        <f>IF(OR($A41="",U$33=""),"",IF(ca_mesure="CPU",SUMIFS(TblCalculs[CPU provisionné],TblCalculs[Cluster],$B41,TblCalculs[Mois],U$33),IF(ca_mesure="RAM",SUMIFS(TblCalculs[RAM provisionnée],TblCalculs[Cluster],$B41,TblCalculs[Mois],U$33),SUMIFS(TblCalculs[Workers],TblCalculs[Cluster],$B41,TblCalculs[Mois],U$33))))</f>
        <v>6</v>
      </c>
      <c r="V41" s="40">
        <f>IF(OR($A41="",V$33=""),"",IF(ca_mesure="CPU",SUMIFS(TblCalculs[CPU provisionné],TblCalculs[Cluster],$B41,TblCalculs[Mois],V$33),IF(ca_mesure="RAM",SUMIFS(TblCalculs[RAM provisionnée],TblCalculs[Cluster],$B41,TblCalculs[Mois],V$33),SUMIFS(TblCalculs[Workers],TblCalculs[Cluster],$B41,TblCalculs[Mois],V$33))))</f>
        <v>6</v>
      </c>
      <c r="W41" s="40">
        <f>IF(OR($A41="",W$33=""),"",IF(ca_mesure="CPU",SUMIFS(TblCalculs[CPU provisionné],TblCalculs[Cluster],$B41,TblCalculs[Mois],W$33),IF(ca_mesure="RAM",SUMIFS(TblCalculs[RAM provisionnée],TblCalculs[Cluster],$B41,TblCalculs[Mois],W$33),SUMIFS(TblCalculs[Workers],TblCalculs[Cluster],$B41,TblCalculs[Mois],W$33))))</f>
        <v>6</v>
      </c>
      <c r="X41" s="40">
        <f>IF(OR($A41="",X$33=""),"",IF(ca_mesure="CPU",SUMIFS(TblCalculs[CPU provisionné],TblCalculs[Cluster],$B41,TblCalculs[Mois],X$33),IF(ca_mesure="RAM",SUMIFS(TblCalculs[RAM provisionnée],TblCalculs[Cluster],$B41,TblCalculs[Mois],X$33),SUMIFS(TblCalculs[Workers],TblCalculs[Cluster],$B41,TblCalculs[Mois],X$33))))</f>
        <v>6</v>
      </c>
      <c r="Y41" s="40">
        <f>IF(OR($A41="",Y$33=""),"",IF(ca_mesure="CPU",SUMIFS(TblCalculs[CPU provisionné],TblCalculs[Cluster],$B41,TblCalculs[Mois],Y$33),IF(ca_mesure="RAM",SUMIFS(TblCalculs[RAM provisionnée],TblCalculs[Cluster],$B41,TblCalculs[Mois],Y$33),SUMIFS(TblCalculs[Workers],TblCalculs[Cluster],$B41,TblCalculs[Mois],Y$33))))</f>
        <v>6</v>
      </c>
      <c r="Z41" s="40">
        <f>IF(OR($A41="",Z$33=""),"",IF(ca_mesure="CPU",SUMIFS(TblCalculs[CPU provisionné],TblCalculs[Cluster],$B41,TblCalculs[Mois],Z$33),IF(ca_mesure="RAM",SUMIFS(TblCalculs[RAM provisionnée],TblCalculs[Cluster],$B41,TblCalculs[Mois],Z$33),SUMIFS(TblCalculs[Workers],TblCalculs[Cluster],$B41,TblCalculs[Mois],Z$33))))</f>
        <v>6</v>
      </c>
      <c r="AA41" s="40">
        <f>IF(OR($A41="",AA$33=""),"",IF(ca_mesure="CPU",SUMIFS(TblCalculs[CPU provisionné],TblCalculs[Cluster],$B41,TblCalculs[Mois],AA$33),IF(ca_mesure="RAM",SUMIFS(TblCalculs[RAM provisionnée],TblCalculs[Cluster],$B41,TblCalculs[Mois],AA$33),SUMIFS(TblCalculs[Workers],TblCalculs[Cluster],$B41,TblCalculs[Mois],AA$33))))</f>
        <v>6</v>
      </c>
      <c r="AB41" s="40">
        <f>IF(OR($A41="",AB$33=""),"",IF(ca_mesure="CPU",SUMIFS(TblCalculs[CPU provisionné],TblCalculs[Cluster],$B41,TblCalculs[Mois],AB$33),IF(ca_mesure="RAM",SUMIFS(TblCalculs[RAM provisionnée],TblCalculs[Cluster],$B41,TblCalculs[Mois],AB$33),SUMIFS(TblCalculs[Workers],TblCalculs[Cluster],$B41,TblCalculs[Mois],AB$33))))</f>
        <v>6</v>
      </c>
      <c r="AC41" s="40">
        <f>IF(OR($A41="",AC$33=""),"",IF(ca_mesure="CPU",SUMIFS(TblCalculs[CPU provisionné],TblCalculs[Cluster],$B41,TblCalculs[Mois],AC$33),IF(ca_mesure="RAM",SUMIFS(TblCalculs[RAM provisionnée],TblCalculs[Cluster],$B41,TblCalculs[Mois],AC$33),SUMIFS(TblCalculs[Workers],TblCalculs[Cluster],$B41,TblCalculs[Mois],AC$33))))</f>
        <v>6</v>
      </c>
      <c r="AD41" s="40">
        <f>IF(OR($A41="",AD$33=""),"",IF(ca_mesure="CPU",SUMIFS(TblCalculs[CPU provisionné],TblCalculs[Cluster],$B41,TblCalculs[Mois],AD$33),IF(ca_mesure="RAM",SUMIFS(TblCalculs[RAM provisionnée],TblCalculs[Cluster],$B41,TblCalculs[Mois],AD$33),SUMIFS(TblCalculs[Workers],TblCalculs[Cluster],$B41,TblCalculs[Mois],AD$33))))</f>
        <v>6</v>
      </c>
      <c r="AE41" s="40">
        <f>IF(OR($A41="",AE$33=""),"",IF(ca_mesure="CPU",SUMIFS(TblCalculs[CPU provisionné],TblCalculs[Cluster],$B41,TblCalculs[Mois],AE$33),IF(ca_mesure="RAM",SUMIFS(TblCalculs[RAM provisionnée],TblCalculs[Cluster],$B41,TblCalculs[Mois],AE$33),SUMIFS(TblCalculs[Workers],TblCalculs[Cluster],$B41,TblCalculs[Mois],AE$33))))</f>
        <v>6</v>
      </c>
      <c r="AF41" s="40">
        <f>IF(OR($A41="",AF$33=""),"",IF(ca_mesure="CPU",SUMIFS(TblCalculs[CPU provisionné],TblCalculs[Cluster],$B41,TblCalculs[Mois],AF$33),IF(ca_mesure="RAM",SUMIFS(TblCalculs[RAM provisionnée],TblCalculs[Cluster],$B41,TblCalculs[Mois],AF$33),SUMIFS(TblCalculs[Workers],TblCalculs[Cluster],$B41,TblCalculs[Mois],AF$33))))</f>
        <v>6</v>
      </c>
      <c r="AG41" s="40">
        <f>IF(OR($A41="",AG$33=""),"",IF(ca_mesure="CPU",SUMIFS(TblCalculs[CPU provisionné],TblCalculs[Cluster],$B41,TblCalculs[Mois],AG$33),IF(ca_mesure="RAM",SUMIFS(TblCalculs[RAM provisionnée],TblCalculs[Cluster],$B41,TblCalculs[Mois],AG$33),SUMIFS(TblCalculs[Workers],TblCalculs[Cluster],$B41,TblCalculs[Mois],AG$33))))</f>
        <v>6</v>
      </c>
      <c r="AH41" s="40">
        <f>IF(OR($A41="",AH$33=""),"",IF(ca_mesure="CPU",SUMIFS(TblCalculs[CPU provisionné],TblCalculs[Cluster],$B41,TblCalculs[Mois],AH$33),IF(ca_mesure="RAM",SUMIFS(TblCalculs[RAM provisionnée],TblCalculs[Cluster],$B41,TblCalculs[Mois],AH$33),SUMIFS(TblCalculs[Workers],TblCalculs[Cluster],$B41,TblCalculs[Mois],AH$33))))</f>
        <v>6</v>
      </c>
      <c r="AI41" s="40">
        <f>IF(OR($A41="",AI$33=""),"",IF(ca_mesure="CPU",SUMIFS(TblCalculs[CPU provisionné],TblCalculs[Cluster],$B41,TblCalculs[Mois],AI$33),IF(ca_mesure="RAM",SUMIFS(TblCalculs[RAM provisionnée],TblCalculs[Cluster],$B41,TblCalculs[Mois],AI$33),SUMIFS(TblCalculs[Workers],TblCalculs[Cluster],$B41,TblCalculs[Mois],AI$33))))</f>
        <v>6</v>
      </c>
      <c r="AJ41" s="40">
        <f>IF(OR($A41="",AJ$33=""),"",IF(ca_mesure="CPU",SUMIFS(TblCalculs[CPU provisionné],TblCalculs[Cluster],$B41,TblCalculs[Mois],AJ$33),IF(ca_mesure="RAM",SUMIFS(TblCalculs[RAM provisionnée],TblCalculs[Cluster],$B41,TblCalculs[Mois],AJ$33),SUMIFS(TblCalculs[Workers],TblCalculs[Cluster],$B41,TblCalculs[Mois],AJ$33))))</f>
        <v>6</v>
      </c>
      <c r="AK41" s="40">
        <f>IF(OR($A41="",AK$33=""),"",IF(ca_mesure="CPU",SUMIFS(TblCalculs[CPU provisionné],TblCalculs[Cluster],$B41,TblCalculs[Mois],AK$33),IF(ca_mesure="RAM",SUMIFS(TblCalculs[RAM provisionnée],TblCalculs[Cluster],$B41,TblCalculs[Mois],AK$33),SUMIFS(TblCalculs[Workers],TblCalculs[Cluster],$B41,TblCalculs[Mois],AK$33))))</f>
        <v>6</v>
      </c>
      <c r="AL41" s="40">
        <f>IF(OR($A41="",AL$33=""),"",IF(ca_mesure="CPU",SUMIFS(TblCalculs[CPU provisionné],TblCalculs[Cluster],$B41,TblCalculs[Mois],AL$33),IF(ca_mesure="RAM",SUMIFS(TblCalculs[RAM provisionnée],TblCalculs[Cluster],$B41,TblCalculs[Mois],AL$33),SUMIFS(TblCalculs[Workers],TblCalculs[Cluster],$B41,TblCalculs[Mois],AL$33))))</f>
        <v>6</v>
      </c>
      <c r="AM41" s="40">
        <f>IF(OR($A41="",AM$33=""),"",IF(ca_mesure="CPU",SUMIFS(TblCalculs[CPU provisionné],TblCalculs[Cluster],$B41,TblCalculs[Mois],AM$33),IF(ca_mesure="RAM",SUMIFS(TblCalculs[RAM provisionnée],TblCalculs[Cluster],$B41,TblCalculs[Mois],AM$33),SUMIFS(TblCalculs[Workers],TblCalculs[Cluster],$B41,TblCalculs[Mois],AM$33))))</f>
        <v>6</v>
      </c>
      <c r="AN41" s="40">
        <f>IF(OR($A41="",AN$33=""),"",IF(ca_mesure="CPU",SUMIFS(TblCalculs[CPU provisionné],TblCalculs[Cluster],$B41,TblCalculs[Mois],AN$33),IF(ca_mesure="RAM",SUMIFS(TblCalculs[RAM provisionnée],TblCalculs[Cluster],$B41,TblCalculs[Mois],AN$33),SUMIFS(TblCalculs[Workers],TblCalculs[Cluster],$B41,TblCalculs[Mois],AN$33))))</f>
        <v>6</v>
      </c>
      <c r="AO41" s="40">
        <f>IF(OR($A41="",AO$33=""),"",IF(ca_mesure="CPU",SUMIFS(TblCalculs[CPU provisionné],TblCalculs[Cluster],$B41,TblCalculs[Mois],AO$33),IF(ca_mesure="RAM",SUMIFS(TblCalculs[RAM provisionnée],TblCalculs[Cluster],$B41,TblCalculs[Mois],AO$33),SUMIFS(TblCalculs[Workers],TblCalculs[Cluster],$B41,TblCalculs[Mois],AO$33))))</f>
        <v>6</v>
      </c>
    </row>
    <row r="42" spans="1:41" x14ac:dyDescent="0.2">
      <c r="A42" s="37">
        <f>IFERROR(MATCH(9,TblClusters[Rang capacités],0),"")</f>
        <v>9</v>
      </c>
      <c r="B42" s="38" t="str">
        <f>IF($A42="","",INDEX(TblClusters[Cluster],$A42))</f>
        <v>oc002i001011</v>
      </c>
      <c r="C42" s="39" t="str">
        <f>IF($A42="","",INDEX(TblClusters[Plateforme],$A42))</f>
        <v>ROKS</v>
      </c>
      <c r="D42" s="39" t="str">
        <f>IF($A42="","",INDEX(TblClusters[Environnement],$A42))</f>
        <v>NPRD</v>
      </c>
      <c r="E42" s="39">
        <f>IF($A42="","",INDEX(TblClusters[Flavor],$A42))</f>
        <v>0</v>
      </c>
      <c r="F42" s="40">
        <f>IF(OR($A42="",F$33=""),"",IF(ca_mesure="CPU",SUMIFS(TblCalculs[CPU provisionné],TblCalculs[Cluster],$B42,TblCalculs[Mois],F$33),IF(ca_mesure="RAM",SUMIFS(TblCalculs[RAM provisionnée],TblCalculs[Cluster],$B42,TblCalculs[Mois],F$33),SUMIFS(TblCalculs[Workers],TblCalculs[Cluster],$B42,TblCalculs[Mois],F$33))))</f>
        <v>0</v>
      </c>
      <c r="G42" s="40">
        <f>IF(OR($A42="",G$33=""),"",IF(ca_mesure="CPU",SUMIFS(TblCalculs[CPU provisionné],TblCalculs[Cluster],$B42,TblCalculs[Mois],G$33),IF(ca_mesure="RAM",SUMIFS(TblCalculs[RAM provisionnée],TblCalculs[Cluster],$B42,TblCalculs[Mois],G$33),SUMIFS(TblCalculs[Workers],TblCalculs[Cluster],$B42,TblCalculs[Mois],G$33))))</f>
        <v>0</v>
      </c>
      <c r="H42" s="40">
        <f>IF(OR($A42="",H$33=""),"",IF(ca_mesure="CPU",SUMIFS(TblCalculs[CPU provisionné],TblCalculs[Cluster],$B42,TblCalculs[Mois],H$33),IF(ca_mesure="RAM",SUMIFS(TblCalculs[RAM provisionnée],TblCalculs[Cluster],$B42,TblCalculs[Mois],H$33),SUMIFS(TblCalculs[Workers],TblCalculs[Cluster],$B42,TblCalculs[Mois],H$33))))</f>
        <v>0</v>
      </c>
      <c r="I42" s="40">
        <f>IF(OR($A42="",I$33=""),"",IF(ca_mesure="CPU",SUMIFS(TblCalculs[CPU provisionné],TblCalculs[Cluster],$B42,TblCalculs[Mois],I$33),IF(ca_mesure="RAM",SUMIFS(TblCalculs[RAM provisionnée],TblCalculs[Cluster],$B42,TblCalculs[Mois],I$33),SUMIFS(TblCalculs[Workers],TblCalculs[Cluster],$B42,TblCalculs[Mois],I$33))))</f>
        <v>0</v>
      </c>
      <c r="J42" s="40">
        <f>IF(OR($A42="",J$33=""),"",IF(ca_mesure="CPU",SUMIFS(TblCalculs[CPU provisionné],TblCalculs[Cluster],$B42,TblCalculs[Mois],J$33),IF(ca_mesure="RAM",SUMIFS(TblCalculs[RAM provisionnée],TblCalculs[Cluster],$B42,TblCalculs[Mois],J$33),SUMIFS(TblCalculs[Workers],TblCalculs[Cluster],$B42,TblCalculs[Mois],J$33))))</f>
        <v>0</v>
      </c>
      <c r="K42" s="40">
        <f>IF(OR($A42="",K$33=""),"",IF(ca_mesure="CPU",SUMIFS(TblCalculs[CPU provisionné],TblCalculs[Cluster],$B42,TblCalculs[Mois],K$33),IF(ca_mesure="RAM",SUMIFS(TblCalculs[RAM provisionnée],TblCalculs[Cluster],$B42,TblCalculs[Mois],K$33),SUMIFS(TblCalculs[Workers],TblCalculs[Cluster],$B42,TblCalculs[Mois],K$33))))</f>
        <v>0</v>
      </c>
      <c r="L42" s="40">
        <f>IF(OR($A42="",L$33=""),"",IF(ca_mesure="CPU",SUMIFS(TblCalculs[CPU provisionné],TblCalculs[Cluster],$B42,TblCalculs[Mois],L$33),IF(ca_mesure="RAM",SUMIFS(TblCalculs[RAM provisionnée],TblCalculs[Cluster],$B42,TblCalculs[Mois],L$33),SUMIFS(TblCalculs[Workers],TblCalculs[Cluster],$B42,TblCalculs[Mois],L$33))))</f>
        <v>0</v>
      </c>
      <c r="M42" s="40">
        <f>IF(OR($A42="",M$33=""),"",IF(ca_mesure="CPU",SUMIFS(TblCalculs[CPU provisionné],TblCalculs[Cluster],$B42,TblCalculs[Mois],M$33),IF(ca_mesure="RAM",SUMIFS(TblCalculs[RAM provisionnée],TblCalculs[Cluster],$B42,TblCalculs[Mois],M$33),SUMIFS(TblCalculs[Workers],TblCalculs[Cluster],$B42,TblCalculs[Mois],M$33))))</f>
        <v>0</v>
      </c>
      <c r="N42" s="40">
        <f>IF(OR($A42="",N$33=""),"",IF(ca_mesure="CPU",SUMIFS(TblCalculs[CPU provisionné],TblCalculs[Cluster],$B42,TblCalculs[Mois],N$33),IF(ca_mesure="RAM",SUMIFS(TblCalculs[RAM provisionnée],TblCalculs[Cluster],$B42,TblCalculs[Mois],N$33),SUMIFS(TblCalculs[Workers],TblCalculs[Cluster],$B42,TblCalculs[Mois],N$33))))</f>
        <v>0</v>
      </c>
      <c r="O42" s="40">
        <f>IF(OR($A42="",O$33=""),"",IF(ca_mesure="CPU",SUMIFS(TblCalculs[CPU provisionné],TblCalculs[Cluster],$B42,TblCalculs[Mois],O$33),IF(ca_mesure="RAM",SUMIFS(TblCalculs[RAM provisionnée],TblCalculs[Cluster],$B42,TblCalculs[Mois],O$33),SUMIFS(TblCalculs[Workers],TblCalculs[Cluster],$B42,TblCalculs[Mois],O$33))))</f>
        <v>0</v>
      </c>
      <c r="P42" s="40">
        <f>IF(OR($A42="",P$33=""),"",IF(ca_mesure="CPU",SUMIFS(TblCalculs[CPU provisionné],TblCalculs[Cluster],$B42,TblCalculs[Mois],P$33),IF(ca_mesure="RAM",SUMIFS(TblCalculs[RAM provisionnée],TblCalculs[Cluster],$B42,TblCalculs[Mois],P$33),SUMIFS(TblCalculs[Workers],TblCalculs[Cluster],$B42,TblCalculs[Mois],P$33))))</f>
        <v>0</v>
      </c>
      <c r="Q42" s="40">
        <f>IF(OR($A42="",Q$33=""),"",IF(ca_mesure="CPU",SUMIFS(TblCalculs[CPU provisionné],TblCalculs[Cluster],$B42,TblCalculs[Mois],Q$33),IF(ca_mesure="RAM",SUMIFS(TblCalculs[RAM provisionnée],TblCalculs[Cluster],$B42,TblCalculs[Mois],Q$33),SUMIFS(TblCalculs[Workers],TblCalculs[Cluster],$B42,TblCalculs[Mois],Q$33))))</f>
        <v>0</v>
      </c>
      <c r="R42" s="40">
        <f>IF(OR($A42="",R$33=""),"",IF(ca_mesure="CPU",SUMIFS(TblCalculs[CPU provisionné],TblCalculs[Cluster],$B42,TblCalculs[Mois],R$33),IF(ca_mesure="RAM",SUMIFS(TblCalculs[RAM provisionnée],TblCalculs[Cluster],$B42,TblCalculs[Mois],R$33),SUMIFS(TblCalculs[Workers],TblCalculs[Cluster],$B42,TblCalculs[Mois],R$33))))</f>
        <v>0</v>
      </c>
      <c r="S42" s="40">
        <f>IF(OR($A42="",S$33=""),"",IF(ca_mesure="CPU",SUMIFS(TblCalculs[CPU provisionné],TblCalculs[Cluster],$B42,TblCalculs[Mois],S$33),IF(ca_mesure="RAM",SUMIFS(TblCalculs[RAM provisionnée],TblCalculs[Cluster],$B42,TblCalculs[Mois],S$33),SUMIFS(TblCalculs[Workers],TblCalculs[Cluster],$B42,TblCalculs[Mois],S$33))))</f>
        <v>0</v>
      </c>
      <c r="T42" s="40">
        <f>IF(OR($A42="",T$33=""),"",IF(ca_mesure="CPU",SUMIFS(TblCalculs[CPU provisionné],TblCalculs[Cluster],$B42,TblCalculs[Mois],T$33),IF(ca_mesure="RAM",SUMIFS(TblCalculs[RAM provisionnée],TblCalculs[Cluster],$B42,TblCalculs[Mois],T$33),SUMIFS(TblCalculs[Workers],TblCalculs[Cluster],$B42,TblCalculs[Mois],T$33))))</f>
        <v>0</v>
      </c>
      <c r="U42" s="40">
        <f>IF(OR($A42="",U$33=""),"",IF(ca_mesure="CPU",SUMIFS(TblCalculs[CPU provisionné],TblCalculs[Cluster],$B42,TblCalculs[Mois],U$33),IF(ca_mesure="RAM",SUMIFS(TblCalculs[RAM provisionnée],TblCalculs[Cluster],$B42,TblCalculs[Mois],U$33),SUMIFS(TblCalculs[Workers],TblCalculs[Cluster],$B42,TblCalculs[Mois],U$33))))</f>
        <v>0</v>
      </c>
      <c r="V42" s="40">
        <f>IF(OR($A42="",V$33=""),"",IF(ca_mesure="CPU",SUMIFS(TblCalculs[CPU provisionné],TblCalculs[Cluster],$B42,TblCalculs[Mois],V$33),IF(ca_mesure="RAM",SUMIFS(TblCalculs[RAM provisionnée],TblCalculs[Cluster],$B42,TblCalculs[Mois],V$33),SUMIFS(TblCalculs[Workers],TblCalculs[Cluster],$B42,TblCalculs[Mois],V$33))))</f>
        <v>0</v>
      </c>
      <c r="W42" s="40">
        <f>IF(OR($A42="",W$33=""),"",IF(ca_mesure="CPU",SUMIFS(TblCalculs[CPU provisionné],TblCalculs[Cluster],$B42,TblCalculs[Mois],W$33),IF(ca_mesure="RAM",SUMIFS(TblCalculs[RAM provisionnée],TblCalculs[Cluster],$B42,TblCalculs[Mois],W$33),SUMIFS(TblCalculs[Workers],TblCalculs[Cluster],$B42,TblCalculs[Mois],W$33))))</f>
        <v>0</v>
      </c>
      <c r="X42" s="40">
        <f>IF(OR($A42="",X$33=""),"",IF(ca_mesure="CPU",SUMIFS(TblCalculs[CPU provisionné],TblCalculs[Cluster],$B42,TblCalculs[Mois],X$33),IF(ca_mesure="RAM",SUMIFS(TblCalculs[RAM provisionnée],TblCalculs[Cluster],$B42,TblCalculs[Mois],X$33),SUMIFS(TblCalculs[Workers],TblCalculs[Cluster],$B42,TblCalculs[Mois],X$33))))</f>
        <v>0</v>
      </c>
      <c r="Y42" s="40">
        <f>IF(OR($A42="",Y$33=""),"",IF(ca_mesure="CPU",SUMIFS(TblCalculs[CPU provisionné],TblCalculs[Cluster],$B42,TblCalculs[Mois],Y$33),IF(ca_mesure="RAM",SUMIFS(TblCalculs[RAM provisionnée],TblCalculs[Cluster],$B42,TblCalculs[Mois],Y$33),SUMIFS(TblCalculs[Workers],TblCalculs[Cluster],$B42,TblCalculs[Mois],Y$33))))</f>
        <v>0</v>
      </c>
      <c r="Z42" s="40">
        <f>IF(OR($A42="",Z$33=""),"",IF(ca_mesure="CPU",SUMIFS(TblCalculs[CPU provisionné],TblCalculs[Cluster],$B42,TblCalculs[Mois],Z$33),IF(ca_mesure="RAM",SUMIFS(TblCalculs[RAM provisionnée],TblCalculs[Cluster],$B42,TblCalculs[Mois],Z$33),SUMIFS(TblCalculs[Workers],TblCalculs[Cluster],$B42,TblCalculs[Mois],Z$33))))</f>
        <v>0</v>
      </c>
      <c r="AA42" s="40">
        <f>IF(OR($A42="",AA$33=""),"",IF(ca_mesure="CPU",SUMIFS(TblCalculs[CPU provisionné],TblCalculs[Cluster],$B42,TblCalculs[Mois],AA$33),IF(ca_mesure="RAM",SUMIFS(TblCalculs[RAM provisionnée],TblCalculs[Cluster],$B42,TblCalculs[Mois],AA$33),SUMIFS(TblCalculs[Workers],TblCalculs[Cluster],$B42,TblCalculs[Mois],AA$33))))</f>
        <v>0</v>
      </c>
      <c r="AB42" s="40">
        <f>IF(OR($A42="",AB$33=""),"",IF(ca_mesure="CPU",SUMIFS(TblCalculs[CPU provisionné],TblCalculs[Cluster],$B42,TblCalculs[Mois],AB$33),IF(ca_mesure="RAM",SUMIFS(TblCalculs[RAM provisionnée],TblCalculs[Cluster],$B42,TblCalculs[Mois],AB$33),SUMIFS(TblCalculs[Workers],TblCalculs[Cluster],$B42,TblCalculs[Mois],AB$33))))</f>
        <v>0</v>
      </c>
      <c r="AC42" s="40">
        <f>IF(OR($A42="",AC$33=""),"",IF(ca_mesure="CPU",SUMIFS(TblCalculs[CPU provisionné],TblCalculs[Cluster],$B42,TblCalculs[Mois],AC$33),IF(ca_mesure="RAM",SUMIFS(TblCalculs[RAM provisionnée],TblCalculs[Cluster],$B42,TblCalculs[Mois],AC$33),SUMIFS(TblCalculs[Workers],TblCalculs[Cluster],$B42,TblCalculs[Mois],AC$33))))</f>
        <v>0</v>
      </c>
      <c r="AD42" s="40">
        <f>IF(OR($A42="",AD$33=""),"",IF(ca_mesure="CPU",SUMIFS(TblCalculs[CPU provisionné],TblCalculs[Cluster],$B42,TblCalculs[Mois],AD$33),IF(ca_mesure="RAM",SUMIFS(TblCalculs[RAM provisionnée],TblCalculs[Cluster],$B42,TblCalculs[Mois],AD$33),SUMIFS(TblCalculs[Workers],TblCalculs[Cluster],$B42,TblCalculs[Mois],AD$33))))</f>
        <v>0</v>
      </c>
      <c r="AE42" s="40">
        <f>IF(OR($A42="",AE$33=""),"",IF(ca_mesure="CPU",SUMIFS(TblCalculs[CPU provisionné],TblCalculs[Cluster],$B42,TblCalculs[Mois],AE$33),IF(ca_mesure="RAM",SUMIFS(TblCalculs[RAM provisionnée],TblCalculs[Cluster],$B42,TblCalculs[Mois],AE$33),SUMIFS(TblCalculs[Workers],TblCalculs[Cluster],$B42,TblCalculs[Mois],AE$33))))</f>
        <v>0</v>
      </c>
      <c r="AF42" s="40">
        <f>IF(OR($A42="",AF$33=""),"",IF(ca_mesure="CPU",SUMIFS(TblCalculs[CPU provisionné],TblCalculs[Cluster],$B42,TblCalculs[Mois],AF$33),IF(ca_mesure="RAM",SUMIFS(TblCalculs[RAM provisionnée],TblCalculs[Cluster],$B42,TblCalculs[Mois],AF$33),SUMIFS(TblCalculs[Workers],TblCalculs[Cluster],$B42,TblCalculs[Mois],AF$33))))</f>
        <v>0</v>
      </c>
      <c r="AG42" s="40">
        <f>IF(OR($A42="",AG$33=""),"",IF(ca_mesure="CPU",SUMIFS(TblCalculs[CPU provisionné],TblCalculs[Cluster],$B42,TblCalculs[Mois],AG$33),IF(ca_mesure="RAM",SUMIFS(TblCalculs[RAM provisionnée],TblCalculs[Cluster],$B42,TblCalculs[Mois],AG$33),SUMIFS(TblCalculs[Workers],TblCalculs[Cluster],$B42,TblCalculs[Mois],AG$33))))</f>
        <v>0</v>
      </c>
      <c r="AH42" s="40">
        <f>IF(OR($A42="",AH$33=""),"",IF(ca_mesure="CPU",SUMIFS(TblCalculs[CPU provisionné],TblCalculs[Cluster],$B42,TblCalculs[Mois],AH$33),IF(ca_mesure="RAM",SUMIFS(TblCalculs[RAM provisionnée],TblCalculs[Cluster],$B42,TblCalculs[Mois],AH$33),SUMIFS(TblCalculs[Workers],TblCalculs[Cluster],$B42,TblCalculs[Mois],AH$33))))</f>
        <v>0</v>
      </c>
      <c r="AI42" s="40">
        <f>IF(OR($A42="",AI$33=""),"",IF(ca_mesure="CPU",SUMIFS(TblCalculs[CPU provisionné],TblCalculs[Cluster],$B42,TblCalculs[Mois],AI$33),IF(ca_mesure="RAM",SUMIFS(TblCalculs[RAM provisionnée],TblCalculs[Cluster],$B42,TblCalculs[Mois],AI$33),SUMIFS(TblCalculs[Workers],TblCalculs[Cluster],$B42,TblCalculs[Mois],AI$33))))</f>
        <v>0</v>
      </c>
      <c r="AJ42" s="40">
        <f>IF(OR($A42="",AJ$33=""),"",IF(ca_mesure="CPU",SUMIFS(TblCalculs[CPU provisionné],TblCalculs[Cluster],$B42,TblCalculs[Mois],AJ$33),IF(ca_mesure="RAM",SUMIFS(TblCalculs[RAM provisionnée],TblCalculs[Cluster],$B42,TblCalculs[Mois],AJ$33),SUMIFS(TblCalculs[Workers],TblCalculs[Cluster],$B42,TblCalculs[Mois],AJ$33))))</f>
        <v>0</v>
      </c>
      <c r="AK42" s="40">
        <f>IF(OR($A42="",AK$33=""),"",IF(ca_mesure="CPU",SUMIFS(TblCalculs[CPU provisionné],TblCalculs[Cluster],$B42,TblCalculs[Mois],AK$33),IF(ca_mesure="RAM",SUMIFS(TblCalculs[RAM provisionnée],TblCalculs[Cluster],$B42,TblCalculs[Mois],AK$33),SUMIFS(TblCalculs[Workers],TblCalculs[Cluster],$B42,TblCalculs[Mois],AK$33))))</f>
        <v>0</v>
      </c>
      <c r="AL42" s="40">
        <f>IF(OR($A42="",AL$33=""),"",IF(ca_mesure="CPU",SUMIFS(TblCalculs[CPU provisionné],TblCalculs[Cluster],$B42,TblCalculs[Mois],AL$33),IF(ca_mesure="RAM",SUMIFS(TblCalculs[RAM provisionnée],TblCalculs[Cluster],$B42,TblCalculs[Mois],AL$33),SUMIFS(TblCalculs[Workers],TblCalculs[Cluster],$B42,TblCalculs[Mois],AL$33))))</f>
        <v>0</v>
      </c>
      <c r="AM42" s="40">
        <f>IF(OR($A42="",AM$33=""),"",IF(ca_mesure="CPU",SUMIFS(TblCalculs[CPU provisionné],TblCalculs[Cluster],$B42,TblCalculs[Mois],AM$33),IF(ca_mesure="RAM",SUMIFS(TblCalculs[RAM provisionnée],TblCalculs[Cluster],$B42,TblCalculs[Mois],AM$33),SUMIFS(TblCalculs[Workers],TblCalculs[Cluster],$B42,TblCalculs[Mois],AM$33))))</f>
        <v>0</v>
      </c>
      <c r="AN42" s="40">
        <f>IF(OR($A42="",AN$33=""),"",IF(ca_mesure="CPU",SUMIFS(TblCalculs[CPU provisionné],TblCalculs[Cluster],$B42,TblCalculs[Mois],AN$33),IF(ca_mesure="RAM",SUMIFS(TblCalculs[RAM provisionnée],TblCalculs[Cluster],$B42,TblCalculs[Mois],AN$33),SUMIFS(TblCalculs[Workers],TblCalculs[Cluster],$B42,TblCalculs[Mois],AN$33))))</f>
        <v>0</v>
      </c>
      <c r="AO42" s="40">
        <f>IF(OR($A42="",AO$33=""),"",IF(ca_mesure="CPU",SUMIFS(TblCalculs[CPU provisionné],TblCalculs[Cluster],$B42,TblCalculs[Mois],AO$33),IF(ca_mesure="RAM",SUMIFS(TblCalculs[RAM provisionnée],TblCalculs[Cluster],$B42,TblCalculs[Mois],AO$33),SUMIFS(TblCalculs[Workers],TblCalculs[Cluster],$B42,TblCalculs[Mois],AO$33))))</f>
        <v>0</v>
      </c>
    </row>
    <row r="43" spans="1:41" x14ac:dyDescent="0.2">
      <c r="A43" s="37">
        <f>IFERROR(MATCH(10,TblClusters[Rang capacités],0),"")</f>
        <v>10</v>
      </c>
      <c r="B43" s="38" t="str">
        <f>IF($A43="","",INDEX(TblClusters[Cluster],$A43))</f>
        <v>oc002i001019</v>
      </c>
      <c r="C43" s="39" t="str">
        <f>IF($A43="","",INDEX(TblClusters[Plateforme],$A43))</f>
        <v>ROKS</v>
      </c>
      <c r="D43" s="39" t="str">
        <f>IF($A43="","",INDEX(TblClusters[Environnement],$A43))</f>
        <v>PRD</v>
      </c>
      <c r="E43" s="39" t="str">
        <f>IF($A43="","",INDEX(TblClusters[Flavor],$A43))</f>
        <v>bx3d.8x40</v>
      </c>
      <c r="F43" s="40">
        <f>IF(OR($A43="",F$33=""),"",IF(ca_mesure="CPU",SUMIFS(TblCalculs[CPU provisionné],TblCalculs[Cluster],$B43,TblCalculs[Mois],F$33),IF(ca_mesure="RAM",SUMIFS(TblCalculs[RAM provisionnée],TblCalculs[Cluster],$B43,TblCalculs[Mois],F$33),SUMIFS(TblCalculs[Workers],TblCalculs[Cluster],$B43,TblCalculs[Mois],F$33))))</f>
        <v>6</v>
      </c>
      <c r="G43" s="40">
        <f>IF(OR($A43="",G$33=""),"",IF(ca_mesure="CPU",SUMIFS(TblCalculs[CPU provisionné],TblCalculs[Cluster],$B43,TblCalculs[Mois],G$33),IF(ca_mesure="RAM",SUMIFS(TblCalculs[RAM provisionnée],TblCalculs[Cluster],$B43,TblCalculs[Mois],G$33),SUMIFS(TblCalculs[Workers],TblCalculs[Cluster],$B43,TblCalculs[Mois],G$33))))</f>
        <v>6</v>
      </c>
      <c r="H43" s="40">
        <f>IF(OR($A43="",H$33=""),"",IF(ca_mesure="CPU",SUMIFS(TblCalculs[CPU provisionné],TblCalculs[Cluster],$B43,TblCalculs[Mois],H$33),IF(ca_mesure="RAM",SUMIFS(TblCalculs[RAM provisionnée],TblCalculs[Cluster],$B43,TblCalculs[Mois],H$33),SUMIFS(TblCalculs[Workers],TblCalculs[Cluster],$B43,TblCalculs[Mois],H$33))))</f>
        <v>6</v>
      </c>
      <c r="I43" s="40">
        <f>IF(OR($A43="",I$33=""),"",IF(ca_mesure="CPU",SUMIFS(TblCalculs[CPU provisionné],TblCalculs[Cluster],$B43,TblCalculs[Mois],I$33),IF(ca_mesure="RAM",SUMIFS(TblCalculs[RAM provisionnée],TblCalculs[Cluster],$B43,TblCalculs[Mois],I$33),SUMIFS(TblCalculs[Workers],TblCalculs[Cluster],$B43,TblCalculs[Mois],I$33))))</f>
        <v>6</v>
      </c>
      <c r="J43" s="40">
        <f>IF(OR($A43="",J$33=""),"",IF(ca_mesure="CPU",SUMIFS(TblCalculs[CPU provisionné],TblCalculs[Cluster],$B43,TblCalculs[Mois],J$33),IF(ca_mesure="RAM",SUMIFS(TblCalculs[RAM provisionnée],TblCalculs[Cluster],$B43,TblCalculs[Mois],J$33),SUMIFS(TblCalculs[Workers],TblCalculs[Cluster],$B43,TblCalculs[Mois],J$33))))</f>
        <v>6</v>
      </c>
      <c r="K43" s="40">
        <f>IF(OR($A43="",K$33=""),"",IF(ca_mesure="CPU",SUMIFS(TblCalculs[CPU provisionné],TblCalculs[Cluster],$B43,TblCalculs[Mois],K$33),IF(ca_mesure="RAM",SUMIFS(TblCalculs[RAM provisionnée],TblCalculs[Cluster],$B43,TblCalculs[Mois],K$33),SUMIFS(TblCalculs[Workers],TblCalculs[Cluster],$B43,TblCalculs[Mois],K$33))))</f>
        <v>6</v>
      </c>
      <c r="L43" s="40">
        <f>IF(OR($A43="",L$33=""),"",IF(ca_mesure="CPU",SUMIFS(TblCalculs[CPU provisionné],TblCalculs[Cluster],$B43,TblCalculs[Mois],L$33),IF(ca_mesure="RAM",SUMIFS(TblCalculs[RAM provisionnée],TblCalculs[Cluster],$B43,TblCalculs[Mois],L$33),SUMIFS(TblCalculs[Workers],TblCalculs[Cluster],$B43,TblCalculs[Mois],L$33))))</f>
        <v>6</v>
      </c>
      <c r="M43" s="40">
        <f>IF(OR($A43="",M$33=""),"",IF(ca_mesure="CPU",SUMIFS(TblCalculs[CPU provisionné],TblCalculs[Cluster],$B43,TblCalculs[Mois],M$33),IF(ca_mesure="RAM",SUMIFS(TblCalculs[RAM provisionnée],TblCalculs[Cluster],$B43,TblCalculs[Mois],M$33),SUMIFS(TblCalculs[Workers],TblCalculs[Cluster],$B43,TblCalculs[Mois],M$33))))</f>
        <v>6</v>
      </c>
      <c r="N43" s="40">
        <f>IF(OR($A43="",N$33=""),"",IF(ca_mesure="CPU",SUMIFS(TblCalculs[CPU provisionné],TblCalculs[Cluster],$B43,TblCalculs[Mois],N$33),IF(ca_mesure="RAM",SUMIFS(TblCalculs[RAM provisionnée],TblCalculs[Cluster],$B43,TblCalculs[Mois],N$33),SUMIFS(TblCalculs[Workers],TblCalculs[Cluster],$B43,TblCalculs[Mois],N$33))))</f>
        <v>6</v>
      </c>
      <c r="O43" s="40">
        <f>IF(OR($A43="",O$33=""),"",IF(ca_mesure="CPU",SUMIFS(TblCalculs[CPU provisionné],TblCalculs[Cluster],$B43,TblCalculs[Mois],O$33),IF(ca_mesure="RAM",SUMIFS(TblCalculs[RAM provisionnée],TblCalculs[Cluster],$B43,TblCalculs[Mois],O$33),SUMIFS(TblCalculs[Workers],TblCalculs[Cluster],$B43,TblCalculs[Mois],O$33))))</f>
        <v>6</v>
      </c>
      <c r="P43" s="40">
        <f>IF(OR($A43="",P$33=""),"",IF(ca_mesure="CPU",SUMIFS(TblCalculs[CPU provisionné],TblCalculs[Cluster],$B43,TblCalculs[Mois],P$33),IF(ca_mesure="RAM",SUMIFS(TblCalculs[RAM provisionnée],TblCalculs[Cluster],$B43,TblCalculs[Mois],P$33),SUMIFS(TblCalculs[Workers],TblCalculs[Cluster],$B43,TblCalculs[Mois],P$33))))</f>
        <v>6</v>
      </c>
      <c r="Q43" s="40">
        <f>IF(OR($A43="",Q$33=""),"",IF(ca_mesure="CPU",SUMIFS(TblCalculs[CPU provisionné],TblCalculs[Cluster],$B43,TblCalculs[Mois],Q$33),IF(ca_mesure="RAM",SUMIFS(TblCalculs[RAM provisionnée],TblCalculs[Cluster],$B43,TblCalculs[Mois],Q$33),SUMIFS(TblCalculs[Workers],TblCalculs[Cluster],$B43,TblCalculs[Mois],Q$33))))</f>
        <v>6</v>
      </c>
      <c r="R43" s="40">
        <f>IF(OR($A43="",R$33=""),"",IF(ca_mesure="CPU",SUMIFS(TblCalculs[CPU provisionné],TblCalculs[Cluster],$B43,TblCalculs[Mois],R$33),IF(ca_mesure="RAM",SUMIFS(TblCalculs[RAM provisionnée],TblCalculs[Cluster],$B43,TblCalculs[Mois],R$33),SUMIFS(TblCalculs[Workers],TblCalculs[Cluster],$B43,TblCalculs[Mois],R$33))))</f>
        <v>6</v>
      </c>
      <c r="S43" s="40">
        <f>IF(OR($A43="",S$33=""),"",IF(ca_mesure="CPU",SUMIFS(TblCalculs[CPU provisionné],TblCalculs[Cluster],$B43,TblCalculs[Mois],S$33),IF(ca_mesure="RAM",SUMIFS(TblCalculs[RAM provisionnée],TblCalculs[Cluster],$B43,TblCalculs[Mois],S$33),SUMIFS(TblCalculs[Workers],TblCalculs[Cluster],$B43,TblCalculs[Mois],S$33))))</f>
        <v>6</v>
      </c>
      <c r="T43" s="40">
        <f>IF(OR($A43="",T$33=""),"",IF(ca_mesure="CPU",SUMIFS(TblCalculs[CPU provisionné],TblCalculs[Cluster],$B43,TblCalculs[Mois],T$33),IF(ca_mesure="RAM",SUMIFS(TblCalculs[RAM provisionnée],TblCalculs[Cluster],$B43,TblCalculs[Mois],T$33),SUMIFS(TblCalculs[Workers],TblCalculs[Cluster],$B43,TblCalculs[Mois],T$33))))</f>
        <v>6</v>
      </c>
      <c r="U43" s="40">
        <f>IF(OR($A43="",U$33=""),"",IF(ca_mesure="CPU",SUMIFS(TblCalculs[CPU provisionné],TblCalculs[Cluster],$B43,TblCalculs[Mois],U$33),IF(ca_mesure="RAM",SUMIFS(TblCalculs[RAM provisionnée],TblCalculs[Cluster],$B43,TblCalculs[Mois],U$33),SUMIFS(TblCalculs[Workers],TblCalculs[Cluster],$B43,TblCalculs[Mois],U$33))))</f>
        <v>6</v>
      </c>
      <c r="V43" s="40">
        <f>IF(OR($A43="",V$33=""),"",IF(ca_mesure="CPU",SUMIFS(TblCalculs[CPU provisionné],TblCalculs[Cluster],$B43,TblCalculs[Mois],V$33),IF(ca_mesure="RAM",SUMIFS(TblCalculs[RAM provisionnée],TblCalculs[Cluster],$B43,TblCalculs[Mois],V$33),SUMIFS(TblCalculs[Workers],TblCalculs[Cluster],$B43,TblCalculs[Mois],V$33))))</f>
        <v>6</v>
      </c>
      <c r="W43" s="40">
        <f>IF(OR($A43="",W$33=""),"",IF(ca_mesure="CPU",SUMIFS(TblCalculs[CPU provisionné],TblCalculs[Cluster],$B43,TblCalculs[Mois],W$33),IF(ca_mesure="RAM",SUMIFS(TblCalculs[RAM provisionnée],TblCalculs[Cluster],$B43,TblCalculs[Mois],W$33),SUMIFS(TblCalculs[Workers],TblCalculs[Cluster],$B43,TblCalculs[Mois],W$33))))</f>
        <v>6</v>
      </c>
      <c r="X43" s="40">
        <f>IF(OR($A43="",X$33=""),"",IF(ca_mesure="CPU",SUMIFS(TblCalculs[CPU provisionné],TblCalculs[Cluster],$B43,TblCalculs[Mois],X$33),IF(ca_mesure="RAM",SUMIFS(TblCalculs[RAM provisionnée],TblCalculs[Cluster],$B43,TblCalculs[Mois],X$33),SUMIFS(TblCalculs[Workers],TblCalculs[Cluster],$B43,TblCalculs[Mois],X$33))))</f>
        <v>6</v>
      </c>
      <c r="Y43" s="40">
        <f>IF(OR($A43="",Y$33=""),"",IF(ca_mesure="CPU",SUMIFS(TblCalculs[CPU provisionné],TblCalculs[Cluster],$B43,TblCalculs[Mois],Y$33),IF(ca_mesure="RAM",SUMIFS(TblCalculs[RAM provisionnée],TblCalculs[Cluster],$B43,TblCalculs[Mois],Y$33),SUMIFS(TblCalculs[Workers],TblCalculs[Cluster],$B43,TblCalculs[Mois],Y$33))))</f>
        <v>6</v>
      </c>
      <c r="Z43" s="40">
        <f>IF(OR($A43="",Z$33=""),"",IF(ca_mesure="CPU",SUMIFS(TblCalculs[CPU provisionné],TblCalculs[Cluster],$B43,TblCalculs[Mois],Z$33),IF(ca_mesure="RAM",SUMIFS(TblCalculs[RAM provisionnée],TblCalculs[Cluster],$B43,TblCalculs[Mois],Z$33),SUMIFS(TblCalculs[Workers],TblCalculs[Cluster],$B43,TblCalculs[Mois],Z$33))))</f>
        <v>6</v>
      </c>
      <c r="AA43" s="40">
        <f>IF(OR($A43="",AA$33=""),"",IF(ca_mesure="CPU",SUMIFS(TblCalculs[CPU provisionné],TblCalculs[Cluster],$B43,TblCalculs[Mois],AA$33),IF(ca_mesure="RAM",SUMIFS(TblCalculs[RAM provisionnée],TblCalculs[Cluster],$B43,TblCalculs[Mois],AA$33),SUMIFS(TblCalculs[Workers],TblCalculs[Cluster],$B43,TblCalculs[Mois],AA$33))))</f>
        <v>6</v>
      </c>
      <c r="AB43" s="40">
        <f>IF(OR($A43="",AB$33=""),"",IF(ca_mesure="CPU",SUMIFS(TblCalculs[CPU provisionné],TblCalculs[Cluster],$B43,TblCalculs[Mois],AB$33),IF(ca_mesure="RAM",SUMIFS(TblCalculs[RAM provisionnée],TblCalculs[Cluster],$B43,TblCalculs[Mois],AB$33),SUMIFS(TblCalculs[Workers],TblCalculs[Cluster],$B43,TblCalculs[Mois],AB$33))))</f>
        <v>6</v>
      </c>
      <c r="AC43" s="40">
        <f>IF(OR($A43="",AC$33=""),"",IF(ca_mesure="CPU",SUMIFS(TblCalculs[CPU provisionné],TblCalculs[Cluster],$B43,TblCalculs[Mois],AC$33),IF(ca_mesure="RAM",SUMIFS(TblCalculs[RAM provisionnée],TblCalculs[Cluster],$B43,TblCalculs[Mois],AC$33),SUMIFS(TblCalculs[Workers],TblCalculs[Cluster],$B43,TblCalculs[Mois],AC$33))))</f>
        <v>6</v>
      </c>
      <c r="AD43" s="40">
        <f>IF(OR($A43="",AD$33=""),"",IF(ca_mesure="CPU",SUMIFS(TblCalculs[CPU provisionné],TblCalculs[Cluster],$B43,TblCalculs[Mois],AD$33),IF(ca_mesure="RAM",SUMIFS(TblCalculs[RAM provisionnée],TblCalculs[Cluster],$B43,TblCalculs[Mois],AD$33),SUMIFS(TblCalculs[Workers],TblCalculs[Cluster],$B43,TblCalculs[Mois],AD$33))))</f>
        <v>6</v>
      </c>
      <c r="AE43" s="40">
        <f>IF(OR($A43="",AE$33=""),"",IF(ca_mesure="CPU",SUMIFS(TblCalculs[CPU provisionné],TblCalculs[Cluster],$B43,TblCalculs[Mois],AE$33),IF(ca_mesure="RAM",SUMIFS(TblCalculs[RAM provisionnée],TblCalculs[Cluster],$B43,TblCalculs[Mois],AE$33),SUMIFS(TblCalculs[Workers],TblCalculs[Cluster],$B43,TblCalculs[Mois],AE$33))))</f>
        <v>6</v>
      </c>
      <c r="AF43" s="40">
        <f>IF(OR($A43="",AF$33=""),"",IF(ca_mesure="CPU",SUMIFS(TblCalculs[CPU provisionné],TblCalculs[Cluster],$B43,TblCalculs[Mois],AF$33),IF(ca_mesure="RAM",SUMIFS(TblCalculs[RAM provisionnée],TblCalculs[Cluster],$B43,TblCalculs[Mois],AF$33),SUMIFS(TblCalculs[Workers],TblCalculs[Cluster],$B43,TblCalculs[Mois],AF$33))))</f>
        <v>6</v>
      </c>
      <c r="AG43" s="40">
        <f>IF(OR($A43="",AG$33=""),"",IF(ca_mesure="CPU",SUMIFS(TblCalculs[CPU provisionné],TblCalculs[Cluster],$B43,TblCalculs[Mois],AG$33),IF(ca_mesure="RAM",SUMIFS(TblCalculs[RAM provisionnée],TblCalculs[Cluster],$B43,TblCalculs[Mois],AG$33),SUMIFS(TblCalculs[Workers],TblCalculs[Cluster],$B43,TblCalculs[Mois],AG$33))))</f>
        <v>6</v>
      </c>
      <c r="AH43" s="40">
        <f>IF(OR($A43="",AH$33=""),"",IF(ca_mesure="CPU",SUMIFS(TblCalculs[CPU provisionné],TblCalculs[Cluster],$B43,TblCalculs[Mois],AH$33),IF(ca_mesure="RAM",SUMIFS(TblCalculs[RAM provisionnée],TblCalculs[Cluster],$B43,TblCalculs[Mois],AH$33),SUMIFS(TblCalculs[Workers],TblCalculs[Cluster],$B43,TblCalculs[Mois],AH$33))))</f>
        <v>6</v>
      </c>
      <c r="AI43" s="40">
        <f>IF(OR($A43="",AI$33=""),"",IF(ca_mesure="CPU",SUMIFS(TblCalculs[CPU provisionné],TblCalculs[Cluster],$B43,TblCalculs[Mois],AI$33),IF(ca_mesure="RAM",SUMIFS(TblCalculs[RAM provisionnée],TblCalculs[Cluster],$B43,TblCalculs[Mois],AI$33),SUMIFS(TblCalculs[Workers],TblCalculs[Cluster],$B43,TblCalculs[Mois],AI$33))))</f>
        <v>6</v>
      </c>
      <c r="AJ43" s="40">
        <f>IF(OR($A43="",AJ$33=""),"",IF(ca_mesure="CPU",SUMIFS(TblCalculs[CPU provisionné],TblCalculs[Cluster],$B43,TblCalculs[Mois],AJ$33),IF(ca_mesure="RAM",SUMIFS(TblCalculs[RAM provisionnée],TblCalculs[Cluster],$B43,TblCalculs[Mois],AJ$33),SUMIFS(TblCalculs[Workers],TblCalculs[Cluster],$B43,TblCalculs[Mois],AJ$33))))</f>
        <v>6</v>
      </c>
      <c r="AK43" s="40">
        <f>IF(OR($A43="",AK$33=""),"",IF(ca_mesure="CPU",SUMIFS(TblCalculs[CPU provisionné],TblCalculs[Cluster],$B43,TblCalculs[Mois],AK$33),IF(ca_mesure="RAM",SUMIFS(TblCalculs[RAM provisionnée],TblCalculs[Cluster],$B43,TblCalculs[Mois],AK$33),SUMIFS(TblCalculs[Workers],TblCalculs[Cluster],$B43,TblCalculs[Mois],AK$33))))</f>
        <v>6</v>
      </c>
      <c r="AL43" s="40">
        <f>IF(OR($A43="",AL$33=""),"",IF(ca_mesure="CPU",SUMIFS(TblCalculs[CPU provisionné],TblCalculs[Cluster],$B43,TblCalculs[Mois],AL$33),IF(ca_mesure="RAM",SUMIFS(TblCalculs[RAM provisionnée],TblCalculs[Cluster],$B43,TblCalculs[Mois],AL$33),SUMIFS(TblCalculs[Workers],TblCalculs[Cluster],$B43,TblCalculs[Mois],AL$33))))</f>
        <v>6</v>
      </c>
      <c r="AM43" s="40">
        <f>IF(OR($A43="",AM$33=""),"",IF(ca_mesure="CPU",SUMIFS(TblCalculs[CPU provisionné],TblCalculs[Cluster],$B43,TblCalculs[Mois],AM$33),IF(ca_mesure="RAM",SUMIFS(TblCalculs[RAM provisionnée],TblCalculs[Cluster],$B43,TblCalculs[Mois],AM$33),SUMIFS(TblCalculs[Workers],TblCalculs[Cluster],$B43,TblCalculs[Mois],AM$33))))</f>
        <v>6</v>
      </c>
      <c r="AN43" s="40">
        <f>IF(OR($A43="",AN$33=""),"",IF(ca_mesure="CPU",SUMIFS(TblCalculs[CPU provisionné],TblCalculs[Cluster],$B43,TblCalculs[Mois],AN$33),IF(ca_mesure="RAM",SUMIFS(TblCalculs[RAM provisionnée],TblCalculs[Cluster],$B43,TblCalculs[Mois],AN$33),SUMIFS(TblCalculs[Workers],TblCalculs[Cluster],$B43,TblCalculs[Mois],AN$33))))</f>
        <v>6</v>
      </c>
      <c r="AO43" s="40">
        <f>IF(OR($A43="",AO$33=""),"",IF(ca_mesure="CPU",SUMIFS(TblCalculs[CPU provisionné],TblCalculs[Cluster],$B43,TblCalculs[Mois],AO$33),IF(ca_mesure="RAM",SUMIFS(TblCalculs[RAM provisionnée],TblCalculs[Cluster],$B43,TblCalculs[Mois],AO$33),SUMIFS(TblCalculs[Workers],TblCalculs[Cluster],$B43,TblCalculs[Mois],AO$33))))</f>
        <v>6</v>
      </c>
    </row>
    <row r="44" spans="1:41" x14ac:dyDescent="0.2">
      <c r="A44" s="37">
        <f>IFERROR(MATCH(11,TblClusters[Rang capacités],0),"")</f>
        <v>11</v>
      </c>
      <c r="B44" s="38" t="str">
        <f>IF($A44="","",INDEX(TblClusters[Cluster],$A44))</f>
        <v>oc-EMEA-NPR</v>
      </c>
      <c r="C44" s="39" t="str">
        <f>IF($A44="","",INDEX(TblClusters[Plateforme],$A44))</f>
        <v>ROKS</v>
      </c>
      <c r="D44" s="39" t="str">
        <f>IF($A44="","",INDEX(TblClusters[Environnement],$A44))</f>
        <v>NPRD</v>
      </c>
      <c r="E44" s="39" t="str">
        <f>IF($A44="","",INDEX(TblClusters[Flavor],$A44))</f>
        <v>bx3d.8x40</v>
      </c>
      <c r="F44" s="40">
        <f>IF(OR($A44="",F$33=""),"",IF(ca_mesure="CPU",SUMIFS(TblCalculs[CPU provisionné],TblCalculs[Cluster],$B44,TblCalculs[Mois],F$33),IF(ca_mesure="RAM",SUMIFS(TblCalculs[RAM provisionnée],TblCalculs[Cluster],$B44,TblCalculs[Mois],F$33),SUMIFS(TblCalculs[Workers],TblCalculs[Cluster],$B44,TblCalculs[Mois],F$33))))</f>
        <v>6</v>
      </c>
      <c r="G44" s="40">
        <f>IF(OR($A44="",G$33=""),"",IF(ca_mesure="CPU",SUMIFS(TblCalculs[CPU provisionné],TblCalculs[Cluster],$B44,TblCalculs[Mois],G$33),IF(ca_mesure="RAM",SUMIFS(TblCalculs[RAM provisionnée],TblCalculs[Cluster],$B44,TblCalculs[Mois],G$33),SUMIFS(TblCalculs[Workers],TblCalculs[Cluster],$B44,TblCalculs[Mois],G$33))))</f>
        <v>6</v>
      </c>
      <c r="H44" s="40">
        <f>IF(OR($A44="",H$33=""),"",IF(ca_mesure="CPU",SUMIFS(TblCalculs[CPU provisionné],TblCalculs[Cluster],$B44,TblCalculs[Mois],H$33),IF(ca_mesure="RAM",SUMIFS(TblCalculs[RAM provisionnée],TblCalculs[Cluster],$B44,TblCalculs[Mois],H$33),SUMIFS(TblCalculs[Workers],TblCalculs[Cluster],$B44,TblCalculs[Mois],H$33))))</f>
        <v>6</v>
      </c>
      <c r="I44" s="40">
        <f>IF(OR($A44="",I$33=""),"",IF(ca_mesure="CPU",SUMIFS(TblCalculs[CPU provisionné],TblCalculs[Cluster],$B44,TblCalculs[Mois],I$33),IF(ca_mesure="RAM",SUMIFS(TblCalculs[RAM provisionnée],TblCalculs[Cluster],$B44,TblCalculs[Mois],I$33),SUMIFS(TblCalculs[Workers],TblCalculs[Cluster],$B44,TblCalculs[Mois],I$33))))</f>
        <v>6</v>
      </c>
      <c r="J44" s="40">
        <f>IF(OR($A44="",J$33=""),"",IF(ca_mesure="CPU",SUMIFS(TblCalculs[CPU provisionné],TblCalculs[Cluster],$B44,TblCalculs[Mois],J$33),IF(ca_mesure="RAM",SUMIFS(TblCalculs[RAM provisionnée],TblCalculs[Cluster],$B44,TblCalculs[Mois],J$33),SUMIFS(TblCalculs[Workers],TblCalculs[Cluster],$B44,TblCalculs[Mois],J$33))))</f>
        <v>6</v>
      </c>
      <c r="K44" s="40">
        <f>IF(OR($A44="",K$33=""),"",IF(ca_mesure="CPU",SUMIFS(TblCalculs[CPU provisionné],TblCalculs[Cluster],$B44,TblCalculs[Mois],K$33),IF(ca_mesure="RAM",SUMIFS(TblCalculs[RAM provisionnée],TblCalculs[Cluster],$B44,TblCalculs[Mois],K$33),SUMIFS(TblCalculs[Workers],TblCalculs[Cluster],$B44,TblCalculs[Mois],K$33))))</f>
        <v>6</v>
      </c>
      <c r="L44" s="40">
        <f>IF(OR($A44="",L$33=""),"",IF(ca_mesure="CPU",SUMIFS(TblCalculs[CPU provisionné],TblCalculs[Cluster],$B44,TblCalculs[Mois],L$33),IF(ca_mesure="RAM",SUMIFS(TblCalculs[RAM provisionnée],TblCalculs[Cluster],$B44,TblCalculs[Mois],L$33),SUMIFS(TblCalculs[Workers],TblCalculs[Cluster],$B44,TblCalculs[Mois],L$33))))</f>
        <v>6</v>
      </c>
      <c r="M44" s="40">
        <f>IF(OR($A44="",M$33=""),"",IF(ca_mesure="CPU",SUMIFS(TblCalculs[CPU provisionné],TblCalculs[Cluster],$B44,TblCalculs[Mois],M$33),IF(ca_mesure="RAM",SUMIFS(TblCalculs[RAM provisionnée],TblCalculs[Cluster],$B44,TblCalculs[Mois],M$33),SUMIFS(TblCalculs[Workers],TblCalculs[Cluster],$B44,TblCalculs[Mois],M$33))))</f>
        <v>6</v>
      </c>
      <c r="N44" s="40">
        <f>IF(OR($A44="",N$33=""),"",IF(ca_mesure="CPU",SUMIFS(TblCalculs[CPU provisionné],TblCalculs[Cluster],$B44,TblCalculs[Mois],N$33),IF(ca_mesure="RAM",SUMIFS(TblCalculs[RAM provisionnée],TblCalculs[Cluster],$B44,TblCalculs[Mois],N$33),SUMIFS(TblCalculs[Workers],TblCalculs[Cluster],$B44,TblCalculs[Mois],N$33))))</f>
        <v>6</v>
      </c>
      <c r="O44" s="40">
        <f>IF(OR($A44="",O$33=""),"",IF(ca_mesure="CPU",SUMIFS(TblCalculs[CPU provisionné],TblCalculs[Cluster],$B44,TblCalculs[Mois],O$33),IF(ca_mesure="RAM",SUMIFS(TblCalculs[RAM provisionnée],TblCalculs[Cluster],$B44,TblCalculs[Mois],O$33),SUMIFS(TblCalculs[Workers],TblCalculs[Cluster],$B44,TblCalculs[Mois],O$33))))</f>
        <v>6</v>
      </c>
      <c r="P44" s="40">
        <f>IF(OR($A44="",P$33=""),"",IF(ca_mesure="CPU",SUMIFS(TblCalculs[CPU provisionné],TblCalculs[Cluster],$B44,TblCalculs[Mois],P$33),IF(ca_mesure="RAM",SUMIFS(TblCalculs[RAM provisionnée],TblCalculs[Cluster],$B44,TblCalculs[Mois],P$33),SUMIFS(TblCalculs[Workers],TblCalculs[Cluster],$B44,TblCalculs[Mois],P$33))))</f>
        <v>6</v>
      </c>
      <c r="Q44" s="40">
        <f>IF(OR($A44="",Q$33=""),"",IF(ca_mesure="CPU",SUMIFS(TblCalculs[CPU provisionné],TblCalculs[Cluster],$B44,TblCalculs[Mois],Q$33),IF(ca_mesure="RAM",SUMIFS(TblCalculs[RAM provisionnée],TblCalculs[Cluster],$B44,TblCalculs[Mois],Q$33),SUMIFS(TblCalculs[Workers],TblCalculs[Cluster],$B44,TblCalculs[Mois],Q$33))))</f>
        <v>6</v>
      </c>
      <c r="R44" s="40">
        <f>IF(OR($A44="",R$33=""),"",IF(ca_mesure="CPU",SUMIFS(TblCalculs[CPU provisionné],TblCalculs[Cluster],$B44,TblCalculs[Mois],R$33),IF(ca_mesure="RAM",SUMIFS(TblCalculs[RAM provisionnée],TblCalculs[Cluster],$B44,TblCalculs[Mois],R$33),SUMIFS(TblCalculs[Workers],TblCalculs[Cluster],$B44,TblCalculs[Mois],R$33))))</f>
        <v>6</v>
      </c>
      <c r="S44" s="40">
        <f>IF(OR($A44="",S$33=""),"",IF(ca_mesure="CPU",SUMIFS(TblCalculs[CPU provisionné],TblCalculs[Cluster],$B44,TblCalculs[Mois],S$33),IF(ca_mesure="RAM",SUMIFS(TblCalculs[RAM provisionnée],TblCalculs[Cluster],$B44,TblCalculs[Mois],S$33),SUMIFS(TblCalculs[Workers],TblCalculs[Cluster],$B44,TblCalculs[Mois],S$33))))</f>
        <v>6</v>
      </c>
      <c r="T44" s="40">
        <f>IF(OR($A44="",T$33=""),"",IF(ca_mesure="CPU",SUMIFS(TblCalculs[CPU provisionné],TblCalculs[Cluster],$B44,TblCalculs[Mois],T$33),IF(ca_mesure="RAM",SUMIFS(TblCalculs[RAM provisionnée],TblCalculs[Cluster],$B44,TblCalculs[Mois],T$33),SUMIFS(TblCalculs[Workers],TblCalculs[Cluster],$B44,TblCalculs[Mois],T$33))))</f>
        <v>6</v>
      </c>
      <c r="U44" s="40">
        <f>IF(OR($A44="",U$33=""),"",IF(ca_mesure="CPU",SUMIFS(TblCalculs[CPU provisionné],TblCalculs[Cluster],$B44,TblCalculs[Mois],U$33),IF(ca_mesure="RAM",SUMIFS(TblCalculs[RAM provisionnée],TblCalculs[Cluster],$B44,TblCalculs[Mois],U$33),SUMIFS(TblCalculs[Workers],TblCalculs[Cluster],$B44,TblCalculs[Mois],U$33))))</f>
        <v>6</v>
      </c>
      <c r="V44" s="40">
        <f>IF(OR($A44="",V$33=""),"",IF(ca_mesure="CPU",SUMIFS(TblCalculs[CPU provisionné],TblCalculs[Cluster],$B44,TblCalculs[Mois],V$33),IF(ca_mesure="RAM",SUMIFS(TblCalculs[RAM provisionnée],TblCalculs[Cluster],$B44,TblCalculs[Mois],V$33),SUMIFS(TblCalculs[Workers],TblCalculs[Cluster],$B44,TblCalculs[Mois],V$33))))</f>
        <v>6</v>
      </c>
      <c r="W44" s="40">
        <f>IF(OR($A44="",W$33=""),"",IF(ca_mesure="CPU",SUMIFS(TblCalculs[CPU provisionné],TblCalculs[Cluster],$B44,TblCalculs[Mois],W$33),IF(ca_mesure="RAM",SUMIFS(TblCalculs[RAM provisionnée],TblCalculs[Cluster],$B44,TblCalculs[Mois],W$33),SUMIFS(TblCalculs[Workers],TblCalculs[Cluster],$B44,TblCalculs[Mois],W$33))))</f>
        <v>6</v>
      </c>
      <c r="X44" s="40">
        <f>IF(OR($A44="",X$33=""),"",IF(ca_mesure="CPU",SUMIFS(TblCalculs[CPU provisionné],TblCalculs[Cluster],$B44,TblCalculs[Mois],X$33),IF(ca_mesure="RAM",SUMIFS(TblCalculs[RAM provisionnée],TblCalculs[Cluster],$B44,TblCalculs[Mois],X$33),SUMIFS(TblCalculs[Workers],TblCalculs[Cluster],$B44,TblCalculs[Mois],X$33))))</f>
        <v>6</v>
      </c>
      <c r="Y44" s="40">
        <f>IF(OR($A44="",Y$33=""),"",IF(ca_mesure="CPU",SUMIFS(TblCalculs[CPU provisionné],TblCalculs[Cluster],$B44,TblCalculs[Mois],Y$33),IF(ca_mesure="RAM",SUMIFS(TblCalculs[RAM provisionnée],TblCalculs[Cluster],$B44,TblCalculs[Mois],Y$33),SUMIFS(TblCalculs[Workers],TblCalculs[Cluster],$B44,TblCalculs[Mois],Y$33))))</f>
        <v>6</v>
      </c>
      <c r="Z44" s="40">
        <f>IF(OR($A44="",Z$33=""),"",IF(ca_mesure="CPU",SUMIFS(TblCalculs[CPU provisionné],TblCalculs[Cluster],$B44,TblCalculs[Mois],Z$33),IF(ca_mesure="RAM",SUMIFS(TblCalculs[RAM provisionnée],TblCalculs[Cluster],$B44,TblCalculs[Mois],Z$33),SUMIFS(TblCalculs[Workers],TblCalculs[Cluster],$B44,TblCalculs[Mois],Z$33))))</f>
        <v>6</v>
      </c>
      <c r="AA44" s="40">
        <f>IF(OR($A44="",AA$33=""),"",IF(ca_mesure="CPU",SUMIFS(TblCalculs[CPU provisionné],TblCalculs[Cluster],$B44,TblCalculs[Mois],AA$33),IF(ca_mesure="RAM",SUMIFS(TblCalculs[RAM provisionnée],TblCalculs[Cluster],$B44,TblCalculs[Mois],AA$33),SUMIFS(TblCalculs[Workers],TblCalculs[Cluster],$B44,TblCalculs[Mois],AA$33))))</f>
        <v>6</v>
      </c>
      <c r="AB44" s="40">
        <f>IF(OR($A44="",AB$33=""),"",IF(ca_mesure="CPU",SUMIFS(TblCalculs[CPU provisionné],TblCalculs[Cluster],$B44,TblCalculs[Mois],AB$33),IF(ca_mesure="RAM",SUMIFS(TblCalculs[RAM provisionnée],TblCalculs[Cluster],$B44,TblCalculs[Mois],AB$33),SUMIFS(TblCalculs[Workers],TblCalculs[Cluster],$B44,TblCalculs[Mois],AB$33))))</f>
        <v>6</v>
      </c>
      <c r="AC44" s="40">
        <f>IF(OR($A44="",AC$33=""),"",IF(ca_mesure="CPU",SUMIFS(TblCalculs[CPU provisionné],TblCalculs[Cluster],$B44,TblCalculs[Mois],AC$33),IF(ca_mesure="RAM",SUMIFS(TblCalculs[RAM provisionnée],TblCalculs[Cluster],$B44,TblCalculs[Mois],AC$33),SUMIFS(TblCalculs[Workers],TblCalculs[Cluster],$B44,TblCalculs[Mois],AC$33))))</f>
        <v>6</v>
      </c>
      <c r="AD44" s="40">
        <f>IF(OR($A44="",AD$33=""),"",IF(ca_mesure="CPU",SUMIFS(TblCalculs[CPU provisionné],TblCalculs[Cluster],$B44,TblCalculs[Mois],AD$33),IF(ca_mesure="RAM",SUMIFS(TblCalculs[RAM provisionnée],TblCalculs[Cluster],$B44,TblCalculs[Mois],AD$33),SUMIFS(TblCalculs[Workers],TblCalculs[Cluster],$B44,TblCalculs[Mois],AD$33))))</f>
        <v>6</v>
      </c>
      <c r="AE44" s="40">
        <f>IF(OR($A44="",AE$33=""),"",IF(ca_mesure="CPU",SUMIFS(TblCalculs[CPU provisionné],TblCalculs[Cluster],$B44,TblCalculs[Mois],AE$33),IF(ca_mesure="RAM",SUMIFS(TblCalculs[RAM provisionnée],TblCalculs[Cluster],$B44,TblCalculs[Mois],AE$33),SUMIFS(TblCalculs[Workers],TblCalculs[Cluster],$B44,TblCalculs[Mois],AE$33))))</f>
        <v>6</v>
      </c>
      <c r="AF44" s="40">
        <f>IF(OR($A44="",AF$33=""),"",IF(ca_mesure="CPU",SUMIFS(TblCalculs[CPU provisionné],TblCalculs[Cluster],$B44,TblCalculs[Mois],AF$33),IF(ca_mesure="RAM",SUMIFS(TblCalculs[RAM provisionnée],TblCalculs[Cluster],$B44,TblCalculs[Mois],AF$33),SUMIFS(TblCalculs[Workers],TblCalculs[Cluster],$B44,TblCalculs[Mois],AF$33))))</f>
        <v>6</v>
      </c>
      <c r="AG44" s="40">
        <f>IF(OR($A44="",AG$33=""),"",IF(ca_mesure="CPU",SUMIFS(TblCalculs[CPU provisionné],TblCalculs[Cluster],$B44,TblCalculs[Mois],AG$33),IF(ca_mesure="RAM",SUMIFS(TblCalculs[RAM provisionnée],TblCalculs[Cluster],$B44,TblCalculs[Mois],AG$33),SUMIFS(TblCalculs[Workers],TblCalculs[Cluster],$B44,TblCalculs[Mois],AG$33))))</f>
        <v>6</v>
      </c>
      <c r="AH44" s="40">
        <f>IF(OR($A44="",AH$33=""),"",IF(ca_mesure="CPU",SUMIFS(TblCalculs[CPU provisionné],TblCalculs[Cluster],$B44,TblCalculs[Mois],AH$33),IF(ca_mesure="RAM",SUMIFS(TblCalculs[RAM provisionnée],TblCalculs[Cluster],$B44,TblCalculs[Mois],AH$33),SUMIFS(TblCalculs[Workers],TblCalculs[Cluster],$B44,TblCalculs[Mois],AH$33))))</f>
        <v>6</v>
      </c>
      <c r="AI44" s="40">
        <f>IF(OR($A44="",AI$33=""),"",IF(ca_mesure="CPU",SUMIFS(TblCalculs[CPU provisionné],TblCalculs[Cluster],$B44,TblCalculs[Mois],AI$33),IF(ca_mesure="RAM",SUMIFS(TblCalculs[RAM provisionnée],TblCalculs[Cluster],$B44,TblCalculs[Mois],AI$33),SUMIFS(TblCalculs[Workers],TblCalculs[Cluster],$B44,TblCalculs[Mois],AI$33))))</f>
        <v>6</v>
      </c>
      <c r="AJ44" s="40">
        <f>IF(OR($A44="",AJ$33=""),"",IF(ca_mesure="CPU",SUMIFS(TblCalculs[CPU provisionné],TblCalculs[Cluster],$B44,TblCalculs[Mois],AJ$33),IF(ca_mesure="RAM",SUMIFS(TblCalculs[RAM provisionnée],TblCalculs[Cluster],$B44,TblCalculs[Mois],AJ$33),SUMIFS(TblCalculs[Workers],TblCalculs[Cluster],$B44,TblCalculs[Mois],AJ$33))))</f>
        <v>6</v>
      </c>
      <c r="AK44" s="40">
        <f>IF(OR($A44="",AK$33=""),"",IF(ca_mesure="CPU",SUMIFS(TblCalculs[CPU provisionné],TblCalculs[Cluster],$B44,TblCalculs[Mois],AK$33),IF(ca_mesure="RAM",SUMIFS(TblCalculs[RAM provisionnée],TblCalculs[Cluster],$B44,TblCalculs[Mois],AK$33),SUMIFS(TblCalculs[Workers],TblCalculs[Cluster],$B44,TblCalculs[Mois],AK$33))))</f>
        <v>6</v>
      </c>
      <c r="AL44" s="40">
        <f>IF(OR($A44="",AL$33=""),"",IF(ca_mesure="CPU",SUMIFS(TblCalculs[CPU provisionné],TblCalculs[Cluster],$B44,TblCalculs[Mois],AL$33),IF(ca_mesure="RAM",SUMIFS(TblCalculs[RAM provisionnée],TblCalculs[Cluster],$B44,TblCalculs[Mois],AL$33),SUMIFS(TblCalculs[Workers],TblCalculs[Cluster],$B44,TblCalculs[Mois],AL$33))))</f>
        <v>6</v>
      </c>
      <c r="AM44" s="40">
        <f>IF(OR($A44="",AM$33=""),"",IF(ca_mesure="CPU",SUMIFS(TblCalculs[CPU provisionné],TblCalculs[Cluster],$B44,TblCalculs[Mois],AM$33),IF(ca_mesure="RAM",SUMIFS(TblCalculs[RAM provisionnée],TblCalculs[Cluster],$B44,TblCalculs[Mois],AM$33),SUMIFS(TblCalculs[Workers],TblCalculs[Cluster],$B44,TblCalculs[Mois],AM$33))))</f>
        <v>6</v>
      </c>
      <c r="AN44" s="40">
        <f>IF(OR($A44="",AN$33=""),"",IF(ca_mesure="CPU",SUMIFS(TblCalculs[CPU provisionné],TblCalculs[Cluster],$B44,TblCalculs[Mois],AN$33),IF(ca_mesure="RAM",SUMIFS(TblCalculs[RAM provisionnée],TblCalculs[Cluster],$B44,TblCalculs[Mois],AN$33),SUMIFS(TblCalculs[Workers],TblCalculs[Cluster],$B44,TblCalculs[Mois],AN$33))))</f>
        <v>6</v>
      </c>
      <c r="AO44" s="40">
        <f>IF(OR($A44="",AO$33=""),"",IF(ca_mesure="CPU",SUMIFS(TblCalculs[CPU provisionné],TblCalculs[Cluster],$B44,TblCalculs[Mois],AO$33),IF(ca_mesure="RAM",SUMIFS(TblCalculs[RAM provisionnée],TblCalculs[Cluster],$B44,TblCalculs[Mois],AO$33),SUMIFS(TblCalculs[Workers],TblCalculs[Cluster],$B44,TblCalculs[Mois],AO$33))))</f>
        <v>6</v>
      </c>
    </row>
    <row r="45" spans="1:41" x14ac:dyDescent="0.2">
      <c r="A45" s="37">
        <f>IFERROR(MATCH(12,TblClusters[Rang capacités],0),"")</f>
        <v>12</v>
      </c>
      <c r="B45" s="38" t="str">
        <f>IF($A45="","",INDEX(TblClusters[Cluster],$A45))</f>
        <v>oc-EMEA-NOS-PRD</v>
      </c>
      <c r="C45" s="39" t="str">
        <f>IF($A45="","",INDEX(TblClusters[Plateforme],$A45))</f>
        <v>ROKS</v>
      </c>
      <c r="D45" s="39" t="str">
        <f>IF($A45="","",INDEX(TblClusters[Environnement],$A45))</f>
        <v>PRD</v>
      </c>
      <c r="E45" s="39" t="str">
        <f>IF($A45="","",INDEX(TblClusters[Flavor],$A45))</f>
        <v>bx3d.8x40</v>
      </c>
      <c r="F45" s="40">
        <f>IF(OR($A45="",F$33=""),"",IF(ca_mesure="CPU",SUMIFS(TblCalculs[CPU provisionné],TblCalculs[Cluster],$B45,TblCalculs[Mois],F$33),IF(ca_mesure="RAM",SUMIFS(TblCalculs[RAM provisionnée],TblCalculs[Cluster],$B45,TblCalculs[Mois],F$33),SUMIFS(TblCalculs[Workers],TblCalculs[Cluster],$B45,TblCalculs[Mois],F$33))))</f>
        <v>6</v>
      </c>
      <c r="G45" s="40">
        <f>IF(OR($A45="",G$33=""),"",IF(ca_mesure="CPU",SUMIFS(TblCalculs[CPU provisionné],TblCalculs[Cluster],$B45,TblCalculs[Mois],G$33),IF(ca_mesure="RAM",SUMIFS(TblCalculs[RAM provisionnée],TblCalculs[Cluster],$B45,TblCalculs[Mois],G$33),SUMIFS(TblCalculs[Workers],TblCalculs[Cluster],$B45,TblCalculs[Mois],G$33))))</f>
        <v>6</v>
      </c>
      <c r="H45" s="40">
        <f>IF(OR($A45="",H$33=""),"",IF(ca_mesure="CPU",SUMIFS(TblCalculs[CPU provisionné],TblCalculs[Cluster],$B45,TblCalculs[Mois],H$33),IF(ca_mesure="RAM",SUMIFS(TblCalculs[RAM provisionnée],TblCalculs[Cluster],$B45,TblCalculs[Mois],H$33),SUMIFS(TblCalculs[Workers],TblCalculs[Cluster],$B45,TblCalculs[Mois],H$33))))</f>
        <v>6</v>
      </c>
      <c r="I45" s="40">
        <f>IF(OR($A45="",I$33=""),"",IF(ca_mesure="CPU",SUMIFS(TblCalculs[CPU provisionné],TblCalculs[Cluster],$B45,TblCalculs[Mois],I$33),IF(ca_mesure="RAM",SUMIFS(TblCalculs[RAM provisionnée],TblCalculs[Cluster],$B45,TblCalculs[Mois],I$33),SUMIFS(TblCalculs[Workers],TblCalculs[Cluster],$B45,TblCalculs[Mois],I$33))))</f>
        <v>6</v>
      </c>
      <c r="J45" s="40">
        <f>IF(OR($A45="",J$33=""),"",IF(ca_mesure="CPU",SUMIFS(TblCalculs[CPU provisionné],TblCalculs[Cluster],$B45,TblCalculs[Mois],J$33),IF(ca_mesure="RAM",SUMIFS(TblCalculs[RAM provisionnée],TblCalculs[Cluster],$B45,TblCalculs[Mois],J$33),SUMIFS(TblCalculs[Workers],TblCalculs[Cluster],$B45,TblCalculs[Mois],J$33))))</f>
        <v>6</v>
      </c>
      <c r="K45" s="40">
        <f>IF(OR($A45="",K$33=""),"",IF(ca_mesure="CPU",SUMIFS(TblCalculs[CPU provisionné],TblCalculs[Cluster],$B45,TblCalculs[Mois],K$33),IF(ca_mesure="RAM",SUMIFS(TblCalculs[RAM provisionnée],TblCalculs[Cluster],$B45,TblCalculs[Mois],K$33),SUMIFS(TblCalculs[Workers],TblCalculs[Cluster],$B45,TblCalculs[Mois],K$33))))</f>
        <v>6</v>
      </c>
      <c r="L45" s="40">
        <f>IF(OR($A45="",L$33=""),"",IF(ca_mesure="CPU",SUMIFS(TblCalculs[CPU provisionné],TblCalculs[Cluster],$B45,TblCalculs[Mois],L$33),IF(ca_mesure="RAM",SUMIFS(TblCalculs[RAM provisionnée],TblCalculs[Cluster],$B45,TblCalculs[Mois],L$33),SUMIFS(TblCalculs[Workers],TblCalculs[Cluster],$B45,TblCalculs[Mois],L$33))))</f>
        <v>6</v>
      </c>
      <c r="M45" s="40">
        <f>IF(OR($A45="",M$33=""),"",IF(ca_mesure="CPU",SUMIFS(TblCalculs[CPU provisionné],TblCalculs[Cluster],$B45,TblCalculs[Mois],M$33),IF(ca_mesure="RAM",SUMIFS(TblCalculs[RAM provisionnée],TblCalculs[Cluster],$B45,TblCalculs[Mois],M$33),SUMIFS(TblCalculs[Workers],TblCalculs[Cluster],$B45,TblCalculs[Mois],M$33))))</f>
        <v>6</v>
      </c>
      <c r="N45" s="40">
        <f>IF(OR($A45="",N$33=""),"",IF(ca_mesure="CPU",SUMIFS(TblCalculs[CPU provisionné],TblCalculs[Cluster],$B45,TblCalculs[Mois],N$33),IF(ca_mesure="RAM",SUMIFS(TblCalculs[RAM provisionnée],TblCalculs[Cluster],$B45,TblCalculs[Mois],N$33),SUMIFS(TblCalculs[Workers],TblCalculs[Cluster],$B45,TblCalculs[Mois],N$33))))</f>
        <v>6</v>
      </c>
      <c r="O45" s="40">
        <f>IF(OR($A45="",O$33=""),"",IF(ca_mesure="CPU",SUMIFS(TblCalculs[CPU provisionné],TblCalculs[Cluster],$B45,TblCalculs[Mois],O$33),IF(ca_mesure="RAM",SUMIFS(TblCalculs[RAM provisionnée],TblCalculs[Cluster],$B45,TblCalculs[Mois],O$33),SUMIFS(TblCalculs[Workers],TblCalculs[Cluster],$B45,TblCalculs[Mois],O$33))))</f>
        <v>6</v>
      </c>
      <c r="P45" s="40">
        <f>IF(OR($A45="",P$33=""),"",IF(ca_mesure="CPU",SUMIFS(TblCalculs[CPU provisionné],TblCalculs[Cluster],$B45,TblCalculs[Mois],P$33),IF(ca_mesure="RAM",SUMIFS(TblCalculs[RAM provisionnée],TblCalculs[Cluster],$B45,TblCalculs[Mois],P$33),SUMIFS(TblCalculs[Workers],TblCalculs[Cluster],$B45,TblCalculs[Mois],P$33))))</f>
        <v>6</v>
      </c>
      <c r="Q45" s="40">
        <f>IF(OR($A45="",Q$33=""),"",IF(ca_mesure="CPU",SUMIFS(TblCalculs[CPU provisionné],TblCalculs[Cluster],$B45,TblCalculs[Mois],Q$33),IF(ca_mesure="RAM",SUMIFS(TblCalculs[RAM provisionnée],TblCalculs[Cluster],$B45,TblCalculs[Mois],Q$33),SUMIFS(TblCalculs[Workers],TblCalculs[Cluster],$B45,TblCalculs[Mois],Q$33))))</f>
        <v>6</v>
      </c>
      <c r="R45" s="40">
        <f>IF(OR($A45="",R$33=""),"",IF(ca_mesure="CPU",SUMIFS(TblCalculs[CPU provisionné],TblCalculs[Cluster],$B45,TblCalculs[Mois],R$33),IF(ca_mesure="RAM",SUMIFS(TblCalculs[RAM provisionnée],TblCalculs[Cluster],$B45,TblCalculs[Mois],R$33),SUMIFS(TblCalculs[Workers],TblCalculs[Cluster],$B45,TblCalculs[Mois],R$33))))</f>
        <v>6</v>
      </c>
      <c r="S45" s="40">
        <f>IF(OR($A45="",S$33=""),"",IF(ca_mesure="CPU",SUMIFS(TblCalculs[CPU provisionné],TblCalculs[Cluster],$B45,TblCalculs[Mois],S$33),IF(ca_mesure="RAM",SUMIFS(TblCalculs[RAM provisionnée],TblCalculs[Cluster],$B45,TblCalculs[Mois],S$33),SUMIFS(TblCalculs[Workers],TblCalculs[Cluster],$B45,TblCalculs[Mois],S$33))))</f>
        <v>6</v>
      </c>
      <c r="T45" s="40">
        <f>IF(OR($A45="",T$33=""),"",IF(ca_mesure="CPU",SUMIFS(TblCalculs[CPU provisionné],TblCalculs[Cluster],$B45,TblCalculs[Mois],T$33),IF(ca_mesure="RAM",SUMIFS(TblCalculs[RAM provisionnée],TblCalculs[Cluster],$B45,TblCalculs[Mois],T$33),SUMIFS(TblCalculs[Workers],TblCalculs[Cluster],$B45,TblCalculs[Mois],T$33))))</f>
        <v>6</v>
      </c>
      <c r="U45" s="40">
        <f>IF(OR($A45="",U$33=""),"",IF(ca_mesure="CPU",SUMIFS(TblCalculs[CPU provisionné],TblCalculs[Cluster],$B45,TblCalculs[Mois],U$33),IF(ca_mesure="RAM",SUMIFS(TblCalculs[RAM provisionnée],TblCalculs[Cluster],$B45,TblCalculs[Mois],U$33),SUMIFS(TblCalculs[Workers],TblCalculs[Cluster],$B45,TblCalculs[Mois],U$33))))</f>
        <v>6</v>
      </c>
      <c r="V45" s="40">
        <f>IF(OR($A45="",V$33=""),"",IF(ca_mesure="CPU",SUMIFS(TblCalculs[CPU provisionné],TblCalculs[Cluster],$B45,TblCalculs[Mois],V$33),IF(ca_mesure="RAM",SUMIFS(TblCalculs[RAM provisionnée],TblCalculs[Cluster],$B45,TblCalculs[Mois],V$33),SUMIFS(TblCalculs[Workers],TblCalculs[Cluster],$B45,TblCalculs[Mois],V$33))))</f>
        <v>6</v>
      </c>
      <c r="W45" s="40">
        <f>IF(OR($A45="",W$33=""),"",IF(ca_mesure="CPU",SUMIFS(TblCalculs[CPU provisionné],TblCalculs[Cluster],$B45,TblCalculs[Mois],W$33),IF(ca_mesure="RAM",SUMIFS(TblCalculs[RAM provisionnée],TblCalculs[Cluster],$B45,TblCalculs[Mois],W$33),SUMIFS(TblCalculs[Workers],TblCalculs[Cluster],$B45,TblCalculs[Mois],W$33))))</f>
        <v>6</v>
      </c>
      <c r="X45" s="40">
        <f>IF(OR($A45="",X$33=""),"",IF(ca_mesure="CPU",SUMIFS(TblCalculs[CPU provisionné],TblCalculs[Cluster],$B45,TblCalculs[Mois],X$33),IF(ca_mesure="RAM",SUMIFS(TblCalculs[RAM provisionnée],TblCalculs[Cluster],$B45,TblCalculs[Mois],X$33),SUMIFS(TblCalculs[Workers],TblCalculs[Cluster],$B45,TblCalculs[Mois],X$33))))</f>
        <v>6</v>
      </c>
      <c r="Y45" s="40">
        <f>IF(OR($A45="",Y$33=""),"",IF(ca_mesure="CPU",SUMIFS(TblCalculs[CPU provisionné],TblCalculs[Cluster],$B45,TblCalculs[Mois],Y$33),IF(ca_mesure="RAM",SUMIFS(TblCalculs[RAM provisionnée],TblCalculs[Cluster],$B45,TblCalculs[Mois],Y$33),SUMIFS(TblCalculs[Workers],TblCalculs[Cluster],$B45,TblCalculs[Mois],Y$33))))</f>
        <v>6</v>
      </c>
      <c r="Z45" s="40">
        <f>IF(OR($A45="",Z$33=""),"",IF(ca_mesure="CPU",SUMIFS(TblCalculs[CPU provisionné],TblCalculs[Cluster],$B45,TblCalculs[Mois],Z$33),IF(ca_mesure="RAM",SUMIFS(TblCalculs[RAM provisionnée],TblCalculs[Cluster],$B45,TblCalculs[Mois],Z$33),SUMIFS(TblCalculs[Workers],TblCalculs[Cluster],$B45,TblCalculs[Mois],Z$33))))</f>
        <v>6</v>
      </c>
      <c r="AA45" s="40">
        <f>IF(OR($A45="",AA$33=""),"",IF(ca_mesure="CPU",SUMIFS(TblCalculs[CPU provisionné],TblCalculs[Cluster],$B45,TblCalculs[Mois],AA$33),IF(ca_mesure="RAM",SUMIFS(TblCalculs[RAM provisionnée],TblCalculs[Cluster],$B45,TblCalculs[Mois],AA$33),SUMIFS(TblCalculs[Workers],TblCalculs[Cluster],$B45,TblCalculs[Mois],AA$33))))</f>
        <v>6</v>
      </c>
      <c r="AB45" s="40">
        <f>IF(OR($A45="",AB$33=""),"",IF(ca_mesure="CPU",SUMIFS(TblCalculs[CPU provisionné],TblCalculs[Cluster],$B45,TblCalculs[Mois],AB$33),IF(ca_mesure="RAM",SUMIFS(TblCalculs[RAM provisionnée],TblCalculs[Cluster],$B45,TblCalculs[Mois],AB$33),SUMIFS(TblCalculs[Workers],TblCalculs[Cluster],$B45,TblCalculs[Mois],AB$33))))</f>
        <v>6</v>
      </c>
      <c r="AC45" s="40">
        <f>IF(OR($A45="",AC$33=""),"",IF(ca_mesure="CPU",SUMIFS(TblCalculs[CPU provisionné],TblCalculs[Cluster],$B45,TblCalculs[Mois],AC$33),IF(ca_mesure="RAM",SUMIFS(TblCalculs[RAM provisionnée],TblCalculs[Cluster],$B45,TblCalculs[Mois],AC$33),SUMIFS(TblCalculs[Workers],TblCalculs[Cluster],$B45,TblCalculs[Mois],AC$33))))</f>
        <v>6</v>
      </c>
      <c r="AD45" s="40">
        <f>IF(OR($A45="",AD$33=""),"",IF(ca_mesure="CPU",SUMIFS(TblCalculs[CPU provisionné],TblCalculs[Cluster],$B45,TblCalculs[Mois],AD$33),IF(ca_mesure="RAM",SUMIFS(TblCalculs[RAM provisionnée],TblCalculs[Cluster],$B45,TblCalculs[Mois],AD$33),SUMIFS(TblCalculs[Workers],TblCalculs[Cluster],$B45,TblCalculs[Mois],AD$33))))</f>
        <v>6</v>
      </c>
      <c r="AE45" s="40">
        <f>IF(OR($A45="",AE$33=""),"",IF(ca_mesure="CPU",SUMIFS(TblCalculs[CPU provisionné],TblCalculs[Cluster],$B45,TblCalculs[Mois],AE$33),IF(ca_mesure="RAM",SUMIFS(TblCalculs[RAM provisionnée],TblCalculs[Cluster],$B45,TblCalculs[Mois],AE$33),SUMIFS(TblCalculs[Workers],TblCalculs[Cluster],$B45,TblCalculs[Mois],AE$33))))</f>
        <v>6</v>
      </c>
      <c r="AF45" s="40">
        <f>IF(OR($A45="",AF$33=""),"",IF(ca_mesure="CPU",SUMIFS(TblCalculs[CPU provisionné],TblCalculs[Cluster],$B45,TblCalculs[Mois],AF$33),IF(ca_mesure="RAM",SUMIFS(TblCalculs[RAM provisionnée],TblCalculs[Cluster],$B45,TblCalculs[Mois],AF$33),SUMIFS(TblCalculs[Workers],TblCalculs[Cluster],$B45,TblCalculs[Mois],AF$33))))</f>
        <v>6</v>
      </c>
      <c r="AG45" s="40">
        <f>IF(OR($A45="",AG$33=""),"",IF(ca_mesure="CPU",SUMIFS(TblCalculs[CPU provisionné],TblCalculs[Cluster],$B45,TblCalculs[Mois],AG$33),IF(ca_mesure="RAM",SUMIFS(TblCalculs[RAM provisionnée],TblCalculs[Cluster],$B45,TblCalculs[Mois],AG$33),SUMIFS(TblCalculs[Workers],TblCalculs[Cluster],$B45,TblCalculs[Mois],AG$33))))</f>
        <v>6</v>
      </c>
      <c r="AH45" s="40">
        <f>IF(OR($A45="",AH$33=""),"",IF(ca_mesure="CPU",SUMIFS(TblCalculs[CPU provisionné],TblCalculs[Cluster],$B45,TblCalculs[Mois],AH$33),IF(ca_mesure="RAM",SUMIFS(TblCalculs[RAM provisionnée],TblCalculs[Cluster],$B45,TblCalculs[Mois],AH$33),SUMIFS(TblCalculs[Workers],TblCalculs[Cluster],$B45,TblCalculs[Mois],AH$33))))</f>
        <v>6</v>
      </c>
      <c r="AI45" s="40">
        <f>IF(OR($A45="",AI$33=""),"",IF(ca_mesure="CPU",SUMIFS(TblCalculs[CPU provisionné],TblCalculs[Cluster],$B45,TblCalculs[Mois],AI$33),IF(ca_mesure="RAM",SUMIFS(TblCalculs[RAM provisionnée],TblCalculs[Cluster],$B45,TblCalculs[Mois],AI$33),SUMIFS(TblCalculs[Workers],TblCalculs[Cluster],$B45,TblCalculs[Mois],AI$33))))</f>
        <v>6</v>
      </c>
      <c r="AJ45" s="40">
        <f>IF(OR($A45="",AJ$33=""),"",IF(ca_mesure="CPU",SUMIFS(TblCalculs[CPU provisionné],TblCalculs[Cluster],$B45,TblCalculs[Mois],AJ$33),IF(ca_mesure="RAM",SUMIFS(TblCalculs[RAM provisionnée],TblCalculs[Cluster],$B45,TblCalculs[Mois],AJ$33),SUMIFS(TblCalculs[Workers],TblCalculs[Cluster],$B45,TblCalculs[Mois],AJ$33))))</f>
        <v>6</v>
      </c>
      <c r="AK45" s="40">
        <f>IF(OR($A45="",AK$33=""),"",IF(ca_mesure="CPU",SUMIFS(TblCalculs[CPU provisionné],TblCalculs[Cluster],$B45,TblCalculs[Mois],AK$33),IF(ca_mesure="RAM",SUMIFS(TblCalculs[RAM provisionnée],TblCalculs[Cluster],$B45,TblCalculs[Mois],AK$33),SUMIFS(TblCalculs[Workers],TblCalculs[Cluster],$B45,TblCalculs[Mois],AK$33))))</f>
        <v>6</v>
      </c>
      <c r="AL45" s="40">
        <f>IF(OR($A45="",AL$33=""),"",IF(ca_mesure="CPU",SUMIFS(TblCalculs[CPU provisionné],TblCalculs[Cluster],$B45,TblCalculs[Mois],AL$33),IF(ca_mesure="RAM",SUMIFS(TblCalculs[RAM provisionnée],TblCalculs[Cluster],$B45,TblCalculs[Mois],AL$33),SUMIFS(TblCalculs[Workers],TblCalculs[Cluster],$B45,TblCalculs[Mois],AL$33))))</f>
        <v>6</v>
      </c>
      <c r="AM45" s="40">
        <f>IF(OR($A45="",AM$33=""),"",IF(ca_mesure="CPU",SUMIFS(TblCalculs[CPU provisionné],TblCalculs[Cluster],$B45,TblCalculs[Mois],AM$33),IF(ca_mesure="RAM",SUMIFS(TblCalculs[RAM provisionnée],TblCalculs[Cluster],$B45,TblCalculs[Mois],AM$33),SUMIFS(TblCalculs[Workers],TblCalculs[Cluster],$B45,TblCalculs[Mois],AM$33))))</f>
        <v>6</v>
      </c>
      <c r="AN45" s="40">
        <f>IF(OR($A45="",AN$33=""),"",IF(ca_mesure="CPU",SUMIFS(TblCalculs[CPU provisionné],TblCalculs[Cluster],$B45,TblCalculs[Mois],AN$33),IF(ca_mesure="RAM",SUMIFS(TblCalculs[RAM provisionnée],TblCalculs[Cluster],$B45,TblCalculs[Mois],AN$33),SUMIFS(TblCalculs[Workers],TblCalculs[Cluster],$B45,TblCalculs[Mois],AN$33))))</f>
        <v>6</v>
      </c>
      <c r="AO45" s="40">
        <f>IF(OR($A45="",AO$33=""),"",IF(ca_mesure="CPU",SUMIFS(TblCalculs[CPU provisionné],TblCalculs[Cluster],$B45,TblCalculs[Mois],AO$33),IF(ca_mesure="RAM",SUMIFS(TblCalculs[RAM provisionnée],TblCalculs[Cluster],$B45,TblCalculs[Mois],AO$33),SUMIFS(TblCalculs[Workers],TblCalculs[Cluster],$B45,TblCalculs[Mois],AO$33))))</f>
        <v>6</v>
      </c>
    </row>
    <row r="46" spans="1:41" x14ac:dyDescent="0.2">
      <c r="A46" s="37">
        <f>IFERROR(MATCH(13,TblClusters[Rang capacités],0),"")</f>
        <v>13</v>
      </c>
      <c r="B46" s="38" t="str">
        <f>IF($A46="","",INDEX(TblClusters[Cluster],$A46))</f>
        <v>oc-EMEA-SEC-PRD</v>
      </c>
      <c r="C46" s="39" t="str">
        <f>IF($A46="","",INDEX(TblClusters[Plateforme],$A46))</f>
        <v>ROKS</v>
      </c>
      <c r="D46" s="39" t="str">
        <f>IF($A46="","",INDEX(TblClusters[Environnement],$A46))</f>
        <v>PRD</v>
      </c>
      <c r="E46" s="39">
        <f>IF($A46="","",INDEX(TblClusters[Flavor],$A46))</f>
        <v>0</v>
      </c>
      <c r="F46" s="40">
        <f>IF(OR($A46="",F$33=""),"",IF(ca_mesure="CPU",SUMIFS(TblCalculs[CPU provisionné],TblCalculs[Cluster],$B46,TblCalculs[Mois],F$33),IF(ca_mesure="RAM",SUMIFS(TblCalculs[RAM provisionnée],TblCalculs[Cluster],$B46,TblCalculs[Mois],F$33),SUMIFS(TblCalculs[Workers],TblCalculs[Cluster],$B46,TblCalculs[Mois],F$33))))</f>
        <v>0</v>
      </c>
      <c r="G46" s="40">
        <f>IF(OR($A46="",G$33=""),"",IF(ca_mesure="CPU",SUMIFS(TblCalculs[CPU provisionné],TblCalculs[Cluster],$B46,TblCalculs[Mois],G$33),IF(ca_mesure="RAM",SUMIFS(TblCalculs[RAM provisionnée],TblCalculs[Cluster],$B46,TblCalculs[Mois],G$33),SUMIFS(TblCalculs[Workers],TblCalculs[Cluster],$B46,TblCalculs[Mois],G$33))))</f>
        <v>0</v>
      </c>
      <c r="H46" s="40">
        <f>IF(OR($A46="",H$33=""),"",IF(ca_mesure="CPU",SUMIFS(TblCalculs[CPU provisionné],TblCalculs[Cluster],$B46,TblCalculs[Mois],H$33),IF(ca_mesure="RAM",SUMIFS(TblCalculs[RAM provisionnée],TblCalculs[Cluster],$B46,TblCalculs[Mois],H$33),SUMIFS(TblCalculs[Workers],TblCalculs[Cluster],$B46,TblCalculs[Mois],H$33))))</f>
        <v>0</v>
      </c>
      <c r="I46" s="40">
        <f>IF(OR($A46="",I$33=""),"",IF(ca_mesure="CPU",SUMIFS(TblCalculs[CPU provisionné],TblCalculs[Cluster],$B46,TblCalculs[Mois],I$33),IF(ca_mesure="RAM",SUMIFS(TblCalculs[RAM provisionnée],TblCalculs[Cluster],$B46,TblCalculs[Mois],I$33),SUMIFS(TblCalculs[Workers],TblCalculs[Cluster],$B46,TblCalculs[Mois],I$33))))</f>
        <v>0</v>
      </c>
      <c r="J46" s="40">
        <f>IF(OR($A46="",J$33=""),"",IF(ca_mesure="CPU",SUMIFS(TblCalculs[CPU provisionné],TblCalculs[Cluster],$B46,TblCalculs[Mois],J$33),IF(ca_mesure="RAM",SUMIFS(TblCalculs[RAM provisionnée],TblCalculs[Cluster],$B46,TblCalculs[Mois],J$33),SUMIFS(TblCalculs[Workers],TblCalculs[Cluster],$B46,TblCalculs[Mois],J$33))))</f>
        <v>0</v>
      </c>
      <c r="K46" s="40">
        <f>IF(OR($A46="",K$33=""),"",IF(ca_mesure="CPU",SUMIFS(TblCalculs[CPU provisionné],TblCalculs[Cluster],$B46,TblCalculs[Mois],K$33),IF(ca_mesure="RAM",SUMIFS(TblCalculs[RAM provisionnée],TblCalculs[Cluster],$B46,TblCalculs[Mois],K$33),SUMIFS(TblCalculs[Workers],TblCalculs[Cluster],$B46,TblCalculs[Mois],K$33))))</f>
        <v>0</v>
      </c>
      <c r="L46" s="40">
        <f>IF(OR($A46="",L$33=""),"",IF(ca_mesure="CPU",SUMIFS(TblCalculs[CPU provisionné],TblCalculs[Cluster],$B46,TblCalculs[Mois],L$33),IF(ca_mesure="RAM",SUMIFS(TblCalculs[RAM provisionnée],TblCalculs[Cluster],$B46,TblCalculs[Mois],L$33),SUMIFS(TblCalculs[Workers],TblCalculs[Cluster],$B46,TblCalculs[Mois],L$33))))</f>
        <v>0</v>
      </c>
      <c r="M46" s="40">
        <f>IF(OR($A46="",M$33=""),"",IF(ca_mesure="CPU",SUMIFS(TblCalculs[CPU provisionné],TblCalculs[Cluster],$B46,TblCalculs[Mois],M$33),IF(ca_mesure="RAM",SUMIFS(TblCalculs[RAM provisionnée],TblCalculs[Cluster],$B46,TblCalculs[Mois],M$33),SUMIFS(TblCalculs[Workers],TblCalculs[Cluster],$B46,TblCalculs[Mois],M$33))))</f>
        <v>0</v>
      </c>
      <c r="N46" s="40">
        <f>IF(OR($A46="",N$33=""),"",IF(ca_mesure="CPU",SUMIFS(TblCalculs[CPU provisionné],TblCalculs[Cluster],$B46,TblCalculs[Mois],N$33),IF(ca_mesure="RAM",SUMIFS(TblCalculs[RAM provisionnée],TblCalculs[Cluster],$B46,TblCalculs[Mois],N$33),SUMIFS(TblCalculs[Workers],TblCalculs[Cluster],$B46,TblCalculs[Mois],N$33))))</f>
        <v>0</v>
      </c>
      <c r="O46" s="40">
        <f>IF(OR($A46="",O$33=""),"",IF(ca_mesure="CPU",SUMIFS(TblCalculs[CPU provisionné],TblCalculs[Cluster],$B46,TblCalculs[Mois],O$33),IF(ca_mesure="RAM",SUMIFS(TblCalculs[RAM provisionnée],TblCalculs[Cluster],$B46,TblCalculs[Mois],O$33),SUMIFS(TblCalculs[Workers],TblCalculs[Cluster],$B46,TblCalculs[Mois],O$33))))</f>
        <v>0</v>
      </c>
      <c r="P46" s="40">
        <f>IF(OR($A46="",P$33=""),"",IF(ca_mesure="CPU",SUMIFS(TblCalculs[CPU provisionné],TblCalculs[Cluster],$B46,TblCalculs[Mois],P$33),IF(ca_mesure="RAM",SUMIFS(TblCalculs[RAM provisionnée],TblCalculs[Cluster],$B46,TblCalculs[Mois],P$33),SUMIFS(TblCalculs[Workers],TblCalculs[Cluster],$B46,TblCalculs[Mois],P$33))))</f>
        <v>0</v>
      </c>
      <c r="Q46" s="40">
        <f>IF(OR($A46="",Q$33=""),"",IF(ca_mesure="CPU",SUMIFS(TblCalculs[CPU provisionné],TblCalculs[Cluster],$B46,TblCalculs[Mois],Q$33),IF(ca_mesure="RAM",SUMIFS(TblCalculs[RAM provisionnée],TblCalculs[Cluster],$B46,TblCalculs[Mois],Q$33),SUMIFS(TblCalculs[Workers],TblCalculs[Cluster],$B46,TblCalculs[Mois],Q$33))))</f>
        <v>0</v>
      </c>
      <c r="R46" s="40">
        <f>IF(OR($A46="",R$33=""),"",IF(ca_mesure="CPU",SUMIFS(TblCalculs[CPU provisionné],TblCalculs[Cluster],$B46,TblCalculs[Mois],R$33),IF(ca_mesure="RAM",SUMIFS(TblCalculs[RAM provisionnée],TblCalculs[Cluster],$B46,TblCalculs[Mois],R$33),SUMIFS(TblCalculs[Workers],TblCalculs[Cluster],$B46,TblCalculs[Mois],R$33))))</f>
        <v>0</v>
      </c>
      <c r="S46" s="40">
        <f>IF(OR($A46="",S$33=""),"",IF(ca_mesure="CPU",SUMIFS(TblCalculs[CPU provisionné],TblCalculs[Cluster],$B46,TblCalculs[Mois],S$33),IF(ca_mesure="RAM",SUMIFS(TblCalculs[RAM provisionnée],TblCalculs[Cluster],$B46,TblCalculs[Mois],S$33),SUMIFS(TblCalculs[Workers],TblCalculs[Cluster],$B46,TblCalculs[Mois],S$33))))</f>
        <v>0</v>
      </c>
      <c r="T46" s="40">
        <f>IF(OR($A46="",T$33=""),"",IF(ca_mesure="CPU",SUMIFS(TblCalculs[CPU provisionné],TblCalculs[Cluster],$B46,TblCalculs[Mois],T$33),IF(ca_mesure="RAM",SUMIFS(TblCalculs[RAM provisionnée],TblCalculs[Cluster],$B46,TblCalculs[Mois],T$33),SUMIFS(TblCalculs[Workers],TblCalculs[Cluster],$B46,TblCalculs[Mois],T$33))))</f>
        <v>0</v>
      </c>
      <c r="U46" s="40">
        <f>IF(OR($A46="",U$33=""),"",IF(ca_mesure="CPU",SUMIFS(TblCalculs[CPU provisionné],TblCalculs[Cluster],$B46,TblCalculs[Mois],U$33),IF(ca_mesure="RAM",SUMIFS(TblCalculs[RAM provisionnée],TblCalculs[Cluster],$B46,TblCalculs[Mois],U$33),SUMIFS(TblCalculs[Workers],TblCalculs[Cluster],$B46,TblCalculs[Mois],U$33))))</f>
        <v>0</v>
      </c>
      <c r="V46" s="40">
        <f>IF(OR($A46="",V$33=""),"",IF(ca_mesure="CPU",SUMIFS(TblCalculs[CPU provisionné],TblCalculs[Cluster],$B46,TblCalculs[Mois],V$33),IF(ca_mesure="RAM",SUMIFS(TblCalculs[RAM provisionnée],TblCalculs[Cluster],$B46,TblCalculs[Mois],V$33),SUMIFS(TblCalculs[Workers],TblCalculs[Cluster],$B46,TblCalculs[Mois],V$33))))</f>
        <v>0</v>
      </c>
      <c r="W46" s="40">
        <f>IF(OR($A46="",W$33=""),"",IF(ca_mesure="CPU",SUMIFS(TblCalculs[CPU provisionné],TblCalculs[Cluster],$B46,TblCalculs[Mois],W$33),IF(ca_mesure="RAM",SUMIFS(TblCalculs[RAM provisionnée],TblCalculs[Cluster],$B46,TblCalculs[Mois],W$33),SUMIFS(TblCalculs[Workers],TblCalculs[Cluster],$B46,TblCalculs[Mois],W$33))))</f>
        <v>0</v>
      </c>
      <c r="X46" s="40">
        <f>IF(OR($A46="",X$33=""),"",IF(ca_mesure="CPU",SUMIFS(TblCalculs[CPU provisionné],TblCalculs[Cluster],$B46,TblCalculs[Mois],X$33),IF(ca_mesure="RAM",SUMIFS(TblCalculs[RAM provisionnée],TblCalculs[Cluster],$B46,TblCalculs[Mois],X$33),SUMIFS(TblCalculs[Workers],TblCalculs[Cluster],$B46,TblCalculs[Mois],X$33))))</f>
        <v>0</v>
      </c>
      <c r="Y46" s="40">
        <f>IF(OR($A46="",Y$33=""),"",IF(ca_mesure="CPU",SUMIFS(TblCalculs[CPU provisionné],TblCalculs[Cluster],$B46,TblCalculs[Mois],Y$33),IF(ca_mesure="RAM",SUMIFS(TblCalculs[RAM provisionnée],TblCalculs[Cluster],$B46,TblCalculs[Mois],Y$33),SUMIFS(TblCalculs[Workers],TblCalculs[Cluster],$B46,TblCalculs[Mois],Y$33))))</f>
        <v>0</v>
      </c>
      <c r="Z46" s="40">
        <f>IF(OR($A46="",Z$33=""),"",IF(ca_mesure="CPU",SUMIFS(TblCalculs[CPU provisionné],TblCalculs[Cluster],$B46,TblCalculs[Mois],Z$33),IF(ca_mesure="RAM",SUMIFS(TblCalculs[RAM provisionnée],TblCalculs[Cluster],$B46,TblCalculs[Mois],Z$33),SUMIFS(TblCalculs[Workers],TblCalculs[Cluster],$B46,TblCalculs[Mois],Z$33))))</f>
        <v>0</v>
      </c>
      <c r="AA46" s="40">
        <f>IF(OR($A46="",AA$33=""),"",IF(ca_mesure="CPU",SUMIFS(TblCalculs[CPU provisionné],TblCalculs[Cluster],$B46,TblCalculs[Mois],AA$33),IF(ca_mesure="RAM",SUMIFS(TblCalculs[RAM provisionnée],TblCalculs[Cluster],$B46,TblCalculs[Mois],AA$33),SUMIFS(TblCalculs[Workers],TblCalculs[Cluster],$B46,TblCalculs[Mois],AA$33))))</f>
        <v>0</v>
      </c>
      <c r="AB46" s="40">
        <f>IF(OR($A46="",AB$33=""),"",IF(ca_mesure="CPU",SUMIFS(TblCalculs[CPU provisionné],TblCalculs[Cluster],$B46,TblCalculs[Mois],AB$33),IF(ca_mesure="RAM",SUMIFS(TblCalculs[RAM provisionnée],TblCalculs[Cluster],$B46,TblCalculs[Mois],AB$33),SUMIFS(TblCalculs[Workers],TblCalculs[Cluster],$B46,TblCalculs[Mois],AB$33))))</f>
        <v>0</v>
      </c>
      <c r="AC46" s="40">
        <f>IF(OR($A46="",AC$33=""),"",IF(ca_mesure="CPU",SUMIFS(TblCalculs[CPU provisionné],TblCalculs[Cluster],$B46,TblCalculs[Mois],AC$33),IF(ca_mesure="RAM",SUMIFS(TblCalculs[RAM provisionnée],TblCalculs[Cluster],$B46,TblCalculs[Mois],AC$33),SUMIFS(TblCalculs[Workers],TblCalculs[Cluster],$B46,TblCalculs[Mois],AC$33))))</f>
        <v>0</v>
      </c>
      <c r="AD46" s="40">
        <f>IF(OR($A46="",AD$33=""),"",IF(ca_mesure="CPU",SUMIFS(TblCalculs[CPU provisionné],TblCalculs[Cluster],$B46,TblCalculs[Mois],AD$33),IF(ca_mesure="RAM",SUMIFS(TblCalculs[RAM provisionnée],TblCalculs[Cluster],$B46,TblCalculs[Mois],AD$33),SUMIFS(TblCalculs[Workers],TblCalculs[Cluster],$B46,TblCalculs[Mois],AD$33))))</f>
        <v>0</v>
      </c>
      <c r="AE46" s="40">
        <f>IF(OR($A46="",AE$33=""),"",IF(ca_mesure="CPU",SUMIFS(TblCalculs[CPU provisionné],TblCalculs[Cluster],$B46,TblCalculs[Mois],AE$33),IF(ca_mesure="RAM",SUMIFS(TblCalculs[RAM provisionnée],TblCalculs[Cluster],$B46,TblCalculs[Mois],AE$33),SUMIFS(TblCalculs[Workers],TblCalculs[Cluster],$B46,TblCalculs[Mois],AE$33))))</f>
        <v>0</v>
      </c>
      <c r="AF46" s="40">
        <f>IF(OR($A46="",AF$33=""),"",IF(ca_mesure="CPU",SUMIFS(TblCalculs[CPU provisionné],TblCalculs[Cluster],$B46,TblCalculs[Mois],AF$33),IF(ca_mesure="RAM",SUMIFS(TblCalculs[RAM provisionnée],TblCalculs[Cluster],$B46,TblCalculs[Mois],AF$33),SUMIFS(TblCalculs[Workers],TblCalculs[Cluster],$B46,TblCalculs[Mois],AF$33))))</f>
        <v>0</v>
      </c>
      <c r="AG46" s="40">
        <f>IF(OR($A46="",AG$33=""),"",IF(ca_mesure="CPU",SUMIFS(TblCalculs[CPU provisionné],TblCalculs[Cluster],$B46,TblCalculs[Mois],AG$33),IF(ca_mesure="RAM",SUMIFS(TblCalculs[RAM provisionnée],TblCalculs[Cluster],$B46,TblCalculs[Mois],AG$33),SUMIFS(TblCalculs[Workers],TblCalculs[Cluster],$B46,TblCalculs[Mois],AG$33))))</f>
        <v>0</v>
      </c>
      <c r="AH46" s="40">
        <f>IF(OR($A46="",AH$33=""),"",IF(ca_mesure="CPU",SUMIFS(TblCalculs[CPU provisionné],TblCalculs[Cluster],$B46,TblCalculs[Mois],AH$33),IF(ca_mesure="RAM",SUMIFS(TblCalculs[RAM provisionnée],TblCalculs[Cluster],$B46,TblCalculs[Mois],AH$33),SUMIFS(TblCalculs[Workers],TblCalculs[Cluster],$B46,TblCalculs[Mois],AH$33))))</f>
        <v>0</v>
      </c>
      <c r="AI46" s="40">
        <f>IF(OR($A46="",AI$33=""),"",IF(ca_mesure="CPU",SUMIFS(TblCalculs[CPU provisionné],TblCalculs[Cluster],$B46,TblCalculs[Mois],AI$33),IF(ca_mesure="RAM",SUMIFS(TblCalculs[RAM provisionnée],TblCalculs[Cluster],$B46,TblCalculs[Mois],AI$33),SUMIFS(TblCalculs[Workers],TblCalculs[Cluster],$B46,TblCalculs[Mois],AI$33))))</f>
        <v>0</v>
      </c>
      <c r="AJ46" s="40">
        <f>IF(OR($A46="",AJ$33=""),"",IF(ca_mesure="CPU",SUMIFS(TblCalculs[CPU provisionné],TblCalculs[Cluster],$B46,TblCalculs[Mois],AJ$33),IF(ca_mesure="RAM",SUMIFS(TblCalculs[RAM provisionnée],TblCalculs[Cluster],$B46,TblCalculs[Mois],AJ$33),SUMIFS(TblCalculs[Workers],TblCalculs[Cluster],$B46,TblCalculs[Mois],AJ$33))))</f>
        <v>0</v>
      </c>
      <c r="AK46" s="40">
        <f>IF(OR($A46="",AK$33=""),"",IF(ca_mesure="CPU",SUMIFS(TblCalculs[CPU provisionné],TblCalculs[Cluster],$B46,TblCalculs[Mois],AK$33),IF(ca_mesure="RAM",SUMIFS(TblCalculs[RAM provisionnée],TblCalculs[Cluster],$B46,TblCalculs[Mois],AK$33),SUMIFS(TblCalculs[Workers],TblCalculs[Cluster],$B46,TblCalculs[Mois],AK$33))))</f>
        <v>0</v>
      </c>
      <c r="AL46" s="40">
        <f>IF(OR($A46="",AL$33=""),"",IF(ca_mesure="CPU",SUMIFS(TblCalculs[CPU provisionné],TblCalculs[Cluster],$B46,TblCalculs[Mois],AL$33),IF(ca_mesure="RAM",SUMIFS(TblCalculs[RAM provisionnée],TblCalculs[Cluster],$B46,TblCalculs[Mois],AL$33),SUMIFS(TblCalculs[Workers],TblCalculs[Cluster],$B46,TblCalculs[Mois],AL$33))))</f>
        <v>0</v>
      </c>
      <c r="AM46" s="40">
        <f>IF(OR($A46="",AM$33=""),"",IF(ca_mesure="CPU",SUMIFS(TblCalculs[CPU provisionné],TblCalculs[Cluster],$B46,TblCalculs[Mois],AM$33),IF(ca_mesure="RAM",SUMIFS(TblCalculs[RAM provisionnée],TblCalculs[Cluster],$B46,TblCalculs[Mois],AM$33),SUMIFS(TblCalculs[Workers],TblCalculs[Cluster],$B46,TblCalculs[Mois],AM$33))))</f>
        <v>0</v>
      </c>
      <c r="AN46" s="40">
        <f>IF(OR($A46="",AN$33=""),"",IF(ca_mesure="CPU",SUMIFS(TblCalculs[CPU provisionné],TblCalculs[Cluster],$B46,TblCalculs[Mois],AN$33),IF(ca_mesure="RAM",SUMIFS(TblCalculs[RAM provisionnée],TblCalculs[Cluster],$B46,TblCalculs[Mois],AN$33),SUMIFS(TblCalculs[Workers],TblCalculs[Cluster],$B46,TblCalculs[Mois],AN$33))))</f>
        <v>0</v>
      </c>
      <c r="AO46" s="40">
        <f>IF(OR($A46="",AO$33=""),"",IF(ca_mesure="CPU",SUMIFS(TblCalculs[CPU provisionné],TblCalculs[Cluster],$B46,TblCalculs[Mois],AO$33),IF(ca_mesure="RAM",SUMIFS(TblCalculs[RAM provisionnée],TblCalculs[Cluster],$B46,TblCalculs[Mois],AO$33),SUMIFS(TblCalculs[Workers],TblCalculs[Cluster],$B46,TblCalculs[Mois],AO$33))))</f>
        <v>0</v>
      </c>
    </row>
    <row r="47" spans="1:41" x14ac:dyDescent="0.2">
      <c r="A47" s="37">
        <f>IFERROR(MATCH(14,TblClusters[Rang capacités],0),"")</f>
        <v>14</v>
      </c>
      <c r="B47" s="38" t="str">
        <f>IF($A47="","",INDEX(TblClusters[Cluster],$A47))</f>
        <v>oc-JUMP-AEP-PRD</v>
      </c>
      <c r="C47" s="39" t="str">
        <f>IF($A47="","",INDEX(TblClusters[Plateforme],$A47))</f>
        <v>ROKS</v>
      </c>
      <c r="D47" s="39" t="str">
        <f>IF($A47="","",INDEX(TblClusters[Environnement],$A47))</f>
        <v>PRD</v>
      </c>
      <c r="E47" s="39">
        <f>IF($A47="","",INDEX(TblClusters[Flavor],$A47))</f>
        <v>0</v>
      </c>
      <c r="F47" s="40">
        <f>IF(OR($A47="",F$33=""),"",IF(ca_mesure="CPU",SUMIFS(TblCalculs[CPU provisionné],TblCalculs[Cluster],$B47,TblCalculs[Mois],F$33),IF(ca_mesure="RAM",SUMIFS(TblCalculs[RAM provisionnée],TblCalculs[Cluster],$B47,TblCalculs[Mois],F$33),SUMIFS(TblCalculs[Workers],TblCalculs[Cluster],$B47,TblCalculs[Mois],F$33))))</f>
        <v>0</v>
      </c>
      <c r="G47" s="40">
        <f>IF(OR($A47="",G$33=""),"",IF(ca_mesure="CPU",SUMIFS(TblCalculs[CPU provisionné],TblCalculs[Cluster],$B47,TblCalculs[Mois],G$33),IF(ca_mesure="RAM",SUMIFS(TblCalculs[RAM provisionnée],TblCalculs[Cluster],$B47,TblCalculs[Mois],G$33),SUMIFS(TblCalculs[Workers],TblCalculs[Cluster],$B47,TblCalculs[Mois],G$33))))</f>
        <v>0</v>
      </c>
      <c r="H47" s="40">
        <f>IF(OR($A47="",H$33=""),"",IF(ca_mesure="CPU",SUMIFS(TblCalculs[CPU provisionné],TblCalculs[Cluster],$B47,TblCalculs[Mois],H$33),IF(ca_mesure="RAM",SUMIFS(TblCalculs[RAM provisionnée],TblCalculs[Cluster],$B47,TblCalculs[Mois],H$33),SUMIFS(TblCalculs[Workers],TblCalculs[Cluster],$B47,TblCalculs[Mois],H$33))))</f>
        <v>0</v>
      </c>
      <c r="I47" s="40">
        <f>IF(OR($A47="",I$33=""),"",IF(ca_mesure="CPU",SUMIFS(TblCalculs[CPU provisionné],TblCalculs[Cluster],$B47,TblCalculs[Mois],I$33),IF(ca_mesure="RAM",SUMIFS(TblCalculs[RAM provisionnée],TblCalculs[Cluster],$B47,TblCalculs[Mois],I$33),SUMIFS(TblCalculs[Workers],TblCalculs[Cluster],$B47,TblCalculs[Mois],I$33))))</f>
        <v>0</v>
      </c>
      <c r="J47" s="40">
        <f>IF(OR($A47="",J$33=""),"",IF(ca_mesure="CPU",SUMIFS(TblCalculs[CPU provisionné],TblCalculs[Cluster],$B47,TblCalculs[Mois],J$33),IF(ca_mesure="RAM",SUMIFS(TblCalculs[RAM provisionnée],TblCalculs[Cluster],$B47,TblCalculs[Mois],J$33),SUMIFS(TblCalculs[Workers],TblCalculs[Cluster],$B47,TblCalculs[Mois],J$33))))</f>
        <v>0</v>
      </c>
      <c r="K47" s="40">
        <f>IF(OR($A47="",K$33=""),"",IF(ca_mesure="CPU",SUMIFS(TblCalculs[CPU provisionné],TblCalculs[Cluster],$B47,TblCalculs[Mois],K$33),IF(ca_mesure="RAM",SUMIFS(TblCalculs[RAM provisionnée],TblCalculs[Cluster],$B47,TblCalculs[Mois],K$33),SUMIFS(TblCalculs[Workers],TblCalculs[Cluster],$B47,TblCalculs[Mois],K$33))))</f>
        <v>0</v>
      </c>
      <c r="L47" s="40">
        <f>IF(OR($A47="",L$33=""),"",IF(ca_mesure="CPU",SUMIFS(TblCalculs[CPU provisionné],TblCalculs[Cluster],$B47,TblCalculs[Mois],L$33),IF(ca_mesure="RAM",SUMIFS(TblCalculs[RAM provisionnée],TblCalculs[Cluster],$B47,TblCalculs[Mois],L$33),SUMIFS(TblCalculs[Workers],TblCalculs[Cluster],$B47,TblCalculs[Mois],L$33))))</f>
        <v>0</v>
      </c>
      <c r="M47" s="40">
        <f>IF(OR($A47="",M$33=""),"",IF(ca_mesure="CPU",SUMIFS(TblCalculs[CPU provisionné],TblCalculs[Cluster],$B47,TblCalculs[Mois],M$33),IF(ca_mesure="RAM",SUMIFS(TblCalculs[RAM provisionnée],TblCalculs[Cluster],$B47,TblCalculs[Mois],M$33),SUMIFS(TblCalculs[Workers],TblCalculs[Cluster],$B47,TblCalculs[Mois],M$33))))</f>
        <v>0</v>
      </c>
      <c r="N47" s="40">
        <f>IF(OR($A47="",N$33=""),"",IF(ca_mesure="CPU",SUMIFS(TblCalculs[CPU provisionné],TblCalculs[Cluster],$B47,TblCalculs[Mois],N$33),IF(ca_mesure="RAM",SUMIFS(TblCalculs[RAM provisionnée],TblCalculs[Cluster],$B47,TblCalculs[Mois],N$33),SUMIFS(TblCalculs[Workers],TblCalculs[Cluster],$B47,TblCalculs[Mois],N$33))))</f>
        <v>0</v>
      </c>
      <c r="O47" s="40">
        <f>IF(OR($A47="",O$33=""),"",IF(ca_mesure="CPU",SUMIFS(TblCalculs[CPU provisionné],TblCalculs[Cluster],$B47,TblCalculs[Mois],O$33),IF(ca_mesure="RAM",SUMIFS(TblCalculs[RAM provisionnée],TblCalculs[Cluster],$B47,TblCalculs[Mois],O$33),SUMIFS(TblCalculs[Workers],TblCalculs[Cluster],$B47,TblCalculs[Mois],O$33))))</f>
        <v>0</v>
      </c>
      <c r="P47" s="40">
        <f>IF(OR($A47="",P$33=""),"",IF(ca_mesure="CPU",SUMIFS(TblCalculs[CPU provisionné],TblCalculs[Cluster],$B47,TblCalculs[Mois],P$33),IF(ca_mesure="RAM",SUMIFS(TblCalculs[RAM provisionnée],TblCalculs[Cluster],$B47,TblCalculs[Mois],P$33),SUMIFS(TblCalculs[Workers],TblCalculs[Cluster],$B47,TblCalculs[Mois],P$33))))</f>
        <v>0</v>
      </c>
      <c r="Q47" s="40">
        <f>IF(OR($A47="",Q$33=""),"",IF(ca_mesure="CPU",SUMIFS(TblCalculs[CPU provisionné],TblCalculs[Cluster],$B47,TblCalculs[Mois],Q$33),IF(ca_mesure="RAM",SUMIFS(TblCalculs[RAM provisionnée],TblCalculs[Cluster],$B47,TblCalculs[Mois],Q$33),SUMIFS(TblCalculs[Workers],TblCalculs[Cluster],$B47,TblCalculs[Mois],Q$33))))</f>
        <v>0</v>
      </c>
      <c r="R47" s="40">
        <f>IF(OR($A47="",R$33=""),"",IF(ca_mesure="CPU",SUMIFS(TblCalculs[CPU provisionné],TblCalculs[Cluster],$B47,TblCalculs[Mois],R$33),IF(ca_mesure="RAM",SUMIFS(TblCalculs[RAM provisionnée],TblCalculs[Cluster],$B47,TblCalculs[Mois],R$33),SUMIFS(TblCalculs[Workers],TblCalculs[Cluster],$B47,TblCalculs[Mois],R$33))))</f>
        <v>0</v>
      </c>
      <c r="S47" s="40">
        <f>IF(OR($A47="",S$33=""),"",IF(ca_mesure="CPU",SUMIFS(TblCalculs[CPU provisionné],TblCalculs[Cluster],$B47,TblCalculs[Mois],S$33),IF(ca_mesure="RAM",SUMIFS(TblCalculs[RAM provisionnée],TblCalculs[Cluster],$B47,TblCalculs[Mois],S$33),SUMIFS(TblCalculs[Workers],TblCalculs[Cluster],$B47,TblCalculs[Mois],S$33))))</f>
        <v>0</v>
      </c>
      <c r="T47" s="40">
        <f>IF(OR($A47="",T$33=""),"",IF(ca_mesure="CPU",SUMIFS(TblCalculs[CPU provisionné],TblCalculs[Cluster],$B47,TblCalculs[Mois],T$33),IF(ca_mesure="RAM",SUMIFS(TblCalculs[RAM provisionnée],TblCalculs[Cluster],$B47,TblCalculs[Mois],T$33),SUMIFS(TblCalculs[Workers],TblCalculs[Cluster],$B47,TblCalculs[Mois],T$33))))</f>
        <v>0</v>
      </c>
      <c r="U47" s="40">
        <f>IF(OR($A47="",U$33=""),"",IF(ca_mesure="CPU",SUMIFS(TblCalculs[CPU provisionné],TblCalculs[Cluster],$B47,TblCalculs[Mois],U$33),IF(ca_mesure="RAM",SUMIFS(TblCalculs[RAM provisionnée],TblCalculs[Cluster],$B47,TblCalculs[Mois],U$33),SUMIFS(TblCalculs[Workers],TblCalculs[Cluster],$B47,TblCalculs[Mois],U$33))))</f>
        <v>0</v>
      </c>
      <c r="V47" s="40">
        <f>IF(OR($A47="",V$33=""),"",IF(ca_mesure="CPU",SUMIFS(TblCalculs[CPU provisionné],TblCalculs[Cluster],$B47,TblCalculs[Mois],V$33),IF(ca_mesure="RAM",SUMIFS(TblCalculs[RAM provisionnée],TblCalculs[Cluster],$B47,TblCalculs[Mois],V$33),SUMIFS(TblCalculs[Workers],TblCalculs[Cluster],$B47,TblCalculs[Mois],V$33))))</f>
        <v>0</v>
      </c>
      <c r="W47" s="40">
        <f>IF(OR($A47="",W$33=""),"",IF(ca_mesure="CPU",SUMIFS(TblCalculs[CPU provisionné],TblCalculs[Cluster],$B47,TblCalculs[Mois],W$33),IF(ca_mesure="RAM",SUMIFS(TblCalculs[RAM provisionnée],TblCalculs[Cluster],$B47,TblCalculs[Mois],W$33),SUMIFS(TblCalculs[Workers],TblCalculs[Cluster],$B47,TblCalculs[Mois],W$33))))</f>
        <v>0</v>
      </c>
      <c r="X47" s="40">
        <f>IF(OR($A47="",X$33=""),"",IF(ca_mesure="CPU",SUMIFS(TblCalculs[CPU provisionné],TblCalculs[Cluster],$B47,TblCalculs[Mois],X$33),IF(ca_mesure="RAM",SUMIFS(TblCalculs[RAM provisionnée],TblCalculs[Cluster],$B47,TblCalculs[Mois],X$33),SUMIFS(TblCalculs[Workers],TblCalculs[Cluster],$B47,TblCalculs[Mois],X$33))))</f>
        <v>0</v>
      </c>
      <c r="Y47" s="40">
        <f>IF(OR($A47="",Y$33=""),"",IF(ca_mesure="CPU",SUMIFS(TblCalculs[CPU provisionné],TblCalculs[Cluster],$B47,TblCalculs[Mois],Y$33),IF(ca_mesure="RAM",SUMIFS(TblCalculs[RAM provisionnée],TblCalculs[Cluster],$B47,TblCalculs[Mois],Y$33),SUMIFS(TblCalculs[Workers],TblCalculs[Cluster],$B47,TblCalculs[Mois],Y$33))))</f>
        <v>0</v>
      </c>
      <c r="Z47" s="40">
        <f>IF(OR($A47="",Z$33=""),"",IF(ca_mesure="CPU",SUMIFS(TblCalculs[CPU provisionné],TblCalculs[Cluster],$B47,TblCalculs[Mois],Z$33),IF(ca_mesure="RAM",SUMIFS(TblCalculs[RAM provisionnée],TblCalculs[Cluster],$B47,TblCalculs[Mois],Z$33),SUMIFS(TblCalculs[Workers],TblCalculs[Cluster],$B47,TblCalculs[Mois],Z$33))))</f>
        <v>0</v>
      </c>
      <c r="AA47" s="40">
        <f>IF(OR($A47="",AA$33=""),"",IF(ca_mesure="CPU",SUMIFS(TblCalculs[CPU provisionné],TblCalculs[Cluster],$B47,TblCalculs[Mois],AA$33),IF(ca_mesure="RAM",SUMIFS(TblCalculs[RAM provisionnée],TblCalculs[Cluster],$B47,TblCalculs[Mois],AA$33),SUMIFS(TblCalculs[Workers],TblCalculs[Cluster],$B47,TblCalculs[Mois],AA$33))))</f>
        <v>0</v>
      </c>
      <c r="AB47" s="40">
        <f>IF(OR($A47="",AB$33=""),"",IF(ca_mesure="CPU",SUMIFS(TblCalculs[CPU provisionné],TblCalculs[Cluster],$B47,TblCalculs[Mois],AB$33),IF(ca_mesure="RAM",SUMIFS(TblCalculs[RAM provisionnée],TblCalculs[Cluster],$B47,TblCalculs[Mois],AB$33),SUMIFS(TblCalculs[Workers],TblCalculs[Cluster],$B47,TblCalculs[Mois],AB$33))))</f>
        <v>0</v>
      </c>
      <c r="AC47" s="40">
        <f>IF(OR($A47="",AC$33=""),"",IF(ca_mesure="CPU",SUMIFS(TblCalculs[CPU provisionné],TblCalculs[Cluster],$B47,TblCalculs[Mois],AC$33),IF(ca_mesure="RAM",SUMIFS(TblCalculs[RAM provisionnée],TblCalculs[Cluster],$B47,TblCalculs[Mois],AC$33),SUMIFS(TblCalculs[Workers],TblCalculs[Cluster],$B47,TblCalculs[Mois],AC$33))))</f>
        <v>0</v>
      </c>
      <c r="AD47" s="40">
        <f>IF(OR($A47="",AD$33=""),"",IF(ca_mesure="CPU",SUMIFS(TblCalculs[CPU provisionné],TblCalculs[Cluster],$B47,TblCalculs[Mois],AD$33),IF(ca_mesure="RAM",SUMIFS(TblCalculs[RAM provisionnée],TblCalculs[Cluster],$B47,TblCalculs[Mois],AD$33),SUMIFS(TblCalculs[Workers],TblCalculs[Cluster],$B47,TblCalculs[Mois],AD$33))))</f>
        <v>0</v>
      </c>
      <c r="AE47" s="40">
        <f>IF(OR($A47="",AE$33=""),"",IF(ca_mesure="CPU",SUMIFS(TblCalculs[CPU provisionné],TblCalculs[Cluster],$B47,TblCalculs[Mois],AE$33),IF(ca_mesure="RAM",SUMIFS(TblCalculs[RAM provisionnée],TblCalculs[Cluster],$B47,TblCalculs[Mois],AE$33),SUMIFS(TblCalculs[Workers],TblCalculs[Cluster],$B47,TblCalculs[Mois],AE$33))))</f>
        <v>0</v>
      </c>
      <c r="AF47" s="40">
        <f>IF(OR($A47="",AF$33=""),"",IF(ca_mesure="CPU",SUMIFS(TblCalculs[CPU provisionné],TblCalculs[Cluster],$B47,TblCalculs[Mois],AF$33),IF(ca_mesure="RAM",SUMIFS(TblCalculs[RAM provisionnée],TblCalculs[Cluster],$B47,TblCalculs[Mois],AF$33),SUMIFS(TblCalculs[Workers],TblCalculs[Cluster],$B47,TblCalculs[Mois],AF$33))))</f>
        <v>0</v>
      </c>
      <c r="AG47" s="40">
        <f>IF(OR($A47="",AG$33=""),"",IF(ca_mesure="CPU",SUMIFS(TblCalculs[CPU provisionné],TblCalculs[Cluster],$B47,TblCalculs[Mois],AG$33),IF(ca_mesure="RAM",SUMIFS(TblCalculs[RAM provisionnée],TblCalculs[Cluster],$B47,TblCalculs[Mois],AG$33),SUMIFS(TblCalculs[Workers],TblCalculs[Cluster],$B47,TblCalculs[Mois],AG$33))))</f>
        <v>0</v>
      </c>
      <c r="AH47" s="40">
        <f>IF(OR($A47="",AH$33=""),"",IF(ca_mesure="CPU",SUMIFS(TblCalculs[CPU provisionné],TblCalculs[Cluster],$B47,TblCalculs[Mois],AH$33),IF(ca_mesure="RAM",SUMIFS(TblCalculs[RAM provisionnée],TblCalculs[Cluster],$B47,TblCalculs[Mois],AH$33),SUMIFS(TblCalculs[Workers],TblCalculs[Cluster],$B47,TblCalculs[Mois],AH$33))))</f>
        <v>0</v>
      </c>
      <c r="AI47" s="40">
        <f>IF(OR($A47="",AI$33=""),"",IF(ca_mesure="CPU",SUMIFS(TblCalculs[CPU provisionné],TblCalculs[Cluster],$B47,TblCalculs[Mois],AI$33),IF(ca_mesure="RAM",SUMIFS(TblCalculs[RAM provisionnée],TblCalculs[Cluster],$B47,TblCalculs[Mois],AI$33),SUMIFS(TblCalculs[Workers],TblCalculs[Cluster],$B47,TblCalculs[Mois],AI$33))))</f>
        <v>0</v>
      </c>
      <c r="AJ47" s="40">
        <f>IF(OR($A47="",AJ$33=""),"",IF(ca_mesure="CPU",SUMIFS(TblCalculs[CPU provisionné],TblCalculs[Cluster],$B47,TblCalculs[Mois],AJ$33),IF(ca_mesure="RAM",SUMIFS(TblCalculs[RAM provisionnée],TblCalculs[Cluster],$B47,TblCalculs[Mois],AJ$33),SUMIFS(TblCalculs[Workers],TblCalculs[Cluster],$B47,TblCalculs[Mois],AJ$33))))</f>
        <v>0</v>
      </c>
      <c r="AK47" s="40">
        <f>IF(OR($A47="",AK$33=""),"",IF(ca_mesure="CPU",SUMIFS(TblCalculs[CPU provisionné],TblCalculs[Cluster],$B47,TblCalculs[Mois],AK$33),IF(ca_mesure="RAM",SUMIFS(TblCalculs[RAM provisionnée],TblCalculs[Cluster],$B47,TblCalculs[Mois],AK$33),SUMIFS(TblCalculs[Workers],TblCalculs[Cluster],$B47,TblCalculs[Mois],AK$33))))</f>
        <v>0</v>
      </c>
      <c r="AL47" s="40">
        <f>IF(OR($A47="",AL$33=""),"",IF(ca_mesure="CPU",SUMIFS(TblCalculs[CPU provisionné],TblCalculs[Cluster],$B47,TblCalculs[Mois],AL$33),IF(ca_mesure="RAM",SUMIFS(TblCalculs[RAM provisionnée],TblCalculs[Cluster],$B47,TblCalculs[Mois],AL$33),SUMIFS(TblCalculs[Workers],TblCalculs[Cluster],$B47,TblCalculs[Mois],AL$33))))</f>
        <v>0</v>
      </c>
      <c r="AM47" s="40">
        <f>IF(OR($A47="",AM$33=""),"",IF(ca_mesure="CPU",SUMIFS(TblCalculs[CPU provisionné],TblCalculs[Cluster],$B47,TblCalculs[Mois],AM$33),IF(ca_mesure="RAM",SUMIFS(TblCalculs[RAM provisionnée],TblCalculs[Cluster],$B47,TblCalculs[Mois],AM$33),SUMIFS(TblCalculs[Workers],TblCalculs[Cluster],$B47,TblCalculs[Mois],AM$33))))</f>
        <v>0</v>
      </c>
      <c r="AN47" s="40">
        <f>IF(OR($A47="",AN$33=""),"",IF(ca_mesure="CPU",SUMIFS(TblCalculs[CPU provisionné],TblCalculs[Cluster],$B47,TblCalculs[Mois],AN$33),IF(ca_mesure="RAM",SUMIFS(TblCalculs[RAM provisionnée],TblCalculs[Cluster],$B47,TblCalculs[Mois],AN$33),SUMIFS(TblCalculs[Workers],TblCalculs[Cluster],$B47,TblCalculs[Mois],AN$33))))</f>
        <v>0</v>
      </c>
      <c r="AO47" s="40">
        <f>IF(OR($A47="",AO$33=""),"",IF(ca_mesure="CPU",SUMIFS(TblCalculs[CPU provisionné],TblCalculs[Cluster],$B47,TblCalculs[Mois],AO$33),IF(ca_mesure="RAM",SUMIFS(TblCalculs[RAM provisionnée],TblCalculs[Cluster],$B47,TblCalculs[Mois],AO$33),SUMIFS(TblCalculs[Workers],TblCalculs[Cluster],$B47,TblCalculs[Mois],AO$33))))</f>
        <v>0</v>
      </c>
    </row>
    <row r="48" spans="1:41" x14ac:dyDescent="0.2">
      <c r="A48" s="37">
        <f>IFERROR(MATCH(15,TblClusters[Rang capacités],0),"")</f>
        <v>15</v>
      </c>
      <c r="B48" s="38" t="str">
        <f>IF($A48="","",INDEX(TblClusters[Cluster],$A48))</f>
        <v>oc-JUMP-CLV-PRD</v>
      </c>
      <c r="C48" s="39" t="str">
        <f>IF($A48="","",INDEX(TblClusters[Plateforme],$A48))</f>
        <v>ROKS</v>
      </c>
      <c r="D48" s="39" t="str">
        <f>IF($A48="","",INDEX(TblClusters[Environnement],$A48))</f>
        <v>PRD</v>
      </c>
      <c r="E48" s="39">
        <f>IF($A48="","",INDEX(TblClusters[Flavor],$A48))</f>
        <v>0</v>
      </c>
      <c r="F48" s="40">
        <f>IF(OR($A48="",F$33=""),"",IF(ca_mesure="CPU",SUMIFS(TblCalculs[CPU provisionné],TblCalculs[Cluster],$B48,TblCalculs[Mois],F$33),IF(ca_mesure="RAM",SUMIFS(TblCalculs[RAM provisionnée],TblCalculs[Cluster],$B48,TblCalculs[Mois],F$33),SUMIFS(TblCalculs[Workers],TblCalculs[Cluster],$B48,TblCalculs[Mois],F$33))))</f>
        <v>0</v>
      </c>
      <c r="G48" s="40">
        <f>IF(OR($A48="",G$33=""),"",IF(ca_mesure="CPU",SUMIFS(TblCalculs[CPU provisionné],TblCalculs[Cluster],$B48,TblCalculs[Mois],G$33),IF(ca_mesure="RAM",SUMIFS(TblCalculs[RAM provisionnée],TblCalculs[Cluster],$B48,TblCalculs[Mois],G$33),SUMIFS(TblCalculs[Workers],TblCalculs[Cluster],$B48,TblCalculs[Mois],G$33))))</f>
        <v>0</v>
      </c>
      <c r="H48" s="40">
        <f>IF(OR($A48="",H$33=""),"",IF(ca_mesure="CPU",SUMIFS(TblCalculs[CPU provisionné],TblCalculs[Cluster],$B48,TblCalculs[Mois],H$33),IF(ca_mesure="RAM",SUMIFS(TblCalculs[RAM provisionnée],TblCalculs[Cluster],$B48,TblCalculs[Mois],H$33),SUMIFS(TblCalculs[Workers],TblCalculs[Cluster],$B48,TblCalculs[Mois],H$33))))</f>
        <v>0</v>
      </c>
      <c r="I48" s="40">
        <f>IF(OR($A48="",I$33=""),"",IF(ca_mesure="CPU",SUMIFS(TblCalculs[CPU provisionné],TblCalculs[Cluster],$B48,TblCalculs[Mois],I$33),IF(ca_mesure="RAM",SUMIFS(TblCalculs[RAM provisionnée],TblCalculs[Cluster],$B48,TblCalculs[Mois],I$33),SUMIFS(TblCalculs[Workers],TblCalculs[Cluster],$B48,TblCalculs[Mois],I$33))))</f>
        <v>0</v>
      </c>
      <c r="J48" s="40">
        <f>IF(OR($A48="",J$33=""),"",IF(ca_mesure="CPU",SUMIFS(TblCalculs[CPU provisionné],TblCalculs[Cluster],$B48,TblCalculs[Mois],J$33),IF(ca_mesure="RAM",SUMIFS(TblCalculs[RAM provisionnée],TblCalculs[Cluster],$B48,TblCalculs[Mois],J$33),SUMIFS(TblCalculs[Workers],TblCalculs[Cluster],$B48,TblCalculs[Mois],J$33))))</f>
        <v>0</v>
      </c>
      <c r="K48" s="40">
        <f>IF(OR($A48="",K$33=""),"",IF(ca_mesure="CPU",SUMIFS(TblCalculs[CPU provisionné],TblCalculs[Cluster],$B48,TblCalculs[Mois],K$33),IF(ca_mesure="RAM",SUMIFS(TblCalculs[RAM provisionnée],TblCalculs[Cluster],$B48,TblCalculs[Mois],K$33),SUMIFS(TblCalculs[Workers],TblCalculs[Cluster],$B48,TblCalculs[Mois],K$33))))</f>
        <v>0</v>
      </c>
      <c r="L48" s="40">
        <f>IF(OR($A48="",L$33=""),"",IF(ca_mesure="CPU",SUMIFS(TblCalculs[CPU provisionné],TblCalculs[Cluster],$B48,TblCalculs[Mois],L$33),IF(ca_mesure="RAM",SUMIFS(TblCalculs[RAM provisionnée],TblCalculs[Cluster],$B48,TblCalculs[Mois],L$33),SUMIFS(TblCalculs[Workers],TblCalculs[Cluster],$B48,TblCalculs[Mois],L$33))))</f>
        <v>0</v>
      </c>
      <c r="M48" s="40">
        <f>IF(OR($A48="",M$33=""),"",IF(ca_mesure="CPU",SUMIFS(TblCalculs[CPU provisionné],TblCalculs[Cluster],$B48,TblCalculs[Mois],M$33),IF(ca_mesure="RAM",SUMIFS(TblCalculs[RAM provisionnée],TblCalculs[Cluster],$B48,TblCalculs[Mois],M$33),SUMIFS(TblCalculs[Workers],TblCalculs[Cluster],$B48,TblCalculs[Mois],M$33))))</f>
        <v>0</v>
      </c>
      <c r="N48" s="40">
        <f>IF(OR($A48="",N$33=""),"",IF(ca_mesure="CPU",SUMIFS(TblCalculs[CPU provisionné],TblCalculs[Cluster],$B48,TblCalculs[Mois],N$33),IF(ca_mesure="RAM",SUMIFS(TblCalculs[RAM provisionnée],TblCalculs[Cluster],$B48,TblCalculs[Mois],N$33),SUMIFS(TblCalculs[Workers],TblCalculs[Cluster],$B48,TblCalculs[Mois],N$33))))</f>
        <v>0</v>
      </c>
      <c r="O48" s="40">
        <f>IF(OR($A48="",O$33=""),"",IF(ca_mesure="CPU",SUMIFS(TblCalculs[CPU provisionné],TblCalculs[Cluster],$B48,TblCalculs[Mois],O$33),IF(ca_mesure="RAM",SUMIFS(TblCalculs[RAM provisionnée],TblCalculs[Cluster],$B48,TblCalculs[Mois],O$33),SUMIFS(TblCalculs[Workers],TblCalculs[Cluster],$B48,TblCalculs[Mois],O$33))))</f>
        <v>0</v>
      </c>
      <c r="P48" s="40">
        <f>IF(OR($A48="",P$33=""),"",IF(ca_mesure="CPU",SUMIFS(TblCalculs[CPU provisionné],TblCalculs[Cluster],$B48,TblCalculs[Mois],P$33),IF(ca_mesure="RAM",SUMIFS(TblCalculs[RAM provisionnée],TblCalculs[Cluster],$B48,TblCalculs[Mois],P$33),SUMIFS(TblCalculs[Workers],TblCalculs[Cluster],$B48,TblCalculs[Mois],P$33))))</f>
        <v>0</v>
      </c>
      <c r="Q48" s="40">
        <f>IF(OR($A48="",Q$33=""),"",IF(ca_mesure="CPU",SUMIFS(TblCalculs[CPU provisionné],TblCalculs[Cluster],$B48,TblCalculs[Mois],Q$33),IF(ca_mesure="RAM",SUMIFS(TblCalculs[RAM provisionnée],TblCalculs[Cluster],$B48,TblCalculs[Mois],Q$33),SUMIFS(TblCalculs[Workers],TblCalculs[Cluster],$B48,TblCalculs[Mois],Q$33))))</f>
        <v>0</v>
      </c>
      <c r="R48" s="40">
        <f>IF(OR($A48="",R$33=""),"",IF(ca_mesure="CPU",SUMIFS(TblCalculs[CPU provisionné],TblCalculs[Cluster],$B48,TblCalculs[Mois],R$33),IF(ca_mesure="RAM",SUMIFS(TblCalculs[RAM provisionnée],TblCalculs[Cluster],$B48,TblCalculs[Mois],R$33),SUMIFS(TblCalculs[Workers],TblCalculs[Cluster],$B48,TblCalculs[Mois],R$33))))</f>
        <v>0</v>
      </c>
      <c r="S48" s="40">
        <f>IF(OR($A48="",S$33=""),"",IF(ca_mesure="CPU",SUMIFS(TblCalculs[CPU provisionné],TblCalculs[Cluster],$B48,TblCalculs[Mois],S$33),IF(ca_mesure="RAM",SUMIFS(TblCalculs[RAM provisionnée],TblCalculs[Cluster],$B48,TblCalculs[Mois],S$33),SUMIFS(TblCalculs[Workers],TblCalculs[Cluster],$B48,TblCalculs[Mois],S$33))))</f>
        <v>0</v>
      </c>
      <c r="T48" s="40">
        <f>IF(OR($A48="",T$33=""),"",IF(ca_mesure="CPU",SUMIFS(TblCalculs[CPU provisionné],TblCalculs[Cluster],$B48,TblCalculs[Mois],T$33),IF(ca_mesure="RAM",SUMIFS(TblCalculs[RAM provisionnée],TblCalculs[Cluster],$B48,TblCalculs[Mois],T$33),SUMIFS(TblCalculs[Workers],TblCalculs[Cluster],$B48,TblCalculs[Mois],T$33))))</f>
        <v>0</v>
      </c>
      <c r="U48" s="40">
        <f>IF(OR($A48="",U$33=""),"",IF(ca_mesure="CPU",SUMIFS(TblCalculs[CPU provisionné],TblCalculs[Cluster],$B48,TblCalculs[Mois],U$33),IF(ca_mesure="RAM",SUMIFS(TblCalculs[RAM provisionnée],TblCalculs[Cluster],$B48,TblCalculs[Mois],U$33),SUMIFS(TblCalculs[Workers],TblCalculs[Cluster],$B48,TblCalculs[Mois],U$33))))</f>
        <v>0</v>
      </c>
      <c r="V48" s="40">
        <f>IF(OR($A48="",V$33=""),"",IF(ca_mesure="CPU",SUMIFS(TblCalculs[CPU provisionné],TblCalculs[Cluster],$B48,TblCalculs[Mois],V$33),IF(ca_mesure="RAM",SUMIFS(TblCalculs[RAM provisionnée],TblCalculs[Cluster],$B48,TblCalculs[Mois],V$33),SUMIFS(TblCalculs[Workers],TblCalculs[Cluster],$B48,TblCalculs[Mois],V$33))))</f>
        <v>0</v>
      </c>
      <c r="W48" s="40">
        <f>IF(OR($A48="",W$33=""),"",IF(ca_mesure="CPU",SUMIFS(TblCalculs[CPU provisionné],TblCalculs[Cluster],$B48,TblCalculs[Mois],W$33),IF(ca_mesure="RAM",SUMIFS(TblCalculs[RAM provisionnée],TblCalculs[Cluster],$B48,TblCalculs[Mois],W$33),SUMIFS(TblCalculs[Workers],TblCalculs[Cluster],$B48,TblCalculs[Mois],W$33))))</f>
        <v>0</v>
      </c>
      <c r="X48" s="40">
        <f>IF(OR($A48="",X$33=""),"",IF(ca_mesure="CPU",SUMIFS(TblCalculs[CPU provisionné],TblCalculs[Cluster],$B48,TblCalculs[Mois],X$33),IF(ca_mesure="RAM",SUMIFS(TblCalculs[RAM provisionnée],TblCalculs[Cluster],$B48,TblCalculs[Mois],X$33),SUMIFS(TblCalculs[Workers],TblCalculs[Cluster],$B48,TblCalculs[Mois],X$33))))</f>
        <v>0</v>
      </c>
      <c r="Y48" s="40">
        <f>IF(OR($A48="",Y$33=""),"",IF(ca_mesure="CPU",SUMIFS(TblCalculs[CPU provisionné],TblCalculs[Cluster],$B48,TblCalculs[Mois],Y$33),IF(ca_mesure="RAM",SUMIFS(TblCalculs[RAM provisionnée],TblCalculs[Cluster],$B48,TblCalculs[Mois],Y$33),SUMIFS(TblCalculs[Workers],TblCalculs[Cluster],$B48,TblCalculs[Mois],Y$33))))</f>
        <v>0</v>
      </c>
      <c r="Z48" s="40">
        <f>IF(OR($A48="",Z$33=""),"",IF(ca_mesure="CPU",SUMIFS(TblCalculs[CPU provisionné],TblCalculs[Cluster],$B48,TblCalculs[Mois],Z$33),IF(ca_mesure="RAM",SUMIFS(TblCalculs[RAM provisionnée],TblCalculs[Cluster],$B48,TblCalculs[Mois],Z$33),SUMIFS(TblCalculs[Workers],TblCalculs[Cluster],$B48,TblCalculs[Mois],Z$33))))</f>
        <v>0</v>
      </c>
      <c r="AA48" s="40">
        <f>IF(OR($A48="",AA$33=""),"",IF(ca_mesure="CPU",SUMIFS(TblCalculs[CPU provisionné],TblCalculs[Cluster],$B48,TblCalculs[Mois],AA$33),IF(ca_mesure="RAM",SUMIFS(TblCalculs[RAM provisionnée],TblCalculs[Cluster],$B48,TblCalculs[Mois],AA$33),SUMIFS(TblCalculs[Workers],TblCalculs[Cluster],$B48,TblCalculs[Mois],AA$33))))</f>
        <v>0</v>
      </c>
      <c r="AB48" s="40">
        <f>IF(OR($A48="",AB$33=""),"",IF(ca_mesure="CPU",SUMIFS(TblCalculs[CPU provisionné],TblCalculs[Cluster],$B48,TblCalculs[Mois],AB$33),IF(ca_mesure="RAM",SUMIFS(TblCalculs[RAM provisionnée],TblCalculs[Cluster],$B48,TblCalculs[Mois],AB$33),SUMIFS(TblCalculs[Workers],TblCalculs[Cluster],$B48,TblCalculs[Mois],AB$33))))</f>
        <v>0</v>
      </c>
      <c r="AC48" s="40">
        <f>IF(OR($A48="",AC$33=""),"",IF(ca_mesure="CPU",SUMIFS(TblCalculs[CPU provisionné],TblCalculs[Cluster],$B48,TblCalculs[Mois],AC$33),IF(ca_mesure="RAM",SUMIFS(TblCalculs[RAM provisionnée],TblCalculs[Cluster],$B48,TblCalculs[Mois],AC$33),SUMIFS(TblCalculs[Workers],TblCalculs[Cluster],$B48,TblCalculs[Mois],AC$33))))</f>
        <v>0</v>
      </c>
      <c r="AD48" s="40">
        <f>IF(OR($A48="",AD$33=""),"",IF(ca_mesure="CPU",SUMIFS(TblCalculs[CPU provisionné],TblCalculs[Cluster],$B48,TblCalculs[Mois],AD$33),IF(ca_mesure="RAM",SUMIFS(TblCalculs[RAM provisionnée],TblCalculs[Cluster],$B48,TblCalculs[Mois],AD$33),SUMIFS(TblCalculs[Workers],TblCalculs[Cluster],$B48,TblCalculs[Mois],AD$33))))</f>
        <v>0</v>
      </c>
      <c r="AE48" s="40">
        <f>IF(OR($A48="",AE$33=""),"",IF(ca_mesure="CPU",SUMIFS(TblCalculs[CPU provisionné],TblCalculs[Cluster],$B48,TblCalculs[Mois],AE$33),IF(ca_mesure="RAM",SUMIFS(TblCalculs[RAM provisionnée],TblCalculs[Cluster],$B48,TblCalculs[Mois],AE$33),SUMIFS(TblCalculs[Workers],TblCalculs[Cluster],$B48,TblCalculs[Mois],AE$33))))</f>
        <v>0</v>
      </c>
      <c r="AF48" s="40">
        <f>IF(OR($A48="",AF$33=""),"",IF(ca_mesure="CPU",SUMIFS(TblCalculs[CPU provisionné],TblCalculs[Cluster],$B48,TblCalculs[Mois],AF$33),IF(ca_mesure="RAM",SUMIFS(TblCalculs[RAM provisionnée],TblCalculs[Cluster],$B48,TblCalculs[Mois],AF$33),SUMIFS(TblCalculs[Workers],TblCalculs[Cluster],$B48,TblCalculs[Mois],AF$33))))</f>
        <v>0</v>
      </c>
      <c r="AG48" s="40">
        <f>IF(OR($A48="",AG$33=""),"",IF(ca_mesure="CPU",SUMIFS(TblCalculs[CPU provisionné],TblCalculs[Cluster],$B48,TblCalculs[Mois],AG$33),IF(ca_mesure="RAM",SUMIFS(TblCalculs[RAM provisionnée],TblCalculs[Cluster],$B48,TblCalculs[Mois],AG$33),SUMIFS(TblCalculs[Workers],TblCalculs[Cluster],$B48,TblCalculs[Mois],AG$33))))</f>
        <v>0</v>
      </c>
      <c r="AH48" s="40">
        <f>IF(OR($A48="",AH$33=""),"",IF(ca_mesure="CPU",SUMIFS(TblCalculs[CPU provisionné],TblCalculs[Cluster],$B48,TblCalculs[Mois],AH$33),IF(ca_mesure="RAM",SUMIFS(TblCalculs[RAM provisionnée],TblCalculs[Cluster],$B48,TblCalculs[Mois],AH$33),SUMIFS(TblCalculs[Workers],TblCalculs[Cluster],$B48,TblCalculs[Mois],AH$33))))</f>
        <v>0</v>
      </c>
      <c r="AI48" s="40">
        <f>IF(OR($A48="",AI$33=""),"",IF(ca_mesure="CPU",SUMIFS(TblCalculs[CPU provisionné],TblCalculs[Cluster],$B48,TblCalculs[Mois],AI$33),IF(ca_mesure="RAM",SUMIFS(TblCalculs[RAM provisionnée],TblCalculs[Cluster],$B48,TblCalculs[Mois],AI$33),SUMIFS(TblCalculs[Workers],TblCalculs[Cluster],$B48,TblCalculs[Mois],AI$33))))</f>
        <v>0</v>
      </c>
      <c r="AJ48" s="40">
        <f>IF(OR($A48="",AJ$33=""),"",IF(ca_mesure="CPU",SUMIFS(TblCalculs[CPU provisionné],TblCalculs[Cluster],$B48,TblCalculs[Mois],AJ$33),IF(ca_mesure="RAM",SUMIFS(TblCalculs[RAM provisionnée],TblCalculs[Cluster],$B48,TblCalculs[Mois],AJ$33),SUMIFS(TblCalculs[Workers],TblCalculs[Cluster],$B48,TblCalculs[Mois],AJ$33))))</f>
        <v>0</v>
      </c>
      <c r="AK48" s="40">
        <f>IF(OR($A48="",AK$33=""),"",IF(ca_mesure="CPU",SUMIFS(TblCalculs[CPU provisionné],TblCalculs[Cluster],$B48,TblCalculs[Mois],AK$33),IF(ca_mesure="RAM",SUMIFS(TblCalculs[RAM provisionnée],TblCalculs[Cluster],$B48,TblCalculs[Mois],AK$33),SUMIFS(TblCalculs[Workers],TblCalculs[Cluster],$B48,TblCalculs[Mois],AK$33))))</f>
        <v>0</v>
      </c>
      <c r="AL48" s="40">
        <f>IF(OR($A48="",AL$33=""),"",IF(ca_mesure="CPU",SUMIFS(TblCalculs[CPU provisionné],TblCalculs[Cluster],$B48,TblCalculs[Mois],AL$33),IF(ca_mesure="RAM",SUMIFS(TblCalculs[RAM provisionnée],TblCalculs[Cluster],$B48,TblCalculs[Mois],AL$33),SUMIFS(TblCalculs[Workers],TblCalculs[Cluster],$B48,TblCalculs[Mois],AL$33))))</f>
        <v>0</v>
      </c>
      <c r="AM48" s="40">
        <f>IF(OR($A48="",AM$33=""),"",IF(ca_mesure="CPU",SUMIFS(TblCalculs[CPU provisionné],TblCalculs[Cluster],$B48,TblCalculs[Mois],AM$33),IF(ca_mesure="RAM",SUMIFS(TblCalculs[RAM provisionnée],TblCalculs[Cluster],$B48,TblCalculs[Mois],AM$33),SUMIFS(TblCalculs[Workers],TblCalculs[Cluster],$B48,TblCalculs[Mois],AM$33))))</f>
        <v>0</v>
      </c>
      <c r="AN48" s="40">
        <f>IF(OR($A48="",AN$33=""),"",IF(ca_mesure="CPU",SUMIFS(TblCalculs[CPU provisionné],TblCalculs[Cluster],$B48,TblCalculs[Mois],AN$33),IF(ca_mesure="RAM",SUMIFS(TblCalculs[RAM provisionnée],TblCalculs[Cluster],$B48,TblCalculs[Mois],AN$33),SUMIFS(TblCalculs[Workers],TblCalculs[Cluster],$B48,TblCalculs[Mois],AN$33))))</f>
        <v>0</v>
      </c>
      <c r="AO48" s="40">
        <f>IF(OR($A48="",AO$33=""),"",IF(ca_mesure="CPU",SUMIFS(TblCalculs[CPU provisionné],TblCalculs[Cluster],$B48,TblCalculs[Mois],AO$33),IF(ca_mesure="RAM",SUMIFS(TblCalculs[RAM provisionnée],TblCalculs[Cluster],$B48,TblCalculs[Mois],AO$33),SUMIFS(TblCalculs[Workers],TblCalculs[Cluster],$B48,TblCalculs[Mois],AO$33))))</f>
        <v>0</v>
      </c>
    </row>
    <row r="49" spans="1:41" x14ac:dyDescent="0.2">
      <c r="A49" s="37">
        <f>IFERROR(MATCH(16,TblClusters[Rang capacités],0),"")</f>
        <v>16</v>
      </c>
      <c r="B49" s="38" t="str">
        <f>IF($A49="","",INDEX(TblClusters[Cluster],$A49))</f>
        <v>oc-JUMP-AEP-NPR</v>
      </c>
      <c r="C49" s="39" t="str">
        <f>IF($A49="","",INDEX(TblClusters[Plateforme],$A49))</f>
        <v>ROKS</v>
      </c>
      <c r="D49" s="39" t="str">
        <f>IF($A49="","",INDEX(TblClusters[Environnement],$A49))</f>
        <v>NPRD</v>
      </c>
      <c r="E49" s="39">
        <f>IF($A49="","",INDEX(TblClusters[Flavor],$A49))</f>
        <v>0</v>
      </c>
      <c r="F49" s="40">
        <f>IF(OR($A49="",F$33=""),"",IF(ca_mesure="CPU",SUMIFS(TblCalculs[CPU provisionné],TblCalculs[Cluster],$B49,TblCalculs[Mois],F$33),IF(ca_mesure="RAM",SUMIFS(TblCalculs[RAM provisionnée],TblCalculs[Cluster],$B49,TblCalculs[Mois],F$33),SUMIFS(TblCalculs[Workers],TblCalculs[Cluster],$B49,TblCalculs[Mois],F$33))))</f>
        <v>0</v>
      </c>
      <c r="G49" s="40">
        <f>IF(OR($A49="",G$33=""),"",IF(ca_mesure="CPU",SUMIFS(TblCalculs[CPU provisionné],TblCalculs[Cluster],$B49,TblCalculs[Mois],G$33),IF(ca_mesure="RAM",SUMIFS(TblCalculs[RAM provisionnée],TblCalculs[Cluster],$B49,TblCalculs[Mois],G$33),SUMIFS(TblCalculs[Workers],TblCalculs[Cluster],$B49,TblCalculs[Mois],G$33))))</f>
        <v>0</v>
      </c>
      <c r="H49" s="40">
        <f>IF(OR($A49="",H$33=""),"",IF(ca_mesure="CPU",SUMIFS(TblCalculs[CPU provisionné],TblCalculs[Cluster],$B49,TblCalculs[Mois],H$33),IF(ca_mesure="RAM",SUMIFS(TblCalculs[RAM provisionnée],TblCalculs[Cluster],$B49,TblCalculs[Mois],H$33),SUMIFS(TblCalculs[Workers],TblCalculs[Cluster],$B49,TblCalculs[Mois],H$33))))</f>
        <v>0</v>
      </c>
      <c r="I49" s="40">
        <f>IF(OR($A49="",I$33=""),"",IF(ca_mesure="CPU",SUMIFS(TblCalculs[CPU provisionné],TblCalculs[Cluster],$B49,TblCalculs[Mois],I$33),IF(ca_mesure="RAM",SUMIFS(TblCalculs[RAM provisionnée],TblCalculs[Cluster],$B49,TblCalculs[Mois],I$33),SUMIFS(TblCalculs[Workers],TblCalculs[Cluster],$B49,TblCalculs[Mois],I$33))))</f>
        <v>0</v>
      </c>
      <c r="J49" s="40">
        <f>IF(OR($A49="",J$33=""),"",IF(ca_mesure="CPU",SUMIFS(TblCalculs[CPU provisionné],TblCalculs[Cluster],$B49,TblCalculs[Mois],J$33),IF(ca_mesure="RAM",SUMIFS(TblCalculs[RAM provisionnée],TblCalculs[Cluster],$B49,TblCalculs[Mois],J$33),SUMIFS(TblCalculs[Workers],TblCalculs[Cluster],$B49,TblCalculs[Mois],J$33))))</f>
        <v>0</v>
      </c>
      <c r="K49" s="40">
        <f>IF(OR($A49="",K$33=""),"",IF(ca_mesure="CPU",SUMIFS(TblCalculs[CPU provisionné],TblCalculs[Cluster],$B49,TblCalculs[Mois],K$33),IF(ca_mesure="RAM",SUMIFS(TblCalculs[RAM provisionnée],TblCalculs[Cluster],$B49,TblCalculs[Mois],K$33),SUMIFS(TblCalculs[Workers],TblCalculs[Cluster],$B49,TblCalculs[Mois],K$33))))</f>
        <v>0</v>
      </c>
      <c r="L49" s="40">
        <f>IF(OR($A49="",L$33=""),"",IF(ca_mesure="CPU",SUMIFS(TblCalculs[CPU provisionné],TblCalculs[Cluster],$B49,TblCalculs[Mois],L$33),IF(ca_mesure="RAM",SUMIFS(TblCalculs[RAM provisionnée],TblCalculs[Cluster],$B49,TblCalculs[Mois],L$33),SUMIFS(TblCalculs[Workers],TblCalculs[Cluster],$B49,TblCalculs[Mois],L$33))))</f>
        <v>0</v>
      </c>
      <c r="M49" s="40">
        <f>IF(OR($A49="",M$33=""),"",IF(ca_mesure="CPU",SUMIFS(TblCalculs[CPU provisionné],TblCalculs[Cluster],$B49,TblCalculs[Mois],M$33),IF(ca_mesure="RAM",SUMIFS(TblCalculs[RAM provisionnée],TblCalculs[Cluster],$B49,TblCalculs[Mois],M$33),SUMIFS(TblCalculs[Workers],TblCalculs[Cluster],$B49,TblCalculs[Mois],M$33))))</f>
        <v>0</v>
      </c>
      <c r="N49" s="40">
        <f>IF(OR($A49="",N$33=""),"",IF(ca_mesure="CPU",SUMIFS(TblCalculs[CPU provisionné],TblCalculs[Cluster],$B49,TblCalculs[Mois],N$33),IF(ca_mesure="RAM",SUMIFS(TblCalculs[RAM provisionnée],TblCalculs[Cluster],$B49,TblCalculs[Mois],N$33),SUMIFS(TblCalculs[Workers],TblCalculs[Cluster],$B49,TblCalculs[Mois],N$33))))</f>
        <v>0</v>
      </c>
      <c r="O49" s="40">
        <f>IF(OR($A49="",O$33=""),"",IF(ca_mesure="CPU",SUMIFS(TblCalculs[CPU provisionné],TblCalculs[Cluster],$B49,TblCalculs[Mois],O$33),IF(ca_mesure="RAM",SUMIFS(TblCalculs[RAM provisionnée],TblCalculs[Cluster],$B49,TblCalculs[Mois],O$33),SUMIFS(TblCalculs[Workers],TblCalculs[Cluster],$B49,TblCalculs[Mois],O$33))))</f>
        <v>0</v>
      </c>
      <c r="P49" s="40">
        <f>IF(OR($A49="",P$33=""),"",IF(ca_mesure="CPU",SUMIFS(TblCalculs[CPU provisionné],TblCalculs[Cluster],$B49,TblCalculs[Mois],P$33),IF(ca_mesure="RAM",SUMIFS(TblCalculs[RAM provisionnée],TblCalculs[Cluster],$B49,TblCalculs[Mois],P$33),SUMIFS(TblCalculs[Workers],TblCalculs[Cluster],$B49,TblCalculs[Mois],P$33))))</f>
        <v>0</v>
      </c>
      <c r="Q49" s="40">
        <f>IF(OR($A49="",Q$33=""),"",IF(ca_mesure="CPU",SUMIFS(TblCalculs[CPU provisionné],TblCalculs[Cluster],$B49,TblCalculs[Mois],Q$33),IF(ca_mesure="RAM",SUMIFS(TblCalculs[RAM provisionnée],TblCalculs[Cluster],$B49,TblCalculs[Mois],Q$33),SUMIFS(TblCalculs[Workers],TblCalculs[Cluster],$B49,TblCalculs[Mois],Q$33))))</f>
        <v>0</v>
      </c>
      <c r="R49" s="40">
        <f>IF(OR($A49="",R$33=""),"",IF(ca_mesure="CPU",SUMIFS(TblCalculs[CPU provisionné],TblCalculs[Cluster],$B49,TblCalculs[Mois],R$33),IF(ca_mesure="RAM",SUMIFS(TblCalculs[RAM provisionnée],TblCalculs[Cluster],$B49,TblCalculs[Mois],R$33),SUMIFS(TblCalculs[Workers],TblCalculs[Cluster],$B49,TblCalculs[Mois],R$33))))</f>
        <v>0</v>
      </c>
      <c r="S49" s="40">
        <f>IF(OR($A49="",S$33=""),"",IF(ca_mesure="CPU",SUMIFS(TblCalculs[CPU provisionné],TblCalculs[Cluster],$B49,TblCalculs[Mois],S$33),IF(ca_mesure="RAM",SUMIFS(TblCalculs[RAM provisionnée],TblCalculs[Cluster],$B49,TblCalculs[Mois],S$33),SUMIFS(TblCalculs[Workers],TblCalculs[Cluster],$B49,TblCalculs[Mois],S$33))))</f>
        <v>0</v>
      </c>
      <c r="T49" s="40">
        <f>IF(OR($A49="",T$33=""),"",IF(ca_mesure="CPU",SUMIFS(TblCalculs[CPU provisionné],TblCalculs[Cluster],$B49,TblCalculs[Mois],T$33),IF(ca_mesure="RAM",SUMIFS(TblCalculs[RAM provisionnée],TblCalculs[Cluster],$B49,TblCalculs[Mois],T$33),SUMIFS(TblCalculs[Workers],TblCalculs[Cluster],$B49,TblCalculs[Mois],T$33))))</f>
        <v>0</v>
      </c>
      <c r="U49" s="40">
        <f>IF(OR($A49="",U$33=""),"",IF(ca_mesure="CPU",SUMIFS(TblCalculs[CPU provisionné],TblCalculs[Cluster],$B49,TblCalculs[Mois],U$33),IF(ca_mesure="RAM",SUMIFS(TblCalculs[RAM provisionnée],TblCalculs[Cluster],$B49,TblCalculs[Mois],U$33),SUMIFS(TblCalculs[Workers],TblCalculs[Cluster],$B49,TblCalculs[Mois],U$33))))</f>
        <v>0</v>
      </c>
      <c r="V49" s="40">
        <f>IF(OR($A49="",V$33=""),"",IF(ca_mesure="CPU",SUMIFS(TblCalculs[CPU provisionné],TblCalculs[Cluster],$B49,TblCalculs[Mois],V$33),IF(ca_mesure="RAM",SUMIFS(TblCalculs[RAM provisionnée],TblCalculs[Cluster],$B49,TblCalculs[Mois],V$33),SUMIFS(TblCalculs[Workers],TblCalculs[Cluster],$B49,TblCalculs[Mois],V$33))))</f>
        <v>0</v>
      </c>
      <c r="W49" s="40">
        <f>IF(OR($A49="",W$33=""),"",IF(ca_mesure="CPU",SUMIFS(TblCalculs[CPU provisionné],TblCalculs[Cluster],$B49,TblCalculs[Mois],W$33),IF(ca_mesure="RAM",SUMIFS(TblCalculs[RAM provisionnée],TblCalculs[Cluster],$B49,TblCalculs[Mois],W$33),SUMIFS(TblCalculs[Workers],TblCalculs[Cluster],$B49,TblCalculs[Mois],W$33))))</f>
        <v>0</v>
      </c>
      <c r="X49" s="40">
        <f>IF(OR($A49="",X$33=""),"",IF(ca_mesure="CPU",SUMIFS(TblCalculs[CPU provisionné],TblCalculs[Cluster],$B49,TblCalculs[Mois],X$33),IF(ca_mesure="RAM",SUMIFS(TblCalculs[RAM provisionnée],TblCalculs[Cluster],$B49,TblCalculs[Mois],X$33),SUMIFS(TblCalculs[Workers],TblCalculs[Cluster],$B49,TblCalculs[Mois],X$33))))</f>
        <v>0</v>
      </c>
      <c r="Y49" s="40">
        <f>IF(OR($A49="",Y$33=""),"",IF(ca_mesure="CPU",SUMIFS(TblCalculs[CPU provisionné],TblCalculs[Cluster],$B49,TblCalculs[Mois],Y$33),IF(ca_mesure="RAM",SUMIFS(TblCalculs[RAM provisionnée],TblCalculs[Cluster],$B49,TblCalculs[Mois],Y$33),SUMIFS(TblCalculs[Workers],TblCalculs[Cluster],$B49,TblCalculs[Mois],Y$33))))</f>
        <v>0</v>
      </c>
      <c r="Z49" s="40">
        <f>IF(OR($A49="",Z$33=""),"",IF(ca_mesure="CPU",SUMIFS(TblCalculs[CPU provisionné],TblCalculs[Cluster],$B49,TblCalculs[Mois],Z$33),IF(ca_mesure="RAM",SUMIFS(TblCalculs[RAM provisionnée],TblCalculs[Cluster],$B49,TblCalculs[Mois],Z$33),SUMIFS(TblCalculs[Workers],TblCalculs[Cluster],$B49,TblCalculs[Mois],Z$33))))</f>
        <v>0</v>
      </c>
      <c r="AA49" s="40">
        <f>IF(OR($A49="",AA$33=""),"",IF(ca_mesure="CPU",SUMIFS(TblCalculs[CPU provisionné],TblCalculs[Cluster],$B49,TblCalculs[Mois],AA$33),IF(ca_mesure="RAM",SUMIFS(TblCalculs[RAM provisionnée],TblCalculs[Cluster],$B49,TblCalculs[Mois],AA$33),SUMIFS(TblCalculs[Workers],TblCalculs[Cluster],$B49,TblCalculs[Mois],AA$33))))</f>
        <v>0</v>
      </c>
      <c r="AB49" s="40">
        <f>IF(OR($A49="",AB$33=""),"",IF(ca_mesure="CPU",SUMIFS(TblCalculs[CPU provisionné],TblCalculs[Cluster],$B49,TblCalculs[Mois],AB$33),IF(ca_mesure="RAM",SUMIFS(TblCalculs[RAM provisionnée],TblCalculs[Cluster],$B49,TblCalculs[Mois],AB$33),SUMIFS(TblCalculs[Workers],TblCalculs[Cluster],$B49,TblCalculs[Mois],AB$33))))</f>
        <v>0</v>
      </c>
      <c r="AC49" s="40">
        <f>IF(OR($A49="",AC$33=""),"",IF(ca_mesure="CPU",SUMIFS(TblCalculs[CPU provisionné],TblCalculs[Cluster],$B49,TblCalculs[Mois],AC$33),IF(ca_mesure="RAM",SUMIFS(TblCalculs[RAM provisionnée],TblCalculs[Cluster],$B49,TblCalculs[Mois],AC$33),SUMIFS(TblCalculs[Workers],TblCalculs[Cluster],$B49,TblCalculs[Mois],AC$33))))</f>
        <v>0</v>
      </c>
      <c r="AD49" s="40">
        <f>IF(OR($A49="",AD$33=""),"",IF(ca_mesure="CPU",SUMIFS(TblCalculs[CPU provisionné],TblCalculs[Cluster],$B49,TblCalculs[Mois],AD$33),IF(ca_mesure="RAM",SUMIFS(TblCalculs[RAM provisionnée],TblCalculs[Cluster],$B49,TblCalculs[Mois],AD$33),SUMIFS(TblCalculs[Workers],TblCalculs[Cluster],$B49,TblCalculs[Mois],AD$33))))</f>
        <v>0</v>
      </c>
      <c r="AE49" s="40">
        <f>IF(OR($A49="",AE$33=""),"",IF(ca_mesure="CPU",SUMIFS(TblCalculs[CPU provisionné],TblCalculs[Cluster],$B49,TblCalculs[Mois],AE$33),IF(ca_mesure="RAM",SUMIFS(TblCalculs[RAM provisionnée],TblCalculs[Cluster],$B49,TblCalculs[Mois],AE$33),SUMIFS(TblCalculs[Workers],TblCalculs[Cluster],$B49,TblCalculs[Mois],AE$33))))</f>
        <v>0</v>
      </c>
      <c r="AF49" s="40">
        <f>IF(OR($A49="",AF$33=""),"",IF(ca_mesure="CPU",SUMIFS(TblCalculs[CPU provisionné],TblCalculs[Cluster],$B49,TblCalculs[Mois],AF$33),IF(ca_mesure="RAM",SUMIFS(TblCalculs[RAM provisionnée],TblCalculs[Cluster],$B49,TblCalculs[Mois],AF$33),SUMIFS(TblCalculs[Workers],TblCalculs[Cluster],$B49,TblCalculs[Mois],AF$33))))</f>
        <v>0</v>
      </c>
      <c r="AG49" s="40">
        <f>IF(OR($A49="",AG$33=""),"",IF(ca_mesure="CPU",SUMIFS(TblCalculs[CPU provisionné],TblCalculs[Cluster],$B49,TblCalculs[Mois],AG$33),IF(ca_mesure="RAM",SUMIFS(TblCalculs[RAM provisionnée],TblCalculs[Cluster],$B49,TblCalculs[Mois],AG$33),SUMIFS(TblCalculs[Workers],TblCalculs[Cluster],$B49,TblCalculs[Mois],AG$33))))</f>
        <v>0</v>
      </c>
      <c r="AH49" s="40">
        <f>IF(OR($A49="",AH$33=""),"",IF(ca_mesure="CPU",SUMIFS(TblCalculs[CPU provisionné],TblCalculs[Cluster],$B49,TblCalculs[Mois],AH$33),IF(ca_mesure="RAM",SUMIFS(TblCalculs[RAM provisionnée],TblCalculs[Cluster],$B49,TblCalculs[Mois],AH$33),SUMIFS(TblCalculs[Workers],TblCalculs[Cluster],$B49,TblCalculs[Mois],AH$33))))</f>
        <v>0</v>
      </c>
      <c r="AI49" s="40">
        <f>IF(OR($A49="",AI$33=""),"",IF(ca_mesure="CPU",SUMIFS(TblCalculs[CPU provisionné],TblCalculs[Cluster],$B49,TblCalculs[Mois],AI$33),IF(ca_mesure="RAM",SUMIFS(TblCalculs[RAM provisionnée],TblCalculs[Cluster],$B49,TblCalculs[Mois],AI$33),SUMIFS(TblCalculs[Workers],TblCalculs[Cluster],$B49,TblCalculs[Mois],AI$33))))</f>
        <v>0</v>
      </c>
      <c r="AJ49" s="40">
        <f>IF(OR($A49="",AJ$33=""),"",IF(ca_mesure="CPU",SUMIFS(TblCalculs[CPU provisionné],TblCalculs[Cluster],$B49,TblCalculs[Mois],AJ$33),IF(ca_mesure="RAM",SUMIFS(TblCalculs[RAM provisionnée],TblCalculs[Cluster],$B49,TblCalculs[Mois],AJ$33),SUMIFS(TblCalculs[Workers],TblCalculs[Cluster],$B49,TblCalculs[Mois],AJ$33))))</f>
        <v>0</v>
      </c>
      <c r="AK49" s="40">
        <f>IF(OR($A49="",AK$33=""),"",IF(ca_mesure="CPU",SUMIFS(TblCalculs[CPU provisionné],TblCalculs[Cluster],$B49,TblCalculs[Mois],AK$33),IF(ca_mesure="RAM",SUMIFS(TblCalculs[RAM provisionnée],TblCalculs[Cluster],$B49,TblCalculs[Mois],AK$33),SUMIFS(TblCalculs[Workers],TblCalculs[Cluster],$B49,TblCalculs[Mois],AK$33))))</f>
        <v>0</v>
      </c>
      <c r="AL49" s="40">
        <f>IF(OR($A49="",AL$33=""),"",IF(ca_mesure="CPU",SUMIFS(TblCalculs[CPU provisionné],TblCalculs[Cluster],$B49,TblCalculs[Mois],AL$33),IF(ca_mesure="RAM",SUMIFS(TblCalculs[RAM provisionnée],TblCalculs[Cluster],$B49,TblCalculs[Mois],AL$33),SUMIFS(TblCalculs[Workers],TblCalculs[Cluster],$B49,TblCalculs[Mois],AL$33))))</f>
        <v>0</v>
      </c>
      <c r="AM49" s="40">
        <f>IF(OR($A49="",AM$33=""),"",IF(ca_mesure="CPU",SUMIFS(TblCalculs[CPU provisionné],TblCalculs[Cluster],$B49,TblCalculs[Mois],AM$33),IF(ca_mesure="RAM",SUMIFS(TblCalculs[RAM provisionnée],TblCalculs[Cluster],$B49,TblCalculs[Mois],AM$33),SUMIFS(TblCalculs[Workers],TblCalculs[Cluster],$B49,TblCalculs[Mois],AM$33))))</f>
        <v>0</v>
      </c>
      <c r="AN49" s="40">
        <f>IF(OR($A49="",AN$33=""),"",IF(ca_mesure="CPU",SUMIFS(TblCalculs[CPU provisionné],TblCalculs[Cluster],$B49,TblCalculs[Mois],AN$33),IF(ca_mesure="RAM",SUMIFS(TblCalculs[RAM provisionnée],TblCalculs[Cluster],$B49,TblCalculs[Mois],AN$33),SUMIFS(TblCalculs[Workers],TblCalculs[Cluster],$B49,TblCalculs[Mois],AN$33))))</f>
        <v>0</v>
      </c>
      <c r="AO49" s="40">
        <f>IF(OR($A49="",AO$33=""),"",IF(ca_mesure="CPU",SUMIFS(TblCalculs[CPU provisionné],TblCalculs[Cluster],$B49,TblCalculs[Mois],AO$33),IF(ca_mesure="RAM",SUMIFS(TblCalculs[RAM provisionnée],TblCalculs[Cluster],$B49,TblCalculs[Mois],AO$33),SUMIFS(TblCalculs[Workers],TblCalculs[Cluster],$B49,TblCalculs[Mois],AO$33))))</f>
        <v>0</v>
      </c>
    </row>
    <row r="50" spans="1:41" x14ac:dyDescent="0.2">
      <c r="A50" s="37">
        <f>IFERROR(MATCH(17,TblClusters[Rang capacités],0),"")</f>
        <v>17</v>
      </c>
      <c r="B50" s="38" t="str">
        <f>IF($A50="","",INDEX(TblClusters[Cluster],$A50))</f>
        <v>oc-JUMP-CLV-NPR</v>
      </c>
      <c r="C50" s="39" t="str">
        <f>IF($A50="","",INDEX(TblClusters[Plateforme],$A50))</f>
        <v>ROKS</v>
      </c>
      <c r="D50" s="39" t="str">
        <f>IF($A50="","",INDEX(TblClusters[Environnement],$A50))</f>
        <v>NPRD</v>
      </c>
      <c r="E50" s="39">
        <f>IF($A50="","",INDEX(TblClusters[Flavor],$A50))</f>
        <v>0</v>
      </c>
      <c r="F50" s="40">
        <f>IF(OR($A50="",F$33=""),"",IF(ca_mesure="CPU",SUMIFS(TblCalculs[CPU provisionné],TblCalculs[Cluster],$B50,TblCalculs[Mois],F$33),IF(ca_mesure="RAM",SUMIFS(TblCalculs[RAM provisionnée],TblCalculs[Cluster],$B50,TblCalculs[Mois],F$33),SUMIFS(TblCalculs[Workers],TblCalculs[Cluster],$B50,TblCalculs[Mois],F$33))))</f>
        <v>0</v>
      </c>
      <c r="G50" s="40">
        <f>IF(OR($A50="",G$33=""),"",IF(ca_mesure="CPU",SUMIFS(TblCalculs[CPU provisionné],TblCalculs[Cluster],$B50,TblCalculs[Mois],G$33),IF(ca_mesure="RAM",SUMIFS(TblCalculs[RAM provisionnée],TblCalculs[Cluster],$B50,TblCalculs[Mois],G$33),SUMIFS(TblCalculs[Workers],TblCalculs[Cluster],$B50,TblCalculs[Mois],G$33))))</f>
        <v>0</v>
      </c>
      <c r="H50" s="40">
        <f>IF(OR($A50="",H$33=""),"",IF(ca_mesure="CPU",SUMIFS(TblCalculs[CPU provisionné],TblCalculs[Cluster],$B50,TblCalculs[Mois],H$33),IF(ca_mesure="RAM",SUMIFS(TblCalculs[RAM provisionnée],TblCalculs[Cluster],$B50,TblCalculs[Mois],H$33),SUMIFS(TblCalculs[Workers],TblCalculs[Cluster],$B50,TblCalculs[Mois],H$33))))</f>
        <v>0</v>
      </c>
      <c r="I50" s="40">
        <f>IF(OR($A50="",I$33=""),"",IF(ca_mesure="CPU",SUMIFS(TblCalculs[CPU provisionné],TblCalculs[Cluster],$B50,TblCalculs[Mois],I$33),IF(ca_mesure="RAM",SUMIFS(TblCalculs[RAM provisionnée],TblCalculs[Cluster],$B50,TblCalculs[Mois],I$33),SUMIFS(TblCalculs[Workers],TblCalculs[Cluster],$B50,TblCalculs[Mois],I$33))))</f>
        <v>0</v>
      </c>
      <c r="J50" s="40">
        <f>IF(OR($A50="",J$33=""),"",IF(ca_mesure="CPU",SUMIFS(TblCalculs[CPU provisionné],TblCalculs[Cluster],$B50,TblCalculs[Mois],J$33),IF(ca_mesure="RAM",SUMIFS(TblCalculs[RAM provisionnée],TblCalculs[Cluster],$B50,TblCalculs[Mois],J$33),SUMIFS(TblCalculs[Workers],TblCalculs[Cluster],$B50,TblCalculs[Mois],J$33))))</f>
        <v>0</v>
      </c>
      <c r="K50" s="40">
        <f>IF(OR($A50="",K$33=""),"",IF(ca_mesure="CPU",SUMIFS(TblCalculs[CPU provisionné],TblCalculs[Cluster],$B50,TblCalculs[Mois],K$33),IF(ca_mesure="RAM",SUMIFS(TblCalculs[RAM provisionnée],TblCalculs[Cluster],$B50,TblCalculs[Mois],K$33),SUMIFS(TblCalculs[Workers],TblCalculs[Cluster],$B50,TblCalculs[Mois],K$33))))</f>
        <v>0</v>
      </c>
      <c r="L50" s="40">
        <f>IF(OR($A50="",L$33=""),"",IF(ca_mesure="CPU",SUMIFS(TblCalculs[CPU provisionné],TblCalculs[Cluster],$B50,TblCalculs[Mois],L$33),IF(ca_mesure="RAM",SUMIFS(TblCalculs[RAM provisionnée],TblCalculs[Cluster],$B50,TblCalculs[Mois],L$33),SUMIFS(TblCalculs[Workers],TblCalculs[Cluster],$B50,TblCalculs[Mois],L$33))))</f>
        <v>0</v>
      </c>
      <c r="M50" s="40">
        <f>IF(OR($A50="",M$33=""),"",IF(ca_mesure="CPU",SUMIFS(TblCalculs[CPU provisionné],TblCalculs[Cluster],$B50,TblCalculs[Mois],M$33),IF(ca_mesure="RAM",SUMIFS(TblCalculs[RAM provisionnée],TblCalculs[Cluster],$B50,TblCalculs[Mois],M$33),SUMIFS(TblCalculs[Workers],TblCalculs[Cluster],$B50,TblCalculs[Mois],M$33))))</f>
        <v>0</v>
      </c>
      <c r="N50" s="40">
        <f>IF(OR($A50="",N$33=""),"",IF(ca_mesure="CPU",SUMIFS(TblCalculs[CPU provisionné],TblCalculs[Cluster],$B50,TblCalculs[Mois],N$33),IF(ca_mesure="RAM",SUMIFS(TblCalculs[RAM provisionnée],TblCalculs[Cluster],$B50,TblCalculs[Mois],N$33),SUMIFS(TblCalculs[Workers],TblCalculs[Cluster],$B50,TblCalculs[Mois],N$33))))</f>
        <v>0</v>
      </c>
      <c r="O50" s="40">
        <f>IF(OR($A50="",O$33=""),"",IF(ca_mesure="CPU",SUMIFS(TblCalculs[CPU provisionné],TblCalculs[Cluster],$B50,TblCalculs[Mois],O$33),IF(ca_mesure="RAM",SUMIFS(TblCalculs[RAM provisionnée],TblCalculs[Cluster],$B50,TblCalculs[Mois],O$33),SUMIFS(TblCalculs[Workers],TblCalculs[Cluster],$B50,TblCalculs[Mois],O$33))))</f>
        <v>0</v>
      </c>
      <c r="P50" s="40">
        <f>IF(OR($A50="",P$33=""),"",IF(ca_mesure="CPU",SUMIFS(TblCalculs[CPU provisionné],TblCalculs[Cluster],$B50,TblCalculs[Mois],P$33),IF(ca_mesure="RAM",SUMIFS(TblCalculs[RAM provisionnée],TblCalculs[Cluster],$B50,TblCalculs[Mois],P$33),SUMIFS(TblCalculs[Workers],TblCalculs[Cluster],$B50,TblCalculs[Mois],P$33))))</f>
        <v>0</v>
      </c>
      <c r="Q50" s="40">
        <f>IF(OR($A50="",Q$33=""),"",IF(ca_mesure="CPU",SUMIFS(TblCalculs[CPU provisionné],TblCalculs[Cluster],$B50,TblCalculs[Mois],Q$33),IF(ca_mesure="RAM",SUMIFS(TblCalculs[RAM provisionnée],TblCalculs[Cluster],$B50,TblCalculs[Mois],Q$33),SUMIFS(TblCalculs[Workers],TblCalculs[Cluster],$B50,TblCalculs[Mois],Q$33))))</f>
        <v>0</v>
      </c>
      <c r="R50" s="40">
        <f>IF(OR($A50="",R$33=""),"",IF(ca_mesure="CPU",SUMIFS(TblCalculs[CPU provisionné],TblCalculs[Cluster],$B50,TblCalculs[Mois],R$33),IF(ca_mesure="RAM",SUMIFS(TblCalculs[RAM provisionnée],TblCalculs[Cluster],$B50,TblCalculs[Mois],R$33),SUMIFS(TblCalculs[Workers],TblCalculs[Cluster],$B50,TblCalculs[Mois],R$33))))</f>
        <v>0</v>
      </c>
      <c r="S50" s="40">
        <f>IF(OR($A50="",S$33=""),"",IF(ca_mesure="CPU",SUMIFS(TblCalculs[CPU provisionné],TblCalculs[Cluster],$B50,TblCalculs[Mois],S$33),IF(ca_mesure="RAM",SUMIFS(TblCalculs[RAM provisionnée],TblCalculs[Cluster],$B50,TblCalculs[Mois],S$33),SUMIFS(TblCalculs[Workers],TblCalculs[Cluster],$B50,TblCalculs[Mois],S$33))))</f>
        <v>0</v>
      </c>
      <c r="T50" s="40">
        <f>IF(OR($A50="",T$33=""),"",IF(ca_mesure="CPU",SUMIFS(TblCalculs[CPU provisionné],TblCalculs[Cluster],$B50,TblCalculs[Mois],T$33),IF(ca_mesure="RAM",SUMIFS(TblCalculs[RAM provisionnée],TblCalculs[Cluster],$B50,TblCalculs[Mois],T$33),SUMIFS(TblCalculs[Workers],TblCalculs[Cluster],$B50,TblCalculs[Mois],T$33))))</f>
        <v>0</v>
      </c>
      <c r="U50" s="40">
        <f>IF(OR($A50="",U$33=""),"",IF(ca_mesure="CPU",SUMIFS(TblCalculs[CPU provisionné],TblCalculs[Cluster],$B50,TblCalculs[Mois],U$33),IF(ca_mesure="RAM",SUMIFS(TblCalculs[RAM provisionnée],TblCalculs[Cluster],$B50,TblCalculs[Mois],U$33),SUMIFS(TblCalculs[Workers],TblCalculs[Cluster],$B50,TblCalculs[Mois],U$33))))</f>
        <v>0</v>
      </c>
      <c r="V50" s="40">
        <f>IF(OR($A50="",V$33=""),"",IF(ca_mesure="CPU",SUMIFS(TblCalculs[CPU provisionné],TblCalculs[Cluster],$B50,TblCalculs[Mois],V$33),IF(ca_mesure="RAM",SUMIFS(TblCalculs[RAM provisionnée],TblCalculs[Cluster],$B50,TblCalculs[Mois],V$33),SUMIFS(TblCalculs[Workers],TblCalculs[Cluster],$B50,TblCalculs[Mois],V$33))))</f>
        <v>0</v>
      </c>
      <c r="W50" s="40">
        <f>IF(OR($A50="",W$33=""),"",IF(ca_mesure="CPU",SUMIFS(TblCalculs[CPU provisionné],TblCalculs[Cluster],$B50,TblCalculs[Mois],W$33),IF(ca_mesure="RAM",SUMIFS(TblCalculs[RAM provisionnée],TblCalculs[Cluster],$B50,TblCalculs[Mois],W$33),SUMIFS(TblCalculs[Workers],TblCalculs[Cluster],$B50,TblCalculs[Mois],W$33))))</f>
        <v>0</v>
      </c>
      <c r="X50" s="40">
        <f>IF(OR($A50="",X$33=""),"",IF(ca_mesure="CPU",SUMIFS(TblCalculs[CPU provisionné],TblCalculs[Cluster],$B50,TblCalculs[Mois],X$33),IF(ca_mesure="RAM",SUMIFS(TblCalculs[RAM provisionnée],TblCalculs[Cluster],$B50,TblCalculs[Mois],X$33),SUMIFS(TblCalculs[Workers],TblCalculs[Cluster],$B50,TblCalculs[Mois],X$33))))</f>
        <v>0</v>
      </c>
      <c r="Y50" s="40">
        <f>IF(OR($A50="",Y$33=""),"",IF(ca_mesure="CPU",SUMIFS(TblCalculs[CPU provisionné],TblCalculs[Cluster],$B50,TblCalculs[Mois],Y$33),IF(ca_mesure="RAM",SUMIFS(TblCalculs[RAM provisionnée],TblCalculs[Cluster],$B50,TblCalculs[Mois],Y$33),SUMIFS(TblCalculs[Workers],TblCalculs[Cluster],$B50,TblCalculs[Mois],Y$33))))</f>
        <v>0</v>
      </c>
      <c r="Z50" s="40">
        <f>IF(OR($A50="",Z$33=""),"",IF(ca_mesure="CPU",SUMIFS(TblCalculs[CPU provisionné],TblCalculs[Cluster],$B50,TblCalculs[Mois],Z$33),IF(ca_mesure="RAM",SUMIFS(TblCalculs[RAM provisionnée],TblCalculs[Cluster],$B50,TblCalculs[Mois],Z$33),SUMIFS(TblCalculs[Workers],TblCalculs[Cluster],$B50,TblCalculs[Mois],Z$33))))</f>
        <v>0</v>
      </c>
      <c r="AA50" s="40">
        <f>IF(OR($A50="",AA$33=""),"",IF(ca_mesure="CPU",SUMIFS(TblCalculs[CPU provisionné],TblCalculs[Cluster],$B50,TblCalculs[Mois],AA$33),IF(ca_mesure="RAM",SUMIFS(TblCalculs[RAM provisionnée],TblCalculs[Cluster],$B50,TblCalculs[Mois],AA$33),SUMIFS(TblCalculs[Workers],TblCalculs[Cluster],$B50,TblCalculs[Mois],AA$33))))</f>
        <v>0</v>
      </c>
      <c r="AB50" s="40">
        <f>IF(OR($A50="",AB$33=""),"",IF(ca_mesure="CPU",SUMIFS(TblCalculs[CPU provisionné],TblCalculs[Cluster],$B50,TblCalculs[Mois],AB$33),IF(ca_mesure="RAM",SUMIFS(TblCalculs[RAM provisionnée],TblCalculs[Cluster],$B50,TblCalculs[Mois],AB$33),SUMIFS(TblCalculs[Workers],TblCalculs[Cluster],$B50,TblCalculs[Mois],AB$33))))</f>
        <v>0</v>
      </c>
      <c r="AC50" s="40">
        <f>IF(OR($A50="",AC$33=""),"",IF(ca_mesure="CPU",SUMIFS(TblCalculs[CPU provisionné],TblCalculs[Cluster],$B50,TblCalculs[Mois],AC$33),IF(ca_mesure="RAM",SUMIFS(TblCalculs[RAM provisionnée],TblCalculs[Cluster],$B50,TblCalculs[Mois],AC$33),SUMIFS(TblCalculs[Workers],TblCalculs[Cluster],$B50,TblCalculs[Mois],AC$33))))</f>
        <v>0</v>
      </c>
      <c r="AD50" s="40">
        <f>IF(OR($A50="",AD$33=""),"",IF(ca_mesure="CPU",SUMIFS(TblCalculs[CPU provisionné],TblCalculs[Cluster],$B50,TblCalculs[Mois],AD$33),IF(ca_mesure="RAM",SUMIFS(TblCalculs[RAM provisionnée],TblCalculs[Cluster],$B50,TblCalculs[Mois],AD$33),SUMIFS(TblCalculs[Workers],TblCalculs[Cluster],$B50,TblCalculs[Mois],AD$33))))</f>
        <v>0</v>
      </c>
      <c r="AE50" s="40">
        <f>IF(OR($A50="",AE$33=""),"",IF(ca_mesure="CPU",SUMIFS(TblCalculs[CPU provisionné],TblCalculs[Cluster],$B50,TblCalculs[Mois],AE$33),IF(ca_mesure="RAM",SUMIFS(TblCalculs[RAM provisionnée],TblCalculs[Cluster],$B50,TblCalculs[Mois],AE$33),SUMIFS(TblCalculs[Workers],TblCalculs[Cluster],$B50,TblCalculs[Mois],AE$33))))</f>
        <v>0</v>
      </c>
      <c r="AF50" s="40">
        <f>IF(OR($A50="",AF$33=""),"",IF(ca_mesure="CPU",SUMIFS(TblCalculs[CPU provisionné],TblCalculs[Cluster],$B50,TblCalculs[Mois],AF$33),IF(ca_mesure="RAM",SUMIFS(TblCalculs[RAM provisionnée],TblCalculs[Cluster],$B50,TblCalculs[Mois],AF$33),SUMIFS(TblCalculs[Workers],TblCalculs[Cluster],$B50,TblCalculs[Mois],AF$33))))</f>
        <v>0</v>
      </c>
      <c r="AG50" s="40">
        <f>IF(OR($A50="",AG$33=""),"",IF(ca_mesure="CPU",SUMIFS(TblCalculs[CPU provisionné],TblCalculs[Cluster],$B50,TblCalculs[Mois],AG$33),IF(ca_mesure="RAM",SUMIFS(TblCalculs[RAM provisionnée],TblCalculs[Cluster],$B50,TblCalculs[Mois],AG$33),SUMIFS(TblCalculs[Workers],TblCalculs[Cluster],$B50,TblCalculs[Mois],AG$33))))</f>
        <v>0</v>
      </c>
      <c r="AH50" s="40">
        <f>IF(OR($A50="",AH$33=""),"",IF(ca_mesure="CPU",SUMIFS(TblCalculs[CPU provisionné],TblCalculs[Cluster],$B50,TblCalculs[Mois],AH$33),IF(ca_mesure="RAM",SUMIFS(TblCalculs[RAM provisionnée],TblCalculs[Cluster],$B50,TblCalculs[Mois],AH$33),SUMIFS(TblCalculs[Workers],TblCalculs[Cluster],$B50,TblCalculs[Mois],AH$33))))</f>
        <v>0</v>
      </c>
      <c r="AI50" s="40">
        <f>IF(OR($A50="",AI$33=""),"",IF(ca_mesure="CPU",SUMIFS(TblCalculs[CPU provisionné],TblCalculs[Cluster],$B50,TblCalculs[Mois],AI$33),IF(ca_mesure="RAM",SUMIFS(TblCalculs[RAM provisionnée],TblCalculs[Cluster],$B50,TblCalculs[Mois],AI$33),SUMIFS(TblCalculs[Workers],TblCalculs[Cluster],$B50,TblCalculs[Mois],AI$33))))</f>
        <v>0</v>
      </c>
      <c r="AJ50" s="40">
        <f>IF(OR($A50="",AJ$33=""),"",IF(ca_mesure="CPU",SUMIFS(TblCalculs[CPU provisionné],TblCalculs[Cluster],$B50,TblCalculs[Mois],AJ$33),IF(ca_mesure="RAM",SUMIFS(TblCalculs[RAM provisionnée],TblCalculs[Cluster],$B50,TblCalculs[Mois],AJ$33),SUMIFS(TblCalculs[Workers],TblCalculs[Cluster],$B50,TblCalculs[Mois],AJ$33))))</f>
        <v>0</v>
      </c>
      <c r="AK50" s="40">
        <f>IF(OR($A50="",AK$33=""),"",IF(ca_mesure="CPU",SUMIFS(TblCalculs[CPU provisionné],TblCalculs[Cluster],$B50,TblCalculs[Mois],AK$33),IF(ca_mesure="RAM",SUMIFS(TblCalculs[RAM provisionnée],TblCalculs[Cluster],$B50,TblCalculs[Mois],AK$33),SUMIFS(TblCalculs[Workers],TblCalculs[Cluster],$B50,TblCalculs[Mois],AK$33))))</f>
        <v>0</v>
      </c>
      <c r="AL50" s="40">
        <f>IF(OR($A50="",AL$33=""),"",IF(ca_mesure="CPU",SUMIFS(TblCalculs[CPU provisionné],TblCalculs[Cluster],$B50,TblCalculs[Mois],AL$33),IF(ca_mesure="RAM",SUMIFS(TblCalculs[RAM provisionnée],TblCalculs[Cluster],$B50,TblCalculs[Mois],AL$33),SUMIFS(TblCalculs[Workers],TblCalculs[Cluster],$B50,TblCalculs[Mois],AL$33))))</f>
        <v>0</v>
      </c>
      <c r="AM50" s="40">
        <f>IF(OR($A50="",AM$33=""),"",IF(ca_mesure="CPU",SUMIFS(TblCalculs[CPU provisionné],TblCalculs[Cluster],$B50,TblCalculs[Mois],AM$33),IF(ca_mesure="RAM",SUMIFS(TblCalculs[RAM provisionnée],TblCalculs[Cluster],$B50,TblCalculs[Mois],AM$33),SUMIFS(TblCalculs[Workers],TblCalculs[Cluster],$B50,TblCalculs[Mois],AM$33))))</f>
        <v>0</v>
      </c>
      <c r="AN50" s="40">
        <f>IF(OR($A50="",AN$33=""),"",IF(ca_mesure="CPU",SUMIFS(TblCalculs[CPU provisionné],TblCalculs[Cluster],$B50,TblCalculs[Mois],AN$33),IF(ca_mesure="RAM",SUMIFS(TblCalculs[RAM provisionnée],TblCalculs[Cluster],$B50,TblCalculs[Mois],AN$33),SUMIFS(TblCalculs[Workers],TblCalculs[Cluster],$B50,TblCalculs[Mois],AN$33))))</f>
        <v>0</v>
      </c>
      <c r="AO50" s="40">
        <f>IF(OR($A50="",AO$33=""),"",IF(ca_mesure="CPU",SUMIFS(TblCalculs[CPU provisionné],TblCalculs[Cluster],$B50,TblCalculs[Mois],AO$33),IF(ca_mesure="RAM",SUMIFS(TblCalculs[RAM provisionnée],TblCalculs[Cluster],$B50,TblCalculs[Mois],AO$33),SUMIFS(TblCalculs[Workers],TblCalculs[Cluster],$B50,TblCalculs[Mois],AO$33))))</f>
        <v>0</v>
      </c>
    </row>
    <row r="51" spans="1:41" x14ac:dyDescent="0.2">
      <c r="A51" s="37">
        <f>IFERROR(MATCH(18,TblClusters[Rang capacités],0),"")</f>
        <v>18</v>
      </c>
      <c r="B51" s="38" t="str">
        <f>IF($A51="","",INDEX(TblClusters[Cluster],$A51))</f>
        <v>oc002i001021</v>
      </c>
      <c r="C51" s="39" t="str">
        <f>IF($A51="","",INDEX(TblClusters[Plateforme],$A51))</f>
        <v>ROKS</v>
      </c>
      <c r="D51" s="39" t="str">
        <f>IF($A51="","",INDEX(TblClusters[Environnement],$A51))</f>
        <v>PRD</v>
      </c>
      <c r="E51" s="39" t="str">
        <f>IF($A51="","",INDEX(TblClusters[Flavor],$A51))</f>
        <v>bx3d.8x40</v>
      </c>
      <c r="F51" s="40">
        <f>IF(OR($A51="",F$33=""),"",IF(ca_mesure="CPU",SUMIFS(TblCalculs[CPU provisionné],TblCalculs[Cluster],$B51,TblCalculs[Mois],F$33),IF(ca_mesure="RAM",SUMIFS(TblCalculs[RAM provisionnée],TblCalculs[Cluster],$B51,TblCalculs[Mois],F$33),SUMIFS(TblCalculs[Workers],TblCalculs[Cluster],$B51,TblCalculs[Mois],F$33))))</f>
        <v>6</v>
      </c>
      <c r="G51" s="40">
        <f>IF(OR($A51="",G$33=""),"",IF(ca_mesure="CPU",SUMIFS(TblCalculs[CPU provisionné],TblCalculs[Cluster],$B51,TblCalculs[Mois],G$33),IF(ca_mesure="RAM",SUMIFS(TblCalculs[RAM provisionnée],TblCalculs[Cluster],$B51,TblCalculs[Mois],G$33),SUMIFS(TblCalculs[Workers],TblCalculs[Cluster],$B51,TblCalculs[Mois],G$33))))</f>
        <v>6</v>
      </c>
      <c r="H51" s="40">
        <f>IF(OR($A51="",H$33=""),"",IF(ca_mesure="CPU",SUMIFS(TblCalculs[CPU provisionné],TblCalculs[Cluster],$B51,TblCalculs[Mois],H$33),IF(ca_mesure="RAM",SUMIFS(TblCalculs[RAM provisionnée],TblCalculs[Cluster],$B51,TblCalculs[Mois],H$33),SUMIFS(TblCalculs[Workers],TblCalculs[Cluster],$B51,TblCalculs[Mois],H$33))))</f>
        <v>6</v>
      </c>
      <c r="I51" s="40">
        <f>IF(OR($A51="",I$33=""),"",IF(ca_mesure="CPU",SUMIFS(TblCalculs[CPU provisionné],TblCalculs[Cluster],$B51,TblCalculs[Mois],I$33),IF(ca_mesure="RAM",SUMIFS(TblCalculs[RAM provisionnée],TblCalculs[Cluster],$B51,TblCalculs[Mois],I$33),SUMIFS(TblCalculs[Workers],TblCalculs[Cluster],$B51,TblCalculs[Mois],I$33))))</f>
        <v>6</v>
      </c>
      <c r="J51" s="40">
        <f>IF(OR($A51="",J$33=""),"",IF(ca_mesure="CPU",SUMIFS(TblCalculs[CPU provisionné],TblCalculs[Cluster],$B51,TblCalculs[Mois],J$33),IF(ca_mesure="RAM",SUMIFS(TblCalculs[RAM provisionnée],TblCalculs[Cluster],$B51,TblCalculs[Mois],J$33),SUMIFS(TblCalculs[Workers],TblCalculs[Cluster],$B51,TblCalculs[Mois],J$33))))</f>
        <v>6</v>
      </c>
      <c r="K51" s="40">
        <f>IF(OR($A51="",K$33=""),"",IF(ca_mesure="CPU",SUMIFS(TblCalculs[CPU provisionné],TblCalculs[Cluster],$B51,TblCalculs[Mois],K$33),IF(ca_mesure="RAM",SUMIFS(TblCalculs[RAM provisionnée],TblCalculs[Cluster],$B51,TblCalculs[Mois],K$33),SUMIFS(TblCalculs[Workers],TblCalculs[Cluster],$B51,TblCalculs[Mois],K$33))))</f>
        <v>6</v>
      </c>
      <c r="L51" s="40">
        <f>IF(OR($A51="",L$33=""),"",IF(ca_mesure="CPU",SUMIFS(TblCalculs[CPU provisionné],TblCalculs[Cluster],$B51,TblCalculs[Mois],L$33),IF(ca_mesure="RAM",SUMIFS(TblCalculs[RAM provisionnée],TblCalculs[Cluster],$B51,TblCalculs[Mois],L$33),SUMIFS(TblCalculs[Workers],TblCalculs[Cluster],$B51,TblCalculs[Mois],L$33))))</f>
        <v>6</v>
      </c>
      <c r="M51" s="40">
        <f>IF(OR($A51="",M$33=""),"",IF(ca_mesure="CPU",SUMIFS(TblCalculs[CPU provisionné],TblCalculs[Cluster],$B51,TblCalculs[Mois],M$33),IF(ca_mesure="RAM",SUMIFS(TblCalculs[RAM provisionnée],TblCalculs[Cluster],$B51,TblCalculs[Mois],M$33),SUMIFS(TblCalculs[Workers],TblCalculs[Cluster],$B51,TblCalculs[Mois],M$33))))</f>
        <v>6</v>
      </c>
      <c r="N51" s="40">
        <f>IF(OR($A51="",N$33=""),"",IF(ca_mesure="CPU",SUMIFS(TblCalculs[CPU provisionné],TblCalculs[Cluster],$B51,TblCalculs[Mois],N$33),IF(ca_mesure="RAM",SUMIFS(TblCalculs[RAM provisionnée],TblCalculs[Cluster],$B51,TblCalculs[Mois],N$33),SUMIFS(TblCalculs[Workers],TblCalculs[Cluster],$B51,TblCalculs[Mois],N$33))))</f>
        <v>6</v>
      </c>
      <c r="O51" s="40">
        <f>IF(OR($A51="",O$33=""),"",IF(ca_mesure="CPU",SUMIFS(TblCalculs[CPU provisionné],TblCalculs[Cluster],$B51,TblCalculs[Mois],O$33),IF(ca_mesure="RAM",SUMIFS(TblCalculs[RAM provisionnée],TblCalculs[Cluster],$B51,TblCalculs[Mois],O$33),SUMIFS(TblCalculs[Workers],TblCalculs[Cluster],$B51,TblCalculs[Mois],O$33))))</f>
        <v>6</v>
      </c>
      <c r="P51" s="40">
        <f>IF(OR($A51="",P$33=""),"",IF(ca_mesure="CPU",SUMIFS(TblCalculs[CPU provisionné],TblCalculs[Cluster],$B51,TblCalculs[Mois],P$33),IF(ca_mesure="RAM",SUMIFS(TblCalculs[RAM provisionnée],TblCalculs[Cluster],$B51,TblCalculs[Mois],P$33),SUMIFS(TblCalculs[Workers],TblCalculs[Cluster],$B51,TblCalculs[Mois],P$33))))</f>
        <v>6</v>
      </c>
      <c r="Q51" s="40">
        <f>IF(OR($A51="",Q$33=""),"",IF(ca_mesure="CPU",SUMIFS(TblCalculs[CPU provisionné],TblCalculs[Cluster],$B51,TblCalculs[Mois],Q$33),IF(ca_mesure="RAM",SUMIFS(TblCalculs[RAM provisionnée],TblCalculs[Cluster],$B51,TblCalculs[Mois],Q$33),SUMIFS(TblCalculs[Workers],TblCalculs[Cluster],$B51,TblCalculs[Mois],Q$33))))</f>
        <v>6</v>
      </c>
      <c r="R51" s="40">
        <f>IF(OR($A51="",R$33=""),"",IF(ca_mesure="CPU",SUMIFS(TblCalculs[CPU provisionné],TblCalculs[Cluster],$B51,TblCalculs[Mois],R$33),IF(ca_mesure="RAM",SUMIFS(TblCalculs[RAM provisionnée],TblCalculs[Cluster],$B51,TblCalculs[Mois],R$33),SUMIFS(TblCalculs[Workers],TblCalculs[Cluster],$B51,TblCalculs[Mois],R$33))))</f>
        <v>6</v>
      </c>
      <c r="S51" s="40">
        <f>IF(OR($A51="",S$33=""),"",IF(ca_mesure="CPU",SUMIFS(TblCalculs[CPU provisionné],TblCalculs[Cluster],$B51,TblCalculs[Mois],S$33),IF(ca_mesure="RAM",SUMIFS(TblCalculs[RAM provisionnée],TblCalculs[Cluster],$B51,TblCalculs[Mois],S$33),SUMIFS(TblCalculs[Workers],TblCalculs[Cluster],$B51,TblCalculs[Mois],S$33))))</f>
        <v>6</v>
      </c>
      <c r="T51" s="40">
        <f>IF(OR($A51="",T$33=""),"",IF(ca_mesure="CPU",SUMIFS(TblCalculs[CPU provisionné],TblCalculs[Cluster],$B51,TblCalculs[Mois],T$33),IF(ca_mesure="RAM",SUMIFS(TblCalculs[RAM provisionnée],TblCalculs[Cluster],$B51,TblCalculs[Mois],T$33),SUMIFS(TblCalculs[Workers],TblCalculs[Cluster],$B51,TblCalculs[Mois],T$33))))</f>
        <v>6</v>
      </c>
      <c r="U51" s="40">
        <f>IF(OR($A51="",U$33=""),"",IF(ca_mesure="CPU",SUMIFS(TblCalculs[CPU provisionné],TblCalculs[Cluster],$B51,TblCalculs[Mois],U$33),IF(ca_mesure="RAM",SUMIFS(TblCalculs[RAM provisionnée],TblCalculs[Cluster],$B51,TblCalculs[Mois],U$33),SUMIFS(TblCalculs[Workers],TblCalculs[Cluster],$B51,TblCalculs[Mois],U$33))))</f>
        <v>6</v>
      </c>
      <c r="V51" s="40">
        <f>IF(OR($A51="",V$33=""),"",IF(ca_mesure="CPU",SUMIFS(TblCalculs[CPU provisionné],TblCalculs[Cluster],$B51,TblCalculs[Mois],V$33),IF(ca_mesure="RAM",SUMIFS(TblCalculs[RAM provisionnée],TblCalculs[Cluster],$B51,TblCalculs[Mois],V$33),SUMIFS(TblCalculs[Workers],TblCalculs[Cluster],$B51,TblCalculs[Mois],V$33))))</f>
        <v>6</v>
      </c>
      <c r="W51" s="40">
        <f>IF(OR($A51="",W$33=""),"",IF(ca_mesure="CPU",SUMIFS(TblCalculs[CPU provisionné],TblCalculs[Cluster],$B51,TblCalculs[Mois],W$33),IF(ca_mesure="RAM",SUMIFS(TblCalculs[RAM provisionnée],TblCalculs[Cluster],$B51,TblCalculs[Mois],W$33),SUMIFS(TblCalculs[Workers],TblCalculs[Cluster],$B51,TblCalculs[Mois],W$33))))</f>
        <v>6</v>
      </c>
      <c r="X51" s="40">
        <f>IF(OR($A51="",X$33=""),"",IF(ca_mesure="CPU",SUMIFS(TblCalculs[CPU provisionné],TblCalculs[Cluster],$B51,TblCalculs[Mois],X$33),IF(ca_mesure="RAM",SUMIFS(TblCalculs[RAM provisionnée],TblCalculs[Cluster],$B51,TblCalculs[Mois],X$33),SUMIFS(TblCalculs[Workers],TblCalculs[Cluster],$B51,TblCalculs[Mois],X$33))))</f>
        <v>6</v>
      </c>
      <c r="Y51" s="40">
        <f>IF(OR($A51="",Y$33=""),"",IF(ca_mesure="CPU",SUMIFS(TblCalculs[CPU provisionné],TblCalculs[Cluster],$B51,TblCalculs[Mois],Y$33),IF(ca_mesure="RAM",SUMIFS(TblCalculs[RAM provisionnée],TblCalculs[Cluster],$B51,TblCalculs[Mois],Y$33),SUMIFS(TblCalculs[Workers],TblCalculs[Cluster],$B51,TblCalculs[Mois],Y$33))))</f>
        <v>6</v>
      </c>
      <c r="Z51" s="40">
        <f>IF(OR($A51="",Z$33=""),"",IF(ca_mesure="CPU",SUMIFS(TblCalculs[CPU provisionné],TblCalculs[Cluster],$B51,TblCalculs[Mois],Z$33),IF(ca_mesure="RAM",SUMIFS(TblCalculs[RAM provisionnée],TblCalculs[Cluster],$B51,TblCalculs[Mois],Z$33),SUMIFS(TblCalculs[Workers],TblCalculs[Cluster],$B51,TblCalculs[Mois],Z$33))))</f>
        <v>6</v>
      </c>
      <c r="AA51" s="40">
        <f>IF(OR($A51="",AA$33=""),"",IF(ca_mesure="CPU",SUMIFS(TblCalculs[CPU provisionné],TblCalculs[Cluster],$B51,TblCalculs[Mois],AA$33),IF(ca_mesure="RAM",SUMIFS(TblCalculs[RAM provisionnée],TblCalculs[Cluster],$B51,TblCalculs[Mois],AA$33),SUMIFS(TblCalculs[Workers],TblCalculs[Cluster],$B51,TblCalculs[Mois],AA$33))))</f>
        <v>6</v>
      </c>
      <c r="AB51" s="40">
        <f>IF(OR($A51="",AB$33=""),"",IF(ca_mesure="CPU",SUMIFS(TblCalculs[CPU provisionné],TblCalculs[Cluster],$B51,TblCalculs[Mois],AB$33),IF(ca_mesure="RAM",SUMIFS(TblCalculs[RAM provisionnée],TblCalculs[Cluster],$B51,TblCalculs[Mois],AB$33),SUMIFS(TblCalculs[Workers],TblCalculs[Cluster],$B51,TblCalculs[Mois],AB$33))))</f>
        <v>6</v>
      </c>
      <c r="AC51" s="40">
        <f>IF(OR($A51="",AC$33=""),"",IF(ca_mesure="CPU",SUMIFS(TblCalculs[CPU provisionné],TblCalculs[Cluster],$B51,TblCalculs[Mois],AC$33),IF(ca_mesure="RAM",SUMIFS(TblCalculs[RAM provisionnée],TblCalculs[Cluster],$B51,TblCalculs[Mois],AC$33),SUMIFS(TblCalculs[Workers],TblCalculs[Cluster],$B51,TblCalculs[Mois],AC$33))))</f>
        <v>6</v>
      </c>
      <c r="AD51" s="40">
        <f>IF(OR($A51="",AD$33=""),"",IF(ca_mesure="CPU",SUMIFS(TblCalculs[CPU provisionné],TblCalculs[Cluster],$B51,TblCalculs[Mois],AD$33),IF(ca_mesure="RAM",SUMIFS(TblCalculs[RAM provisionnée],TblCalculs[Cluster],$B51,TblCalculs[Mois],AD$33),SUMIFS(TblCalculs[Workers],TblCalculs[Cluster],$B51,TblCalculs[Mois],AD$33))))</f>
        <v>6</v>
      </c>
      <c r="AE51" s="40">
        <f>IF(OR($A51="",AE$33=""),"",IF(ca_mesure="CPU",SUMIFS(TblCalculs[CPU provisionné],TblCalculs[Cluster],$B51,TblCalculs[Mois],AE$33),IF(ca_mesure="RAM",SUMIFS(TblCalculs[RAM provisionnée],TblCalculs[Cluster],$B51,TblCalculs[Mois],AE$33),SUMIFS(TblCalculs[Workers],TblCalculs[Cluster],$B51,TblCalculs[Mois],AE$33))))</f>
        <v>6</v>
      </c>
      <c r="AF51" s="40">
        <f>IF(OR($A51="",AF$33=""),"",IF(ca_mesure="CPU",SUMIFS(TblCalculs[CPU provisionné],TblCalculs[Cluster],$B51,TblCalculs[Mois],AF$33),IF(ca_mesure="RAM",SUMIFS(TblCalculs[RAM provisionnée],TblCalculs[Cluster],$B51,TblCalculs[Mois],AF$33),SUMIFS(TblCalculs[Workers],TblCalculs[Cluster],$B51,TblCalculs[Mois],AF$33))))</f>
        <v>6</v>
      </c>
      <c r="AG51" s="40">
        <f>IF(OR($A51="",AG$33=""),"",IF(ca_mesure="CPU",SUMIFS(TblCalculs[CPU provisionné],TblCalculs[Cluster],$B51,TblCalculs[Mois],AG$33),IF(ca_mesure="RAM",SUMIFS(TblCalculs[RAM provisionnée],TblCalculs[Cluster],$B51,TblCalculs[Mois],AG$33),SUMIFS(TblCalculs[Workers],TblCalculs[Cluster],$B51,TblCalculs[Mois],AG$33))))</f>
        <v>6</v>
      </c>
      <c r="AH51" s="40">
        <f>IF(OR($A51="",AH$33=""),"",IF(ca_mesure="CPU",SUMIFS(TblCalculs[CPU provisionné],TblCalculs[Cluster],$B51,TblCalculs[Mois],AH$33),IF(ca_mesure="RAM",SUMIFS(TblCalculs[RAM provisionnée],TblCalculs[Cluster],$B51,TblCalculs[Mois],AH$33),SUMIFS(TblCalculs[Workers],TblCalculs[Cluster],$B51,TblCalculs[Mois],AH$33))))</f>
        <v>6</v>
      </c>
      <c r="AI51" s="40">
        <f>IF(OR($A51="",AI$33=""),"",IF(ca_mesure="CPU",SUMIFS(TblCalculs[CPU provisionné],TblCalculs[Cluster],$B51,TblCalculs[Mois],AI$33),IF(ca_mesure="RAM",SUMIFS(TblCalculs[RAM provisionnée],TblCalculs[Cluster],$B51,TblCalculs[Mois],AI$33),SUMIFS(TblCalculs[Workers],TblCalculs[Cluster],$B51,TblCalculs[Mois],AI$33))))</f>
        <v>6</v>
      </c>
      <c r="AJ51" s="40">
        <f>IF(OR($A51="",AJ$33=""),"",IF(ca_mesure="CPU",SUMIFS(TblCalculs[CPU provisionné],TblCalculs[Cluster],$B51,TblCalculs[Mois],AJ$33),IF(ca_mesure="RAM",SUMIFS(TblCalculs[RAM provisionnée],TblCalculs[Cluster],$B51,TblCalculs[Mois],AJ$33),SUMIFS(TblCalculs[Workers],TblCalculs[Cluster],$B51,TblCalculs[Mois],AJ$33))))</f>
        <v>6</v>
      </c>
      <c r="AK51" s="40">
        <f>IF(OR($A51="",AK$33=""),"",IF(ca_mesure="CPU",SUMIFS(TblCalculs[CPU provisionné],TblCalculs[Cluster],$B51,TblCalculs[Mois],AK$33),IF(ca_mesure="RAM",SUMIFS(TblCalculs[RAM provisionnée],TblCalculs[Cluster],$B51,TblCalculs[Mois],AK$33),SUMIFS(TblCalculs[Workers],TblCalculs[Cluster],$B51,TblCalculs[Mois],AK$33))))</f>
        <v>6</v>
      </c>
      <c r="AL51" s="40">
        <f>IF(OR($A51="",AL$33=""),"",IF(ca_mesure="CPU",SUMIFS(TblCalculs[CPU provisionné],TblCalculs[Cluster],$B51,TblCalculs[Mois],AL$33),IF(ca_mesure="RAM",SUMIFS(TblCalculs[RAM provisionnée],TblCalculs[Cluster],$B51,TblCalculs[Mois],AL$33),SUMIFS(TblCalculs[Workers],TblCalculs[Cluster],$B51,TblCalculs[Mois],AL$33))))</f>
        <v>6</v>
      </c>
      <c r="AM51" s="40">
        <f>IF(OR($A51="",AM$33=""),"",IF(ca_mesure="CPU",SUMIFS(TblCalculs[CPU provisionné],TblCalculs[Cluster],$B51,TblCalculs[Mois],AM$33),IF(ca_mesure="RAM",SUMIFS(TblCalculs[RAM provisionnée],TblCalculs[Cluster],$B51,TblCalculs[Mois],AM$33),SUMIFS(TblCalculs[Workers],TblCalculs[Cluster],$B51,TblCalculs[Mois],AM$33))))</f>
        <v>6</v>
      </c>
      <c r="AN51" s="40">
        <f>IF(OR($A51="",AN$33=""),"",IF(ca_mesure="CPU",SUMIFS(TblCalculs[CPU provisionné],TblCalculs[Cluster],$B51,TblCalculs[Mois],AN$33),IF(ca_mesure="RAM",SUMIFS(TblCalculs[RAM provisionnée],TblCalculs[Cluster],$B51,TblCalculs[Mois],AN$33),SUMIFS(TblCalculs[Workers],TblCalculs[Cluster],$B51,TblCalculs[Mois],AN$33))))</f>
        <v>6</v>
      </c>
      <c r="AO51" s="40">
        <f>IF(OR($A51="",AO$33=""),"",IF(ca_mesure="CPU",SUMIFS(TblCalculs[CPU provisionné],TblCalculs[Cluster],$B51,TblCalculs[Mois],AO$33),IF(ca_mesure="RAM",SUMIFS(TblCalculs[RAM provisionnée],TblCalculs[Cluster],$B51,TblCalculs[Mois],AO$33),SUMIFS(TblCalculs[Workers],TblCalculs[Cluster],$B51,TblCalculs[Mois],AO$33))))</f>
        <v>6</v>
      </c>
    </row>
    <row r="52" spans="1:41" x14ac:dyDescent="0.2">
      <c r="A52" s="37">
        <f>IFERROR(MATCH(19,TblClusters[Rang capacités],0),"")</f>
        <v>19</v>
      </c>
      <c r="B52" s="38" t="str">
        <f>IF($A52="","",INDEX(TblClusters[Cluster],$A52))</f>
        <v>oc002i001016</v>
      </c>
      <c r="C52" s="39" t="str">
        <f>IF($A52="","",INDEX(TblClusters[Plateforme],$A52))</f>
        <v>ROKS</v>
      </c>
      <c r="D52" s="39" t="str">
        <f>IF($A52="","",INDEX(TblClusters[Environnement],$A52))</f>
        <v>NPRD</v>
      </c>
      <c r="E52" s="39">
        <f>IF($A52="","",INDEX(TblClusters[Flavor],$A52))</f>
        <v>0</v>
      </c>
      <c r="F52" s="40">
        <f>IF(OR($A52="",F$33=""),"",IF(ca_mesure="CPU",SUMIFS(TblCalculs[CPU provisionné],TblCalculs[Cluster],$B52,TblCalculs[Mois],F$33),IF(ca_mesure="RAM",SUMIFS(TblCalculs[RAM provisionnée],TblCalculs[Cluster],$B52,TblCalculs[Mois],F$33),SUMIFS(TblCalculs[Workers],TblCalculs[Cluster],$B52,TblCalculs[Mois],F$33))))</f>
        <v>0</v>
      </c>
      <c r="G52" s="40">
        <f>IF(OR($A52="",G$33=""),"",IF(ca_mesure="CPU",SUMIFS(TblCalculs[CPU provisionné],TblCalculs[Cluster],$B52,TblCalculs[Mois],G$33),IF(ca_mesure="RAM",SUMIFS(TblCalculs[RAM provisionnée],TblCalculs[Cluster],$B52,TblCalculs[Mois],G$33),SUMIFS(TblCalculs[Workers],TblCalculs[Cluster],$B52,TblCalculs[Mois],G$33))))</f>
        <v>0</v>
      </c>
      <c r="H52" s="40">
        <f>IF(OR($A52="",H$33=""),"",IF(ca_mesure="CPU",SUMIFS(TblCalculs[CPU provisionné],TblCalculs[Cluster],$B52,TblCalculs[Mois],H$33),IF(ca_mesure="RAM",SUMIFS(TblCalculs[RAM provisionnée],TblCalculs[Cluster],$B52,TblCalculs[Mois],H$33),SUMIFS(TblCalculs[Workers],TblCalculs[Cluster],$B52,TblCalculs[Mois],H$33))))</f>
        <v>0</v>
      </c>
      <c r="I52" s="40">
        <f>IF(OR($A52="",I$33=""),"",IF(ca_mesure="CPU",SUMIFS(TblCalculs[CPU provisionné],TblCalculs[Cluster],$B52,TblCalculs[Mois],I$33),IF(ca_mesure="RAM",SUMIFS(TblCalculs[RAM provisionnée],TblCalculs[Cluster],$B52,TblCalculs[Mois],I$33),SUMIFS(TblCalculs[Workers],TblCalculs[Cluster],$B52,TblCalculs[Mois],I$33))))</f>
        <v>0</v>
      </c>
      <c r="J52" s="40">
        <f>IF(OR($A52="",J$33=""),"",IF(ca_mesure="CPU",SUMIFS(TblCalculs[CPU provisionné],TblCalculs[Cluster],$B52,TblCalculs[Mois],J$33),IF(ca_mesure="RAM",SUMIFS(TblCalculs[RAM provisionnée],TblCalculs[Cluster],$B52,TblCalculs[Mois],J$33),SUMIFS(TblCalculs[Workers],TblCalculs[Cluster],$B52,TblCalculs[Mois],J$33))))</f>
        <v>0</v>
      </c>
      <c r="K52" s="40">
        <f>IF(OR($A52="",K$33=""),"",IF(ca_mesure="CPU",SUMIFS(TblCalculs[CPU provisionné],TblCalculs[Cluster],$B52,TblCalculs[Mois],K$33),IF(ca_mesure="RAM",SUMIFS(TblCalculs[RAM provisionnée],TblCalculs[Cluster],$B52,TblCalculs[Mois],K$33),SUMIFS(TblCalculs[Workers],TblCalculs[Cluster],$B52,TblCalculs[Mois],K$33))))</f>
        <v>0</v>
      </c>
      <c r="L52" s="40">
        <f>IF(OR($A52="",L$33=""),"",IF(ca_mesure="CPU",SUMIFS(TblCalculs[CPU provisionné],TblCalculs[Cluster],$B52,TblCalculs[Mois],L$33),IF(ca_mesure="RAM",SUMIFS(TblCalculs[RAM provisionnée],TblCalculs[Cluster],$B52,TblCalculs[Mois],L$33),SUMIFS(TblCalculs[Workers],TblCalculs[Cluster],$B52,TblCalculs[Mois],L$33))))</f>
        <v>0</v>
      </c>
      <c r="M52" s="40">
        <f>IF(OR($A52="",M$33=""),"",IF(ca_mesure="CPU",SUMIFS(TblCalculs[CPU provisionné],TblCalculs[Cluster],$B52,TblCalculs[Mois],M$33),IF(ca_mesure="RAM",SUMIFS(TblCalculs[RAM provisionnée],TblCalculs[Cluster],$B52,TblCalculs[Mois],M$33),SUMIFS(TblCalculs[Workers],TblCalculs[Cluster],$B52,TblCalculs[Mois],M$33))))</f>
        <v>0</v>
      </c>
      <c r="N52" s="40">
        <f>IF(OR($A52="",N$33=""),"",IF(ca_mesure="CPU",SUMIFS(TblCalculs[CPU provisionné],TblCalculs[Cluster],$B52,TblCalculs[Mois],N$33),IF(ca_mesure="RAM",SUMIFS(TblCalculs[RAM provisionnée],TblCalculs[Cluster],$B52,TblCalculs[Mois],N$33),SUMIFS(TblCalculs[Workers],TblCalculs[Cluster],$B52,TblCalculs[Mois],N$33))))</f>
        <v>0</v>
      </c>
      <c r="O52" s="40">
        <f>IF(OR($A52="",O$33=""),"",IF(ca_mesure="CPU",SUMIFS(TblCalculs[CPU provisionné],TblCalculs[Cluster],$B52,TblCalculs[Mois],O$33),IF(ca_mesure="RAM",SUMIFS(TblCalculs[RAM provisionnée],TblCalculs[Cluster],$B52,TblCalculs[Mois],O$33),SUMIFS(TblCalculs[Workers],TblCalculs[Cluster],$B52,TblCalculs[Mois],O$33))))</f>
        <v>0</v>
      </c>
      <c r="P52" s="40">
        <f>IF(OR($A52="",P$33=""),"",IF(ca_mesure="CPU",SUMIFS(TblCalculs[CPU provisionné],TblCalculs[Cluster],$B52,TblCalculs[Mois],P$33),IF(ca_mesure="RAM",SUMIFS(TblCalculs[RAM provisionnée],TblCalculs[Cluster],$B52,TblCalculs[Mois],P$33),SUMIFS(TblCalculs[Workers],TblCalculs[Cluster],$B52,TblCalculs[Mois],P$33))))</f>
        <v>0</v>
      </c>
      <c r="Q52" s="40">
        <f>IF(OR($A52="",Q$33=""),"",IF(ca_mesure="CPU",SUMIFS(TblCalculs[CPU provisionné],TblCalculs[Cluster],$B52,TblCalculs[Mois],Q$33),IF(ca_mesure="RAM",SUMIFS(TblCalculs[RAM provisionnée],TblCalculs[Cluster],$B52,TblCalculs[Mois],Q$33),SUMIFS(TblCalculs[Workers],TblCalculs[Cluster],$B52,TblCalculs[Mois],Q$33))))</f>
        <v>0</v>
      </c>
      <c r="R52" s="40">
        <f>IF(OR($A52="",R$33=""),"",IF(ca_mesure="CPU",SUMIFS(TblCalculs[CPU provisionné],TblCalculs[Cluster],$B52,TblCalculs[Mois],R$33),IF(ca_mesure="RAM",SUMIFS(TblCalculs[RAM provisionnée],TblCalculs[Cluster],$B52,TblCalculs[Mois],R$33),SUMIFS(TblCalculs[Workers],TblCalculs[Cluster],$B52,TblCalculs[Mois],R$33))))</f>
        <v>0</v>
      </c>
      <c r="S52" s="40">
        <f>IF(OR($A52="",S$33=""),"",IF(ca_mesure="CPU",SUMIFS(TblCalculs[CPU provisionné],TblCalculs[Cluster],$B52,TblCalculs[Mois],S$33),IF(ca_mesure="RAM",SUMIFS(TblCalculs[RAM provisionnée],TblCalculs[Cluster],$B52,TblCalculs[Mois],S$33),SUMIFS(TblCalculs[Workers],TblCalculs[Cluster],$B52,TblCalculs[Mois],S$33))))</f>
        <v>0</v>
      </c>
      <c r="T52" s="40">
        <f>IF(OR($A52="",T$33=""),"",IF(ca_mesure="CPU",SUMIFS(TblCalculs[CPU provisionné],TblCalculs[Cluster],$B52,TblCalculs[Mois],T$33),IF(ca_mesure="RAM",SUMIFS(TblCalculs[RAM provisionnée],TblCalculs[Cluster],$B52,TblCalculs[Mois],T$33),SUMIFS(TblCalculs[Workers],TblCalculs[Cluster],$B52,TblCalculs[Mois],T$33))))</f>
        <v>0</v>
      </c>
      <c r="U52" s="40">
        <f>IF(OR($A52="",U$33=""),"",IF(ca_mesure="CPU",SUMIFS(TblCalculs[CPU provisionné],TblCalculs[Cluster],$B52,TblCalculs[Mois],U$33),IF(ca_mesure="RAM",SUMIFS(TblCalculs[RAM provisionnée],TblCalculs[Cluster],$B52,TblCalculs[Mois],U$33),SUMIFS(TblCalculs[Workers],TblCalculs[Cluster],$B52,TblCalculs[Mois],U$33))))</f>
        <v>0</v>
      </c>
      <c r="V52" s="40">
        <f>IF(OR($A52="",V$33=""),"",IF(ca_mesure="CPU",SUMIFS(TblCalculs[CPU provisionné],TblCalculs[Cluster],$B52,TblCalculs[Mois],V$33),IF(ca_mesure="RAM",SUMIFS(TblCalculs[RAM provisionnée],TblCalculs[Cluster],$B52,TblCalculs[Mois],V$33),SUMIFS(TblCalculs[Workers],TblCalculs[Cluster],$B52,TblCalculs[Mois],V$33))))</f>
        <v>0</v>
      </c>
      <c r="W52" s="40">
        <f>IF(OR($A52="",W$33=""),"",IF(ca_mesure="CPU",SUMIFS(TblCalculs[CPU provisionné],TblCalculs[Cluster],$B52,TblCalculs[Mois],W$33),IF(ca_mesure="RAM",SUMIFS(TblCalculs[RAM provisionnée],TblCalculs[Cluster],$B52,TblCalculs[Mois],W$33),SUMIFS(TblCalculs[Workers],TblCalculs[Cluster],$B52,TblCalculs[Mois],W$33))))</f>
        <v>0</v>
      </c>
      <c r="X52" s="40">
        <f>IF(OR($A52="",X$33=""),"",IF(ca_mesure="CPU",SUMIFS(TblCalculs[CPU provisionné],TblCalculs[Cluster],$B52,TblCalculs[Mois],X$33),IF(ca_mesure="RAM",SUMIFS(TblCalculs[RAM provisionnée],TblCalculs[Cluster],$B52,TblCalculs[Mois],X$33),SUMIFS(TblCalculs[Workers],TblCalculs[Cluster],$B52,TblCalculs[Mois],X$33))))</f>
        <v>0</v>
      </c>
      <c r="Y52" s="40">
        <f>IF(OR($A52="",Y$33=""),"",IF(ca_mesure="CPU",SUMIFS(TblCalculs[CPU provisionné],TblCalculs[Cluster],$B52,TblCalculs[Mois],Y$33),IF(ca_mesure="RAM",SUMIFS(TblCalculs[RAM provisionnée],TblCalculs[Cluster],$B52,TblCalculs[Mois],Y$33),SUMIFS(TblCalculs[Workers],TblCalculs[Cluster],$B52,TblCalculs[Mois],Y$33))))</f>
        <v>0</v>
      </c>
      <c r="Z52" s="40">
        <f>IF(OR($A52="",Z$33=""),"",IF(ca_mesure="CPU",SUMIFS(TblCalculs[CPU provisionné],TblCalculs[Cluster],$B52,TblCalculs[Mois],Z$33),IF(ca_mesure="RAM",SUMIFS(TblCalculs[RAM provisionnée],TblCalculs[Cluster],$B52,TblCalculs[Mois],Z$33),SUMIFS(TblCalculs[Workers],TblCalculs[Cluster],$B52,TblCalculs[Mois],Z$33))))</f>
        <v>0</v>
      </c>
      <c r="AA52" s="40">
        <f>IF(OR($A52="",AA$33=""),"",IF(ca_mesure="CPU",SUMIFS(TblCalculs[CPU provisionné],TblCalculs[Cluster],$B52,TblCalculs[Mois],AA$33),IF(ca_mesure="RAM",SUMIFS(TblCalculs[RAM provisionnée],TblCalculs[Cluster],$B52,TblCalculs[Mois],AA$33),SUMIFS(TblCalculs[Workers],TblCalculs[Cluster],$B52,TblCalculs[Mois],AA$33))))</f>
        <v>0</v>
      </c>
      <c r="AB52" s="40">
        <f>IF(OR($A52="",AB$33=""),"",IF(ca_mesure="CPU",SUMIFS(TblCalculs[CPU provisionné],TblCalculs[Cluster],$B52,TblCalculs[Mois],AB$33),IF(ca_mesure="RAM",SUMIFS(TblCalculs[RAM provisionnée],TblCalculs[Cluster],$B52,TblCalculs[Mois],AB$33),SUMIFS(TblCalculs[Workers],TblCalculs[Cluster],$B52,TblCalculs[Mois],AB$33))))</f>
        <v>0</v>
      </c>
      <c r="AC52" s="40">
        <f>IF(OR($A52="",AC$33=""),"",IF(ca_mesure="CPU",SUMIFS(TblCalculs[CPU provisionné],TblCalculs[Cluster],$B52,TblCalculs[Mois],AC$33),IF(ca_mesure="RAM",SUMIFS(TblCalculs[RAM provisionnée],TblCalculs[Cluster],$B52,TblCalculs[Mois],AC$33),SUMIFS(TblCalculs[Workers],TblCalculs[Cluster],$B52,TblCalculs[Mois],AC$33))))</f>
        <v>0</v>
      </c>
      <c r="AD52" s="40">
        <f>IF(OR($A52="",AD$33=""),"",IF(ca_mesure="CPU",SUMIFS(TblCalculs[CPU provisionné],TblCalculs[Cluster],$B52,TblCalculs[Mois],AD$33),IF(ca_mesure="RAM",SUMIFS(TblCalculs[RAM provisionnée],TblCalculs[Cluster],$B52,TblCalculs[Mois],AD$33),SUMIFS(TblCalculs[Workers],TblCalculs[Cluster],$B52,TblCalculs[Mois],AD$33))))</f>
        <v>0</v>
      </c>
      <c r="AE52" s="40">
        <f>IF(OR($A52="",AE$33=""),"",IF(ca_mesure="CPU",SUMIFS(TblCalculs[CPU provisionné],TblCalculs[Cluster],$B52,TblCalculs[Mois],AE$33),IF(ca_mesure="RAM",SUMIFS(TblCalculs[RAM provisionnée],TblCalculs[Cluster],$B52,TblCalculs[Mois],AE$33),SUMIFS(TblCalculs[Workers],TblCalculs[Cluster],$B52,TblCalculs[Mois],AE$33))))</f>
        <v>0</v>
      </c>
      <c r="AF52" s="40">
        <f>IF(OR($A52="",AF$33=""),"",IF(ca_mesure="CPU",SUMIFS(TblCalculs[CPU provisionné],TblCalculs[Cluster],$B52,TblCalculs[Mois],AF$33),IF(ca_mesure="RAM",SUMIFS(TblCalculs[RAM provisionnée],TblCalculs[Cluster],$B52,TblCalculs[Mois],AF$33),SUMIFS(TblCalculs[Workers],TblCalculs[Cluster],$B52,TblCalculs[Mois],AF$33))))</f>
        <v>0</v>
      </c>
      <c r="AG52" s="40">
        <f>IF(OR($A52="",AG$33=""),"",IF(ca_mesure="CPU",SUMIFS(TblCalculs[CPU provisionné],TblCalculs[Cluster],$B52,TblCalculs[Mois],AG$33),IF(ca_mesure="RAM",SUMIFS(TblCalculs[RAM provisionnée],TblCalculs[Cluster],$B52,TblCalculs[Mois],AG$33),SUMIFS(TblCalculs[Workers],TblCalculs[Cluster],$B52,TblCalculs[Mois],AG$33))))</f>
        <v>0</v>
      </c>
      <c r="AH52" s="40">
        <f>IF(OR($A52="",AH$33=""),"",IF(ca_mesure="CPU",SUMIFS(TblCalculs[CPU provisionné],TblCalculs[Cluster],$B52,TblCalculs[Mois],AH$33),IF(ca_mesure="RAM",SUMIFS(TblCalculs[RAM provisionnée],TblCalculs[Cluster],$B52,TblCalculs[Mois],AH$33),SUMIFS(TblCalculs[Workers],TblCalculs[Cluster],$B52,TblCalculs[Mois],AH$33))))</f>
        <v>0</v>
      </c>
      <c r="AI52" s="40">
        <f>IF(OR($A52="",AI$33=""),"",IF(ca_mesure="CPU",SUMIFS(TblCalculs[CPU provisionné],TblCalculs[Cluster],$B52,TblCalculs[Mois],AI$33),IF(ca_mesure="RAM",SUMIFS(TblCalculs[RAM provisionnée],TblCalculs[Cluster],$B52,TblCalculs[Mois],AI$33),SUMIFS(TblCalculs[Workers],TblCalculs[Cluster],$B52,TblCalculs[Mois],AI$33))))</f>
        <v>0</v>
      </c>
      <c r="AJ52" s="40">
        <f>IF(OR($A52="",AJ$33=""),"",IF(ca_mesure="CPU",SUMIFS(TblCalculs[CPU provisionné],TblCalculs[Cluster],$B52,TblCalculs[Mois],AJ$33),IF(ca_mesure="RAM",SUMIFS(TblCalculs[RAM provisionnée],TblCalculs[Cluster],$B52,TblCalculs[Mois],AJ$33),SUMIFS(TblCalculs[Workers],TblCalculs[Cluster],$B52,TblCalculs[Mois],AJ$33))))</f>
        <v>0</v>
      </c>
      <c r="AK52" s="40">
        <f>IF(OR($A52="",AK$33=""),"",IF(ca_mesure="CPU",SUMIFS(TblCalculs[CPU provisionné],TblCalculs[Cluster],$B52,TblCalculs[Mois],AK$33),IF(ca_mesure="RAM",SUMIFS(TblCalculs[RAM provisionnée],TblCalculs[Cluster],$B52,TblCalculs[Mois],AK$33),SUMIFS(TblCalculs[Workers],TblCalculs[Cluster],$B52,TblCalculs[Mois],AK$33))))</f>
        <v>0</v>
      </c>
      <c r="AL52" s="40">
        <f>IF(OR($A52="",AL$33=""),"",IF(ca_mesure="CPU",SUMIFS(TblCalculs[CPU provisionné],TblCalculs[Cluster],$B52,TblCalculs[Mois],AL$33),IF(ca_mesure="RAM",SUMIFS(TblCalculs[RAM provisionnée],TblCalculs[Cluster],$B52,TblCalculs[Mois],AL$33),SUMIFS(TblCalculs[Workers],TblCalculs[Cluster],$B52,TblCalculs[Mois],AL$33))))</f>
        <v>0</v>
      </c>
      <c r="AM52" s="40">
        <f>IF(OR($A52="",AM$33=""),"",IF(ca_mesure="CPU",SUMIFS(TblCalculs[CPU provisionné],TblCalculs[Cluster],$B52,TblCalculs[Mois],AM$33),IF(ca_mesure="RAM",SUMIFS(TblCalculs[RAM provisionnée],TblCalculs[Cluster],$B52,TblCalculs[Mois],AM$33),SUMIFS(TblCalculs[Workers],TblCalculs[Cluster],$B52,TblCalculs[Mois],AM$33))))</f>
        <v>0</v>
      </c>
      <c r="AN52" s="40">
        <f>IF(OR($A52="",AN$33=""),"",IF(ca_mesure="CPU",SUMIFS(TblCalculs[CPU provisionné],TblCalculs[Cluster],$B52,TblCalculs[Mois],AN$33),IF(ca_mesure="RAM",SUMIFS(TblCalculs[RAM provisionnée],TblCalculs[Cluster],$B52,TblCalculs[Mois],AN$33),SUMIFS(TblCalculs[Workers],TblCalculs[Cluster],$B52,TblCalculs[Mois],AN$33))))</f>
        <v>0</v>
      </c>
      <c r="AO52" s="40">
        <f>IF(OR($A52="",AO$33=""),"",IF(ca_mesure="CPU",SUMIFS(TblCalculs[CPU provisionné],TblCalculs[Cluster],$B52,TblCalculs[Mois],AO$33),IF(ca_mesure="RAM",SUMIFS(TblCalculs[RAM provisionnée],TblCalculs[Cluster],$B52,TblCalculs[Mois],AO$33),SUMIFS(TblCalculs[Workers],TblCalculs[Cluster],$B52,TblCalculs[Mois],AO$33))))</f>
        <v>0</v>
      </c>
    </row>
    <row r="53" spans="1:41" x14ac:dyDescent="0.2">
      <c r="A53" s="37">
        <f>IFERROR(MATCH(20,TblClusters[Rang capacités],0),"")</f>
        <v>20</v>
      </c>
      <c r="B53" s="38" t="str">
        <f>IF($A53="","",INDEX(TblClusters[Cluster],$A53))</f>
        <v>oc-LATAM-NOS-PRD</v>
      </c>
      <c r="C53" s="39" t="str">
        <f>IF($A53="","",INDEX(TblClusters[Plateforme],$A53))</f>
        <v>ROKS</v>
      </c>
      <c r="D53" s="39" t="str">
        <f>IF($A53="","",INDEX(TblClusters[Environnement],$A53))</f>
        <v>PRD</v>
      </c>
      <c r="E53" s="39">
        <f>IF($A53="","",INDEX(TblClusters[Flavor],$A53))</f>
        <v>0</v>
      </c>
      <c r="F53" s="40">
        <f>IF(OR($A53="",F$33=""),"",IF(ca_mesure="CPU",SUMIFS(TblCalculs[CPU provisionné],TblCalculs[Cluster],$B53,TblCalculs[Mois],F$33),IF(ca_mesure="RAM",SUMIFS(TblCalculs[RAM provisionnée],TblCalculs[Cluster],$B53,TblCalculs[Mois],F$33),SUMIFS(TblCalculs[Workers],TblCalculs[Cluster],$B53,TblCalculs[Mois],F$33))))</f>
        <v>0</v>
      </c>
      <c r="G53" s="40">
        <f>IF(OR($A53="",G$33=""),"",IF(ca_mesure="CPU",SUMIFS(TblCalculs[CPU provisionné],TblCalculs[Cluster],$B53,TblCalculs[Mois],G$33),IF(ca_mesure="RAM",SUMIFS(TblCalculs[RAM provisionnée],TblCalculs[Cluster],$B53,TblCalculs[Mois],G$33),SUMIFS(TblCalculs[Workers],TblCalculs[Cluster],$B53,TblCalculs[Mois],G$33))))</f>
        <v>0</v>
      </c>
      <c r="H53" s="40">
        <f>IF(OR($A53="",H$33=""),"",IF(ca_mesure="CPU",SUMIFS(TblCalculs[CPU provisionné],TblCalculs[Cluster],$B53,TblCalculs[Mois],H$33),IF(ca_mesure="RAM",SUMIFS(TblCalculs[RAM provisionnée],TblCalculs[Cluster],$B53,TblCalculs[Mois],H$33),SUMIFS(TblCalculs[Workers],TblCalculs[Cluster],$B53,TblCalculs[Mois],H$33))))</f>
        <v>0</v>
      </c>
      <c r="I53" s="40">
        <f>IF(OR($A53="",I$33=""),"",IF(ca_mesure="CPU",SUMIFS(TblCalculs[CPU provisionné],TblCalculs[Cluster],$B53,TblCalculs[Mois],I$33),IF(ca_mesure="RAM",SUMIFS(TblCalculs[RAM provisionnée],TblCalculs[Cluster],$B53,TblCalculs[Mois],I$33),SUMIFS(TblCalculs[Workers],TblCalculs[Cluster],$B53,TblCalculs[Mois],I$33))))</f>
        <v>0</v>
      </c>
      <c r="J53" s="40">
        <f>IF(OR($A53="",J$33=""),"",IF(ca_mesure="CPU",SUMIFS(TblCalculs[CPU provisionné],TblCalculs[Cluster],$B53,TblCalculs[Mois],J$33),IF(ca_mesure="RAM",SUMIFS(TblCalculs[RAM provisionnée],TblCalculs[Cluster],$B53,TblCalculs[Mois],J$33),SUMIFS(TblCalculs[Workers],TblCalculs[Cluster],$B53,TblCalculs[Mois],J$33))))</f>
        <v>0</v>
      </c>
      <c r="K53" s="40">
        <f>IF(OR($A53="",K$33=""),"",IF(ca_mesure="CPU",SUMIFS(TblCalculs[CPU provisionné],TblCalculs[Cluster],$B53,TblCalculs[Mois],K$33),IF(ca_mesure="RAM",SUMIFS(TblCalculs[RAM provisionnée],TblCalculs[Cluster],$B53,TblCalculs[Mois],K$33),SUMIFS(TblCalculs[Workers],TblCalculs[Cluster],$B53,TblCalculs[Mois],K$33))))</f>
        <v>0</v>
      </c>
      <c r="L53" s="40">
        <f>IF(OR($A53="",L$33=""),"",IF(ca_mesure="CPU",SUMIFS(TblCalculs[CPU provisionné],TblCalculs[Cluster],$B53,TblCalculs[Mois],L$33),IF(ca_mesure="RAM",SUMIFS(TblCalculs[RAM provisionnée],TblCalculs[Cluster],$B53,TblCalculs[Mois],L$33),SUMIFS(TblCalculs[Workers],TblCalculs[Cluster],$B53,TblCalculs[Mois],L$33))))</f>
        <v>0</v>
      </c>
      <c r="M53" s="40">
        <f>IF(OR($A53="",M$33=""),"",IF(ca_mesure="CPU",SUMIFS(TblCalculs[CPU provisionné],TblCalculs[Cluster],$B53,TblCalculs[Mois],M$33),IF(ca_mesure="RAM",SUMIFS(TblCalculs[RAM provisionnée],TblCalculs[Cluster],$B53,TblCalculs[Mois],M$33),SUMIFS(TblCalculs[Workers],TblCalculs[Cluster],$B53,TblCalculs[Mois],M$33))))</f>
        <v>0</v>
      </c>
      <c r="N53" s="40">
        <f>IF(OR($A53="",N$33=""),"",IF(ca_mesure="CPU",SUMIFS(TblCalculs[CPU provisionné],TblCalculs[Cluster],$B53,TblCalculs[Mois],N$33),IF(ca_mesure="RAM",SUMIFS(TblCalculs[RAM provisionnée],TblCalculs[Cluster],$B53,TblCalculs[Mois],N$33),SUMIFS(TblCalculs[Workers],TblCalculs[Cluster],$B53,TblCalculs[Mois],N$33))))</f>
        <v>0</v>
      </c>
      <c r="O53" s="40">
        <f>IF(OR($A53="",O$33=""),"",IF(ca_mesure="CPU",SUMIFS(TblCalculs[CPU provisionné],TblCalculs[Cluster],$B53,TblCalculs[Mois],O$33),IF(ca_mesure="RAM",SUMIFS(TblCalculs[RAM provisionnée],TblCalculs[Cluster],$B53,TblCalculs[Mois],O$33),SUMIFS(TblCalculs[Workers],TblCalculs[Cluster],$B53,TblCalculs[Mois],O$33))))</f>
        <v>0</v>
      </c>
      <c r="P53" s="40">
        <f>IF(OR($A53="",P$33=""),"",IF(ca_mesure="CPU",SUMIFS(TblCalculs[CPU provisionné],TblCalculs[Cluster],$B53,TblCalculs[Mois],P$33),IF(ca_mesure="RAM",SUMIFS(TblCalculs[RAM provisionnée],TblCalculs[Cluster],$B53,TblCalculs[Mois],P$33),SUMIFS(TblCalculs[Workers],TblCalculs[Cluster],$B53,TblCalculs[Mois],P$33))))</f>
        <v>0</v>
      </c>
      <c r="Q53" s="40">
        <f>IF(OR($A53="",Q$33=""),"",IF(ca_mesure="CPU",SUMIFS(TblCalculs[CPU provisionné],TblCalculs[Cluster],$B53,TblCalculs[Mois],Q$33),IF(ca_mesure="RAM",SUMIFS(TblCalculs[RAM provisionnée],TblCalculs[Cluster],$B53,TblCalculs[Mois],Q$33),SUMIFS(TblCalculs[Workers],TblCalculs[Cluster],$B53,TblCalculs[Mois],Q$33))))</f>
        <v>0</v>
      </c>
      <c r="R53" s="40">
        <f>IF(OR($A53="",R$33=""),"",IF(ca_mesure="CPU",SUMIFS(TblCalculs[CPU provisionné],TblCalculs[Cluster],$B53,TblCalculs[Mois],R$33),IF(ca_mesure="RAM",SUMIFS(TblCalculs[RAM provisionnée],TblCalculs[Cluster],$B53,TblCalculs[Mois],R$33),SUMIFS(TblCalculs[Workers],TblCalculs[Cluster],$B53,TblCalculs[Mois],R$33))))</f>
        <v>0</v>
      </c>
      <c r="S53" s="40">
        <f>IF(OR($A53="",S$33=""),"",IF(ca_mesure="CPU",SUMIFS(TblCalculs[CPU provisionné],TblCalculs[Cluster],$B53,TblCalculs[Mois],S$33),IF(ca_mesure="RAM",SUMIFS(TblCalculs[RAM provisionnée],TblCalculs[Cluster],$B53,TblCalculs[Mois],S$33),SUMIFS(TblCalculs[Workers],TblCalculs[Cluster],$B53,TblCalculs[Mois],S$33))))</f>
        <v>0</v>
      </c>
      <c r="T53" s="40">
        <f>IF(OR($A53="",T$33=""),"",IF(ca_mesure="CPU",SUMIFS(TblCalculs[CPU provisionné],TblCalculs[Cluster],$B53,TblCalculs[Mois],T$33),IF(ca_mesure="RAM",SUMIFS(TblCalculs[RAM provisionnée],TblCalculs[Cluster],$B53,TblCalculs[Mois],T$33),SUMIFS(TblCalculs[Workers],TblCalculs[Cluster],$B53,TblCalculs[Mois],T$33))))</f>
        <v>0</v>
      </c>
      <c r="U53" s="40">
        <f>IF(OR($A53="",U$33=""),"",IF(ca_mesure="CPU",SUMIFS(TblCalculs[CPU provisionné],TblCalculs[Cluster],$B53,TblCalculs[Mois],U$33),IF(ca_mesure="RAM",SUMIFS(TblCalculs[RAM provisionnée],TblCalculs[Cluster],$B53,TblCalculs[Mois],U$33),SUMIFS(TblCalculs[Workers],TblCalculs[Cluster],$B53,TblCalculs[Mois],U$33))))</f>
        <v>0</v>
      </c>
      <c r="V53" s="40">
        <f>IF(OR($A53="",V$33=""),"",IF(ca_mesure="CPU",SUMIFS(TblCalculs[CPU provisionné],TblCalculs[Cluster],$B53,TblCalculs[Mois],V$33),IF(ca_mesure="RAM",SUMIFS(TblCalculs[RAM provisionnée],TblCalculs[Cluster],$B53,TblCalculs[Mois],V$33),SUMIFS(TblCalculs[Workers],TblCalculs[Cluster],$B53,TblCalculs[Mois],V$33))))</f>
        <v>0</v>
      </c>
      <c r="W53" s="40">
        <f>IF(OR($A53="",W$33=""),"",IF(ca_mesure="CPU",SUMIFS(TblCalculs[CPU provisionné],TblCalculs[Cluster],$B53,TblCalculs[Mois],W$33),IF(ca_mesure="RAM",SUMIFS(TblCalculs[RAM provisionnée],TblCalculs[Cluster],$B53,TblCalculs[Mois],W$33),SUMIFS(TblCalculs[Workers],TblCalculs[Cluster],$B53,TblCalculs[Mois],W$33))))</f>
        <v>0</v>
      </c>
      <c r="X53" s="40">
        <f>IF(OR($A53="",X$33=""),"",IF(ca_mesure="CPU",SUMIFS(TblCalculs[CPU provisionné],TblCalculs[Cluster],$B53,TblCalculs[Mois],X$33),IF(ca_mesure="RAM",SUMIFS(TblCalculs[RAM provisionnée],TblCalculs[Cluster],$B53,TblCalculs[Mois],X$33),SUMIFS(TblCalculs[Workers],TblCalculs[Cluster],$B53,TblCalculs[Mois],X$33))))</f>
        <v>0</v>
      </c>
      <c r="Y53" s="40">
        <f>IF(OR($A53="",Y$33=""),"",IF(ca_mesure="CPU",SUMIFS(TblCalculs[CPU provisionné],TblCalculs[Cluster],$B53,TblCalculs[Mois],Y$33),IF(ca_mesure="RAM",SUMIFS(TblCalculs[RAM provisionnée],TblCalculs[Cluster],$B53,TblCalculs[Mois],Y$33),SUMIFS(TblCalculs[Workers],TblCalculs[Cluster],$B53,TblCalculs[Mois],Y$33))))</f>
        <v>0</v>
      </c>
      <c r="Z53" s="40">
        <f>IF(OR($A53="",Z$33=""),"",IF(ca_mesure="CPU",SUMIFS(TblCalculs[CPU provisionné],TblCalculs[Cluster],$B53,TblCalculs[Mois],Z$33),IF(ca_mesure="RAM",SUMIFS(TblCalculs[RAM provisionnée],TblCalculs[Cluster],$B53,TblCalculs[Mois],Z$33),SUMIFS(TblCalculs[Workers],TblCalculs[Cluster],$B53,TblCalculs[Mois],Z$33))))</f>
        <v>0</v>
      </c>
      <c r="AA53" s="40">
        <f>IF(OR($A53="",AA$33=""),"",IF(ca_mesure="CPU",SUMIFS(TblCalculs[CPU provisionné],TblCalculs[Cluster],$B53,TblCalculs[Mois],AA$33),IF(ca_mesure="RAM",SUMIFS(TblCalculs[RAM provisionnée],TblCalculs[Cluster],$B53,TblCalculs[Mois],AA$33),SUMIFS(TblCalculs[Workers],TblCalculs[Cluster],$B53,TblCalculs[Mois],AA$33))))</f>
        <v>0</v>
      </c>
      <c r="AB53" s="40">
        <f>IF(OR($A53="",AB$33=""),"",IF(ca_mesure="CPU",SUMIFS(TblCalculs[CPU provisionné],TblCalculs[Cluster],$B53,TblCalculs[Mois],AB$33),IF(ca_mesure="RAM",SUMIFS(TblCalculs[RAM provisionnée],TblCalculs[Cluster],$B53,TblCalculs[Mois],AB$33),SUMIFS(TblCalculs[Workers],TblCalculs[Cluster],$B53,TblCalculs[Mois],AB$33))))</f>
        <v>0</v>
      </c>
      <c r="AC53" s="40">
        <f>IF(OR($A53="",AC$33=""),"",IF(ca_mesure="CPU",SUMIFS(TblCalculs[CPU provisionné],TblCalculs[Cluster],$B53,TblCalculs[Mois],AC$33),IF(ca_mesure="RAM",SUMIFS(TblCalculs[RAM provisionnée],TblCalculs[Cluster],$B53,TblCalculs[Mois],AC$33),SUMIFS(TblCalculs[Workers],TblCalculs[Cluster],$B53,TblCalculs[Mois],AC$33))))</f>
        <v>0</v>
      </c>
      <c r="AD53" s="40">
        <f>IF(OR($A53="",AD$33=""),"",IF(ca_mesure="CPU",SUMIFS(TblCalculs[CPU provisionné],TblCalculs[Cluster],$B53,TblCalculs[Mois],AD$33),IF(ca_mesure="RAM",SUMIFS(TblCalculs[RAM provisionnée],TblCalculs[Cluster],$B53,TblCalculs[Mois],AD$33),SUMIFS(TblCalculs[Workers],TblCalculs[Cluster],$B53,TblCalculs[Mois],AD$33))))</f>
        <v>0</v>
      </c>
      <c r="AE53" s="40">
        <f>IF(OR($A53="",AE$33=""),"",IF(ca_mesure="CPU",SUMIFS(TblCalculs[CPU provisionné],TblCalculs[Cluster],$B53,TblCalculs[Mois],AE$33),IF(ca_mesure="RAM",SUMIFS(TblCalculs[RAM provisionnée],TblCalculs[Cluster],$B53,TblCalculs[Mois],AE$33),SUMIFS(TblCalculs[Workers],TblCalculs[Cluster],$B53,TblCalculs[Mois],AE$33))))</f>
        <v>0</v>
      </c>
      <c r="AF53" s="40">
        <f>IF(OR($A53="",AF$33=""),"",IF(ca_mesure="CPU",SUMIFS(TblCalculs[CPU provisionné],TblCalculs[Cluster],$B53,TblCalculs[Mois],AF$33),IF(ca_mesure="RAM",SUMIFS(TblCalculs[RAM provisionnée],TblCalculs[Cluster],$B53,TblCalculs[Mois],AF$33),SUMIFS(TblCalculs[Workers],TblCalculs[Cluster],$B53,TblCalculs[Mois],AF$33))))</f>
        <v>0</v>
      </c>
      <c r="AG53" s="40">
        <f>IF(OR($A53="",AG$33=""),"",IF(ca_mesure="CPU",SUMIFS(TblCalculs[CPU provisionné],TblCalculs[Cluster],$B53,TblCalculs[Mois],AG$33),IF(ca_mesure="RAM",SUMIFS(TblCalculs[RAM provisionnée],TblCalculs[Cluster],$B53,TblCalculs[Mois],AG$33),SUMIFS(TblCalculs[Workers],TblCalculs[Cluster],$B53,TblCalculs[Mois],AG$33))))</f>
        <v>0</v>
      </c>
      <c r="AH53" s="40">
        <f>IF(OR($A53="",AH$33=""),"",IF(ca_mesure="CPU",SUMIFS(TblCalculs[CPU provisionné],TblCalculs[Cluster],$B53,TblCalculs[Mois],AH$33),IF(ca_mesure="RAM",SUMIFS(TblCalculs[RAM provisionnée],TblCalculs[Cluster],$B53,TblCalculs[Mois],AH$33),SUMIFS(TblCalculs[Workers],TblCalculs[Cluster],$B53,TblCalculs[Mois],AH$33))))</f>
        <v>0</v>
      </c>
      <c r="AI53" s="40">
        <f>IF(OR($A53="",AI$33=""),"",IF(ca_mesure="CPU",SUMIFS(TblCalculs[CPU provisionné],TblCalculs[Cluster],$B53,TblCalculs[Mois],AI$33),IF(ca_mesure="RAM",SUMIFS(TblCalculs[RAM provisionnée],TblCalculs[Cluster],$B53,TblCalculs[Mois],AI$33),SUMIFS(TblCalculs[Workers],TblCalculs[Cluster],$B53,TblCalculs[Mois],AI$33))))</f>
        <v>0</v>
      </c>
      <c r="AJ53" s="40">
        <f>IF(OR($A53="",AJ$33=""),"",IF(ca_mesure="CPU",SUMIFS(TblCalculs[CPU provisionné],TblCalculs[Cluster],$B53,TblCalculs[Mois],AJ$33),IF(ca_mesure="RAM",SUMIFS(TblCalculs[RAM provisionnée],TblCalculs[Cluster],$B53,TblCalculs[Mois],AJ$33),SUMIFS(TblCalculs[Workers],TblCalculs[Cluster],$B53,TblCalculs[Mois],AJ$33))))</f>
        <v>0</v>
      </c>
      <c r="AK53" s="40">
        <f>IF(OR($A53="",AK$33=""),"",IF(ca_mesure="CPU",SUMIFS(TblCalculs[CPU provisionné],TblCalculs[Cluster],$B53,TblCalculs[Mois],AK$33),IF(ca_mesure="RAM",SUMIFS(TblCalculs[RAM provisionnée],TblCalculs[Cluster],$B53,TblCalculs[Mois],AK$33),SUMIFS(TblCalculs[Workers],TblCalculs[Cluster],$B53,TblCalculs[Mois],AK$33))))</f>
        <v>0</v>
      </c>
      <c r="AL53" s="40">
        <f>IF(OR($A53="",AL$33=""),"",IF(ca_mesure="CPU",SUMIFS(TblCalculs[CPU provisionné],TblCalculs[Cluster],$B53,TblCalculs[Mois],AL$33),IF(ca_mesure="RAM",SUMIFS(TblCalculs[RAM provisionnée],TblCalculs[Cluster],$B53,TblCalculs[Mois],AL$33),SUMIFS(TblCalculs[Workers],TblCalculs[Cluster],$B53,TblCalculs[Mois],AL$33))))</f>
        <v>0</v>
      </c>
      <c r="AM53" s="40">
        <f>IF(OR($A53="",AM$33=""),"",IF(ca_mesure="CPU",SUMIFS(TblCalculs[CPU provisionné],TblCalculs[Cluster],$B53,TblCalculs[Mois],AM$33),IF(ca_mesure="RAM",SUMIFS(TblCalculs[RAM provisionnée],TblCalculs[Cluster],$B53,TblCalculs[Mois],AM$33),SUMIFS(TblCalculs[Workers],TblCalculs[Cluster],$B53,TblCalculs[Mois],AM$33))))</f>
        <v>0</v>
      </c>
      <c r="AN53" s="40">
        <f>IF(OR($A53="",AN$33=""),"",IF(ca_mesure="CPU",SUMIFS(TblCalculs[CPU provisionné],TblCalculs[Cluster],$B53,TblCalculs[Mois],AN$33),IF(ca_mesure="RAM",SUMIFS(TblCalculs[RAM provisionnée],TblCalculs[Cluster],$B53,TblCalculs[Mois],AN$33),SUMIFS(TblCalculs[Workers],TblCalculs[Cluster],$B53,TblCalculs[Mois],AN$33))))</f>
        <v>0</v>
      </c>
      <c r="AO53" s="40">
        <f>IF(OR($A53="",AO$33=""),"",IF(ca_mesure="CPU",SUMIFS(TblCalculs[CPU provisionné],TblCalculs[Cluster],$B53,TblCalculs[Mois],AO$33),IF(ca_mesure="RAM",SUMIFS(TblCalculs[RAM provisionnée],TblCalculs[Cluster],$B53,TblCalculs[Mois],AO$33),SUMIFS(TblCalculs[Workers],TblCalculs[Cluster],$B53,TblCalculs[Mois],AO$33))))</f>
        <v>0</v>
      </c>
    </row>
    <row r="54" spans="1:41" x14ac:dyDescent="0.2">
      <c r="A54" s="37">
        <f>IFERROR(MATCH(21,TblClusters[Rang capacités],0),"")</f>
        <v>21</v>
      </c>
      <c r="B54" s="38" t="str">
        <f>IF($A54="","",INDEX(TblClusters[Cluster],$A54))</f>
        <v>oc-ITALY-SEC-PRD</v>
      </c>
      <c r="C54" s="39" t="str">
        <f>IF($A54="","",INDEX(TblClusters[Plateforme],$A54))</f>
        <v>ROKS</v>
      </c>
      <c r="D54" s="39" t="str">
        <f>IF($A54="","",INDEX(TblClusters[Environnement],$A54))</f>
        <v>PRD</v>
      </c>
      <c r="E54" s="39">
        <f>IF($A54="","",INDEX(TblClusters[Flavor],$A54))</f>
        <v>0</v>
      </c>
      <c r="F54" s="40">
        <f>IF(OR($A54="",F$33=""),"",IF(ca_mesure="CPU",SUMIFS(TblCalculs[CPU provisionné],TblCalculs[Cluster],$B54,TblCalculs[Mois],F$33),IF(ca_mesure="RAM",SUMIFS(TblCalculs[RAM provisionnée],TblCalculs[Cluster],$B54,TblCalculs[Mois],F$33),SUMIFS(TblCalculs[Workers],TblCalculs[Cluster],$B54,TblCalculs[Mois],F$33))))</f>
        <v>0</v>
      </c>
      <c r="G54" s="40">
        <f>IF(OR($A54="",G$33=""),"",IF(ca_mesure="CPU",SUMIFS(TblCalculs[CPU provisionné],TblCalculs[Cluster],$B54,TblCalculs[Mois],G$33),IF(ca_mesure="RAM",SUMIFS(TblCalculs[RAM provisionnée],TblCalculs[Cluster],$B54,TblCalculs[Mois],G$33),SUMIFS(TblCalculs[Workers],TblCalculs[Cluster],$B54,TblCalculs[Mois],G$33))))</f>
        <v>0</v>
      </c>
      <c r="H54" s="40">
        <f>IF(OR($A54="",H$33=""),"",IF(ca_mesure="CPU",SUMIFS(TblCalculs[CPU provisionné],TblCalculs[Cluster],$B54,TblCalculs[Mois],H$33),IF(ca_mesure="RAM",SUMIFS(TblCalculs[RAM provisionnée],TblCalculs[Cluster],$B54,TblCalculs[Mois],H$33),SUMIFS(TblCalculs[Workers],TblCalculs[Cluster],$B54,TblCalculs[Mois],H$33))))</f>
        <v>0</v>
      </c>
      <c r="I54" s="40">
        <f>IF(OR($A54="",I$33=""),"",IF(ca_mesure="CPU",SUMIFS(TblCalculs[CPU provisionné],TblCalculs[Cluster],$B54,TblCalculs[Mois],I$33),IF(ca_mesure="RAM",SUMIFS(TblCalculs[RAM provisionnée],TblCalculs[Cluster],$B54,TblCalculs[Mois],I$33),SUMIFS(TblCalculs[Workers],TblCalculs[Cluster],$B54,TblCalculs[Mois],I$33))))</f>
        <v>0</v>
      </c>
      <c r="J54" s="40">
        <f>IF(OR($A54="",J$33=""),"",IF(ca_mesure="CPU",SUMIFS(TblCalculs[CPU provisionné],TblCalculs[Cluster],$B54,TblCalculs[Mois],J$33),IF(ca_mesure="RAM",SUMIFS(TblCalculs[RAM provisionnée],TblCalculs[Cluster],$B54,TblCalculs[Mois],J$33),SUMIFS(TblCalculs[Workers],TblCalculs[Cluster],$B54,TblCalculs[Mois],J$33))))</f>
        <v>0</v>
      </c>
      <c r="K54" s="40">
        <f>IF(OR($A54="",K$33=""),"",IF(ca_mesure="CPU",SUMIFS(TblCalculs[CPU provisionné],TblCalculs[Cluster],$B54,TblCalculs[Mois],K$33),IF(ca_mesure="RAM",SUMIFS(TblCalculs[RAM provisionnée],TblCalculs[Cluster],$B54,TblCalculs[Mois],K$33),SUMIFS(TblCalculs[Workers],TblCalculs[Cluster],$B54,TblCalculs[Mois],K$33))))</f>
        <v>0</v>
      </c>
      <c r="L54" s="40">
        <f>IF(OR($A54="",L$33=""),"",IF(ca_mesure="CPU",SUMIFS(TblCalculs[CPU provisionné],TblCalculs[Cluster],$B54,TblCalculs[Mois],L$33),IF(ca_mesure="RAM",SUMIFS(TblCalculs[RAM provisionnée],TblCalculs[Cluster],$B54,TblCalculs[Mois],L$33),SUMIFS(TblCalculs[Workers],TblCalculs[Cluster],$B54,TblCalculs[Mois],L$33))))</f>
        <v>0</v>
      </c>
      <c r="M54" s="40">
        <f>IF(OR($A54="",M$33=""),"",IF(ca_mesure="CPU",SUMIFS(TblCalculs[CPU provisionné],TblCalculs[Cluster],$B54,TblCalculs[Mois],M$33),IF(ca_mesure="RAM",SUMIFS(TblCalculs[RAM provisionnée],TblCalculs[Cluster],$B54,TblCalculs[Mois],M$33),SUMIFS(TblCalculs[Workers],TblCalculs[Cluster],$B54,TblCalculs[Mois],M$33))))</f>
        <v>0</v>
      </c>
      <c r="N54" s="40">
        <f>IF(OR($A54="",N$33=""),"",IF(ca_mesure="CPU",SUMIFS(TblCalculs[CPU provisionné],TblCalculs[Cluster],$B54,TblCalculs[Mois],N$33),IF(ca_mesure="RAM",SUMIFS(TblCalculs[RAM provisionnée],TblCalculs[Cluster],$B54,TblCalculs[Mois],N$33),SUMIFS(TblCalculs[Workers],TblCalculs[Cluster],$B54,TblCalculs[Mois],N$33))))</f>
        <v>0</v>
      </c>
      <c r="O54" s="40">
        <f>IF(OR($A54="",O$33=""),"",IF(ca_mesure="CPU",SUMIFS(TblCalculs[CPU provisionné],TblCalculs[Cluster],$B54,TblCalculs[Mois],O$33),IF(ca_mesure="RAM",SUMIFS(TblCalculs[RAM provisionnée],TblCalculs[Cluster],$B54,TblCalculs[Mois],O$33),SUMIFS(TblCalculs[Workers],TblCalculs[Cluster],$B54,TblCalculs[Mois],O$33))))</f>
        <v>0</v>
      </c>
      <c r="P54" s="40">
        <f>IF(OR($A54="",P$33=""),"",IF(ca_mesure="CPU",SUMIFS(TblCalculs[CPU provisionné],TblCalculs[Cluster],$B54,TblCalculs[Mois],P$33),IF(ca_mesure="RAM",SUMIFS(TblCalculs[RAM provisionnée],TblCalculs[Cluster],$B54,TblCalculs[Mois],P$33),SUMIFS(TblCalculs[Workers],TblCalculs[Cluster],$B54,TblCalculs[Mois],P$33))))</f>
        <v>0</v>
      </c>
      <c r="Q54" s="40">
        <f>IF(OR($A54="",Q$33=""),"",IF(ca_mesure="CPU",SUMIFS(TblCalculs[CPU provisionné],TblCalculs[Cluster],$B54,TblCalculs[Mois],Q$33),IF(ca_mesure="RAM",SUMIFS(TblCalculs[RAM provisionnée],TblCalculs[Cluster],$B54,TblCalculs[Mois],Q$33),SUMIFS(TblCalculs[Workers],TblCalculs[Cluster],$B54,TblCalculs[Mois],Q$33))))</f>
        <v>0</v>
      </c>
      <c r="R54" s="40">
        <f>IF(OR($A54="",R$33=""),"",IF(ca_mesure="CPU",SUMIFS(TblCalculs[CPU provisionné],TblCalculs[Cluster],$B54,TblCalculs[Mois],R$33),IF(ca_mesure="RAM",SUMIFS(TblCalculs[RAM provisionnée],TblCalculs[Cluster],$B54,TblCalculs[Mois],R$33),SUMIFS(TblCalculs[Workers],TblCalculs[Cluster],$B54,TblCalculs[Mois],R$33))))</f>
        <v>0</v>
      </c>
      <c r="S54" s="40">
        <f>IF(OR($A54="",S$33=""),"",IF(ca_mesure="CPU",SUMIFS(TblCalculs[CPU provisionné],TblCalculs[Cluster],$B54,TblCalculs[Mois],S$33),IF(ca_mesure="RAM",SUMIFS(TblCalculs[RAM provisionnée],TblCalculs[Cluster],$B54,TblCalculs[Mois],S$33),SUMIFS(TblCalculs[Workers],TblCalculs[Cluster],$B54,TblCalculs[Mois],S$33))))</f>
        <v>0</v>
      </c>
      <c r="T54" s="40">
        <f>IF(OR($A54="",T$33=""),"",IF(ca_mesure="CPU",SUMIFS(TblCalculs[CPU provisionné],TblCalculs[Cluster],$B54,TblCalculs[Mois],T$33),IF(ca_mesure="RAM",SUMIFS(TblCalculs[RAM provisionnée],TblCalculs[Cluster],$B54,TblCalculs[Mois],T$33),SUMIFS(TblCalculs[Workers],TblCalculs[Cluster],$B54,TblCalculs[Mois],T$33))))</f>
        <v>0</v>
      </c>
      <c r="U54" s="40">
        <f>IF(OR($A54="",U$33=""),"",IF(ca_mesure="CPU",SUMIFS(TblCalculs[CPU provisionné],TblCalculs[Cluster],$B54,TblCalculs[Mois],U$33),IF(ca_mesure="RAM",SUMIFS(TblCalculs[RAM provisionnée],TblCalculs[Cluster],$B54,TblCalculs[Mois],U$33),SUMIFS(TblCalculs[Workers],TblCalculs[Cluster],$B54,TblCalculs[Mois],U$33))))</f>
        <v>0</v>
      </c>
      <c r="V54" s="40">
        <f>IF(OR($A54="",V$33=""),"",IF(ca_mesure="CPU",SUMIFS(TblCalculs[CPU provisionné],TblCalculs[Cluster],$B54,TblCalculs[Mois],V$33),IF(ca_mesure="RAM",SUMIFS(TblCalculs[RAM provisionnée],TblCalculs[Cluster],$B54,TblCalculs[Mois],V$33),SUMIFS(TblCalculs[Workers],TblCalculs[Cluster],$B54,TblCalculs[Mois],V$33))))</f>
        <v>0</v>
      </c>
      <c r="W54" s="40">
        <f>IF(OR($A54="",W$33=""),"",IF(ca_mesure="CPU",SUMIFS(TblCalculs[CPU provisionné],TblCalculs[Cluster],$B54,TblCalculs[Mois],W$33),IF(ca_mesure="RAM",SUMIFS(TblCalculs[RAM provisionnée],TblCalculs[Cluster],$B54,TblCalculs[Mois],W$33),SUMIFS(TblCalculs[Workers],TblCalculs[Cluster],$B54,TblCalculs[Mois],W$33))))</f>
        <v>0</v>
      </c>
      <c r="X54" s="40">
        <f>IF(OR($A54="",X$33=""),"",IF(ca_mesure="CPU",SUMIFS(TblCalculs[CPU provisionné],TblCalculs[Cluster],$B54,TblCalculs[Mois],X$33),IF(ca_mesure="RAM",SUMIFS(TblCalculs[RAM provisionnée],TblCalculs[Cluster],$B54,TblCalculs[Mois],X$33),SUMIFS(TblCalculs[Workers],TblCalculs[Cluster],$B54,TblCalculs[Mois],X$33))))</f>
        <v>0</v>
      </c>
      <c r="Y54" s="40">
        <f>IF(OR($A54="",Y$33=""),"",IF(ca_mesure="CPU",SUMIFS(TblCalculs[CPU provisionné],TblCalculs[Cluster],$B54,TblCalculs[Mois],Y$33),IF(ca_mesure="RAM",SUMIFS(TblCalculs[RAM provisionnée],TblCalculs[Cluster],$B54,TblCalculs[Mois],Y$33),SUMIFS(TblCalculs[Workers],TblCalculs[Cluster],$B54,TblCalculs[Mois],Y$33))))</f>
        <v>0</v>
      </c>
      <c r="Z54" s="40">
        <f>IF(OR($A54="",Z$33=""),"",IF(ca_mesure="CPU",SUMIFS(TblCalculs[CPU provisionné],TblCalculs[Cluster],$B54,TblCalculs[Mois],Z$33),IF(ca_mesure="RAM",SUMIFS(TblCalculs[RAM provisionnée],TblCalculs[Cluster],$B54,TblCalculs[Mois],Z$33),SUMIFS(TblCalculs[Workers],TblCalculs[Cluster],$B54,TblCalculs[Mois],Z$33))))</f>
        <v>0</v>
      </c>
      <c r="AA54" s="40">
        <f>IF(OR($A54="",AA$33=""),"",IF(ca_mesure="CPU",SUMIFS(TblCalculs[CPU provisionné],TblCalculs[Cluster],$B54,TblCalculs[Mois],AA$33),IF(ca_mesure="RAM",SUMIFS(TblCalculs[RAM provisionnée],TblCalculs[Cluster],$B54,TblCalculs[Mois],AA$33),SUMIFS(TblCalculs[Workers],TblCalculs[Cluster],$B54,TblCalculs[Mois],AA$33))))</f>
        <v>0</v>
      </c>
      <c r="AB54" s="40">
        <f>IF(OR($A54="",AB$33=""),"",IF(ca_mesure="CPU",SUMIFS(TblCalculs[CPU provisionné],TblCalculs[Cluster],$B54,TblCalculs[Mois],AB$33),IF(ca_mesure="RAM",SUMIFS(TblCalculs[RAM provisionnée],TblCalculs[Cluster],$B54,TblCalculs[Mois],AB$33),SUMIFS(TblCalculs[Workers],TblCalculs[Cluster],$B54,TblCalculs[Mois],AB$33))))</f>
        <v>0</v>
      </c>
      <c r="AC54" s="40">
        <f>IF(OR($A54="",AC$33=""),"",IF(ca_mesure="CPU",SUMIFS(TblCalculs[CPU provisionné],TblCalculs[Cluster],$B54,TblCalculs[Mois],AC$33),IF(ca_mesure="RAM",SUMIFS(TblCalculs[RAM provisionnée],TblCalculs[Cluster],$B54,TblCalculs[Mois],AC$33),SUMIFS(TblCalculs[Workers],TblCalculs[Cluster],$B54,TblCalculs[Mois],AC$33))))</f>
        <v>0</v>
      </c>
      <c r="AD54" s="40">
        <f>IF(OR($A54="",AD$33=""),"",IF(ca_mesure="CPU",SUMIFS(TblCalculs[CPU provisionné],TblCalculs[Cluster],$B54,TblCalculs[Mois],AD$33),IF(ca_mesure="RAM",SUMIFS(TblCalculs[RAM provisionnée],TblCalculs[Cluster],$B54,TblCalculs[Mois],AD$33),SUMIFS(TblCalculs[Workers],TblCalculs[Cluster],$B54,TblCalculs[Mois],AD$33))))</f>
        <v>0</v>
      </c>
      <c r="AE54" s="40">
        <f>IF(OR($A54="",AE$33=""),"",IF(ca_mesure="CPU",SUMIFS(TblCalculs[CPU provisionné],TblCalculs[Cluster],$B54,TblCalculs[Mois],AE$33),IF(ca_mesure="RAM",SUMIFS(TblCalculs[RAM provisionnée],TblCalculs[Cluster],$B54,TblCalculs[Mois],AE$33),SUMIFS(TblCalculs[Workers],TblCalculs[Cluster],$B54,TblCalculs[Mois],AE$33))))</f>
        <v>0</v>
      </c>
      <c r="AF54" s="40">
        <f>IF(OR($A54="",AF$33=""),"",IF(ca_mesure="CPU",SUMIFS(TblCalculs[CPU provisionné],TblCalculs[Cluster],$B54,TblCalculs[Mois],AF$33),IF(ca_mesure="RAM",SUMIFS(TblCalculs[RAM provisionnée],TblCalculs[Cluster],$B54,TblCalculs[Mois],AF$33),SUMIFS(TblCalculs[Workers],TblCalculs[Cluster],$B54,TblCalculs[Mois],AF$33))))</f>
        <v>0</v>
      </c>
      <c r="AG54" s="40">
        <f>IF(OR($A54="",AG$33=""),"",IF(ca_mesure="CPU",SUMIFS(TblCalculs[CPU provisionné],TblCalculs[Cluster],$B54,TblCalculs[Mois],AG$33),IF(ca_mesure="RAM",SUMIFS(TblCalculs[RAM provisionnée],TblCalculs[Cluster],$B54,TblCalculs[Mois],AG$33),SUMIFS(TblCalculs[Workers],TblCalculs[Cluster],$B54,TblCalculs[Mois],AG$33))))</f>
        <v>0</v>
      </c>
      <c r="AH54" s="40">
        <f>IF(OR($A54="",AH$33=""),"",IF(ca_mesure="CPU",SUMIFS(TblCalculs[CPU provisionné],TblCalculs[Cluster],$B54,TblCalculs[Mois],AH$33),IF(ca_mesure="RAM",SUMIFS(TblCalculs[RAM provisionnée],TblCalculs[Cluster],$B54,TblCalculs[Mois],AH$33),SUMIFS(TblCalculs[Workers],TblCalculs[Cluster],$B54,TblCalculs[Mois],AH$33))))</f>
        <v>0</v>
      </c>
      <c r="AI54" s="40">
        <f>IF(OR($A54="",AI$33=""),"",IF(ca_mesure="CPU",SUMIFS(TblCalculs[CPU provisionné],TblCalculs[Cluster],$B54,TblCalculs[Mois],AI$33),IF(ca_mesure="RAM",SUMIFS(TblCalculs[RAM provisionnée],TblCalculs[Cluster],$B54,TblCalculs[Mois],AI$33),SUMIFS(TblCalculs[Workers],TblCalculs[Cluster],$B54,TblCalculs[Mois],AI$33))))</f>
        <v>0</v>
      </c>
      <c r="AJ54" s="40">
        <f>IF(OR($A54="",AJ$33=""),"",IF(ca_mesure="CPU",SUMIFS(TblCalculs[CPU provisionné],TblCalculs[Cluster],$B54,TblCalculs[Mois],AJ$33),IF(ca_mesure="RAM",SUMIFS(TblCalculs[RAM provisionnée],TblCalculs[Cluster],$B54,TblCalculs[Mois],AJ$33),SUMIFS(TblCalculs[Workers],TblCalculs[Cluster],$B54,TblCalculs[Mois],AJ$33))))</f>
        <v>0</v>
      </c>
      <c r="AK54" s="40">
        <f>IF(OR($A54="",AK$33=""),"",IF(ca_mesure="CPU",SUMIFS(TblCalculs[CPU provisionné],TblCalculs[Cluster],$B54,TblCalculs[Mois],AK$33),IF(ca_mesure="RAM",SUMIFS(TblCalculs[RAM provisionnée],TblCalculs[Cluster],$B54,TblCalculs[Mois],AK$33),SUMIFS(TblCalculs[Workers],TblCalculs[Cluster],$B54,TblCalculs[Mois],AK$33))))</f>
        <v>0</v>
      </c>
      <c r="AL54" s="40">
        <f>IF(OR($A54="",AL$33=""),"",IF(ca_mesure="CPU",SUMIFS(TblCalculs[CPU provisionné],TblCalculs[Cluster],$B54,TblCalculs[Mois],AL$33),IF(ca_mesure="RAM",SUMIFS(TblCalculs[RAM provisionnée],TblCalculs[Cluster],$B54,TblCalculs[Mois],AL$33),SUMIFS(TblCalculs[Workers],TblCalculs[Cluster],$B54,TblCalculs[Mois],AL$33))))</f>
        <v>0</v>
      </c>
      <c r="AM54" s="40">
        <f>IF(OR($A54="",AM$33=""),"",IF(ca_mesure="CPU",SUMIFS(TblCalculs[CPU provisionné],TblCalculs[Cluster],$B54,TblCalculs[Mois],AM$33),IF(ca_mesure="RAM",SUMIFS(TblCalculs[RAM provisionnée],TblCalculs[Cluster],$B54,TblCalculs[Mois],AM$33),SUMIFS(TblCalculs[Workers],TblCalculs[Cluster],$B54,TblCalculs[Mois],AM$33))))</f>
        <v>0</v>
      </c>
      <c r="AN54" s="40">
        <f>IF(OR($A54="",AN$33=""),"",IF(ca_mesure="CPU",SUMIFS(TblCalculs[CPU provisionné],TblCalculs[Cluster],$B54,TblCalculs[Mois],AN$33),IF(ca_mesure="RAM",SUMIFS(TblCalculs[RAM provisionnée],TblCalculs[Cluster],$B54,TblCalculs[Mois],AN$33),SUMIFS(TblCalculs[Workers],TblCalculs[Cluster],$B54,TblCalculs[Mois],AN$33))))</f>
        <v>0</v>
      </c>
      <c r="AO54" s="40">
        <f>IF(OR($A54="",AO$33=""),"",IF(ca_mesure="CPU",SUMIFS(TblCalculs[CPU provisionné],TblCalculs[Cluster],$B54,TblCalculs[Mois],AO$33),IF(ca_mesure="RAM",SUMIFS(TblCalculs[RAM provisionnée],TblCalculs[Cluster],$B54,TblCalculs[Mois],AO$33),SUMIFS(TblCalculs[Workers],TblCalculs[Cluster],$B54,TblCalculs[Mois],AO$33))))</f>
        <v>0</v>
      </c>
    </row>
    <row r="55" spans="1:41" x14ac:dyDescent="0.2">
      <c r="A55" s="37">
        <f>IFERROR(MATCH(22,TblClusters[Rang capacités],0),"")</f>
        <v>22</v>
      </c>
      <c r="B55" s="38" t="str">
        <f>IF($A55="","",INDEX(TblClusters[Cluster],$A55))</f>
        <v>ku002i000249</v>
      </c>
      <c r="C55" s="39" t="str">
        <f>IF($A55="","",INDEX(TblClusters[Plateforme],$A55))</f>
        <v>IKS</v>
      </c>
      <c r="D55" s="39" t="str">
        <f>IF($A55="","",INDEX(TblClusters[Environnement],$A55))</f>
        <v>PRD</v>
      </c>
      <c r="E55" s="39" t="str">
        <f>IF($A55="","",INDEX(TblClusters[Flavor],$A55))</f>
        <v>bx2-32x128</v>
      </c>
      <c r="F55" s="40">
        <f>IF(OR($A55="",F$33=""),"",IF(ca_mesure="CPU",SUMIFS(TblCalculs[CPU provisionné],TblCalculs[Cluster],$B55,TblCalculs[Mois],F$33),IF(ca_mesure="RAM",SUMIFS(TblCalculs[RAM provisionnée],TblCalculs[Cluster],$B55,TblCalculs[Mois],F$33),SUMIFS(TblCalculs[Workers],TblCalculs[Cluster],$B55,TblCalculs[Mois],F$33))))</f>
        <v>15</v>
      </c>
      <c r="G55" s="40">
        <f>IF(OR($A55="",G$33=""),"",IF(ca_mesure="CPU",SUMIFS(TblCalculs[CPU provisionné],TblCalculs[Cluster],$B55,TblCalculs[Mois],G$33),IF(ca_mesure="RAM",SUMIFS(TblCalculs[RAM provisionnée],TblCalculs[Cluster],$B55,TblCalculs[Mois],G$33),SUMIFS(TblCalculs[Workers],TblCalculs[Cluster],$B55,TblCalculs[Mois],G$33))))</f>
        <v>15</v>
      </c>
      <c r="H55" s="40">
        <f>IF(OR($A55="",H$33=""),"",IF(ca_mesure="CPU",SUMIFS(TblCalculs[CPU provisionné],TblCalculs[Cluster],$B55,TblCalculs[Mois],H$33),IF(ca_mesure="RAM",SUMIFS(TblCalculs[RAM provisionnée],TblCalculs[Cluster],$B55,TblCalculs[Mois],H$33),SUMIFS(TblCalculs[Workers],TblCalculs[Cluster],$B55,TblCalculs[Mois],H$33))))</f>
        <v>15</v>
      </c>
      <c r="I55" s="40">
        <f>IF(OR($A55="",I$33=""),"",IF(ca_mesure="CPU",SUMIFS(TblCalculs[CPU provisionné],TblCalculs[Cluster],$B55,TblCalculs[Mois],I$33),IF(ca_mesure="RAM",SUMIFS(TblCalculs[RAM provisionnée],TblCalculs[Cluster],$B55,TblCalculs[Mois],I$33),SUMIFS(TblCalculs[Workers],TblCalculs[Cluster],$B55,TblCalculs[Mois],I$33))))</f>
        <v>15</v>
      </c>
      <c r="J55" s="40">
        <f>IF(OR($A55="",J$33=""),"",IF(ca_mesure="CPU",SUMIFS(TblCalculs[CPU provisionné],TblCalculs[Cluster],$B55,TblCalculs[Mois],J$33),IF(ca_mesure="RAM",SUMIFS(TblCalculs[RAM provisionnée],TblCalculs[Cluster],$B55,TblCalculs[Mois],J$33),SUMIFS(TblCalculs[Workers],TblCalculs[Cluster],$B55,TblCalculs[Mois],J$33))))</f>
        <v>15</v>
      </c>
      <c r="K55" s="40">
        <f>IF(OR($A55="",K$33=""),"",IF(ca_mesure="CPU",SUMIFS(TblCalculs[CPU provisionné],TblCalculs[Cluster],$B55,TblCalculs[Mois],K$33),IF(ca_mesure="RAM",SUMIFS(TblCalculs[RAM provisionnée],TblCalculs[Cluster],$B55,TblCalculs[Mois],K$33),SUMIFS(TblCalculs[Workers],TblCalculs[Cluster],$B55,TblCalculs[Mois],K$33))))</f>
        <v>15</v>
      </c>
      <c r="L55" s="40">
        <f>IF(OR($A55="",L$33=""),"",IF(ca_mesure="CPU",SUMIFS(TblCalculs[CPU provisionné],TblCalculs[Cluster],$B55,TblCalculs[Mois],L$33),IF(ca_mesure="RAM",SUMIFS(TblCalculs[RAM provisionnée],TblCalculs[Cluster],$B55,TblCalculs[Mois],L$33),SUMIFS(TblCalculs[Workers],TblCalculs[Cluster],$B55,TblCalculs[Mois],L$33))))</f>
        <v>15</v>
      </c>
      <c r="M55" s="40">
        <f>IF(OR($A55="",M$33=""),"",IF(ca_mesure="CPU",SUMIFS(TblCalculs[CPU provisionné],TblCalculs[Cluster],$B55,TblCalculs[Mois],M$33),IF(ca_mesure="RAM",SUMIFS(TblCalculs[RAM provisionnée],TblCalculs[Cluster],$B55,TblCalculs[Mois],M$33),SUMIFS(TblCalculs[Workers],TblCalculs[Cluster],$B55,TblCalculs[Mois],M$33))))</f>
        <v>15</v>
      </c>
      <c r="N55" s="40">
        <f>IF(OR($A55="",N$33=""),"",IF(ca_mesure="CPU",SUMIFS(TblCalculs[CPU provisionné],TblCalculs[Cluster],$B55,TblCalculs[Mois],N$33),IF(ca_mesure="RAM",SUMIFS(TblCalculs[RAM provisionnée],TblCalculs[Cluster],$B55,TblCalculs[Mois],N$33),SUMIFS(TblCalculs[Workers],TblCalculs[Cluster],$B55,TblCalculs[Mois],N$33))))</f>
        <v>10</v>
      </c>
      <c r="O55" s="40">
        <f>IF(OR($A55="",O$33=""),"",IF(ca_mesure="CPU",SUMIFS(TblCalculs[CPU provisionné],TblCalculs[Cluster],$B55,TblCalculs[Mois],O$33),IF(ca_mesure="RAM",SUMIFS(TblCalculs[RAM provisionnée],TblCalculs[Cluster],$B55,TblCalculs[Mois],O$33),SUMIFS(TblCalculs[Workers],TblCalculs[Cluster],$B55,TblCalculs[Mois],O$33))))</f>
        <v>7</v>
      </c>
      <c r="P55" s="40">
        <f>IF(OR($A55="",P$33=""),"",IF(ca_mesure="CPU",SUMIFS(TblCalculs[CPU provisionné],TblCalculs[Cluster],$B55,TblCalculs[Mois],P$33),IF(ca_mesure="RAM",SUMIFS(TblCalculs[RAM provisionnée],TblCalculs[Cluster],$B55,TblCalculs[Mois],P$33),SUMIFS(TblCalculs[Workers],TblCalculs[Cluster],$B55,TblCalculs[Mois],P$33))))</f>
        <v>7</v>
      </c>
      <c r="Q55" s="40">
        <f>IF(OR($A55="",Q$33=""),"",IF(ca_mesure="CPU",SUMIFS(TblCalculs[CPU provisionné],TblCalculs[Cluster],$B55,TblCalculs[Mois],Q$33),IF(ca_mesure="RAM",SUMIFS(TblCalculs[RAM provisionnée],TblCalculs[Cluster],$B55,TblCalculs[Mois],Q$33),SUMIFS(TblCalculs[Workers],TblCalculs[Cluster],$B55,TblCalculs[Mois],Q$33))))</f>
        <v>7</v>
      </c>
      <c r="R55" s="40">
        <f>IF(OR($A55="",R$33=""),"",IF(ca_mesure="CPU",SUMIFS(TblCalculs[CPU provisionné],TblCalculs[Cluster],$B55,TblCalculs[Mois],R$33),IF(ca_mesure="RAM",SUMIFS(TblCalculs[RAM provisionnée],TblCalculs[Cluster],$B55,TblCalculs[Mois],R$33),SUMIFS(TblCalculs[Workers],TblCalculs[Cluster],$B55,TblCalculs[Mois],R$33))))</f>
        <v>7</v>
      </c>
      <c r="S55" s="40">
        <f>IF(OR($A55="",S$33=""),"",IF(ca_mesure="CPU",SUMIFS(TblCalculs[CPU provisionné],TblCalculs[Cluster],$B55,TblCalculs[Mois],S$33),IF(ca_mesure="RAM",SUMIFS(TblCalculs[RAM provisionnée],TblCalculs[Cluster],$B55,TblCalculs[Mois],S$33),SUMIFS(TblCalculs[Workers],TblCalculs[Cluster],$B55,TblCalculs[Mois],S$33))))</f>
        <v>7</v>
      </c>
      <c r="T55" s="40">
        <f>IF(OR($A55="",T$33=""),"",IF(ca_mesure="CPU",SUMIFS(TblCalculs[CPU provisionné],TblCalculs[Cluster],$B55,TblCalculs[Mois],T$33),IF(ca_mesure="RAM",SUMIFS(TblCalculs[RAM provisionnée],TblCalculs[Cluster],$B55,TblCalculs[Mois],T$33),SUMIFS(TblCalculs[Workers],TblCalculs[Cluster],$B55,TblCalculs[Mois],T$33))))</f>
        <v>7</v>
      </c>
      <c r="U55" s="40">
        <f>IF(OR($A55="",U$33=""),"",IF(ca_mesure="CPU",SUMIFS(TblCalculs[CPU provisionné],TblCalculs[Cluster],$B55,TblCalculs[Mois],U$33),IF(ca_mesure="RAM",SUMIFS(TblCalculs[RAM provisionnée],TblCalculs[Cluster],$B55,TblCalculs[Mois],U$33),SUMIFS(TblCalculs[Workers],TblCalculs[Cluster],$B55,TblCalculs[Mois],U$33))))</f>
        <v>7</v>
      </c>
      <c r="V55" s="40">
        <f>IF(OR($A55="",V$33=""),"",IF(ca_mesure="CPU",SUMIFS(TblCalculs[CPU provisionné],TblCalculs[Cluster],$B55,TblCalculs[Mois],V$33),IF(ca_mesure="RAM",SUMIFS(TblCalculs[RAM provisionnée],TblCalculs[Cluster],$B55,TblCalculs[Mois],V$33),SUMIFS(TblCalculs[Workers],TblCalculs[Cluster],$B55,TblCalculs[Mois],V$33))))</f>
        <v>7</v>
      </c>
      <c r="W55" s="40">
        <f>IF(OR($A55="",W$33=""),"",IF(ca_mesure="CPU",SUMIFS(TblCalculs[CPU provisionné],TblCalculs[Cluster],$B55,TblCalculs[Mois],W$33),IF(ca_mesure="RAM",SUMIFS(TblCalculs[RAM provisionnée],TblCalculs[Cluster],$B55,TblCalculs[Mois],W$33),SUMIFS(TblCalculs[Workers],TblCalculs[Cluster],$B55,TblCalculs[Mois],W$33))))</f>
        <v>4</v>
      </c>
      <c r="X55" s="40">
        <f>IF(OR($A55="",X$33=""),"",IF(ca_mesure="CPU",SUMIFS(TblCalculs[CPU provisionné],TblCalculs[Cluster],$B55,TblCalculs[Mois],X$33),IF(ca_mesure="RAM",SUMIFS(TblCalculs[RAM provisionnée],TblCalculs[Cluster],$B55,TblCalculs[Mois],X$33),SUMIFS(TblCalculs[Workers],TblCalculs[Cluster],$B55,TblCalculs[Mois],X$33))))</f>
        <v>4</v>
      </c>
      <c r="Y55" s="40">
        <f>IF(OR($A55="",Y$33=""),"",IF(ca_mesure="CPU",SUMIFS(TblCalculs[CPU provisionné],TblCalculs[Cluster],$B55,TblCalculs[Mois],Y$33),IF(ca_mesure="RAM",SUMIFS(TblCalculs[RAM provisionnée],TblCalculs[Cluster],$B55,TblCalculs[Mois],Y$33),SUMIFS(TblCalculs[Workers],TblCalculs[Cluster],$B55,TblCalculs[Mois],Y$33))))</f>
        <v>4</v>
      </c>
      <c r="Z55" s="40">
        <f>IF(OR($A55="",Z$33=""),"",IF(ca_mesure="CPU",SUMIFS(TblCalculs[CPU provisionné],TblCalculs[Cluster],$B55,TblCalculs[Mois],Z$33),IF(ca_mesure="RAM",SUMIFS(TblCalculs[RAM provisionnée],TblCalculs[Cluster],$B55,TblCalculs[Mois],Z$33),SUMIFS(TblCalculs[Workers],TblCalculs[Cluster],$B55,TblCalculs[Mois],Z$33))))</f>
        <v>4</v>
      </c>
      <c r="AA55" s="40">
        <f>IF(OR($A55="",AA$33=""),"",IF(ca_mesure="CPU",SUMIFS(TblCalculs[CPU provisionné],TblCalculs[Cluster],$B55,TblCalculs[Mois],AA$33),IF(ca_mesure="RAM",SUMIFS(TblCalculs[RAM provisionnée],TblCalculs[Cluster],$B55,TblCalculs[Mois],AA$33),SUMIFS(TblCalculs[Workers],TblCalculs[Cluster],$B55,TblCalculs[Mois],AA$33))))</f>
        <v>4</v>
      </c>
      <c r="AB55" s="40">
        <f>IF(OR($A55="",AB$33=""),"",IF(ca_mesure="CPU",SUMIFS(TblCalculs[CPU provisionné],TblCalculs[Cluster],$B55,TblCalculs[Mois],AB$33),IF(ca_mesure="RAM",SUMIFS(TblCalculs[RAM provisionnée],TblCalculs[Cluster],$B55,TblCalculs[Mois],AB$33),SUMIFS(TblCalculs[Workers],TblCalculs[Cluster],$B55,TblCalculs[Mois],AB$33))))</f>
        <v>4</v>
      </c>
      <c r="AC55" s="40">
        <f>IF(OR($A55="",AC$33=""),"",IF(ca_mesure="CPU",SUMIFS(TblCalculs[CPU provisionné],TblCalculs[Cluster],$B55,TblCalculs[Mois],AC$33),IF(ca_mesure="RAM",SUMIFS(TblCalculs[RAM provisionnée],TblCalculs[Cluster],$B55,TblCalculs[Mois],AC$33),SUMIFS(TblCalculs[Workers],TblCalculs[Cluster],$B55,TblCalculs[Mois],AC$33))))</f>
        <v>4</v>
      </c>
      <c r="AD55" s="40">
        <f>IF(OR($A55="",AD$33=""),"",IF(ca_mesure="CPU",SUMIFS(TblCalculs[CPU provisionné],TblCalculs[Cluster],$B55,TblCalculs[Mois],AD$33),IF(ca_mesure="RAM",SUMIFS(TblCalculs[RAM provisionnée],TblCalculs[Cluster],$B55,TblCalculs[Mois],AD$33),SUMIFS(TblCalculs[Workers],TblCalculs[Cluster],$B55,TblCalculs[Mois],AD$33))))</f>
        <v>4</v>
      </c>
      <c r="AE55" s="40">
        <f>IF(OR($A55="",AE$33=""),"",IF(ca_mesure="CPU",SUMIFS(TblCalculs[CPU provisionné],TblCalculs[Cluster],$B55,TblCalculs[Mois],AE$33),IF(ca_mesure="RAM",SUMIFS(TblCalculs[RAM provisionnée],TblCalculs[Cluster],$B55,TblCalculs[Mois],AE$33),SUMIFS(TblCalculs[Workers],TblCalculs[Cluster],$B55,TblCalculs[Mois],AE$33))))</f>
        <v>4</v>
      </c>
      <c r="AF55" s="40">
        <f>IF(OR($A55="",AF$33=""),"",IF(ca_mesure="CPU",SUMIFS(TblCalculs[CPU provisionné],TblCalculs[Cluster],$B55,TblCalculs[Mois],AF$33),IF(ca_mesure="RAM",SUMIFS(TblCalculs[RAM provisionnée],TblCalculs[Cluster],$B55,TblCalculs[Mois],AF$33),SUMIFS(TblCalculs[Workers],TblCalculs[Cluster],$B55,TblCalculs[Mois],AF$33))))</f>
        <v>0</v>
      </c>
      <c r="AG55" s="40">
        <f>IF(OR($A55="",AG$33=""),"",IF(ca_mesure="CPU",SUMIFS(TblCalculs[CPU provisionné],TblCalculs[Cluster],$B55,TblCalculs[Mois],AG$33),IF(ca_mesure="RAM",SUMIFS(TblCalculs[RAM provisionnée],TblCalculs[Cluster],$B55,TblCalculs[Mois],AG$33),SUMIFS(TblCalculs[Workers],TblCalculs[Cluster],$B55,TblCalculs[Mois],AG$33))))</f>
        <v>0</v>
      </c>
      <c r="AH55" s="40">
        <f>IF(OR($A55="",AH$33=""),"",IF(ca_mesure="CPU",SUMIFS(TblCalculs[CPU provisionné],TblCalculs[Cluster],$B55,TblCalculs[Mois],AH$33),IF(ca_mesure="RAM",SUMIFS(TblCalculs[RAM provisionnée],TblCalculs[Cluster],$B55,TblCalculs[Mois],AH$33),SUMIFS(TblCalculs[Workers],TblCalculs[Cluster],$B55,TblCalculs[Mois],AH$33))))</f>
        <v>0</v>
      </c>
      <c r="AI55" s="40">
        <f>IF(OR($A55="",AI$33=""),"",IF(ca_mesure="CPU",SUMIFS(TblCalculs[CPU provisionné],TblCalculs[Cluster],$B55,TblCalculs[Mois],AI$33),IF(ca_mesure="RAM",SUMIFS(TblCalculs[RAM provisionnée],TblCalculs[Cluster],$B55,TblCalculs[Mois],AI$33),SUMIFS(TblCalculs[Workers],TblCalculs[Cluster],$B55,TblCalculs[Mois],AI$33))))</f>
        <v>0</v>
      </c>
      <c r="AJ55" s="40">
        <f>IF(OR($A55="",AJ$33=""),"",IF(ca_mesure="CPU",SUMIFS(TblCalculs[CPU provisionné],TblCalculs[Cluster],$B55,TblCalculs[Mois],AJ$33),IF(ca_mesure="RAM",SUMIFS(TblCalculs[RAM provisionnée],TblCalculs[Cluster],$B55,TblCalculs[Mois],AJ$33),SUMIFS(TblCalculs[Workers],TblCalculs[Cluster],$B55,TblCalculs[Mois],AJ$33))))</f>
        <v>0</v>
      </c>
      <c r="AK55" s="40">
        <f>IF(OR($A55="",AK$33=""),"",IF(ca_mesure="CPU",SUMIFS(TblCalculs[CPU provisionné],TblCalculs[Cluster],$B55,TblCalculs[Mois],AK$33),IF(ca_mesure="RAM",SUMIFS(TblCalculs[RAM provisionnée],TblCalculs[Cluster],$B55,TblCalculs[Mois],AK$33),SUMIFS(TblCalculs[Workers],TblCalculs[Cluster],$B55,TblCalculs[Mois],AK$33))))</f>
        <v>0</v>
      </c>
      <c r="AL55" s="40">
        <f>IF(OR($A55="",AL$33=""),"",IF(ca_mesure="CPU",SUMIFS(TblCalculs[CPU provisionné],TblCalculs[Cluster],$B55,TblCalculs[Mois],AL$33),IF(ca_mesure="RAM",SUMIFS(TblCalculs[RAM provisionnée],TblCalculs[Cluster],$B55,TblCalculs[Mois],AL$33),SUMIFS(TblCalculs[Workers],TblCalculs[Cluster],$B55,TblCalculs[Mois],AL$33))))</f>
        <v>0</v>
      </c>
      <c r="AM55" s="40">
        <f>IF(OR($A55="",AM$33=""),"",IF(ca_mesure="CPU",SUMIFS(TblCalculs[CPU provisionné],TblCalculs[Cluster],$B55,TblCalculs[Mois],AM$33),IF(ca_mesure="RAM",SUMIFS(TblCalculs[RAM provisionnée],TblCalculs[Cluster],$B55,TblCalculs[Mois],AM$33),SUMIFS(TblCalculs[Workers],TblCalculs[Cluster],$B55,TblCalculs[Mois],AM$33))))</f>
        <v>0</v>
      </c>
      <c r="AN55" s="40">
        <f>IF(OR($A55="",AN$33=""),"",IF(ca_mesure="CPU",SUMIFS(TblCalculs[CPU provisionné],TblCalculs[Cluster],$B55,TblCalculs[Mois],AN$33),IF(ca_mesure="RAM",SUMIFS(TblCalculs[RAM provisionnée],TblCalculs[Cluster],$B55,TblCalculs[Mois],AN$33),SUMIFS(TblCalculs[Workers],TblCalculs[Cluster],$B55,TblCalculs[Mois],AN$33))))</f>
        <v>0</v>
      </c>
      <c r="AO55" s="40">
        <f>IF(OR($A55="",AO$33=""),"",IF(ca_mesure="CPU",SUMIFS(TblCalculs[CPU provisionné],TblCalculs[Cluster],$B55,TblCalculs[Mois],AO$33),IF(ca_mesure="RAM",SUMIFS(TblCalculs[RAM provisionnée],TblCalculs[Cluster],$B55,TblCalculs[Mois],AO$33),SUMIFS(TblCalculs[Workers],TblCalculs[Cluster],$B55,TblCalculs[Mois],AO$33))))</f>
        <v>0</v>
      </c>
    </row>
    <row r="56" spans="1:41" x14ac:dyDescent="0.2">
      <c r="A56" s="37">
        <f>IFERROR(MATCH(23,TblClusters[Rang capacités],0),"")</f>
        <v>23</v>
      </c>
      <c r="B56" s="38" t="str">
        <f>IF($A56="","",INDEX(TblClusters[Cluster],$A56))</f>
        <v>ku002i000246</v>
      </c>
      <c r="C56" s="39" t="str">
        <f>IF($A56="","",INDEX(TblClusters[Plateforme],$A56))</f>
        <v>IKS</v>
      </c>
      <c r="D56" s="39" t="str">
        <f>IF($A56="","",INDEX(TblClusters[Environnement],$A56))</f>
        <v>NPRD</v>
      </c>
      <c r="E56" s="39" t="str">
        <f>IF($A56="","",INDEX(TblClusters[Flavor],$A56))</f>
        <v>bx2-32x128</v>
      </c>
      <c r="F56" s="40">
        <f>IF(OR($A56="",F$33=""),"",IF(ca_mesure="CPU",SUMIFS(TblCalculs[CPU provisionné],TblCalculs[Cluster],$B56,TblCalculs[Mois],F$33),IF(ca_mesure="RAM",SUMIFS(TblCalculs[RAM provisionnée],TblCalculs[Cluster],$B56,TblCalculs[Mois],F$33),SUMIFS(TblCalculs[Workers],TblCalculs[Cluster],$B56,TblCalculs[Mois],F$33))))</f>
        <v>15</v>
      </c>
      <c r="G56" s="40">
        <f>IF(OR($A56="",G$33=""),"",IF(ca_mesure="CPU",SUMIFS(TblCalculs[CPU provisionné],TblCalculs[Cluster],$B56,TblCalculs[Mois],G$33),IF(ca_mesure="RAM",SUMIFS(TblCalculs[RAM provisionnée],TblCalculs[Cluster],$B56,TblCalculs[Mois],G$33),SUMIFS(TblCalculs[Workers],TblCalculs[Cluster],$B56,TblCalculs[Mois],G$33))))</f>
        <v>15</v>
      </c>
      <c r="H56" s="40">
        <f>IF(OR($A56="",H$33=""),"",IF(ca_mesure="CPU",SUMIFS(TblCalculs[CPU provisionné],TblCalculs[Cluster],$B56,TblCalculs[Mois],H$33),IF(ca_mesure="RAM",SUMIFS(TblCalculs[RAM provisionnée],TblCalculs[Cluster],$B56,TblCalculs[Mois],H$33),SUMIFS(TblCalculs[Workers],TblCalculs[Cluster],$B56,TblCalculs[Mois],H$33))))</f>
        <v>15</v>
      </c>
      <c r="I56" s="40">
        <f>IF(OR($A56="",I$33=""),"",IF(ca_mesure="CPU",SUMIFS(TblCalculs[CPU provisionné],TblCalculs[Cluster],$B56,TblCalculs[Mois],I$33),IF(ca_mesure="RAM",SUMIFS(TblCalculs[RAM provisionnée],TblCalculs[Cluster],$B56,TblCalculs[Mois],I$33),SUMIFS(TblCalculs[Workers],TblCalculs[Cluster],$B56,TblCalculs[Mois],I$33))))</f>
        <v>15</v>
      </c>
      <c r="J56" s="40">
        <f>IF(OR($A56="",J$33=""),"",IF(ca_mesure="CPU",SUMIFS(TblCalculs[CPU provisionné],TblCalculs[Cluster],$B56,TblCalculs[Mois],J$33),IF(ca_mesure="RAM",SUMIFS(TblCalculs[RAM provisionnée],TblCalculs[Cluster],$B56,TblCalculs[Mois],J$33),SUMIFS(TblCalculs[Workers],TblCalculs[Cluster],$B56,TblCalculs[Mois],J$33))))</f>
        <v>15</v>
      </c>
      <c r="K56" s="40">
        <f>IF(OR($A56="",K$33=""),"",IF(ca_mesure="CPU",SUMIFS(TblCalculs[CPU provisionné],TblCalculs[Cluster],$B56,TblCalculs[Mois],K$33),IF(ca_mesure="RAM",SUMIFS(TblCalculs[RAM provisionnée],TblCalculs[Cluster],$B56,TblCalculs[Mois],K$33),SUMIFS(TblCalculs[Workers],TblCalculs[Cluster],$B56,TblCalculs[Mois],K$33))))</f>
        <v>15</v>
      </c>
      <c r="L56" s="40">
        <f>IF(OR($A56="",L$33=""),"",IF(ca_mesure="CPU",SUMIFS(TblCalculs[CPU provisionné],TblCalculs[Cluster],$B56,TblCalculs[Mois],L$33),IF(ca_mesure="RAM",SUMIFS(TblCalculs[RAM provisionnée],TblCalculs[Cluster],$B56,TblCalculs[Mois],L$33),SUMIFS(TblCalculs[Workers],TblCalculs[Cluster],$B56,TblCalculs[Mois],L$33))))</f>
        <v>15</v>
      </c>
      <c r="M56" s="40">
        <f>IF(OR($A56="",M$33=""),"",IF(ca_mesure="CPU",SUMIFS(TblCalculs[CPU provisionné],TblCalculs[Cluster],$B56,TblCalculs[Mois],M$33),IF(ca_mesure="RAM",SUMIFS(TblCalculs[RAM provisionnée],TblCalculs[Cluster],$B56,TblCalculs[Mois],M$33),SUMIFS(TblCalculs[Workers],TblCalculs[Cluster],$B56,TblCalculs[Mois],M$33))))</f>
        <v>15</v>
      </c>
      <c r="N56" s="40">
        <f>IF(OR($A56="",N$33=""),"",IF(ca_mesure="CPU",SUMIFS(TblCalculs[CPU provisionné],TblCalculs[Cluster],$B56,TblCalculs[Mois],N$33),IF(ca_mesure="RAM",SUMIFS(TblCalculs[RAM provisionnée],TblCalculs[Cluster],$B56,TblCalculs[Mois],N$33),SUMIFS(TblCalculs[Workers],TblCalculs[Cluster],$B56,TblCalculs[Mois],N$33))))</f>
        <v>15</v>
      </c>
      <c r="O56" s="40">
        <f>IF(OR($A56="",O$33=""),"",IF(ca_mesure="CPU",SUMIFS(TblCalculs[CPU provisionné],TblCalculs[Cluster],$B56,TblCalculs[Mois],O$33),IF(ca_mesure="RAM",SUMIFS(TblCalculs[RAM provisionnée],TblCalculs[Cluster],$B56,TblCalculs[Mois],O$33),SUMIFS(TblCalculs[Workers],TblCalculs[Cluster],$B56,TblCalculs[Mois],O$33))))</f>
        <v>15</v>
      </c>
      <c r="P56" s="40">
        <f>IF(OR($A56="",P$33=""),"",IF(ca_mesure="CPU",SUMIFS(TblCalculs[CPU provisionné],TblCalculs[Cluster],$B56,TblCalculs[Mois],P$33),IF(ca_mesure="RAM",SUMIFS(TblCalculs[RAM provisionnée],TblCalculs[Cluster],$B56,TblCalculs[Mois],P$33),SUMIFS(TblCalculs[Workers],TblCalculs[Cluster],$B56,TblCalculs[Mois],P$33))))</f>
        <v>15</v>
      </c>
      <c r="Q56" s="40">
        <f>IF(OR($A56="",Q$33=""),"",IF(ca_mesure="CPU",SUMIFS(TblCalculs[CPU provisionné],TblCalculs[Cluster],$B56,TblCalculs[Mois],Q$33),IF(ca_mesure="RAM",SUMIFS(TblCalculs[RAM provisionnée],TblCalculs[Cluster],$B56,TblCalculs[Mois],Q$33),SUMIFS(TblCalculs[Workers],TblCalculs[Cluster],$B56,TblCalculs[Mois],Q$33))))</f>
        <v>15</v>
      </c>
      <c r="R56" s="40">
        <f>IF(OR($A56="",R$33=""),"",IF(ca_mesure="CPU",SUMIFS(TblCalculs[CPU provisionné],TblCalculs[Cluster],$B56,TblCalculs[Mois],R$33),IF(ca_mesure="RAM",SUMIFS(TblCalculs[RAM provisionnée],TblCalculs[Cluster],$B56,TblCalculs[Mois],R$33),SUMIFS(TblCalculs[Workers],TblCalculs[Cluster],$B56,TblCalculs[Mois],R$33))))</f>
        <v>15</v>
      </c>
      <c r="S56" s="40">
        <f>IF(OR($A56="",S$33=""),"",IF(ca_mesure="CPU",SUMIFS(TblCalculs[CPU provisionné],TblCalculs[Cluster],$B56,TblCalculs[Mois],S$33),IF(ca_mesure="RAM",SUMIFS(TblCalculs[RAM provisionnée],TblCalculs[Cluster],$B56,TblCalculs[Mois],S$33),SUMIFS(TblCalculs[Workers],TblCalculs[Cluster],$B56,TblCalculs[Mois],S$33))))</f>
        <v>15</v>
      </c>
      <c r="T56" s="40">
        <f>IF(OR($A56="",T$33=""),"",IF(ca_mesure="CPU",SUMIFS(TblCalculs[CPU provisionné],TblCalculs[Cluster],$B56,TblCalculs[Mois],T$33),IF(ca_mesure="RAM",SUMIFS(TblCalculs[RAM provisionnée],TblCalculs[Cluster],$B56,TblCalculs[Mois],T$33),SUMIFS(TblCalculs[Workers],TblCalculs[Cluster],$B56,TblCalculs[Mois],T$33))))</f>
        <v>15</v>
      </c>
      <c r="U56" s="40">
        <f>IF(OR($A56="",U$33=""),"",IF(ca_mesure="CPU",SUMIFS(TblCalculs[CPU provisionné],TblCalculs[Cluster],$B56,TblCalculs[Mois],U$33),IF(ca_mesure="RAM",SUMIFS(TblCalculs[RAM provisionnée],TblCalculs[Cluster],$B56,TblCalculs[Mois],U$33),SUMIFS(TblCalculs[Workers],TblCalculs[Cluster],$B56,TblCalculs[Mois],U$33))))</f>
        <v>15</v>
      </c>
      <c r="V56" s="40">
        <f>IF(OR($A56="",V$33=""),"",IF(ca_mesure="CPU",SUMIFS(TblCalculs[CPU provisionné],TblCalculs[Cluster],$B56,TblCalculs[Mois],V$33),IF(ca_mesure="RAM",SUMIFS(TblCalculs[RAM provisionnée],TblCalculs[Cluster],$B56,TblCalculs[Mois],V$33),SUMIFS(TblCalculs[Workers],TblCalculs[Cluster],$B56,TblCalculs[Mois],V$33))))</f>
        <v>15</v>
      </c>
      <c r="W56" s="40">
        <f>IF(OR($A56="",W$33=""),"",IF(ca_mesure="CPU",SUMIFS(TblCalculs[CPU provisionné],TblCalculs[Cluster],$B56,TblCalculs[Mois],W$33),IF(ca_mesure="RAM",SUMIFS(TblCalculs[RAM provisionnée],TblCalculs[Cluster],$B56,TblCalculs[Mois],W$33),SUMIFS(TblCalculs[Workers],TblCalculs[Cluster],$B56,TblCalculs[Mois],W$33))))</f>
        <v>15</v>
      </c>
      <c r="X56" s="40">
        <f>IF(OR($A56="",X$33=""),"",IF(ca_mesure="CPU",SUMIFS(TblCalculs[CPU provisionné],TblCalculs[Cluster],$B56,TblCalculs[Mois],X$33),IF(ca_mesure="RAM",SUMIFS(TblCalculs[RAM provisionnée],TblCalculs[Cluster],$B56,TblCalculs[Mois],X$33),SUMIFS(TblCalculs[Workers],TblCalculs[Cluster],$B56,TblCalculs[Mois],X$33))))</f>
        <v>15</v>
      </c>
      <c r="Y56" s="40">
        <f>IF(OR($A56="",Y$33=""),"",IF(ca_mesure="CPU",SUMIFS(TblCalculs[CPU provisionné],TblCalculs[Cluster],$B56,TblCalculs[Mois],Y$33),IF(ca_mesure="RAM",SUMIFS(TblCalculs[RAM provisionnée],TblCalculs[Cluster],$B56,TblCalculs[Mois],Y$33),SUMIFS(TblCalculs[Workers],TblCalculs[Cluster],$B56,TblCalculs[Mois],Y$33))))</f>
        <v>15</v>
      </c>
      <c r="Z56" s="40">
        <f>IF(OR($A56="",Z$33=""),"",IF(ca_mesure="CPU",SUMIFS(TblCalculs[CPU provisionné],TblCalculs[Cluster],$B56,TblCalculs[Mois],Z$33),IF(ca_mesure="RAM",SUMIFS(TblCalculs[RAM provisionnée],TblCalculs[Cluster],$B56,TblCalculs[Mois],Z$33),SUMIFS(TblCalculs[Workers],TblCalculs[Cluster],$B56,TblCalculs[Mois],Z$33))))</f>
        <v>15</v>
      </c>
      <c r="AA56" s="40">
        <f>IF(OR($A56="",AA$33=""),"",IF(ca_mesure="CPU",SUMIFS(TblCalculs[CPU provisionné],TblCalculs[Cluster],$B56,TblCalculs[Mois],AA$33),IF(ca_mesure="RAM",SUMIFS(TblCalculs[RAM provisionnée],TblCalculs[Cluster],$B56,TblCalculs[Mois],AA$33),SUMIFS(TblCalculs[Workers],TblCalculs[Cluster],$B56,TblCalculs[Mois],AA$33))))</f>
        <v>15</v>
      </c>
      <c r="AB56" s="40">
        <f>IF(OR($A56="",AB$33=""),"",IF(ca_mesure="CPU",SUMIFS(TblCalculs[CPU provisionné],TblCalculs[Cluster],$B56,TblCalculs[Mois],AB$33),IF(ca_mesure="RAM",SUMIFS(TblCalculs[RAM provisionnée],TblCalculs[Cluster],$B56,TblCalculs[Mois],AB$33),SUMIFS(TblCalculs[Workers],TblCalculs[Cluster],$B56,TblCalculs[Mois],AB$33))))</f>
        <v>15</v>
      </c>
      <c r="AC56" s="40">
        <f>IF(OR($A56="",AC$33=""),"",IF(ca_mesure="CPU",SUMIFS(TblCalculs[CPU provisionné],TblCalculs[Cluster],$B56,TblCalculs[Mois],AC$33),IF(ca_mesure="RAM",SUMIFS(TblCalculs[RAM provisionnée],TblCalculs[Cluster],$B56,TblCalculs[Mois],AC$33),SUMIFS(TblCalculs[Workers],TblCalculs[Cluster],$B56,TblCalculs[Mois],AC$33))))</f>
        <v>15</v>
      </c>
      <c r="AD56" s="40">
        <f>IF(OR($A56="",AD$33=""),"",IF(ca_mesure="CPU",SUMIFS(TblCalculs[CPU provisionné],TblCalculs[Cluster],$B56,TblCalculs[Mois],AD$33),IF(ca_mesure="RAM",SUMIFS(TblCalculs[RAM provisionnée],TblCalculs[Cluster],$B56,TblCalculs[Mois],AD$33),SUMIFS(TblCalculs[Workers],TblCalculs[Cluster],$B56,TblCalculs[Mois],AD$33))))</f>
        <v>15</v>
      </c>
      <c r="AE56" s="40">
        <f>IF(OR($A56="",AE$33=""),"",IF(ca_mesure="CPU",SUMIFS(TblCalculs[CPU provisionné],TblCalculs[Cluster],$B56,TblCalculs[Mois],AE$33),IF(ca_mesure="RAM",SUMIFS(TblCalculs[RAM provisionnée],TblCalculs[Cluster],$B56,TblCalculs[Mois],AE$33),SUMIFS(TblCalculs[Workers],TblCalculs[Cluster],$B56,TblCalculs[Mois],AE$33))))</f>
        <v>15</v>
      </c>
      <c r="AF56" s="40">
        <f>IF(OR($A56="",AF$33=""),"",IF(ca_mesure="CPU",SUMIFS(TblCalculs[CPU provisionné],TblCalculs[Cluster],$B56,TblCalculs[Mois],AF$33),IF(ca_mesure="RAM",SUMIFS(TblCalculs[RAM provisionnée],TblCalculs[Cluster],$B56,TblCalculs[Mois],AF$33),SUMIFS(TblCalculs[Workers],TblCalculs[Cluster],$B56,TblCalculs[Mois],AF$33))))</f>
        <v>15</v>
      </c>
      <c r="AG56" s="40">
        <f>IF(OR($A56="",AG$33=""),"",IF(ca_mesure="CPU",SUMIFS(TblCalculs[CPU provisionné],TblCalculs[Cluster],$B56,TblCalculs[Mois],AG$33),IF(ca_mesure="RAM",SUMIFS(TblCalculs[RAM provisionnée],TblCalculs[Cluster],$B56,TblCalculs[Mois],AG$33),SUMIFS(TblCalculs[Workers],TblCalculs[Cluster],$B56,TblCalculs[Mois],AG$33))))</f>
        <v>15</v>
      </c>
      <c r="AH56" s="40">
        <f>IF(OR($A56="",AH$33=""),"",IF(ca_mesure="CPU",SUMIFS(TblCalculs[CPU provisionné],TblCalculs[Cluster],$B56,TblCalculs[Mois],AH$33),IF(ca_mesure="RAM",SUMIFS(TblCalculs[RAM provisionnée],TblCalculs[Cluster],$B56,TblCalculs[Mois],AH$33),SUMIFS(TblCalculs[Workers],TblCalculs[Cluster],$B56,TblCalculs[Mois],AH$33))))</f>
        <v>15</v>
      </c>
      <c r="AI56" s="40">
        <f>IF(OR($A56="",AI$33=""),"",IF(ca_mesure="CPU",SUMIFS(TblCalculs[CPU provisionné],TblCalculs[Cluster],$B56,TblCalculs[Mois],AI$33),IF(ca_mesure="RAM",SUMIFS(TblCalculs[RAM provisionnée],TblCalculs[Cluster],$B56,TblCalculs[Mois],AI$33),SUMIFS(TblCalculs[Workers],TblCalculs[Cluster],$B56,TblCalculs[Mois],AI$33))))</f>
        <v>15</v>
      </c>
      <c r="AJ56" s="40">
        <f>IF(OR($A56="",AJ$33=""),"",IF(ca_mesure="CPU",SUMIFS(TblCalculs[CPU provisionné],TblCalculs[Cluster],$B56,TblCalculs[Mois],AJ$33),IF(ca_mesure="RAM",SUMIFS(TblCalculs[RAM provisionnée],TblCalculs[Cluster],$B56,TblCalculs[Mois],AJ$33),SUMIFS(TblCalculs[Workers],TblCalculs[Cluster],$B56,TblCalculs[Mois],AJ$33))))</f>
        <v>15</v>
      </c>
      <c r="AK56" s="40">
        <f>IF(OR($A56="",AK$33=""),"",IF(ca_mesure="CPU",SUMIFS(TblCalculs[CPU provisionné],TblCalculs[Cluster],$B56,TblCalculs[Mois],AK$33),IF(ca_mesure="RAM",SUMIFS(TblCalculs[RAM provisionnée],TblCalculs[Cluster],$B56,TblCalculs[Mois],AK$33),SUMIFS(TblCalculs[Workers],TblCalculs[Cluster],$B56,TblCalculs[Mois],AK$33))))</f>
        <v>15</v>
      </c>
      <c r="AL56" s="40">
        <f>IF(OR($A56="",AL$33=""),"",IF(ca_mesure="CPU",SUMIFS(TblCalculs[CPU provisionné],TblCalculs[Cluster],$B56,TblCalculs[Mois],AL$33),IF(ca_mesure="RAM",SUMIFS(TblCalculs[RAM provisionnée],TblCalculs[Cluster],$B56,TblCalculs[Mois],AL$33),SUMIFS(TblCalculs[Workers],TblCalculs[Cluster],$B56,TblCalculs[Mois],AL$33))))</f>
        <v>15</v>
      </c>
      <c r="AM56" s="40">
        <f>IF(OR($A56="",AM$33=""),"",IF(ca_mesure="CPU",SUMIFS(TblCalculs[CPU provisionné],TblCalculs[Cluster],$B56,TblCalculs[Mois],AM$33),IF(ca_mesure="RAM",SUMIFS(TblCalculs[RAM provisionnée],TblCalculs[Cluster],$B56,TblCalculs[Mois],AM$33),SUMIFS(TblCalculs[Workers],TblCalculs[Cluster],$B56,TblCalculs[Mois],AM$33))))</f>
        <v>15</v>
      </c>
      <c r="AN56" s="40">
        <f>IF(OR($A56="",AN$33=""),"",IF(ca_mesure="CPU",SUMIFS(TblCalculs[CPU provisionné],TblCalculs[Cluster],$B56,TblCalculs[Mois],AN$33),IF(ca_mesure="RAM",SUMIFS(TblCalculs[RAM provisionnée],TblCalculs[Cluster],$B56,TblCalculs[Mois],AN$33),SUMIFS(TblCalculs[Workers],TblCalculs[Cluster],$B56,TblCalculs[Mois],AN$33))))</f>
        <v>15</v>
      </c>
      <c r="AO56" s="40">
        <f>IF(OR($A56="",AO$33=""),"",IF(ca_mesure="CPU",SUMIFS(TblCalculs[CPU provisionné],TblCalculs[Cluster],$B56,TblCalculs[Mois],AO$33),IF(ca_mesure="RAM",SUMIFS(TblCalculs[RAM provisionnée],TblCalculs[Cluster],$B56,TblCalculs[Mois],AO$33),SUMIFS(TblCalculs[Workers],TblCalculs[Cluster],$B56,TblCalculs[Mois],AO$33))))</f>
        <v>15</v>
      </c>
    </row>
    <row r="57" spans="1:41" x14ac:dyDescent="0.2">
      <c r="A57" s="37">
        <f>IFERROR(MATCH(24,TblClusters[Rang capacités],0),"")</f>
        <v>24</v>
      </c>
      <c r="B57" s="38" t="str">
        <f>IF($A57="","",INDEX(TblClusters[Cluster],$A57))</f>
        <v>ku002i000510</v>
      </c>
      <c r="C57" s="39" t="str">
        <f>IF($A57="","",INDEX(TblClusters[Plateforme],$A57))</f>
        <v>IKS</v>
      </c>
      <c r="D57" s="39" t="str">
        <f>IF($A57="","",INDEX(TblClusters[Environnement],$A57))</f>
        <v>NPRD</v>
      </c>
      <c r="E57" s="39" t="str">
        <f>IF($A57="","",INDEX(TblClusters[Flavor],$A57))</f>
        <v>bx2-8x32</v>
      </c>
      <c r="F57" s="40">
        <f>IF(OR($A57="",F$33=""),"",IF(ca_mesure="CPU",SUMIFS(TblCalculs[CPU provisionné],TblCalculs[Cluster],$B57,TblCalculs[Mois],F$33),IF(ca_mesure="RAM",SUMIFS(TblCalculs[RAM provisionnée],TblCalculs[Cluster],$B57,TblCalculs[Mois],F$33),SUMIFS(TblCalculs[Workers],TblCalculs[Cluster],$B57,TblCalculs[Mois],F$33))))</f>
        <v>6</v>
      </c>
      <c r="G57" s="40">
        <f>IF(OR($A57="",G$33=""),"",IF(ca_mesure="CPU",SUMIFS(TblCalculs[CPU provisionné],TblCalculs[Cluster],$B57,TblCalculs[Mois],G$33),IF(ca_mesure="RAM",SUMIFS(TblCalculs[RAM provisionnée],TblCalculs[Cluster],$B57,TblCalculs[Mois],G$33),SUMIFS(TblCalculs[Workers],TblCalculs[Cluster],$B57,TblCalculs[Mois],G$33))))</f>
        <v>6</v>
      </c>
      <c r="H57" s="40">
        <f>IF(OR($A57="",H$33=""),"",IF(ca_mesure="CPU",SUMIFS(TblCalculs[CPU provisionné],TblCalculs[Cluster],$B57,TblCalculs[Mois],H$33),IF(ca_mesure="RAM",SUMIFS(TblCalculs[RAM provisionnée],TblCalculs[Cluster],$B57,TblCalculs[Mois],H$33),SUMIFS(TblCalculs[Workers],TblCalculs[Cluster],$B57,TblCalculs[Mois],H$33))))</f>
        <v>6</v>
      </c>
      <c r="I57" s="40">
        <f>IF(OR($A57="",I$33=""),"",IF(ca_mesure="CPU",SUMIFS(TblCalculs[CPU provisionné],TblCalculs[Cluster],$B57,TblCalculs[Mois],I$33),IF(ca_mesure="RAM",SUMIFS(TblCalculs[RAM provisionnée],TblCalculs[Cluster],$B57,TblCalculs[Mois],I$33),SUMIFS(TblCalculs[Workers],TblCalculs[Cluster],$B57,TblCalculs[Mois],I$33))))</f>
        <v>6</v>
      </c>
      <c r="J57" s="40">
        <f>IF(OR($A57="",J$33=""),"",IF(ca_mesure="CPU",SUMIFS(TblCalculs[CPU provisionné],TblCalculs[Cluster],$B57,TblCalculs[Mois],J$33),IF(ca_mesure="RAM",SUMIFS(TblCalculs[RAM provisionnée],TblCalculs[Cluster],$B57,TblCalculs[Mois],J$33),SUMIFS(TblCalculs[Workers],TblCalculs[Cluster],$B57,TblCalculs[Mois],J$33))))</f>
        <v>6</v>
      </c>
      <c r="K57" s="40">
        <f>IF(OR($A57="",K$33=""),"",IF(ca_mesure="CPU",SUMIFS(TblCalculs[CPU provisionné],TblCalculs[Cluster],$B57,TblCalculs[Mois],K$33),IF(ca_mesure="RAM",SUMIFS(TblCalculs[RAM provisionnée],TblCalculs[Cluster],$B57,TblCalculs[Mois],K$33),SUMIFS(TblCalculs[Workers],TblCalculs[Cluster],$B57,TblCalculs[Mois],K$33))))</f>
        <v>6</v>
      </c>
      <c r="L57" s="40">
        <f>IF(OR($A57="",L$33=""),"",IF(ca_mesure="CPU",SUMIFS(TblCalculs[CPU provisionné],TblCalculs[Cluster],$B57,TblCalculs[Mois],L$33),IF(ca_mesure="RAM",SUMIFS(TblCalculs[RAM provisionnée],TblCalculs[Cluster],$B57,TblCalculs[Mois],L$33),SUMIFS(TblCalculs[Workers],TblCalculs[Cluster],$B57,TblCalculs[Mois],L$33))))</f>
        <v>6</v>
      </c>
      <c r="M57" s="40">
        <f>IF(OR($A57="",M$33=""),"",IF(ca_mesure="CPU",SUMIFS(TblCalculs[CPU provisionné],TblCalculs[Cluster],$B57,TblCalculs[Mois],M$33),IF(ca_mesure="RAM",SUMIFS(TblCalculs[RAM provisionnée],TblCalculs[Cluster],$B57,TblCalculs[Mois],M$33),SUMIFS(TblCalculs[Workers],TblCalculs[Cluster],$B57,TblCalculs[Mois],M$33))))</f>
        <v>6</v>
      </c>
      <c r="N57" s="40">
        <f>IF(OR($A57="",N$33=""),"",IF(ca_mesure="CPU",SUMIFS(TblCalculs[CPU provisionné],TblCalculs[Cluster],$B57,TblCalculs[Mois],N$33),IF(ca_mesure="RAM",SUMIFS(TblCalculs[RAM provisionnée],TblCalculs[Cluster],$B57,TblCalculs[Mois],N$33),SUMIFS(TblCalculs[Workers],TblCalculs[Cluster],$B57,TblCalculs[Mois],N$33))))</f>
        <v>6</v>
      </c>
      <c r="O57" s="40">
        <f>IF(OR($A57="",O$33=""),"",IF(ca_mesure="CPU",SUMIFS(TblCalculs[CPU provisionné],TblCalculs[Cluster],$B57,TblCalculs[Mois],O$33),IF(ca_mesure="RAM",SUMIFS(TblCalculs[RAM provisionnée],TblCalculs[Cluster],$B57,TblCalculs[Mois],O$33),SUMIFS(TblCalculs[Workers],TblCalculs[Cluster],$B57,TblCalculs[Mois],O$33))))</f>
        <v>6</v>
      </c>
      <c r="P57" s="40">
        <f>IF(OR($A57="",P$33=""),"",IF(ca_mesure="CPU",SUMIFS(TblCalculs[CPU provisionné],TblCalculs[Cluster],$B57,TblCalculs[Mois],P$33),IF(ca_mesure="RAM",SUMIFS(TblCalculs[RAM provisionnée],TblCalculs[Cluster],$B57,TblCalculs[Mois],P$33),SUMIFS(TblCalculs[Workers],TblCalculs[Cluster],$B57,TblCalculs[Mois],P$33))))</f>
        <v>6</v>
      </c>
      <c r="Q57" s="40">
        <f>IF(OR($A57="",Q$33=""),"",IF(ca_mesure="CPU",SUMIFS(TblCalculs[CPU provisionné],TblCalculs[Cluster],$B57,TblCalculs[Mois],Q$33),IF(ca_mesure="RAM",SUMIFS(TblCalculs[RAM provisionnée],TblCalculs[Cluster],$B57,TblCalculs[Mois],Q$33),SUMIFS(TblCalculs[Workers],TblCalculs[Cluster],$B57,TblCalculs[Mois],Q$33))))</f>
        <v>6</v>
      </c>
      <c r="R57" s="40">
        <f>IF(OR($A57="",R$33=""),"",IF(ca_mesure="CPU",SUMIFS(TblCalculs[CPU provisionné],TblCalculs[Cluster],$B57,TblCalculs[Mois],R$33),IF(ca_mesure="RAM",SUMIFS(TblCalculs[RAM provisionnée],TblCalculs[Cluster],$B57,TblCalculs[Mois],R$33),SUMIFS(TblCalculs[Workers],TblCalculs[Cluster],$B57,TblCalculs[Mois],R$33))))</f>
        <v>6</v>
      </c>
      <c r="S57" s="40">
        <f>IF(OR($A57="",S$33=""),"",IF(ca_mesure="CPU",SUMIFS(TblCalculs[CPU provisionné],TblCalculs[Cluster],$B57,TblCalculs[Mois],S$33),IF(ca_mesure="RAM",SUMIFS(TblCalculs[RAM provisionnée],TblCalculs[Cluster],$B57,TblCalculs[Mois],S$33),SUMIFS(TblCalculs[Workers],TblCalculs[Cluster],$B57,TblCalculs[Mois],S$33))))</f>
        <v>6</v>
      </c>
      <c r="T57" s="40">
        <f>IF(OR($A57="",T$33=""),"",IF(ca_mesure="CPU",SUMIFS(TblCalculs[CPU provisionné],TblCalculs[Cluster],$B57,TblCalculs[Mois],T$33),IF(ca_mesure="RAM",SUMIFS(TblCalculs[RAM provisionnée],TblCalculs[Cluster],$B57,TblCalculs[Mois],T$33),SUMIFS(TblCalculs[Workers],TblCalculs[Cluster],$B57,TblCalculs[Mois],T$33))))</f>
        <v>6</v>
      </c>
      <c r="U57" s="40">
        <f>IF(OR($A57="",U$33=""),"",IF(ca_mesure="CPU",SUMIFS(TblCalculs[CPU provisionné],TblCalculs[Cluster],$B57,TblCalculs[Mois],U$33),IF(ca_mesure="RAM",SUMIFS(TblCalculs[RAM provisionnée],TblCalculs[Cluster],$B57,TblCalculs[Mois],U$33),SUMIFS(TblCalculs[Workers],TblCalculs[Cluster],$B57,TblCalculs[Mois],U$33))))</f>
        <v>6</v>
      </c>
      <c r="V57" s="40">
        <f>IF(OR($A57="",V$33=""),"",IF(ca_mesure="CPU",SUMIFS(TblCalculs[CPU provisionné],TblCalculs[Cluster],$B57,TblCalculs[Mois],V$33),IF(ca_mesure="RAM",SUMIFS(TblCalculs[RAM provisionnée],TblCalculs[Cluster],$B57,TblCalculs[Mois],V$33),SUMIFS(TblCalculs[Workers],TblCalculs[Cluster],$B57,TblCalculs[Mois],V$33))))</f>
        <v>6</v>
      </c>
      <c r="W57" s="40">
        <f>IF(OR($A57="",W$33=""),"",IF(ca_mesure="CPU",SUMIFS(TblCalculs[CPU provisionné],TblCalculs[Cluster],$B57,TblCalculs[Mois],W$33),IF(ca_mesure="RAM",SUMIFS(TblCalculs[RAM provisionnée],TblCalculs[Cluster],$B57,TblCalculs[Mois],W$33),SUMIFS(TblCalculs[Workers],TblCalculs[Cluster],$B57,TblCalculs[Mois],W$33))))</f>
        <v>6</v>
      </c>
      <c r="X57" s="40">
        <f>IF(OR($A57="",X$33=""),"",IF(ca_mesure="CPU",SUMIFS(TblCalculs[CPU provisionné],TblCalculs[Cluster],$B57,TblCalculs[Mois],X$33),IF(ca_mesure="RAM",SUMIFS(TblCalculs[RAM provisionnée],TblCalculs[Cluster],$B57,TblCalculs[Mois],X$33),SUMIFS(TblCalculs[Workers],TblCalculs[Cluster],$B57,TblCalculs[Mois],X$33))))</f>
        <v>6</v>
      </c>
      <c r="Y57" s="40">
        <f>IF(OR($A57="",Y$33=""),"",IF(ca_mesure="CPU",SUMIFS(TblCalculs[CPU provisionné],TblCalculs[Cluster],$B57,TblCalculs[Mois],Y$33),IF(ca_mesure="RAM",SUMIFS(TblCalculs[RAM provisionnée],TblCalculs[Cluster],$B57,TblCalculs[Mois],Y$33),SUMIFS(TblCalculs[Workers],TblCalculs[Cluster],$B57,TblCalculs[Mois],Y$33))))</f>
        <v>6</v>
      </c>
      <c r="Z57" s="40">
        <f>IF(OR($A57="",Z$33=""),"",IF(ca_mesure="CPU",SUMIFS(TblCalculs[CPU provisionné],TblCalculs[Cluster],$B57,TblCalculs[Mois],Z$33),IF(ca_mesure="RAM",SUMIFS(TblCalculs[RAM provisionnée],TblCalculs[Cluster],$B57,TblCalculs[Mois],Z$33),SUMIFS(TblCalculs[Workers],TblCalculs[Cluster],$B57,TblCalculs[Mois],Z$33))))</f>
        <v>6</v>
      </c>
      <c r="AA57" s="40">
        <f>IF(OR($A57="",AA$33=""),"",IF(ca_mesure="CPU",SUMIFS(TblCalculs[CPU provisionné],TblCalculs[Cluster],$B57,TblCalculs[Mois],AA$33),IF(ca_mesure="RAM",SUMIFS(TblCalculs[RAM provisionnée],TblCalculs[Cluster],$B57,TblCalculs[Mois],AA$33),SUMIFS(TblCalculs[Workers],TblCalculs[Cluster],$B57,TblCalculs[Mois],AA$33))))</f>
        <v>6</v>
      </c>
      <c r="AB57" s="40">
        <f>IF(OR($A57="",AB$33=""),"",IF(ca_mesure="CPU",SUMIFS(TblCalculs[CPU provisionné],TblCalculs[Cluster],$B57,TblCalculs[Mois],AB$33),IF(ca_mesure="RAM",SUMIFS(TblCalculs[RAM provisionnée],TblCalculs[Cluster],$B57,TblCalculs[Mois],AB$33),SUMIFS(TblCalculs[Workers],TblCalculs[Cluster],$B57,TblCalculs[Mois],AB$33))))</f>
        <v>6</v>
      </c>
      <c r="AC57" s="40">
        <f>IF(OR($A57="",AC$33=""),"",IF(ca_mesure="CPU",SUMIFS(TblCalculs[CPU provisionné],TblCalculs[Cluster],$B57,TblCalculs[Mois],AC$33),IF(ca_mesure="RAM",SUMIFS(TblCalculs[RAM provisionnée],TblCalculs[Cluster],$B57,TblCalculs[Mois],AC$33),SUMIFS(TblCalculs[Workers],TblCalculs[Cluster],$B57,TblCalculs[Mois],AC$33))))</f>
        <v>6</v>
      </c>
      <c r="AD57" s="40">
        <f>IF(OR($A57="",AD$33=""),"",IF(ca_mesure="CPU",SUMIFS(TblCalculs[CPU provisionné],TblCalculs[Cluster],$B57,TblCalculs[Mois],AD$33),IF(ca_mesure="RAM",SUMIFS(TblCalculs[RAM provisionnée],TblCalculs[Cluster],$B57,TblCalculs[Mois],AD$33),SUMIFS(TblCalculs[Workers],TblCalculs[Cluster],$B57,TblCalculs[Mois],AD$33))))</f>
        <v>6</v>
      </c>
      <c r="AE57" s="40">
        <f>IF(OR($A57="",AE$33=""),"",IF(ca_mesure="CPU",SUMIFS(TblCalculs[CPU provisionné],TblCalculs[Cluster],$B57,TblCalculs[Mois],AE$33),IF(ca_mesure="RAM",SUMIFS(TblCalculs[RAM provisionnée],TblCalculs[Cluster],$B57,TblCalculs[Mois],AE$33),SUMIFS(TblCalculs[Workers],TblCalculs[Cluster],$B57,TblCalculs[Mois],AE$33))))</f>
        <v>6</v>
      </c>
      <c r="AF57" s="40">
        <f>IF(OR($A57="",AF$33=""),"",IF(ca_mesure="CPU",SUMIFS(TblCalculs[CPU provisionné],TblCalculs[Cluster],$B57,TblCalculs[Mois],AF$33),IF(ca_mesure="RAM",SUMIFS(TblCalculs[RAM provisionnée],TblCalculs[Cluster],$B57,TblCalculs[Mois],AF$33),SUMIFS(TblCalculs[Workers],TblCalculs[Cluster],$B57,TblCalculs[Mois],AF$33))))</f>
        <v>6</v>
      </c>
      <c r="AG57" s="40">
        <f>IF(OR($A57="",AG$33=""),"",IF(ca_mesure="CPU",SUMIFS(TblCalculs[CPU provisionné],TblCalculs[Cluster],$B57,TblCalculs[Mois],AG$33),IF(ca_mesure="RAM",SUMIFS(TblCalculs[RAM provisionnée],TblCalculs[Cluster],$B57,TblCalculs[Mois],AG$33),SUMIFS(TblCalculs[Workers],TblCalculs[Cluster],$B57,TblCalculs[Mois],AG$33))))</f>
        <v>6</v>
      </c>
      <c r="AH57" s="40">
        <f>IF(OR($A57="",AH$33=""),"",IF(ca_mesure="CPU",SUMIFS(TblCalculs[CPU provisionné],TblCalculs[Cluster],$B57,TblCalculs[Mois],AH$33),IF(ca_mesure="RAM",SUMIFS(TblCalculs[RAM provisionnée],TblCalculs[Cluster],$B57,TblCalculs[Mois],AH$33),SUMIFS(TblCalculs[Workers],TblCalculs[Cluster],$B57,TblCalculs[Mois],AH$33))))</f>
        <v>6</v>
      </c>
      <c r="AI57" s="40">
        <f>IF(OR($A57="",AI$33=""),"",IF(ca_mesure="CPU",SUMIFS(TblCalculs[CPU provisionné],TblCalculs[Cluster],$B57,TblCalculs[Mois],AI$33),IF(ca_mesure="RAM",SUMIFS(TblCalculs[RAM provisionnée],TblCalculs[Cluster],$B57,TblCalculs[Mois],AI$33),SUMIFS(TblCalculs[Workers],TblCalculs[Cluster],$B57,TblCalculs[Mois],AI$33))))</f>
        <v>6</v>
      </c>
      <c r="AJ57" s="40">
        <f>IF(OR($A57="",AJ$33=""),"",IF(ca_mesure="CPU",SUMIFS(TblCalculs[CPU provisionné],TblCalculs[Cluster],$B57,TblCalculs[Mois],AJ$33),IF(ca_mesure="RAM",SUMIFS(TblCalculs[RAM provisionnée],TblCalculs[Cluster],$B57,TblCalculs[Mois],AJ$33),SUMIFS(TblCalculs[Workers],TblCalculs[Cluster],$B57,TblCalculs[Mois],AJ$33))))</f>
        <v>6</v>
      </c>
      <c r="AK57" s="40">
        <f>IF(OR($A57="",AK$33=""),"",IF(ca_mesure="CPU",SUMIFS(TblCalculs[CPU provisionné],TblCalculs[Cluster],$B57,TblCalculs[Mois],AK$33),IF(ca_mesure="RAM",SUMIFS(TblCalculs[RAM provisionnée],TblCalculs[Cluster],$B57,TblCalculs[Mois],AK$33),SUMIFS(TblCalculs[Workers],TblCalculs[Cluster],$B57,TblCalculs[Mois],AK$33))))</f>
        <v>6</v>
      </c>
      <c r="AL57" s="40">
        <f>IF(OR($A57="",AL$33=""),"",IF(ca_mesure="CPU",SUMIFS(TblCalculs[CPU provisionné],TblCalculs[Cluster],$B57,TblCalculs[Mois],AL$33),IF(ca_mesure="RAM",SUMIFS(TblCalculs[RAM provisionnée],TblCalculs[Cluster],$B57,TblCalculs[Mois],AL$33),SUMIFS(TblCalculs[Workers],TblCalculs[Cluster],$B57,TblCalculs[Mois],AL$33))))</f>
        <v>6</v>
      </c>
      <c r="AM57" s="40">
        <f>IF(OR($A57="",AM$33=""),"",IF(ca_mesure="CPU",SUMIFS(TblCalculs[CPU provisionné],TblCalculs[Cluster],$B57,TblCalculs[Mois],AM$33),IF(ca_mesure="RAM",SUMIFS(TblCalculs[RAM provisionnée],TblCalculs[Cluster],$B57,TblCalculs[Mois],AM$33),SUMIFS(TblCalculs[Workers],TblCalculs[Cluster],$B57,TblCalculs[Mois],AM$33))))</f>
        <v>6</v>
      </c>
      <c r="AN57" s="40">
        <f>IF(OR($A57="",AN$33=""),"",IF(ca_mesure="CPU",SUMIFS(TblCalculs[CPU provisionné],TblCalculs[Cluster],$B57,TblCalculs[Mois],AN$33),IF(ca_mesure="RAM",SUMIFS(TblCalculs[RAM provisionnée],TblCalculs[Cluster],$B57,TblCalculs[Mois],AN$33),SUMIFS(TblCalculs[Workers],TblCalculs[Cluster],$B57,TblCalculs[Mois],AN$33))))</f>
        <v>6</v>
      </c>
      <c r="AO57" s="40">
        <f>IF(OR($A57="",AO$33=""),"",IF(ca_mesure="CPU",SUMIFS(TblCalculs[CPU provisionné],TblCalculs[Cluster],$B57,TblCalculs[Mois],AO$33),IF(ca_mesure="RAM",SUMIFS(TblCalculs[RAM provisionnée],TblCalculs[Cluster],$B57,TblCalculs[Mois],AO$33),SUMIFS(TblCalculs[Workers],TblCalculs[Cluster],$B57,TblCalculs[Mois],AO$33))))</f>
        <v>6</v>
      </c>
    </row>
    <row r="58" spans="1:41" x14ac:dyDescent="0.2">
      <c r="A58" s="37">
        <f>IFERROR(MATCH(25,TblClusters[Rang capacités],0),"")</f>
        <v>25</v>
      </c>
      <c r="B58" s="38" t="str">
        <f>IF($A58="","",INDEX(TblClusters[Cluster],$A58))</f>
        <v>ku002i000565</v>
      </c>
      <c r="C58" s="39" t="str">
        <f>IF($A58="","",INDEX(TblClusters[Plateforme],$A58))</f>
        <v>IKS</v>
      </c>
      <c r="D58" s="39" t="str">
        <f>IF($A58="","",INDEX(TblClusters[Environnement],$A58))</f>
        <v>PRD</v>
      </c>
      <c r="E58" s="39" t="str">
        <f>IF($A58="","",INDEX(TblClusters[Flavor],$A58))</f>
        <v>bx2-8x32</v>
      </c>
      <c r="F58" s="40">
        <f>IF(OR($A58="",F$33=""),"",IF(ca_mesure="CPU",SUMIFS(TblCalculs[CPU provisionné],TblCalculs[Cluster],$B58,TblCalculs[Mois],F$33),IF(ca_mesure="RAM",SUMIFS(TblCalculs[RAM provisionnée],TblCalculs[Cluster],$B58,TblCalculs[Mois],F$33),SUMIFS(TblCalculs[Workers],TblCalculs[Cluster],$B58,TblCalculs[Mois],F$33))))</f>
        <v>6</v>
      </c>
      <c r="G58" s="40">
        <f>IF(OR($A58="",G$33=""),"",IF(ca_mesure="CPU",SUMIFS(TblCalculs[CPU provisionné],TblCalculs[Cluster],$B58,TblCalculs[Mois],G$33),IF(ca_mesure="RAM",SUMIFS(TblCalculs[RAM provisionnée],TblCalculs[Cluster],$B58,TblCalculs[Mois],G$33),SUMIFS(TblCalculs[Workers],TblCalculs[Cluster],$B58,TblCalculs[Mois],G$33))))</f>
        <v>6</v>
      </c>
      <c r="H58" s="40">
        <f>IF(OR($A58="",H$33=""),"",IF(ca_mesure="CPU",SUMIFS(TblCalculs[CPU provisionné],TblCalculs[Cluster],$B58,TblCalculs[Mois],H$33),IF(ca_mesure="RAM",SUMIFS(TblCalculs[RAM provisionnée],TblCalculs[Cluster],$B58,TblCalculs[Mois],H$33),SUMIFS(TblCalculs[Workers],TblCalculs[Cluster],$B58,TblCalculs[Mois],H$33))))</f>
        <v>6</v>
      </c>
      <c r="I58" s="40">
        <f>IF(OR($A58="",I$33=""),"",IF(ca_mesure="CPU",SUMIFS(TblCalculs[CPU provisionné],TblCalculs[Cluster],$B58,TblCalculs[Mois],I$33),IF(ca_mesure="RAM",SUMIFS(TblCalculs[RAM provisionnée],TblCalculs[Cluster],$B58,TblCalculs[Mois],I$33),SUMIFS(TblCalculs[Workers],TblCalculs[Cluster],$B58,TblCalculs[Mois],I$33))))</f>
        <v>6</v>
      </c>
      <c r="J58" s="40">
        <f>IF(OR($A58="",J$33=""),"",IF(ca_mesure="CPU",SUMIFS(TblCalculs[CPU provisionné],TblCalculs[Cluster],$B58,TblCalculs[Mois],J$33),IF(ca_mesure="RAM",SUMIFS(TblCalculs[RAM provisionnée],TblCalculs[Cluster],$B58,TblCalculs[Mois],J$33),SUMIFS(TblCalculs[Workers],TblCalculs[Cluster],$B58,TblCalculs[Mois],J$33))))</f>
        <v>6</v>
      </c>
      <c r="K58" s="40">
        <f>IF(OR($A58="",K$33=""),"",IF(ca_mesure="CPU",SUMIFS(TblCalculs[CPU provisionné],TblCalculs[Cluster],$B58,TblCalculs[Mois],K$33),IF(ca_mesure="RAM",SUMIFS(TblCalculs[RAM provisionnée],TblCalculs[Cluster],$B58,TblCalculs[Mois],K$33),SUMIFS(TblCalculs[Workers],TblCalculs[Cluster],$B58,TblCalculs[Mois],K$33))))</f>
        <v>6</v>
      </c>
      <c r="L58" s="40">
        <f>IF(OR($A58="",L$33=""),"",IF(ca_mesure="CPU",SUMIFS(TblCalculs[CPU provisionné],TblCalculs[Cluster],$B58,TblCalculs[Mois],L$33),IF(ca_mesure="RAM",SUMIFS(TblCalculs[RAM provisionnée],TblCalculs[Cluster],$B58,TblCalculs[Mois],L$33),SUMIFS(TblCalculs[Workers],TblCalculs[Cluster],$B58,TblCalculs[Mois],L$33))))</f>
        <v>6</v>
      </c>
      <c r="M58" s="40">
        <f>IF(OR($A58="",M$33=""),"",IF(ca_mesure="CPU",SUMIFS(TblCalculs[CPU provisionné],TblCalculs[Cluster],$B58,TblCalculs[Mois],M$33),IF(ca_mesure="RAM",SUMIFS(TblCalculs[RAM provisionnée],TblCalculs[Cluster],$B58,TblCalculs[Mois],M$33),SUMIFS(TblCalculs[Workers],TblCalculs[Cluster],$B58,TblCalculs[Mois],M$33))))</f>
        <v>6</v>
      </c>
      <c r="N58" s="40">
        <f>IF(OR($A58="",N$33=""),"",IF(ca_mesure="CPU",SUMIFS(TblCalculs[CPU provisionné],TblCalculs[Cluster],$B58,TblCalculs[Mois],N$33),IF(ca_mesure="RAM",SUMIFS(TblCalculs[RAM provisionnée],TblCalculs[Cluster],$B58,TblCalculs[Mois],N$33),SUMIFS(TblCalculs[Workers],TblCalculs[Cluster],$B58,TblCalculs[Mois],N$33))))</f>
        <v>6</v>
      </c>
      <c r="O58" s="40">
        <f>IF(OR($A58="",O$33=""),"",IF(ca_mesure="CPU",SUMIFS(TblCalculs[CPU provisionné],TblCalculs[Cluster],$B58,TblCalculs[Mois],O$33),IF(ca_mesure="RAM",SUMIFS(TblCalculs[RAM provisionnée],TblCalculs[Cluster],$B58,TblCalculs[Mois],O$33),SUMIFS(TblCalculs[Workers],TblCalculs[Cluster],$B58,TblCalculs[Mois],O$33))))</f>
        <v>6</v>
      </c>
      <c r="P58" s="40">
        <f>IF(OR($A58="",P$33=""),"",IF(ca_mesure="CPU",SUMIFS(TblCalculs[CPU provisionné],TblCalculs[Cluster],$B58,TblCalculs[Mois],P$33),IF(ca_mesure="RAM",SUMIFS(TblCalculs[RAM provisionnée],TblCalculs[Cluster],$B58,TblCalculs[Mois],P$33),SUMIFS(TblCalculs[Workers],TblCalculs[Cluster],$B58,TblCalculs[Mois],P$33))))</f>
        <v>6</v>
      </c>
      <c r="Q58" s="40">
        <f>IF(OR($A58="",Q$33=""),"",IF(ca_mesure="CPU",SUMIFS(TblCalculs[CPU provisionné],TblCalculs[Cluster],$B58,TblCalculs[Mois],Q$33),IF(ca_mesure="RAM",SUMIFS(TblCalculs[RAM provisionnée],TblCalculs[Cluster],$B58,TblCalculs[Mois],Q$33),SUMIFS(TblCalculs[Workers],TblCalculs[Cluster],$B58,TblCalculs[Mois],Q$33))))</f>
        <v>6</v>
      </c>
      <c r="R58" s="40">
        <f>IF(OR($A58="",R$33=""),"",IF(ca_mesure="CPU",SUMIFS(TblCalculs[CPU provisionné],TblCalculs[Cluster],$B58,TblCalculs[Mois],R$33),IF(ca_mesure="RAM",SUMIFS(TblCalculs[RAM provisionnée],TblCalculs[Cluster],$B58,TblCalculs[Mois],R$33),SUMIFS(TblCalculs[Workers],TblCalculs[Cluster],$B58,TblCalculs[Mois],R$33))))</f>
        <v>6</v>
      </c>
      <c r="S58" s="40">
        <f>IF(OR($A58="",S$33=""),"",IF(ca_mesure="CPU",SUMIFS(TblCalculs[CPU provisionné],TblCalculs[Cluster],$B58,TblCalculs[Mois],S$33),IF(ca_mesure="RAM",SUMIFS(TblCalculs[RAM provisionnée],TblCalculs[Cluster],$B58,TblCalculs[Mois],S$33),SUMIFS(TblCalculs[Workers],TblCalculs[Cluster],$B58,TblCalculs[Mois],S$33))))</f>
        <v>6</v>
      </c>
      <c r="T58" s="40">
        <f>IF(OR($A58="",T$33=""),"",IF(ca_mesure="CPU",SUMIFS(TblCalculs[CPU provisionné],TblCalculs[Cluster],$B58,TblCalculs[Mois],T$33),IF(ca_mesure="RAM",SUMIFS(TblCalculs[RAM provisionnée],TblCalculs[Cluster],$B58,TblCalculs[Mois],T$33),SUMIFS(TblCalculs[Workers],TblCalculs[Cluster],$B58,TblCalculs[Mois],T$33))))</f>
        <v>6</v>
      </c>
      <c r="U58" s="40">
        <f>IF(OR($A58="",U$33=""),"",IF(ca_mesure="CPU",SUMIFS(TblCalculs[CPU provisionné],TblCalculs[Cluster],$B58,TblCalculs[Mois],U$33),IF(ca_mesure="RAM",SUMIFS(TblCalculs[RAM provisionnée],TblCalculs[Cluster],$B58,TblCalculs[Mois],U$33),SUMIFS(TblCalculs[Workers],TblCalculs[Cluster],$B58,TblCalculs[Mois],U$33))))</f>
        <v>6</v>
      </c>
      <c r="V58" s="40">
        <f>IF(OR($A58="",V$33=""),"",IF(ca_mesure="CPU",SUMIFS(TblCalculs[CPU provisionné],TblCalculs[Cluster],$B58,TblCalculs[Mois],V$33),IF(ca_mesure="RAM",SUMIFS(TblCalculs[RAM provisionnée],TblCalculs[Cluster],$B58,TblCalculs[Mois],V$33),SUMIFS(TblCalculs[Workers],TblCalculs[Cluster],$B58,TblCalculs[Mois],V$33))))</f>
        <v>6</v>
      </c>
      <c r="W58" s="40">
        <f>IF(OR($A58="",W$33=""),"",IF(ca_mesure="CPU",SUMIFS(TblCalculs[CPU provisionné],TblCalculs[Cluster],$B58,TblCalculs[Mois],W$33),IF(ca_mesure="RAM",SUMIFS(TblCalculs[RAM provisionnée],TblCalculs[Cluster],$B58,TblCalculs[Mois],W$33),SUMIFS(TblCalculs[Workers],TblCalculs[Cluster],$B58,TblCalculs[Mois],W$33))))</f>
        <v>6</v>
      </c>
      <c r="X58" s="40">
        <f>IF(OR($A58="",X$33=""),"",IF(ca_mesure="CPU",SUMIFS(TblCalculs[CPU provisionné],TblCalculs[Cluster],$B58,TblCalculs[Mois],X$33),IF(ca_mesure="RAM",SUMIFS(TblCalculs[RAM provisionnée],TblCalculs[Cluster],$B58,TblCalculs[Mois],X$33),SUMIFS(TblCalculs[Workers],TblCalculs[Cluster],$B58,TblCalculs[Mois],X$33))))</f>
        <v>6</v>
      </c>
      <c r="Y58" s="40">
        <f>IF(OR($A58="",Y$33=""),"",IF(ca_mesure="CPU",SUMIFS(TblCalculs[CPU provisionné],TblCalculs[Cluster],$B58,TblCalculs[Mois],Y$33),IF(ca_mesure="RAM",SUMIFS(TblCalculs[RAM provisionnée],TblCalculs[Cluster],$B58,TblCalculs[Mois],Y$33),SUMIFS(TblCalculs[Workers],TblCalculs[Cluster],$B58,TblCalculs[Mois],Y$33))))</f>
        <v>6</v>
      </c>
      <c r="Z58" s="40">
        <f>IF(OR($A58="",Z$33=""),"",IF(ca_mesure="CPU",SUMIFS(TblCalculs[CPU provisionné],TblCalculs[Cluster],$B58,TblCalculs[Mois],Z$33),IF(ca_mesure="RAM",SUMIFS(TblCalculs[RAM provisionnée],TblCalculs[Cluster],$B58,TblCalculs[Mois],Z$33),SUMIFS(TblCalculs[Workers],TblCalculs[Cluster],$B58,TblCalculs[Mois],Z$33))))</f>
        <v>6</v>
      </c>
      <c r="AA58" s="40">
        <f>IF(OR($A58="",AA$33=""),"",IF(ca_mesure="CPU",SUMIFS(TblCalculs[CPU provisionné],TblCalculs[Cluster],$B58,TblCalculs[Mois],AA$33),IF(ca_mesure="RAM",SUMIFS(TblCalculs[RAM provisionnée],TblCalculs[Cluster],$B58,TblCalculs[Mois],AA$33),SUMIFS(TblCalculs[Workers],TblCalculs[Cluster],$B58,TblCalculs[Mois],AA$33))))</f>
        <v>6</v>
      </c>
      <c r="AB58" s="40">
        <f>IF(OR($A58="",AB$33=""),"",IF(ca_mesure="CPU",SUMIFS(TblCalculs[CPU provisionné],TblCalculs[Cluster],$B58,TblCalculs[Mois],AB$33),IF(ca_mesure="RAM",SUMIFS(TblCalculs[RAM provisionnée],TblCalculs[Cluster],$B58,TblCalculs[Mois],AB$33),SUMIFS(TblCalculs[Workers],TblCalculs[Cluster],$B58,TblCalculs[Mois],AB$33))))</f>
        <v>6</v>
      </c>
      <c r="AC58" s="40">
        <f>IF(OR($A58="",AC$33=""),"",IF(ca_mesure="CPU",SUMIFS(TblCalculs[CPU provisionné],TblCalculs[Cluster],$B58,TblCalculs[Mois],AC$33),IF(ca_mesure="RAM",SUMIFS(TblCalculs[RAM provisionnée],TblCalculs[Cluster],$B58,TblCalculs[Mois],AC$33),SUMIFS(TblCalculs[Workers],TblCalculs[Cluster],$B58,TblCalculs[Mois],AC$33))))</f>
        <v>6</v>
      </c>
      <c r="AD58" s="40">
        <f>IF(OR($A58="",AD$33=""),"",IF(ca_mesure="CPU",SUMIFS(TblCalculs[CPU provisionné],TblCalculs[Cluster],$B58,TblCalculs[Mois],AD$33),IF(ca_mesure="RAM",SUMIFS(TblCalculs[RAM provisionnée],TblCalculs[Cluster],$B58,TblCalculs[Mois],AD$33),SUMIFS(TblCalculs[Workers],TblCalculs[Cluster],$B58,TblCalculs[Mois],AD$33))))</f>
        <v>6</v>
      </c>
      <c r="AE58" s="40">
        <f>IF(OR($A58="",AE$33=""),"",IF(ca_mesure="CPU",SUMIFS(TblCalculs[CPU provisionné],TblCalculs[Cluster],$B58,TblCalculs[Mois],AE$33),IF(ca_mesure="RAM",SUMIFS(TblCalculs[RAM provisionnée],TblCalculs[Cluster],$B58,TblCalculs[Mois],AE$33),SUMIFS(TblCalculs[Workers],TblCalculs[Cluster],$B58,TblCalculs[Mois],AE$33))))</f>
        <v>6</v>
      </c>
      <c r="AF58" s="40">
        <f>IF(OR($A58="",AF$33=""),"",IF(ca_mesure="CPU",SUMIFS(TblCalculs[CPU provisionné],TblCalculs[Cluster],$B58,TblCalculs[Mois],AF$33),IF(ca_mesure="RAM",SUMIFS(TblCalculs[RAM provisionnée],TblCalculs[Cluster],$B58,TblCalculs[Mois],AF$33),SUMIFS(TblCalculs[Workers],TblCalculs[Cluster],$B58,TblCalculs[Mois],AF$33))))</f>
        <v>6</v>
      </c>
      <c r="AG58" s="40">
        <f>IF(OR($A58="",AG$33=""),"",IF(ca_mesure="CPU",SUMIFS(TblCalculs[CPU provisionné],TblCalculs[Cluster],$B58,TblCalculs[Mois],AG$33),IF(ca_mesure="RAM",SUMIFS(TblCalculs[RAM provisionnée],TblCalculs[Cluster],$B58,TblCalculs[Mois],AG$33),SUMIFS(TblCalculs[Workers],TblCalculs[Cluster],$B58,TblCalculs[Mois],AG$33))))</f>
        <v>6</v>
      </c>
      <c r="AH58" s="40">
        <f>IF(OR($A58="",AH$33=""),"",IF(ca_mesure="CPU",SUMIFS(TblCalculs[CPU provisionné],TblCalculs[Cluster],$B58,TblCalculs[Mois],AH$33),IF(ca_mesure="RAM",SUMIFS(TblCalculs[RAM provisionnée],TblCalculs[Cluster],$B58,TblCalculs[Mois],AH$33),SUMIFS(TblCalculs[Workers],TblCalculs[Cluster],$B58,TblCalculs[Mois],AH$33))))</f>
        <v>6</v>
      </c>
      <c r="AI58" s="40">
        <f>IF(OR($A58="",AI$33=""),"",IF(ca_mesure="CPU",SUMIFS(TblCalculs[CPU provisionné],TblCalculs[Cluster],$B58,TblCalculs[Mois],AI$33),IF(ca_mesure="RAM",SUMIFS(TblCalculs[RAM provisionnée],TblCalculs[Cluster],$B58,TblCalculs[Mois],AI$33),SUMIFS(TblCalculs[Workers],TblCalculs[Cluster],$B58,TblCalculs[Mois],AI$33))))</f>
        <v>6</v>
      </c>
      <c r="AJ58" s="40">
        <f>IF(OR($A58="",AJ$33=""),"",IF(ca_mesure="CPU",SUMIFS(TblCalculs[CPU provisionné],TblCalculs[Cluster],$B58,TblCalculs[Mois],AJ$33),IF(ca_mesure="RAM",SUMIFS(TblCalculs[RAM provisionnée],TblCalculs[Cluster],$B58,TblCalculs[Mois],AJ$33),SUMIFS(TblCalculs[Workers],TblCalculs[Cluster],$B58,TblCalculs[Mois],AJ$33))))</f>
        <v>6</v>
      </c>
      <c r="AK58" s="40">
        <f>IF(OR($A58="",AK$33=""),"",IF(ca_mesure="CPU",SUMIFS(TblCalculs[CPU provisionné],TblCalculs[Cluster],$B58,TblCalculs[Mois],AK$33),IF(ca_mesure="RAM",SUMIFS(TblCalculs[RAM provisionnée],TblCalculs[Cluster],$B58,TblCalculs[Mois],AK$33),SUMIFS(TblCalculs[Workers],TblCalculs[Cluster],$B58,TblCalculs[Mois],AK$33))))</f>
        <v>6</v>
      </c>
      <c r="AL58" s="40">
        <f>IF(OR($A58="",AL$33=""),"",IF(ca_mesure="CPU",SUMIFS(TblCalculs[CPU provisionné],TblCalculs[Cluster],$B58,TblCalculs[Mois],AL$33),IF(ca_mesure="RAM",SUMIFS(TblCalculs[RAM provisionnée],TblCalculs[Cluster],$B58,TblCalculs[Mois],AL$33),SUMIFS(TblCalculs[Workers],TblCalculs[Cluster],$B58,TblCalculs[Mois],AL$33))))</f>
        <v>6</v>
      </c>
      <c r="AM58" s="40">
        <f>IF(OR($A58="",AM$33=""),"",IF(ca_mesure="CPU",SUMIFS(TblCalculs[CPU provisionné],TblCalculs[Cluster],$B58,TblCalculs[Mois],AM$33),IF(ca_mesure="RAM",SUMIFS(TblCalculs[RAM provisionnée],TblCalculs[Cluster],$B58,TblCalculs[Mois],AM$33),SUMIFS(TblCalculs[Workers],TblCalculs[Cluster],$B58,TblCalculs[Mois],AM$33))))</f>
        <v>6</v>
      </c>
      <c r="AN58" s="40">
        <f>IF(OR($A58="",AN$33=""),"",IF(ca_mesure="CPU",SUMIFS(TblCalculs[CPU provisionné],TblCalculs[Cluster],$B58,TblCalculs[Mois],AN$33),IF(ca_mesure="RAM",SUMIFS(TblCalculs[RAM provisionnée],TblCalculs[Cluster],$B58,TblCalculs[Mois],AN$33),SUMIFS(TblCalculs[Workers],TblCalculs[Cluster],$B58,TblCalculs[Mois],AN$33))))</f>
        <v>6</v>
      </c>
      <c r="AO58" s="40">
        <f>IF(OR($A58="",AO$33=""),"",IF(ca_mesure="CPU",SUMIFS(TblCalculs[CPU provisionné],TblCalculs[Cluster],$B58,TblCalculs[Mois],AO$33),IF(ca_mesure="RAM",SUMIFS(TblCalculs[RAM provisionnée],TblCalculs[Cluster],$B58,TblCalculs[Mois],AO$33),SUMIFS(TblCalculs[Workers],TblCalculs[Cluster],$B58,TblCalculs[Mois],AO$33))))</f>
        <v>6</v>
      </c>
    </row>
    <row r="59" spans="1:41" x14ac:dyDescent="0.2">
      <c r="A59" s="37">
        <f>IFERROR(MATCH(26,TblClusters[Rang capacités],0),"")</f>
        <v>26</v>
      </c>
      <c r="B59" s="38" t="str">
        <f>IF($A59="","",INDEX(TblClusters[Cluster],$A59))</f>
        <v>ku002i000829</v>
      </c>
      <c r="C59" s="39" t="str">
        <f>IF($A59="","",INDEX(TblClusters[Plateforme],$A59))</f>
        <v>IKS</v>
      </c>
      <c r="D59" s="39" t="str">
        <f>IF($A59="","",INDEX(TblClusters[Environnement],$A59))</f>
        <v>NPRD</v>
      </c>
      <c r="E59" s="39" t="str">
        <f>IF($A59="","",INDEX(TblClusters[Flavor],$A59))</f>
        <v>mx2-64x512</v>
      </c>
      <c r="F59" s="40">
        <f>IF(OR($A59="",F$33=""),"",IF(ca_mesure="CPU",SUMIFS(TblCalculs[CPU provisionné],TblCalculs[Cluster],$B59,TblCalculs[Mois],F$33),IF(ca_mesure="RAM",SUMIFS(TblCalculs[RAM provisionnée],TblCalculs[Cluster],$B59,TblCalculs[Mois],F$33),SUMIFS(TblCalculs[Workers],TblCalculs[Cluster],$B59,TblCalculs[Mois],F$33))))</f>
        <v>6</v>
      </c>
      <c r="G59" s="40">
        <f>IF(OR($A59="",G$33=""),"",IF(ca_mesure="CPU",SUMIFS(TblCalculs[CPU provisionné],TblCalculs[Cluster],$B59,TblCalculs[Mois],G$33),IF(ca_mesure="RAM",SUMIFS(TblCalculs[RAM provisionnée],TblCalculs[Cluster],$B59,TblCalculs[Mois],G$33),SUMIFS(TblCalculs[Workers],TblCalculs[Cluster],$B59,TblCalculs[Mois],G$33))))</f>
        <v>6</v>
      </c>
      <c r="H59" s="40">
        <f>IF(OR($A59="",H$33=""),"",IF(ca_mesure="CPU",SUMIFS(TblCalculs[CPU provisionné],TblCalculs[Cluster],$B59,TblCalculs[Mois],H$33),IF(ca_mesure="RAM",SUMIFS(TblCalculs[RAM provisionnée],TblCalculs[Cluster],$B59,TblCalculs[Mois],H$33),SUMIFS(TblCalculs[Workers],TblCalculs[Cluster],$B59,TblCalculs[Mois],H$33))))</f>
        <v>6</v>
      </c>
      <c r="I59" s="40">
        <f>IF(OR($A59="",I$33=""),"",IF(ca_mesure="CPU",SUMIFS(TblCalculs[CPU provisionné],TblCalculs[Cluster],$B59,TblCalculs[Mois],I$33),IF(ca_mesure="RAM",SUMIFS(TblCalculs[RAM provisionnée],TblCalculs[Cluster],$B59,TblCalculs[Mois],I$33),SUMIFS(TblCalculs[Workers],TblCalculs[Cluster],$B59,TblCalculs[Mois],I$33))))</f>
        <v>6</v>
      </c>
      <c r="J59" s="40">
        <f>IF(OR($A59="",J$33=""),"",IF(ca_mesure="CPU",SUMIFS(TblCalculs[CPU provisionné],TblCalculs[Cluster],$B59,TblCalculs[Mois],J$33),IF(ca_mesure="RAM",SUMIFS(TblCalculs[RAM provisionnée],TblCalculs[Cluster],$B59,TblCalculs[Mois],J$33),SUMIFS(TblCalculs[Workers],TblCalculs[Cluster],$B59,TblCalculs[Mois],J$33))))</f>
        <v>6</v>
      </c>
      <c r="K59" s="40">
        <f>IF(OR($A59="",K$33=""),"",IF(ca_mesure="CPU",SUMIFS(TblCalculs[CPU provisionné],TblCalculs[Cluster],$B59,TblCalculs[Mois],K$33),IF(ca_mesure="RAM",SUMIFS(TblCalculs[RAM provisionnée],TblCalculs[Cluster],$B59,TblCalculs[Mois],K$33),SUMIFS(TblCalculs[Workers],TblCalculs[Cluster],$B59,TblCalculs[Mois],K$33))))</f>
        <v>6</v>
      </c>
      <c r="L59" s="40">
        <f>IF(OR($A59="",L$33=""),"",IF(ca_mesure="CPU",SUMIFS(TblCalculs[CPU provisionné],TblCalculs[Cluster],$B59,TblCalculs[Mois],L$33),IF(ca_mesure="RAM",SUMIFS(TblCalculs[RAM provisionnée],TblCalculs[Cluster],$B59,TblCalculs[Mois],L$33),SUMIFS(TblCalculs[Workers],TblCalculs[Cluster],$B59,TblCalculs[Mois],L$33))))</f>
        <v>6</v>
      </c>
      <c r="M59" s="40">
        <f>IF(OR($A59="",M$33=""),"",IF(ca_mesure="CPU",SUMIFS(TblCalculs[CPU provisionné],TblCalculs[Cluster],$B59,TblCalculs[Mois],M$33),IF(ca_mesure="RAM",SUMIFS(TblCalculs[RAM provisionnée],TblCalculs[Cluster],$B59,TblCalculs[Mois],M$33),SUMIFS(TblCalculs[Workers],TblCalculs[Cluster],$B59,TblCalculs[Mois],M$33))))</f>
        <v>6</v>
      </c>
      <c r="N59" s="40">
        <f>IF(OR($A59="",N$33=""),"",IF(ca_mesure="CPU",SUMIFS(TblCalculs[CPU provisionné],TblCalculs[Cluster],$B59,TblCalculs[Mois],N$33),IF(ca_mesure="RAM",SUMIFS(TblCalculs[RAM provisionnée],TblCalculs[Cluster],$B59,TblCalculs[Mois],N$33),SUMIFS(TblCalculs[Workers],TblCalculs[Cluster],$B59,TblCalculs[Mois],N$33))))</f>
        <v>6</v>
      </c>
      <c r="O59" s="40">
        <f>IF(OR($A59="",O$33=""),"",IF(ca_mesure="CPU",SUMIFS(TblCalculs[CPU provisionné],TblCalculs[Cluster],$B59,TblCalculs[Mois],O$33),IF(ca_mesure="RAM",SUMIFS(TblCalculs[RAM provisionnée],TblCalculs[Cluster],$B59,TblCalculs[Mois],O$33),SUMIFS(TblCalculs[Workers],TblCalculs[Cluster],$B59,TblCalculs[Mois],O$33))))</f>
        <v>6</v>
      </c>
      <c r="P59" s="40">
        <f>IF(OR($A59="",P$33=""),"",IF(ca_mesure="CPU",SUMIFS(TblCalculs[CPU provisionné],TblCalculs[Cluster],$B59,TblCalculs[Mois],P$33),IF(ca_mesure="RAM",SUMIFS(TblCalculs[RAM provisionnée],TblCalculs[Cluster],$B59,TblCalculs[Mois],P$33),SUMIFS(TblCalculs[Workers],TblCalculs[Cluster],$B59,TblCalculs[Mois],P$33))))</f>
        <v>6</v>
      </c>
      <c r="Q59" s="40">
        <f>IF(OR($A59="",Q$33=""),"",IF(ca_mesure="CPU",SUMIFS(TblCalculs[CPU provisionné],TblCalculs[Cluster],$B59,TblCalculs[Mois],Q$33),IF(ca_mesure="RAM",SUMIFS(TblCalculs[RAM provisionnée],TblCalculs[Cluster],$B59,TblCalculs[Mois],Q$33),SUMIFS(TblCalculs[Workers],TblCalculs[Cluster],$B59,TblCalculs[Mois],Q$33))))</f>
        <v>6</v>
      </c>
      <c r="R59" s="40">
        <f>IF(OR($A59="",R$33=""),"",IF(ca_mesure="CPU",SUMIFS(TblCalculs[CPU provisionné],TblCalculs[Cluster],$B59,TblCalculs[Mois],R$33),IF(ca_mesure="RAM",SUMIFS(TblCalculs[RAM provisionnée],TblCalculs[Cluster],$B59,TblCalculs[Mois],R$33),SUMIFS(TblCalculs[Workers],TblCalculs[Cluster],$B59,TblCalculs[Mois],R$33))))</f>
        <v>6</v>
      </c>
      <c r="S59" s="40">
        <f>IF(OR($A59="",S$33=""),"",IF(ca_mesure="CPU",SUMIFS(TblCalculs[CPU provisionné],TblCalculs[Cluster],$B59,TblCalculs[Mois],S$33),IF(ca_mesure="RAM",SUMIFS(TblCalculs[RAM provisionnée],TblCalculs[Cluster],$B59,TblCalculs[Mois],S$33),SUMIFS(TblCalculs[Workers],TblCalculs[Cluster],$B59,TblCalculs[Mois],S$33))))</f>
        <v>6</v>
      </c>
      <c r="T59" s="40">
        <f>IF(OR($A59="",T$33=""),"",IF(ca_mesure="CPU",SUMIFS(TblCalculs[CPU provisionné],TblCalculs[Cluster],$B59,TblCalculs[Mois],T$33),IF(ca_mesure="RAM",SUMIFS(TblCalculs[RAM provisionnée],TblCalculs[Cluster],$B59,TblCalculs[Mois],T$33),SUMIFS(TblCalculs[Workers],TblCalculs[Cluster],$B59,TblCalculs[Mois],T$33))))</f>
        <v>6</v>
      </c>
      <c r="U59" s="40">
        <f>IF(OR($A59="",U$33=""),"",IF(ca_mesure="CPU",SUMIFS(TblCalculs[CPU provisionné],TblCalculs[Cluster],$B59,TblCalculs[Mois],U$33),IF(ca_mesure="RAM",SUMIFS(TblCalculs[RAM provisionnée],TblCalculs[Cluster],$B59,TblCalculs[Mois],U$33),SUMIFS(TblCalculs[Workers],TblCalculs[Cluster],$B59,TblCalculs[Mois],U$33))))</f>
        <v>6</v>
      </c>
      <c r="V59" s="40">
        <f>IF(OR($A59="",V$33=""),"",IF(ca_mesure="CPU",SUMIFS(TblCalculs[CPU provisionné],TblCalculs[Cluster],$B59,TblCalculs[Mois],V$33),IF(ca_mesure="RAM",SUMIFS(TblCalculs[RAM provisionnée],TblCalculs[Cluster],$B59,TblCalculs[Mois],V$33),SUMIFS(TblCalculs[Workers],TblCalculs[Cluster],$B59,TblCalculs[Mois],V$33))))</f>
        <v>6</v>
      </c>
      <c r="W59" s="40">
        <f>IF(OR($A59="",W$33=""),"",IF(ca_mesure="CPU",SUMIFS(TblCalculs[CPU provisionné],TblCalculs[Cluster],$B59,TblCalculs[Mois],W$33),IF(ca_mesure="RAM",SUMIFS(TblCalculs[RAM provisionnée],TblCalculs[Cluster],$B59,TblCalculs[Mois],W$33),SUMIFS(TblCalculs[Workers],TblCalculs[Cluster],$B59,TblCalculs[Mois],W$33))))</f>
        <v>6</v>
      </c>
      <c r="X59" s="40">
        <f>IF(OR($A59="",X$33=""),"",IF(ca_mesure="CPU",SUMIFS(TblCalculs[CPU provisionné],TblCalculs[Cluster],$B59,TblCalculs[Mois],X$33),IF(ca_mesure="RAM",SUMIFS(TblCalculs[RAM provisionnée],TblCalculs[Cluster],$B59,TblCalculs[Mois],X$33),SUMIFS(TblCalculs[Workers],TblCalculs[Cluster],$B59,TblCalculs[Mois],X$33))))</f>
        <v>6</v>
      </c>
      <c r="Y59" s="40">
        <f>IF(OR($A59="",Y$33=""),"",IF(ca_mesure="CPU",SUMIFS(TblCalculs[CPU provisionné],TblCalculs[Cluster],$B59,TblCalculs[Mois],Y$33),IF(ca_mesure="RAM",SUMIFS(TblCalculs[RAM provisionnée],TblCalculs[Cluster],$B59,TblCalculs[Mois],Y$33),SUMIFS(TblCalculs[Workers],TblCalculs[Cluster],$B59,TblCalculs[Mois],Y$33))))</f>
        <v>6</v>
      </c>
      <c r="Z59" s="40">
        <f>IF(OR($A59="",Z$33=""),"",IF(ca_mesure="CPU",SUMIFS(TblCalculs[CPU provisionné],TblCalculs[Cluster],$B59,TblCalculs[Mois],Z$33),IF(ca_mesure="RAM",SUMIFS(TblCalculs[RAM provisionnée],TblCalculs[Cluster],$B59,TblCalculs[Mois],Z$33),SUMIFS(TblCalculs[Workers],TblCalculs[Cluster],$B59,TblCalculs[Mois],Z$33))))</f>
        <v>6</v>
      </c>
      <c r="AA59" s="40">
        <f>IF(OR($A59="",AA$33=""),"",IF(ca_mesure="CPU",SUMIFS(TblCalculs[CPU provisionné],TblCalculs[Cluster],$B59,TblCalculs[Mois],AA$33),IF(ca_mesure="RAM",SUMIFS(TblCalculs[RAM provisionnée],TblCalculs[Cluster],$B59,TblCalculs[Mois],AA$33),SUMIFS(TblCalculs[Workers],TblCalculs[Cluster],$B59,TblCalculs[Mois],AA$33))))</f>
        <v>6</v>
      </c>
      <c r="AB59" s="40">
        <f>IF(OR($A59="",AB$33=""),"",IF(ca_mesure="CPU",SUMIFS(TblCalculs[CPU provisionné],TblCalculs[Cluster],$B59,TblCalculs[Mois],AB$33),IF(ca_mesure="RAM",SUMIFS(TblCalculs[RAM provisionnée],TblCalculs[Cluster],$B59,TblCalculs[Mois],AB$33),SUMIFS(TblCalculs[Workers],TblCalculs[Cluster],$B59,TblCalculs[Mois],AB$33))))</f>
        <v>6</v>
      </c>
      <c r="AC59" s="40">
        <f>IF(OR($A59="",AC$33=""),"",IF(ca_mesure="CPU",SUMIFS(TblCalculs[CPU provisionné],TblCalculs[Cluster],$B59,TblCalculs[Mois],AC$33),IF(ca_mesure="RAM",SUMIFS(TblCalculs[RAM provisionnée],TblCalculs[Cluster],$B59,TblCalculs[Mois],AC$33),SUMIFS(TblCalculs[Workers],TblCalculs[Cluster],$B59,TblCalculs[Mois],AC$33))))</f>
        <v>6</v>
      </c>
      <c r="AD59" s="40">
        <f>IF(OR($A59="",AD$33=""),"",IF(ca_mesure="CPU",SUMIFS(TblCalculs[CPU provisionné],TblCalculs[Cluster],$B59,TblCalculs[Mois],AD$33),IF(ca_mesure="RAM",SUMIFS(TblCalculs[RAM provisionnée],TblCalculs[Cluster],$B59,TblCalculs[Mois],AD$33),SUMIFS(TblCalculs[Workers],TblCalculs[Cluster],$B59,TblCalculs[Mois],AD$33))))</f>
        <v>6</v>
      </c>
      <c r="AE59" s="40">
        <f>IF(OR($A59="",AE$33=""),"",IF(ca_mesure="CPU",SUMIFS(TblCalculs[CPU provisionné],TblCalculs[Cluster],$B59,TblCalculs[Mois],AE$33),IF(ca_mesure="RAM",SUMIFS(TblCalculs[RAM provisionnée],TblCalculs[Cluster],$B59,TblCalculs[Mois],AE$33),SUMIFS(TblCalculs[Workers],TblCalculs[Cluster],$B59,TblCalculs[Mois],AE$33))))</f>
        <v>6</v>
      </c>
      <c r="AF59" s="40">
        <f>IF(OR($A59="",AF$33=""),"",IF(ca_mesure="CPU",SUMIFS(TblCalculs[CPU provisionné],TblCalculs[Cluster],$B59,TblCalculs[Mois],AF$33),IF(ca_mesure="RAM",SUMIFS(TblCalculs[RAM provisionnée],TblCalculs[Cluster],$B59,TblCalculs[Mois],AF$33),SUMIFS(TblCalculs[Workers],TblCalculs[Cluster],$B59,TblCalculs[Mois],AF$33))))</f>
        <v>6</v>
      </c>
      <c r="AG59" s="40">
        <f>IF(OR($A59="",AG$33=""),"",IF(ca_mesure="CPU",SUMIFS(TblCalculs[CPU provisionné],TblCalculs[Cluster],$B59,TblCalculs[Mois],AG$33),IF(ca_mesure="RAM",SUMIFS(TblCalculs[RAM provisionnée],TblCalculs[Cluster],$B59,TblCalculs[Mois],AG$33),SUMIFS(TblCalculs[Workers],TblCalculs[Cluster],$B59,TblCalculs[Mois],AG$33))))</f>
        <v>6</v>
      </c>
      <c r="AH59" s="40">
        <f>IF(OR($A59="",AH$33=""),"",IF(ca_mesure="CPU",SUMIFS(TblCalculs[CPU provisionné],TblCalculs[Cluster],$B59,TblCalculs[Mois],AH$33),IF(ca_mesure="RAM",SUMIFS(TblCalculs[RAM provisionnée],TblCalculs[Cluster],$B59,TblCalculs[Mois],AH$33),SUMIFS(TblCalculs[Workers],TblCalculs[Cluster],$B59,TblCalculs[Mois],AH$33))))</f>
        <v>6</v>
      </c>
      <c r="AI59" s="40">
        <f>IF(OR($A59="",AI$33=""),"",IF(ca_mesure="CPU",SUMIFS(TblCalculs[CPU provisionné],TblCalculs[Cluster],$B59,TblCalculs[Mois],AI$33),IF(ca_mesure="RAM",SUMIFS(TblCalculs[RAM provisionnée],TblCalculs[Cluster],$B59,TblCalculs[Mois],AI$33),SUMIFS(TblCalculs[Workers],TblCalculs[Cluster],$B59,TblCalculs[Mois],AI$33))))</f>
        <v>6</v>
      </c>
      <c r="AJ59" s="40">
        <f>IF(OR($A59="",AJ$33=""),"",IF(ca_mesure="CPU",SUMIFS(TblCalculs[CPU provisionné],TblCalculs[Cluster],$B59,TblCalculs[Mois],AJ$33),IF(ca_mesure="RAM",SUMIFS(TblCalculs[RAM provisionnée],TblCalculs[Cluster],$B59,TblCalculs[Mois],AJ$33),SUMIFS(TblCalculs[Workers],TblCalculs[Cluster],$B59,TblCalculs[Mois],AJ$33))))</f>
        <v>6</v>
      </c>
      <c r="AK59" s="40">
        <f>IF(OR($A59="",AK$33=""),"",IF(ca_mesure="CPU",SUMIFS(TblCalculs[CPU provisionné],TblCalculs[Cluster],$B59,TblCalculs[Mois],AK$33),IF(ca_mesure="RAM",SUMIFS(TblCalculs[RAM provisionnée],TblCalculs[Cluster],$B59,TblCalculs[Mois],AK$33),SUMIFS(TblCalculs[Workers],TblCalculs[Cluster],$B59,TblCalculs[Mois],AK$33))))</f>
        <v>6</v>
      </c>
      <c r="AL59" s="40">
        <f>IF(OR($A59="",AL$33=""),"",IF(ca_mesure="CPU",SUMIFS(TblCalculs[CPU provisionné],TblCalculs[Cluster],$B59,TblCalculs[Mois],AL$33),IF(ca_mesure="RAM",SUMIFS(TblCalculs[RAM provisionnée],TblCalculs[Cluster],$B59,TblCalculs[Mois],AL$33),SUMIFS(TblCalculs[Workers],TblCalculs[Cluster],$B59,TblCalculs[Mois],AL$33))))</f>
        <v>6</v>
      </c>
      <c r="AM59" s="40">
        <f>IF(OR($A59="",AM$33=""),"",IF(ca_mesure="CPU",SUMIFS(TblCalculs[CPU provisionné],TblCalculs[Cluster],$B59,TblCalculs[Mois],AM$33),IF(ca_mesure="RAM",SUMIFS(TblCalculs[RAM provisionnée],TblCalculs[Cluster],$B59,TblCalculs[Mois],AM$33),SUMIFS(TblCalculs[Workers],TblCalculs[Cluster],$B59,TblCalculs[Mois],AM$33))))</f>
        <v>6</v>
      </c>
      <c r="AN59" s="40">
        <f>IF(OR($A59="",AN$33=""),"",IF(ca_mesure="CPU",SUMIFS(TblCalculs[CPU provisionné],TblCalculs[Cluster],$B59,TblCalculs[Mois],AN$33),IF(ca_mesure="RAM",SUMIFS(TblCalculs[RAM provisionnée],TblCalculs[Cluster],$B59,TblCalculs[Mois],AN$33),SUMIFS(TblCalculs[Workers],TblCalculs[Cluster],$B59,TblCalculs[Mois],AN$33))))</f>
        <v>6</v>
      </c>
      <c r="AO59" s="40">
        <f>IF(OR($A59="",AO$33=""),"",IF(ca_mesure="CPU",SUMIFS(TblCalculs[CPU provisionné],TblCalculs[Cluster],$B59,TblCalculs[Mois],AO$33),IF(ca_mesure="RAM",SUMIFS(TblCalculs[RAM provisionnée],TblCalculs[Cluster],$B59,TblCalculs[Mois],AO$33),SUMIFS(TblCalculs[Workers],TblCalculs[Cluster],$B59,TblCalculs[Mois],AO$33))))</f>
        <v>6</v>
      </c>
    </row>
    <row r="60" spans="1:41" x14ac:dyDescent="0.2">
      <c r="A60" s="37">
        <f>IFERROR(MATCH(27,TblClusters[Rang capacités],0),"")</f>
        <v>27</v>
      </c>
      <c r="B60" s="38" t="str">
        <f>IF($A60="","",INDEX(TblClusters[Cluster],$A60))</f>
        <v>ku002i000908</v>
      </c>
      <c r="C60" s="39" t="str">
        <f>IF($A60="","",INDEX(TblClusters[Plateforme],$A60))</f>
        <v>IKS</v>
      </c>
      <c r="D60" s="39" t="str">
        <f>IF($A60="","",INDEX(TblClusters[Environnement],$A60))</f>
        <v>PRD</v>
      </c>
      <c r="E60" s="39" t="str">
        <f>IF($A60="","",INDEX(TblClusters[Flavor],$A60))</f>
        <v>mx2-32x256</v>
      </c>
      <c r="F60" s="40">
        <f>IF(OR($A60="",F$33=""),"",IF(ca_mesure="CPU",SUMIFS(TblCalculs[CPU provisionné],TblCalculs[Cluster],$B60,TblCalculs[Mois],F$33),IF(ca_mesure="RAM",SUMIFS(TblCalculs[RAM provisionnée],TblCalculs[Cluster],$B60,TblCalculs[Mois],F$33),SUMIFS(TblCalculs[Workers],TblCalculs[Cluster],$B60,TblCalculs[Mois],F$33))))</f>
        <v>6</v>
      </c>
      <c r="G60" s="40">
        <f>IF(OR($A60="",G$33=""),"",IF(ca_mesure="CPU",SUMIFS(TblCalculs[CPU provisionné],TblCalculs[Cluster],$B60,TblCalculs[Mois],G$33),IF(ca_mesure="RAM",SUMIFS(TblCalculs[RAM provisionnée],TblCalculs[Cluster],$B60,TblCalculs[Mois],G$33),SUMIFS(TblCalculs[Workers],TblCalculs[Cluster],$B60,TblCalculs[Mois],G$33))))</f>
        <v>6</v>
      </c>
      <c r="H60" s="40">
        <f>IF(OR($A60="",H$33=""),"",IF(ca_mesure="CPU",SUMIFS(TblCalculs[CPU provisionné],TblCalculs[Cluster],$B60,TblCalculs[Mois],H$33),IF(ca_mesure="RAM",SUMIFS(TblCalculs[RAM provisionnée],TblCalculs[Cluster],$B60,TblCalculs[Mois],H$33),SUMIFS(TblCalculs[Workers],TblCalculs[Cluster],$B60,TblCalculs[Mois],H$33))))</f>
        <v>6</v>
      </c>
      <c r="I60" s="40">
        <f>IF(OR($A60="",I$33=""),"",IF(ca_mesure="CPU",SUMIFS(TblCalculs[CPU provisionné],TblCalculs[Cluster],$B60,TblCalculs[Mois],I$33),IF(ca_mesure="RAM",SUMIFS(TblCalculs[RAM provisionnée],TblCalculs[Cluster],$B60,TblCalculs[Mois],I$33),SUMIFS(TblCalculs[Workers],TblCalculs[Cluster],$B60,TblCalculs[Mois],I$33))))</f>
        <v>6</v>
      </c>
      <c r="J60" s="40">
        <f>IF(OR($A60="",J$33=""),"",IF(ca_mesure="CPU",SUMIFS(TblCalculs[CPU provisionné],TblCalculs[Cluster],$B60,TblCalculs[Mois],J$33),IF(ca_mesure="RAM",SUMIFS(TblCalculs[RAM provisionnée],TblCalculs[Cluster],$B60,TblCalculs[Mois],J$33),SUMIFS(TblCalculs[Workers],TblCalculs[Cluster],$B60,TblCalculs[Mois],J$33))))</f>
        <v>6</v>
      </c>
      <c r="K60" s="40">
        <f>IF(OR($A60="",K$33=""),"",IF(ca_mesure="CPU",SUMIFS(TblCalculs[CPU provisionné],TblCalculs[Cluster],$B60,TblCalculs[Mois],K$33),IF(ca_mesure="RAM",SUMIFS(TblCalculs[RAM provisionnée],TblCalculs[Cluster],$B60,TblCalculs[Mois],K$33),SUMIFS(TblCalculs[Workers],TblCalculs[Cluster],$B60,TblCalculs[Mois],K$33))))</f>
        <v>6</v>
      </c>
      <c r="L60" s="40">
        <f>IF(OR($A60="",L$33=""),"",IF(ca_mesure="CPU",SUMIFS(TblCalculs[CPU provisionné],TblCalculs[Cluster],$B60,TblCalculs[Mois],L$33),IF(ca_mesure="RAM",SUMIFS(TblCalculs[RAM provisionnée],TblCalculs[Cluster],$B60,TblCalculs[Mois],L$33),SUMIFS(TblCalculs[Workers],TblCalculs[Cluster],$B60,TblCalculs[Mois],L$33))))</f>
        <v>6</v>
      </c>
      <c r="M60" s="40">
        <f>IF(OR($A60="",M$33=""),"",IF(ca_mesure="CPU",SUMIFS(TblCalculs[CPU provisionné],TblCalculs[Cluster],$B60,TblCalculs[Mois],M$33),IF(ca_mesure="RAM",SUMIFS(TblCalculs[RAM provisionnée],TblCalculs[Cluster],$B60,TblCalculs[Mois],M$33),SUMIFS(TblCalculs[Workers],TblCalculs[Cluster],$B60,TblCalculs[Mois],M$33))))</f>
        <v>6</v>
      </c>
      <c r="N60" s="40">
        <f>IF(OR($A60="",N$33=""),"",IF(ca_mesure="CPU",SUMIFS(TblCalculs[CPU provisionné],TblCalculs[Cluster],$B60,TblCalculs[Mois],N$33),IF(ca_mesure="RAM",SUMIFS(TblCalculs[RAM provisionnée],TblCalculs[Cluster],$B60,TblCalculs[Mois],N$33),SUMIFS(TblCalculs[Workers],TblCalculs[Cluster],$B60,TblCalculs[Mois],N$33))))</f>
        <v>6</v>
      </c>
      <c r="O60" s="40">
        <f>IF(OR($A60="",O$33=""),"",IF(ca_mesure="CPU",SUMIFS(TblCalculs[CPU provisionné],TblCalculs[Cluster],$B60,TblCalculs[Mois],O$33),IF(ca_mesure="RAM",SUMIFS(TblCalculs[RAM provisionnée],TblCalculs[Cluster],$B60,TblCalculs[Mois],O$33),SUMIFS(TblCalculs[Workers],TblCalculs[Cluster],$B60,TblCalculs[Mois],O$33))))</f>
        <v>6</v>
      </c>
      <c r="P60" s="40">
        <f>IF(OR($A60="",P$33=""),"",IF(ca_mesure="CPU",SUMIFS(TblCalculs[CPU provisionné],TblCalculs[Cluster],$B60,TblCalculs[Mois],P$33),IF(ca_mesure="RAM",SUMIFS(TblCalculs[RAM provisionnée],TblCalculs[Cluster],$B60,TblCalculs[Mois],P$33),SUMIFS(TblCalculs[Workers],TblCalculs[Cluster],$B60,TblCalculs[Mois],P$33))))</f>
        <v>6</v>
      </c>
      <c r="Q60" s="40">
        <f>IF(OR($A60="",Q$33=""),"",IF(ca_mesure="CPU",SUMIFS(TblCalculs[CPU provisionné],TblCalculs[Cluster],$B60,TblCalculs[Mois],Q$33),IF(ca_mesure="RAM",SUMIFS(TblCalculs[RAM provisionnée],TblCalculs[Cluster],$B60,TblCalculs[Mois],Q$33),SUMIFS(TblCalculs[Workers],TblCalculs[Cluster],$B60,TblCalculs[Mois],Q$33))))</f>
        <v>6</v>
      </c>
      <c r="R60" s="40">
        <f>IF(OR($A60="",R$33=""),"",IF(ca_mesure="CPU",SUMIFS(TblCalculs[CPU provisionné],TblCalculs[Cluster],$B60,TblCalculs[Mois],R$33),IF(ca_mesure="RAM",SUMIFS(TblCalculs[RAM provisionnée],TblCalculs[Cluster],$B60,TblCalculs[Mois],R$33),SUMIFS(TblCalculs[Workers],TblCalculs[Cluster],$B60,TblCalculs[Mois],R$33))))</f>
        <v>6</v>
      </c>
      <c r="S60" s="40">
        <f>IF(OR($A60="",S$33=""),"",IF(ca_mesure="CPU",SUMIFS(TblCalculs[CPU provisionné],TblCalculs[Cluster],$B60,TblCalculs[Mois],S$33),IF(ca_mesure="RAM",SUMIFS(TblCalculs[RAM provisionnée],TblCalculs[Cluster],$B60,TblCalculs[Mois],S$33),SUMIFS(TblCalculs[Workers],TblCalculs[Cluster],$B60,TblCalculs[Mois],S$33))))</f>
        <v>6</v>
      </c>
      <c r="T60" s="40">
        <f>IF(OR($A60="",T$33=""),"",IF(ca_mesure="CPU",SUMIFS(TblCalculs[CPU provisionné],TblCalculs[Cluster],$B60,TblCalculs[Mois],T$33),IF(ca_mesure="RAM",SUMIFS(TblCalculs[RAM provisionnée],TblCalculs[Cluster],$B60,TblCalculs[Mois],T$33),SUMIFS(TblCalculs[Workers],TblCalculs[Cluster],$B60,TblCalculs[Mois],T$33))))</f>
        <v>6</v>
      </c>
      <c r="U60" s="40">
        <f>IF(OR($A60="",U$33=""),"",IF(ca_mesure="CPU",SUMIFS(TblCalculs[CPU provisionné],TblCalculs[Cluster],$B60,TblCalculs[Mois],U$33),IF(ca_mesure="RAM",SUMIFS(TblCalculs[RAM provisionnée],TblCalculs[Cluster],$B60,TblCalculs[Mois],U$33),SUMIFS(TblCalculs[Workers],TblCalculs[Cluster],$B60,TblCalculs[Mois],U$33))))</f>
        <v>6</v>
      </c>
      <c r="V60" s="40">
        <f>IF(OR($A60="",V$33=""),"",IF(ca_mesure="CPU",SUMIFS(TblCalculs[CPU provisionné],TblCalculs[Cluster],$B60,TblCalculs[Mois],V$33),IF(ca_mesure="RAM",SUMIFS(TblCalculs[RAM provisionnée],TblCalculs[Cluster],$B60,TblCalculs[Mois],V$33),SUMIFS(TblCalculs[Workers],TblCalculs[Cluster],$B60,TblCalculs[Mois],V$33))))</f>
        <v>6</v>
      </c>
      <c r="W60" s="40">
        <f>IF(OR($A60="",W$33=""),"",IF(ca_mesure="CPU",SUMIFS(TblCalculs[CPU provisionné],TblCalculs[Cluster],$B60,TblCalculs[Mois],W$33),IF(ca_mesure="RAM",SUMIFS(TblCalculs[RAM provisionnée],TblCalculs[Cluster],$B60,TblCalculs[Mois],W$33),SUMIFS(TblCalculs[Workers],TblCalculs[Cluster],$B60,TblCalculs[Mois],W$33))))</f>
        <v>6</v>
      </c>
      <c r="X60" s="40">
        <f>IF(OR($A60="",X$33=""),"",IF(ca_mesure="CPU",SUMIFS(TblCalculs[CPU provisionné],TblCalculs[Cluster],$B60,TblCalculs[Mois],X$33),IF(ca_mesure="RAM",SUMIFS(TblCalculs[RAM provisionnée],TblCalculs[Cluster],$B60,TblCalculs[Mois],X$33),SUMIFS(TblCalculs[Workers],TblCalculs[Cluster],$B60,TblCalculs[Mois],X$33))))</f>
        <v>6</v>
      </c>
      <c r="Y60" s="40">
        <f>IF(OR($A60="",Y$33=""),"",IF(ca_mesure="CPU",SUMIFS(TblCalculs[CPU provisionné],TblCalculs[Cluster],$B60,TblCalculs[Mois],Y$33),IF(ca_mesure="RAM",SUMIFS(TblCalculs[RAM provisionnée],TblCalculs[Cluster],$B60,TblCalculs[Mois],Y$33),SUMIFS(TblCalculs[Workers],TblCalculs[Cluster],$B60,TblCalculs[Mois],Y$33))))</f>
        <v>6</v>
      </c>
      <c r="Z60" s="40">
        <f>IF(OR($A60="",Z$33=""),"",IF(ca_mesure="CPU",SUMIFS(TblCalculs[CPU provisionné],TblCalculs[Cluster],$B60,TblCalculs[Mois],Z$33),IF(ca_mesure="RAM",SUMIFS(TblCalculs[RAM provisionnée],TblCalculs[Cluster],$B60,TblCalculs[Mois],Z$33),SUMIFS(TblCalculs[Workers],TblCalculs[Cluster],$B60,TblCalculs[Mois],Z$33))))</f>
        <v>6</v>
      </c>
      <c r="AA60" s="40">
        <f>IF(OR($A60="",AA$33=""),"",IF(ca_mesure="CPU",SUMIFS(TblCalculs[CPU provisionné],TblCalculs[Cluster],$B60,TblCalculs[Mois],AA$33),IF(ca_mesure="RAM",SUMIFS(TblCalculs[RAM provisionnée],TblCalculs[Cluster],$B60,TblCalculs[Mois],AA$33),SUMIFS(TblCalculs[Workers],TblCalculs[Cluster],$B60,TblCalculs[Mois],AA$33))))</f>
        <v>6</v>
      </c>
      <c r="AB60" s="40">
        <f>IF(OR($A60="",AB$33=""),"",IF(ca_mesure="CPU",SUMIFS(TblCalculs[CPU provisionné],TblCalculs[Cluster],$B60,TblCalculs[Mois],AB$33),IF(ca_mesure="RAM",SUMIFS(TblCalculs[RAM provisionnée],TblCalculs[Cluster],$B60,TblCalculs[Mois],AB$33),SUMIFS(TblCalculs[Workers],TblCalculs[Cluster],$B60,TblCalculs[Mois],AB$33))))</f>
        <v>6</v>
      </c>
      <c r="AC60" s="40">
        <f>IF(OR($A60="",AC$33=""),"",IF(ca_mesure="CPU",SUMIFS(TblCalculs[CPU provisionné],TblCalculs[Cluster],$B60,TblCalculs[Mois],AC$33),IF(ca_mesure="RAM",SUMIFS(TblCalculs[RAM provisionnée],TblCalculs[Cluster],$B60,TblCalculs[Mois],AC$33),SUMIFS(TblCalculs[Workers],TblCalculs[Cluster],$B60,TblCalculs[Mois],AC$33))))</f>
        <v>6</v>
      </c>
      <c r="AD60" s="40">
        <f>IF(OR($A60="",AD$33=""),"",IF(ca_mesure="CPU",SUMIFS(TblCalculs[CPU provisionné],TblCalculs[Cluster],$B60,TblCalculs[Mois],AD$33),IF(ca_mesure="RAM",SUMIFS(TblCalculs[RAM provisionnée],TblCalculs[Cluster],$B60,TblCalculs[Mois],AD$33),SUMIFS(TblCalculs[Workers],TblCalculs[Cluster],$B60,TblCalculs[Mois],AD$33))))</f>
        <v>6</v>
      </c>
      <c r="AE60" s="40">
        <f>IF(OR($A60="",AE$33=""),"",IF(ca_mesure="CPU",SUMIFS(TblCalculs[CPU provisionné],TblCalculs[Cluster],$B60,TblCalculs[Mois],AE$33),IF(ca_mesure="RAM",SUMIFS(TblCalculs[RAM provisionnée],TblCalculs[Cluster],$B60,TblCalculs[Mois],AE$33),SUMIFS(TblCalculs[Workers],TblCalculs[Cluster],$B60,TblCalculs[Mois],AE$33))))</f>
        <v>6</v>
      </c>
      <c r="AF60" s="40">
        <f>IF(OR($A60="",AF$33=""),"",IF(ca_mesure="CPU",SUMIFS(TblCalculs[CPU provisionné],TblCalculs[Cluster],$B60,TblCalculs[Mois],AF$33),IF(ca_mesure="RAM",SUMIFS(TblCalculs[RAM provisionnée],TblCalculs[Cluster],$B60,TblCalculs[Mois],AF$33),SUMIFS(TblCalculs[Workers],TblCalculs[Cluster],$B60,TblCalculs[Mois],AF$33))))</f>
        <v>6</v>
      </c>
      <c r="AG60" s="40">
        <f>IF(OR($A60="",AG$33=""),"",IF(ca_mesure="CPU",SUMIFS(TblCalculs[CPU provisionné],TblCalculs[Cluster],$B60,TblCalculs[Mois],AG$33),IF(ca_mesure="RAM",SUMIFS(TblCalculs[RAM provisionnée],TblCalculs[Cluster],$B60,TblCalculs[Mois],AG$33),SUMIFS(TblCalculs[Workers],TblCalculs[Cluster],$B60,TblCalculs[Mois],AG$33))))</f>
        <v>6</v>
      </c>
      <c r="AH60" s="40">
        <f>IF(OR($A60="",AH$33=""),"",IF(ca_mesure="CPU",SUMIFS(TblCalculs[CPU provisionné],TblCalculs[Cluster],$B60,TblCalculs[Mois],AH$33),IF(ca_mesure="RAM",SUMIFS(TblCalculs[RAM provisionnée],TblCalculs[Cluster],$B60,TblCalculs[Mois],AH$33),SUMIFS(TblCalculs[Workers],TblCalculs[Cluster],$B60,TblCalculs[Mois],AH$33))))</f>
        <v>6</v>
      </c>
      <c r="AI60" s="40">
        <f>IF(OR($A60="",AI$33=""),"",IF(ca_mesure="CPU",SUMIFS(TblCalculs[CPU provisionné],TblCalculs[Cluster],$B60,TblCalculs[Mois],AI$33),IF(ca_mesure="RAM",SUMIFS(TblCalculs[RAM provisionnée],TblCalculs[Cluster],$B60,TblCalculs[Mois],AI$33),SUMIFS(TblCalculs[Workers],TblCalculs[Cluster],$B60,TblCalculs[Mois],AI$33))))</f>
        <v>6</v>
      </c>
      <c r="AJ60" s="40">
        <f>IF(OR($A60="",AJ$33=""),"",IF(ca_mesure="CPU",SUMIFS(TblCalculs[CPU provisionné],TblCalculs[Cluster],$B60,TblCalculs[Mois],AJ$33),IF(ca_mesure="RAM",SUMIFS(TblCalculs[RAM provisionnée],TblCalculs[Cluster],$B60,TblCalculs[Mois],AJ$33),SUMIFS(TblCalculs[Workers],TblCalculs[Cluster],$B60,TblCalculs[Mois],AJ$33))))</f>
        <v>6</v>
      </c>
      <c r="AK60" s="40">
        <f>IF(OR($A60="",AK$33=""),"",IF(ca_mesure="CPU",SUMIFS(TblCalculs[CPU provisionné],TblCalculs[Cluster],$B60,TblCalculs[Mois],AK$33),IF(ca_mesure="RAM",SUMIFS(TblCalculs[RAM provisionnée],TblCalculs[Cluster],$B60,TblCalculs[Mois],AK$33),SUMIFS(TblCalculs[Workers],TblCalculs[Cluster],$B60,TblCalculs[Mois],AK$33))))</f>
        <v>6</v>
      </c>
      <c r="AL60" s="40">
        <f>IF(OR($A60="",AL$33=""),"",IF(ca_mesure="CPU",SUMIFS(TblCalculs[CPU provisionné],TblCalculs[Cluster],$B60,TblCalculs[Mois],AL$33),IF(ca_mesure="RAM",SUMIFS(TblCalculs[RAM provisionnée],TblCalculs[Cluster],$B60,TblCalculs[Mois],AL$33),SUMIFS(TblCalculs[Workers],TblCalculs[Cluster],$B60,TblCalculs[Mois],AL$33))))</f>
        <v>6</v>
      </c>
      <c r="AM60" s="40">
        <f>IF(OR($A60="",AM$33=""),"",IF(ca_mesure="CPU",SUMIFS(TblCalculs[CPU provisionné],TblCalculs[Cluster],$B60,TblCalculs[Mois],AM$33),IF(ca_mesure="RAM",SUMIFS(TblCalculs[RAM provisionnée],TblCalculs[Cluster],$B60,TblCalculs[Mois],AM$33),SUMIFS(TblCalculs[Workers],TblCalculs[Cluster],$B60,TblCalculs[Mois],AM$33))))</f>
        <v>6</v>
      </c>
      <c r="AN60" s="40">
        <f>IF(OR($A60="",AN$33=""),"",IF(ca_mesure="CPU",SUMIFS(TblCalculs[CPU provisionné],TblCalculs[Cluster],$B60,TblCalculs[Mois],AN$33),IF(ca_mesure="RAM",SUMIFS(TblCalculs[RAM provisionnée],TblCalculs[Cluster],$B60,TblCalculs[Mois],AN$33),SUMIFS(TblCalculs[Workers],TblCalculs[Cluster],$B60,TblCalculs[Mois],AN$33))))</f>
        <v>6</v>
      </c>
      <c r="AO60" s="40">
        <f>IF(OR($A60="",AO$33=""),"",IF(ca_mesure="CPU",SUMIFS(TblCalculs[CPU provisionné],TblCalculs[Cluster],$B60,TblCalculs[Mois],AO$33),IF(ca_mesure="RAM",SUMIFS(TblCalculs[RAM provisionnée],TblCalculs[Cluster],$B60,TblCalculs[Mois],AO$33),SUMIFS(TblCalculs[Workers],TblCalculs[Cluster],$B60,TblCalculs[Mois],AO$33))))</f>
        <v>6</v>
      </c>
    </row>
    <row r="61" spans="1:41" x14ac:dyDescent="0.2">
      <c r="A61" s="37">
        <f>IFERROR(MATCH(28,TblClusters[Rang capacités],0),"")</f>
        <v>28</v>
      </c>
      <c r="B61" s="38" t="str">
        <f>IF($A61="","",INDEX(TblClusters[Cluster],$A61))</f>
        <v>ku002i001021</v>
      </c>
      <c r="C61" s="39" t="str">
        <f>IF($A61="","",INDEX(TblClusters[Plateforme],$A61))</f>
        <v>IKS</v>
      </c>
      <c r="D61" s="39" t="str">
        <f>IF($A61="","",INDEX(TblClusters[Environnement],$A61))</f>
        <v>NPRD</v>
      </c>
      <c r="E61" s="39" t="str">
        <f>IF($A61="","",INDEX(TblClusters[Flavor],$A61))</f>
        <v>mx2-32x256</v>
      </c>
      <c r="F61" s="40">
        <f>IF(OR($A61="",F$33=""),"",IF(ca_mesure="CPU",SUMIFS(TblCalculs[CPU provisionné],TblCalculs[Cluster],$B61,TblCalculs[Mois],F$33),IF(ca_mesure="RAM",SUMIFS(TblCalculs[RAM provisionnée],TblCalculs[Cluster],$B61,TblCalculs[Mois],F$33),SUMIFS(TblCalculs[Workers],TblCalculs[Cluster],$B61,TblCalculs[Mois],F$33))))</f>
        <v>9</v>
      </c>
      <c r="G61" s="40">
        <f>IF(OR($A61="",G$33=""),"",IF(ca_mesure="CPU",SUMIFS(TblCalculs[CPU provisionné],TblCalculs[Cluster],$B61,TblCalculs[Mois],G$33),IF(ca_mesure="RAM",SUMIFS(TblCalculs[RAM provisionnée],TblCalculs[Cluster],$B61,TblCalculs[Mois],G$33),SUMIFS(TblCalculs[Workers],TblCalculs[Cluster],$B61,TblCalculs[Mois],G$33))))</f>
        <v>9</v>
      </c>
      <c r="H61" s="40">
        <f>IF(OR($A61="",H$33=""),"",IF(ca_mesure="CPU",SUMIFS(TblCalculs[CPU provisionné],TblCalculs[Cluster],$B61,TblCalculs[Mois],H$33),IF(ca_mesure="RAM",SUMIFS(TblCalculs[RAM provisionnée],TblCalculs[Cluster],$B61,TblCalculs[Mois],H$33),SUMIFS(TblCalculs[Workers],TblCalculs[Cluster],$B61,TblCalculs[Mois],H$33))))</f>
        <v>9</v>
      </c>
      <c r="I61" s="40">
        <f>IF(OR($A61="",I$33=""),"",IF(ca_mesure="CPU",SUMIFS(TblCalculs[CPU provisionné],TblCalculs[Cluster],$B61,TblCalculs[Mois],I$33),IF(ca_mesure="RAM",SUMIFS(TblCalculs[RAM provisionnée],TblCalculs[Cluster],$B61,TblCalculs[Mois],I$33),SUMIFS(TblCalculs[Workers],TblCalculs[Cluster],$B61,TblCalculs[Mois],I$33))))</f>
        <v>9</v>
      </c>
      <c r="J61" s="40">
        <f>IF(OR($A61="",J$33=""),"",IF(ca_mesure="CPU",SUMIFS(TblCalculs[CPU provisionné],TblCalculs[Cluster],$B61,TblCalculs[Mois],J$33),IF(ca_mesure="RAM",SUMIFS(TblCalculs[RAM provisionnée],TblCalculs[Cluster],$B61,TblCalculs[Mois],J$33),SUMIFS(TblCalculs[Workers],TblCalculs[Cluster],$B61,TblCalculs[Mois],J$33))))</f>
        <v>9</v>
      </c>
      <c r="K61" s="40">
        <f>IF(OR($A61="",K$33=""),"",IF(ca_mesure="CPU",SUMIFS(TblCalculs[CPU provisionné],TblCalculs[Cluster],$B61,TblCalculs[Mois],K$33),IF(ca_mesure="RAM",SUMIFS(TblCalculs[RAM provisionnée],TblCalculs[Cluster],$B61,TblCalculs[Mois],K$33),SUMIFS(TblCalculs[Workers],TblCalculs[Cluster],$B61,TblCalculs[Mois],K$33))))</f>
        <v>9</v>
      </c>
      <c r="L61" s="40">
        <f>IF(OR($A61="",L$33=""),"",IF(ca_mesure="CPU",SUMIFS(TblCalculs[CPU provisionné],TblCalculs[Cluster],$B61,TblCalculs[Mois],L$33),IF(ca_mesure="RAM",SUMIFS(TblCalculs[RAM provisionnée],TblCalculs[Cluster],$B61,TblCalculs[Mois],L$33),SUMIFS(TblCalculs[Workers],TblCalculs[Cluster],$B61,TblCalculs[Mois],L$33))))</f>
        <v>9</v>
      </c>
      <c r="M61" s="40">
        <f>IF(OR($A61="",M$33=""),"",IF(ca_mesure="CPU",SUMIFS(TblCalculs[CPU provisionné],TblCalculs[Cluster],$B61,TblCalculs[Mois],M$33),IF(ca_mesure="RAM",SUMIFS(TblCalculs[RAM provisionnée],TblCalculs[Cluster],$B61,TblCalculs[Mois],M$33),SUMIFS(TblCalculs[Workers],TblCalculs[Cluster],$B61,TblCalculs[Mois],M$33))))</f>
        <v>9</v>
      </c>
      <c r="N61" s="40">
        <f>IF(OR($A61="",N$33=""),"",IF(ca_mesure="CPU",SUMIFS(TblCalculs[CPU provisionné],TblCalculs[Cluster],$B61,TblCalculs[Mois],N$33),IF(ca_mesure="RAM",SUMIFS(TblCalculs[RAM provisionnée],TblCalculs[Cluster],$B61,TblCalculs[Mois],N$33),SUMIFS(TblCalculs[Workers],TblCalculs[Cluster],$B61,TblCalculs[Mois],N$33))))</f>
        <v>9</v>
      </c>
      <c r="O61" s="40">
        <f>IF(OR($A61="",O$33=""),"",IF(ca_mesure="CPU",SUMIFS(TblCalculs[CPU provisionné],TblCalculs[Cluster],$B61,TblCalculs[Mois],O$33),IF(ca_mesure="RAM",SUMIFS(TblCalculs[RAM provisionnée],TblCalculs[Cluster],$B61,TblCalculs[Mois],O$33),SUMIFS(TblCalculs[Workers],TblCalculs[Cluster],$B61,TblCalculs[Mois],O$33))))</f>
        <v>9</v>
      </c>
      <c r="P61" s="40">
        <f>IF(OR($A61="",P$33=""),"",IF(ca_mesure="CPU",SUMIFS(TblCalculs[CPU provisionné],TblCalculs[Cluster],$B61,TblCalculs[Mois],P$33),IF(ca_mesure="RAM",SUMIFS(TblCalculs[RAM provisionnée],TblCalculs[Cluster],$B61,TblCalculs[Mois],P$33),SUMIFS(TblCalculs[Workers],TblCalculs[Cluster],$B61,TblCalculs[Mois],P$33))))</f>
        <v>9</v>
      </c>
      <c r="Q61" s="40">
        <f>IF(OR($A61="",Q$33=""),"",IF(ca_mesure="CPU",SUMIFS(TblCalculs[CPU provisionné],TblCalculs[Cluster],$B61,TblCalculs[Mois],Q$33),IF(ca_mesure="RAM",SUMIFS(TblCalculs[RAM provisionnée],TblCalculs[Cluster],$B61,TblCalculs[Mois],Q$33),SUMIFS(TblCalculs[Workers],TblCalculs[Cluster],$B61,TblCalculs[Mois],Q$33))))</f>
        <v>9</v>
      </c>
      <c r="R61" s="40">
        <f>IF(OR($A61="",R$33=""),"",IF(ca_mesure="CPU",SUMIFS(TblCalculs[CPU provisionné],TblCalculs[Cluster],$B61,TblCalculs[Mois],R$33),IF(ca_mesure="RAM",SUMIFS(TblCalculs[RAM provisionnée],TblCalculs[Cluster],$B61,TblCalculs[Mois],R$33),SUMIFS(TblCalculs[Workers],TblCalculs[Cluster],$B61,TblCalculs[Mois],R$33))))</f>
        <v>9</v>
      </c>
      <c r="S61" s="40">
        <f>IF(OR($A61="",S$33=""),"",IF(ca_mesure="CPU",SUMIFS(TblCalculs[CPU provisionné],TblCalculs[Cluster],$B61,TblCalculs[Mois],S$33),IF(ca_mesure="RAM",SUMIFS(TblCalculs[RAM provisionnée],TblCalculs[Cluster],$B61,TblCalculs[Mois],S$33),SUMIFS(TblCalculs[Workers],TblCalculs[Cluster],$B61,TblCalculs[Mois],S$33))))</f>
        <v>9</v>
      </c>
      <c r="T61" s="40">
        <f>IF(OR($A61="",T$33=""),"",IF(ca_mesure="CPU",SUMIFS(TblCalculs[CPU provisionné],TblCalculs[Cluster],$B61,TblCalculs[Mois],T$33),IF(ca_mesure="RAM",SUMIFS(TblCalculs[RAM provisionnée],TblCalculs[Cluster],$B61,TblCalculs[Mois],T$33),SUMIFS(TblCalculs[Workers],TblCalculs[Cluster],$B61,TblCalculs[Mois],T$33))))</f>
        <v>9</v>
      </c>
      <c r="U61" s="40">
        <f>IF(OR($A61="",U$33=""),"",IF(ca_mesure="CPU",SUMIFS(TblCalculs[CPU provisionné],TblCalculs[Cluster],$B61,TblCalculs[Mois],U$33),IF(ca_mesure="RAM",SUMIFS(TblCalculs[RAM provisionnée],TblCalculs[Cluster],$B61,TblCalculs[Mois],U$33),SUMIFS(TblCalculs[Workers],TblCalculs[Cluster],$B61,TblCalculs[Mois],U$33))))</f>
        <v>9</v>
      </c>
      <c r="V61" s="40">
        <f>IF(OR($A61="",V$33=""),"",IF(ca_mesure="CPU",SUMIFS(TblCalculs[CPU provisionné],TblCalculs[Cluster],$B61,TblCalculs[Mois],V$33),IF(ca_mesure="RAM",SUMIFS(TblCalculs[RAM provisionnée],TblCalculs[Cluster],$B61,TblCalculs[Mois],V$33),SUMIFS(TblCalculs[Workers],TblCalculs[Cluster],$B61,TblCalculs[Mois],V$33))))</f>
        <v>9</v>
      </c>
      <c r="W61" s="40">
        <f>IF(OR($A61="",W$33=""),"",IF(ca_mesure="CPU",SUMIFS(TblCalculs[CPU provisionné],TblCalculs[Cluster],$B61,TblCalculs[Mois],W$33),IF(ca_mesure="RAM",SUMIFS(TblCalculs[RAM provisionnée],TblCalculs[Cluster],$B61,TblCalculs[Mois],W$33),SUMIFS(TblCalculs[Workers],TblCalculs[Cluster],$B61,TblCalculs[Mois],W$33))))</f>
        <v>9</v>
      </c>
      <c r="X61" s="40">
        <f>IF(OR($A61="",X$33=""),"",IF(ca_mesure="CPU",SUMIFS(TblCalculs[CPU provisionné],TblCalculs[Cluster],$B61,TblCalculs[Mois],X$33),IF(ca_mesure="RAM",SUMIFS(TblCalculs[RAM provisionnée],TblCalculs[Cluster],$B61,TblCalculs[Mois],X$33),SUMIFS(TblCalculs[Workers],TblCalculs[Cluster],$B61,TblCalculs[Mois],X$33))))</f>
        <v>9</v>
      </c>
      <c r="Y61" s="40">
        <f>IF(OR($A61="",Y$33=""),"",IF(ca_mesure="CPU",SUMIFS(TblCalculs[CPU provisionné],TblCalculs[Cluster],$B61,TblCalculs[Mois],Y$33),IF(ca_mesure="RAM",SUMIFS(TblCalculs[RAM provisionnée],TblCalculs[Cluster],$B61,TblCalculs[Mois],Y$33),SUMIFS(TblCalculs[Workers],TblCalculs[Cluster],$B61,TblCalculs[Mois],Y$33))))</f>
        <v>9</v>
      </c>
      <c r="Z61" s="40">
        <f>IF(OR($A61="",Z$33=""),"",IF(ca_mesure="CPU",SUMIFS(TblCalculs[CPU provisionné],TblCalculs[Cluster],$B61,TblCalculs[Mois],Z$33),IF(ca_mesure="RAM",SUMIFS(TblCalculs[RAM provisionnée],TblCalculs[Cluster],$B61,TblCalculs[Mois],Z$33),SUMIFS(TblCalculs[Workers],TblCalculs[Cluster],$B61,TblCalculs[Mois],Z$33))))</f>
        <v>9</v>
      </c>
      <c r="AA61" s="40">
        <f>IF(OR($A61="",AA$33=""),"",IF(ca_mesure="CPU",SUMIFS(TblCalculs[CPU provisionné],TblCalculs[Cluster],$B61,TblCalculs[Mois],AA$33),IF(ca_mesure="RAM",SUMIFS(TblCalculs[RAM provisionnée],TblCalculs[Cluster],$B61,TblCalculs[Mois],AA$33),SUMIFS(TblCalculs[Workers],TblCalculs[Cluster],$B61,TblCalculs[Mois],AA$33))))</f>
        <v>9</v>
      </c>
      <c r="AB61" s="40">
        <f>IF(OR($A61="",AB$33=""),"",IF(ca_mesure="CPU",SUMIFS(TblCalculs[CPU provisionné],TblCalculs[Cluster],$B61,TblCalculs[Mois],AB$33),IF(ca_mesure="RAM",SUMIFS(TblCalculs[RAM provisionnée],TblCalculs[Cluster],$B61,TblCalculs[Mois],AB$33),SUMIFS(TblCalculs[Workers],TblCalculs[Cluster],$B61,TblCalculs[Mois],AB$33))))</f>
        <v>9</v>
      </c>
      <c r="AC61" s="40">
        <f>IF(OR($A61="",AC$33=""),"",IF(ca_mesure="CPU",SUMIFS(TblCalculs[CPU provisionné],TblCalculs[Cluster],$B61,TblCalculs[Mois],AC$33),IF(ca_mesure="RAM",SUMIFS(TblCalculs[RAM provisionnée],TblCalculs[Cluster],$B61,TblCalculs[Mois],AC$33),SUMIFS(TblCalculs[Workers],TblCalculs[Cluster],$B61,TblCalculs[Mois],AC$33))))</f>
        <v>9</v>
      </c>
      <c r="AD61" s="40">
        <f>IF(OR($A61="",AD$33=""),"",IF(ca_mesure="CPU",SUMIFS(TblCalculs[CPU provisionné],TblCalculs[Cluster],$B61,TblCalculs[Mois],AD$33),IF(ca_mesure="RAM",SUMIFS(TblCalculs[RAM provisionnée],TblCalculs[Cluster],$B61,TblCalculs[Mois],AD$33),SUMIFS(TblCalculs[Workers],TblCalculs[Cluster],$B61,TblCalculs[Mois],AD$33))))</f>
        <v>9</v>
      </c>
      <c r="AE61" s="40">
        <f>IF(OR($A61="",AE$33=""),"",IF(ca_mesure="CPU",SUMIFS(TblCalculs[CPU provisionné],TblCalculs[Cluster],$B61,TblCalculs[Mois],AE$33),IF(ca_mesure="RAM",SUMIFS(TblCalculs[RAM provisionnée],TblCalculs[Cluster],$B61,TblCalculs[Mois],AE$33),SUMIFS(TblCalculs[Workers],TblCalculs[Cluster],$B61,TblCalculs[Mois],AE$33))))</f>
        <v>9</v>
      </c>
      <c r="AF61" s="40">
        <f>IF(OR($A61="",AF$33=""),"",IF(ca_mesure="CPU",SUMIFS(TblCalculs[CPU provisionné],TblCalculs[Cluster],$B61,TblCalculs[Mois],AF$33),IF(ca_mesure="RAM",SUMIFS(TblCalculs[RAM provisionnée],TblCalculs[Cluster],$B61,TblCalculs[Mois],AF$33),SUMIFS(TblCalculs[Workers],TblCalculs[Cluster],$B61,TblCalculs[Mois],AF$33))))</f>
        <v>9</v>
      </c>
      <c r="AG61" s="40">
        <f>IF(OR($A61="",AG$33=""),"",IF(ca_mesure="CPU",SUMIFS(TblCalculs[CPU provisionné],TblCalculs[Cluster],$B61,TblCalculs[Mois],AG$33),IF(ca_mesure="RAM",SUMIFS(TblCalculs[RAM provisionnée],TblCalculs[Cluster],$B61,TblCalculs[Mois],AG$33),SUMIFS(TblCalculs[Workers],TblCalculs[Cluster],$B61,TblCalculs[Mois],AG$33))))</f>
        <v>9</v>
      </c>
      <c r="AH61" s="40">
        <f>IF(OR($A61="",AH$33=""),"",IF(ca_mesure="CPU",SUMIFS(TblCalculs[CPU provisionné],TblCalculs[Cluster],$B61,TblCalculs[Mois],AH$33),IF(ca_mesure="RAM",SUMIFS(TblCalculs[RAM provisionnée],TblCalculs[Cluster],$B61,TblCalculs[Mois],AH$33),SUMIFS(TblCalculs[Workers],TblCalculs[Cluster],$B61,TblCalculs[Mois],AH$33))))</f>
        <v>9</v>
      </c>
      <c r="AI61" s="40">
        <f>IF(OR($A61="",AI$33=""),"",IF(ca_mesure="CPU",SUMIFS(TblCalculs[CPU provisionné],TblCalculs[Cluster],$B61,TblCalculs[Mois],AI$33),IF(ca_mesure="RAM",SUMIFS(TblCalculs[RAM provisionnée],TblCalculs[Cluster],$B61,TblCalculs[Mois],AI$33),SUMIFS(TblCalculs[Workers],TblCalculs[Cluster],$B61,TblCalculs[Mois],AI$33))))</f>
        <v>9</v>
      </c>
      <c r="AJ61" s="40">
        <f>IF(OR($A61="",AJ$33=""),"",IF(ca_mesure="CPU",SUMIFS(TblCalculs[CPU provisionné],TblCalculs[Cluster],$B61,TblCalculs[Mois],AJ$33),IF(ca_mesure="RAM",SUMIFS(TblCalculs[RAM provisionnée],TblCalculs[Cluster],$B61,TblCalculs[Mois],AJ$33),SUMIFS(TblCalculs[Workers],TblCalculs[Cluster],$B61,TblCalculs[Mois],AJ$33))))</f>
        <v>9</v>
      </c>
      <c r="AK61" s="40">
        <f>IF(OR($A61="",AK$33=""),"",IF(ca_mesure="CPU",SUMIFS(TblCalculs[CPU provisionné],TblCalculs[Cluster],$B61,TblCalculs[Mois],AK$33),IF(ca_mesure="RAM",SUMIFS(TblCalculs[RAM provisionnée],TblCalculs[Cluster],$B61,TblCalculs[Mois],AK$33),SUMIFS(TblCalculs[Workers],TblCalculs[Cluster],$B61,TblCalculs[Mois],AK$33))))</f>
        <v>9</v>
      </c>
      <c r="AL61" s="40">
        <f>IF(OR($A61="",AL$33=""),"",IF(ca_mesure="CPU",SUMIFS(TblCalculs[CPU provisionné],TblCalculs[Cluster],$B61,TblCalculs[Mois],AL$33),IF(ca_mesure="RAM",SUMIFS(TblCalculs[RAM provisionnée],TblCalculs[Cluster],$B61,TblCalculs[Mois],AL$33),SUMIFS(TblCalculs[Workers],TblCalculs[Cluster],$B61,TblCalculs[Mois],AL$33))))</f>
        <v>9</v>
      </c>
      <c r="AM61" s="40">
        <f>IF(OR($A61="",AM$33=""),"",IF(ca_mesure="CPU",SUMIFS(TblCalculs[CPU provisionné],TblCalculs[Cluster],$B61,TblCalculs[Mois],AM$33),IF(ca_mesure="RAM",SUMIFS(TblCalculs[RAM provisionnée],TblCalculs[Cluster],$B61,TblCalculs[Mois],AM$33),SUMIFS(TblCalculs[Workers],TblCalculs[Cluster],$B61,TblCalculs[Mois],AM$33))))</f>
        <v>9</v>
      </c>
      <c r="AN61" s="40">
        <f>IF(OR($A61="",AN$33=""),"",IF(ca_mesure="CPU",SUMIFS(TblCalculs[CPU provisionné],TblCalculs[Cluster],$B61,TblCalculs[Mois],AN$33),IF(ca_mesure="RAM",SUMIFS(TblCalculs[RAM provisionnée],TblCalculs[Cluster],$B61,TblCalculs[Mois],AN$33),SUMIFS(TblCalculs[Workers],TblCalculs[Cluster],$B61,TblCalculs[Mois],AN$33))))</f>
        <v>9</v>
      </c>
      <c r="AO61" s="40">
        <f>IF(OR($A61="",AO$33=""),"",IF(ca_mesure="CPU",SUMIFS(TblCalculs[CPU provisionné],TblCalculs[Cluster],$B61,TblCalculs[Mois],AO$33),IF(ca_mesure="RAM",SUMIFS(TblCalculs[RAM provisionnée],TblCalculs[Cluster],$B61,TblCalculs[Mois],AO$33),SUMIFS(TblCalculs[Workers],TblCalculs[Cluster],$B61,TblCalculs[Mois],AO$33))))</f>
        <v>9</v>
      </c>
    </row>
    <row r="62" spans="1:41" x14ac:dyDescent="0.2">
      <c r="A62" s="37">
        <f>IFERROR(MATCH(29,TblClusters[Rang capacités],0),"")</f>
        <v>29</v>
      </c>
      <c r="B62" s="38" t="str">
        <f>IF($A62="","",INDEX(TblClusters[Cluster],$A62))</f>
        <v>ku002i001071</v>
      </c>
      <c r="C62" s="39" t="str">
        <f>IF($A62="","",INDEX(TblClusters[Plateforme],$A62))</f>
        <v>IKS</v>
      </c>
      <c r="D62" s="39" t="str">
        <f>IF($A62="","",INDEX(TblClusters[Environnement],$A62))</f>
        <v>PRD</v>
      </c>
      <c r="E62" s="39" t="str">
        <f>IF($A62="","",INDEX(TblClusters[Flavor],$A62))</f>
        <v>mx2-64x512</v>
      </c>
      <c r="F62" s="40">
        <f>IF(OR($A62="",F$33=""),"",IF(ca_mesure="CPU",SUMIFS(TblCalculs[CPU provisionné],TblCalculs[Cluster],$B62,TblCalculs[Mois],F$33),IF(ca_mesure="RAM",SUMIFS(TblCalculs[RAM provisionnée],TblCalculs[Cluster],$B62,TblCalculs[Mois],F$33),SUMIFS(TblCalculs[Workers],TblCalculs[Cluster],$B62,TblCalculs[Mois],F$33))))</f>
        <v>6</v>
      </c>
      <c r="G62" s="40">
        <f>IF(OR($A62="",G$33=""),"",IF(ca_mesure="CPU",SUMIFS(TblCalculs[CPU provisionné],TblCalculs[Cluster],$B62,TblCalculs[Mois],G$33),IF(ca_mesure="RAM",SUMIFS(TblCalculs[RAM provisionnée],TblCalculs[Cluster],$B62,TblCalculs[Mois],G$33),SUMIFS(TblCalculs[Workers],TblCalculs[Cluster],$B62,TblCalculs[Mois],G$33))))</f>
        <v>6</v>
      </c>
      <c r="H62" s="40">
        <f>IF(OR($A62="",H$33=""),"",IF(ca_mesure="CPU",SUMIFS(TblCalculs[CPU provisionné],TblCalculs[Cluster],$B62,TblCalculs[Mois],H$33),IF(ca_mesure="RAM",SUMIFS(TblCalculs[RAM provisionnée],TblCalculs[Cluster],$B62,TblCalculs[Mois],H$33),SUMIFS(TblCalculs[Workers],TblCalculs[Cluster],$B62,TblCalculs[Mois],H$33))))</f>
        <v>6</v>
      </c>
      <c r="I62" s="40">
        <f>IF(OR($A62="",I$33=""),"",IF(ca_mesure="CPU",SUMIFS(TblCalculs[CPU provisionné],TblCalculs[Cluster],$B62,TblCalculs[Mois],I$33),IF(ca_mesure="RAM",SUMIFS(TblCalculs[RAM provisionnée],TblCalculs[Cluster],$B62,TblCalculs[Mois],I$33),SUMIFS(TblCalculs[Workers],TblCalculs[Cluster],$B62,TblCalculs[Mois],I$33))))</f>
        <v>6</v>
      </c>
      <c r="J62" s="40">
        <f>IF(OR($A62="",J$33=""),"",IF(ca_mesure="CPU",SUMIFS(TblCalculs[CPU provisionné],TblCalculs[Cluster],$B62,TblCalculs[Mois],J$33),IF(ca_mesure="RAM",SUMIFS(TblCalculs[RAM provisionnée],TblCalculs[Cluster],$B62,TblCalculs[Mois],J$33),SUMIFS(TblCalculs[Workers],TblCalculs[Cluster],$B62,TblCalculs[Mois],J$33))))</f>
        <v>6</v>
      </c>
      <c r="K62" s="40">
        <f>IF(OR($A62="",K$33=""),"",IF(ca_mesure="CPU",SUMIFS(TblCalculs[CPU provisionné],TblCalculs[Cluster],$B62,TblCalculs[Mois],K$33),IF(ca_mesure="RAM",SUMIFS(TblCalculs[RAM provisionnée],TblCalculs[Cluster],$B62,TblCalculs[Mois],K$33),SUMIFS(TblCalculs[Workers],TblCalculs[Cluster],$B62,TblCalculs[Mois],K$33))))</f>
        <v>6</v>
      </c>
      <c r="L62" s="40">
        <f>IF(OR($A62="",L$33=""),"",IF(ca_mesure="CPU",SUMIFS(TblCalculs[CPU provisionné],TblCalculs[Cluster],$B62,TblCalculs[Mois],L$33),IF(ca_mesure="RAM",SUMIFS(TblCalculs[RAM provisionnée],TblCalculs[Cluster],$B62,TblCalculs[Mois],L$33),SUMIFS(TblCalculs[Workers],TblCalculs[Cluster],$B62,TblCalculs[Mois],L$33))))</f>
        <v>6</v>
      </c>
      <c r="M62" s="40">
        <f>IF(OR($A62="",M$33=""),"",IF(ca_mesure="CPU",SUMIFS(TblCalculs[CPU provisionné],TblCalculs[Cluster],$B62,TblCalculs[Mois],M$33),IF(ca_mesure="RAM",SUMIFS(TblCalculs[RAM provisionnée],TblCalculs[Cluster],$B62,TblCalculs[Mois],M$33),SUMIFS(TblCalculs[Workers],TblCalculs[Cluster],$B62,TblCalculs[Mois],M$33))))</f>
        <v>6</v>
      </c>
      <c r="N62" s="40">
        <f>IF(OR($A62="",N$33=""),"",IF(ca_mesure="CPU",SUMIFS(TblCalculs[CPU provisionné],TblCalculs[Cluster],$B62,TblCalculs[Mois],N$33),IF(ca_mesure="RAM",SUMIFS(TblCalculs[RAM provisionnée],TblCalculs[Cluster],$B62,TblCalculs[Mois],N$33),SUMIFS(TblCalculs[Workers],TblCalculs[Cluster],$B62,TblCalculs[Mois],N$33))))</f>
        <v>6</v>
      </c>
      <c r="O62" s="40">
        <f>IF(OR($A62="",O$33=""),"",IF(ca_mesure="CPU",SUMIFS(TblCalculs[CPU provisionné],TblCalculs[Cluster],$B62,TblCalculs[Mois],O$33),IF(ca_mesure="RAM",SUMIFS(TblCalculs[RAM provisionnée],TblCalculs[Cluster],$B62,TblCalculs[Mois],O$33),SUMIFS(TblCalculs[Workers],TblCalculs[Cluster],$B62,TblCalculs[Mois],O$33))))</f>
        <v>6</v>
      </c>
      <c r="P62" s="40">
        <f>IF(OR($A62="",P$33=""),"",IF(ca_mesure="CPU",SUMIFS(TblCalculs[CPU provisionné],TblCalculs[Cluster],$B62,TblCalculs[Mois],P$33),IF(ca_mesure="RAM",SUMIFS(TblCalculs[RAM provisionnée],TblCalculs[Cluster],$B62,TblCalculs[Mois],P$33),SUMIFS(TblCalculs[Workers],TblCalculs[Cluster],$B62,TblCalculs[Mois],P$33))))</f>
        <v>6</v>
      </c>
      <c r="Q62" s="40">
        <f>IF(OR($A62="",Q$33=""),"",IF(ca_mesure="CPU",SUMIFS(TblCalculs[CPU provisionné],TblCalculs[Cluster],$B62,TblCalculs[Mois],Q$33),IF(ca_mesure="RAM",SUMIFS(TblCalculs[RAM provisionnée],TblCalculs[Cluster],$B62,TblCalculs[Mois],Q$33),SUMIFS(TblCalculs[Workers],TblCalculs[Cluster],$B62,TblCalculs[Mois],Q$33))))</f>
        <v>6</v>
      </c>
      <c r="R62" s="40">
        <f>IF(OR($A62="",R$33=""),"",IF(ca_mesure="CPU",SUMIFS(TblCalculs[CPU provisionné],TblCalculs[Cluster],$B62,TblCalculs[Mois],R$33),IF(ca_mesure="RAM",SUMIFS(TblCalculs[RAM provisionnée],TblCalculs[Cluster],$B62,TblCalculs[Mois],R$33),SUMIFS(TblCalculs[Workers],TblCalculs[Cluster],$B62,TblCalculs[Mois],R$33))))</f>
        <v>6</v>
      </c>
      <c r="S62" s="40">
        <f>IF(OR($A62="",S$33=""),"",IF(ca_mesure="CPU",SUMIFS(TblCalculs[CPU provisionné],TblCalculs[Cluster],$B62,TblCalculs[Mois],S$33),IF(ca_mesure="RAM",SUMIFS(TblCalculs[RAM provisionnée],TblCalculs[Cluster],$B62,TblCalculs[Mois],S$33),SUMIFS(TblCalculs[Workers],TblCalculs[Cluster],$B62,TblCalculs[Mois],S$33))))</f>
        <v>6</v>
      </c>
      <c r="T62" s="40">
        <f>IF(OR($A62="",T$33=""),"",IF(ca_mesure="CPU",SUMIFS(TblCalculs[CPU provisionné],TblCalculs[Cluster],$B62,TblCalculs[Mois],T$33),IF(ca_mesure="RAM",SUMIFS(TblCalculs[RAM provisionnée],TblCalculs[Cluster],$B62,TblCalculs[Mois],T$33),SUMIFS(TblCalculs[Workers],TblCalculs[Cluster],$B62,TblCalculs[Mois],T$33))))</f>
        <v>6</v>
      </c>
      <c r="U62" s="40">
        <f>IF(OR($A62="",U$33=""),"",IF(ca_mesure="CPU",SUMIFS(TblCalculs[CPU provisionné],TblCalculs[Cluster],$B62,TblCalculs[Mois],U$33),IF(ca_mesure="RAM",SUMIFS(TblCalculs[RAM provisionnée],TblCalculs[Cluster],$B62,TblCalculs[Mois],U$33),SUMIFS(TblCalculs[Workers],TblCalculs[Cluster],$B62,TblCalculs[Mois],U$33))))</f>
        <v>6</v>
      </c>
      <c r="V62" s="40">
        <f>IF(OR($A62="",V$33=""),"",IF(ca_mesure="CPU",SUMIFS(TblCalculs[CPU provisionné],TblCalculs[Cluster],$B62,TblCalculs[Mois],V$33),IF(ca_mesure="RAM",SUMIFS(TblCalculs[RAM provisionnée],TblCalculs[Cluster],$B62,TblCalculs[Mois],V$33),SUMIFS(TblCalculs[Workers],TblCalculs[Cluster],$B62,TblCalculs[Mois],V$33))))</f>
        <v>6</v>
      </c>
      <c r="W62" s="40">
        <f>IF(OR($A62="",W$33=""),"",IF(ca_mesure="CPU",SUMIFS(TblCalculs[CPU provisionné],TblCalculs[Cluster],$B62,TblCalculs[Mois],W$33),IF(ca_mesure="RAM",SUMIFS(TblCalculs[RAM provisionnée],TblCalculs[Cluster],$B62,TblCalculs[Mois],W$33),SUMIFS(TblCalculs[Workers],TblCalculs[Cluster],$B62,TblCalculs[Mois],W$33))))</f>
        <v>6</v>
      </c>
      <c r="X62" s="40">
        <f>IF(OR($A62="",X$33=""),"",IF(ca_mesure="CPU",SUMIFS(TblCalculs[CPU provisionné],TblCalculs[Cluster],$B62,TblCalculs[Mois],X$33),IF(ca_mesure="RAM",SUMIFS(TblCalculs[RAM provisionnée],TblCalculs[Cluster],$B62,TblCalculs[Mois],X$33),SUMIFS(TblCalculs[Workers],TblCalculs[Cluster],$B62,TblCalculs[Mois],X$33))))</f>
        <v>6</v>
      </c>
      <c r="Y62" s="40">
        <f>IF(OR($A62="",Y$33=""),"",IF(ca_mesure="CPU",SUMIFS(TblCalculs[CPU provisionné],TblCalculs[Cluster],$B62,TblCalculs[Mois],Y$33),IF(ca_mesure="RAM",SUMIFS(TblCalculs[RAM provisionnée],TblCalculs[Cluster],$B62,TblCalculs[Mois],Y$33),SUMIFS(TblCalculs[Workers],TblCalculs[Cluster],$B62,TblCalculs[Mois],Y$33))))</f>
        <v>6</v>
      </c>
      <c r="Z62" s="40">
        <f>IF(OR($A62="",Z$33=""),"",IF(ca_mesure="CPU",SUMIFS(TblCalculs[CPU provisionné],TblCalculs[Cluster],$B62,TblCalculs[Mois],Z$33),IF(ca_mesure="RAM",SUMIFS(TblCalculs[RAM provisionnée],TblCalculs[Cluster],$B62,TblCalculs[Mois],Z$33),SUMIFS(TblCalculs[Workers],TblCalculs[Cluster],$B62,TblCalculs[Mois],Z$33))))</f>
        <v>6</v>
      </c>
      <c r="AA62" s="40">
        <f>IF(OR($A62="",AA$33=""),"",IF(ca_mesure="CPU",SUMIFS(TblCalculs[CPU provisionné],TblCalculs[Cluster],$B62,TblCalculs[Mois],AA$33),IF(ca_mesure="RAM",SUMIFS(TblCalculs[RAM provisionnée],TblCalculs[Cluster],$B62,TblCalculs[Mois],AA$33),SUMIFS(TblCalculs[Workers],TblCalculs[Cluster],$B62,TblCalculs[Mois],AA$33))))</f>
        <v>6</v>
      </c>
      <c r="AB62" s="40">
        <f>IF(OR($A62="",AB$33=""),"",IF(ca_mesure="CPU",SUMIFS(TblCalculs[CPU provisionné],TblCalculs[Cluster],$B62,TblCalculs[Mois],AB$33),IF(ca_mesure="RAM",SUMIFS(TblCalculs[RAM provisionnée],TblCalculs[Cluster],$B62,TblCalculs[Mois],AB$33),SUMIFS(TblCalculs[Workers],TblCalculs[Cluster],$B62,TblCalculs[Mois],AB$33))))</f>
        <v>6</v>
      </c>
      <c r="AC62" s="40">
        <f>IF(OR($A62="",AC$33=""),"",IF(ca_mesure="CPU",SUMIFS(TblCalculs[CPU provisionné],TblCalculs[Cluster],$B62,TblCalculs[Mois],AC$33),IF(ca_mesure="RAM",SUMIFS(TblCalculs[RAM provisionnée],TblCalculs[Cluster],$B62,TblCalculs[Mois],AC$33),SUMIFS(TblCalculs[Workers],TblCalculs[Cluster],$B62,TblCalculs[Mois],AC$33))))</f>
        <v>6</v>
      </c>
      <c r="AD62" s="40">
        <f>IF(OR($A62="",AD$33=""),"",IF(ca_mesure="CPU",SUMIFS(TblCalculs[CPU provisionné],TblCalculs[Cluster],$B62,TblCalculs[Mois],AD$33),IF(ca_mesure="RAM",SUMIFS(TblCalculs[RAM provisionnée],TblCalculs[Cluster],$B62,TblCalculs[Mois],AD$33),SUMIFS(TblCalculs[Workers],TblCalculs[Cluster],$B62,TblCalculs[Mois],AD$33))))</f>
        <v>6</v>
      </c>
      <c r="AE62" s="40">
        <f>IF(OR($A62="",AE$33=""),"",IF(ca_mesure="CPU",SUMIFS(TblCalculs[CPU provisionné],TblCalculs[Cluster],$B62,TblCalculs[Mois],AE$33),IF(ca_mesure="RAM",SUMIFS(TblCalculs[RAM provisionnée],TblCalculs[Cluster],$B62,TblCalculs[Mois],AE$33),SUMIFS(TblCalculs[Workers],TblCalculs[Cluster],$B62,TblCalculs[Mois],AE$33))))</f>
        <v>6</v>
      </c>
      <c r="AF62" s="40">
        <f>IF(OR($A62="",AF$33=""),"",IF(ca_mesure="CPU",SUMIFS(TblCalculs[CPU provisionné],TblCalculs[Cluster],$B62,TblCalculs[Mois],AF$33),IF(ca_mesure="RAM",SUMIFS(TblCalculs[RAM provisionnée],TblCalculs[Cluster],$B62,TblCalculs[Mois],AF$33),SUMIFS(TblCalculs[Workers],TblCalculs[Cluster],$B62,TblCalculs[Mois],AF$33))))</f>
        <v>6</v>
      </c>
      <c r="AG62" s="40">
        <f>IF(OR($A62="",AG$33=""),"",IF(ca_mesure="CPU",SUMIFS(TblCalculs[CPU provisionné],TblCalculs[Cluster],$B62,TblCalculs[Mois],AG$33),IF(ca_mesure="RAM",SUMIFS(TblCalculs[RAM provisionnée],TblCalculs[Cluster],$B62,TblCalculs[Mois],AG$33),SUMIFS(TblCalculs[Workers],TblCalculs[Cluster],$B62,TblCalculs[Mois],AG$33))))</f>
        <v>6</v>
      </c>
      <c r="AH62" s="40">
        <f>IF(OR($A62="",AH$33=""),"",IF(ca_mesure="CPU",SUMIFS(TblCalculs[CPU provisionné],TblCalculs[Cluster],$B62,TblCalculs[Mois],AH$33),IF(ca_mesure="RAM",SUMIFS(TblCalculs[RAM provisionnée],TblCalculs[Cluster],$B62,TblCalculs[Mois],AH$33),SUMIFS(TblCalculs[Workers],TblCalculs[Cluster],$B62,TblCalculs[Mois],AH$33))))</f>
        <v>6</v>
      </c>
      <c r="AI62" s="40">
        <f>IF(OR($A62="",AI$33=""),"",IF(ca_mesure="CPU",SUMIFS(TblCalculs[CPU provisionné],TblCalculs[Cluster],$B62,TblCalculs[Mois],AI$33),IF(ca_mesure="RAM",SUMIFS(TblCalculs[RAM provisionnée],TblCalculs[Cluster],$B62,TblCalculs[Mois],AI$33),SUMIFS(TblCalculs[Workers],TblCalculs[Cluster],$B62,TblCalculs[Mois],AI$33))))</f>
        <v>6</v>
      </c>
      <c r="AJ62" s="40">
        <f>IF(OR($A62="",AJ$33=""),"",IF(ca_mesure="CPU",SUMIFS(TblCalculs[CPU provisionné],TblCalculs[Cluster],$B62,TblCalculs[Mois],AJ$33),IF(ca_mesure="RAM",SUMIFS(TblCalculs[RAM provisionnée],TblCalculs[Cluster],$B62,TblCalculs[Mois],AJ$33),SUMIFS(TblCalculs[Workers],TblCalculs[Cluster],$B62,TblCalculs[Mois],AJ$33))))</f>
        <v>6</v>
      </c>
      <c r="AK62" s="40">
        <f>IF(OR($A62="",AK$33=""),"",IF(ca_mesure="CPU",SUMIFS(TblCalculs[CPU provisionné],TblCalculs[Cluster],$B62,TblCalculs[Mois],AK$33),IF(ca_mesure="RAM",SUMIFS(TblCalculs[RAM provisionnée],TblCalculs[Cluster],$B62,TblCalculs[Mois],AK$33),SUMIFS(TblCalculs[Workers],TblCalculs[Cluster],$B62,TblCalculs[Mois],AK$33))))</f>
        <v>6</v>
      </c>
      <c r="AL62" s="40">
        <f>IF(OR($A62="",AL$33=""),"",IF(ca_mesure="CPU",SUMIFS(TblCalculs[CPU provisionné],TblCalculs[Cluster],$B62,TblCalculs[Mois],AL$33),IF(ca_mesure="RAM",SUMIFS(TblCalculs[RAM provisionnée],TblCalculs[Cluster],$B62,TblCalculs[Mois],AL$33),SUMIFS(TblCalculs[Workers],TblCalculs[Cluster],$B62,TblCalculs[Mois],AL$33))))</f>
        <v>6</v>
      </c>
      <c r="AM62" s="40">
        <f>IF(OR($A62="",AM$33=""),"",IF(ca_mesure="CPU",SUMIFS(TblCalculs[CPU provisionné],TblCalculs[Cluster],$B62,TblCalculs[Mois],AM$33),IF(ca_mesure="RAM",SUMIFS(TblCalculs[RAM provisionnée],TblCalculs[Cluster],$B62,TblCalculs[Mois],AM$33),SUMIFS(TblCalculs[Workers],TblCalculs[Cluster],$B62,TblCalculs[Mois],AM$33))))</f>
        <v>6</v>
      </c>
      <c r="AN62" s="40">
        <f>IF(OR($A62="",AN$33=""),"",IF(ca_mesure="CPU",SUMIFS(TblCalculs[CPU provisionné],TblCalculs[Cluster],$B62,TblCalculs[Mois],AN$33),IF(ca_mesure="RAM",SUMIFS(TblCalculs[RAM provisionnée],TblCalculs[Cluster],$B62,TblCalculs[Mois],AN$33),SUMIFS(TblCalculs[Workers],TblCalculs[Cluster],$B62,TblCalculs[Mois],AN$33))))</f>
        <v>6</v>
      </c>
      <c r="AO62" s="40">
        <f>IF(OR($A62="",AO$33=""),"",IF(ca_mesure="CPU",SUMIFS(TblCalculs[CPU provisionné],TblCalculs[Cluster],$B62,TblCalculs[Mois],AO$33),IF(ca_mesure="RAM",SUMIFS(TblCalculs[RAM provisionnée],TblCalculs[Cluster],$B62,TblCalculs[Mois],AO$33),SUMIFS(TblCalculs[Workers],TblCalculs[Cluster],$B62,TblCalculs[Mois],AO$33))))</f>
        <v>6</v>
      </c>
    </row>
    <row r="63" spans="1:41" x14ac:dyDescent="0.2">
      <c r="A63" s="37">
        <f>IFERROR(MATCH(30,TblClusters[Rang capacités],0),"")</f>
        <v>30</v>
      </c>
      <c r="B63" s="38" t="str">
        <f>IF($A63="","",INDEX(TblClusters[Cluster],$A63))</f>
        <v>ku002i001098</v>
      </c>
      <c r="C63" s="39" t="str">
        <f>IF($A63="","",INDEX(TblClusters[Plateforme],$A63))</f>
        <v>IKS</v>
      </c>
      <c r="D63" s="39" t="str">
        <f>IF($A63="","",INDEX(TblClusters[Environnement],$A63))</f>
        <v>NPRD</v>
      </c>
      <c r="E63" s="39">
        <f>IF($A63="","",INDEX(TblClusters[Flavor],$A63))</f>
        <v>0</v>
      </c>
      <c r="F63" s="40">
        <f>IF(OR($A63="",F$33=""),"",IF(ca_mesure="CPU",SUMIFS(TblCalculs[CPU provisionné],TblCalculs[Cluster],$B63,TblCalculs[Mois],F$33),IF(ca_mesure="RAM",SUMIFS(TblCalculs[RAM provisionnée],TblCalculs[Cluster],$B63,TblCalculs[Mois],F$33),SUMIFS(TblCalculs[Workers],TblCalculs[Cluster],$B63,TblCalculs[Mois],F$33))))</f>
        <v>0</v>
      </c>
      <c r="G63" s="40">
        <f>IF(OR($A63="",G$33=""),"",IF(ca_mesure="CPU",SUMIFS(TblCalculs[CPU provisionné],TblCalculs[Cluster],$B63,TblCalculs[Mois],G$33),IF(ca_mesure="RAM",SUMIFS(TblCalculs[RAM provisionnée],TblCalculs[Cluster],$B63,TblCalculs[Mois],G$33),SUMIFS(TblCalculs[Workers],TblCalculs[Cluster],$B63,TblCalculs[Mois],G$33))))</f>
        <v>0</v>
      </c>
      <c r="H63" s="40">
        <f>IF(OR($A63="",H$33=""),"",IF(ca_mesure="CPU",SUMIFS(TblCalculs[CPU provisionné],TblCalculs[Cluster],$B63,TblCalculs[Mois],H$33),IF(ca_mesure="RAM",SUMIFS(TblCalculs[RAM provisionnée],TblCalculs[Cluster],$B63,TblCalculs[Mois],H$33),SUMIFS(TblCalculs[Workers],TblCalculs[Cluster],$B63,TblCalculs[Mois],H$33))))</f>
        <v>0</v>
      </c>
      <c r="I63" s="40">
        <f>IF(OR($A63="",I$33=""),"",IF(ca_mesure="CPU",SUMIFS(TblCalculs[CPU provisionné],TblCalculs[Cluster],$B63,TblCalculs[Mois],I$33),IF(ca_mesure="RAM",SUMIFS(TblCalculs[RAM provisionnée],TblCalculs[Cluster],$B63,TblCalculs[Mois],I$33),SUMIFS(TblCalculs[Workers],TblCalculs[Cluster],$B63,TblCalculs[Mois],I$33))))</f>
        <v>0</v>
      </c>
      <c r="J63" s="40">
        <f>IF(OR($A63="",J$33=""),"",IF(ca_mesure="CPU",SUMIFS(TblCalculs[CPU provisionné],TblCalculs[Cluster],$B63,TblCalculs[Mois],J$33),IF(ca_mesure="RAM",SUMIFS(TblCalculs[RAM provisionnée],TblCalculs[Cluster],$B63,TblCalculs[Mois],J$33),SUMIFS(TblCalculs[Workers],TblCalculs[Cluster],$B63,TblCalculs[Mois],J$33))))</f>
        <v>0</v>
      </c>
      <c r="K63" s="40">
        <f>IF(OR($A63="",K$33=""),"",IF(ca_mesure="CPU",SUMIFS(TblCalculs[CPU provisionné],TblCalculs[Cluster],$B63,TblCalculs[Mois],K$33),IF(ca_mesure="RAM",SUMIFS(TblCalculs[RAM provisionnée],TblCalculs[Cluster],$B63,TblCalculs[Mois],K$33),SUMIFS(TblCalculs[Workers],TblCalculs[Cluster],$B63,TblCalculs[Mois],K$33))))</f>
        <v>0</v>
      </c>
      <c r="L63" s="40">
        <f>IF(OR($A63="",L$33=""),"",IF(ca_mesure="CPU",SUMIFS(TblCalculs[CPU provisionné],TblCalculs[Cluster],$B63,TblCalculs[Mois],L$33),IF(ca_mesure="RAM",SUMIFS(TblCalculs[RAM provisionnée],TblCalculs[Cluster],$B63,TblCalculs[Mois],L$33),SUMIFS(TblCalculs[Workers],TblCalculs[Cluster],$B63,TblCalculs[Mois],L$33))))</f>
        <v>0</v>
      </c>
      <c r="M63" s="40">
        <f>IF(OR($A63="",M$33=""),"",IF(ca_mesure="CPU",SUMIFS(TblCalculs[CPU provisionné],TblCalculs[Cluster],$B63,TblCalculs[Mois],M$33),IF(ca_mesure="RAM",SUMIFS(TblCalculs[RAM provisionnée],TblCalculs[Cluster],$B63,TblCalculs[Mois],M$33),SUMIFS(TblCalculs[Workers],TblCalculs[Cluster],$B63,TblCalculs[Mois],M$33))))</f>
        <v>0</v>
      </c>
      <c r="N63" s="40">
        <f>IF(OR($A63="",N$33=""),"",IF(ca_mesure="CPU",SUMIFS(TblCalculs[CPU provisionné],TblCalculs[Cluster],$B63,TblCalculs[Mois],N$33),IF(ca_mesure="RAM",SUMIFS(TblCalculs[RAM provisionnée],TblCalculs[Cluster],$B63,TblCalculs[Mois],N$33),SUMIFS(TblCalculs[Workers],TblCalculs[Cluster],$B63,TblCalculs[Mois],N$33))))</f>
        <v>0</v>
      </c>
      <c r="O63" s="40">
        <f>IF(OR($A63="",O$33=""),"",IF(ca_mesure="CPU",SUMIFS(TblCalculs[CPU provisionné],TblCalculs[Cluster],$B63,TblCalculs[Mois],O$33),IF(ca_mesure="RAM",SUMIFS(TblCalculs[RAM provisionnée],TblCalculs[Cluster],$B63,TblCalculs[Mois],O$33),SUMIFS(TblCalculs[Workers],TblCalculs[Cluster],$B63,TblCalculs[Mois],O$33))))</f>
        <v>0</v>
      </c>
      <c r="P63" s="40">
        <f>IF(OR($A63="",P$33=""),"",IF(ca_mesure="CPU",SUMIFS(TblCalculs[CPU provisionné],TblCalculs[Cluster],$B63,TblCalculs[Mois],P$33),IF(ca_mesure="RAM",SUMIFS(TblCalculs[RAM provisionnée],TblCalculs[Cluster],$B63,TblCalculs[Mois],P$33),SUMIFS(TblCalculs[Workers],TblCalculs[Cluster],$B63,TblCalculs[Mois],P$33))))</f>
        <v>0</v>
      </c>
      <c r="Q63" s="40">
        <f>IF(OR($A63="",Q$33=""),"",IF(ca_mesure="CPU",SUMIFS(TblCalculs[CPU provisionné],TblCalculs[Cluster],$B63,TblCalculs[Mois],Q$33),IF(ca_mesure="RAM",SUMIFS(TblCalculs[RAM provisionnée],TblCalculs[Cluster],$B63,TblCalculs[Mois],Q$33),SUMIFS(TblCalculs[Workers],TblCalculs[Cluster],$B63,TblCalculs[Mois],Q$33))))</f>
        <v>0</v>
      </c>
      <c r="R63" s="40">
        <f>IF(OR($A63="",R$33=""),"",IF(ca_mesure="CPU",SUMIFS(TblCalculs[CPU provisionné],TblCalculs[Cluster],$B63,TblCalculs[Mois],R$33),IF(ca_mesure="RAM",SUMIFS(TblCalculs[RAM provisionnée],TblCalculs[Cluster],$B63,TblCalculs[Mois],R$33),SUMIFS(TblCalculs[Workers],TblCalculs[Cluster],$B63,TblCalculs[Mois],R$33))))</f>
        <v>0</v>
      </c>
      <c r="S63" s="40">
        <f>IF(OR($A63="",S$33=""),"",IF(ca_mesure="CPU",SUMIFS(TblCalculs[CPU provisionné],TblCalculs[Cluster],$B63,TblCalculs[Mois],S$33),IF(ca_mesure="RAM",SUMIFS(TblCalculs[RAM provisionnée],TblCalculs[Cluster],$B63,TblCalculs[Mois],S$33),SUMIFS(TblCalculs[Workers],TblCalculs[Cluster],$B63,TblCalculs[Mois],S$33))))</f>
        <v>0</v>
      </c>
      <c r="T63" s="40">
        <f>IF(OR($A63="",T$33=""),"",IF(ca_mesure="CPU",SUMIFS(TblCalculs[CPU provisionné],TblCalculs[Cluster],$B63,TblCalculs[Mois],T$33),IF(ca_mesure="RAM",SUMIFS(TblCalculs[RAM provisionnée],TblCalculs[Cluster],$B63,TblCalculs[Mois],T$33),SUMIFS(TblCalculs[Workers],TblCalculs[Cluster],$B63,TblCalculs[Mois],T$33))))</f>
        <v>0</v>
      </c>
      <c r="U63" s="40">
        <f>IF(OR($A63="",U$33=""),"",IF(ca_mesure="CPU",SUMIFS(TblCalculs[CPU provisionné],TblCalculs[Cluster],$B63,TblCalculs[Mois],U$33),IF(ca_mesure="RAM",SUMIFS(TblCalculs[RAM provisionnée],TblCalculs[Cluster],$B63,TblCalculs[Mois],U$33),SUMIFS(TblCalculs[Workers],TblCalculs[Cluster],$B63,TblCalculs[Mois],U$33))))</f>
        <v>0</v>
      </c>
      <c r="V63" s="40">
        <f>IF(OR($A63="",V$33=""),"",IF(ca_mesure="CPU",SUMIFS(TblCalculs[CPU provisionné],TblCalculs[Cluster],$B63,TblCalculs[Mois],V$33),IF(ca_mesure="RAM",SUMIFS(TblCalculs[RAM provisionnée],TblCalculs[Cluster],$B63,TblCalculs[Mois],V$33),SUMIFS(TblCalculs[Workers],TblCalculs[Cluster],$B63,TblCalculs[Mois],V$33))))</f>
        <v>0</v>
      </c>
      <c r="W63" s="40">
        <f>IF(OR($A63="",W$33=""),"",IF(ca_mesure="CPU",SUMIFS(TblCalculs[CPU provisionné],TblCalculs[Cluster],$B63,TblCalculs[Mois],W$33),IF(ca_mesure="RAM",SUMIFS(TblCalculs[RAM provisionnée],TblCalculs[Cluster],$B63,TblCalculs[Mois],W$33),SUMIFS(TblCalculs[Workers],TblCalculs[Cluster],$B63,TblCalculs[Mois],W$33))))</f>
        <v>0</v>
      </c>
      <c r="X63" s="40">
        <f>IF(OR($A63="",X$33=""),"",IF(ca_mesure="CPU",SUMIFS(TblCalculs[CPU provisionné],TblCalculs[Cluster],$B63,TblCalculs[Mois],X$33),IF(ca_mesure="RAM",SUMIFS(TblCalculs[RAM provisionnée],TblCalculs[Cluster],$B63,TblCalculs[Mois],X$33),SUMIFS(TblCalculs[Workers],TblCalculs[Cluster],$B63,TblCalculs[Mois],X$33))))</f>
        <v>0</v>
      </c>
      <c r="Y63" s="40">
        <f>IF(OR($A63="",Y$33=""),"",IF(ca_mesure="CPU",SUMIFS(TblCalculs[CPU provisionné],TblCalculs[Cluster],$B63,TblCalculs[Mois],Y$33),IF(ca_mesure="RAM",SUMIFS(TblCalculs[RAM provisionnée],TblCalculs[Cluster],$B63,TblCalculs[Mois],Y$33),SUMIFS(TblCalculs[Workers],TblCalculs[Cluster],$B63,TblCalculs[Mois],Y$33))))</f>
        <v>0</v>
      </c>
      <c r="Z63" s="40">
        <f>IF(OR($A63="",Z$33=""),"",IF(ca_mesure="CPU",SUMIFS(TblCalculs[CPU provisionné],TblCalculs[Cluster],$B63,TblCalculs[Mois],Z$33),IF(ca_mesure="RAM",SUMIFS(TblCalculs[RAM provisionnée],TblCalculs[Cluster],$B63,TblCalculs[Mois],Z$33),SUMIFS(TblCalculs[Workers],TblCalculs[Cluster],$B63,TblCalculs[Mois],Z$33))))</f>
        <v>0</v>
      </c>
      <c r="AA63" s="40">
        <f>IF(OR($A63="",AA$33=""),"",IF(ca_mesure="CPU",SUMIFS(TblCalculs[CPU provisionné],TblCalculs[Cluster],$B63,TblCalculs[Mois],AA$33),IF(ca_mesure="RAM",SUMIFS(TblCalculs[RAM provisionnée],TblCalculs[Cluster],$B63,TblCalculs[Mois],AA$33),SUMIFS(TblCalculs[Workers],TblCalculs[Cluster],$B63,TblCalculs[Mois],AA$33))))</f>
        <v>0</v>
      </c>
      <c r="AB63" s="40">
        <f>IF(OR($A63="",AB$33=""),"",IF(ca_mesure="CPU",SUMIFS(TblCalculs[CPU provisionné],TblCalculs[Cluster],$B63,TblCalculs[Mois],AB$33),IF(ca_mesure="RAM",SUMIFS(TblCalculs[RAM provisionnée],TblCalculs[Cluster],$B63,TblCalculs[Mois],AB$33),SUMIFS(TblCalculs[Workers],TblCalculs[Cluster],$B63,TblCalculs[Mois],AB$33))))</f>
        <v>0</v>
      </c>
      <c r="AC63" s="40">
        <f>IF(OR($A63="",AC$33=""),"",IF(ca_mesure="CPU",SUMIFS(TblCalculs[CPU provisionné],TblCalculs[Cluster],$B63,TblCalculs[Mois],AC$33),IF(ca_mesure="RAM",SUMIFS(TblCalculs[RAM provisionnée],TblCalculs[Cluster],$B63,TblCalculs[Mois],AC$33),SUMIFS(TblCalculs[Workers],TblCalculs[Cluster],$B63,TblCalculs[Mois],AC$33))))</f>
        <v>0</v>
      </c>
      <c r="AD63" s="40">
        <f>IF(OR($A63="",AD$33=""),"",IF(ca_mesure="CPU",SUMIFS(TblCalculs[CPU provisionné],TblCalculs[Cluster],$B63,TblCalculs[Mois],AD$33),IF(ca_mesure="RAM",SUMIFS(TblCalculs[RAM provisionnée],TblCalculs[Cluster],$B63,TblCalculs[Mois],AD$33),SUMIFS(TblCalculs[Workers],TblCalculs[Cluster],$B63,TblCalculs[Mois],AD$33))))</f>
        <v>0</v>
      </c>
      <c r="AE63" s="40">
        <f>IF(OR($A63="",AE$33=""),"",IF(ca_mesure="CPU",SUMIFS(TblCalculs[CPU provisionné],TblCalculs[Cluster],$B63,TblCalculs[Mois],AE$33),IF(ca_mesure="RAM",SUMIFS(TblCalculs[RAM provisionnée],TblCalculs[Cluster],$B63,TblCalculs[Mois],AE$33),SUMIFS(TblCalculs[Workers],TblCalculs[Cluster],$B63,TblCalculs[Mois],AE$33))))</f>
        <v>0</v>
      </c>
      <c r="AF63" s="40">
        <f>IF(OR($A63="",AF$33=""),"",IF(ca_mesure="CPU",SUMIFS(TblCalculs[CPU provisionné],TblCalculs[Cluster],$B63,TblCalculs[Mois],AF$33),IF(ca_mesure="RAM",SUMIFS(TblCalculs[RAM provisionnée],TblCalculs[Cluster],$B63,TblCalculs[Mois],AF$33),SUMIFS(TblCalculs[Workers],TblCalculs[Cluster],$B63,TblCalculs[Mois],AF$33))))</f>
        <v>0</v>
      </c>
      <c r="AG63" s="40">
        <f>IF(OR($A63="",AG$33=""),"",IF(ca_mesure="CPU",SUMIFS(TblCalculs[CPU provisionné],TblCalculs[Cluster],$B63,TblCalculs[Mois],AG$33),IF(ca_mesure="RAM",SUMIFS(TblCalculs[RAM provisionnée],TblCalculs[Cluster],$B63,TblCalculs[Mois],AG$33),SUMIFS(TblCalculs[Workers],TblCalculs[Cluster],$B63,TblCalculs[Mois],AG$33))))</f>
        <v>0</v>
      </c>
      <c r="AH63" s="40">
        <f>IF(OR($A63="",AH$33=""),"",IF(ca_mesure="CPU",SUMIFS(TblCalculs[CPU provisionné],TblCalculs[Cluster],$B63,TblCalculs[Mois],AH$33),IF(ca_mesure="RAM",SUMIFS(TblCalculs[RAM provisionnée],TblCalculs[Cluster],$B63,TblCalculs[Mois],AH$33),SUMIFS(TblCalculs[Workers],TblCalculs[Cluster],$B63,TblCalculs[Mois],AH$33))))</f>
        <v>0</v>
      </c>
      <c r="AI63" s="40">
        <f>IF(OR($A63="",AI$33=""),"",IF(ca_mesure="CPU",SUMIFS(TblCalculs[CPU provisionné],TblCalculs[Cluster],$B63,TblCalculs[Mois],AI$33),IF(ca_mesure="RAM",SUMIFS(TblCalculs[RAM provisionnée],TblCalculs[Cluster],$B63,TblCalculs[Mois],AI$33),SUMIFS(TblCalculs[Workers],TblCalculs[Cluster],$B63,TblCalculs[Mois],AI$33))))</f>
        <v>0</v>
      </c>
      <c r="AJ63" s="40">
        <f>IF(OR($A63="",AJ$33=""),"",IF(ca_mesure="CPU",SUMIFS(TblCalculs[CPU provisionné],TblCalculs[Cluster],$B63,TblCalculs[Mois],AJ$33),IF(ca_mesure="RAM",SUMIFS(TblCalculs[RAM provisionnée],TblCalculs[Cluster],$B63,TblCalculs[Mois],AJ$33),SUMIFS(TblCalculs[Workers],TblCalculs[Cluster],$B63,TblCalculs[Mois],AJ$33))))</f>
        <v>0</v>
      </c>
      <c r="AK63" s="40">
        <f>IF(OR($A63="",AK$33=""),"",IF(ca_mesure="CPU",SUMIFS(TblCalculs[CPU provisionné],TblCalculs[Cluster],$B63,TblCalculs[Mois],AK$33),IF(ca_mesure="RAM",SUMIFS(TblCalculs[RAM provisionnée],TblCalculs[Cluster],$B63,TblCalculs[Mois],AK$33),SUMIFS(TblCalculs[Workers],TblCalculs[Cluster],$B63,TblCalculs[Mois],AK$33))))</f>
        <v>0</v>
      </c>
      <c r="AL63" s="40">
        <f>IF(OR($A63="",AL$33=""),"",IF(ca_mesure="CPU",SUMIFS(TblCalculs[CPU provisionné],TblCalculs[Cluster],$B63,TblCalculs[Mois],AL$33),IF(ca_mesure="RAM",SUMIFS(TblCalculs[RAM provisionnée],TblCalculs[Cluster],$B63,TblCalculs[Mois],AL$33),SUMIFS(TblCalculs[Workers],TblCalculs[Cluster],$B63,TblCalculs[Mois],AL$33))))</f>
        <v>0</v>
      </c>
      <c r="AM63" s="40">
        <f>IF(OR($A63="",AM$33=""),"",IF(ca_mesure="CPU",SUMIFS(TblCalculs[CPU provisionné],TblCalculs[Cluster],$B63,TblCalculs[Mois],AM$33),IF(ca_mesure="RAM",SUMIFS(TblCalculs[RAM provisionnée],TblCalculs[Cluster],$B63,TblCalculs[Mois],AM$33),SUMIFS(TblCalculs[Workers],TblCalculs[Cluster],$B63,TblCalculs[Mois],AM$33))))</f>
        <v>0</v>
      </c>
      <c r="AN63" s="40">
        <f>IF(OR($A63="",AN$33=""),"",IF(ca_mesure="CPU",SUMIFS(TblCalculs[CPU provisionné],TblCalculs[Cluster],$B63,TblCalculs[Mois],AN$33),IF(ca_mesure="RAM",SUMIFS(TblCalculs[RAM provisionnée],TblCalculs[Cluster],$B63,TblCalculs[Mois],AN$33),SUMIFS(TblCalculs[Workers],TblCalculs[Cluster],$B63,TblCalculs[Mois],AN$33))))</f>
        <v>0</v>
      </c>
      <c r="AO63" s="40">
        <f>IF(OR($A63="",AO$33=""),"",IF(ca_mesure="CPU",SUMIFS(TblCalculs[CPU provisionné],TblCalculs[Cluster],$B63,TblCalculs[Mois],AO$33),IF(ca_mesure="RAM",SUMIFS(TblCalculs[RAM provisionnée],TblCalculs[Cluster],$B63,TblCalculs[Mois],AO$33),SUMIFS(TblCalculs[Workers],TblCalculs[Cluster],$B63,TblCalculs[Mois],AO$33))))</f>
        <v>0</v>
      </c>
    </row>
    <row r="64" spans="1:41" x14ac:dyDescent="0.2">
      <c r="A64" s="37" t="str">
        <f>IFERROR(MATCH(31,TblClusters[Rang capacités],0),"")</f>
        <v/>
      </c>
      <c r="B64" s="38" t="str">
        <f>IF($A64="","",INDEX(TblClusters[Cluster],$A64))</f>
        <v/>
      </c>
      <c r="C64" s="39" t="str">
        <f>IF($A64="","",INDEX(TblClusters[Plateforme],$A64))</f>
        <v/>
      </c>
      <c r="D64" s="39" t="str">
        <f>IF($A64="","",INDEX(TblClusters[Environnement],$A64))</f>
        <v/>
      </c>
      <c r="E64" s="39" t="str">
        <f>IF($A64="","",INDEX(TblClusters[Flavor],$A64))</f>
        <v/>
      </c>
      <c r="F64" s="40" t="str">
        <f>IF(OR($A64="",F$33=""),"",IF(ca_mesure="CPU",SUMIFS(TblCalculs[CPU provisionné],TblCalculs[Cluster],$B64,TblCalculs[Mois],F$33),IF(ca_mesure="RAM",SUMIFS(TblCalculs[RAM provisionnée],TblCalculs[Cluster],$B64,TblCalculs[Mois],F$33),SUMIFS(TblCalculs[Workers],TblCalculs[Cluster],$B64,TblCalculs[Mois],F$33))))</f>
        <v/>
      </c>
      <c r="G64" s="40" t="str">
        <f>IF(OR($A64="",G$33=""),"",IF(ca_mesure="CPU",SUMIFS(TblCalculs[CPU provisionné],TblCalculs[Cluster],$B64,TblCalculs[Mois],G$33),IF(ca_mesure="RAM",SUMIFS(TblCalculs[RAM provisionnée],TblCalculs[Cluster],$B64,TblCalculs[Mois],G$33),SUMIFS(TblCalculs[Workers],TblCalculs[Cluster],$B64,TblCalculs[Mois],G$33))))</f>
        <v/>
      </c>
      <c r="H64" s="40" t="str">
        <f>IF(OR($A64="",H$33=""),"",IF(ca_mesure="CPU",SUMIFS(TblCalculs[CPU provisionné],TblCalculs[Cluster],$B64,TblCalculs[Mois],H$33),IF(ca_mesure="RAM",SUMIFS(TblCalculs[RAM provisionnée],TblCalculs[Cluster],$B64,TblCalculs[Mois],H$33),SUMIFS(TblCalculs[Workers],TblCalculs[Cluster],$B64,TblCalculs[Mois],H$33))))</f>
        <v/>
      </c>
      <c r="I64" s="40" t="str">
        <f>IF(OR($A64="",I$33=""),"",IF(ca_mesure="CPU",SUMIFS(TblCalculs[CPU provisionné],TblCalculs[Cluster],$B64,TblCalculs[Mois],I$33),IF(ca_mesure="RAM",SUMIFS(TblCalculs[RAM provisionnée],TblCalculs[Cluster],$B64,TblCalculs[Mois],I$33),SUMIFS(TblCalculs[Workers],TblCalculs[Cluster],$B64,TblCalculs[Mois],I$33))))</f>
        <v/>
      </c>
      <c r="J64" s="40" t="str">
        <f>IF(OR($A64="",J$33=""),"",IF(ca_mesure="CPU",SUMIFS(TblCalculs[CPU provisionné],TblCalculs[Cluster],$B64,TblCalculs[Mois],J$33),IF(ca_mesure="RAM",SUMIFS(TblCalculs[RAM provisionnée],TblCalculs[Cluster],$B64,TblCalculs[Mois],J$33),SUMIFS(TblCalculs[Workers],TblCalculs[Cluster],$B64,TblCalculs[Mois],J$33))))</f>
        <v/>
      </c>
      <c r="K64" s="40" t="str">
        <f>IF(OR($A64="",K$33=""),"",IF(ca_mesure="CPU",SUMIFS(TblCalculs[CPU provisionné],TblCalculs[Cluster],$B64,TblCalculs[Mois],K$33),IF(ca_mesure="RAM",SUMIFS(TblCalculs[RAM provisionnée],TblCalculs[Cluster],$B64,TblCalculs[Mois],K$33),SUMIFS(TblCalculs[Workers],TblCalculs[Cluster],$B64,TblCalculs[Mois],K$33))))</f>
        <v/>
      </c>
      <c r="L64" s="40" t="str">
        <f>IF(OR($A64="",L$33=""),"",IF(ca_mesure="CPU",SUMIFS(TblCalculs[CPU provisionné],TblCalculs[Cluster],$B64,TblCalculs[Mois],L$33),IF(ca_mesure="RAM",SUMIFS(TblCalculs[RAM provisionnée],TblCalculs[Cluster],$B64,TblCalculs[Mois],L$33),SUMIFS(TblCalculs[Workers],TblCalculs[Cluster],$B64,TblCalculs[Mois],L$33))))</f>
        <v/>
      </c>
      <c r="M64" s="40" t="str">
        <f>IF(OR($A64="",M$33=""),"",IF(ca_mesure="CPU",SUMIFS(TblCalculs[CPU provisionné],TblCalculs[Cluster],$B64,TblCalculs[Mois],M$33),IF(ca_mesure="RAM",SUMIFS(TblCalculs[RAM provisionnée],TblCalculs[Cluster],$B64,TblCalculs[Mois],M$33),SUMIFS(TblCalculs[Workers],TblCalculs[Cluster],$B64,TblCalculs[Mois],M$33))))</f>
        <v/>
      </c>
      <c r="N64" s="40" t="str">
        <f>IF(OR($A64="",N$33=""),"",IF(ca_mesure="CPU",SUMIFS(TblCalculs[CPU provisionné],TblCalculs[Cluster],$B64,TblCalculs[Mois],N$33),IF(ca_mesure="RAM",SUMIFS(TblCalculs[RAM provisionnée],TblCalculs[Cluster],$B64,TblCalculs[Mois],N$33),SUMIFS(TblCalculs[Workers],TblCalculs[Cluster],$B64,TblCalculs[Mois],N$33))))</f>
        <v/>
      </c>
      <c r="O64" s="40" t="str">
        <f>IF(OR($A64="",O$33=""),"",IF(ca_mesure="CPU",SUMIFS(TblCalculs[CPU provisionné],TblCalculs[Cluster],$B64,TblCalculs[Mois],O$33),IF(ca_mesure="RAM",SUMIFS(TblCalculs[RAM provisionnée],TblCalculs[Cluster],$B64,TblCalculs[Mois],O$33),SUMIFS(TblCalculs[Workers],TblCalculs[Cluster],$B64,TblCalculs[Mois],O$33))))</f>
        <v/>
      </c>
      <c r="P64" s="40" t="str">
        <f>IF(OR($A64="",P$33=""),"",IF(ca_mesure="CPU",SUMIFS(TblCalculs[CPU provisionné],TblCalculs[Cluster],$B64,TblCalculs[Mois],P$33),IF(ca_mesure="RAM",SUMIFS(TblCalculs[RAM provisionnée],TblCalculs[Cluster],$B64,TblCalculs[Mois],P$33),SUMIFS(TblCalculs[Workers],TblCalculs[Cluster],$B64,TblCalculs[Mois],P$33))))</f>
        <v/>
      </c>
      <c r="Q64" s="40" t="str">
        <f>IF(OR($A64="",Q$33=""),"",IF(ca_mesure="CPU",SUMIFS(TblCalculs[CPU provisionné],TblCalculs[Cluster],$B64,TblCalculs[Mois],Q$33),IF(ca_mesure="RAM",SUMIFS(TblCalculs[RAM provisionnée],TblCalculs[Cluster],$B64,TblCalculs[Mois],Q$33),SUMIFS(TblCalculs[Workers],TblCalculs[Cluster],$B64,TblCalculs[Mois],Q$33))))</f>
        <v/>
      </c>
      <c r="R64" s="40" t="str">
        <f>IF(OR($A64="",R$33=""),"",IF(ca_mesure="CPU",SUMIFS(TblCalculs[CPU provisionné],TblCalculs[Cluster],$B64,TblCalculs[Mois],R$33),IF(ca_mesure="RAM",SUMIFS(TblCalculs[RAM provisionnée],TblCalculs[Cluster],$B64,TblCalculs[Mois],R$33),SUMIFS(TblCalculs[Workers],TblCalculs[Cluster],$B64,TblCalculs[Mois],R$33))))</f>
        <v/>
      </c>
      <c r="S64" s="40" t="str">
        <f>IF(OR($A64="",S$33=""),"",IF(ca_mesure="CPU",SUMIFS(TblCalculs[CPU provisionné],TblCalculs[Cluster],$B64,TblCalculs[Mois],S$33),IF(ca_mesure="RAM",SUMIFS(TblCalculs[RAM provisionnée],TblCalculs[Cluster],$B64,TblCalculs[Mois],S$33),SUMIFS(TblCalculs[Workers],TblCalculs[Cluster],$B64,TblCalculs[Mois],S$33))))</f>
        <v/>
      </c>
      <c r="T64" s="40" t="str">
        <f>IF(OR($A64="",T$33=""),"",IF(ca_mesure="CPU",SUMIFS(TblCalculs[CPU provisionné],TblCalculs[Cluster],$B64,TblCalculs[Mois],T$33),IF(ca_mesure="RAM",SUMIFS(TblCalculs[RAM provisionnée],TblCalculs[Cluster],$B64,TblCalculs[Mois],T$33),SUMIFS(TblCalculs[Workers],TblCalculs[Cluster],$B64,TblCalculs[Mois],T$33))))</f>
        <v/>
      </c>
      <c r="U64" s="40" t="str">
        <f>IF(OR($A64="",U$33=""),"",IF(ca_mesure="CPU",SUMIFS(TblCalculs[CPU provisionné],TblCalculs[Cluster],$B64,TblCalculs[Mois],U$33),IF(ca_mesure="RAM",SUMIFS(TblCalculs[RAM provisionnée],TblCalculs[Cluster],$B64,TblCalculs[Mois],U$33),SUMIFS(TblCalculs[Workers],TblCalculs[Cluster],$B64,TblCalculs[Mois],U$33))))</f>
        <v/>
      </c>
      <c r="V64" s="40" t="str">
        <f>IF(OR($A64="",V$33=""),"",IF(ca_mesure="CPU",SUMIFS(TblCalculs[CPU provisionné],TblCalculs[Cluster],$B64,TblCalculs[Mois],V$33),IF(ca_mesure="RAM",SUMIFS(TblCalculs[RAM provisionnée],TblCalculs[Cluster],$B64,TblCalculs[Mois],V$33),SUMIFS(TblCalculs[Workers],TblCalculs[Cluster],$B64,TblCalculs[Mois],V$33))))</f>
        <v/>
      </c>
      <c r="W64" s="40" t="str">
        <f>IF(OR($A64="",W$33=""),"",IF(ca_mesure="CPU",SUMIFS(TblCalculs[CPU provisionné],TblCalculs[Cluster],$B64,TblCalculs[Mois],W$33),IF(ca_mesure="RAM",SUMIFS(TblCalculs[RAM provisionnée],TblCalculs[Cluster],$B64,TblCalculs[Mois],W$33),SUMIFS(TblCalculs[Workers],TblCalculs[Cluster],$B64,TblCalculs[Mois],W$33))))</f>
        <v/>
      </c>
      <c r="X64" s="40" t="str">
        <f>IF(OR($A64="",X$33=""),"",IF(ca_mesure="CPU",SUMIFS(TblCalculs[CPU provisionné],TblCalculs[Cluster],$B64,TblCalculs[Mois],X$33),IF(ca_mesure="RAM",SUMIFS(TblCalculs[RAM provisionnée],TblCalculs[Cluster],$B64,TblCalculs[Mois],X$33),SUMIFS(TblCalculs[Workers],TblCalculs[Cluster],$B64,TblCalculs[Mois],X$33))))</f>
        <v/>
      </c>
      <c r="Y64" s="40" t="str">
        <f>IF(OR($A64="",Y$33=""),"",IF(ca_mesure="CPU",SUMIFS(TblCalculs[CPU provisionné],TblCalculs[Cluster],$B64,TblCalculs[Mois],Y$33),IF(ca_mesure="RAM",SUMIFS(TblCalculs[RAM provisionnée],TblCalculs[Cluster],$B64,TblCalculs[Mois],Y$33),SUMIFS(TblCalculs[Workers],TblCalculs[Cluster],$B64,TblCalculs[Mois],Y$33))))</f>
        <v/>
      </c>
      <c r="Z64" s="40" t="str">
        <f>IF(OR($A64="",Z$33=""),"",IF(ca_mesure="CPU",SUMIFS(TblCalculs[CPU provisionné],TblCalculs[Cluster],$B64,TblCalculs[Mois],Z$33),IF(ca_mesure="RAM",SUMIFS(TblCalculs[RAM provisionnée],TblCalculs[Cluster],$B64,TblCalculs[Mois],Z$33),SUMIFS(TblCalculs[Workers],TblCalculs[Cluster],$B64,TblCalculs[Mois],Z$33))))</f>
        <v/>
      </c>
      <c r="AA64" s="40" t="str">
        <f>IF(OR($A64="",AA$33=""),"",IF(ca_mesure="CPU",SUMIFS(TblCalculs[CPU provisionné],TblCalculs[Cluster],$B64,TblCalculs[Mois],AA$33),IF(ca_mesure="RAM",SUMIFS(TblCalculs[RAM provisionnée],TblCalculs[Cluster],$B64,TblCalculs[Mois],AA$33),SUMIFS(TblCalculs[Workers],TblCalculs[Cluster],$B64,TblCalculs[Mois],AA$33))))</f>
        <v/>
      </c>
      <c r="AB64" s="40" t="str">
        <f>IF(OR($A64="",AB$33=""),"",IF(ca_mesure="CPU",SUMIFS(TblCalculs[CPU provisionné],TblCalculs[Cluster],$B64,TblCalculs[Mois],AB$33),IF(ca_mesure="RAM",SUMIFS(TblCalculs[RAM provisionnée],TblCalculs[Cluster],$B64,TblCalculs[Mois],AB$33),SUMIFS(TblCalculs[Workers],TblCalculs[Cluster],$B64,TblCalculs[Mois],AB$33))))</f>
        <v/>
      </c>
      <c r="AC64" s="40" t="str">
        <f>IF(OR($A64="",AC$33=""),"",IF(ca_mesure="CPU",SUMIFS(TblCalculs[CPU provisionné],TblCalculs[Cluster],$B64,TblCalculs[Mois],AC$33),IF(ca_mesure="RAM",SUMIFS(TblCalculs[RAM provisionnée],TblCalculs[Cluster],$B64,TblCalculs[Mois],AC$33),SUMIFS(TblCalculs[Workers],TblCalculs[Cluster],$B64,TblCalculs[Mois],AC$33))))</f>
        <v/>
      </c>
      <c r="AD64" s="40" t="str">
        <f>IF(OR($A64="",AD$33=""),"",IF(ca_mesure="CPU",SUMIFS(TblCalculs[CPU provisionné],TblCalculs[Cluster],$B64,TblCalculs[Mois],AD$33),IF(ca_mesure="RAM",SUMIFS(TblCalculs[RAM provisionnée],TblCalculs[Cluster],$B64,TblCalculs[Mois],AD$33),SUMIFS(TblCalculs[Workers],TblCalculs[Cluster],$B64,TblCalculs[Mois],AD$33))))</f>
        <v/>
      </c>
      <c r="AE64" s="40" t="str">
        <f>IF(OR($A64="",AE$33=""),"",IF(ca_mesure="CPU",SUMIFS(TblCalculs[CPU provisionné],TblCalculs[Cluster],$B64,TblCalculs[Mois],AE$33),IF(ca_mesure="RAM",SUMIFS(TblCalculs[RAM provisionnée],TblCalculs[Cluster],$B64,TblCalculs[Mois],AE$33),SUMIFS(TblCalculs[Workers],TblCalculs[Cluster],$B64,TblCalculs[Mois],AE$33))))</f>
        <v/>
      </c>
      <c r="AF64" s="40" t="str">
        <f>IF(OR($A64="",AF$33=""),"",IF(ca_mesure="CPU",SUMIFS(TblCalculs[CPU provisionné],TblCalculs[Cluster],$B64,TblCalculs[Mois],AF$33),IF(ca_mesure="RAM",SUMIFS(TblCalculs[RAM provisionnée],TblCalculs[Cluster],$B64,TblCalculs[Mois],AF$33),SUMIFS(TblCalculs[Workers],TblCalculs[Cluster],$B64,TblCalculs[Mois],AF$33))))</f>
        <v/>
      </c>
      <c r="AG64" s="40" t="str">
        <f>IF(OR($A64="",AG$33=""),"",IF(ca_mesure="CPU",SUMIFS(TblCalculs[CPU provisionné],TblCalculs[Cluster],$B64,TblCalculs[Mois],AG$33),IF(ca_mesure="RAM",SUMIFS(TblCalculs[RAM provisionnée],TblCalculs[Cluster],$B64,TblCalculs[Mois],AG$33),SUMIFS(TblCalculs[Workers],TblCalculs[Cluster],$B64,TblCalculs[Mois],AG$33))))</f>
        <v/>
      </c>
      <c r="AH64" s="40" t="str">
        <f>IF(OR($A64="",AH$33=""),"",IF(ca_mesure="CPU",SUMIFS(TblCalculs[CPU provisionné],TblCalculs[Cluster],$B64,TblCalculs[Mois],AH$33),IF(ca_mesure="RAM",SUMIFS(TblCalculs[RAM provisionnée],TblCalculs[Cluster],$B64,TblCalculs[Mois],AH$33),SUMIFS(TblCalculs[Workers],TblCalculs[Cluster],$B64,TblCalculs[Mois],AH$33))))</f>
        <v/>
      </c>
      <c r="AI64" s="40" t="str">
        <f>IF(OR($A64="",AI$33=""),"",IF(ca_mesure="CPU",SUMIFS(TblCalculs[CPU provisionné],TblCalculs[Cluster],$B64,TblCalculs[Mois],AI$33),IF(ca_mesure="RAM",SUMIFS(TblCalculs[RAM provisionnée],TblCalculs[Cluster],$B64,TblCalculs[Mois],AI$33),SUMIFS(TblCalculs[Workers],TblCalculs[Cluster],$B64,TblCalculs[Mois],AI$33))))</f>
        <v/>
      </c>
      <c r="AJ64" s="40" t="str">
        <f>IF(OR($A64="",AJ$33=""),"",IF(ca_mesure="CPU",SUMIFS(TblCalculs[CPU provisionné],TblCalculs[Cluster],$B64,TblCalculs[Mois],AJ$33),IF(ca_mesure="RAM",SUMIFS(TblCalculs[RAM provisionnée],TblCalculs[Cluster],$B64,TblCalculs[Mois],AJ$33),SUMIFS(TblCalculs[Workers],TblCalculs[Cluster],$B64,TblCalculs[Mois],AJ$33))))</f>
        <v/>
      </c>
      <c r="AK64" s="40" t="str">
        <f>IF(OR($A64="",AK$33=""),"",IF(ca_mesure="CPU",SUMIFS(TblCalculs[CPU provisionné],TblCalculs[Cluster],$B64,TblCalculs[Mois],AK$33),IF(ca_mesure="RAM",SUMIFS(TblCalculs[RAM provisionnée],TblCalculs[Cluster],$B64,TblCalculs[Mois],AK$33),SUMIFS(TblCalculs[Workers],TblCalculs[Cluster],$B64,TblCalculs[Mois],AK$33))))</f>
        <v/>
      </c>
      <c r="AL64" s="40" t="str">
        <f>IF(OR($A64="",AL$33=""),"",IF(ca_mesure="CPU",SUMIFS(TblCalculs[CPU provisionné],TblCalculs[Cluster],$B64,TblCalculs[Mois],AL$33),IF(ca_mesure="RAM",SUMIFS(TblCalculs[RAM provisionnée],TblCalculs[Cluster],$B64,TblCalculs[Mois],AL$33),SUMIFS(TblCalculs[Workers],TblCalculs[Cluster],$B64,TblCalculs[Mois],AL$33))))</f>
        <v/>
      </c>
      <c r="AM64" s="40" t="str">
        <f>IF(OR($A64="",AM$33=""),"",IF(ca_mesure="CPU",SUMIFS(TblCalculs[CPU provisionné],TblCalculs[Cluster],$B64,TblCalculs[Mois],AM$33),IF(ca_mesure="RAM",SUMIFS(TblCalculs[RAM provisionnée],TblCalculs[Cluster],$B64,TblCalculs[Mois],AM$33),SUMIFS(TblCalculs[Workers],TblCalculs[Cluster],$B64,TblCalculs[Mois],AM$33))))</f>
        <v/>
      </c>
      <c r="AN64" s="40" t="str">
        <f>IF(OR($A64="",AN$33=""),"",IF(ca_mesure="CPU",SUMIFS(TblCalculs[CPU provisionné],TblCalculs[Cluster],$B64,TblCalculs[Mois],AN$33),IF(ca_mesure="RAM",SUMIFS(TblCalculs[RAM provisionnée],TblCalculs[Cluster],$B64,TblCalculs[Mois],AN$33),SUMIFS(TblCalculs[Workers],TblCalculs[Cluster],$B64,TblCalculs[Mois],AN$33))))</f>
        <v/>
      </c>
      <c r="AO64" s="40" t="str">
        <f>IF(OR($A64="",AO$33=""),"",IF(ca_mesure="CPU",SUMIFS(TblCalculs[CPU provisionné],TblCalculs[Cluster],$B64,TblCalculs[Mois],AO$33),IF(ca_mesure="RAM",SUMIFS(TblCalculs[RAM provisionnée],TblCalculs[Cluster],$B64,TblCalculs[Mois],AO$33),SUMIFS(TblCalculs[Workers],TblCalculs[Cluster],$B64,TblCalculs[Mois],AO$33))))</f>
        <v/>
      </c>
    </row>
    <row r="65" spans="1:41" x14ac:dyDescent="0.2">
      <c r="A65" s="37" t="str">
        <f>IFERROR(MATCH(32,TblClusters[Rang capacités],0),"")</f>
        <v/>
      </c>
      <c r="B65" s="38" t="str">
        <f>IF($A65="","",INDEX(TblClusters[Cluster],$A65))</f>
        <v/>
      </c>
      <c r="C65" s="39" t="str">
        <f>IF($A65="","",INDEX(TblClusters[Plateforme],$A65))</f>
        <v/>
      </c>
      <c r="D65" s="39" t="str">
        <f>IF($A65="","",INDEX(TblClusters[Environnement],$A65))</f>
        <v/>
      </c>
      <c r="E65" s="39" t="str">
        <f>IF($A65="","",INDEX(TblClusters[Flavor],$A65))</f>
        <v/>
      </c>
      <c r="F65" s="40" t="str">
        <f>IF(OR($A65="",F$33=""),"",IF(ca_mesure="CPU",SUMIFS(TblCalculs[CPU provisionné],TblCalculs[Cluster],$B65,TblCalculs[Mois],F$33),IF(ca_mesure="RAM",SUMIFS(TblCalculs[RAM provisionnée],TblCalculs[Cluster],$B65,TblCalculs[Mois],F$33),SUMIFS(TblCalculs[Workers],TblCalculs[Cluster],$B65,TblCalculs[Mois],F$33))))</f>
        <v/>
      </c>
      <c r="G65" s="40" t="str">
        <f>IF(OR($A65="",G$33=""),"",IF(ca_mesure="CPU",SUMIFS(TblCalculs[CPU provisionné],TblCalculs[Cluster],$B65,TblCalculs[Mois],G$33),IF(ca_mesure="RAM",SUMIFS(TblCalculs[RAM provisionnée],TblCalculs[Cluster],$B65,TblCalculs[Mois],G$33),SUMIFS(TblCalculs[Workers],TblCalculs[Cluster],$B65,TblCalculs[Mois],G$33))))</f>
        <v/>
      </c>
      <c r="H65" s="40" t="str">
        <f>IF(OR($A65="",H$33=""),"",IF(ca_mesure="CPU",SUMIFS(TblCalculs[CPU provisionné],TblCalculs[Cluster],$B65,TblCalculs[Mois],H$33),IF(ca_mesure="RAM",SUMIFS(TblCalculs[RAM provisionnée],TblCalculs[Cluster],$B65,TblCalculs[Mois],H$33),SUMIFS(TblCalculs[Workers],TblCalculs[Cluster],$B65,TblCalculs[Mois],H$33))))</f>
        <v/>
      </c>
      <c r="I65" s="40" t="str">
        <f>IF(OR($A65="",I$33=""),"",IF(ca_mesure="CPU",SUMIFS(TblCalculs[CPU provisionné],TblCalculs[Cluster],$B65,TblCalculs[Mois],I$33),IF(ca_mesure="RAM",SUMIFS(TblCalculs[RAM provisionnée],TblCalculs[Cluster],$B65,TblCalculs[Mois],I$33),SUMIFS(TblCalculs[Workers],TblCalculs[Cluster],$B65,TblCalculs[Mois],I$33))))</f>
        <v/>
      </c>
      <c r="J65" s="40" t="str">
        <f>IF(OR($A65="",J$33=""),"",IF(ca_mesure="CPU",SUMIFS(TblCalculs[CPU provisionné],TblCalculs[Cluster],$B65,TblCalculs[Mois],J$33),IF(ca_mesure="RAM",SUMIFS(TblCalculs[RAM provisionnée],TblCalculs[Cluster],$B65,TblCalculs[Mois],J$33),SUMIFS(TblCalculs[Workers],TblCalculs[Cluster],$B65,TblCalculs[Mois],J$33))))</f>
        <v/>
      </c>
      <c r="K65" s="40" t="str">
        <f>IF(OR($A65="",K$33=""),"",IF(ca_mesure="CPU",SUMIFS(TblCalculs[CPU provisionné],TblCalculs[Cluster],$B65,TblCalculs[Mois],K$33),IF(ca_mesure="RAM",SUMIFS(TblCalculs[RAM provisionnée],TblCalculs[Cluster],$B65,TblCalculs[Mois],K$33),SUMIFS(TblCalculs[Workers],TblCalculs[Cluster],$B65,TblCalculs[Mois],K$33))))</f>
        <v/>
      </c>
      <c r="L65" s="40" t="str">
        <f>IF(OR($A65="",L$33=""),"",IF(ca_mesure="CPU",SUMIFS(TblCalculs[CPU provisionné],TblCalculs[Cluster],$B65,TblCalculs[Mois],L$33),IF(ca_mesure="RAM",SUMIFS(TblCalculs[RAM provisionnée],TblCalculs[Cluster],$B65,TblCalculs[Mois],L$33),SUMIFS(TblCalculs[Workers],TblCalculs[Cluster],$B65,TblCalculs[Mois],L$33))))</f>
        <v/>
      </c>
      <c r="M65" s="40" t="str">
        <f>IF(OR($A65="",M$33=""),"",IF(ca_mesure="CPU",SUMIFS(TblCalculs[CPU provisionné],TblCalculs[Cluster],$B65,TblCalculs[Mois],M$33),IF(ca_mesure="RAM",SUMIFS(TblCalculs[RAM provisionnée],TblCalculs[Cluster],$B65,TblCalculs[Mois],M$33),SUMIFS(TblCalculs[Workers],TblCalculs[Cluster],$B65,TblCalculs[Mois],M$33))))</f>
        <v/>
      </c>
      <c r="N65" s="40" t="str">
        <f>IF(OR($A65="",N$33=""),"",IF(ca_mesure="CPU",SUMIFS(TblCalculs[CPU provisionné],TblCalculs[Cluster],$B65,TblCalculs[Mois],N$33),IF(ca_mesure="RAM",SUMIFS(TblCalculs[RAM provisionnée],TblCalculs[Cluster],$B65,TblCalculs[Mois],N$33),SUMIFS(TblCalculs[Workers],TblCalculs[Cluster],$B65,TblCalculs[Mois],N$33))))</f>
        <v/>
      </c>
      <c r="O65" s="40" t="str">
        <f>IF(OR($A65="",O$33=""),"",IF(ca_mesure="CPU",SUMIFS(TblCalculs[CPU provisionné],TblCalculs[Cluster],$B65,TblCalculs[Mois],O$33),IF(ca_mesure="RAM",SUMIFS(TblCalculs[RAM provisionnée],TblCalculs[Cluster],$B65,TblCalculs[Mois],O$33),SUMIFS(TblCalculs[Workers],TblCalculs[Cluster],$B65,TblCalculs[Mois],O$33))))</f>
        <v/>
      </c>
      <c r="P65" s="40" t="str">
        <f>IF(OR($A65="",P$33=""),"",IF(ca_mesure="CPU",SUMIFS(TblCalculs[CPU provisionné],TblCalculs[Cluster],$B65,TblCalculs[Mois],P$33),IF(ca_mesure="RAM",SUMIFS(TblCalculs[RAM provisionnée],TblCalculs[Cluster],$B65,TblCalculs[Mois],P$33),SUMIFS(TblCalculs[Workers],TblCalculs[Cluster],$B65,TblCalculs[Mois],P$33))))</f>
        <v/>
      </c>
      <c r="Q65" s="40" t="str">
        <f>IF(OR($A65="",Q$33=""),"",IF(ca_mesure="CPU",SUMIFS(TblCalculs[CPU provisionné],TblCalculs[Cluster],$B65,TblCalculs[Mois],Q$33),IF(ca_mesure="RAM",SUMIFS(TblCalculs[RAM provisionnée],TblCalculs[Cluster],$B65,TblCalculs[Mois],Q$33),SUMIFS(TblCalculs[Workers],TblCalculs[Cluster],$B65,TblCalculs[Mois],Q$33))))</f>
        <v/>
      </c>
      <c r="R65" s="40" t="str">
        <f>IF(OR($A65="",R$33=""),"",IF(ca_mesure="CPU",SUMIFS(TblCalculs[CPU provisionné],TblCalculs[Cluster],$B65,TblCalculs[Mois],R$33),IF(ca_mesure="RAM",SUMIFS(TblCalculs[RAM provisionnée],TblCalculs[Cluster],$B65,TblCalculs[Mois],R$33),SUMIFS(TblCalculs[Workers],TblCalculs[Cluster],$B65,TblCalculs[Mois],R$33))))</f>
        <v/>
      </c>
      <c r="S65" s="40" t="str">
        <f>IF(OR($A65="",S$33=""),"",IF(ca_mesure="CPU",SUMIFS(TblCalculs[CPU provisionné],TblCalculs[Cluster],$B65,TblCalculs[Mois],S$33),IF(ca_mesure="RAM",SUMIFS(TblCalculs[RAM provisionnée],TblCalculs[Cluster],$B65,TblCalculs[Mois],S$33),SUMIFS(TblCalculs[Workers],TblCalculs[Cluster],$B65,TblCalculs[Mois],S$33))))</f>
        <v/>
      </c>
      <c r="T65" s="40" t="str">
        <f>IF(OR($A65="",T$33=""),"",IF(ca_mesure="CPU",SUMIFS(TblCalculs[CPU provisionné],TblCalculs[Cluster],$B65,TblCalculs[Mois],T$33),IF(ca_mesure="RAM",SUMIFS(TblCalculs[RAM provisionnée],TblCalculs[Cluster],$B65,TblCalculs[Mois],T$33),SUMIFS(TblCalculs[Workers],TblCalculs[Cluster],$B65,TblCalculs[Mois],T$33))))</f>
        <v/>
      </c>
      <c r="U65" s="40" t="str">
        <f>IF(OR($A65="",U$33=""),"",IF(ca_mesure="CPU",SUMIFS(TblCalculs[CPU provisionné],TblCalculs[Cluster],$B65,TblCalculs[Mois],U$33),IF(ca_mesure="RAM",SUMIFS(TblCalculs[RAM provisionnée],TblCalculs[Cluster],$B65,TblCalculs[Mois],U$33),SUMIFS(TblCalculs[Workers],TblCalculs[Cluster],$B65,TblCalculs[Mois],U$33))))</f>
        <v/>
      </c>
      <c r="V65" s="40" t="str">
        <f>IF(OR($A65="",V$33=""),"",IF(ca_mesure="CPU",SUMIFS(TblCalculs[CPU provisionné],TblCalculs[Cluster],$B65,TblCalculs[Mois],V$33),IF(ca_mesure="RAM",SUMIFS(TblCalculs[RAM provisionnée],TblCalculs[Cluster],$B65,TblCalculs[Mois],V$33),SUMIFS(TblCalculs[Workers],TblCalculs[Cluster],$B65,TblCalculs[Mois],V$33))))</f>
        <v/>
      </c>
      <c r="W65" s="40" t="str">
        <f>IF(OR($A65="",W$33=""),"",IF(ca_mesure="CPU",SUMIFS(TblCalculs[CPU provisionné],TblCalculs[Cluster],$B65,TblCalculs[Mois],W$33),IF(ca_mesure="RAM",SUMIFS(TblCalculs[RAM provisionnée],TblCalculs[Cluster],$B65,TblCalculs[Mois],W$33),SUMIFS(TblCalculs[Workers],TblCalculs[Cluster],$B65,TblCalculs[Mois],W$33))))</f>
        <v/>
      </c>
      <c r="X65" s="40" t="str">
        <f>IF(OR($A65="",X$33=""),"",IF(ca_mesure="CPU",SUMIFS(TblCalculs[CPU provisionné],TblCalculs[Cluster],$B65,TblCalculs[Mois],X$33),IF(ca_mesure="RAM",SUMIFS(TblCalculs[RAM provisionnée],TblCalculs[Cluster],$B65,TblCalculs[Mois],X$33),SUMIFS(TblCalculs[Workers],TblCalculs[Cluster],$B65,TblCalculs[Mois],X$33))))</f>
        <v/>
      </c>
      <c r="Y65" s="40" t="str">
        <f>IF(OR($A65="",Y$33=""),"",IF(ca_mesure="CPU",SUMIFS(TblCalculs[CPU provisionné],TblCalculs[Cluster],$B65,TblCalculs[Mois],Y$33),IF(ca_mesure="RAM",SUMIFS(TblCalculs[RAM provisionnée],TblCalculs[Cluster],$B65,TblCalculs[Mois],Y$33),SUMIFS(TblCalculs[Workers],TblCalculs[Cluster],$B65,TblCalculs[Mois],Y$33))))</f>
        <v/>
      </c>
      <c r="Z65" s="40" t="str">
        <f>IF(OR($A65="",Z$33=""),"",IF(ca_mesure="CPU",SUMIFS(TblCalculs[CPU provisionné],TblCalculs[Cluster],$B65,TblCalculs[Mois],Z$33),IF(ca_mesure="RAM",SUMIFS(TblCalculs[RAM provisionnée],TblCalculs[Cluster],$B65,TblCalculs[Mois],Z$33),SUMIFS(TblCalculs[Workers],TblCalculs[Cluster],$B65,TblCalculs[Mois],Z$33))))</f>
        <v/>
      </c>
      <c r="AA65" s="40" t="str">
        <f>IF(OR($A65="",AA$33=""),"",IF(ca_mesure="CPU",SUMIFS(TblCalculs[CPU provisionné],TblCalculs[Cluster],$B65,TblCalculs[Mois],AA$33),IF(ca_mesure="RAM",SUMIFS(TblCalculs[RAM provisionnée],TblCalculs[Cluster],$B65,TblCalculs[Mois],AA$33),SUMIFS(TblCalculs[Workers],TblCalculs[Cluster],$B65,TblCalculs[Mois],AA$33))))</f>
        <v/>
      </c>
      <c r="AB65" s="40" t="str">
        <f>IF(OR($A65="",AB$33=""),"",IF(ca_mesure="CPU",SUMIFS(TblCalculs[CPU provisionné],TblCalculs[Cluster],$B65,TblCalculs[Mois],AB$33),IF(ca_mesure="RAM",SUMIFS(TblCalculs[RAM provisionnée],TblCalculs[Cluster],$B65,TblCalculs[Mois],AB$33),SUMIFS(TblCalculs[Workers],TblCalculs[Cluster],$B65,TblCalculs[Mois],AB$33))))</f>
        <v/>
      </c>
      <c r="AC65" s="40" t="str">
        <f>IF(OR($A65="",AC$33=""),"",IF(ca_mesure="CPU",SUMIFS(TblCalculs[CPU provisionné],TblCalculs[Cluster],$B65,TblCalculs[Mois],AC$33),IF(ca_mesure="RAM",SUMIFS(TblCalculs[RAM provisionnée],TblCalculs[Cluster],$B65,TblCalculs[Mois],AC$33),SUMIFS(TblCalculs[Workers],TblCalculs[Cluster],$B65,TblCalculs[Mois],AC$33))))</f>
        <v/>
      </c>
      <c r="AD65" s="40" t="str">
        <f>IF(OR($A65="",AD$33=""),"",IF(ca_mesure="CPU",SUMIFS(TblCalculs[CPU provisionné],TblCalculs[Cluster],$B65,TblCalculs[Mois],AD$33),IF(ca_mesure="RAM",SUMIFS(TblCalculs[RAM provisionnée],TblCalculs[Cluster],$B65,TblCalculs[Mois],AD$33),SUMIFS(TblCalculs[Workers],TblCalculs[Cluster],$B65,TblCalculs[Mois],AD$33))))</f>
        <v/>
      </c>
      <c r="AE65" s="40" t="str">
        <f>IF(OR($A65="",AE$33=""),"",IF(ca_mesure="CPU",SUMIFS(TblCalculs[CPU provisionné],TblCalculs[Cluster],$B65,TblCalculs[Mois],AE$33),IF(ca_mesure="RAM",SUMIFS(TblCalculs[RAM provisionnée],TblCalculs[Cluster],$B65,TblCalculs[Mois],AE$33),SUMIFS(TblCalculs[Workers],TblCalculs[Cluster],$B65,TblCalculs[Mois],AE$33))))</f>
        <v/>
      </c>
      <c r="AF65" s="40" t="str">
        <f>IF(OR($A65="",AF$33=""),"",IF(ca_mesure="CPU",SUMIFS(TblCalculs[CPU provisionné],TblCalculs[Cluster],$B65,TblCalculs[Mois],AF$33),IF(ca_mesure="RAM",SUMIFS(TblCalculs[RAM provisionnée],TblCalculs[Cluster],$B65,TblCalculs[Mois],AF$33),SUMIFS(TblCalculs[Workers],TblCalculs[Cluster],$B65,TblCalculs[Mois],AF$33))))</f>
        <v/>
      </c>
      <c r="AG65" s="40" t="str">
        <f>IF(OR($A65="",AG$33=""),"",IF(ca_mesure="CPU",SUMIFS(TblCalculs[CPU provisionné],TblCalculs[Cluster],$B65,TblCalculs[Mois],AG$33),IF(ca_mesure="RAM",SUMIFS(TblCalculs[RAM provisionnée],TblCalculs[Cluster],$B65,TblCalculs[Mois],AG$33),SUMIFS(TblCalculs[Workers],TblCalculs[Cluster],$B65,TblCalculs[Mois],AG$33))))</f>
        <v/>
      </c>
      <c r="AH65" s="40" t="str">
        <f>IF(OR($A65="",AH$33=""),"",IF(ca_mesure="CPU",SUMIFS(TblCalculs[CPU provisionné],TblCalculs[Cluster],$B65,TblCalculs[Mois],AH$33),IF(ca_mesure="RAM",SUMIFS(TblCalculs[RAM provisionnée],TblCalculs[Cluster],$B65,TblCalculs[Mois],AH$33),SUMIFS(TblCalculs[Workers],TblCalculs[Cluster],$B65,TblCalculs[Mois],AH$33))))</f>
        <v/>
      </c>
      <c r="AI65" s="40" t="str">
        <f>IF(OR($A65="",AI$33=""),"",IF(ca_mesure="CPU",SUMIFS(TblCalculs[CPU provisionné],TblCalculs[Cluster],$B65,TblCalculs[Mois],AI$33),IF(ca_mesure="RAM",SUMIFS(TblCalculs[RAM provisionnée],TblCalculs[Cluster],$B65,TblCalculs[Mois],AI$33),SUMIFS(TblCalculs[Workers],TblCalculs[Cluster],$B65,TblCalculs[Mois],AI$33))))</f>
        <v/>
      </c>
      <c r="AJ65" s="40" t="str">
        <f>IF(OR($A65="",AJ$33=""),"",IF(ca_mesure="CPU",SUMIFS(TblCalculs[CPU provisionné],TblCalculs[Cluster],$B65,TblCalculs[Mois],AJ$33),IF(ca_mesure="RAM",SUMIFS(TblCalculs[RAM provisionnée],TblCalculs[Cluster],$B65,TblCalculs[Mois],AJ$33),SUMIFS(TblCalculs[Workers],TblCalculs[Cluster],$B65,TblCalculs[Mois],AJ$33))))</f>
        <v/>
      </c>
      <c r="AK65" s="40" t="str">
        <f>IF(OR($A65="",AK$33=""),"",IF(ca_mesure="CPU",SUMIFS(TblCalculs[CPU provisionné],TblCalculs[Cluster],$B65,TblCalculs[Mois],AK$33),IF(ca_mesure="RAM",SUMIFS(TblCalculs[RAM provisionnée],TblCalculs[Cluster],$B65,TblCalculs[Mois],AK$33),SUMIFS(TblCalculs[Workers],TblCalculs[Cluster],$B65,TblCalculs[Mois],AK$33))))</f>
        <v/>
      </c>
      <c r="AL65" s="40" t="str">
        <f>IF(OR($A65="",AL$33=""),"",IF(ca_mesure="CPU",SUMIFS(TblCalculs[CPU provisionné],TblCalculs[Cluster],$B65,TblCalculs[Mois],AL$33),IF(ca_mesure="RAM",SUMIFS(TblCalculs[RAM provisionnée],TblCalculs[Cluster],$B65,TblCalculs[Mois],AL$33),SUMIFS(TblCalculs[Workers],TblCalculs[Cluster],$B65,TblCalculs[Mois],AL$33))))</f>
        <v/>
      </c>
      <c r="AM65" s="40" t="str">
        <f>IF(OR($A65="",AM$33=""),"",IF(ca_mesure="CPU",SUMIFS(TblCalculs[CPU provisionné],TblCalculs[Cluster],$B65,TblCalculs[Mois],AM$33),IF(ca_mesure="RAM",SUMIFS(TblCalculs[RAM provisionnée],TblCalculs[Cluster],$B65,TblCalculs[Mois],AM$33),SUMIFS(TblCalculs[Workers],TblCalculs[Cluster],$B65,TblCalculs[Mois],AM$33))))</f>
        <v/>
      </c>
      <c r="AN65" s="40" t="str">
        <f>IF(OR($A65="",AN$33=""),"",IF(ca_mesure="CPU",SUMIFS(TblCalculs[CPU provisionné],TblCalculs[Cluster],$B65,TblCalculs[Mois],AN$33),IF(ca_mesure="RAM",SUMIFS(TblCalculs[RAM provisionnée],TblCalculs[Cluster],$B65,TblCalculs[Mois],AN$33),SUMIFS(TblCalculs[Workers],TblCalculs[Cluster],$B65,TblCalculs[Mois],AN$33))))</f>
        <v/>
      </c>
      <c r="AO65" s="40" t="str">
        <f>IF(OR($A65="",AO$33=""),"",IF(ca_mesure="CPU",SUMIFS(TblCalculs[CPU provisionné],TblCalculs[Cluster],$B65,TblCalculs[Mois],AO$33),IF(ca_mesure="RAM",SUMIFS(TblCalculs[RAM provisionnée],TblCalculs[Cluster],$B65,TblCalculs[Mois],AO$33),SUMIFS(TblCalculs[Workers],TblCalculs[Cluster],$B65,TblCalculs[Mois],AO$33))))</f>
        <v/>
      </c>
    </row>
    <row r="66" spans="1:41" x14ac:dyDescent="0.2">
      <c r="A66" s="37" t="str">
        <f>IFERROR(MATCH(33,TblClusters[Rang capacités],0),"")</f>
        <v/>
      </c>
      <c r="B66" s="38" t="str">
        <f>IF($A66="","",INDEX(TblClusters[Cluster],$A66))</f>
        <v/>
      </c>
      <c r="C66" s="39" t="str">
        <f>IF($A66="","",INDEX(TblClusters[Plateforme],$A66))</f>
        <v/>
      </c>
      <c r="D66" s="39" t="str">
        <f>IF($A66="","",INDEX(TblClusters[Environnement],$A66))</f>
        <v/>
      </c>
      <c r="E66" s="39" t="str">
        <f>IF($A66="","",INDEX(TblClusters[Flavor],$A66))</f>
        <v/>
      </c>
      <c r="F66" s="40" t="str">
        <f>IF(OR($A66="",F$33=""),"",IF(ca_mesure="CPU",SUMIFS(TblCalculs[CPU provisionné],TblCalculs[Cluster],$B66,TblCalculs[Mois],F$33),IF(ca_mesure="RAM",SUMIFS(TblCalculs[RAM provisionnée],TblCalculs[Cluster],$B66,TblCalculs[Mois],F$33),SUMIFS(TblCalculs[Workers],TblCalculs[Cluster],$B66,TblCalculs[Mois],F$33))))</f>
        <v/>
      </c>
      <c r="G66" s="40" t="str">
        <f>IF(OR($A66="",G$33=""),"",IF(ca_mesure="CPU",SUMIFS(TblCalculs[CPU provisionné],TblCalculs[Cluster],$B66,TblCalculs[Mois],G$33),IF(ca_mesure="RAM",SUMIFS(TblCalculs[RAM provisionnée],TblCalculs[Cluster],$B66,TblCalculs[Mois],G$33),SUMIFS(TblCalculs[Workers],TblCalculs[Cluster],$B66,TblCalculs[Mois],G$33))))</f>
        <v/>
      </c>
      <c r="H66" s="40" t="str">
        <f>IF(OR($A66="",H$33=""),"",IF(ca_mesure="CPU",SUMIFS(TblCalculs[CPU provisionné],TblCalculs[Cluster],$B66,TblCalculs[Mois],H$33),IF(ca_mesure="RAM",SUMIFS(TblCalculs[RAM provisionnée],TblCalculs[Cluster],$B66,TblCalculs[Mois],H$33),SUMIFS(TblCalculs[Workers],TblCalculs[Cluster],$B66,TblCalculs[Mois],H$33))))</f>
        <v/>
      </c>
      <c r="I66" s="40" t="str">
        <f>IF(OR($A66="",I$33=""),"",IF(ca_mesure="CPU",SUMIFS(TblCalculs[CPU provisionné],TblCalculs[Cluster],$B66,TblCalculs[Mois],I$33),IF(ca_mesure="RAM",SUMIFS(TblCalculs[RAM provisionnée],TblCalculs[Cluster],$B66,TblCalculs[Mois],I$33),SUMIFS(TblCalculs[Workers],TblCalculs[Cluster],$B66,TblCalculs[Mois],I$33))))</f>
        <v/>
      </c>
      <c r="J66" s="40" t="str">
        <f>IF(OR($A66="",J$33=""),"",IF(ca_mesure="CPU",SUMIFS(TblCalculs[CPU provisionné],TblCalculs[Cluster],$B66,TblCalculs[Mois],J$33),IF(ca_mesure="RAM",SUMIFS(TblCalculs[RAM provisionnée],TblCalculs[Cluster],$B66,TblCalculs[Mois],J$33),SUMIFS(TblCalculs[Workers],TblCalculs[Cluster],$B66,TblCalculs[Mois],J$33))))</f>
        <v/>
      </c>
      <c r="K66" s="40" t="str">
        <f>IF(OR($A66="",K$33=""),"",IF(ca_mesure="CPU",SUMIFS(TblCalculs[CPU provisionné],TblCalculs[Cluster],$B66,TblCalculs[Mois],K$33),IF(ca_mesure="RAM",SUMIFS(TblCalculs[RAM provisionnée],TblCalculs[Cluster],$B66,TblCalculs[Mois],K$33),SUMIFS(TblCalculs[Workers],TblCalculs[Cluster],$B66,TblCalculs[Mois],K$33))))</f>
        <v/>
      </c>
      <c r="L66" s="40" t="str">
        <f>IF(OR($A66="",L$33=""),"",IF(ca_mesure="CPU",SUMIFS(TblCalculs[CPU provisionné],TblCalculs[Cluster],$B66,TblCalculs[Mois],L$33),IF(ca_mesure="RAM",SUMIFS(TblCalculs[RAM provisionnée],TblCalculs[Cluster],$B66,TblCalculs[Mois],L$33),SUMIFS(TblCalculs[Workers],TblCalculs[Cluster],$B66,TblCalculs[Mois],L$33))))</f>
        <v/>
      </c>
      <c r="M66" s="40" t="str">
        <f>IF(OR($A66="",M$33=""),"",IF(ca_mesure="CPU",SUMIFS(TblCalculs[CPU provisionné],TblCalculs[Cluster],$B66,TblCalculs[Mois],M$33),IF(ca_mesure="RAM",SUMIFS(TblCalculs[RAM provisionnée],TblCalculs[Cluster],$B66,TblCalculs[Mois],M$33),SUMIFS(TblCalculs[Workers],TblCalculs[Cluster],$B66,TblCalculs[Mois],M$33))))</f>
        <v/>
      </c>
      <c r="N66" s="40" t="str">
        <f>IF(OR($A66="",N$33=""),"",IF(ca_mesure="CPU",SUMIFS(TblCalculs[CPU provisionné],TblCalculs[Cluster],$B66,TblCalculs[Mois],N$33),IF(ca_mesure="RAM",SUMIFS(TblCalculs[RAM provisionnée],TblCalculs[Cluster],$B66,TblCalculs[Mois],N$33),SUMIFS(TblCalculs[Workers],TblCalculs[Cluster],$B66,TblCalculs[Mois],N$33))))</f>
        <v/>
      </c>
      <c r="O66" s="40" t="str">
        <f>IF(OR($A66="",O$33=""),"",IF(ca_mesure="CPU",SUMIFS(TblCalculs[CPU provisionné],TblCalculs[Cluster],$B66,TblCalculs[Mois],O$33),IF(ca_mesure="RAM",SUMIFS(TblCalculs[RAM provisionnée],TblCalculs[Cluster],$B66,TblCalculs[Mois],O$33),SUMIFS(TblCalculs[Workers],TblCalculs[Cluster],$B66,TblCalculs[Mois],O$33))))</f>
        <v/>
      </c>
      <c r="P66" s="40" t="str">
        <f>IF(OR($A66="",P$33=""),"",IF(ca_mesure="CPU",SUMIFS(TblCalculs[CPU provisionné],TblCalculs[Cluster],$B66,TblCalculs[Mois],P$33),IF(ca_mesure="RAM",SUMIFS(TblCalculs[RAM provisionnée],TblCalculs[Cluster],$B66,TblCalculs[Mois],P$33),SUMIFS(TblCalculs[Workers],TblCalculs[Cluster],$B66,TblCalculs[Mois],P$33))))</f>
        <v/>
      </c>
      <c r="Q66" s="40" t="str">
        <f>IF(OR($A66="",Q$33=""),"",IF(ca_mesure="CPU",SUMIFS(TblCalculs[CPU provisionné],TblCalculs[Cluster],$B66,TblCalculs[Mois],Q$33),IF(ca_mesure="RAM",SUMIFS(TblCalculs[RAM provisionnée],TblCalculs[Cluster],$B66,TblCalculs[Mois],Q$33),SUMIFS(TblCalculs[Workers],TblCalculs[Cluster],$B66,TblCalculs[Mois],Q$33))))</f>
        <v/>
      </c>
      <c r="R66" s="40" t="str">
        <f>IF(OR($A66="",R$33=""),"",IF(ca_mesure="CPU",SUMIFS(TblCalculs[CPU provisionné],TblCalculs[Cluster],$B66,TblCalculs[Mois],R$33),IF(ca_mesure="RAM",SUMIFS(TblCalculs[RAM provisionnée],TblCalculs[Cluster],$B66,TblCalculs[Mois],R$33),SUMIFS(TblCalculs[Workers],TblCalculs[Cluster],$B66,TblCalculs[Mois],R$33))))</f>
        <v/>
      </c>
      <c r="S66" s="40" t="str">
        <f>IF(OR($A66="",S$33=""),"",IF(ca_mesure="CPU",SUMIFS(TblCalculs[CPU provisionné],TblCalculs[Cluster],$B66,TblCalculs[Mois],S$33),IF(ca_mesure="RAM",SUMIFS(TblCalculs[RAM provisionnée],TblCalculs[Cluster],$B66,TblCalculs[Mois],S$33),SUMIFS(TblCalculs[Workers],TblCalculs[Cluster],$B66,TblCalculs[Mois],S$33))))</f>
        <v/>
      </c>
      <c r="T66" s="40" t="str">
        <f>IF(OR($A66="",T$33=""),"",IF(ca_mesure="CPU",SUMIFS(TblCalculs[CPU provisionné],TblCalculs[Cluster],$B66,TblCalculs[Mois],T$33),IF(ca_mesure="RAM",SUMIFS(TblCalculs[RAM provisionnée],TblCalculs[Cluster],$B66,TblCalculs[Mois],T$33),SUMIFS(TblCalculs[Workers],TblCalculs[Cluster],$B66,TblCalculs[Mois],T$33))))</f>
        <v/>
      </c>
      <c r="U66" s="40" t="str">
        <f>IF(OR($A66="",U$33=""),"",IF(ca_mesure="CPU",SUMIFS(TblCalculs[CPU provisionné],TblCalculs[Cluster],$B66,TblCalculs[Mois],U$33),IF(ca_mesure="RAM",SUMIFS(TblCalculs[RAM provisionnée],TblCalculs[Cluster],$B66,TblCalculs[Mois],U$33),SUMIFS(TblCalculs[Workers],TblCalculs[Cluster],$B66,TblCalculs[Mois],U$33))))</f>
        <v/>
      </c>
      <c r="V66" s="40" t="str">
        <f>IF(OR($A66="",V$33=""),"",IF(ca_mesure="CPU",SUMIFS(TblCalculs[CPU provisionné],TblCalculs[Cluster],$B66,TblCalculs[Mois],V$33),IF(ca_mesure="RAM",SUMIFS(TblCalculs[RAM provisionnée],TblCalculs[Cluster],$B66,TblCalculs[Mois],V$33),SUMIFS(TblCalculs[Workers],TblCalculs[Cluster],$B66,TblCalculs[Mois],V$33))))</f>
        <v/>
      </c>
      <c r="W66" s="40" t="str">
        <f>IF(OR($A66="",W$33=""),"",IF(ca_mesure="CPU",SUMIFS(TblCalculs[CPU provisionné],TblCalculs[Cluster],$B66,TblCalculs[Mois],W$33),IF(ca_mesure="RAM",SUMIFS(TblCalculs[RAM provisionnée],TblCalculs[Cluster],$B66,TblCalculs[Mois],W$33),SUMIFS(TblCalculs[Workers],TblCalculs[Cluster],$B66,TblCalculs[Mois],W$33))))</f>
        <v/>
      </c>
      <c r="X66" s="40" t="str">
        <f>IF(OR($A66="",X$33=""),"",IF(ca_mesure="CPU",SUMIFS(TblCalculs[CPU provisionné],TblCalculs[Cluster],$B66,TblCalculs[Mois],X$33),IF(ca_mesure="RAM",SUMIFS(TblCalculs[RAM provisionnée],TblCalculs[Cluster],$B66,TblCalculs[Mois],X$33),SUMIFS(TblCalculs[Workers],TblCalculs[Cluster],$B66,TblCalculs[Mois],X$33))))</f>
        <v/>
      </c>
      <c r="Y66" s="40" t="str">
        <f>IF(OR($A66="",Y$33=""),"",IF(ca_mesure="CPU",SUMIFS(TblCalculs[CPU provisionné],TblCalculs[Cluster],$B66,TblCalculs[Mois],Y$33),IF(ca_mesure="RAM",SUMIFS(TblCalculs[RAM provisionnée],TblCalculs[Cluster],$B66,TblCalculs[Mois],Y$33),SUMIFS(TblCalculs[Workers],TblCalculs[Cluster],$B66,TblCalculs[Mois],Y$33))))</f>
        <v/>
      </c>
      <c r="Z66" s="40" t="str">
        <f>IF(OR($A66="",Z$33=""),"",IF(ca_mesure="CPU",SUMIFS(TblCalculs[CPU provisionné],TblCalculs[Cluster],$B66,TblCalculs[Mois],Z$33),IF(ca_mesure="RAM",SUMIFS(TblCalculs[RAM provisionnée],TblCalculs[Cluster],$B66,TblCalculs[Mois],Z$33),SUMIFS(TblCalculs[Workers],TblCalculs[Cluster],$B66,TblCalculs[Mois],Z$33))))</f>
        <v/>
      </c>
      <c r="AA66" s="40" t="str">
        <f>IF(OR($A66="",AA$33=""),"",IF(ca_mesure="CPU",SUMIFS(TblCalculs[CPU provisionné],TblCalculs[Cluster],$B66,TblCalculs[Mois],AA$33),IF(ca_mesure="RAM",SUMIFS(TblCalculs[RAM provisionnée],TblCalculs[Cluster],$B66,TblCalculs[Mois],AA$33),SUMIFS(TblCalculs[Workers],TblCalculs[Cluster],$B66,TblCalculs[Mois],AA$33))))</f>
        <v/>
      </c>
      <c r="AB66" s="40" t="str">
        <f>IF(OR($A66="",AB$33=""),"",IF(ca_mesure="CPU",SUMIFS(TblCalculs[CPU provisionné],TblCalculs[Cluster],$B66,TblCalculs[Mois],AB$33),IF(ca_mesure="RAM",SUMIFS(TblCalculs[RAM provisionnée],TblCalculs[Cluster],$B66,TblCalculs[Mois],AB$33),SUMIFS(TblCalculs[Workers],TblCalculs[Cluster],$B66,TblCalculs[Mois],AB$33))))</f>
        <v/>
      </c>
      <c r="AC66" s="40" t="str">
        <f>IF(OR($A66="",AC$33=""),"",IF(ca_mesure="CPU",SUMIFS(TblCalculs[CPU provisionné],TblCalculs[Cluster],$B66,TblCalculs[Mois],AC$33),IF(ca_mesure="RAM",SUMIFS(TblCalculs[RAM provisionnée],TblCalculs[Cluster],$B66,TblCalculs[Mois],AC$33),SUMIFS(TblCalculs[Workers],TblCalculs[Cluster],$B66,TblCalculs[Mois],AC$33))))</f>
        <v/>
      </c>
      <c r="AD66" s="40" t="str">
        <f>IF(OR($A66="",AD$33=""),"",IF(ca_mesure="CPU",SUMIFS(TblCalculs[CPU provisionné],TblCalculs[Cluster],$B66,TblCalculs[Mois],AD$33),IF(ca_mesure="RAM",SUMIFS(TblCalculs[RAM provisionnée],TblCalculs[Cluster],$B66,TblCalculs[Mois],AD$33),SUMIFS(TblCalculs[Workers],TblCalculs[Cluster],$B66,TblCalculs[Mois],AD$33))))</f>
        <v/>
      </c>
      <c r="AE66" s="40" t="str">
        <f>IF(OR($A66="",AE$33=""),"",IF(ca_mesure="CPU",SUMIFS(TblCalculs[CPU provisionné],TblCalculs[Cluster],$B66,TblCalculs[Mois],AE$33),IF(ca_mesure="RAM",SUMIFS(TblCalculs[RAM provisionnée],TblCalculs[Cluster],$B66,TblCalculs[Mois],AE$33),SUMIFS(TblCalculs[Workers],TblCalculs[Cluster],$B66,TblCalculs[Mois],AE$33))))</f>
        <v/>
      </c>
      <c r="AF66" s="40" t="str">
        <f>IF(OR($A66="",AF$33=""),"",IF(ca_mesure="CPU",SUMIFS(TblCalculs[CPU provisionné],TblCalculs[Cluster],$B66,TblCalculs[Mois],AF$33),IF(ca_mesure="RAM",SUMIFS(TblCalculs[RAM provisionnée],TblCalculs[Cluster],$B66,TblCalculs[Mois],AF$33),SUMIFS(TblCalculs[Workers],TblCalculs[Cluster],$B66,TblCalculs[Mois],AF$33))))</f>
        <v/>
      </c>
      <c r="AG66" s="40" t="str">
        <f>IF(OR($A66="",AG$33=""),"",IF(ca_mesure="CPU",SUMIFS(TblCalculs[CPU provisionné],TblCalculs[Cluster],$B66,TblCalculs[Mois],AG$33),IF(ca_mesure="RAM",SUMIFS(TblCalculs[RAM provisionnée],TblCalculs[Cluster],$B66,TblCalculs[Mois],AG$33),SUMIFS(TblCalculs[Workers],TblCalculs[Cluster],$B66,TblCalculs[Mois],AG$33))))</f>
        <v/>
      </c>
      <c r="AH66" s="40" t="str">
        <f>IF(OR($A66="",AH$33=""),"",IF(ca_mesure="CPU",SUMIFS(TblCalculs[CPU provisionné],TblCalculs[Cluster],$B66,TblCalculs[Mois],AH$33),IF(ca_mesure="RAM",SUMIFS(TblCalculs[RAM provisionnée],TblCalculs[Cluster],$B66,TblCalculs[Mois],AH$33),SUMIFS(TblCalculs[Workers],TblCalculs[Cluster],$B66,TblCalculs[Mois],AH$33))))</f>
        <v/>
      </c>
      <c r="AI66" s="40" t="str">
        <f>IF(OR($A66="",AI$33=""),"",IF(ca_mesure="CPU",SUMIFS(TblCalculs[CPU provisionné],TblCalculs[Cluster],$B66,TblCalculs[Mois],AI$33),IF(ca_mesure="RAM",SUMIFS(TblCalculs[RAM provisionnée],TblCalculs[Cluster],$B66,TblCalculs[Mois],AI$33),SUMIFS(TblCalculs[Workers],TblCalculs[Cluster],$B66,TblCalculs[Mois],AI$33))))</f>
        <v/>
      </c>
      <c r="AJ66" s="40" t="str">
        <f>IF(OR($A66="",AJ$33=""),"",IF(ca_mesure="CPU",SUMIFS(TblCalculs[CPU provisionné],TblCalculs[Cluster],$B66,TblCalculs[Mois],AJ$33),IF(ca_mesure="RAM",SUMIFS(TblCalculs[RAM provisionnée],TblCalculs[Cluster],$B66,TblCalculs[Mois],AJ$33),SUMIFS(TblCalculs[Workers],TblCalculs[Cluster],$B66,TblCalculs[Mois],AJ$33))))</f>
        <v/>
      </c>
      <c r="AK66" s="40" t="str">
        <f>IF(OR($A66="",AK$33=""),"",IF(ca_mesure="CPU",SUMIFS(TblCalculs[CPU provisionné],TblCalculs[Cluster],$B66,TblCalculs[Mois],AK$33),IF(ca_mesure="RAM",SUMIFS(TblCalculs[RAM provisionnée],TblCalculs[Cluster],$B66,TblCalculs[Mois],AK$33),SUMIFS(TblCalculs[Workers],TblCalculs[Cluster],$B66,TblCalculs[Mois],AK$33))))</f>
        <v/>
      </c>
      <c r="AL66" s="40" t="str">
        <f>IF(OR($A66="",AL$33=""),"",IF(ca_mesure="CPU",SUMIFS(TblCalculs[CPU provisionné],TblCalculs[Cluster],$B66,TblCalculs[Mois],AL$33),IF(ca_mesure="RAM",SUMIFS(TblCalculs[RAM provisionnée],TblCalculs[Cluster],$B66,TblCalculs[Mois],AL$33),SUMIFS(TblCalculs[Workers],TblCalculs[Cluster],$B66,TblCalculs[Mois],AL$33))))</f>
        <v/>
      </c>
      <c r="AM66" s="40" t="str">
        <f>IF(OR($A66="",AM$33=""),"",IF(ca_mesure="CPU",SUMIFS(TblCalculs[CPU provisionné],TblCalculs[Cluster],$B66,TblCalculs[Mois],AM$33),IF(ca_mesure="RAM",SUMIFS(TblCalculs[RAM provisionnée],TblCalculs[Cluster],$B66,TblCalculs[Mois],AM$33),SUMIFS(TblCalculs[Workers],TblCalculs[Cluster],$B66,TblCalculs[Mois],AM$33))))</f>
        <v/>
      </c>
      <c r="AN66" s="40" t="str">
        <f>IF(OR($A66="",AN$33=""),"",IF(ca_mesure="CPU",SUMIFS(TblCalculs[CPU provisionné],TblCalculs[Cluster],$B66,TblCalculs[Mois],AN$33),IF(ca_mesure="RAM",SUMIFS(TblCalculs[RAM provisionnée],TblCalculs[Cluster],$B66,TblCalculs[Mois],AN$33),SUMIFS(TblCalculs[Workers],TblCalculs[Cluster],$B66,TblCalculs[Mois],AN$33))))</f>
        <v/>
      </c>
      <c r="AO66" s="40" t="str">
        <f>IF(OR($A66="",AO$33=""),"",IF(ca_mesure="CPU",SUMIFS(TblCalculs[CPU provisionné],TblCalculs[Cluster],$B66,TblCalculs[Mois],AO$33),IF(ca_mesure="RAM",SUMIFS(TblCalculs[RAM provisionnée],TblCalculs[Cluster],$B66,TblCalculs[Mois],AO$33),SUMIFS(TblCalculs[Workers],TblCalculs[Cluster],$B66,TblCalculs[Mois],AO$33))))</f>
        <v/>
      </c>
    </row>
    <row r="67" spans="1:41" x14ac:dyDescent="0.2">
      <c r="A67" s="37" t="str">
        <f>IFERROR(MATCH(34,TblClusters[Rang capacités],0),"")</f>
        <v/>
      </c>
      <c r="B67" s="38" t="str">
        <f>IF($A67="","",INDEX(TblClusters[Cluster],$A67))</f>
        <v/>
      </c>
      <c r="C67" s="39" t="str">
        <f>IF($A67="","",INDEX(TblClusters[Plateforme],$A67))</f>
        <v/>
      </c>
      <c r="D67" s="39" t="str">
        <f>IF($A67="","",INDEX(TblClusters[Environnement],$A67))</f>
        <v/>
      </c>
      <c r="E67" s="39" t="str">
        <f>IF($A67="","",INDEX(TblClusters[Flavor],$A67))</f>
        <v/>
      </c>
      <c r="F67" s="40" t="str">
        <f>IF(OR($A67="",F$33=""),"",IF(ca_mesure="CPU",SUMIFS(TblCalculs[CPU provisionné],TblCalculs[Cluster],$B67,TblCalculs[Mois],F$33),IF(ca_mesure="RAM",SUMIFS(TblCalculs[RAM provisionnée],TblCalculs[Cluster],$B67,TblCalculs[Mois],F$33),SUMIFS(TblCalculs[Workers],TblCalculs[Cluster],$B67,TblCalculs[Mois],F$33))))</f>
        <v/>
      </c>
      <c r="G67" s="40" t="str">
        <f>IF(OR($A67="",G$33=""),"",IF(ca_mesure="CPU",SUMIFS(TblCalculs[CPU provisionné],TblCalculs[Cluster],$B67,TblCalculs[Mois],G$33),IF(ca_mesure="RAM",SUMIFS(TblCalculs[RAM provisionnée],TblCalculs[Cluster],$B67,TblCalculs[Mois],G$33),SUMIFS(TblCalculs[Workers],TblCalculs[Cluster],$B67,TblCalculs[Mois],G$33))))</f>
        <v/>
      </c>
      <c r="H67" s="40" t="str">
        <f>IF(OR($A67="",H$33=""),"",IF(ca_mesure="CPU",SUMIFS(TblCalculs[CPU provisionné],TblCalculs[Cluster],$B67,TblCalculs[Mois],H$33),IF(ca_mesure="RAM",SUMIFS(TblCalculs[RAM provisionnée],TblCalculs[Cluster],$B67,TblCalculs[Mois],H$33),SUMIFS(TblCalculs[Workers],TblCalculs[Cluster],$B67,TblCalculs[Mois],H$33))))</f>
        <v/>
      </c>
      <c r="I67" s="40" t="str">
        <f>IF(OR($A67="",I$33=""),"",IF(ca_mesure="CPU",SUMIFS(TblCalculs[CPU provisionné],TblCalculs[Cluster],$B67,TblCalculs[Mois],I$33),IF(ca_mesure="RAM",SUMIFS(TblCalculs[RAM provisionnée],TblCalculs[Cluster],$B67,TblCalculs[Mois],I$33),SUMIFS(TblCalculs[Workers],TblCalculs[Cluster],$B67,TblCalculs[Mois],I$33))))</f>
        <v/>
      </c>
      <c r="J67" s="40" t="str">
        <f>IF(OR($A67="",J$33=""),"",IF(ca_mesure="CPU",SUMIFS(TblCalculs[CPU provisionné],TblCalculs[Cluster],$B67,TblCalculs[Mois],J$33),IF(ca_mesure="RAM",SUMIFS(TblCalculs[RAM provisionnée],TblCalculs[Cluster],$B67,TblCalculs[Mois],J$33),SUMIFS(TblCalculs[Workers],TblCalculs[Cluster],$B67,TblCalculs[Mois],J$33))))</f>
        <v/>
      </c>
      <c r="K67" s="40" t="str">
        <f>IF(OR($A67="",K$33=""),"",IF(ca_mesure="CPU",SUMIFS(TblCalculs[CPU provisionné],TblCalculs[Cluster],$B67,TblCalculs[Mois],K$33),IF(ca_mesure="RAM",SUMIFS(TblCalculs[RAM provisionnée],TblCalculs[Cluster],$B67,TblCalculs[Mois],K$33),SUMIFS(TblCalculs[Workers],TblCalculs[Cluster],$B67,TblCalculs[Mois],K$33))))</f>
        <v/>
      </c>
      <c r="L67" s="40" t="str">
        <f>IF(OR($A67="",L$33=""),"",IF(ca_mesure="CPU",SUMIFS(TblCalculs[CPU provisionné],TblCalculs[Cluster],$B67,TblCalculs[Mois],L$33),IF(ca_mesure="RAM",SUMIFS(TblCalculs[RAM provisionnée],TblCalculs[Cluster],$B67,TblCalculs[Mois],L$33),SUMIFS(TblCalculs[Workers],TblCalculs[Cluster],$B67,TblCalculs[Mois],L$33))))</f>
        <v/>
      </c>
      <c r="M67" s="40" t="str">
        <f>IF(OR($A67="",M$33=""),"",IF(ca_mesure="CPU",SUMIFS(TblCalculs[CPU provisionné],TblCalculs[Cluster],$B67,TblCalculs[Mois],M$33),IF(ca_mesure="RAM",SUMIFS(TblCalculs[RAM provisionnée],TblCalculs[Cluster],$B67,TblCalculs[Mois],M$33),SUMIFS(TblCalculs[Workers],TblCalculs[Cluster],$B67,TblCalculs[Mois],M$33))))</f>
        <v/>
      </c>
      <c r="N67" s="40" t="str">
        <f>IF(OR($A67="",N$33=""),"",IF(ca_mesure="CPU",SUMIFS(TblCalculs[CPU provisionné],TblCalculs[Cluster],$B67,TblCalculs[Mois],N$33),IF(ca_mesure="RAM",SUMIFS(TblCalculs[RAM provisionnée],TblCalculs[Cluster],$B67,TblCalculs[Mois],N$33),SUMIFS(TblCalculs[Workers],TblCalculs[Cluster],$B67,TblCalculs[Mois],N$33))))</f>
        <v/>
      </c>
      <c r="O67" s="40" t="str">
        <f>IF(OR($A67="",O$33=""),"",IF(ca_mesure="CPU",SUMIFS(TblCalculs[CPU provisionné],TblCalculs[Cluster],$B67,TblCalculs[Mois],O$33),IF(ca_mesure="RAM",SUMIFS(TblCalculs[RAM provisionnée],TblCalculs[Cluster],$B67,TblCalculs[Mois],O$33),SUMIFS(TblCalculs[Workers],TblCalculs[Cluster],$B67,TblCalculs[Mois],O$33))))</f>
        <v/>
      </c>
      <c r="P67" s="40" t="str">
        <f>IF(OR($A67="",P$33=""),"",IF(ca_mesure="CPU",SUMIFS(TblCalculs[CPU provisionné],TblCalculs[Cluster],$B67,TblCalculs[Mois],P$33),IF(ca_mesure="RAM",SUMIFS(TblCalculs[RAM provisionnée],TblCalculs[Cluster],$B67,TblCalculs[Mois],P$33),SUMIFS(TblCalculs[Workers],TblCalculs[Cluster],$B67,TblCalculs[Mois],P$33))))</f>
        <v/>
      </c>
      <c r="Q67" s="40" t="str">
        <f>IF(OR($A67="",Q$33=""),"",IF(ca_mesure="CPU",SUMIFS(TblCalculs[CPU provisionné],TblCalculs[Cluster],$B67,TblCalculs[Mois],Q$33),IF(ca_mesure="RAM",SUMIFS(TblCalculs[RAM provisionnée],TblCalculs[Cluster],$B67,TblCalculs[Mois],Q$33),SUMIFS(TblCalculs[Workers],TblCalculs[Cluster],$B67,TblCalculs[Mois],Q$33))))</f>
        <v/>
      </c>
      <c r="R67" s="40" t="str">
        <f>IF(OR($A67="",R$33=""),"",IF(ca_mesure="CPU",SUMIFS(TblCalculs[CPU provisionné],TblCalculs[Cluster],$B67,TblCalculs[Mois],R$33),IF(ca_mesure="RAM",SUMIFS(TblCalculs[RAM provisionnée],TblCalculs[Cluster],$B67,TblCalculs[Mois],R$33),SUMIFS(TblCalculs[Workers],TblCalculs[Cluster],$B67,TblCalculs[Mois],R$33))))</f>
        <v/>
      </c>
      <c r="S67" s="40" t="str">
        <f>IF(OR($A67="",S$33=""),"",IF(ca_mesure="CPU",SUMIFS(TblCalculs[CPU provisionné],TblCalculs[Cluster],$B67,TblCalculs[Mois],S$33),IF(ca_mesure="RAM",SUMIFS(TblCalculs[RAM provisionnée],TblCalculs[Cluster],$B67,TblCalculs[Mois],S$33),SUMIFS(TblCalculs[Workers],TblCalculs[Cluster],$B67,TblCalculs[Mois],S$33))))</f>
        <v/>
      </c>
      <c r="T67" s="40" t="str">
        <f>IF(OR($A67="",T$33=""),"",IF(ca_mesure="CPU",SUMIFS(TblCalculs[CPU provisionné],TblCalculs[Cluster],$B67,TblCalculs[Mois],T$33),IF(ca_mesure="RAM",SUMIFS(TblCalculs[RAM provisionnée],TblCalculs[Cluster],$B67,TblCalculs[Mois],T$33),SUMIFS(TblCalculs[Workers],TblCalculs[Cluster],$B67,TblCalculs[Mois],T$33))))</f>
        <v/>
      </c>
      <c r="U67" s="40" t="str">
        <f>IF(OR($A67="",U$33=""),"",IF(ca_mesure="CPU",SUMIFS(TblCalculs[CPU provisionné],TblCalculs[Cluster],$B67,TblCalculs[Mois],U$33),IF(ca_mesure="RAM",SUMIFS(TblCalculs[RAM provisionnée],TblCalculs[Cluster],$B67,TblCalculs[Mois],U$33),SUMIFS(TblCalculs[Workers],TblCalculs[Cluster],$B67,TblCalculs[Mois],U$33))))</f>
        <v/>
      </c>
      <c r="V67" s="40" t="str">
        <f>IF(OR($A67="",V$33=""),"",IF(ca_mesure="CPU",SUMIFS(TblCalculs[CPU provisionné],TblCalculs[Cluster],$B67,TblCalculs[Mois],V$33),IF(ca_mesure="RAM",SUMIFS(TblCalculs[RAM provisionnée],TblCalculs[Cluster],$B67,TblCalculs[Mois],V$33),SUMIFS(TblCalculs[Workers],TblCalculs[Cluster],$B67,TblCalculs[Mois],V$33))))</f>
        <v/>
      </c>
      <c r="W67" s="40" t="str">
        <f>IF(OR($A67="",W$33=""),"",IF(ca_mesure="CPU",SUMIFS(TblCalculs[CPU provisionné],TblCalculs[Cluster],$B67,TblCalculs[Mois],W$33),IF(ca_mesure="RAM",SUMIFS(TblCalculs[RAM provisionnée],TblCalculs[Cluster],$B67,TblCalculs[Mois],W$33),SUMIFS(TblCalculs[Workers],TblCalculs[Cluster],$B67,TblCalculs[Mois],W$33))))</f>
        <v/>
      </c>
      <c r="X67" s="40" t="str">
        <f>IF(OR($A67="",X$33=""),"",IF(ca_mesure="CPU",SUMIFS(TblCalculs[CPU provisionné],TblCalculs[Cluster],$B67,TblCalculs[Mois],X$33),IF(ca_mesure="RAM",SUMIFS(TblCalculs[RAM provisionnée],TblCalculs[Cluster],$B67,TblCalculs[Mois],X$33),SUMIFS(TblCalculs[Workers],TblCalculs[Cluster],$B67,TblCalculs[Mois],X$33))))</f>
        <v/>
      </c>
      <c r="Y67" s="40" t="str">
        <f>IF(OR($A67="",Y$33=""),"",IF(ca_mesure="CPU",SUMIFS(TblCalculs[CPU provisionné],TblCalculs[Cluster],$B67,TblCalculs[Mois],Y$33),IF(ca_mesure="RAM",SUMIFS(TblCalculs[RAM provisionnée],TblCalculs[Cluster],$B67,TblCalculs[Mois],Y$33),SUMIFS(TblCalculs[Workers],TblCalculs[Cluster],$B67,TblCalculs[Mois],Y$33))))</f>
        <v/>
      </c>
      <c r="Z67" s="40" t="str">
        <f>IF(OR($A67="",Z$33=""),"",IF(ca_mesure="CPU",SUMIFS(TblCalculs[CPU provisionné],TblCalculs[Cluster],$B67,TblCalculs[Mois],Z$33),IF(ca_mesure="RAM",SUMIFS(TblCalculs[RAM provisionnée],TblCalculs[Cluster],$B67,TblCalculs[Mois],Z$33),SUMIFS(TblCalculs[Workers],TblCalculs[Cluster],$B67,TblCalculs[Mois],Z$33))))</f>
        <v/>
      </c>
      <c r="AA67" s="40" t="str">
        <f>IF(OR($A67="",AA$33=""),"",IF(ca_mesure="CPU",SUMIFS(TblCalculs[CPU provisionné],TblCalculs[Cluster],$B67,TblCalculs[Mois],AA$33),IF(ca_mesure="RAM",SUMIFS(TblCalculs[RAM provisionnée],TblCalculs[Cluster],$B67,TblCalculs[Mois],AA$33),SUMIFS(TblCalculs[Workers],TblCalculs[Cluster],$B67,TblCalculs[Mois],AA$33))))</f>
        <v/>
      </c>
      <c r="AB67" s="40" t="str">
        <f>IF(OR($A67="",AB$33=""),"",IF(ca_mesure="CPU",SUMIFS(TblCalculs[CPU provisionné],TblCalculs[Cluster],$B67,TblCalculs[Mois],AB$33),IF(ca_mesure="RAM",SUMIFS(TblCalculs[RAM provisionnée],TblCalculs[Cluster],$B67,TblCalculs[Mois],AB$33),SUMIFS(TblCalculs[Workers],TblCalculs[Cluster],$B67,TblCalculs[Mois],AB$33))))</f>
        <v/>
      </c>
      <c r="AC67" s="40" t="str">
        <f>IF(OR($A67="",AC$33=""),"",IF(ca_mesure="CPU",SUMIFS(TblCalculs[CPU provisionné],TblCalculs[Cluster],$B67,TblCalculs[Mois],AC$33),IF(ca_mesure="RAM",SUMIFS(TblCalculs[RAM provisionnée],TblCalculs[Cluster],$B67,TblCalculs[Mois],AC$33),SUMIFS(TblCalculs[Workers],TblCalculs[Cluster],$B67,TblCalculs[Mois],AC$33))))</f>
        <v/>
      </c>
      <c r="AD67" s="40" t="str">
        <f>IF(OR($A67="",AD$33=""),"",IF(ca_mesure="CPU",SUMIFS(TblCalculs[CPU provisionné],TblCalculs[Cluster],$B67,TblCalculs[Mois],AD$33),IF(ca_mesure="RAM",SUMIFS(TblCalculs[RAM provisionnée],TblCalculs[Cluster],$B67,TblCalculs[Mois],AD$33),SUMIFS(TblCalculs[Workers],TblCalculs[Cluster],$B67,TblCalculs[Mois],AD$33))))</f>
        <v/>
      </c>
      <c r="AE67" s="40" t="str">
        <f>IF(OR($A67="",AE$33=""),"",IF(ca_mesure="CPU",SUMIFS(TblCalculs[CPU provisionné],TblCalculs[Cluster],$B67,TblCalculs[Mois],AE$33),IF(ca_mesure="RAM",SUMIFS(TblCalculs[RAM provisionnée],TblCalculs[Cluster],$B67,TblCalculs[Mois],AE$33),SUMIFS(TblCalculs[Workers],TblCalculs[Cluster],$B67,TblCalculs[Mois],AE$33))))</f>
        <v/>
      </c>
      <c r="AF67" s="40" t="str">
        <f>IF(OR($A67="",AF$33=""),"",IF(ca_mesure="CPU",SUMIFS(TblCalculs[CPU provisionné],TblCalculs[Cluster],$B67,TblCalculs[Mois],AF$33),IF(ca_mesure="RAM",SUMIFS(TblCalculs[RAM provisionnée],TblCalculs[Cluster],$B67,TblCalculs[Mois],AF$33),SUMIFS(TblCalculs[Workers],TblCalculs[Cluster],$B67,TblCalculs[Mois],AF$33))))</f>
        <v/>
      </c>
      <c r="AG67" s="40" t="str">
        <f>IF(OR($A67="",AG$33=""),"",IF(ca_mesure="CPU",SUMIFS(TblCalculs[CPU provisionné],TblCalculs[Cluster],$B67,TblCalculs[Mois],AG$33),IF(ca_mesure="RAM",SUMIFS(TblCalculs[RAM provisionnée],TblCalculs[Cluster],$B67,TblCalculs[Mois],AG$33),SUMIFS(TblCalculs[Workers],TblCalculs[Cluster],$B67,TblCalculs[Mois],AG$33))))</f>
        <v/>
      </c>
      <c r="AH67" s="40" t="str">
        <f>IF(OR($A67="",AH$33=""),"",IF(ca_mesure="CPU",SUMIFS(TblCalculs[CPU provisionné],TblCalculs[Cluster],$B67,TblCalculs[Mois],AH$33),IF(ca_mesure="RAM",SUMIFS(TblCalculs[RAM provisionnée],TblCalculs[Cluster],$B67,TblCalculs[Mois],AH$33),SUMIFS(TblCalculs[Workers],TblCalculs[Cluster],$B67,TblCalculs[Mois],AH$33))))</f>
        <v/>
      </c>
      <c r="AI67" s="40" t="str">
        <f>IF(OR($A67="",AI$33=""),"",IF(ca_mesure="CPU",SUMIFS(TblCalculs[CPU provisionné],TblCalculs[Cluster],$B67,TblCalculs[Mois],AI$33),IF(ca_mesure="RAM",SUMIFS(TblCalculs[RAM provisionnée],TblCalculs[Cluster],$B67,TblCalculs[Mois],AI$33),SUMIFS(TblCalculs[Workers],TblCalculs[Cluster],$B67,TblCalculs[Mois],AI$33))))</f>
        <v/>
      </c>
      <c r="AJ67" s="40" t="str">
        <f>IF(OR($A67="",AJ$33=""),"",IF(ca_mesure="CPU",SUMIFS(TblCalculs[CPU provisionné],TblCalculs[Cluster],$B67,TblCalculs[Mois],AJ$33),IF(ca_mesure="RAM",SUMIFS(TblCalculs[RAM provisionnée],TblCalculs[Cluster],$B67,TblCalculs[Mois],AJ$33),SUMIFS(TblCalculs[Workers],TblCalculs[Cluster],$B67,TblCalculs[Mois],AJ$33))))</f>
        <v/>
      </c>
      <c r="AK67" s="40" t="str">
        <f>IF(OR($A67="",AK$33=""),"",IF(ca_mesure="CPU",SUMIFS(TblCalculs[CPU provisionné],TblCalculs[Cluster],$B67,TblCalculs[Mois],AK$33),IF(ca_mesure="RAM",SUMIFS(TblCalculs[RAM provisionnée],TblCalculs[Cluster],$B67,TblCalculs[Mois],AK$33),SUMIFS(TblCalculs[Workers],TblCalculs[Cluster],$B67,TblCalculs[Mois],AK$33))))</f>
        <v/>
      </c>
      <c r="AL67" s="40" t="str">
        <f>IF(OR($A67="",AL$33=""),"",IF(ca_mesure="CPU",SUMIFS(TblCalculs[CPU provisionné],TblCalculs[Cluster],$B67,TblCalculs[Mois],AL$33),IF(ca_mesure="RAM",SUMIFS(TblCalculs[RAM provisionnée],TblCalculs[Cluster],$B67,TblCalculs[Mois],AL$33),SUMIFS(TblCalculs[Workers],TblCalculs[Cluster],$B67,TblCalculs[Mois],AL$33))))</f>
        <v/>
      </c>
      <c r="AM67" s="40" t="str">
        <f>IF(OR($A67="",AM$33=""),"",IF(ca_mesure="CPU",SUMIFS(TblCalculs[CPU provisionné],TblCalculs[Cluster],$B67,TblCalculs[Mois],AM$33),IF(ca_mesure="RAM",SUMIFS(TblCalculs[RAM provisionnée],TblCalculs[Cluster],$B67,TblCalculs[Mois],AM$33),SUMIFS(TblCalculs[Workers],TblCalculs[Cluster],$B67,TblCalculs[Mois],AM$33))))</f>
        <v/>
      </c>
      <c r="AN67" s="40" t="str">
        <f>IF(OR($A67="",AN$33=""),"",IF(ca_mesure="CPU",SUMIFS(TblCalculs[CPU provisionné],TblCalculs[Cluster],$B67,TblCalculs[Mois],AN$33),IF(ca_mesure="RAM",SUMIFS(TblCalculs[RAM provisionnée],TblCalculs[Cluster],$B67,TblCalculs[Mois],AN$33),SUMIFS(TblCalculs[Workers],TblCalculs[Cluster],$B67,TblCalculs[Mois],AN$33))))</f>
        <v/>
      </c>
      <c r="AO67" s="40" t="str">
        <f>IF(OR($A67="",AO$33=""),"",IF(ca_mesure="CPU",SUMIFS(TblCalculs[CPU provisionné],TblCalculs[Cluster],$B67,TblCalculs[Mois],AO$33),IF(ca_mesure="RAM",SUMIFS(TblCalculs[RAM provisionnée],TblCalculs[Cluster],$B67,TblCalculs[Mois],AO$33),SUMIFS(TblCalculs[Workers],TblCalculs[Cluster],$B67,TblCalculs[Mois],AO$33))))</f>
        <v/>
      </c>
    </row>
    <row r="68" spans="1:41" x14ac:dyDescent="0.2">
      <c r="A68" s="37" t="str">
        <f>IFERROR(MATCH(35,TblClusters[Rang capacités],0),"")</f>
        <v/>
      </c>
      <c r="B68" s="38" t="str">
        <f>IF($A68="","",INDEX(TblClusters[Cluster],$A68))</f>
        <v/>
      </c>
      <c r="C68" s="39" t="str">
        <f>IF($A68="","",INDEX(TblClusters[Plateforme],$A68))</f>
        <v/>
      </c>
      <c r="D68" s="39" t="str">
        <f>IF($A68="","",INDEX(TblClusters[Environnement],$A68))</f>
        <v/>
      </c>
      <c r="E68" s="39" t="str">
        <f>IF($A68="","",INDEX(TblClusters[Flavor],$A68))</f>
        <v/>
      </c>
      <c r="F68" s="40" t="str">
        <f>IF(OR($A68="",F$33=""),"",IF(ca_mesure="CPU",SUMIFS(TblCalculs[CPU provisionné],TblCalculs[Cluster],$B68,TblCalculs[Mois],F$33),IF(ca_mesure="RAM",SUMIFS(TblCalculs[RAM provisionnée],TblCalculs[Cluster],$B68,TblCalculs[Mois],F$33),SUMIFS(TblCalculs[Workers],TblCalculs[Cluster],$B68,TblCalculs[Mois],F$33))))</f>
        <v/>
      </c>
      <c r="G68" s="40" t="str">
        <f>IF(OR($A68="",G$33=""),"",IF(ca_mesure="CPU",SUMIFS(TblCalculs[CPU provisionné],TblCalculs[Cluster],$B68,TblCalculs[Mois],G$33),IF(ca_mesure="RAM",SUMIFS(TblCalculs[RAM provisionnée],TblCalculs[Cluster],$B68,TblCalculs[Mois],G$33),SUMIFS(TblCalculs[Workers],TblCalculs[Cluster],$B68,TblCalculs[Mois],G$33))))</f>
        <v/>
      </c>
      <c r="H68" s="40" t="str">
        <f>IF(OR($A68="",H$33=""),"",IF(ca_mesure="CPU",SUMIFS(TblCalculs[CPU provisionné],TblCalculs[Cluster],$B68,TblCalculs[Mois],H$33),IF(ca_mesure="RAM",SUMIFS(TblCalculs[RAM provisionnée],TblCalculs[Cluster],$B68,TblCalculs[Mois],H$33),SUMIFS(TblCalculs[Workers],TblCalculs[Cluster],$B68,TblCalculs[Mois],H$33))))</f>
        <v/>
      </c>
      <c r="I68" s="40" t="str">
        <f>IF(OR($A68="",I$33=""),"",IF(ca_mesure="CPU",SUMIFS(TblCalculs[CPU provisionné],TblCalculs[Cluster],$B68,TblCalculs[Mois],I$33),IF(ca_mesure="RAM",SUMIFS(TblCalculs[RAM provisionnée],TblCalculs[Cluster],$B68,TblCalculs[Mois],I$33),SUMIFS(TblCalculs[Workers],TblCalculs[Cluster],$B68,TblCalculs[Mois],I$33))))</f>
        <v/>
      </c>
      <c r="J68" s="40" t="str">
        <f>IF(OR($A68="",J$33=""),"",IF(ca_mesure="CPU",SUMIFS(TblCalculs[CPU provisionné],TblCalculs[Cluster],$B68,TblCalculs[Mois],J$33),IF(ca_mesure="RAM",SUMIFS(TblCalculs[RAM provisionnée],TblCalculs[Cluster],$B68,TblCalculs[Mois],J$33),SUMIFS(TblCalculs[Workers],TblCalculs[Cluster],$B68,TblCalculs[Mois],J$33))))</f>
        <v/>
      </c>
      <c r="K68" s="40" t="str">
        <f>IF(OR($A68="",K$33=""),"",IF(ca_mesure="CPU",SUMIFS(TblCalculs[CPU provisionné],TblCalculs[Cluster],$B68,TblCalculs[Mois],K$33),IF(ca_mesure="RAM",SUMIFS(TblCalculs[RAM provisionnée],TblCalculs[Cluster],$B68,TblCalculs[Mois],K$33),SUMIFS(TblCalculs[Workers],TblCalculs[Cluster],$B68,TblCalculs[Mois],K$33))))</f>
        <v/>
      </c>
      <c r="L68" s="40" t="str">
        <f>IF(OR($A68="",L$33=""),"",IF(ca_mesure="CPU",SUMIFS(TblCalculs[CPU provisionné],TblCalculs[Cluster],$B68,TblCalculs[Mois],L$33),IF(ca_mesure="RAM",SUMIFS(TblCalculs[RAM provisionnée],TblCalculs[Cluster],$B68,TblCalculs[Mois],L$33),SUMIFS(TblCalculs[Workers],TblCalculs[Cluster],$B68,TblCalculs[Mois],L$33))))</f>
        <v/>
      </c>
      <c r="M68" s="40" t="str">
        <f>IF(OR($A68="",M$33=""),"",IF(ca_mesure="CPU",SUMIFS(TblCalculs[CPU provisionné],TblCalculs[Cluster],$B68,TblCalculs[Mois],M$33),IF(ca_mesure="RAM",SUMIFS(TblCalculs[RAM provisionnée],TblCalculs[Cluster],$B68,TblCalculs[Mois],M$33),SUMIFS(TblCalculs[Workers],TblCalculs[Cluster],$B68,TblCalculs[Mois],M$33))))</f>
        <v/>
      </c>
      <c r="N68" s="40" t="str">
        <f>IF(OR($A68="",N$33=""),"",IF(ca_mesure="CPU",SUMIFS(TblCalculs[CPU provisionné],TblCalculs[Cluster],$B68,TblCalculs[Mois],N$33),IF(ca_mesure="RAM",SUMIFS(TblCalculs[RAM provisionnée],TblCalculs[Cluster],$B68,TblCalculs[Mois],N$33),SUMIFS(TblCalculs[Workers],TblCalculs[Cluster],$B68,TblCalculs[Mois],N$33))))</f>
        <v/>
      </c>
      <c r="O68" s="40" t="str">
        <f>IF(OR($A68="",O$33=""),"",IF(ca_mesure="CPU",SUMIFS(TblCalculs[CPU provisionné],TblCalculs[Cluster],$B68,TblCalculs[Mois],O$33),IF(ca_mesure="RAM",SUMIFS(TblCalculs[RAM provisionnée],TblCalculs[Cluster],$B68,TblCalculs[Mois],O$33),SUMIFS(TblCalculs[Workers],TblCalculs[Cluster],$B68,TblCalculs[Mois],O$33))))</f>
        <v/>
      </c>
      <c r="P68" s="40" t="str">
        <f>IF(OR($A68="",P$33=""),"",IF(ca_mesure="CPU",SUMIFS(TblCalculs[CPU provisionné],TblCalculs[Cluster],$B68,TblCalculs[Mois],P$33),IF(ca_mesure="RAM",SUMIFS(TblCalculs[RAM provisionnée],TblCalculs[Cluster],$B68,TblCalculs[Mois],P$33),SUMIFS(TblCalculs[Workers],TblCalculs[Cluster],$B68,TblCalculs[Mois],P$33))))</f>
        <v/>
      </c>
      <c r="Q68" s="40" t="str">
        <f>IF(OR($A68="",Q$33=""),"",IF(ca_mesure="CPU",SUMIFS(TblCalculs[CPU provisionné],TblCalculs[Cluster],$B68,TblCalculs[Mois],Q$33),IF(ca_mesure="RAM",SUMIFS(TblCalculs[RAM provisionnée],TblCalculs[Cluster],$B68,TblCalculs[Mois],Q$33),SUMIFS(TblCalculs[Workers],TblCalculs[Cluster],$B68,TblCalculs[Mois],Q$33))))</f>
        <v/>
      </c>
      <c r="R68" s="40" t="str">
        <f>IF(OR($A68="",R$33=""),"",IF(ca_mesure="CPU",SUMIFS(TblCalculs[CPU provisionné],TblCalculs[Cluster],$B68,TblCalculs[Mois],R$33),IF(ca_mesure="RAM",SUMIFS(TblCalculs[RAM provisionnée],TblCalculs[Cluster],$B68,TblCalculs[Mois],R$33),SUMIFS(TblCalculs[Workers],TblCalculs[Cluster],$B68,TblCalculs[Mois],R$33))))</f>
        <v/>
      </c>
      <c r="S68" s="40" t="str">
        <f>IF(OR($A68="",S$33=""),"",IF(ca_mesure="CPU",SUMIFS(TblCalculs[CPU provisionné],TblCalculs[Cluster],$B68,TblCalculs[Mois],S$33),IF(ca_mesure="RAM",SUMIFS(TblCalculs[RAM provisionnée],TblCalculs[Cluster],$B68,TblCalculs[Mois],S$33),SUMIFS(TblCalculs[Workers],TblCalculs[Cluster],$B68,TblCalculs[Mois],S$33))))</f>
        <v/>
      </c>
      <c r="T68" s="40" t="str">
        <f>IF(OR($A68="",T$33=""),"",IF(ca_mesure="CPU",SUMIFS(TblCalculs[CPU provisionné],TblCalculs[Cluster],$B68,TblCalculs[Mois],T$33),IF(ca_mesure="RAM",SUMIFS(TblCalculs[RAM provisionnée],TblCalculs[Cluster],$B68,TblCalculs[Mois],T$33),SUMIFS(TblCalculs[Workers],TblCalculs[Cluster],$B68,TblCalculs[Mois],T$33))))</f>
        <v/>
      </c>
      <c r="U68" s="40" t="str">
        <f>IF(OR($A68="",U$33=""),"",IF(ca_mesure="CPU",SUMIFS(TblCalculs[CPU provisionné],TblCalculs[Cluster],$B68,TblCalculs[Mois],U$33),IF(ca_mesure="RAM",SUMIFS(TblCalculs[RAM provisionnée],TblCalculs[Cluster],$B68,TblCalculs[Mois],U$33),SUMIFS(TblCalculs[Workers],TblCalculs[Cluster],$B68,TblCalculs[Mois],U$33))))</f>
        <v/>
      </c>
      <c r="V68" s="40" t="str">
        <f>IF(OR($A68="",V$33=""),"",IF(ca_mesure="CPU",SUMIFS(TblCalculs[CPU provisionné],TblCalculs[Cluster],$B68,TblCalculs[Mois],V$33),IF(ca_mesure="RAM",SUMIFS(TblCalculs[RAM provisionnée],TblCalculs[Cluster],$B68,TblCalculs[Mois],V$33),SUMIFS(TblCalculs[Workers],TblCalculs[Cluster],$B68,TblCalculs[Mois],V$33))))</f>
        <v/>
      </c>
      <c r="W68" s="40" t="str">
        <f>IF(OR($A68="",W$33=""),"",IF(ca_mesure="CPU",SUMIFS(TblCalculs[CPU provisionné],TblCalculs[Cluster],$B68,TblCalculs[Mois],W$33),IF(ca_mesure="RAM",SUMIFS(TblCalculs[RAM provisionnée],TblCalculs[Cluster],$B68,TblCalculs[Mois],W$33),SUMIFS(TblCalculs[Workers],TblCalculs[Cluster],$B68,TblCalculs[Mois],W$33))))</f>
        <v/>
      </c>
      <c r="X68" s="40" t="str">
        <f>IF(OR($A68="",X$33=""),"",IF(ca_mesure="CPU",SUMIFS(TblCalculs[CPU provisionné],TblCalculs[Cluster],$B68,TblCalculs[Mois],X$33),IF(ca_mesure="RAM",SUMIFS(TblCalculs[RAM provisionnée],TblCalculs[Cluster],$B68,TblCalculs[Mois],X$33),SUMIFS(TblCalculs[Workers],TblCalculs[Cluster],$B68,TblCalculs[Mois],X$33))))</f>
        <v/>
      </c>
      <c r="Y68" s="40" t="str">
        <f>IF(OR($A68="",Y$33=""),"",IF(ca_mesure="CPU",SUMIFS(TblCalculs[CPU provisionné],TblCalculs[Cluster],$B68,TblCalculs[Mois],Y$33),IF(ca_mesure="RAM",SUMIFS(TblCalculs[RAM provisionnée],TblCalculs[Cluster],$B68,TblCalculs[Mois],Y$33),SUMIFS(TblCalculs[Workers],TblCalculs[Cluster],$B68,TblCalculs[Mois],Y$33))))</f>
        <v/>
      </c>
      <c r="Z68" s="40" t="str">
        <f>IF(OR($A68="",Z$33=""),"",IF(ca_mesure="CPU",SUMIFS(TblCalculs[CPU provisionné],TblCalculs[Cluster],$B68,TblCalculs[Mois],Z$33),IF(ca_mesure="RAM",SUMIFS(TblCalculs[RAM provisionnée],TblCalculs[Cluster],$B68,TblCalculs[Mois],Z$33),SUMIFS(TblCalculs[Workers],TblCalculs[Cluster],$B68,TblCalculs[Mois],Z$33))))</f>
        <v/>
      </c>
      <c r="AA68" s="40" t="str">
        <f>IF(OR($A68="",AA$33=""),"",IF(ca_mesure="CPU",SUMIFS(TblCalculs[CPU provisionné],TblCalculs[Cluster],$B68,TblCalculs[Mois],AA$33),IF(ca_mesure="RAM",SUMIFS(TblCalculs[RAM provisionnée],TblCalculs[Cluster],$B68,TblCalculs[Mois],AA$33),SUMIFS(TblCalculs[Workers],TblCalculs[Cluster],$B68,TblCalculs[Mois],AA$33))))</f>
        <v/>
      </c>
      <c r="AB68" s="40" t="str">
        <f>IF(OR($A68="",AB$33=""),"",IF(ca_mesure="CPU",SUMIFS(TblCalculs[CPU provisionné],TblCalculs[Cluster],$B68,TblCalculs[Mois],AB$33),IF(ca_mesure="RAM",SUMIFS(TblCalculs[RAM provisionnée],TblCalculs[Cluster],$B68,TblCalculs[Mois],AB$33),SUMIFS(TblCalculs[Workers],TblCalculs[Cluster],$B68,TblCalculs[Mois],AB$33))))</f>
        <v/>
      </c>
      <c r="AC68" s="40" t="str">
        <f>IF(OR($A68="",AC$33=""),"",IF(ca_mesure="CPU",SUMIFS(TblCalculs[CPU provisionné],TblCalculs[Cluster],$B68,TblCalculs[Mois],AC$33),IF(ca_mesure="RAM",SUMIFS(TblCalculs[RAM provisionnée],TblCalculs[Cluster],$B68,TblCalculs[Mois],AC$33),SUMIFS(TblCalculs[Workers],TblCalculs[Cluster],$B68,TblCalculs[Mois],AC$33))))</f>
        <v/>
      </c>
      <c r="AD68" s="40" t="str">
        <f>IF(OR($A68="",AD$33=""),"",IF(ca_mesure="CPU",SUMIFS(TblCalculs[CPU provisionné],TblCalculs[Cluster],$B68,TblCalculs[Mois],AD$33),IF(ca_mesure="RAM",SUMIFS(TblCalculs[RAM provisionnée],TblCalculs[Cluster],$B68,TblCalculs[Mois],AD$33),SUMIFS(TblCalculs[Workers],TblCalculs[Cluster],$B68,TblCalculs[Mois],AD$33))))</f>
        <v/>
      </c>
      <c r="AE68" s="40" t="str">
        <f>IF(OR($A68="",AE$33=""),"",IF(ca_mesure="CPU",SUMIFS(TblCalculs[CPU provisionné],TblCalculs[Cluster],$B68,TblCalculs[Mois],AE$33),IF(ca_mesure="RAM",SUMIFS(TblCalculs[RAM provisionnée],TblCalculs[Cluster],$B68,TblCalculs[Mois],AE$33),SUMIFS(TblCalculs[Workers],TblCalculs[Cluster],$B68,TblCalculs[Mois],AE$33))))</f>
        <v/>
      </c>
      <c r="AF68" s="40" t="str">
        <f>IF(OR($A68="",AF$33=""),"",IF(ca_mesure="CPU",SUMIFS(TblCalculs[CPU provisionné],TblCalculs[Cluster],$B68,TblCalculs[Mois],AF$33),IF(ca_mesure="RAM",SUMIFS(TblCalculs[RAM provisionnée],TblCalculs[Cluster],$B68,TblCalculs[Mois],AF$33),SUMIFS(TblCalculs[Workers],TblCalculs[Cluster],$B68,TblCalculs[Mois],AF$33))))</f>
        <v/>
      </c>
      <c r="AG68" s="40" t="str">
        <f>IF(OR($A68="",AG$33=""),"",IF(ca_mesure="CPU",SUMIFS(TblCalculs[CPU provisionné],TblCalculs[Cluster],$B68,TblCalculs[Mois],AG$33),IF(ca_mesure="RAM",SUMIFS(TblCalculs[RAM provisionnée],TblCalculs[Cluster],$B68,TblCalculs[Mois],AG$33),SUMIFS(TblCalculs[Workers],TblCalculs[Cluster],$B68,TblCalculs[Mois],AG$33))))</f>
        <v/>
      </c>
      <c r="AH68" s="40" t="str">
        <f>IF(OR($A68="",AH$33=""),"",IF(ca_mesure="CPU",SUMIFS(TblCalculs[CPU provisionné],TblCalculs[Cluster],$B68,TblCalculs[Mois],AH$33),IF(ca_mesure="RAM",SUMIFS(TblCalculs[RAM provisionnée],TblCalculs[Cluster],$B68,TblCalculs[Mois],AH$33),SUMIFS(TblCalculs[Workers],TblCalculs[Cluster],$B68,TblCalculs[Mois],AH$33))))</f>
        <v/>
      </c>
      <c r="AI68" s="40" t="str">
        <f>IF(OR($A68="",AI$33=""),"",IF(ca_mesure="CPU",SUMIFS(TblCalculs[CPU provisionné],TblCalculs[Cluster],$B68,TblCalculs[Mois],AI$33),IF(ca_mesure="RAM",SUMIFS(TblCalculs[RAM provisionnée],TblCalculs[Cluster],$B68,TblCalculs[Mois],AI$33),SUMIFS(TblCalculs[Workers],TblCalculs[Cluster],$B68,TblCalculs[Mois],AI$33))))</f>
        <v/>
      </c>
      <c r="AJ68" s="40" t="str">
        <f>IF(OR($A68="",AJ$33=""),"",IF(ca_mesure="CPU",SUMIFS(TblCalculs[CPU provisionné],TblCalculs[Cluster],$B68,TblCalculs[Mois],AJ$33),IF(ca_mesure="RAM",SUMIFS(TblCalculs[RAM provisionnée],TblCalculs[Cluster],$B68,TblCalculs[Mois],AJ$33),SUMIFS(TblCalculs[Workers],TblCalculs[Cluster],$B68,TblCalculs[Mois],AJ$33))))</f>
        <v/>
      </c>
      <c r="AK68" s="40" t="str">
        <f>IF(OR($A68="",AK$33=""),"",IF(ca_mesure="CPU",SUMIFS(TblCalculs[CPU provisionné],TblCalculs[Cluster],$B68,TblCalculs[Mois],AK$33),IF(ca_mesure="RAM",SUMIFS(TblCalculs[RAM provisionnée],TblCalculs[Cluster],$B68,TblCalculs[Mois],AK$33),SUMIFS(TblCalculs[Workers],TblCalculs[Cluster],$B68,TblCalculs[Mois],AK$33))))</f>
        <v/>
      </c>
      <c r="AL68" s="40" t="str">
        <f>IF(OR($A68="",AL$33=""),"",IF(ca_mesure="CPU",SUMIFS(TblCalculs[CPU provisionné],TblCalculs[Cluster],$B68,TblCalculs[Mois],AL$33),IF(ca_mesure="RAM",SUMIFS(TblCalculs[RAM provisionnée],TblCalculs[Cluster],$B68,TblCalculs[Mois],AL$33),SUMIFS(TblCalculs[Workers],TblCalculs[Cluster],$B68,TblCalculs[Mois],AL$33))))</f>
        <v/>
      </c>
      <c r="AM68" s="40" t="str">
        <f>IF(OR($A68="",AM$33=""),"",IF(ca_mesure="CPU",SUMIFS(TblCalculs[CPU provisionné],TblCalculs[Cluster],$B68,TblCalculs[Mois],AM$33),IF(ca_mesure="RAM",SUMIFS(TblCalculs[RAM provisionnée],TblCalculs[Cluster],$B68,TblCalculs[Mois],AM$33),SUMIFS(TblCalculs[Workers],TblCalculs[Cluster],$B68,TblCalculs[Mois],AM$33))))</f>
        <v/>
      </c>
      <c r="AN68" s="40" t="str">
        <f>IF(OR($A68="",AN$33=""),"",IF(ca_mesure="CPU",SUMIFS(TblCalculs[CPU provisionné],TblCalculs[Cluster],$B68,TblCalculs[Mois],AN$33),IF(ca_mesure="RAM",SUMIFS(TblCalculs[RAM provisionnée],TblCalculs[Cluster],$B68,TblCalculs[Mois],AN$33),SUMIFS(TblCalculs[Workers],TblCalculs[Cluster],$B68,TblCalculs[Mois],AN$33))))</f>
        <v/>
      </c>
      <c r="AO68" s="40" t="str">
        <f>IF(OR($A68="",AO$33=""),"",IF(ca_mesure="CPU",SUMIFS(TblCalculs[CPU provisionné],TblCalculs[Cluster],$B68,TblCalculs[Mois],AO$33),IF(ca_mesure="RAM",SUMIFS(TblCalculs[RAM provisionnée],TblCalculs[Cluster],$B68,TblCalculs[Mois],AO$33),SUMIFS(TblCalculs[Workers],TblCalculs[Cluster],$B68,TblCalculs[Mois],AO$33))))</f>
        <v/>
      </c>
    </row>
    <row r="69" spans="1:41" ht="30" customHeight="1" x14ac:dyDescent="0.2">
      <c r="A69" s="37" t="str">
        <f>IFERROR(MATCH(36,TblClusters[Rang capacités],0),"")</f>
        <v/>
      </c>
      <c r="B69" s="41" t="str">
        <f>IF($A69="","",INDEX(TblClusters[Cluster],$A69))</f>
        <v/>
      </c>
      <c r="C69" s="42" t="str">
        <f>IF($A69="","",INDEX(TblClusters[Plateforme],$A69))</f>
        <v/>
      </c>
      <c r="D69" s="42" t="str">
        <f>IF($A69="","",INDEX(TblClusters[Environnement],$A69))</f>
        <v/>
      </c>
      <c r="E69" s="42" t="str">
        <f>IF($A69="","",INDEX(TblClusters[Flavor],$A69))</f>
        <v/>
      </c>
      <c r="F69" s="43" t="str">
        <f>IF(OR($A69="",F$33=""),"",IF(ca_mesure="CPU",SUMIFS(TblCalculs[CPU provisionné],TblCalculs[Cluster],$B69,TblCalculs[Mois],F$33),IF(ca_mesure="RAM",SUMIFS(TblCalculs[RAM provisionnée],TblCalculs[Cluster],$B69,TblCalculs[Mois],F$33),SUMIFS(TblCalculs[Workers],TblCalculs[Cluster],$B69,TblCalculs[Mois],F$33))))</f>
        <v/>
      </c>
      <c r="G69" s="43" t="str">
        <f>IF(OR($A69="",G$33=""),"",IF(ca_mesure="CPU",SUMIFS(TblCalculs[CPU provisionné],TblCalculs[Cluster],$B69,TblCalculs[Mois],G$33),IF(ca_mesure="RAM",SUMIFS(TblCalculs[RAM provisionnée],TblCalculs[Cluster],$B69,TblCalculs[Mois],G$33),SUMIFS(TblCalculs[Workers],TblCalculs[Cluster],$B69,TblCalculs[Mois],G$33))))</f>
        <v/>
      </c>
      <c r="H69" s="43" t="str">
        <f>IF(OR($A69="",H$33=""),"",IF(ca_mesure="CPU",SUMIFS(TblCalculs[CPU provisionné],TblCalculs[Cluster],$B69,TblCalculs[Mois],H$33),IF(ca_mesure="RAM",SUMIFS(TblCalculs[RAM provisionnée],TblCalculs[Cluster],$B69,TblCalculs[Mois],H$33),SUMIFS(TblCalculs[Workers],TblCalculs[Cluster],$B69,TblCalculs[Mois],H$33))))</f>
        <v/>
      </c>
      <c r="I69" s="40" t="str">
        <f>IF(OR($A69="",I$33=""),"",IF(ca_mesure="CPU",SUMIFS(TblCalculs[CPU provisionné],TblCalculs[Cluster],$B69,TblCalculs[Mois],I$33),IF(ca_mesure="RAM",SUMIFS(TblCalculs[RAM provisionnée],TblCalculs[Cluster],$B69,TblCalculs[Mois],I$33),SUMIFS(TblCalculs[Workers],TblCalculs[Cluster],$B69,TblCalculs[Mois],I$33))))</f>
        <v/>
      </c>
      <c r="J69" s="40" t="str">
        <f>IF(OR($A69="",J$33=""),"",IF(ca_mesure="CPU",SUMIFS(TblCalculs[CPU provisionné],TblCalculs[Cluster],$B69,TblCalculs[Mois],J$33),IF(ca_mesure="RAM",SUMIFS(TblCalculs[RAM provisionnée],TblCalculs[Cluster],$B69,TblCalculs[Mois],J$33),SUMIFS(TblCalculs[Workers],TblCalculs[Cluster],$B69,TblCalculs[Mois],J$33))))</f>
        <v/>
      </c>
      <c r="K69" s="40" t="str">
        <f>IF(OR($A69="",K$33=""),"",IF(ca_mesure="CPU",SUMIFS(TblCalculs[CPU provisionné],TblCalculs[Cluster],$B69,TblCalculs[Mois],K$33),IF(ca_mesure="RAM",SUMIFS(TblCalculs[RAM provisionnée],TblCalculs[Cluster],$B69,TblCalculs[Mois],K$33),SUMIFS(TblCalculs[Workers],TblCalculs[Cluster],$B69,TblCalculs[Mois],K$33))))</f>
        <v/>
      </c>
      <c r="L69" s="40" t="str">
        <f>IF(OR($A69="",L$33=""),"",IF(ca_mesure="CPU",SUMIFS(TblCalculs[CPU provisionné],TblCalculs[Cluster],$B69,TblCalculs[Mois],L$33),IF(ca_mesure="RAM",SUMIFS(TblCalculs[RAM provisionnée],TblCalculs[Cluster],$B69,TblCalculs[Mois],L$33),SUMIFS(TblCalculs[Workers],TblCalculs[Cluster],$B69,TblCalculs[Mois],L$33))))</f>
        <v/>
      </c>
      <c r="M69" s="40" t="str">
        <f>IF(OR($A69="",M$33=""),"",IF(ca_mesure="CPU",SUMIFS(TblCalculs[CPU provisionné],TblCalculs[Cluster],$B69,TblCalculs[Mois],M$33),IF(ca_mesure="RAM",SUMIFS(TblCalculs[RAM provisionnée],TblCalculs[Cluster],$B69,TblCalculs[Mois],M$33),SUMIFS(TblCalculs[Workers],TblCalculs[Cluster],$B69,TblCalculs[Mois],M$33))))</f>
        <v/>
      </c>
      <c r="N69" s="40" t="str">
        <f>IF(OR($A69="",N$33=""),"",IF(ca_mesure="CPU",SUMIFS(TblCalculs[CPU provisionné],TblCalculs[Cluster],$B69,TblCalculs[Mois],N$33),IF(ca_mesure="RAM",SUMIFS(TblCalculs[RAM provisionnée],TblCalculs[Cluster],$B69,TblCalculs[Mois],N$33),SUMIFS(TblCalculs[Workers],TblCalculs[Cluster],$B69,TblCalculs[Mois],N$33))))</f>
        <v/>
      </c>
      <c r="O69" s="40" t="str">
        <f>IF(OR($A69="",O$33=""),"",IF(ca_mesure="CPU",SUMIFS(TblCalculs[CPU provisionné],TblCalculs[Cluster],$B69,TblCalculs[Mois],O$33),IF(ca_mesure="RAM",SUMIFS(TblCalculs[RAM provisionnée],TblCalculs[Cluster],$B69,TblCalculs[Mois],O$33),SUMIFS(TblCalculs[Workers],TblCalculs[Cluster],$B69,TblCalculs[Mois],O$33))))</f>
        <v/>
      </c>
      <c r="P69" s="40" t="str">
        <f>IF(OR($A69="",P$33=""),"",IF(ca_mesure="CPU",SUMIFS(TblCalculs[CPU provisionné],TblCalculs[Cluster],$B69,TblCalculs[Mois],P$33),IF(ca_mesure="RAM",SUMIFS(TblCalculs[RAM provisionnée],TblCalculs[Cluster],$B69,TblCalculs[Mois],P$33),SUMIFS(TblCalculs[Workers],TblCalculs[Cluster],$B69,TblCalculs[Mois],P$33))))</f>
        <v/>
      </c>
      <c r="Q69" s="40" t="str">
        <f>IF(OR($A69="",Q$33=""),"",IF(ca_mesure="CPU",SUMIFS(TblCalculs[CPU provisionné],TblCalculs[Cluster],$B69,TblCalculs[Mois],Q$33),IF(ca_mesure="RAM",SUMIFS(TblCalculs[RAM provisionnée],TblCalculs[Cluster],$B69,TblCalculs[Mois],Q$33),SUMIFS(TblCalculs[Workers],TblCalculs[Cluster],$B69,TblCalculs[Mois],Q$33))))</f>
        <v/>
      </c>
      <c r="R69" s="40" t="str">
        <f>IF(OR($A69="",R$33=""),"",IF(ca_mesure="CPU",SUMIFS(TblCalculs[CPU provisionné],TblCalculs[Cluster],$B69,TblCalculs[Mois],R$33),IF(ca_mesure="RAM",SUMIFS(TblCalculs[RAM provisionnée],TblCalculs[Cluster],$B69,TblCalculs[Mois],R$33),SUMIFS(TblCalculs[Workers],TblCalculs[Cluster],$B69,TblCalculs[Mois],R$33))))</f>
        <v/>
      </c>
      <c r="S69" s="40" t="str">
        <f>IF(OR($A69="",S$33=""),"",IF(ca_mesure="CPU",SUMIFS(TblCalculs[CPU provisionné],TblCalculs[Cluster],$B69,TblCalculs[Mois],S$33),IF(ca_mesure="RAM",SUMIFS(TblCalculs[RAM provisionnée],TblCalculs[Cluster],$B69,TblCalculs[Mois],S$33),SUMIFS(TblCalculs[Workers],TblCalculs[Cluster],$B69,TblCalculs[Mois],S$33))))</f>
        <v/>
      </c>
      <c r="T69" s="40" t="str">
        <f>IF(OR($A69="",T$33=""),"",IF(ca_mesure="CPU",SUMIFS(TblCalculs[CPU provisionné],TblCalculs[Cluster],$B69,TblCalculs[Mois],T$33),IF(ca_mesure="RAM",SUMIFS(TblCalculs[RAM provisionnée],TblCalculs[Cluster],$B69,TblCalculs[Mois],T$33),SUMIFS(TblCalculs[Workers],TblCalculs[Cluster],$B69,TblCalculs[Mois],T$33))))</f>
        <v/>
      </c>
      <c r="U69" s="40" t="str">
        <f>IF(OR($A69="",U$33=""),"",IF(ca_mesure="CPU",SUMIFS(TblCalculs[CPU provisionné],TblCalculs[Cluster],$B69,TblCalculs[Mois],U$33),IF(ca_mesure="RAM",SUMIFS(TblCalculs[RAM provisionnée],TblCalculs[Cluster],$B69,TblCalculs[Mois],U$33),SUMIFS(TblCalculs[Workers],TblCalculs[Cluster],$B69,TblCalculs[Mois],U$33))))</f>
        <v/>
      </c>
      <c r="V69" s="40" t="str">
        <f>IF(OR($A69="",V$33=""),"",IF(ca_mesure="CPU",SUMIFS(TblCalculs[CPU provisionné],TblCalculs[Cluster],$B69,TblCalculs[Mois],V$33),IF(ca_mesure="RAM",SUMIFS(TblCalculs[RAM provisionnée],TblCalculs[Cluster],$B69,TblCalculs[Mois],V$33),SUMIFS(TblCalculs[Workers],TblCalculs[Cluster],$B69,TblCalculs[Mois],V$33))))</f>
        <v/>
      </c>
      <c r="W69" s="40" t="str">
        <f>IF(OR($A69="",W$33=""),"",IF(ca_mesure="CPU",SUMIFS(TblCalculs[CPU provisionné],TblCalculs[Cluster],$B69,TblCalculs[Mois],W$33),IF(ca_mesure="RAM",SUMIFS(TblCalculs[RAM provisionnée],TblCalculs[Cluster],$B69,TblCalculs[Mois],W$33),SUMIFS(TblCalculs[Workers],TblCalculs[Cluster],$B69,TblCalculs[Mois],W$33))))</f>
        <v/>
      </c>
      <c r="X69" s="40" t="str">
        <f>IF(OR($A69="",X$33=""),"",IF(ca_mesure="CPU",SUMIFS(TblCalculs[CPU provisionné],TblCalculs[Cluster],$B69,TblCalculs[Mois],X$33),IF(ca_mesure="RAM",SUMIFS(TblCalculs[RAM provisionnée],TblCalculs[Cluster],$B69,TblCalculs[Mois],X$33),SUMIFS(TblCalculs[Workers],TblCalculs[Cluster],$B69,TblCalculs[Mois],X$33))))</f>
        <v/>
      </c>
      <c r="Y69" s="40" t="str">
        <f>IF(OR($A69="",Y$33=""),"",IF(ca_mesure="CPU",SUMIFS(TblCalculs[CPU provisionné],TblCalculs[Cluster],$B69,TblCalculs[Mois],Y$33),IF(ca_mesure="RAM",SUMIFS(TblCalculs[RAM provisionnée],TblCalculs[Cluster],$B69,TblCalculs[Mois],Y$33),SUMIFS(TblCalculs[Workers],TblCalculs[Cluster],$B69,TblCalculs[Mois],Y$33))))</f>
        <v/>
      </c>
      <c r="Z69" s="40" t="str">
        <f>IF(OR($A69="",Z$33=""),"",IF(ca_mesure="CPU",SUMIFS(TblCalculs[CPU provisionné],TblCalculs[Cluster],$B69,TblCalculs[Mois],Z$33),IF(ca_mesure="RAM",SUMIFS(TblCalculs[RAM provisionnée],TblCalculs[Cluster],$B69,TblCalculs[Mois],Z$33),SUMIFS(TblCalculs[Workers],TblCalculs[Cluster],$B69,TblCalculs[Mois],Z$33))))</f>
        <v/>
      </c>
      <c r="AA69" s="40" t="str">
        <f>IF(OR($A69="",AA$33=""),"",IF(ca_mesure="CPU",SUMIFS(TblCalculs[CPU provisionné],TblCalculs[Cluster],$B69,TblCalculs[Mois],AA$33),IF(ca_mesure="RAM",SUMIFS(TblCalculs[RAM provisionnée],TblCalculs[Cluster],$B69,TblCalculs[Mois],AA$33),SUMIFS(TblCalculs[Workers],TblCalculs[Cluster],$B69,TblCalculs[Mois],AA$33))))</f>
        <v/>
      </c>
      <c r="AB69" s="40" t="str">
        <f>IF(OR($A69="",AB$33=""),"",IF(ca_mesure="CPU",SUMIFS(TblCalculs[CPU provisionné],TblCalculs[Cluster],$B69,TblCalculs[Mois],AB$33),IF(ca_mesure="RAM",SUMIFS(TblCalculs[RAM provisionnée],TblCalculs[Cluster],$B69,TblCalculs[Mois],AB$33),SUMIFS(TblCalculs[Workers],TblCalculs[Cluster],$B69,TblCalculs[Mois],AB$33))))</f>
        <v/>
      </c>
      <c r="AC69" s="40" t="str">
        <f>IF(OR($A69="",AC$33=""),"",IF(ca_mesure="CPU",SUMIFS(TblCalculs[CPU provisionné],TblCalculs[Cluster],$B69,TblCalculs[Mois],AC$33),IF(ca_mesure="RAM",SUMIFS(TblCalculs[RAM provisionnée],TblCalculs[Cluster],$B69,TblCalculs[Mois],AC$33),SUMIFS(TblCalculs[Workers],TblCalculs[Cluster],$B69,TblCalculs[Mois],AC$33))))</f>
        <v/>
      </c>
      <c r="AD69" s="40" t="str">
        <f>IF(OR($A69="",AD$33=""),"",IF(ca_mesure="CPU",SUMIFS(TblCalculs[CPU provisionné],TblCalculs[Cluster],$B69,TblCalculs[Mois],AD$33),IF(ca_mesure="RAM",SUMIFS(TblCalculs[RAM provisionnée],TblCalculs[Cluster],$B69,TblCalculs[Mois],AD$33),SUMIFS(TblCalculs[Workers],TblCalculs[Cluster],$B69,TblCalculs[Mois],AD$33))))</f>
        <v/>
      </c>
      <c r="AE69" s="40" t="str">
        <f>IF(OR($A69="",AE$33=""),"",IF(ca_mesure="CPU",SUMIFS(TblCalculs[CPU provisionné],TblCalculs[Cluster],$B69,TblCalculs[Mois],AE$33),IF(ca_mesure="RAM",SUMIFS(TblCalculs[RAM provisionnée],TblCalculs[Cluster],$B69,TblCalculs[Mois],AE$33),SUMIFS(TblCalculs[Workers],TblCalculs[Cluster],$B69,TblCalculs[Mois],AE$33))))</f>
        <v/>
      </c>
      <c r="AF69" s="40" t="str">
        <f>IF(OR($A69="",AF$33=""),"",IF(ca_mesure="CPU",SUMIFS(TblCalculs[CPU provisionné],TblCalculs[Cluster],$B69,TblCalculs[Mois],AF$33),IF(ca_mesure="RAM",SUMIFS(TblCalculs[RAM provisionnée],TblCalculs[Cluster],$B69,TblCalculs[Mois],AF$33),SUMIFS(TblCalculs[Workers],TblCalculs[Cluster],$B69,TblCalculs[Mois],AF$33))))</f>
        <v/>
      </c>
      <c r="AG69" s="40" t="str">
        <f>IF(OR($A69="",AG$33=""),"",IF(ca_mesure="CPU",SUMIFS(TblCalculs[CPU provisionné],TblCalculs[Cluster],$B69,TblCalculs[Mois],AG$33),IF(ca_mesure="RAM",SUMIFS(TblCalculs[RAM provisionnée],TblCalculs[Cluster],$B69,TblCalculs[Mois],AG$33),SUMIFS(TblCalculs[Workers],TblCalculs[Cluster],$B69,TblCalculs[Mois],AG$33))))</f>
        <v/>
      </c>
      <c r="AH69" s="40" t="str">
        <f>IF(OR($A69="",AH$33=""),"",IF(ca_mesure="CPU",SUMIFS(TblCalculs[CPU provisionné],TblCalculs[Cluster],$B69,TblCalculs[Mois],AH$33),IF(ca_mesure="RAM",SUMIFS(TblCalculs[RAM provisionnée],TblCalculs[Cluster],$B69,TblCalculs[Mois],AH$33),SUMIFS(TblCalculs[Workers],TblCalculs[Cluster],$B69,TblCalculs[Mois],AH$33))))</f>
        <v/>
      </c>
      <c r="AI69" s="40" t="str">
        <f>IF(OR($A69="",AI$33=""),"",IF(ca_mesure="CPU",SUMIFS(TblCalculs[CPU provisionné],TblCalculs[Cluster],$B69,TblCalculs[Mois],AI$33),IF(ca_mesure="RAM",SUMIFS(TblCalculs[RAM provisionnée],TblCalculs[Cluster],$B69,TblCalculs[Mois],AI$33),SUMIFS(TblCalculs[Workers],TblCalculs[Cluster],$B69,TblCalculs[Mois],AI$33))))</f>
        <v/>
      </c>
      <c r="AJ69" s="40" t="str">
        <f>IF(OR($A69="",AJ$33=""),"",IF(ca_mesure="CPU",SUMIFS(TblCalculs[CPU provisionné],TblCalculs[Cluster],$B69,TblCalculs[Mois],AJ$33),IF(ca_mesure="RAM",SUMIFS(TblCalculs[RAM provisionnée],TblCalculs[Cluster],$B69,TblCalculs[Mois],AJ$33),SUMIFS(TblCalculs[Workers],TblCalculs[Cluster],$B69,TblCalculs[Mois],AJ$33))))</f>
        <v/>
      </c>
      <c r="AK69" s="40" t="str">
        <f>IF(OR($A69="",AK$33=""),"",IF(ca_mesure="CPU",SUMIFS(TblCalculs[CPU provisionné],TblCalculs[Cluster],$B69,TblCalculs[Mois],AK$33),IF(ca_mesure="RAM",SUMIFS(TblCalculs[RAM provisionnée],TblCalculs[Cluster],$B69,TblCalculs[Mois],AK$33),SUMIFS(TblCalculs[Workers],TblCalculs[Cluster],$B69,TblCalculs[Mois],AK$33))))</f>
        <v/>
      </c>
      <c r="AL69" s="40" t="str">
        <f>IF(OR($A69="",AL$33=""),"",IF(ca_mesure="CPU",SUMIFS(TblCalculs[CPU provisionné],TblCalculs[Cluster],$B69,TblCalculs[Mois],AL$33),IF(ca_mesure="RAM",SUMIFS(TblCalculs[RAM provisionnée],TblCalculs[Cluster],$B69,TblCalculs[Mois],AL$33),SUMIFS(TblCalculs[Workers],TblCalculs[Cluster],$B69,TblCalculs[Mois],AL$33))))</f>
        <v/>
      </c>
      <c r="AM69" s="40" t="str">
        <f>IF(OR($A69="",AM$33=""),"",IF(ca_mesure="CPU",SUMIFS(TblCalculs[CPU provisionné],TblCalculs[Cluster],$B69,TblCalculs[Mois],AM$33),IF(ca_mesure="RAM",SUMIFS(TblCalculs[RAM provisionnée],TblCalculs[Cluster],$B69,TblCalculs[Mois],AM$33),SUMIFS(TblCalculs[Workers],TblCalculs[Cluster],$B69,TblCalculs[Mois],AM$33))))</f>
        <v/>
      </c>
      <c r="AN69" s="40" t="str">
        <f>IF(OR($A69="",AN$33=""),"",IF(ca_mesure="CPU",SUMIFS(TblCalculs[CPU provisionné],TblCalculs[Cluster],$B69,TblCalculs[Mois],AN$33),IF(ca_mesure="RAM",SUMIFS(TblCalculs[RAM provisionnée],TblCalculs[Cluster],$B69,TblCalculs[Mois],AN$33),SUMIFS(TblCalculs[Workers],TblCalculs[Cluster],$B69,TblCalculs[Mois],AN$33))))</f>
        <v/>
      </c>
      <c r="AO69" s="40" t="str">
        <f>IF(OR($A69="",AO$33=""),"",IF(ca_mesure="CPU",SUMIFS(TblCalculs[CPU provisionné],TblCalculs[Cluster],$B69,TblCalculs[Mois],AO$33),IF(ca_mesure="RAM",SUMIFS(TblCalculs[RAM provisionnée],TblCalculs[Cluster],$B69,TblCalculs[Mois],AO$33),SUMIFS(TblCalculs[Workers],TblCalculs[Cluster],$B69,TblCalculs[Mois],AO$33))))</f>
        <v/>
      </c>
    </row>
    <row r="70" spans="1:41" x14ac:dyDescent="0.2">
      <c r="A70" s="37" t="str">
        <f>IFERROR(MATCH(37,TblClusters[Rang capacités],0),"")</f>
        <v/>
      </c>
      <c r="B70" s="44" t="str">
        <f>IF($A70="","",INDEX(TblClusters[Cluster],$A70))</f>
        <v/>
      </c>
      <c r="C70" s="45" t="str">
        <f>IF($A70="","",INDEX(TblClusters[Plateforme],$A70))</f>
        <v/>
      </c>
      <c r="D70" s="45" t="str">
        <f>IF($A70="","",INDEX(TblClusters[Environnement],$A70))</f>
        <v/>
      </c>
      <c r="E70" s="45" t="str">
        <f>IF($A70="","",INDEX(TblClusters[Flavor],$A70))</f>
        <v/>
      </c>
      <c r="F70" s="46" t="str">
        <f>IF(OR($A70="",F$33=""),"",IF(ca_mesure="CPU",SUMIFS(TblCalculs[CPU provisionné],TblCalculs[Cluster],$B70,TblCalculs[Mois],F$33),IF(ca_mesure="RAM",SUMIFS(TblCalculs[RAM provisionnée],TblCalculs[Cluster],$B70,TblCalculs[Mois],F$33),SUMIFS(TblCalculs[Workers],TblCalculs[Cluster],$B70,TblCalculs[Mois],F$33))))</f>
        <v/>
      </c>
      <c r="G70" s="46" t="str">
        <f>IF(OR($A70="",G$33=""),"",IF(ca_mesure="CPU",SUMIFS(TblCalculs[CPU provisionné],TblCalculs[Cluster],$B70,TblCalculs[Mois],G$33),IF(ca_mesure="RAM",SUMIFS(TblCalculs[RAM provisionnée],TblCalculs[Cluster],$B70,TblCalculs[Mois],G$33),SUMIFS(TblCalculs[Workers],TblCalculs[Cluster],$B70,TblCalculs[Mois],G$33))))</f>
        <v/>
      </c>
      <c r="H70" s="46" t="str">
        <f>IF(OR($A70="",H$33=""),"",IF(ca_mesure="CPU",SUMIFS(TblCalculs[CPU provisionné],TblCalculs[Cluster],$B70,TblCalculs[Mois],H$33),IF(ca_mesure="RAM",SUMIFS(TblCalculs[RAM provisionnée],TblCalculs[Cluster],$B70,TblCalculs[Mois],H$33),SUMIFS(TblCalculs[Workers],TblCalculs[Cluster],$B70,TblCalculs[Mois],H$33))))</f>
        <v/>
      </c>
      <c r="I70" s="40" t="str">
        <f>IF(OR($A70="",I$33=""),"",IF(ca_mesure="CPU",SUMIFS(TblCalculs[CPU provisionné],TblCalculs[Cluster],$B70,TblCalculs[Mois],I$33),IF(ca_mesure="RAM",SUMIFS(TblCalculs[RAM provisionnée],TblCalculs[Cluster],$B70,TblCalculs[Mois],I$33),SUMIFS(TblCalculs[Workers],TblCalculs[Cluster],$B70,TblCalculs[Mois],I$33))))</f>
        <v/>
      </c>
      <c r="J70" s="40" t="str">
        <f>IF(OR($A70="",J$33=""),"",IF(ca_mesure="CPU",SUMIFS(TblCalculs[CPU provisionné],TblCalculs[Cluster],$B70,TblCalculs[Mois],J$33),IF(ca_mesure="RAM",SUMIFS(TblCalculs[RAM provisionnée],TblCalculs[Cluster],$B70,TblCalculs[Mois],J$33),SUMIFS(TblCalculs[Workers],TblCalculs[Cluster],$B70,TblCalculs[Mois],J$33))))</f>
        <v/>
      </c>
      <c r="K70" s="40" t="str">
        <f>IF(OR($A70="",K$33=""),"",IF(ca_mesure="CPU",SUMIFS(TblCalculs[CPU provisionné],TblCalculs[Cluster],$B70,TblCalculs[Mois],K$33),IF(ca_mesure="RAM",SUMIFS(TblCalculs[RAM provisionnée],TblCalculs[Cluster],$B70,TblCalculs[Mois],K$33),SUMIFS(TblCalculs[Workers],TblCalculs[Cluster],$B70,TblCalculs[Mois],K$33))))</f>
        <v/>
      </c>
      <c r="L70" s="40" t="str">
        <f>IF(OR($A70="",L$33=""),"",IF(ca_mesure="CPU",SUMIFS(TblCalculs[CPU provisionné],TblCalculs[Cluster],$B70,TblCalculs[Mois],L$33),IF(ca_mesure="RAM",SUMIFS(TblCalculs[RAM provisionnée],TblCalculs[Cluster],$B70,TblCalculs[Mois],L$33),SUMIFS(TblCalculs[Workers],TblCalculs[Cluster],$B70,TblCalculs[Mois],L$33))))</f>
        <v/>
      </c>
      <c r="M70" s="40" t="str">
        <f>IF(OR($A70="",M$33=""),"",IF(ca_mesure="CPU",SUMIFS(TblCalculs[CPU provisionné],TblCalculs[Cluster],$B70,TblCalculs[Mois],M$33),IF(ca_mesure="RAM",SUMIFS(TblCalculs[RAM provisionnée],TblCalculs[Cluster],$B70,TblCalculs[Mois],M$33),SUMIFS(TblCalculs[Workers],TblCalculs[Cluster],$B70,TblCalculs[Mois],M$33))))</f>
        <v/>
      </c>
      <c r="N70" s="40" t="str">
        <f>IF(OR($A70="",N$33=""),"",IF(ca_mesure="CPU",SUMIFS(TblCalculs[CPU provisionné],TblCalculs[Cluster],$B70,TblCalculs[Mois],N$33),IF(ca_mesure="RAM",SUMIFS(TblCalculs[RAM provisionnée],TblCalculs[Cluster],$B70,TblCalculs[Mois],N$33),SUMIFS(TblCalculs[Workers],TblCalculs[Cluster],$B70,TblCalculs[Mois],N$33))))</f>
        <v/>
      </c>
      <c r="O70" s="40" t="str">
        <f>IF(OR($A70="",O$33=""),"",IF(ca_mesure="CPU",SUMIFS(TblCalculs[CPU provisionné],TblCalculs[Cluster],$B70,TblCalculs[Mois],O$33),IF(ca_mesure="RAM",SUMIFS(TblCalculs[RAM provisionnée],TblCalculs[Cluster],$B70,TblCalculs[Mois],O$33),SUMIFS(TblCalculs[Workers],TblCalculs[Cluster],$B70,TblCalculs[Mois],O$33))))</f>
        <v/>
      </c>
      <c r="P70" s="40" t="str">
        <f>IF(OR($A70="",P$33=""),"",IF(ca_mesure="CPU",SUMIFS(TblCalculs[CPU provisionné],TblCalculs[Cluster],$B70,TblCalculs[Mois],P$33),IF(ca_mesure="RAM",SUMIFS(TblCalculs[RAM provisionnée],TblCalculs[Cluster],$B70,TblCalculs[Mois],P$33),SUMIFS(TblCalculs[Workers],TblCalculs[Cluster],$B70,TblCalculs[Mois],P$33))))</f>
        <v/>
      </c>
      <c r="Q70" s="40" t="str">
        <f>IF(OR($A70="",Q$33=""),"",IF(ca_mesure="CPU",SUMIFS(TblCalculs[CPU provisionné],TblCalculs[Cluster],$B70,TblCalculs[Mois],Q$33),IF(ca_mesure="RAM",SUMIFS(TblCalculs[RAM provisionnée],TblCalculs[Cluster],$B70,TblCalculs[Mois],Q$33),SUMIFS(TblCalculs[Workers],TblCalculs[Cluster],$B70,TblCalculs[Mois],Q$33))))</f>
        <v/>
      </c>
      <c r="R70" s="40" t="str">
        <f>IF(OR($A70="",R$33=""),"",IF(ca_mesure="CPU",SUMIFS(TblCalculs[CPU provisionné],TblCalculs[Cluster],$B70,TblCalculs[Mois],R$33),IF(ca_mesure="RAM",SUMIFS(TblCalculs[RAM provisionnée],TblCalculs[Cluster],$B70,TblCalculs[Mois],R$33),SUMIFS(TblCalculs[Workers],TblCalculs[Cluster],$B70,TblCalculs[Mois],R$33))))</f>
        <v/>
      </c>
      <c r="S70" s="40" t="str">
        <f>IF(OR($A70="",S$33=""),"",IF(ca_mesure="CPU",SUMIFS(TblCalculs[CPU provisionné],TblCalculs[Cluster],$B70,TblCalculs[Mois],S$33),IF(ca_mesure="RAM",SUMIFS(TblCalculs[RAM provisionnée],TblCalculs[Cluster],$B70,TblCalculs[Mois],S$33),SUMIFS(TblCalculs[Workers],TblCalculs[Cluster],$B70,TblCalculs[Mois],S$33))))</f>
        <v/>
      </c>
      <c r="T70" s="40" t="str">
        <f>IF(OR($A70="",T$33=""),"",IF(ca_mesure="CPU",SUMIFS(TblCalculs[CPU provisionné],TblCalculs[Cluster],$B70,TblCalculs[Mois],T$33),IF(ca_mesure="RAM",SUMIFS(TblCalculs[RAM provisionnée],TblCalculs[Cluster],$B70,TblCalculs[Mois],T$33),SUMIFS(TblCalculs[Workers],TblCalculs[Cluster],$B70,TblCalculs[Mois],T$33))))</f>
        <v/>
      </c>
      <c r="U70" s="40" t="str">
        <f>IF(OR($A70="",U$33=""),"",IF(ca_mesure="CPU",SUMIFS(TblCalculs[CPU provisionné],TblCalculs[Cluster],$B70,TblCalculs[Mois],U$33),IF(ca_mesure="RAM",SUMIFS(TblCalculs[RAM provisionnée],TblCalculs[Cluster],$B70,TblCalculs[Mois],U$33),SUMIFS(TblCalculs[Workers],TblCalculs[Cluster],$B70,TblCalculs[Mois],U$33))))</f>
        <v/>
      </c>
      <c r="V70" s="40" t="str">
        <f>IF(OR($A70="",V$33=""),"",IF(ca_mesure="CPU",SUMIFS(TblCalculs[CPU provisionné],TblCalculs[Cluster],$B70,TblCalculs[Mois],V$33),IF(ca_mesure="RAM",SUMIFS(TblCalculs[RAM provisionnée],TblCalculs[Cluster],$B70,TblCalculs[Mois],V$33),SUMIFS(TblCalculs[Workers],TblCalculs[Cluster],$B70,TblCalculs[Mois],V$33))))</f>
        <v/>
      </c>
      <c r="W70" s="40" t="str">
        <f>IF(OR($A70="",W$33=""),"",IF(ca_mesure="CPU",SUMIFS(TblCalculs[CPU provisionné],TblCalculs[Cluster],$B70,TblCalculs[Mois],W$33),IF(ca_mesure="RAM",SUMIFS(TblCalculs[RAM provisionnée],TblCalculs[Cluster],$B70,TblCalculs[Mois],W$33),SUMIFS(TblCalculs[Workers],TblCalculs[Cluster],$B70,TblCalculs[Mois],W$33))))</f>
        <v/>
      </c>
      <c r="X70" s="40" t="str">
        <f>IF(OR($A70="",X$33=""),"",IF(ca_mesure="CPU",SUMIFS(TblCalculs[CPU provisionné],TblCalculs[Cluster],$B70,TblCalculs[Mois],X$33),IF(ca_mesure="RAM",SUMIFS(TblCalculs[RAM provisionnée],TblCalculs[Cluster],$B70,TblCalculs[Mois],X$33),SUMIFS(TblCalculs[Workers],TblCalculs[Cluster],$B70,TblCalculs[Mois],X$33))))</f>
        <v/>
      </c>
      <c r="Y70" s="40" t="str">
        <f>IF(OR($A70="",Y$33=""),"",IF(ca_mesure="CPU",SUMIFS(TblCalculs[CPU provisionné],TblCalculs[Cluster],$B70,TblCalculs[Mois],Y$33),IF(ca_mesure="RAM",SUMIFS(TblCalculs[RAM provisionnée],TblCalculs[Cluster],$B70,TblCalculs[Mois],Y$33),SUMIFS(TblCalculs[Workers],TblCalculs[Cluster],$B70,TblCalculs[Mois],Y$33))))</f>
        <v/>
      </c>
      <c r="Z70" s="40" t="str">
        <f>IF(OR($A70="",Z$33=""),"",IF(ca_mesure="CPU",SUMIFS(TblCalculs[CPU provisionné],TblCalculs[Cluster],$B70,TblCalculs[Mois],Z$33),IF(ca_mesure="RAM",SUMIFS(TblCalculs[RAM provisionnée],TblCalculs[Cluster],$B70,TblCalculs[Mois],Z$33),SUMIFS(TblCalculs[Workers],TblCalculs[Cluster],$B70,TblCalculs[Mois],Z$33))))</f>
        <v/>
      </c>
      <c r="AA70" s="40" t="str">
        <f>IF(OR($A70="",AA$33=""),"",IF(ca_mesure="CPU",SUMIFS(TblCalculs[CPU provisionné],TblCalculs[Cluster],$B70,TblCalculs[Mois],AA$33),IF(ca_mesure="RAM",SUMIFS(TblCalculs[RAM provisionnée],TblCalculs[Cluster],$B70,TblCalculs[Mois],AA$33),SUMIFS(TblCalculs[Workers],TblCalculs[Cluster],$B70,TblCalculs[Mois],AA$33))))</f>
        <v/>
      </c>
      <c r="AB70" s="40" t="str">
        <f>IF(OR($A70="",AB$33=""),"",IF(ca_mesure="CPU",SUMIFS(TblCalculs[CPU provisionné],TblCalculs[Cluster],$B70,TblCalculs[Mois],AB$33),IF(ca_mesure="RAM",SUMIFS(TblCalculs[RAM provisionnée],TblCalculs[Cluster],$B70,TblCalculs[Mois],AB$33),SUMIFS(TblCalculs[Workers],TblCalculs[Cluster],$B70,TblCalculs[Mois],AB$33))))</f>
        <v/>
      </c>
      <c r="AC70" s="40" t="str">
        <f>IF(OR($A70="",AC$33=""),"",IF(ca_mesure="CPU",SUMIFS(TblCalculs[CPU provisionné],TblCalculs[Cluster],$B70,TblCalculs[Mois],AC$33),IF(ca_mesure="RAM",SUMIFS(TblCalculs[RAM provisionnée],TblCalculs[Cluster],$B70,TblCalculs[Mois],AC$33),SUMIFS(TblCalculs[Workers],TblCalculs[Cluster],$B70,TblCalculs[Mois],AC$33))))</f>
        <v/>
      </c>
      <c r="AD70" s="40" t="str">
        <f>IF(OR($A70="",AD$33=""),"",IF(ca_mesure="CPU",SUMIFS(TblCalculs[CPU provisionné],TblCalculs[Cluster],$B70,TblCalculs[Mois],AD$33),IF(ca_mesure="RAM",SUMIFS(TblCalculs[RAM provisionnée],TblCalculs[Cluster],$B70,TblCalculs[Mois],AD$33),SUMIFS(TblCalculs[Workers],TblCalculs[Cluster],$B70,TblCalculs[Mois],AD$33))))</f>
        <v/>
      </c>
      <c r="AE70" s="40" t="str">
        <f>IF(OR($A70="",AE$33=""),"",IF(ca_mesure="CPU",SUMIFS(TblCalculs[CPU provisionné],TblCalculs[Cluster],$B70,TblCalculs[Mois],AE$33),IF(ca_mesure="RAM",SUMIFS(TblCalculs[RAM provisionnée],TblCalculs[Cluster],$B70,TblCalculs[Mois],AE$33),SUMIFS(TblCalculs[Workers],TblCalculs[Cluster],$B70,TblCalculs[Mois],AE$33))))</f>
        <v/>
      </c>
      <c r="AF70" s="40" t="str">
        <f>IF(OR($A70="",AF$33=""),"",IF(ca_mesure="CPU",SUMIFS(TblCalculs[CPU provisionné],TblCalculs[Cluster],$B70,TblCalculs[Mois],AF$33),IF(ca_mesure="RAM",SUMIFS(TblCalculs[RAM provisionnée],TblCalculs[Cluster],$B70,TblCalculs[Mois],AF$33),SUMIFS(TblCalculs[Workers],TblCalculs[Cluster],$B70,TblCalculs[Mois],AF$33))))</f>
        <v/>
      </c>
      <c r="AG70" s="40" t="str">
        <f>IF(OR($A70="",AG$33=""),"",IF(ca_mesure="CPU",SUMIFS(TblCalculs[CPU provisionné],TblCalculs[Cluster],$B70,TblCalculs[Mois],AG$33),IF(ca_mesure="RAM",SUMIFS(TblCalculs[RAM provisionnée],TblCalculs[Cluster],$B70,TblCalculs[Mois],AG$33),SUMIFS(TblCalculs[Workers],TblCalculs[Cluster],$B70,TblCalculs[Mois],AG$33))))</f>
        <v/>
      </c>
      <c r="AH70" s="40" t="str">
        <f>IF(OR($A70="",AH$33=""),"",IF(ca_mesure="CPU",SUMIFS(TblCalculs[CPU provisionné],TblCalculs[Cluster],$B70,TblCalculs[Mois],AH$33),IF(ca_mesure="RAM",SUMIFS(TblCalculs[RAM provisionnée],TblCalculs[Cluster],$B70,TblCalculs[Mois],AH$33),SUMIFS(TblCalculs[Workers],TblCalculs[Cluster],$B70,TblCalculs[Mois],AH$33))))</f>
        <v/>
      </c>
      <c r="AI70" s="40" t="str">
        <f>IF(OR($A70="",AI$33=""),"",IF(ca_mesure="CPU",SUMIFS(TblCalculs[CPU provisionné],TblCalculs[Cluster],$B70,TblCalculs[Mois],AI$33),IF(ca_mesure="RAM",SUMIFS(TblCalculs[RAM provisionnée],TblCalculs[Cluster],$B70,TblCalculs[Mois],AI$33),SUMIFS(TblCalculs[Workers],TblCalculs[Cluster],$B70,TblCalculs[Mois],AI$33))))</f>
        <v/>
      </c>
      <c r="AJ70" s="40" t="str">
        <f>IF(OR($A70="",AJ$33=""),"",IF(ca_mesure="CPU",SUMIFS(TblCalculs[CPU provisionné],TblCalculs[Cluster],$B70,TblCalculs[Mois],AJ$33),IF(ca_mesure="RAM",SUMIFS(TblCalculs[RAM provisionnée],TblCalculs[Cluster],$B70,TblCalculs[Mois],AJ$33),SUMIFS(TblCalculs[Workers],TblCalculs[Cluster],$B70,TblCalculs[Mois],AJ$33))))</f>
        <v/>
      </c>
      <c r="AK70" s="40" t="str">
        <f>IF(OR($A70="",AK$33=""),"",IF(ca_mesure="CPU",SUMIFS(TblCalculs[CPU provisionné],TblCalculs[Cluster],$B70,TblCalculs[Mois],AK$33),IF(ca_mesure="RAM",SUMIFS(TblCalculs[RAM provisionnée],TblCalculs[Cluster],$B70,TblCalculs[Mois],AK$33),SUMIFS(TblCalculs[Workers],TblCalculs[Cluster],$B70,TblCalculs[Mois],AK$33))))</f>
        <v/>
      </c>
      <c r="AL70" s="40" t="str">
        <f>IF(OR($A70="",AL$33=""),"",IF(ca_mesure="CPU",SUMIFS(TblCalculs[CPU provisionné],TblCalculs[Cluster],$B70,TblCalculs[Mois],AL$33),IF(ca_mesure="RAM",SUMIFS(TblCalculs[RAM provisionnée],TblCalculs[Cluster],$B70,TblCalculs[Mois],AL$33),SUMIFS(TblCalculs[Workers],TblCalculs[Cluster],$B70,TblCalculs[Mois],AL$33))))</f>
        <v/>
      </c>
      <c r="AM70" s="40" t="str">
        <f>IF(OR($A70="",AM$33=""),"",IF(ca_mesure="CPU",SUMIFS(TblCalculs[CPU provisionné],TblCalculs[Cluster],$B70,TblCalculs[Mois],AM$33),IF(ca_mesure="RAM",SUMIFS(TblCalculs[RAM provisionnée],TblCalculs[Cluster],$B70,TblCalculs[Mois],AM$33),SUMIFS(TblCalculs[Workers],TblCalculs[Cluster],$B70,TblCalculs[Mois],AM$33))))</f>
        <v/>
      </c>
      <c r="AN70" s="40" t="str">
        <f>IF(OR($A70="",AN$33=""),"",IF(ca_mesure="CPU",SUMIFS(TblCalculs[CPU provisionné],TblCalculs[Cluster],$B70,TblCalculs[Mois],AN$33),IF(ca_mesure="RAM",SUMIFS(TblCalculs[RAM provisionnée],TblCalculs[Cluster],$B70,TblCalculs[Mois],AN$33),SUMIFS(TblCalculs[Workers],TblCalculs[Cluster],$B70,TblCalculs[Mois],AN$33))))</f>
        <v/>
      </c>
      <c r="AO70" s="40" t="str">
        <f>IF(OR($A70="",AO$33=""),"",IF(ca_mesure="CPU",SUMIFS(TblCalculs[CPU provisionné],TblCalculs[Cluster],$B70,TblCalculs[Mois],AO$33),IF(ca_mesure="RAM",SUMIFS(TblCalculs[RAM provisionnée],TblCalculs[Cluster],$B70,TblCalculs[Mois],AO$33),SUMIFS(TblCalculs[Workers],TblCalculs[Cluster],$B70,TblCalculs[Mois],AO$33))))</f>
        <v/>
      </c>
    </row>
    <row r="71" spans="1:41" x14ac:dyDescent="0.2">
      <c r="A71" s="37" t="str">
        <f>IFERROR(MATCH(38,TblClusters[Rang capacités],0),"")</f>
        <v/>
      </c>
      <c r="B71" s="44" t="str">
        <f>IF($A71="","",INDEX(TblClusters[Cluster],$A71))</f>
        <v/>
      </c>
      <c r="C71" s="45" t="str">
        <f>IF($A71="","",INDEX(TblClusters[Plateforme],$A71))</f>
        <v/>
      </c>
      <c r="D71" s="45" t="str">
        <f>IF($A71="","",INDEX(TblClusters[Environnement],$A71))</f>
        <v/>
      </c>
      <c r="E71" s="45" t="str">
        <f>IF($A71="","",INDEX(TblClusters[Flavor],$A71))</f>
        <v/>
      </c>
      <c r="F71" s="46" t="str">
        <f>IF(OR($A71="",F$33=""),"",IF(ca_mesure="CPU",SUMIFS(TblCalculs[CPU provisionné],TblCalculs[Cluster],$B71,TblCalculs[Mois],F$33),IF(ca_mesure="RAM",SUMIFS(TblCalculs[RAM provisionnée],TblCalculs[Cluster],$B71,TblCalculs[Mois],F$33),SUMIFS(TblCalculs[Workers],TblCalculs[Cluster],$B71,TblCalculs[Mois],F$33))))</f>
        <v/>
      </c>
      <c r="G71" s="46" t="str">
        <f>IF(OR($A71="",G$33=""),"",IF(ca_mesure="CPU",SUMIFS(TblCalculs[CPU provisionné],TblCalculs[Cluster],$B71,TblCalculs[Mois],G$33),IF(ca_mesure="RAM",SUMIFS(TblCalculs[RAM provisionnée],TblCalculs[Cluster],$B71,TblCalculs[Mois],G$33),SUMIFS(TblCalculs[Workers],TblCalculs[Cluster],$B71,TblCalculs[Mois],G$33))))</f>
        <v/>
      </c>
      <c r="H71" s="46" t="str">
        <f>IF(OR($A71="",H$33=""),"",IF(ca_mesure="CPU",SUMIFS(TblCalculs[CPU provisionné],TblCalculs[Cluster],$B71,TblCalculs[Mois],H$33),IF(ca_mesure="RAM",SUMIFS(TblCalculs[RAM provisionnée],TblCalculs[Cluster],$B71,TblCalculs[Mois],H$33),SUMIFS(TblCalculs[Workers],TblCalculs[Cluster],$B71,TblCalculs[Mois],H$33))))</f>
        <v/>
      </c>
      <c r="I71" s="40" t="str">
        <f>IF(OR($A71="",I$33=""),"",IF(ca_mesure="CPU",SUMIFS(TblCalculs[CPU provisionné],TblCalculs[Cluster],$B71,TblCalculs[Mois],I$33),IF(ca_mesure="RAM",SUMIFS(TblCalculs[RAM provisionnée],TblCalculs[Cluster],$B71,TblCalculs[Mois],I$33),SUMIFS(TblCalculs[Workers],TblCalculs[Cluster],$B71,TblCalculs[Mois],I$33))))</f>
        <v/>
      </c>
      <c r="J71" s="40" t="str">
        <f>IF(OR($A71="",J$33=""),"",IF(ca_mesure="CPU",SUMIFS(TblCalculs[CPU provisionné],TblCalculs[Cluster],$B71,TblCalculs[Mois],J$33),IF(ca_mesure="RAM",SUMIFS(TblCalculs[RAM provisionnée],TblCalculs[Cluster],$B71,TblCalculs[Mois],J$33),SUMIFS(TblCalculs[Workers],TblCalculs[Cluster],$B71,TblCalculs[Mois],J$33))))</f>
        <v/>
      </c>
      <c r="K71" s="40" t="str">
        <f>IF(OR($A71="",K$33=""),"",IF(ca_mesure="CPU",SUMIFS(TblCalculs[CPU provisionné],TblCalculs[Cluster],$B71,TblCalculs[Mois],K$33),IF(ca_mesure="RAM",SUMIFS(TblCalculs[RAM provisionnée],TblCalculs[Cluster],$B71,TblCalculs[Mois],K$33),SUMIFS(TblCalculs[Workers],TblCalculs[Cluster],$B71,TblCalculs[Mois],K$33))))</f>
        <v/>
      </c>
      <c r="L71" s="40" t="str">
        <f>IF(OR($A71="",L$33=""),"",IF(ca_mesure="CPU",SUMIFS(TblCalculs[CPU provisionné],TblCalculs[Cluster],$B71,TblCalculs[Mois],L$33),IF(ca_mesure="RAM",SUMIFS(TblCalculs[RAM provisionnée],TblCalculs[Cluster],$B71,TblCalculs[Mois],L$33),SUMIFS(TblCalculs[Workers],TblCalculs[Cluster],$B71,TblCalculs[Mois],L$33))))</f>
        <v/>
      </c>
      <c r="M71" s="40" t="str">
        <f>IF(OR($A71="",M$33=""),"",IF(ca_mesure="CPU",SUMIFS(TblCalculs[CPU provisionné],TblCalculs[Cluster],$B71,TblCalculs[Mois],M$33),IF(ca_mesure="RAM",SUMIFS(TblCalculs[RAM provisionnée],TblCalculs[Cluster],$B71,TblCalculs[Mois],M$33),SUMIFS(TblCalculs[Workers],TblCalculs[Cluster],$B71,TblCalculs[Mois],M$33))))</f>
        <v/>
      </c>
      <c r="N71" s="40" t="str">
        <f>IF(OR($A71="",N$33=""),"",IF(ca_mesure="CPU",SUMIFS(TblCalculs[CPU provisionné],TblCalculs[Cluster],$B71,TblCalculs[Mois],N$33),IF(ca_mesure="RAM",SUMIFS(TblCalculs[RAM provisionnée],TblCalculs[Cluster],$B71,TblCalculs[Mois],N$33),SUMIFS(TblCalculs[Workers],TblCalculs[Cluster],$B71,TblCalculs[Mois],N$33))))</f>
        <v/>
      </c>
      <c r="O71" s="40" t="str">
        <f>IF(OR($A71="",O$33=""),"",IF(ca_mesure="CPU",SUMIFS(TblCalculs[CPU provisionné],TblCalculs[Cluster],$B71,TblCalculs[Mois],O$33),IF(ca_mesure="RAM",SUMIFS(TblCalculs[RAM provisionnée],TblCalculs[Cluster],$B71,TblCalculs[Mois],O$33),SUMIFS(TblCalculs[Workers],TblCalculs[Cluster],$B71,TblCalculs[Mois],O$33))))</f>
        <v/>
      </c>
      <c r="P71" s="40" t="str">
        <f>IF(OR($A71="",P$33=""),"",IF(ca_mesure="CPU",SUMIFS(TblCalculs[CPU provisionné],TblCalculs[Cluster],$B71,TblCalculs[Mois],P$33),IF(ca_mesure="RAM",SUMIFS(TblCalculs[RAM provisionnée],TblCalculs[Cluster],$B71,TblCalculs[Mois],P$33),SUMIFS(TblCalculs[Workers],TblCalculs[Cluster],$B71,TblCalculs[Mois],P$33))))</f>
        <v/>
      </c>
      <c r="Q71" s="40" t="str">
        <f>IF(OR($A71="",Q$33=""),"",IF(ca_mesure="CPU",SUMIFS(TblCalculs[CPU provisionné],TblCalculs[Cluster],$B71,TblCalculs[Mois],Q$33),IF(ca_mesure="RAM",SUMIFS(TblCalculs[RAM provisionnée],TblCalculs[Cluster],$B71,TblCalculs[Mois],Q$33),SUMIFS(TblCalculs[Workers],TblCalculs[Cluster],$B71,TblCalculs[Mois],Q$33))))</f>
        <v/>
      </c>
      <c r="R71" s="40" t="str">
        <f>IF(OR($A71="",R$33=""),"",IF(ca_mesure="CPU",SUMIFS(TblCalculs[CPU provisionné],TblCalculs[Cluster],$B71,TblCalculs[Mois],R$33),IF(ca_mesure="RAM",SUMIFS(TblCalculs[RAM provisionnée],TblCalculs[Cluster],$B71,TblCalculs[Mois],R$33),SUMIFS(TblCalculs[Workers],TblCalculs[Cluster],$B71,TblCalculs[Mois],R$33))))</f>
        <v/>
      </c>
      <c r="S71" s="40" t="str">
        <f>IF(OR($A71="",S$33=""),"",IF(ca_mesure="CPU",SUMIFS(TblCalculs[CPU provisionné],TblCalculs[Cluster],$B71,TblCalculs[Mois],S$33),IF(ca_mesure="RAM",SUMIFS(TblCalculs[RAM provisionnée],TblCalculs[Cluster],$B71,TblCalculs[Mois],S$33),SUMIFS(TblCalculs[Workers],TblCalculs[Cluster],$B71,TblCalculs[Mois],S$33))))</f>
        <v/>
      </c>
      <c r="T71" s="40" t="str">
        <f>IF(OR($A71="",T$33=""),"",IF(ca_mesure="CPU",SUMIFS(TblCalculs[CPU provisionné],TblCalculs[Cluster],$B71,TblCalculs[Mois],T$33),IF(ca_mesure="RAM",SUMIFS(TblCalculs[RAM provisionnée],TblCalculs[Cluster],$B71,TblCalculs[Mois],T$33),SUMIFS(TblCalculs[Workers],TblCalculs[Cluster],$B71,TblCalculs[Mois],T$33))))</f>
        <v/>
      </c>
      <c r="U71" s="40" t="str">
        <f>IF(OR($A71="",U$33=""),"",IF(ca_mesure="CPU",SUMIFS(TblCalculs[CPU provisionné],TblCalculs[Cluster],$B71,TblCalculs[Mois],U$33),IF(ca_mesure="RAM",SUMIFS(TblCalculs[RAM provisionnée],TblCalculs[Cluster],$B71,TblCalculs[Mois],U$33),SUMIFS(TblCalculs[Workers],TblCalculs[Cluster],$B71,TblCalculs[Mois],U$33))))</f>
        <v/>
      </c>
      <c r="V71" s="40" t="str">
        <f>IF(OR($A71="",V$33=""),"",IF(ca_mesure="CPU",SUMIFS(TblCalculs[CPU provisionné],TblCalculs[Cluster],$B71,TblCalculs[Mois],V$33),IF(ca_mesure="RAM",SUMIFS(TblCalculs[RAM provisionnée],TblCalculs[Cluster],$B71,TblCalculs[Mois],V$33),SUMIFS(TblCalculs[Workers],TblCalculs[Cluster],$B71,TblCalculs[Mois],V$33))))</f>
        <v/>
      </c>
      <c r="W71" s="40" t="str">
        <f>IF(OR($A71="",W$33=""),"",IF(ca_mesure="CPU",SUMIFS(TblCalculs[CPU provisionné],TblCalculs[Cluster],$B71,TblCalculs[Mois],W$33),IF(ca_mesure="RAM",SUMIFS(TblCalculs[RAM provisionnée],TblCalculs[Cluster],$B71,TblCalculs[Mois],W$33),SUMIFS(TblCalculs[Workers],TblCalculs[Cluster],$B71,TblCalculs[Mois],W$33))))</f>
        <v/>
      </c>
      <c r="X71" s="40" t="str">
        <f>IF(OR($A71="",X$33=""),"",IF(ca_mesure="CPU",SUMIFS(TblCalculs[CPU provisionné],TblCalculs[Cluster],$B71,TblCalculs[Mois],X$33),IF(ca_mesure="RAM",SUMIFS(TblCalculs[RAM provisionnée],TblCalculs[Cluster],$B71,TblCalculs[Mois],X$33),SUMIFS(TblCalculs[Workers],TblCalculs[Cluster],$B71,TblCalculs[Mois],X$33))))</f>
        <v/>
      </c>
      <c r="Y71" s="40" t="str">
        <f>IF(OR($A71="",Y$33=""),"",IF(ca_mesure="CPU",SUMIFS(TblCalculs[CPU provisionné],TblCalculs[Cluster],$B71,TblCalculs[Mois],Y$33),IF(ca_mesure="RAM",SUMIFS(TblCalculs[RAM provisionnée],TblCalculs[Cluster],$B71,TblCalculs[Mois],Y$33),SUMIFS(TblCalculs[Workers],TblCalculs[Cluster],$B71,TblCalculs[Mois],Y$33))))</f>
        <v/>
      </c>
      <c r="Z71" s="40" t="str">
        <f>IF(OR($A71="",Z$33=""),"",IF(ca_mesure="CPU",SUMIFS(TblCalculs[CPU provisionné],TblCalculs[Cluster],$B71,TblCalculs[Mois],Z$33),IF(ca_mesure="RAM",SUMIFS(TblCalculs[RAM provisionnée],TblCalculs[Cluster],$B71,TblCalculs[Mois],Z$33),SUMIFS(TblCalculs[Workers],TblCalculs[Cluster],$B71,TblCalculs[Mois],Z$33))))</f>
        <v/>
      </c>
      <c r="AA71" s="40" t="str">
        <f>IF(OR($A71="",AA$33=""),"",IF(ca_mesure="CPU",SUMIFS(TblCalculs[CPU provisionné],TblCalculs[Cluster],$B71,TblCalculs[Mois],AA$33),IF(ca_mesure="RAM",SUMIFS(TblCalculs[RAM provisionnée],TblCalculs[Cluster],$B71,TblCalculs[Mois],AA$33),SUMIFS(TblCalculs[Workers],TblCalculs[Cluster],$B71,TblCalculs[Mois],AA$33))))</f>
        <v/>
      </c>
      <c r="AB71" s="40" t="str">
        <f>IF(OR($A71="",AB$33=""),"",IF(ca_mesure="CPU",SUMIFS(TblCalculs[CPU provisionné],TblCalculs[Cluster],$B71,TblCalculs[Mois],AB$33),IF(ca_mesure="RAM",SUMIFS(TblCalculs[RAM provisionnée],TblCalculs[Cluster],$B71,TblCalculs[Mois],AB$33),SUMIFS(TblCalculs[Workers],TblCalculs[Cluster],$B71,TblCalculs[Mois],AB$33))))</f>
        <v/>
      </c>
      <c r="AC71" s="40" t="str">
        <f>IF(OR($A71="",AC$33=""),"",IF(ca_mesure="CPU",SUMIFS(TblCalculs[CPU provisionné],TblCalculs[Cluster],$B71,TblCalculs[Mois],AC$33),IF(ca_mesure="RAM",SUMIFS(TblCalculs[RAM provisionnée],TblCalculs[Cluster],$B71,TblCalculs[Mois],AC$33),SUMIFS(TblCalculs[Workers],TblCalculs[Cluster],$B71,TblCalculs[Mois],AC$33))))</f>
        <v/>
      </c>
      <c r="AD71" s="40" t="str">
        <f>IF(OR($A71="",AD$33=""),"",IF(ca_mesure="CPU",SUMIFS(TblCalculs[CPU provisionné],TblCalculs[Cluster],$B71,TblCalculs[Mois],AD$33),IF(ca_mesure="RAM",SUMIFS(TblCalculs[RAM provisionnée],TblCalculs[Cluster],$B71,TblCalculs[Mois],AD$33),SUMIFS(TblCalculs[Workers],TblCalculs[Cluster],$B71,TblCalculs[Mois],AD$33))))</f>
        <v/>
      </c>
      <c r="AE71" s="40" t="str">
        <f>IF(OR($A71="",AE$33=""),"",IF(ca_mesure="CPU",SUMIFS(TblCalculs[CPU provisionné],TblCalculs[Cluster],$B71,TblCalculs[Mois],AE$33),IF(ca_mesure="RAM",SUMIFS(TblCalculs[RAM provisionnée],TblCalculs[Cluster],$B71,TblCalculs[Mois],AE$33),SUMIFS(TblCalculs[Workers],TblCalculs[Cluster],$B71,TblCalculs[Mois],AE$33))))</f>
        <v/>
      </c>
      <c r="AF71" s="40" t="str">
        <f>IF(OR($A71="",AF$33=""),"",IF(ca_mesure="CPU",SUMIFS(TblCalculs[CPU provisionné],TblCalculs[Cluster],$B71,TblCalculs[Mois],AF$33),IF(ca_mesure="RAM",SUMIFS(TblCalculs[RAM provisionnée],TblCalculs[Cluster],$B71,TblCalculs[Mois],AF$33),SUMIFS(TblCalculs[Workers],TblCalculs[Cluster],$B71,TblCalculs[Mois],AF$33))))</f>
        <v/>
      </c>
      <c r="AG71" s="40" t="str">
        <f>IF(OR($A71="",AG$33=""),"",IF(ca_mesure="CPU",SUMIFS(TblCalculs[CPU provisionné],TblCalculs[Cluster],$B71,TblCalculs[Mois],AG$33),IF(ca_mesure="RAM",SUMIFS(TblCalculs[RAM provisionnée],TblCalculs[Cluster],$B71,TblCalculs[Mois],AG$33),SUMIFS(TblCalculs[Workers],TblCalculs[Cluster],$B71,TblCalculs[Mois],AG$33))))</f>
        <v/>
      </c>
      <c r="AH71" s="40" t="str">
        <f>IF(OR($A71="",AH$33=""),"",IF(ca_mesure="CPU",SUMIFS(TblCalculs[CPU provisionné],TblCalculs[Cluster],$B71,TblCalculs[Mois],AH$33),IF(ca_mesure="RAM",SUMIFS(TblCalculs[RAM provisionnée],TblCalculs[Cluster],$B71,TblCalculs[Mois],AH$33),SUMIFS(TblCalculs[Workers],TblCalculs[Cluster],$B71,TblCalculs[Mois],AH$33))))</f>
        <v/>
      </c>
      <c r="AI71" s="40" t="str">
        <f>IF(OR($A71="",AI$33=""),"",IF(ca_mesure="CPU",SUMIFS(TblCalculs[CPU provisionné],TblCalculs[Cluster],$B71,TblCalculs[Mois],AI$33),IF(ca_mesure="RAM",SUMIFS(TblCalculs[RAM provisionnée],TblCalculs[Cluster],$B71,TblCalculs[Mois],AI$33),SUMIFS(TblCalculs[Workers],TblCalculs[Cluster],$B71,TblCalculs[Mois],AI$33))))</f>
        <v/>
      </c>
      <c r="AJ71" s="40" t="str">
        <f>IF(OR($A71="",AJ$33=""),"",IF(ca_mesure="CPU",SUMIFS(TblCalculs[CPU provisionné],TblCalculs[Cluster],$B71,TblCalculs[Mois],AJ$33),IF(ca_mesure="RAM",SUMIFS(TblCalculs[RAM provisionnée],TblCalculs[Cluster],$B71,TblCalculs[Mois],AJ$33),SUMIFS(TblCalculs[Workers],TblCalculs[Cluster],$B71,TblCalculs[Mois],AJ$33))))</f>
        <v/>
      </c>
      <c r="AK71" s="40" t="str">
        <f>IF(OR($A71="",AK$33=""),"",IF(ca_mesure="CPU",SUMIFS(TblCalculs[CPU provisionné],TblCalculs[Cluster],$B71,TblCalculs[Mois],AK$33),IF(ca_mesure="RAM",SUMIFS(TblCalculs[RAM provisionnée],TblCalculs[Cluster],$B71,TblCalculs[Mois],AK$33),SUMIFS(TblCalculs[Workers],TblCalculs[Cluster],$B71,TblCalculs[Mois],AK$33))))</f>
        <v/>
      </c>
      <c r="AL71" s="40" t="str">
        <f>IF(OR($A71="",AL$33=""),"",IF(ca_mesure="CPU",SUMIFS(TblCalculs[CPU provisionné],TblCalculs[Cluster],$B71,TblCalculs[Mois],AL$33),IF(ca_mesure="RAM",SUMIFS(TblCalculs[RAM provisionnée],TblCalculs[Cluster],$B71,TblCalculs[Mois],AL$33),SUMIFS(TblCalculs[Workers],TblCalculs[Cluster],$B71,TblCalculs[Mois],AL$33))))</f>
        <v/>
      </c>
      <c r="AM71" s="40" t="str">
        <f>IF(OR($A71="",AM$33=""),"",IF(ca_mesure="CPU",SUMIFS(TblCalculs[CPU provisionné],TblCalculs[Cluster],$B71,TblCalculs[Mois],AM$33),IF(ca_mesure="RAM",SUMIFS(TblCalculs[RAM provisionnée],TblCalculs[Cluster],$B71,TblCalculs[Mois],AM$33),SUMIFS(TblCalculs[Workers],TblCalculs[Cluster],$B71,TblCalculs[Mois],AM$33))))</f>
        <v/>
      </c>
      <c r="AN71" s="40" t="str">
        <f>IF(OR($A71="",AN$33=""),"",IF(ca_mesure="CPU",SUMIFS(TblCalculs[CPU provisionné],TblCalculs[Cluster],$B71,TblCalculs[Mois],AN$33),IF(ca_mesure="RAM",SUMIFS(TblCalculs[RAM provisionnée],TblCalculs[Cluster],$B71,TblCalculs[Mois],AN$33),SUMIFS(TblCalculs[Workers],TblCalculs[Cluster],$B71,TblCalculs[Mois],AN$33))))</f>
        <v/>
      </c>
      <c r="AO71" s="40" t="str">
        <f>IF(OR($A71="",AO$33=""),"",IF(ca_mesure="CPU",SUMIFS(TblCalculs[CPU provisionné],TblCalculs[Cluster],$B71,TblCalculs[Mois],AO$33),IF(ca_mesure="RAM",SUMIFS(TblCalculs[RAM provisionnée],TblCalculs[Cluster],$B71,TblCalculs[Mois],AO$33),SUMIFS(TblCalculs[Workers],TblCalculs[Cluster],$B71,TblCalculs[Mois],AO$33))))</f>
        <v/>
      </c>
    </row>
    <row r="72" spans="1:41" x14ac:dyDescent="0.2">
      <c r="A72" s="37" t="str">
        <f>IFERROR(MATCH(39,TblClusters[Rang capacités],0),"")</f>
        <v/>
      </c>
      <c r="B72" s="44" t="str">
        <f>IF($A72="","",INDEX(TblClusters[Cluster],$A72))</f>
        <v/>
      </c>
      <c r="C72" s="45" t="str">
        <f>IF($A72="","",INDEX(TblClusters[Plateforme],$A72))</f>
        <v/>
      </c>
      <c r="D72" s="45" t="str">
        <f>IF($A72="","",INDEX(TblClusters[Environnement],$A72))</f>
        <v/>
      </c>
      <c r="E72" s="45" t="str">
        <f>IF($A72="","",INDEX(TblClusters[Flavor],$A72))</f>
        <v/>
      </c>
      <c r="F72" s="46" t="str">
        <f>IF(OR($A72="",F$33=""),"",IF(ca_mesure="CPU",SUMIFS(TblCalculs[CPU provisionné],TblCalculs[Cluster],$B72,TblCalculs[Mois],F$33),IF(ca_mesure="RAM",SUMIFS(TblCalculs[RAM provisionnée],TblCalculs[Cluster],$B72,TblCalculs[Mois],F$33),SUMIFS(TblCalculs[Workers],TblCalculs[Cluster],$B72,TblCalculs[Mois],F$33))))</f>
        <v/>
      </c>
      <c r="G72" s="46" t="str">
        <f>IF(OR($A72="",G$33=""),"",IF(ca_mesure="CPU",SUMIFS(TblCalculs[CPU provisionné],TblCalculs[Cluster],$B72,TblCalculs[Mois],G$33),IF(ca_mesure="RAM",SUMIFS(TblCalculs[RAM provisionnée],TblCalculs[Cluster],$B72,TblCalculs[Mois],G$33),SUMIFS(TblCalculs[Workers],TblCalculs[Cluster],$B72,TblCalculs[Mois],G$33))))</f>
        <v/>
      </c>
      <c r="H72" s="46" t="str">
        <f>IF(OR($A72="",H$33=""),"",IF(ca_mesure="CPU",SUMIFS(TblCalculs[CPU provisionné],TblCalculs[Cluster],$B72,TblCalculs[Mois],H$33),IF(ca_mesure="RAM",SUMIFS(TblCalculs[RAM provisionnée],TblCalculs[Cluster],$B72,TblCalculs[Mois],H$33),SUMIFS(TblCalculs[Workers],TblCalculs[Cluster],$B72,TblCalculs[Mois],H$33))))</f>
        <v/>
      </c>
      <c r="I72" s="40" t="str">
        <f>IF(OR($A72="",I$33=""),"",IF(ca_mesure="CPU",SUMIFS(TblCalculs[CPU provisionné],TblCalculs[Cluster],$B72,TblCalculs[Mois],I$33),IF(ca_mesure="RAM",SUMIFS(TblCalculs[RAM provisionnée],TblCalculs[Cluster],$B72,TblCalculs[Mois],I$33),SUMIFS(TblCalculs[Workers],TblCalculs[Cluster],$B72,TblCalculs[Mois],I$33))))</f>
        <v/>
      </c>
      <c r="J72" s="40" t="str">
        <f>IF(OR($A72="",J$33=""),"",IF(ca_mesure="CPU",SUMIFS(TblCalculs[CPU provisionné],TblCalculs[Cluster],$B72,TblCalculs[Mois],J$33),IF(ca_mesure="RAM",SUMIFS(TblCalculs[RAM provisionnée],TblCalculs[Cluster],$B72,TblCalculs[Mois],J$33),SUMIFS(TblCalculs[Workers],TblCalculs[Cluster],$B72,TblCalculs[Mois],J$33))))</f>
        <v/>
      </c>
      <c r="K72" s="40" t="str">
        <f>IF(OR($A72="",K$33=""),"",IF(ca_mesure="CPU",SUMIFS(TblCalculs[CPU provisionné],TblCalculs[Cluster],$B72,TblCalculs[Mois],K$33),IF(ca_mesure="RAM",SUMIFS(TblCalculs[RAM provisionnée],TblCalculs[Cluster],$B72,TblCalculs[Mois],K$33),SUMIFS(TblCalculs[Workers],TblCalculs[Cluster],$B72,TblCalculs[Mois],K$33))))</f>
        <v/>
      </c>
      <c r="L72" s="40" t="str">
        <f>IF(OR($A72="",L$33=""),"",IF(ca_mesure="CPU",SUMIFS(TblCalculs[CPU provisionné],TblCalculs[Cluster],$B72,TblCalculs[Mois],L$33),IF(ca_mesure="RAM",SUMIFS(TblCalculs[RAM provisionnée],TblCalculs[Cluster],$B72,TblCalculs[Mois],L$33),SUMIFS(TblCalculs[Workers],TblCalculs[Cluster],$B72,TblCalculs[Mois],L$33))))</f>
        <v/>
      </c>
      <c r="M72" s="40" t="str">
        <f>IF(OR($A72="",M$33=""),"",IF(ca_mesure="CPU",SUMIFS(TblCalculs[CPU provisionné],TblCalculs[Cluster],$B72,TblCalculs[Mois],M$33),IF(ca_mesure="RAM",SUMIFS(TblCalculs[RAM provisionnée],TblCalculs[Cluster],$B72,TblCalculs[Mois],M$33),SUMIFS(TblCalculs[Workers],TblCalculs[Cluster],$B72,TblCalculs[Mois],M$33))))</f>
        <v/>
      </c>
      <c r="N72" s="40" t="str">
        <f>IF(OR($A72="",N$33=""),"",IF(ca_mesure="CPU",SUMIFS(TblCalculs[CPU provisionné],TblCalculs[Cluster],$B72,TblCalculs[Mois],N$33),IF(ca_mesure="RAM",SUMIFS(TblCalculs[RAM provisionnée],TblCalculs[Cluster],$B72,TblCalculs[Mois],N$33),SUMIFS(TblCalculs[Workers],TblCalculs[Cluster],$B72,TblCalculs[Mois],N$33))))</f>
        <v/>
      </c>
      <c r="O72" s="40" t="str">
        <f>IF(OR($A72="",O$33=""),"",IF(ca_mesure="CPU",SUMIFS(TblCalculs[CPU provisionné],TblCalculs[Cluster],$B72,TblCalculs[Mois],O$33),IF(ca_mesure="RAM",SUMIFS(TblCalculs[RAM provisionnée],TblCalculs[Cluster],$B72,TblCalculs[Mois],O$33),SUMIFS(TblCalculs[Workers],TblCalculs[Cluster],$B72,TblCalculs[Mois],O$33))))</f>
        <v/>
      </c>
      <c r="P72" s="40" t="str">
        <f>IF(OR($A72="",P$33=""),"",IF(ca_mesure="CPU",SUMIFS(TblCalculs[CPU provisionné],TblCalculs[Cluster],$B72,TblCalculs[Mois],P$33),IF(ca_mesure="RAM",SUMIFS(TblCalculs[RAM provisionnée],TblCalculs[Cluster],$B72,TblCalculs[Mois],P$33),SUMIFS(TblCalculs[Workers],TblCalculs[Cluster],$B72,TblCalculs[Mois],P$33))))</f>
        <v/>
      </c>
      <c r="Q72" s="40" t="str">
        <f>IF(OR($A72="",Q$33=""),"",IF(ca_mesure="CPU",SUMIFS(TblCalculs[CPU provisionné],TblCalculs[Cluster],$B72,TblCalculs[Mois],Q$33),IF(ca_mesure="RAM",SUMIFS(TblCalculs[RAM provisionnée],TblCalculs[Cluster],$B72,TblCalculs[Mois],Q$33),SUMIFS(TblCalculs[Workers],TblCalculs[Cluster],$B72,TblCalculs[Mois],Q$33))))</f>
        <v/>
      </c>
      <c r="R72" s="40" t="str">
        <f>IF(OR($A72="",R$33=""),"",IF(ca_mesure="CPU",SUMIFS(TblCalculs[CPU provisionné],TblCalculs[Cluster],$B72,TblCalculs[Mois],R$33),IF(ca_mesure="RAM",SUMIFS(TblCalculs[RAM provisionnée],TblCalculs[Cluster],$B72,TblCalculs[Mois],R$33),SUMIFS(TblCalculs[Workers],TblCalculs[Cluster],$B72,TblCalculs[Mois],R$33))))</f>
        <v/>
      </c>
      <c r="S72" s="40" t="str">
        <f>IF(OR($A72="",S$33=""),"",IF(ca_mesure="CPU",SUMIFS(TblCalculs[CPU provisionné],TblCalculs[Cluster],$B72,TblCalculs[Mois],S$33),IF(ca_mesure="RAM",SUMIFS(TblCalculs[RAM provisionnée],TblCalculs[Cluster],$B72,TblCalculs[Mois],S$33),SUMIFS(TblCalculs[Workers],TblCalculs[Cluster],$B72,TblCalculs[Mois],S$33))))</f>
        <v/>
      </c>
      <c r="T72" s="40" t="str">
        <f>IF(OR($A72="",T$33=""),"",IF(ca_mesure="CPU",SUMIFS(TblCalculs[CPU provisionné],TblCalculs[Cluster],$B72,TblCalculs[Mois],T$33),IF(ca_mesure="RAM",SUMIFS(TblCalculs[RAM provisionnée],TblCalculs[Cluster],$B72,TblCalculs[Mois],T$33),SUMIFS(TblCalculs[Workers],TblCalculs[Cluster],$B72,TblCalculs[Mois],T$33))))</f>
        <v/>
      </c>
      <c r="U72" s="40" t="str">
        <f>IF(OR($A72="",U$33=""),"",IF(ca_mesure="CPU",SUMIFS(TblCalculs[CPU provisionné],TblCalculs[Cluster],$B72,TblCalculs[Mois],U$33),IF(ca_mesure="RAM",SUMIFS(TblCalculs[RAM provisionnée],TblCalculs[Cluster],$B72,TblCalculs[Mois],U$33),SUMIFS(TblCalculs[Workers],TblCalculs[Cluster],$B72,TblCalculs[Mois],U$33))))</f>
        <v/>
      </c>
      <c r="V72" s="40" t="str">
        <f>IF(OR($A72="",V$33=""),"",IF(ca_mesure="CPU",SUMIFS(TblCalculs[CPU provisionné],TblCalculs[Cluster],$B72,TblCalculs[Mois],V$33),IF(ca_mesure="RAM",SUMIFS(TblCalculs[RAM provisionnée],TblCalculs[Cluster],$B72,TblCalculs[Mois],V$33),SUMIFS(TblCalculs[Workers],TblCalculs[Cluster],$B72,TblCalculs[Mois],V$33))))</f>
        <v/>
      </c>
      <c r="W72" s="40" t="str">
        <f>IF(OR($A72="",W$33=""),"",IF(ca_mesure="CPU",SUMIFS(TblCalculs[CPU provisionné],TblCalculs[Cluster],$B72,TblCalculs[Mois],W$33),IF(ca_mesure="RAM",SUMIFS(TblCalculs[RAM provisionnée],TblCalculs[Cluster],$B72,TblCalculs[Mois],W$33),SUMIFS(TblCalculs[Workers],TblCalculs[Cluster],$B72,TblCalculs[Mois],W$33))))</f>
        <v/>
      </c>
      <c r="X72" s="40" t="str">
        <f>IF(OR($A72="",X$33=""),"",IF(ca_mesure="CPU",SUMIFS(TblCalculs[CPU provisionné],TblCalculs[Cluster],$B72,TblCalculs[Mois],X$33),IF(ca_mesure="RAM",SUMIFS(TblCalculs[RAM provisionnée],TblCalculs[Cluster],$B72,TblCalculs[Mois],X$33),SUMIFS(TblCalculs[Workers],TblCalculs[Cluster],$B72,TblCalculs[Mois],X$33))))</f>
        <v/>
      </c>
      <c r="Y72" s="40" t="str">
        <f>IF(OR($A72="",Y$33=""),"",IF(ca_mesure="CPU",SUMIFS(TblCalculs[CPU provisionné],TblCalculs[Cluster],$B72,TblCalculs[Mois],Y$33),IF(ca_mesure="RAM",SUMIFS(TblCalculs[RAM provisionnée],TblCalculs[Cluster],$B72,TblCalculs[Mois],Y$33),SUMIFS(TblCalculs[Workers],TblCalculs[Cluster],$B72,TblCalculs[Mois],Y$33))))</f>
        <v/>
      </c>
      <c r="Z72" s="40" t="str">
        <f>IF(OR($A72="",Z$33=""),"",IF(ca_mesure="CPU",SUMIFS(TblCalculs[CPU provisionné],TblCalculs[Cluster],$B72,TblCalculs[Mois],Z$33),IF(ca_mesure="RAM",SUMIFS(TblCalculs[RAM provisionnée],TblCalculs[Cluster],$B72,TblCalculs[Mois],Z$33),SUMIFS(TblCalculs[Workers],TblCalculs[Cluster],$B72,TblCalculs[Mois],Z$33))))</f>
        <v/>
      </c>
      <c r="AA72" s="40" t="str">
        <f>IF(OR($A72="",AA$33=""),"",IF(ca_mesure="CPU",SUMIFS(TblCalculs[CPU provisionné],TblCalculs[Cluster],$B72,TblCalculs[Mois],AA$33),IF(ca_mesure="RAM",SUMIFS(TblCalculs[RAM provisionnée],TblCalculs[Cluster],$B72,TblCalculs[Mois],AA$33),SUMIFS(TblCalculs[Workers],TblCalculs[Cluster],$B72,TblCalculs[Mois],AA$33))))</f>
        <v/>
      </c>
      <c r="AB72" s="40" t="str">
        <f>IF(OR($A72="",AB$33=""),"",IF(ca_mesure="CPU",SUMIFS(TblCalculs[CPU provisionné],TblCalculs[Cluster],$B72,TblCalculs[Mois],AB$33),IF(ca_mesure="RAM",SUMIFS(TblCalculs[RAM provisionnée],TblCalculs[Cluster],$B72,TblCalculs[Mois],AB$33),SUMIFS(TblCalculs[Workers],TblCalculs[Cluster],$B72,TblCalculs[Mois],AB$33))))</f>
        <v/>
      </c>
      <c r="AC72" s="40" t="str">
        <f>IF(OR($A72="",AC$33=""),"",IF(ca_mesure="CPU",SUMIFS(TblCalculs[CPU provisionné],TblCalculs[Cluster],$B72,TblCalculs[Mois],AC$33),IF(ca_mesure="RAM",SUMIFS(TblCalculs[RAM provisionnée],TblCalculs[Cluster],$B72,TblCalculs[Mois],AC$33),SUMIFS(TblCalculs[Workers],TblCalculs[Cluster],$B72,TblCalculs[Mois],AC$33))))</f>
        <v/>
      </c>
      <c r="AD72" s="40" t="str">
        <f>IF(OR($A72="",AD$33=""),"",IF(ca_mesure="CPU",SUMIFS(TblCalculs[CPU provisionné],TblCalculs[Cluster],$B72,TblCalculs[Mois],AD$33),IF(ca_mesure="RAM",SUMIFS(TblCalculs[RAM provisionnée],TblCalculs[Cluster],$B72,TblCalculs[Mois],AD$33),SUMIFS(TblCalculs[Workers],TblCalculs[Cluster],$B72,TblCalculs[Mois],AD$33))))</f>
        <v/>
      </c>
      <c r="AE72" s="40" t="str">
        <f>IF(OR($A72="",AE$33=""),"",IF(ca_mesure="CPU",SUMIFS(TblCalculs[CPU provisionné],TblCalculs[Cluster],$B72,TblCalculs[Mois],AE$33),IF(ca_mesure="RAM",SUMIFS(TblCalculs[RAM provisionnée],TblCalculs[Cluster],$B72,TblCalculs[Mois],AE$33),SUMIFS(TblCalculs[Workers],TblCalculs[Cluster],$B72,TblCalculs[Mois],AE$33))))</f>
        <v/>
      </c>
      <c r="AF72" s="40" t="str">
        <f>IF(OR($A72="",AF$33=""),"",IF(ca_mesure="CPU",SUMIFS(TblCalculs[CPU provisionné],TblCalculs[Cluster],$B72,TblCalculs[Mois],AF$33),IF(ca_mesure="RAM",SUMIFS(TblCalculs[RAM provisionnée],TblCalculs[Cluster],$B72,TblCalculs[Mois],AF$33),SUMIFS(TblCalculs[Workers],TblCalculs[Cluster],$B72,TblCalculs[Mois],AF$33))))</f>
        <v/>
      </c>
      <c r="AG72" s="40" t="str">
        <f>IF(OR($A72="",AG$33=""),"",IF(ca_mesure="CPU",SUMIFS(TblCalculs[CPU provisionné],TblCalculs[Cluster],$B72,TblCalculs[Mois],AG$33),IF(ca_mesure="RAM",SUMIFS(TblCalculs[RAM provisionnée],TblCalculs[Cluster],$B72,TblCalculs[Mois],AG$33),SUMIFS(TblCalculs[Workers],TblCalculs[Cluster],$B72,TblCalculs[Mois],AG$33))))</f>
        <v/>
      </c>
      <c r="AH72" s="40" t="str">
        <f>IF(OR($A72="",AH$33=""),"",IF(ca_mesure="CPU",SUMIFS(TblCalculs[CPU provisionné],TblCalculs[Cluster],$B72,TblCalculs[Mois],AH$33),IF(ca_mesure="RAM",SUMIFS(TblCalculs[RAM provisionnée],TblCalculs[Cluster],$B72,TblCalculs[Mois],AH$33),SUMIFS(TblCalculs[Workers],TblCalculs[Cluster],$B72,TblCalculs[Mois],AH$33))))</f>
        <v/>
      </c>
      <c r="AI72" s="40" t="str">
        <f>IF(OR($A72="",AI$33=""),"",IF(ca_mesure="CPU",SUMIFS(TblCalculs[CPU provisionné],TblCalculs[Cluster],$B72,TblCalculs[Mois],AI$33),IF(ca_mesure="RAM",SUMIFS(TblCalculs[RAM provisionnée],TblCalculs[Cluster],$B72,TblCalculs[Mois],AI$33),SUMIFS(TblCalculs[Workers],TblCalculs[Cluster],$B72,TblCalculs[Mois],AI$33))))</f>
        <v/>
      </c>
      <c r="AJ72" s="40" t="str">
        <f>IF(OR($A72="",AJ$33=""),"",IF(ca_mesure="CPU",SUMIFS(TblCalculs[CPU provisionné],TblCalculs[Cluster],$B72,TblCalculs[Mois],AJ$33),IF(ca_mesure="RAM",SUMIFS(TblCalculs[RAM provisionnée],TblCalculs[Cluster],$B72,TblCalculs[Mois],AJ$33),SUMIFS(TblCalculs[Workers],TblCalculs[Cluster],$B72,TblCalculs[Mois],AJ$33))))</f>
        <v/>
      </c>
      <c r="AK72" s="40" t="str">
        <f>IF(OR($A72="",AK$33=""),"",IF(ca_mesure="CPU",SUMIFS(TblCalculs[CPU provisionné],TblCalculs[Cluster],$B72,TblCalculs[Mois],AK$33),IF(ca_mesure="RAM",SUMIFS(TblCalculs[RAM provisionnée],TblCalculs[Cluster],$B72,TblCalculs[Mois],AK$33),SUMIFS(TblCalculs[Workers],TblCalculs[Cluster],$B72,TblCalculs[Mois],AK$33))))</f>
        <v/>
      </c>
      <c r="AL72" s="40" t="str">
        <f>IF(OR($A72="",AL$33=""),"",IF(ca_mesure="CPU",SUMIFS(TblCalculs[CPU provisionné],TblCalculs[Cluster],$B72,TblCalculs[Mois],AL$33),IF(ca_mesure="RAM",SUMIFS(TblCalculs[RAM provisionnée],TblCalculs[Cluster],$B72,TblCalculs[Mois],AL$33),SUMIFS(TblCalculs[Workers],TblCalculs[Cluster],$B72,TblCalculs[Mois],AL$33))))</f>
        <v/>
      </c>
      <c r="AM72" s="40" t="str">
        <f>IF(OR($A72="",AM$33=""),"",IF(ca_mesure="CPU",SUMIFS(TblCalculs[CPU provisionné],TblCalculs[Cluster],$B72,TblCalculs[Mois],AM$33),IF(ca_mesure="RAM",SUMIFS(TblCalculs[RAM provisionnée],TblCalculs[Cluster],$B72,TblCalculs[Mois],AM$33),SUMIFS(TblCalculs[Workers],TblCalculs[Cluster],$B72,TblCalculs[Mois],AM$33))))</f>
        <v/>
      </c>
      <c r="AN72" s="40" t="str">
        <f>IF(OR($A72="",AN$33=""),"",IF(ca_mesure="CPU",SUMIFS(TblCalculs[CPU provisionné],TblCalculs[Cluster],$B72,TblCalculs[Mois],AN$33),IF(ca_mesure="RAM",SUMIFS(TblCalculs[RAM provisionnée],TblCalculs[Cluster],$B72,TblCalculs[Mois],AN$33),SUMIFS(TblCalculs[Workers],TblCalculs[Cluster],$B72,TblCalculs[Mois],AN$33))))</f>
        <v/>
      </c>
      <c r="AO72" s="40" t="str">
        <f>IF(OR($A72="",AO$33=""),"",IF(ca_mesure="CPU",SUMIFS(TblCalculs[CPU provisionné],TblCalculs[Cluster],$B72,TblCalculs[Mois],AO$33),IF(ca_mesure="RAM",SUMIFS(TblCalculs[RAM provisionnée],TblCalculs[Cluster],$B72,TblCalculs[Mois],AO$33),SUMIFS(TblCalculs[Workers],TblCalculs[Cluster],$B72,TblCalculs[Mois],AO$33))))</f>
        <v/>
      </c>
    </row>
    <row r="73" spans="1:41" x14ac:dyDescent="0.2">
      <c r="A73" s="37" t="str">
        <f>IFERROR(MATCH(40,TblClusters[Rang capacités],0),"")</f>
        <v/>
      </c>
      <c r="B73" s="44" t="str">
        <f>IF($A73="","",INDEX(TblClusters[Cluster],$A73))</f>
        <v/>
      </c>
      <c r="C73" s="45" t="str">
        <f>IF($A73="","",INDEX(TblClusters[Plateforme],$A73))</f>
        <v/>
      </c>
      <c r="D73" s="45" t="str">
        <f>IF($A73="","",INDEX(TblClusters[Environnement],$A73))</f>
        <v/>
      </c>
      <c r="E73" s="45" t="str">
        <f>IF($A73="","",INDEX(TblClusters[Flavor],$A73))</f>
        <v/>
      </c>
      <c r="F73" s="46" t="str">
        <f>IF(OR($A73="",F$33=""),"",IF(ca_mesure="CPU",SUMIFS(TblCalculs[CPU provisionné],TblCalculs[Cluster],$B73,TblCalculs[Mois],F$33),IF(ca_mesure="RAM",SUMIFS(TblCalculs[RAM provisionnée],TblCalculs[Cluster],$B73,TblCalculs[Mois],F$33),SUMIFS(TblCalculs[Workers],TblCalculs[Cluster],$B73,TblCalculs[Mois],F$33))))</f>
        <v/>
      </c>
      <c r="G73" s="46" t="str">
        <f>IF(OR($A73="",G$33=""),"",IF(ca_mesure="CPU",SUMIFS(TblCalculs[CPU provisionné],TblCalculs[Cluster],$B73,TblCalculs[Mois],G$33),IF(ca_mesure="RAM",SUMIFS(TblCalculs[RAM provisionnée],TblCalculs[Cluster],$B73,TblCalculs[Mois],G$33),SUMIFS(TblCalculs[Workers],TblCalculs[Cluster],$B73,TblCalculs[Mois],G$33))))</f>
        <v/>
      </c>
      <c r="H73" s="46" t="str">
        <f>IF(OR($A73="",H$33=""),"",IF(ca_mesure="CPU",SUMIFS(TblCalculs[CPU provisionné],TblCalculs[Cluster],$B73,TblCalculs[Mois],H$33),IF(ca_mesure="RAM",SUMIFS(TblCalculs[RAM provisionnée],TblCalculs[Cluster],$B73,TblCalculs[Mois],H$33),SUMIFS(TblCalculs[Workers],TblCalculs[Cluster],$B73,TblCalculs[Mois],H$33))))</f>
        <v/>
      </c>
      <c r="I73" s="40" t="str">
        <f>IF(OR($A73="",I$33=""),"",IF(ca_mesure="CPU",SUMIFS(TblCalculs[CPU provisionné],TblCalculs[Cluster],$B73,TblCalculs[Mois],I$33),IF(ca_mesure="RAM",SUMIFS(TblCalculs[RAM provisionnée],TblCalculs[Cluster],$B73,TblCalculs[Mois],I$33),SUMIFS(TblCalculs[Workers],TblCalculs[Cluster],$B73,TblCalculs[Mois],I$33))))</f>
        <v/>
      </c>
      <c r="J73" s="40" t="str">
        <f>IF(OR($A73="",J$33=""),"",IF(ca_mesure="CPU",SUMIFS(TblCalculs[CPU provisionné],TblCalculs[Cluster],$B73,TblCalculs[Mois],J$33),IF(ca_mesure="RAM",SUMIFS(TblCalculs[RAM provisionnée],TblCalculs[Cluster],$B73,TblCalculs[Mois],J$33),SUMIFS(TblCalculs[Workers],TblCalculs[Cluster],$B73,TblCalculs[Mois],J$33))))</f>
        <v/>
      </c>
      <c r="K73" s="40" t="str">
        <f>IF(OR($A73="",K$33=""),"",IF(ca_mesure="CPU",SUMIFS(TblCalculs[CPU provisionné],TblCalculs[Cluster],$B73,TblCalculs[Mois],K$33),IF(ca_mesure="RAM",SUMIFS(TblCalculs[RAM provisionnée],TblCalculs[Cluster],$B73,TblCalculs[Mois],K$33),SUMIFS(TblCalculs[Workers],TblCalculs[Cluster],$B73,TblCalculs[Mois],K$33))))</f>
        <v/>
      </c>
      <c r="L73" s="40" t="str">
        <f>IF(OR($A73="",L$33=""),"",IF(ca_mesure="CPU",SUMIFS(TblCalculs[CPU provisionné],TblCalculs[Cluster],$B73,TblCalculs[Mois],L$33),IF(ca_mesure="RAM",SUMIFS(TblCalculs[RAM provisionnée],TblCalculs[Cluster],$B73,TblCalculs[Mois],L$33),SUMIFS(TblCalculs[Workers],TblCalculs[Cluster],$B73,TblCalculs[Mois],L$33))))</f>
        <v/>
      </c>
      <c r="M73" s="40" t="str">
        <f>IF(OR($A73="",M$33=""),"",IF(ca_mesure="CPU",SUMIFS(TblCalculs[CPU provisionné],TblCalculs[Cluster],$B73,TblCalculs[Mois],M$33),IF(ca_mesure="RAM",SUMIFS(TblCalculs[RAM provisionnée],TblCalculs[Cluster],$B73,TblCalculs[Mois],M$33),SUMIFS(TblCalculs[Workers],TblCalculs[Cluster],$B73,TblCalculs[Mois],M$33))))</f>
        <v/>
      </c>
      <c r="N73" s="40" t="str">
        <f>IF(OR($A73="",N$33=""),"",IF(ca_mesure="CPU",SUMIFS(TblCalculs[CPU provisionné],TblCalculs[Cluster],$B73,TblCalculs[Mois],N$33),IF(ca_mesure="RAM",SUMIFS(TblCalculs[RAM provisionnée],TblCalculs[Cluster],$B73,TblCalculs[Mois],N$33),SUMIFS(TblCalculs[Workers],TblCalculs[Cluster],$B73,TblCalculs[Mois],N$33))))</f>
        <v/>
      </c>
      <c r="O73" s="40" t="str">
        <f>IF(OR($A73="",O$33=""),"",IF(ca_mesure="CPU",SUMIFS(TblCalculs[CPU provisionné],TblCalculs[Cluster],$B73,TblCalculs[Mois],O$33),IF(ca_mesure="RAM",SUMIFS(TblCalculs[RAM provisionnée],TblCalculs[Cluster],$B73,TblCalculs[Mois],O$33),SUMIFS(TblCalculs[Workers],TblCalculs[Cluster],$B73,TblCalculs[Mois],O$33))))</f>
        <v/>
      </c>
      <c r="P73" s="40" t="str">
        <f>IF(OR($A73="",P$33=""),"",IF(ca_mesure="CPU",SUMIFS(TblCalculs[CPU provisionné],TblCalculs[Cluster],$B73,TblCalculs[Mois],P$33),IF(ca_mesure="RAM",SUMIFS(TblCalculs[RAM provisionnée],TblCalculs[Cluster],$B73,TblCalculs[Mois],P$33),SUMIFS(TblCalculs[Workers],TblCalculs[Cluster],$B73,TblCalculs[Mois],P$33))))</f>
        <v/>
      </c>
      <c r="Q73" s="40" t="str">
        <f>IF(OR($A73="",Q$33=""),"",IF(ca_mesure="CPU",SUMIFS(TblCalculs[CPU provisionné],TblCalculs[Cluster],$B73,TblCalculs[Mois],Q$33),IF(ca_mesure="RAM",SUMIFS(TblCalculs[RAM provisionnée],TblCalculs[Cluster],$B73,TblCalculs[Mois],Q$33),SUMIFS(TblCalculs[Workers],TblCalculs[Cluster],$B73,TblCalculs[Mois],Q$33))))</f>
        <v/>
      </c>
      <c r="R73" s="40" t="str">
        <f>IF(OR($A73="",R$33=""),"",IF(ca_mesure="CPU",SUMIFS(TblCalculs[CPU provisionné],TblCalculs[Cluster],$B73,TblCalculs[Mois],R$33),IF(ca_mesure="RAM",SUMIFS(TblCalculs[RAM provisionnée],TblCalculs[Cluster],$B73,TblCalculs[Mois],R$33),SUMIFS(TblCalculs[Workers],TblCalculs[Cluster],$B73,TblCalculs[Mois],R$33))))</f>
        <v/>
      </c>
      <c r="S73" s="40" t="str">
        <f>IF(OR($A73="",S$33=""),"",IF(ca_mesure="CPU",SUMIFS(TblCalculs[CPU provisionné],TblCalculs[Cluster],$B73,TblCalculs[Mois],S$33),IF(ca_mesure="RAM",SUMIFS(TblCalculs[RAM provisionnée],TblCalculs[Cluster],$B73,TblCalculs[Mois],S$33),SUMIFS(TblCalculs[Workers],TblCalculs[Cluster],$B73,TblCalculs[Mois],S$33))))</f>
        <v/>
      </c>
      <c r="T73" s="40" t="str">
        <f>IF(OR($A73="",T$33=""),"",IF(ca_mesure="CPU",SUMIFS(TblCalculs[CPU provisionné],TblCalculs[Cluster],$B73,TblCalculs[Mois],T$33),IF(ca_mesure="RAM",SUMIFS(TblCalculs[RAM provisionnée],TblCalculs[Cluster],$B73,TblCalculs[Mois],T$33),SUMIFS(TblCalculs[Workers],TblCalculs[Cluster],$B73,TblCalculs[Mois],T$33))))</f>
        <v/>
      </c>
      <c r="U73" s="40" t="str">
        <f>IF(OR($A73="",U$33=""),"",IF(ca_mesure="CPU",SUMIFS(TblCalculs[CPU provisionné],TblCalculs[Cluster],$B73,TblCalculs[Mois],U$33),IF(ca_mesure="RAM",SUMIFS(TblCalculs[RAM provisionnée],TblCalculs[Cluster],$B73,TblCalculs[Mois],U$33),SUMIFS(TblCalculs[Workers],TblCalculs[Cluster],$B73,TblCalculs[Mois],U$33))))</f>
        <v/>
      </c>
      <c r="V73" s="40" t="str">
        <f>IF(OR($A73="",V$33=""),"",IF(ca_mesure="CPU",SUMIFS(TblCalculs[CPU provisionné],TblCalculs[Cluster],$B73,TblCalculs[Mois],V$33),IF(ca_mesure="RAM",SUMIFS(TblCalculs[RAM provisionnée],TblCalculs[Cluster],$B73,TblCalculs[Mois],V$33),SUMIFS(TblCalculs[Workers],TblCalculs[Cluster],$B73,TblCalculs[Mois],V$33))))</f>
        <v/>
      </c>
      <c r="W73" s="40" t="str">
        <f>IF(OR($A73="",W$33=""),"",IF(ca_mesure="CPU",SUMIFS(TblCalculs[CPU provisionné],TblCalculs[Cluster],$B73,TblCalculs[Mois],W$33),IF(ca_mesure="RAM",SUMIFS(TblCalculs[RAM provisionnée],TblCalculs[Cluster],$B73,TblCalculs[Mois],W$33),SUMIFS(TblCalculs[Workers],TblCalculs[Cluster],$B73,TblCalculs[Mois],W$33))))</f>
        <v/>
      </c>
      <c r="X73" s="40" t="str">
        <f>IF(OR($A73="",X$33=""),"",IF(ca_mesure="CPU",SUMIFS(TblCalculs[CPU provisionné],TblCalculs[Cluster],$B73,TblCalculs[Mois],X$33),IF(ca_mesure="RAM",SUMIFS(TblCalculs[RAM provisionnée],TblCalculs[Cluster],$B73,TblCalculs[Mois],X$33),SUMIFS(TblCalculs[Workers],TblCalculs[Cluster],$B73,TblCalculs[Mois],X$33))))</f>
        <v/>
      </c>
      <c r="Y73" s="40" t="str">
        <f>IF(OR($A73="",Y$33=""),"",IF(ca_mesure="CPU",SUMIFS(TblCalculs[CPU provisionné],TblCalculs[Cluster],$B73,TblCalculs[Mois],Y$33),IF(ca_mesure="RAM",SUMIFS(TblCalculs[RAM provisionnée],TblCalculs[Cluster],$B73,TblCalculs[Mois],Y$33),SUMIFS(TblCalculs[Workers],TblCalculs[Cluster],$B73,TblCalculs[Mois],Y$33))))</f>
        <v/>
      </c>
      <c r="Z73" s="40" t="str">
        <f>IF(OR($A73="",Z$33=""),"",IF(ca_mesure="CPU",SUMIFS(TblCalculs[CPU provisionné],TblCalculs[Cluster],$B73,TblCalculs[Mois],Z$33),IF(ca_mesure="RAM",SUMIFS(TblCalculs[RAM provisionnée],TblCalculs[Cluster],$B73,TblCalculs[Mois],Z$33),SUMIFS(TblCalculs[Workers],TblCalculs[Cluster],$B73,TblCalculs[Mois],Z$33))))</f>
        <v/>
      </c>
      <c r="AA73" s="40" t="str">
        <f>IF(OR($A73="",AA$33=""),"",IF(ca_mesure="CPU",SUMIFS(TblCalculs[CPU provisionné],TblCalculs[Cluster],$B73,TblCalculs[Mois],AA$33),IF(ca_mesure="RAM",SUMIFS(TblCalculs[RAM provisionnée],TblCalculs[Cluster],$B73,TblCalculs[Mois],AA$33),SUMIFS(TblCalculs[Workers],TblCalculs[Cluster],$B73,TblCalculs[Mois],AA$33))))</f>
        <v/>
      </c>
      <c r="AB73" s="40" t="str">
        <f>IF(OR($A73="",AB$33=""),"",IF(ca_mesure="CPU",SUMIFS(TblCalculs[CPU provisionné],TblCalculs[Cluster],$B73,TblCalculs[Mois],AB$33),IF(ca_mesure="RAM",SUMIFS(TblCalculs[RAM provisionnée],TblCalculs[Cluster],$B73,TblCalculs[Mois],AB$33),SUMIFS(TblCalculs[Workers],TblCalculs[Cluster],$B73,TblCalculs[Mois],AB$33))))</f>
        <v/>
      </c>
      <c r="AC73" s="40" t="str">
        <f>IF(OR($A73="",AC$33=""),"",IF(ca_mesure="CPU",SUMIFS(TblCalculs[CPU provisionné],TblCalculs[Cluster],$B73,TblCalculs[Mois],AC$33),IF(ca_mesure="RAM",SUMIFS(TblCalculs[RAM provisionnée],TblCalculs[Cluster],$B73,TblCalculs[Mois],AC$33),SUMIFS(TblCalculs[Workers],TblCalculs[Cluster],$B73,TblCalculs[Mois],AC$33))))</f>
        <v/>
      </c>
      <c r="AD73" s="40" t="str">
        <f>IF(OR($A73="",AD$33=""),"",IF(ca_mesure="CPU",SUMIFS(TblCalculs[CPU provisionné],TblCalculs[Cluster],$B73,TblCalculs[Mois],AD$33),IF(ca_mesure="RAM",SUMIFS(TblCalculs[RAM provisionnée],TblCalculs[Cluster],$B73,TblCalculs[Mois],AD$33),SUMIFS(TblCalculs[Workers],TblCalculs[Cluster],$B73,TblCalculs[Mois],AD$33))))</f>
        <v/>
      </c>
      <c r="AE73" s="40" t="str">
        <f>IF(OR($A73="",AE$33=""),"",IF(ca_mesure="CPU",SUMIFS(TblCalculs[CPU provisionné],TblCalculs[Cluster],$B73,TblCalculs[Mois],AE$33),IF(ca_mesure="RAM",SUMIFS(TblCalculs[RAM provisionnée],TblCalculs[Cluster],$B73,TblCalculs[Mois],AE$33),SUMIFS(TblCalculs[Workers],TblCalculs[Cluster],$B73,TblCalculs[Mois],AE$33))))</f>
        <v/>
      </c>
      <c r="AF73" s="40" t="str">
        <f>IF(OR($A73="",AF$33=""),"",IF(ca_mesure="CPU",SUMIFS(TblCalculs[CPU provisionné],TblCalculs[Cluster],$B73,TblCalculs[Mois],AF$33),IF(ca_mesure="RAM",SUMIFS(TblCalculs[RAM provisionnée],TblCalculs[Cluster],$B73,TblCalculs[Mois],AF$33),SUMIFS(TblCalculs[Workers],TblCalculs[Cluster],$B73,TblCalculs[Mois],AF$33))))</f>
        <v/>
      </c>
      <c r="AG73" s="40" t="str">
        <f>IF(OR($A73="",AG$33=""),"",IF(ca_mesure="CPU",SUMIFS(TblCalculs[CPU provisionné],TblCalculs[Cluster],$B73,TblCalculs[Mois],AG$33),IF(ca_mesure="RAM",SUMIFS(TblCalculs[RAM provisionnée],TblCalculs[Cluster],$B73,TblCalculs[Mois],AG$33),SUMIFS(TblCalculs[Workers],TblCalculs[Cluster],$B73,TblCalculs[Mois],AG$33))))</f>
        <v/>
      </c>
      <c r="AH73" s="40" t="str">
        <f>IF(OR($A73="",AH$33=""),"",IF(ca_mesure="CPU",SUMIFS(TblCalculs[CPU provisionné],TblCalculs[Cluster],$B73,TblCalculs[Mois],AH$33),IF(ca_mesure="RAM",SUMIFS(TblCalculs[RAM provisionnée],TblCalculs[Cluster],$B73,TblCalculs[Mois],AH$33),SUMIFS(TblCalculs[Workers],TblCalculs[Cluster],$B73,TblCalculs[Mois],AH$33))))</f>
        <v/>
      </c>
      <c r="AI73" s="40" t="str">
        <f>IF(OR($A73="",AI$33=""),"",IF(ca_mesure="CPU",SUMIFS(TblCalculs[CPU provisionné],TblCalculs[Cluster],$B73,TblCalculs[Mois],AI$33),IF(ca_mesure="RAM",SUMIFS(TblCalculs[RAM provisionnée],TblCalculs[Cluster],$B73,TblCalculs[Mois],AI$33),SUMIFS(TblCalculs[Workers],TblCalculs[Cluster],$B73,TblCalculs[Mois],AI$33))))</f>
        <v/>
      </c>
      <c r="AJ73" s="40" t="str">
        <f>IF(OR($A73="",AJ$33=""),"",IF(ca_mesure="CPU",SUMIFS(TblCalculs[CPU provisionné],TblCalculs[Cluster],$B73,TblCalculs[Mois],AJ$33),IF(ca_mesure="RAM",SUMIFS(TblCalculs[RAM provisionnée],TblCalculs[Cluster],$B73,TblCalculs[Mois],AJ$33),SUMIFS(TblCalculs[Workers],TblCalculs[Cluster],$B73,TblCalculs[Mois],AJ$33))))</f>
        <v/>
      </c>
      <c r="AK73" s="40" t="str">
        <f>IF(OR($A73="",AK$33=""),"",IF(ca_mesure="CPU",SUMIFS(TblCalculs[CPU provisionné],TblCalculs[Cluster],$B73,TblCalculs[Mois],AK$33),IF(ca_mesure="RAM",SUMIFS(TblCalculs[RAM provisionnée],TblCalculs[Cluster],$B73,TblCalculs[Mois],AK$33),SUMIFS(TblCalculs[Workers],TblCalculs[Cluster],$B73,TblCalculs[Mois],AK$33))))</f>
        <v/>
      </c>
      <c r="AL73" s="40" t="str">
        <f>IF(OR($A73="",AL$33=""),"",IF(ca_mesure="CPU",SUMIFS(TblCalculs[CPU provisionné],TblCalculs[Cluster],$B73,TblCalculs[Mois],AL$33),IF(ca_mesure="RAM",SUMIFS(TblCalculs[RAM provisionnée],TblCalculs[Cluster],$B73,TblCalculs[Mois],AL$33),SUMIFS(TblCalculs[Workers],TblCalculs[Cluster],$B73,TblCalculs[Mois],AL$33))))</f>
        <v/>
      </c>
      <c r="AM73" s="40" t="str">
        <f>IF(OR($A73="",AM$33=""),"",IF(ca_mesure="CPU",SUMIFS(TblCalculs[CPU provisionné],TblCalculs[Cluster],$B73,TblCalculs[Mois],AM$33),IF(ca_mesure="RAM",SUMIFS(TblCalculs[RAM provisionnée],TblCalculs[Cluster],$B73,TblCalculs[Mois],AM$33),SUMIFS(TblCalculs[Workers],TblCalculs[Cluster],$B73,TblCalculs[Mois],AM$33))))</f>
        <v/>
      </c>
      <c r="AN73" s="40" t="str">
        <f>IF(OR($A73="",AN$33=""),"",IF(ca_mesure="CPU",SUMIFS(TblCalculs[CPU provisionné],TblCalculs[Cluster],$B73,TblCalculs[Mois],AN$33),IF(ca_mesure="RAM",SUMIFS(TblCalculs[RAM provisionnée],TblCalculs[Cluster],$B73,TblCalculs[Mois],AN$33),SUMIFS(TblCalculs[Workers],TblCalculs[Cluster],$B73,TblCalculs[Mois],AN$33))))</f>
        <v/>
      </c>
      <c r="AO73" s="40" t="str">
        <f>IF(OR($A73="",AO$33=""),"",IF(ca_mesure="CPU",SUMIFS(TblCalculs[CPU provisionné],TblCalculs[Cluster],$B73,TblCalculs[Mois],AO$33),IF(ca_mesure="RAM",SUMIFS(TblCalculs[RAM provisionnée],TblCalculs[Cluster],$B73,TblCalculs[Mois],AO$33),SUMIFS(TblCalculs[Workers],TblCalculs[Cluster],$B73,TblCalculs[Mois],AO$33))))</f>
        <v/>
      </c>
    </row>
    <row r="74" spans="1:41" x14ac:dyDescent="0.2">
      <c r="B74" s="33">
        <f>IF(5&gt;p_horizon,"",EDATE(p_debut,4))</f>
        <v>46419</v>
      </c>
      <c r="C74" s="47">
        <f>IF(5&gt;p_horizon,"",SUMIFS(TblCalculs[CPU provisionné],TblCalculs[Mois],$B74,TblCalculs[Plateforme],"IKS",TblCalculs[Environnement],ca_envc))</f>
        <v>2304</v>
      </c>
      <c r="D74" s="47">
        <f>IF(5&gt;p_horizon,"",SUMIFS(TblCalculs[CPU provisionné],TblCalculs[Mois],$B74,TblCalculs[Plateforme],"ROKS",TblCalculs[Environnement],ca_envc))</f>
        <v>720</v>
      </c>
      <c r="E74" s="47">
        <f>IF(5&gt;p_horizon,"",SUMIFS(TblCalculs[RAM provisionnée],TblCalculs[Mois],$B74,TblCalculs[Plateforme],"IKS",TblCalculs[Environnement],ca_envc))</f>
        <v>14208</v>
      </c>
      <c r="F74" s="47">
        <f>IF(5&gt;p_horizon,"",SUMIFS(TblCalculs[RAM provisionnée],TblCalculs[Mois],$B74,TblCalculs[Plateforme],"ROKS",TblCalculs[Environnement],ca_envc))</f>
        <v>3120</v>
      </c>
      <c r="G74" s="47">
        <f>IF(5&gt;p_horizon,"",SUMIFS(TblCalculs[Workers],TblCalculs[Mois],$B74,TblCalculs[Plateforme],"IKS",TblCalculs[Environnement],ca_envc))</f>
        <v>69</v>
      </c>
      <c r="H74" s="47">
        <f>IF(5&gt;p_horizon,"",SUMIFS(TblCalculs[Workers],TblCalculs[Mois],$B74,TblCalculs[Plateforme],"ROKS",TblCalculs[Environnement],ca_envc))</f>
        <v>66</v>
      </c>
    </row>
    <row r="75" spans="1:41" x14ac:dyDescent="0.2">
      <c r="B75" s="33">
        <f>IF(6&gt;p_horizon,"",EDATE(p_debut,5))</f>
        <v>46447</v>
      </c>
      <c r="C75" s="47">
        <f>IF(6&gt;p_horizon,"",SUMIFS(TblCalculs[CPU provisionné],TblCalculs[Mois],$B75,TblCalculs[Plateforme],"IKS",TblCalculs[Environnement],ca_envc))</f>
        <v>2304</v>
      </c>
      <c r="D75" s="47">
        <f>IF(6&gt;p_horizon,"",SUMIFS(TblCalculs[CPU provisionné],TblCalculs[Mois],$B75,TblCalculs[Plateforme],"ROKS",TblCalculs[Environnement],ca_envc))</f>
        <v>720</v>
      </c>
      <c r="E75" s="47">
        <f>IF(6&gt;p_horizon,"",SUMIFS(TblCalculs[RAM provisionnée],TblCalculs[Mois],$B75,TblCalculs[Plateforme],"IKS",TblCalculs[Environnement],ca_envc))</f>
        <v>14208</v>
      </c>
      <c r="F75" s="47">
        <f>IF(6&gt;p_horizon,"",SUMIFS(TblCalculs[RAM provisionnée],TblCalculs[Mois],$B75,TblCalculs[Plateforme],"ROKS",TblCalculs[Environnement],ca_envc))</f>
        <v>3120</v>
      </c>
      <c r="G75" s="47">
        <f>IF(6&gt;p_horizon,"",SUMIFS(TblCalculs[Workers],TblCalculs[Mois],$B75,TblCalculs[Plateforme],"IKS",TblCalculs[Environnement],ca_envc))</f>
        <v>69</v>
      </c>
      <c r="H75" s="47">
        <f>IF(6&gt;p_horizon,"",SUMIFS(TblCalculs[Workers],TblCalculs[Mois],$B75,TblCalculs[Plateforme],"ROKS",TblCalculs[Environnement],ca_envc))</f>
        <v>66</v>
      </c>
    </row>
    <row r="76" spans="1:41" x14ac:dyDescent="0.2">
      <c r="B76" s="33">
        <f>IF(7&gt;p_horizon,"",EDATE(p_debut,6))</f>
        <v>46478</v>
      </c>
      <c r="C76" s="47">
        <f>IF(7&gt;p_horizon,"",SUMIFS(TblCalculs[CPU provisionné],TblCalculs[Mois],$B76,TblCalculs[Plateforme],"IKS",TblCalculs[Environnement],ca_envc))</f>
        <v>2304</v>
      </c>
      <c r="D76" s="47">
        <f>IF(7&gt;p_horizon,"",SUMIFS(TblCalculs[CPU provisionné],TblCalculs[Mois],$B76,TblCalculs[Plateforme],"ROKS",TblCalculs[Environnement],ca_envc))</f>
        <v>736</v>
      </c>
      <c r="E76" s="47">
        <f>IF(7&gt;p_horizon,"",SUMIFS(TblCalculs[RAM provisionnée],TblCalculs[Mois],$B76,TblCalculs[Plateforme],"IKS",TblCalculs[Environnement],ca_envc))</f>
        <v>14208</v>
      </c>
      <c r="F76" s="47">
        <f>IF(7&gt;p_horizon,"",SUMIFS(TblCalculs[RAM provisionnée],TblCalculs[Mois],$B76,TblCalculs[Plateforme],"ROKS",TblCalculs[Environnement],ca_envc))</f>
        <v>3200</v>
      </c>
      <c r="G76" s="47">
        <f>IF(7&gt;p_horizon,"",SUMIFS(TblCalculs[Workers],TblCalculs[Mois],$B76,TblCalculs[Plateforme],"IKS",TblCalculs[Environnement],ca_envc))</f>
        <v>69</v>
      </c>
      <c r="H76" s="47">
        <f>IF(7&gt;p_horizon,"",SUMIFS(TblCalculs[Workers],TblCalculs[Mois],$B76,TblCalculs[Plateforme],"ROKS",TblCalculs[Environnement],ca_envc))</f>
        <v>68</v>
      </c>
    </row>
    <row r="77" spans="1:41" x14ac:dyDescent="0.2">
      <c r="B77" s="33">
        <f>IF(8&gt;p_horizon,"",EDATE(p_debut,7))</f>
        <v>46508</v>
      </c>
      <c r="C77" s="47">
        <f>IF(8&gt;p_horizon,"",SUMIFS(TblCalculs[CPU provisionné],TblCalculs[Mois],$B77,TblCalculs[Plateforme],"IKS",TblCalculs[Environnement],ca_envc))</f>
        <v>2304</v>
      </c>
      <c r="D77" s="47">
        <f>IF(8&gt;p_horizon,"",SUMIFS(TblCalculs[CPU provisionné],TblCalculs[Mois],$B77,TblCalculs[Plateforme],"ROKS",TblCalculs[Environnement],ca_envc))</f>
        <v>736</v>
      </c>
      <c r="E77" s="47">
        <f>IF(8&gt;p_horizon,"",SUMIFS(TblCalculs[RAM provisionnée],TblCalculs[Mois],$B77,TblCalculs[Plateforme],"IKS",TblCalculs[Environnement],ca_envc))</f>
        <v>14208</v>
      </c>
      <c r="F77" s="47">
        <f>IF(8&gt;p_horizon,"",SUMIFS(TblCalculs[RAM provisionnée],TblCalculs[Mois],$B77,TblCalculs[Plateforme],"ROKS",TblCalculs[Environnement],ca_envc))</f>
        <v>3200</v>
      </c>
      <c r="G77" s="47">
        <f>IF(8&gt;p_horizon,"",SUMIFS(TblCalculs[Workers],TblCalculs[Mois],$B77,TblCalculs[Plateforme],"IKS",TblCalculs[Environnement],ca_envc))</f>
        <v>69</v>
      </c>
      <c r="H77" s="47">
        <f>IF(8&gt;p_horizon,"",SUMIFS(TblCalculs[Workers],TblCalculs[Mois],$B77,TblCalculs[Plateforme],"ROKS",TblCalculs[Environnement],ca_envc))</f>
        <v>68</v>
      </c>
    </row>
    <row r="78" spans="1:41" x14ac:dyDescent="0.2">
      <c r="B78" s="33">
        <f>IF(9&gt;p_horizon,"",EDATE(p_debut,8))</f>
        <v>46539</v>
      </c>
      <c r="C78" s="47">
        <f>IF(9&gt;p_horizon,"",SUMIFS(TblCalculs[CPU provisionné],TblCalculs[Mois],$B78,TblCalculs[Plateforme],"IKS",TblCalculs[Environnement],ca_envc))</f>
        <v>2144</v>
      </c>
      <c r="D78" s="47">
        <f>IF(9&gt;p_horizon,"",SUMIFS(TblCalculs[CPU provisionné],TblCalculs[Mois],$B78,TblCalculs[Plateforme],"ROKS",TblCalculs[Environnement],ca_envc))</f>
        <v>736</v>
      </c>
      <c r="E78" s="47">
        <f>IF(9&gt;p_horizon,"",SUMIFS(TblCalculs[RAM provisionnée],TblCalculs[Mois],$B78,TblCalculs[Plateforme],"IKS",TblCalculs[Environnement],ca_envc))</f>
        <v>13568</v>
      </c>
      <c r="F78" s="47">
        <f>IF(9&gt;p_horizon,"",SUMIFS(TblCalculs[RAM provisionnée],TblCalculs[Mois],$B78,TblCalculs[Plateforme],"ROKS",TblCalculs[Environnement],ca_envc))</f>
        <v>3200</v>
      </c>
      <c r="G78" s="47">
        <f>IF(9&gt;p_horizon,"",SUMIFS(TblCalculs[Workers],TblCalculs[Mois],$B78,TblCalculs[Plateforme],"IKS",TblCalculs[Environnement],ca_envc))</f>
        <v>64</v>
      </c>
      <c r="H78" s="47">
        <f>IF(9&gt;p_horizon,"",SUMIFS(TblCalculs[Workers],TblCalculs[Mois],$B78,TblCalculs[Plateforme],"ROKS",TblCalculs[Environnement],ca_envc))</f>
        <v>68</v>
      </c>
    </row>
    <row r="79" spans="1:41" x14ac:dyDescent="0.2">
      <c r="B79" s="33">
        <f>IF(10&gt;p_horizon,"",EDATE(p_debut,9))</f>
        <v>46569</v>
      </c>
      <c r="C79" s="47">
        <f>IF(10&gt;p_horizon,"",SUMIFS(TblCalculs[CPU provisionné],TblCalculs[Mois],$B79,TblCalculs[Plateforme],"IKS",TblCalculs[Environnement],ca_envc))</f>
        <v>2048</v>
      </c>
      <c r="D79" s="47">
        <f>IF(10&gt;p_horizon,"",SUMIFS(TblCalculs[CPU provisionné],TblCalculs[Mois],$B79,TblCalculs[Plateforme],"ROKS",TblCalculs[Environnement],ca_envc))</f>
        <v>736</v>
      </c>
      <c r="E79" s="47">
        <f>IF(10&gt;p_horizon,"",SUMIFS(TblCalculs[RAM provisionnée],TblCalculs[Mois],$B79,TblCalculs[Plateforme],"IKS",TblCalculs[Environnement],ca_envc))</f>
        <v>13184</v>
      </c>
      <c r="F79" s="47">
        <f>IF(10&gt;p_horizon,"",SUMIFS(TblCalculs[RAM provisionnée],TblCalculs[Mois],$B79,TblCalculs[Plateforme],"ROKS",TblCalculs[Environnement],ca_envc))</f>
        <v>3200</v>
      </c>
      <c r="G79" s="47">
        <f>IF(10&gt;p_horizon,"",SUMIFS(TblCalculs[Workers],TblCalculs[Mois],$B79,TblCalculs[Plateforme],"IKS",TblCalculs[Environnement],ca_envc))</f>
        <v>61</v>
      </c>
      <c r="H79" s="47">
        <f>IF(10&gt;p_horizon,"",SUMIFS(TblCalculs[Workers],TblCalculs[Mois],$B79,TblCalculs[Plateforme],"ROKS",TblCalculs[Environnement],ca_envc))</f>
        <v>68</v>
      </c>
    </row>
    <row r="80" spans="1:41" x14ac:dyDescent="0.2">
      <c r="B80" s="33">
        <f>IF(11&gt;p_horizon,"",EDATE(p_debut,10))</f>
        <v>46600</v>
      </c>
      <c r="C80" s="47">
        <f>IF(11&gt;p_horizon,"",SUMIFS(TblCalculs[CPU provisionné],TblCalculs[Mois],$B80,TblCalculs[Plateforme],"IKS",TblCalculs[Environnement],ca_envc))</f>
        <v>2048</v>
      </c>
      <c r="D80" s="47">
        <f>IF(11&gt;p_horizon,"",SUMIFS(TblCalculs[CPU provisionné],TblCalculs[Mois],$B80,TblCalculs[Plateforme],"ROKS",TblCalculs[Environnement],ca_envc))</f>
        <v>736</v>
      </c>
      <c r="E80" s="47">
        <f>IF(11&gt;p_horizon,"",SUMIFS(TblCalculs[RAM provisionnée],TblCalculs[Mois],$B80,TblCalculs[Plateforme],"IKS",TblCalculs[Environnement],ca_envc))</f>
        <v>13184</v>
      </c>
      <c r="F80" s="47">
        <f>IF(11&gt;p_horizon,"",SUMIFS(TblCalculs[RAM provisionnée],TblCalculs[Mois],$B80,TblCalculs[Plateforme],"ROKS",TblCalculs[Environnement],ca_envc))</f>
        <v>3200</v>
      </c>
      <c r="G80" s="47">
        <f>IF(11&gt;p_horizon,"",SUMIFS(TblCalculs[Workers],TblCalculs[Mois],$B80,TblCalculs[Plateforme],"IKS",TblCalculs[Environnement],ca_envc))</f>
        <v>61</v>
      </c>
      <c r="H80" s="47">
        <f>IF(11&gt;p_horizon,"",SUMIFS(TblCalculs[Workers],TblCalculs[Mois],$B80,TblCalculs[Plateforme],"ROKS",TblCalculs[Environnement],ca_envc))</f>
        <v>68</v>
      </c>
    </row>
    <row r="81" spans="2:8" x14ac:dyDescent="0.2">
      <c r="B81" s="33">
        <f>IF(12&gt;p_horizon,"",EDATE(p_debut,11))</f>
        <v>46631</v>
      </c>
      <c r="C81" s="47">
        <f>IF(12&gt;p_horizon,"",SUMIFS(TblCalculs[CPU provisionné],TblCalculs[Mois],$B81,TblCalculs[Plateforme],"IKS",TblCalculs[Environnement],ca_envc))</f>
        <v>2048</v>
      </c>
      <c r="D81" s="47">
        <f>IF(12&gt;p_horizon,"",SUMIFS(TblCalculs[CPU provisionné],TblCalculs[Mois],$B81,TblCalculs[Plateforme],"ROKS",TblCalculs[Environnement],ca_envc))</f>
        <v>736</v>
      </c>
      <c r="E81" s="47">
        <f>IF(12&gt;p_horizon,"",SUMIFS(TblCalculs[RAM provisionnée],TblCalculs[Mois],$B81,TblCalculs[Plateforme],"IKS",TblCalculs[Environnement],ca_envc))</f>
        <v>13184</v>
      </c>
      <c r="F81" s="47">
        <f>IF(12&gt;p_horizon,"",SUMIFS(TblCalculs[RAM provisionnée],TblCalculs[Mois],$B81,TblCalculs[Plateforme],"ROKS",TblCalculs[Environnement],ca_envc))</f>
        <v>3200</v>
      </c>
      <c r="G81" s="47">
        <f>IF(12&gt;p_horizon,"",SUMIFS(TblCalculs[Workers],TblCalculs[Mois],$B81,TblCalculs[Plateforme],"IKS",TblCalculs[Environnement],ca_envc))</f>
        <v>61</v>
      </c>
      <c r="H81" s="47">
        <f>IF(12&gt;p_horizon,"",SUMIFS(TblCalculs[Workers],TblCalculs[Mois],$B81,TblCalculs[Plateforme],"ROKS",TblCalculs[Environnement],ca_envc))</f>
        <v>68</v>
      </c>
    </row>
    <row r="82" spans="2:8" x14ac:dyDescent="0.2">
      <c r="B82" s="33">
        <f>IF(13&gt;p_horizon,"",EDATE(p_debut,12))</f>
        <v>46661</v>
      </c>
      <c r="C82" s="47">
        <f>IF(13&gt;p_horizon,"",SUMIFS(TblCalculs[CPU provisionné],TblCalculs[Mois],$B82,TblCalculs[Plateforme],"IKS",TblCalculs[Environnement],ca_envc))</f>
        <v>2048</v>
      </c>
      <c r="D82" s="47">
        <f>IF(13&gt;p_horizon,"",SUMIFS(TblCalculs[CPU provisionné],TblCalculs[Mois],$B82,TblCalculs[Plateforme],"ROKS",TblCalculs[Environnement],ca_envc))</f>
        <v>736</v>
      </c>
      <c r="E82" s="47">
        <f>IF(13&gt;p_horizon,"",SUMIFS(TblCalculs[RAM provisionnée],TblCalculs[Mois],$B82,TblCalculs[Plateforme],"IKS",TblCalculs[Environnement],ca_envc))</f>
        <v>13184</v>
      </c>
      <c r="F82" s="47">
        <f>IF(13&gt;p_horizon,"",SUMIFS(TblCalculs[RAM provisionnée],TblCalculs[Mois],$B82,TblCalculs[Plateforme],"ROKS",TblCalculs[Environnement],ca_envc))</f>
        <v>3200</v>
      </c>
      <c r="G82" s="47">
        <f>IF(13&gt;p_horizon,"",SUMIFS(TblCalculs[Workers],TblCalculs[Mois],$B82,TblCalculs[Plateforme],"IKS",TblCalculs[Environnement],ca_envc))</f>
        <v>61</v>
      </c>
      <c r="H82" s="47">
        <f>IF(13&gt;p_horizon,"",SUMIFS(TblCalculs[Workers],TblCalculs[Mois],$B82,TblCalculs[Plateforme],"ROKS",TblCalculs[Environnement],ca_envc))</f>
        <v>68</v>
      </c>
    </row>
    <row r="83" spans="2:8" x14ac:dyDescent="0.2">
      <c r="B83" s="33">
        <f>IF(14&gt;p_horizon,"",EDATE(p_debut,13))</f>
        <v>46692</v>
      </c>
      <c r="C83" s="47">
        <f>IF(14&gt;p_horizon,"",SUMIFS(TblCalculs[CPU provisionné],TblCalculs[Mois],$B83,TblCalculs[Plateforme],"IKS",TblCalculs[Environnement],ca_envc))</f>
        <v>2048</v>
      </c>
      <c r="D83" s="47">
        <f>IF(14&gt;p_horizon,"",SUMIFS(TblCalculs[CPU provisionné],TblCalculs[Mois],$B83,TblCalculs[Plateforme],"ROKS",TblCalculs[Environnement],ca_envc))</f>
        <v>736</v>
      </c>
      <c r="E83" s="47">
        <f>IF(14&gt;p_horizon,"",SUMIFS(TblCalculs[RAM provisionnée],TblCalculs[Mois],$B83,TblCalculs[Plateforme],"IKS",TblCalculs[Environnement],ca_envc))</f>
        <v>13184</v>
      </c>
      <c r="F83" s="47">
        <f>IF(14&gt;p_horizon,"",SUMIFS(TblCalculs[RAM provisionnée],TblCalculs[Mois],$B83,TblCalculs[Plateforme],"ROKS",TblCalculs[Environnement],ca_envc))</f>
        <v>3200</v>
      </c>
      <c r="G83" s="47">
        <f>IF(14&gt;p_horizon,"",SUMIFS(TblCalculs[Workers],TblCalculs[Mois],$B83,TblCalculs[Plateforme],"IKS",TblCalculs[Environnement],ca_envc))</f>
        <v>61</v>
      </c>
      <c r="H83" s="47">
        <f>IF(14&gt;p_horizon,"",SUMIFS(TblCalculs[Workers],TblCalculs[Mois],$B83,TblCalculs[Plateforme],"ROKS",TblCalculs[Environnement],ca_envc))</f>
        <v>68</v>
      </c>
    </row>
    <row r="84" spans="2:8" x14ac:dyDescent="0.2">
      <c r="B84" s="33">
        <f>IF(15&gt;p_horizon,"",EDATE(p_debut,14))</f>
        <v>46722</v>
      </c>
      <c r="C84" s="47">
        <f>IF(15&gt;p_horizon,"",SUMIFS(TblCalculs[CPU provisionné],TblCalculs[Mois],$B84,TblCalculs[Plateforme],"IKS",TblCalculs[Environnement],ca_envc))</f>
        <v>2048</v>
      </c>
      <c r="D84" s="47">
        <f>IF(15&gt;p_horizon,"",SUMIFS(TblCalculs[CPU provisionné],TblCalculs[Mois],$B84,TblCalculs[Plateforme],"ROKS",TblCalculs[Environnement],ca_envc))</f>
        <v>736</v>
      </c>
      <c r="E84" s="47">
        <f>IF(15&gt;p_horizon,"",SUMIFS(TblCalculs[RAM provisionnée],TblCalculs[Mois],$B84,TblCalculs[Plateforme],"IKS",TblCalculs[Environnement],ca_envc))</f>
        <v>13184</v>
      </c>
      <c r="F84" s="47">
        <f>IF(15&gt;p_horizon,"",SUMIFS(TblCalculs[RAM provisionnée],TblCalculs[Mois],$B84,TblCalculs[Plateforme],"ROKS",TblCalculs[Environnement],ca_envc))</f>
        <v>3200</v>
      </c>
      <c r="G84" s="47">
        <f>IF(15&gt;p_horizon,"",SUMIFS(TblCalculs[Workers],TblCalculs[Mois],$B84,TblCalculs[Plateforme],"IKS",TblCalculs[Environnement],ca_envc))</f>
        <v>61</v>
      </c>
      <c r="H84" s="47">
        <f>IF(15&gt;p_horizon,"",SUMIFS(TblCalculs[Workers],TblCalculs[Mois],$B84,TblCalculs[Plateforme],"ROKS",TblCalculs[Environnement],ca_envc))</f>
        <v>68</v>
      </c>
    </row>
    <row r="85" spans="2:8" x14ac:dyDescent="0.2">
      <c r="B85" s="33">
        <f>IF(16&gt;p_horizon,"",EDATE(p_debut,15))</f>
        <v>46753</v>
      </c>
      <c r="C85" s="47">
        <f>IF(16&gt;p_horizon,"",SUMIFS(TblCalculs[CPU provisionné],TblCalculs[Mois],$B85,TblCalculs[Plateforme],"IKS",TblCalculs[Environnement],ca_envc))</f>
        <v>2048</v>
      </c>
      <c r="D85" s="47">
        <f>IF(16&gt;p_horizon,"",SUMIFS(TblCalculs[CPU provisionné],TblCalculs[Mois],$B85,TblCalculs[Plateforme],"ROKS",TblCalculs[Environnement],ca_envc))</f>
        <v>752</v>
      </c>
      <c r="E85" s="47">
        <f>IF(16&gt;p_horizon,"",SUMIFS(TblCalculs[RAM provisionnée],TblCalculs[Mois],$B85,TblCalculs[Plateforme],"IKS",TblCalculs[Environnement],ca_envc))</f>
        <v>13184</v>
      </c>
      <c r="F85" s="47">
        <f>IF(16&gt;p_horizon,"",SUMIFS(TblCalculs[RAM provisionnée],TblCalculs[Mois],$B85,TblCalculs[Plateforme],"ROKS",TblCalculs[Environnement],ca_envc))</f>
        <v>3280</v>
      </c>
      <c r="G85" s="47">
        <f>IF(16&gt;p_horizon,"",SUMIFS(TblCalculs[Workers],TblCalculs[Mois],$B85,TblCalculs[Plateforme],"IKS",TblCalculs[Environnement],ca_envc))</f>
        <v>61</v>
      </c>
      <c r="H85" s="47">
        <f>IF(16&gt;p_horizon,"",SUMIFS(TblCalculs[Workers],TblCalculs[Mois],$B85,TblCalculs[Plateforme],"ROKS",TblCalculs[Environnement],ca_envc))</f>
        <v>70</v>
      </c>
    </row>
    <row r="86" spans="2:8" x14ac:dyDescent="0.2">
      <c r="B86" s="33">
        <f>IF(17&gt;p_horizon,"",EDATE(p_debut,16))</f>
        <v>46784</v>
      </c>
      <c r="C86" s="47">
        <f>IF(17&gt;p_horizon,"",SUMIFS(TblCalculs[CPU provisionné],TblCalculs[Mois],$B86,TblCalculs[Plateforme],"IKS",TblCalculs[Environnement],ca_envc))</f>
        <v>2048</v>
      </c>
      <c r="D86" s="47">
        <f>IF(17&gt;p_horizon,"",SUMIFS(TblCalculs[CPU provisionné],TblCalculs[Mois],$B86,TblCalculs[Plateforme],"ROKS",TblCalculs[Environnement],ca_envc))</f>
        <v>752</v>
      </c>
      <c r="E86" s="47">
        <f>IF(17&gt;p_horizon,"",SUMIFS(TblCalculs[RAM provisionnée],TblCalculs[Mois],$B86,TblCalculs[Plateforme],"IKS",TblCalculs[Environnement],ca_envc))</f>
        <v>13184</v>
      </c>
      <c r="F86" s="47">
        <f>IF(17&gt;p_horizon,"",SUMIFS(TblCalculs[RAM provisionnée],TblCalculs[Mois],$B86,TblCalculs[Plateforme],"ROKS",TblCalculs[Environnement],ca_envc))</f>
        <v>3280</v>
      </c>
      <c r="G86" s="47">
        <f>IF(17&gt;p_horizon,"",SUMIFS(TblCalculs[Workers],TblCalculs[Mois],$B86,TblCalculs[Plateforme],"IKS",TblCalculs[Environnement],ca_envc))</f>
        <v>61</v>
      </c>
      <c r="H86" s="47">
        <f>IF(17&gt;p_horizon,"",SUMIFS(TblCalculs[Workers],TblCalculs[Mois],$B86,TblCalculs[Plateforme],"ROKS",TblCalculs[Environnement],ca_envc))</f>
        <v>70</v>
      </c>
    </row>
    <row r="87" spans="2:8" x14ac:dyDescent="0.2">
      <c r="B87" s="33">
        <f>IF(18&gt;p_horizon,"",EDATE(p_debut,17))</f>
        <v>46813</v>
      </c>
      <c r="C87" s="47">
        <f>IF(18&gt;p_horizon,"",SUMIFS(TblCalculs[CPU provisionné],TblCalculs[Mois],$B87,TblCalculs[Plateforme],"IKS",TblCalculs[Environnement],ca_envc))</f>
        <v>1952</v>
      </c>
      <c r="D87" s="47">
        <f>IF(18&gt;p_horizon,"",SUMIFS(TblCalculs[CPU provisionné],TblCalculs[Mois],$B87,TblCalculs[Plateforme],"ROKS",TblCalculs[Environnement],ca_envc))</f>
        <v>752</v>
      </c>
      <c r="E87" s="47">
        <f>IF(18&gt;p_horizon,"",SUMIFS(TblCalculs[RAM provisionnée],TblCalculs[Mois],$B87,TblCalculs[Plateforme],"IKS",TblCalculs[Environnement],ca_envc))</f>
        <v>12800</v>
      </c>
      <c r="F87" s="47">
        <f>IF(18&gt;p_horizon,"",SUMIFS(TblCalculs[RAM provisionnée],TblCalculs[Mois],$B87,TblCalculs[Plateforme],"ROKS",TblCalculs[Environnement],ca_envc))</f>
        <v>3280</v>
      </c>
      <c r="G87" s="47">
        <f>IF(18&gt;p_horizon,"",SUMIFS(TblCalculs[Workers],TblCalculs[Mois],$B87,TblCalculs[Plateforme],"IKS",TblCalculs[Environnement],ca_envc))</f>
        <v>58</v>
      </c>
      <c r="H87" s="47">
        <f>IF(18&gt;p_horizon,"",SUMIFS(TblCalculs[Workers],TblCalculs[Mois],$B87,TblCalculs[Plateforme],"ROKS",TblCalculs[Environnement],ca_envc))</f>
        <v>70</v>
      </c>
    </row>
    <row r="88" spans="2:8" x14ac:dyDescent="0.2">
      <c r="B88" s="33">
        <f>IF(19&gt;p_horizon,"",EDATE(p_debut,18))</f>
        <v>46844</v>
      </c>
      <c r="C88" s="47">
        <f>IF(19&gt;p_horizon,"",SUMIFS(TblCalculs[CPU provisionné],TblCalculs[Mois],$B88,TblCalculs[Plateforme],"IKS",TblCalculs[Environnement],ca_envc))</f>
        <v>1952</v>
      </c>
      <c r="D88" s="47">
        <f>IF(19&gt;p_horizon,"",SUMIFS(TblCalculs[CPU provisionné],TblCalculs[Mois],$B88,TblCalculs[Plateforme],"ROKS",TblCalculs[Environnement],ca_envc))</f>
        <v>752</v>
      </c>
      <c r="E88" s="47">
        <f>IF(19&gt;p_horizon,"",SUMIFS(TblCalculs[RAM provisionnée],TblCalculs[Mois],$B88,TblCalculs[Plateforme],"IKS",TblCalculs[Environnement],ca_envc))</f>
        <v>12800</v>
      </c>
      <c r="F88" s="47">
        <f>IF(19&gt;p_horizon,"",SUMIFS(TblCalculs[RAM provisionnée],TblCalculs[Mois],$B88,TblCalculs[Plateforme],"ROKS",TblCalculs[Environnement],ca_envc))</f>
        <v>3280</v>
      </c>
      <c r="G88" s="47">
        <f>IF(19&gt;p_horizon,"",SUMIFS(TblCalculs[Workers],TblCalculs[Mois],$B88,TblCalculs[Plateforme],"IKS",TblCalculs[Environnement],ca_envc))</f>
        <v>58</v>
      </c>
      <c r="H88" s="47">
        <f>IF(19&gt;p_horizon,"",SUMIFS(TblCalculs[Workers],TblCalculs[Mois],$B88,TblCalculs[Plateforme],"ROKS",TblCalculs[Environnement],ca_envc))</f>
        <v>70</v>
      </c>
    </row>
    <row r="89" spans="2:8" x14ac:dyDescent="0.2">
      <c r="B89" s="33">
        <f>IF(20&gt;p_horizon,"",EDATE(p_debut,19))</f>
        <v>46874</v>
      </c>
      <c r="C89" s="47">
        <f>IF(20&gt;p_horizon,"",SUMIFS(TblCalculs[CPU provisionné],TblCalculs[Mois],$B89,TblCalculs[Plateforme],"IKS",TblCalculs[Environnement],ca_envc))</f>
        <v>1952</v>
      </c>
      <c r="D89" s="47">
        <f>IF(20&gt;p_horizon,"",SUMIFS(TblCalculs[CPU provisionné],TblCalculs[Mois],$B89,TblCalculs[Plateforme],"ROKS",TblCalculs[Environnement],ca_envc))</f>
        <v>752</v>
      </c>
      <c r="E89" s="47">
        <f>IF(20&gt;p_horizon,"",SUMIFS(TblCalculs[RAM provisionnée],TblCalculs[Mois],$B89,TblCalculs[Plateforme],"IKS",TblCalculs[Environnement],ca_envc))</f>
        <v>12800</v>
      </c>
      <c r="F89" s="47">
        <f>IF(20&gt;p_horizon,"",SUMIFS(TblCalculs[RAM provisionnée],TblCalculs[Mois],$B89,TblCalculs[Plateforme],"ROKS",TblCalculs[Environnement],ca_envc))</f>
        <v>3280</v>
      </c>
      <c r="G89" s="47">
        <f>IF(20&gt;p_horizon,"",SUMIFS(TblCalculs[Workers],TblCalculs[Mois],$B89,TblCalculs[Plateforme],"IKS",TblCalculs[Environnement],ca_envc))</f>
        <v>58</v>
      </c>
      <c r="H89" s="47">
        <f>IF(20&gt;p_horizon,"",SUMIFS(TblCalculs[Workers],TblCalculs[Mois],$B89,TblCalculs[Plateforme],"ROKS",TblCalculs[Environnement],ca_envc))</f>
        <v>70</v>
      </c>
    </row>
    <row r="90" spans="2:8" x14ac:dyDescent="0.2">
      <c r="B90" s="33">
        <f>IF(21&gt;p_horizon,"",EDATE(p_debut,20))</f>
        <v>46905</v>
      </c>
      <c r="C90" s="47">
        <f>IF(21&gt;p_horizon,"",SUMIFS(TblCalculs[CPU provisionné],TblCalculs[Mois],$B90,TblCalculs[Plateforme],"IKS",TblCalculs[Environnement],ca_envc))</f>
        <v>1952</v>
      </c>
      <c r="D90" s="47">
        <f>IF(21&gt;p_horizon,"",SUMIFS(TblCalculs[CPU provisionné],TblCalculs[Mois],$B90,TblCalculs[Plateforme],"ROKS",TblCalculs[Environnement],ca_envc))</f>
        <v>752</v>
      </c>
      <c r="E90" s="47">
        <f>IF(21&gt;p_horizon,"",SUMIFS(TblCalculs[RAM provisionnée],TblCalculs[Mois],$B90,TblCalculs[Plateforme],"IKS",TblCalculs[Environnement],ca_envc))</f>
        <v>12800</v>
      </c>
      <c r="F90" s="47">
        <f>IF(21&gt;p_horizon,"",SUMIFS(TblCalculs[RAM provisionnée],TblCalculs[Mois],$B90,TblCalculs[Plateforme],"ROKS",TblCalculs[Environnement],ca_envc))</f>
        <v>3280</v>
      </c>
      <c r="G90" s="47">
        <f>IF(21&gt;p_horizon,"",SUMIFS(TblCalculs[Workers],TblCalculs[Mois],$B90,TblCalculs[Plateforme],"IKS",TblCalculs[Environnement],ca_envc))</f>
        <v>58</v>
      </c>
      <c r="H90" s="47">
        <f>IF(21&gt;p_horizon,"",SUMIFS(TblCalculs[Workers],TblCalculs[Mois],$B90,TblCalculs[Plateforme],"ROKS",TblCalculs[Environnement],ca_envc))</f>
        <v>70</v>
      </c>
    </row>
    <row r="91" spans="2:8" x14ac:dyDescent="0.2">
      <c r="B91" s="33">
        <f>IF(22&gt;p_horizon,"",EDATE(p_debut,21))</f>
        <v>46935</v>
      </c>
      <c r="C91" s="47">
        <f>IF(22&gt;p_horizon,"",SUMIFS(TblCalculs[CPU provisionné],TblCalculs[Mois],$B91,TblCalculs[Plateforme],"IKS",TblCalculs[Environnement],ca_envc))</f>
        <v>1952</v>
      </c>
      <c r="D91" s="47">
        <f>IF(22&gt;p_horizon,"",SUMIFS(TblCalculs[CPU provisionné],TblCalculs[Mois],$B91,TblCalculs[Plateforme],"ROKS",TblCalculs[Environnement],ca_envc))</f>
        <v>752</v>
      </c>
      <c r="E91" s="47">
        <f>IF(22&gt;p_horizon,"",SUMIFS(TblCalculs[RAM provisionnée],TblCalculs[Mois],$B91,TblCalculs[Plateforme],"IKS",TblCalculs[Environnement],ca_envc))</f>
        <v>12800</v>
      </c>
      <c r="F91" s="47">
        <f>IF(22&gt;p_horizon,"",SUMIFS(TblCalculs[RAM provisionnée],TblCalculs[Mois],$B91,TblCalculs[Plateforme],"ROKS",TblCalculs[Environnement],ca_envc))</f>
        <v>3280</v>
      </c>
      <c r="G91" s="47">
        <f>IF(22&gt;p_horizon,"",SUMIFS(TblCalculs[Workers],TblCalculs[Mois],$B91,TblCalculs[Plateforme],"IKS",TblCalculs[Environnement],ca_envc))</f>
        <v>58</v>
      </c>
      <c r="H91" s="47">
        <f>IF(22&gt;p_horizon,"",SUMIFS(TblCalculs[Workers],TblCalculs[Mois],$B91,TblCalculs[Plateforme],"ROKS",TblCalculs[Environnement],ca_envc))</f>
        <v>70</v>
      </c>
    </row>
    <row r="92" spans="2:8" x14ac:dyDescent="0.2">
      <c r="B92" s="33">
        <f>IF(23&gt;p_horizon,"",EDATE(p_debut,22))</f>
        <v>46966</v>
      </c>
      <c r="C92" s="47">
        <f>IF(23&gt;p_horizon,"",SUMIFS(TblCalculs[CPU provisionné],TblCalculs[Mois],$B92,TblCalculs[Plateforme],"IKS",TblCalculs[Environnement],ca_envc))</f>
        <v>1952</v>
      </c>
      <c r="D92" s="47">
        <f>IF(23&gt;p_horizon,"",SUMIFS(TblCalculs[CPU provisionné],TblCalculs[Mois],$B92,TblCalculs[Plateforme],"ROKS",TblCalculs[Environnement],ca_envc))</f>
        <v>752</v>
      </c>
      <c r="E92" s="47">
        <f>IF(23&gt;p_horizon,"",SUMIFS(TblCalculs[RAM provisionnée],TblCalculs[Mois],$B92,TblCalculs[Plateforme],"IKS",TblCalculs[Environnement],ca_envc))</f>
        <v>12800</v>
      </c>
      <c r="F92" s="47">
        <f>IF(23&gt;p_horizon,"",SUMIFS(TblCalculs[RAM provisionnée],TblCalculs[Mois],$B92,TblCalculs[Plateforme],"ROKS",TblCalculs[Environnement],ca_envc))</f>
        <v>3280</v>
      </c>
      <c r="G92" s="47">
        <f>IF(23&gt;p_horizon,"",SUMIFS(TblCalculs[Workers],TblCalculs[Mois],$B92,TblCalculs[Plateforme],"IKS",TblCalculs[Environnement],ca_envc))</f>
        <v>58</v>
      </c>
      <c r="H92" s="47">
        <f>IF(23&gt;p_horizon,"",SUMIFS(TblCalculs[Workers],TblCalculs[Mois],$B92,TblCalculs[Plateforme],"ROKS",TblCalculs[Environnement],ca_envc))</f>
        <v>70</v>
      </c>
    </row>
    <row r="93" spans="2:8" x14ac:dyDescent="0.2">
      <c r="B93" s="33">
        <f>IF(24&gt;p_horizon,"",EDATE(p_debut,23))</f>
        <v>46997</v>
      </c>
      <c r="C93" s="47">
        <f>IF(24&gt;p_horizon,"",SUMIFS(TblCalculs[CPU provisionné],TblCalculs[Mois],$B93,TblCalculs[Plateforme],"IKS",TblCalculs[Environnement],ca_envc))</f>
        <v>1952</v>
      </c>
      <c r="D93" s="47">
        <f>IF(24&gt;p_horizon,"",SUMIFS(TblCalculs[CPU provisionné],TblCalculs[Mois],$B93,TblCalculs[Plateforme],"ROKS",TblCalculs[Environnement],ca_envc))</f>
        <v>768</v>
      </c>
      <c r="E93" s="47">
        <f>IF(24&gt;p_horizon,"",SUMIFS(TblCalculs[RAM provisionnée],TblCalculs[Mois],$B93,TblCalculs[Plateforme],"IKS",TblCalculs[Environnement],ca_envc))</f>
        <v>12800</v>
      </c>
      <c r="F93" s="47">
        <f>IF(24&gt;p_horizon,"",SUMIFS(TblCalculs[RAM provisionnée],TblCalculs[Mois],$B93,TblCalculs[Plateforme],"ROKS",TblCalculs[Environnement],ca_envc))</f>
        <v>3360</v>
      </c>
      <c r="G93" s="47">
        <f>IF(24&gt;p_horizon,"",SUMIFS(TblCalculs[Workers],TblCalculs[Mois],$B93,TblCalculs[Plateforme],"IKS",TblCalculs[Environnement],ca_envc))</f>
        <v>58</v>
      </c>
      <c r="H93" s="47">
        <f>IF(24&gt;p_horizon,"",SUMIFS(TblCalculs[Workers],TblCalculs[Mois],$B93,TblCalculs[Plateforme],"ROKS",TblCalculs[Environnement],ca_envc))</f>
        <v>72</v>
      </c>
    </row>
    <row r="94" spans="2:8" x14ac:dyDescent="0.2">
      <c r="B94" s="33">
        <f>IF(25&gt;p_horizon,"",EDATE(p_debut,24))</f>
        <v>47027</v>
      </c>
      <c r="C94" s="47">
        <f>IF(25&gt;p_horizon,"",SUMIFS(TblCalculs[CPU provisionné],TblCalculs[Mois],$B94,TblCalculs[Plateforme],"IKS",TblCalculs[Environnement],ca_envc))</f>
        <v>1952</v>
      </c>
      <c r="D94" s="47">
        <f>IF(25&gt;p_horizon,"",SUMIFS(TblCalculs[CPU provisionné],TblCalculs[Mois],$B94,TblCalculs[Plateforme],"ROKS",TblCalculs[Environnement],ca_envc))</f>
        <v>768</v>
      </c>
      <c r="E94" s="47">
        <f>IF(25&gt;p_horizon,"",SUMIFS(TblCalculs[RAM provisionnée],TblCalculs[Mois],$B94,TblCalculs[Plateforme],"IKS",TblCalculs[Environnement],ca_envc))</f>
        <v>12800</v>
      </c>
      <c r="F94" s="47">
        <f>IF(25&gt;p_horizon,"",SUMIFS(TblCalculs[RAM provisionnée],TblCalculs[Mois],$B94,TblCalculs[Plateforme],"ROKS",TblCalculs[Environnement],ca_envc))</f>
        <v>3360</v>
      </c>
      <c r="G94" s="47">
        <f>IF(25&gt;p_horizon,"",SUMIFS(TblCalculs[Workers],TblCalculs[Mois],$B94,TblCalculs[Plateforme],"IKS",TblCalculs[Environnement],ca_envc))</f>
        <v>58</v>
      </c>
      <c r="H94" s="47">
        <f>IF(25&gt;p_horizon,"",SUMIFS(TblCalculs[Workers],TblCalculs[Mois],$B94,TblCalculs[Plateforme],"ROKS",TblCalculs[Environnement],ca_envc))</f>
        <v>72</v>
      </c>
    </row>
    <row r="95" spans="2:8" x14ac:dyDescent="0.2">
      <c r="B95" s="33">
        <f>IF(26&gt;p_horizon,"",EDATE(p_debut,25))</f>
        <v>47058</v>
      </c>
      <c r="C95" s="47">
        <f>IF(26&gt;p_horizon,"",SUMIFS(TblCalculs[CPU provisionné],TblCalculs[Mois],$B95,TblCalculs[Plateforme],"IKS",TblCalculs[Environnement],ca_envc))</f>
        <v>1952</v>
      </c>
      <c r="D95" s="47">
        <f>IF(26&gt;p_horizon,"",SUMIFS(TblCalculs[CPU provisionné],TblCalculs[Mois],$B95,TblCalculs[Plateforme],"ROKS",TblCalculs[Environnement],ca_envc))</f>
        <v>768</v>
      </c>
      <c r="E95" s="47">
        <f>IF(26&gt;p_horizon,"",SUMIFS(TblCalculs[RAM provisionnée],TblCalculs[Mois],$B95,TblCalculs[Plateforme],"IKS",TblCalculs[Environnement],ca_envc))</f>
        <v>12800</v>
      </c>
      <c r="F95" s="47">
        <f>IF(26&gt;p_horizon,"",SUMIFS(TblCalculs[RAM provisionnée],TblCalculs[Mois],$B95,TblCalculs[Plateforme],"ROKS",TblCalculs[Environnement],ca_envc))</f>
        <v>3360</v>
      </c>
      <c r="G95" s="47">
        <f>IF(26&gt;p_horizon,"",SUMIFS(TblCalculs[Workers],TblCalculs[Mois],$B95,TblCalculs[Plateforme],"IKS",TblCalculs[Environnement],ca_envc))</f>
        <v>58</v>
      </c>
      <c r="H95" s="47">
        <f>IF(26&gt;p_horizon,"",SUMIFS(TblCalculs[Workers],TblCalculs[Mois],$B95,TblCalculs[Plateforme],"ROKS",TblCalculs[Environnement],ca_envc))</f>
        <v>72</v>
      </c>
    </row>
    <row r="96" spans="2:8" x14ac:dyDescent="0.2">
      <c r="B96" s="33">
        <f>IF(27&gt;p_horizon,"",EDATE(p_debut,26))</f>
        <v>47088</v>
      </c>
      <c r="C96" s="47">
        <f>IF(27&gt;p_horizon,"",SUMIFS(TblCalculs[CPU provisionné],TblCalculs[Mois],$B96,TblCalculs[Plateforme],"IKS",TblCalculs[Environnement],ca_envc))</f>
        <v>1824</v>
      </c>
      <c r="D96" s="47">
        <f>IF(27&gt;p_horizon,"",SUMIFS(TblCalculs[CPU provisionné],TblCalculs[Mois],$B96,TblCalculs[Plateforme],"ROKS",TblCalculs[Environnement],ca_envc))</f>
        <v>768</v>
      </c>
      <c r="E96" s="47">
        <f>IF(27&gt;p_horizon,"",SUMIFS(TblCalculs[RAM provisionnée],TblCalculs[Mois],$B96,TblCalculs[Plateforme],"IKS",TblCalculs[Environnement],ca_envc))</f>
        <v>12288</v>
      </c>
      <c r="F96" s="47">
        <f>IF(27&gt;p_horizon,"",SUMIFS(TblCalculs[RAM provisionnée],TblCalculs[Mois],$B96,TblCalculs[Plateforme],"ROKS",TblCalculs[Environnement],ca_envc))</f>
        <v>3360</v>
      </c>
      <c r="G96" s="47">
        <f>IF(27&gt;p_horizon,"",SUMIFS(TblCalculs[Workers],TblCalculs[Mois],$B96,TblCalculs[Plateforme],"IKS",TblCalculs[Environnement],ca_envc))</f>
        <v>54</v>
      </c>
      <c r="H96" s="47">
        <f>IF(27&gt;p_horizon,"",SUMIFS(TblCalculs[Workers],TblCalculs[Mois],$B96,TblCalculs[Plateforme],"ROKS",TblCalculs[Environnement],ca_envc))</f>
        <v>72</v>
      </c>
    </row>
    <row r="97" spans="2:8" x14ac:dyDescent="0.2">
      <c r="B97" s="33">
        <f>IF(28&gt;p_horizon,"",EDATE(p_debut,27))</f>
        <v>47119</v>
      </c>
      <c r="C97" s="47">
        <f>IF(28&gt;p_horizon,"",SUMIFS(TblCalculs[CPU provisionné],TblCalculs[Mois],$B97,TblCalculs[Plateforme],"IKS",TblCalculs[Environnement],ca_envc))</f>
        <v>1824</v>
      </c>
      <c r="D97" s="47">
        <f>IF(28&gt;p_horizon,"",SUMIFS(TblCalculs[CPU provisionné],TblCalculs[Mois],$B97,TblCalculs[Plateforme],"ROKS",TblCalculs[Environnement],ca_envc))</f>
        <v>768</v>
      </c>
      <c r="E97" s="47">
        <f>IF(28&gt;p_horizon,"",SUMIFS(TblCalculs[RAM provisionnée],TblCalculs[Mois],$B97,TblCalculs[Plateforme],"IKS",TblCalculs[Environnement],ca_envc))</f>
        <v>12288</v>
      </c>
      <c r="F97" s="47">
        <f>IF(28&gt;p_horizon,"",SUMIFS(TblCalculs[RAM provisionnée],TblCalculs[Mois],$B97,TblCalculs[Plateforme],"ROKS",TblCalculs[Environnement],ca_envc))</f>
        <v>3360</v>
      </c>
      <c r="G97" s="47">
        <f>IF(28&gt;p_horizon,"",SUMIFS(TblCalculs[Workers],TblCalculs[Mois],$B97,TblCalculs[Plateforme],"IKS",TblCalculs[Environnement],ca_envc))</f>
        <v>54</v>
      </c>
      <c r="H97" s="47">
        <f>IF(28&gt;p_horizon,"",SUMIFS(TblCalculs[Workers],TblCalculs[Mois],$B97,TblCalculs[Plateforme],"ROKS",TblCalculs[Environnement],ca_envc))</f>
        <v>72</v>
      </c>
    </row>
    <row r="98" spans="2:8" x14ac:dyDescent="0.2">
      <c r="B98" s="33">
        <f>IF(29&gt;p_horizon,"",EDATE(p_debut,28))</f>
        <v>47150</v>
      </c>
      <c r="C98" s="47">
        <f>IF(29&gt;p_horizon,"",SUMIFS(TblCalculs[CPU provisionné],TblCalculs[Mois],$B98,TblCalculs[Plateforme],"IKS",TblCalculs[Environnement],ca_envc))</f>
        <v>1824</v>
      </c>
      <c r="D98" s="47">
        <f>IF(29&gt;p_horizon,"",SUMIFS(TblCalculs[CPU provisionné],TblCalculs[Mois],$B98,TblCalculs[Plateforme],"ROKS",TblCalculs[Environnement],ca_envc))</f>
        <v>768</v>
      </c>
      <c r="E98" s="47">
        <f>IF(29&gt;p_horizon,"",SUMIFS(TblCalculs[RAM provisionnée],TblCalculs[Mois],$B98,TblCalculs[Plateforme],"IKS",TblCalculs[Environnement],ca_envc))</f>
        <v>12288</v>
      </c>
      <c r="F98" s="47">
        <f>IF(29&gt;p_horizon,"",SUMIFS(TblCalculs[RAM provisionnée],TblCalculs[Mois],$B98,TblCalculs[Plateforme],"ROKS",TblCalculs[Environnement],ca_envc))</f>
        <v>3360</v>
      </c>
      <c r="G98" s="47">
        <f>IF(29&gt;p_horizon,"",SUMIFS(TblCalculs[Workers],TblCalculs[Mois],$B98,TblCalculs[Plateforme],"IKS",TblCalculs[Environnement],ca_envc))</f>
        <v>54</v>
      </c>
      <c r="H98" s="47">
        <f>IF(29&gt;p_horizon,"",SUMIFS(TblCalculs[Workers],TblCalculs[Mois],$B98,TblCalculs[Plateforme],"ROKS",TblCalculs[Environnement],ca_envc))</f>
        <v>72</v>
      </c>
    </row>
    <row r="99" spans="2:8" x14ac:dyDescent="0.2">
      <c r="B99" s="33">
        <f>IF(30&gt;p_horizon,"",EDATE(p_debut,29))</f>
        <v>47178</v>
      </c>
      <c r="C99" s="47">
        <f>IF(30&gt;p_horizon,"",SUMIFS(TblCalculs[CPU provisionné],TblCalculs[Mois],$B99,TblCalculs[Plateforme],"IKS",TblCalculs[Environnement],ca_envc))</f>
        <v>1824</v>
      </c>
      <c r="D99" s="47">
        <f>IF(30&gt;p_horizon,"",SUMIFS(TblCalculs[CPU provisionné],TblCalculs[Mois],$B99,TblCalculs[Plateforme],"ROKS",TblCalculs[Environnement],ca_envc))</f>
        <v>768</v>
      </c>
      <c r="E99" s="47">
        <f>IF(30&gt;p_horizon,"",SUMIFS(TblCalculs[RAM provisionnée],TblCalculs[Mois],$B99,TblCalculs[Plateforme],"IKS",TblCalculs[Environnement],ca_envc))</f>
        <v>12288</v>
      </c>
      <c r="F99" s="47">
        <f>IF(30&gt;p_horizon,"",SUMIFS(TblCalculs[RAM provisionnée],TblCalculs[Mois],$B99,TblCalculs[Plateforme],"ROKS",TblCalculs[Environnement],ca_envc))</f>
        <v>3360</v>
      </c>
      <c r="G99" s="47">
        <f>IF(30&gt;p_horizon,"",SUMIFS(TblCalculs[Workers],TblCalculs[Mois],$B99,TblCalculs[Plateforme],"IKS",TblCalculs[Environnement],ca_envc))</f>
        <v>54</v>
      </c>
      <c r="H99" s="47">
        <f>IF(30&gt;p_horizon,"",SUMIFS(TblCalculs[Workers],TblCalculs[Mois],$B99,TblCalculs[Plateforme],"ROKS",TblCalculs[Environnement],ca_envc))</f>
        <v>72</v>
      </c>
    </row>
    <row r="100" spans="2:8" x14ac:dyDescent="0.2">
      <c r="B100" s="33">
        <f>IF(31&gt;p_horizon,"",EDATE(p_debut,30))</f>
        <v>47209</v>
      </c>
      <c r="C100" s="47">
        <f>IF(31&gt;p_horizon,"",SUMIFS(TblCalculs[CPU provisionné],TblCalculs[Mois],$B100,TblCalculs[Plateforme],"IKS",TblCalculs[Environnement],ca_envc))</f>
        <v>1824</v>
      </c>
      <c r="D100" s="47">
        <f>IF(31&gt;p_horizon,"",SUMIFS(TblCalculs[CPU provisionné],TblCalculs[Mois],$B100,TblCalculs[Plateforme],"ROKS",TblCalculs[Environnement],ca_envc))</f>
        <v>768</v>
      </c>
      <c r="E100" s="47">
        <f>IF(31&gt;p_horizon,"",SUMIFS(TblCalculs[RAM provisionnée],TblCalculs[Mois],$B100,TblCalculs[Plateforme],"IKS",TblCalculs[Environnement],ca_envc))</f>
        <v>12288</v>
      </c>
      <c r="F100" s="47">
        <f>IF(31&gt;p_horizon,"",SUMIFS(TblCalculs[RAM provisionnée],TblCalculs[Mois],$B100,TblCalculs[Plateforme],"ROKS",TblCalculs[Environnement],ca_envc))</f>
        <v>3360</v>
      </c>
      <c r="G100" s="47">
        <f>IF(31&gt;p_horizon,"",SUMIFS(TblCalculs[Workers],TblCalculs[Mois],$B100,TblCalculs[Plateforme],"IKS",TblCalculs[Environnement],ca_envc))</f>
        <v>54</v>
      </c>
      <c r="H100" s="47">
        <f>IF(31&gt;p_horizon,"",SUMIFS(TblCalculs[Workers],TblCalculs[Mois],$B100,TblCalculs[Plateforme],"ROKS",TblCalculs[Environnement],ca_envc))</f>
        <v>72</v>
      </c>
    </row>
    <row r="101" spans="2:8" x14ac:dyDescent="0.2">
      <c r="B101" s="33">
        <f>IF(32&gt;p_horizon,"",EDATE(p_debut,31))</f>
        <v>47239</v>
      </c>
      <c r="C101" s="47">
        <f>IF(32&gt;p_horizon,"",SUMIFS(TblCalculs[CPU provisionné],TblCalculs[Mois],$B101,TblCalculs[Plateforme],"IKS",TblCalculs[Environnement],ca_envc))</f>
        <v>1824</v>
      </c>
      <c r="D101" s="47">
        <f>IF(32&gt;p_horizon,"",SUMIFS(TblCalculs[CPU provisionné],TblCalculs[Mois],$B101,TblCalculs[Plateforme],"ROKS",TblCalculs[Environnement],ca_envc))</f>
        <v>768</v>
      </c>
      <c r="E101" s="47">
        <f>IF(32&gt;p_horizon,"",SUMIFS(TblCalculs[RAM provisionnée],TblCalculs[Mois],$B101,TblCalculs[Plateforme],"IKS",TblCalculs[Environnement],ca_envc))</f>
        <v>12288</v>
      </c>
      <c r="F101" s="47">
        <f>IF(32&gt;p_horizon,"",SUMIFS(TblCalculs[RAM provisionnée],TblCalculs[Mois],$B101,TblCalculs[Plateforme],"ROKS",TblCalculs[Environnement],ca_envc))</f>
        <v>3360</v>
      </c>
      <c r="G101" s="47">
        <f>IF(32&gt;p_horizon,"",SUMIFS(TblCalculs[Workers],TblCalculs[Mois],$B101,TblCalculs[Plateforme],"IKS",TblCalculs[Environnement],ca_envc))</f>
        <v>54</v>
      </c>
      <c r="H101" s="47">
        <f>IF(32&gt;p_horizon,"",SUMIFS(TblCalculs[Workers],TblCalculs[Mois],$B101,TblCalculs[Plateforme],"ROKS",TblCalculs[Environnement],ca_envc))</f>
        <v>72</v>
      </c>
    </row>
    <row r="102" spans="2:8" x14ac:dyDescent="0.2">
      <c r="B102" s="33">
        <f>IF(33&gt;p_horizon,"",EDATE(p_debut,32))</f>
        <v>47270</v>
      </c>
      <c r="C102" s="47">
        <f>IF(33&gt;p_horizon,"",SUMIFS(TblCalculs[CPU provisionné],TblCalculs[Mois],$B102,TblCalculs[Plateforme],"IKS",TblCalculs[Environnement],ca_envc))</f>
        <v>1824</v>
      </c>
      <c r="D102" s="47">
        <f>IF(33&gt;p_horizon,"",SUMIFS(TblCalculs[CPU provisionné],TblCalculs[Mois],$B102,TblCalculs[Plateforme],"ROKS",TblCalculs[Environnement],ca_envc))</f>
        <v>768</v>
      </c>
      <c r="E102" s="47">
        <f>IF(33&gt;p_horizon,"",SUMIFS(TblCalculs[RAM provisionnée],TblCalculs[Mois],$B102,TblCalculs[Plateforme],"IKS",TblCalculs[Environnement],ca_envc))</f>
        <v>12288</v>
      </c>
      <c r="F102" s="47">
        <f>IF(33&gt;p_horizon,"",SUMIFS(TblCalculs[RAM provisionnée],TblCalculs[Mois],$B102,TblCalculs[Plateforme],"ROKS",TblCalculs[Environnement],ca_envc))</f>
        <v>3360</v>
      </c>
      <c r="G102" s="47">
        <f>IF(33&gt;p_horizon,"",SUMIFS(TblCalculs[Workers],TblCalculs[Mois],$B102,TblCalculs[Plateforme],"IKS",TblCalculs[Environnement],ca_envc))</f>
        <v>54</v>
      </c>
      <c r="H102" s="47">
        <f>IF(33&gt;p_horizon,"",SUMIFS(TblCalculs[Workers],TblCalculs[Mois],$B102,TblCalculs[Plateforme],"ROKS",TblCalculs[Environnement],ca_envc))</f>
        <v>72</v>
      </c>
    </row>
    <row r="103" spans="2:8" x14ac:dyDescent="0.2">
      <c r="B103" s="33">
        <f>IF(34&gt;p_horizon,"",EDATE(p_debut,33))</f>
        <v>47300</v>
      </c>
      <c r="C103" s="47">
        <f>IF(34&gt;p_horizon,"",SUMIFS(TblCalculs[CPU provisionné],TblCalculs[Mois],$B103,TblCalculs[Plateforme],"IKS",TblCalculs[Environnement],ca_envc))</f>
        <v>1824</v>
      </c>
      <c r="D103" s="47">
        <f>IF(34&gt;p_horizon,"",SUMIFS(TblCalculs[CPU provisionné],TblCalculs[Mois],$B103,TblCalculs[Plateforme],"ROKS",TblCalculs[Environnement],ca_envc))</f>
        <v>768</v>
      </c>
      <c r="E103" s="47">
        <f>IF(34&gt;p_horizon,"",SUMIFS(TblCalculs[RAM provisionnée],TblCalculs[Mois],$B103,TblCalculs[Plateforme],"IKS",TblCalculs[Environnement],ca_envc))</f>
        <v>12288</v>
      </c>
      <c r="F103" s="47">
        <f>IF(34&gt;p_horizon,"",SUMIFS(TblCalculs[RAM provisionnée],TblCalculs[Mois],$B103,TblCalculs[Plateforme],"ROKS",TblCalculs[Environnement],ca_envc))</f>
        <v>3360</v>
      </c>
      <c r="G103" s="47">
        <f>IF(34&gt;p_horizon,"",SUMIFS(TblCalculs[Workers],TblCalculs[Mois],$B103,TblCalculs[Plateforme],"IKS",TblCalculs[Environnement],ca_envc))</f>
        <v>54</v>
      </c>
      <c r="H103" s="47">
        <f>IF(34&gt;p_horizon,"",SUMIFS(TblCalculs[Workers],TblCalculs[Mois],$B103,TblCalculs[Plateforme],"ROKS",TblCalculs[Environnement],ca_envc))</f>
        <v>72</v>
      </c>
    </row>
    <row r="104" spans="2:8" x14ac:dyDescent="0.2">
      <c r="B104" s="33">
        <f>IF(35&gt;p_horizon,"",EDATE(p_debut,34))</f>
        <v>47331</v>
      </c>
      <c r="C104" s="47">
        <f>IF(35&gt;p_horizon,"",SUMIFS(TblCalculs[CPU provisionné],TblCalculs[Mois],$B104,TblCalculs[Plateforme],"IKS",TblCalculs[Environnement],ca_envc))</f>
        <v>1824</v>
      </c>
      <c r="D104" s="47">
        <f>IF(35&gt;p_horizon,"",SUMIFS(TblCalculs[CPU provisionné],TblCalculs[Mois],$B104,TblCalculs[Plateforme],"ROKS",TblCalculs[Environnement],ca_envc))</f>
        <v>768</v>
      </c>
      <c r="E104" s="47">
        <f>IF(35&gt;p_horizon,"",SUMIFS(TblCalculs[RAM provisionnée],TblCalculs[Mois],$B104,TblCalculs[Plateforme],"IKS",TblCalculs[Environnement],ca_envc))</f>
        <v>12288</v>
      </c>
      <c r="F104" s="47">
        <f>IF(35&gt;p_horizon,"",SUMIFS(TblCalculs[RAM provisionnée],TblCalculs[Mois],$B104,TblCalculs[Plateforme],"ROKS",TblCalculs[Environnement],ca_envc))</f>
        <v>3360</v>
      </c>
      <c r="G104" s="47">
        <f>IF(35&gt;p_horizon,"",SUMIFS(TblCalculs[Workers],TblCalculs[Mois],$B104,TblCalculs[Plateforme],"IKS",TblCalculs[Environnement],ca_envc))</f>
        <v>54</v>
      </c>
      <c r="H104" s="47">
        <f>IF(35&gt;p_horizon,"",SUMIFS(TblCalculs[Workers],TblCalculs[Mois],$B104,TblCalculs[Plateforme],"ROKS",TblCalculs[Environnement],ca_envc))</f>
        <v>72</v>
      </c>
    </row>
    <row r="105" spans="2:8" x14ac:dyDescent="0.2">
      <c r="B105" s="33">
        <f>IF(36&gt;p_horizon,"",EDATE(p_debut,35))</f>
        <v>47362</v>
      </c>
      <c r="C105" s="47">
        <f>IF(36&gt;p_horizon,"",SUMIFS(TblCalculs[CPU provisionné],TblCalculs[Mois],$B105,TblCalculs[Plateforme],"IKS",TblCalculs[Environnement],ca_envc))</f>
        <v>1824</v>
      </c>
      <c r="D105" s="47">
        <f>IF(36&gt;p_horizon,"",SUMIFS(TblCalculs[CPU provisionné],TblCalculs[Mois],$B105,TblCalculs[Plateforme],"ROKS",TblCalculs[Environnement],ca_envc))</f>
        <v>768</v>
      </c>
      <c r="E105" s="47">
        <f>IF(36&gt;p_horizon,"",SUMIFS(TblCalculs[RAM provisionnée],TblCalculs[Mois],$B105,TblCalculs[Plateforme],"IKS",TblCalculs[Environnement],ca_envc))</f>
        <v>12288</v>
      </c>
      <c r="F105" s="47">
        <f>IF(36&gt;p_horizon,"",SUMIFS(TblCalculs[RAM provisionnée],TblCalculs[Mois],$B105,TblCalculs[Plateforme],"ROKS",TblCalculs[Environnement],ca_envc))</f>
        <v>3360</v>
      </c>
      <c r="G105" s="47">
        <f>IF(36&gt;p_horizon,"",SUMIFS(TblCalculs[Workers],TblCalculs[Mois],$B105,TblCalculs[Plateforme],"IKS",TblCalculs[Environnement],ca_envc))</f>
        <v>54</v>
      </c>
      <c r="H105" s="47">
        <f>IF(36&gt;p_horizon,"",SUMIFS(TblCalculs[Workers],TblCalculs[Mois],$B105,TblCalculs[Plateforme],"ROKS",TblCalculs[Environnement],ca_envc))</f>
        <v>72</v>
      </c>
    </row>
  </sheetData>
  <mergeCells count="12">
    <mergeCell ref="L6:M6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</mergeCells>
  <conditionalFormatting sqref="F33:AO33">
    <cfRule type="expression" dxfId="22" priority="5">
      <formula>F$33=ca_mois</formula>
    </cfRule>
  </conditionalFormatting>
  <conditionalFormatting sqref="G34:AO73">
    <cfRule type="expression" dxfId="21" priority="2">
      <formula>AND($C34="IKS",G34=0,ISNUMBER(G34))</formula>
    </cfRule>
    <cfRule type="expression" dxfId="20" priority="3">
      <formula>AND($C34="ROKS",ISNUMBER(G34),ISNUMBER(F34),G34&gt;F34)</formula>
    </cfRule>
    <cfRule type="expression" dxfId="19" priority="4">
      <formula>AND($C34="IKS",ISNUMBER(G34),ISNUMBER(F34),G34&lt;F34)</formula>
    </cfRule>
  </conditionalFormatting>
  <dataValidations count="3">
    <dataValidation type="date" operator="greaterThan" showErrorMessage="1" error="Saisir un mois" sqref="I4" xr:uid="{00000000-0002-0000-0200-000000000000}">
      <formula1>36526</formula1>
      <formula2>0</formula2>
    </dataValidation>
    <dataValidation type="list" showErrorMessage="1" error="Choisir une valeur de la liste" sqref="C4" xr:uid="{00000000-0002-0000-0200-000001000000}">
      <formula1>"Tous,PRD,NPRD"</formula1>
      <formula2>0</formula2>
    </dataValidation>
    <dataValidation type="list" showErrorMessage="1" error="Choisir une valeur de la liste" sqref="F4" xr:uid="{00000000-0002-0000-0200-000002000000}">
      <formula1>"Workers,CPU,RAM"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75"/>
  <sheetViews>
    <sheetView showGridLines="0" tabSelected="1" zoomScaleNormal="100" workbookViewId="0">
      <pane ySplit="4" topLeftCell="A6" activePane="bottomLeft" state="frozen"/>
      <selection pane="bottomLeft" activeCell="AA45" sqref="AA45"/>
    </sheetView>
  </sheetViews>
  <sheetFormatPr baseColWidth="10" defaultColWidth="8.6640625" defaultRowHeight="15" x14ac:dyDescent="0.2"/>
  <cols>
    <col min="1" max="1" width="2" customWidth="1"/>
    <col min="2" max="2" width="14" customWidth="1"/>
    <col min="3" max="3" width="22" customWidth="1"/>
    <col min="4" max="4" width="14" customWidth="1"/>
    <col min="5" max="6" width="11" customWidth="1"/>
    <col min="7" max="7" width="15" customWidth="1"/>
    <col min="8" max="8" width="13" customWidth="1"/>
    <col min="9" max="9" width="19" customWidth="1"/>
    <col min="10" max="13" width="13" customWidth="1"/>
    <col min="14" max="14" width="11" customWidth="1"/>
    <col min="15" max="16" width="13" customWidth="1"/>
    <col min="17" max="17" width="12" customWidth="1"/>
    <col min="18" max="18" width="14" customWidth="1"/>
    <col min="30" max="33" width="13" customWidth="1"/>
  </cols>
  <sheetData>
    <row r="1" spans="2:33" ht="20" x14ac:dyDescent="0.2">
      <c r="B1" s="15" t="s">
        <v>64</v>
      </c>
    </row>
    <row r="2" spans="2:33" x14ac:dyDescent="0.2">
      <c r="B2" s="16" t="s">
        <v>65</v>
      </c>
    </row>
    <row r="4" spans="2:33" x14ac:dyDescent="0.2">
      <c r="B4" s="18" t="s">
        <v>26</v>
      </c>
      <c r="C4" s="20" t="s">
        <v>10</v>
      </c>
      <c r="E4" s="18" t="s">
        <v>20</v>
      </c>
      <c r="F4" s="20" t="s">
        <v>10</v>
      </c>
      <c r="H4" s="18" t="s">
        <v>19</v>
      </c>
      <c r="I4" s="20" t="s">
        <v>10</v>
      </c>
      <c r="K4" s="18" t="s">
        <v>27</v>
      </c>
      <c r="L4" s="28">
        <v>46722</v>
      </c>
      <c r="AD4" s="29" t="str">
        <f>IF(C4="Tous","*",C4)</f>
        <v>*</v>
      </c>
      <c r="AE4" s="29" t="str">
        <f>IF(F4="Tous","*",F4)</f>
        <v>*</v>
      </c>
      <c r="AF4" s="29" t="str">
        <f>IF(I4="Tous","*",I4)</f>
        <v>*</v>
      </c>
      <c r="AG4" s="30">
        <f>IFERROR(DATE(YEAR(L4),MONTH(L4),1),p_debut)</f>
        <v>46722</v>
      </c>
    </row>
    <row r="6" spans="2:33" ht="27.75" customHeight="1" x14ac:dyDescent="0.2">
      <c r="B6" s="80" t="s">
        <v>66</v>
      </c>
      <c r="C6" s="80"/>
      <c r="D6" s="80" t="s">
        <v>67</v>
      </c>
      <c r="E6" s="80"/>
      <c r="F6" s="80" t="s">
        <v>68</v>
      </c>
      <c r="G6" s="80"/>
      <c r="H6" s="80" t="s">
        <v>69</v>
      </c>
      <c r="I6" s="80"/>
      <c r="J6" s="1" t="s">
        <v>70</v>
      </c>
      <c r="K6" s="1"/>
      <c r="L6" s="1" t="s">
        <v>71</v>
      </c>
      <c r="M6" s="1"/>
    </row>
    <row r="7" spans="2:33" ht="36" customHeight="1" x14ac:dyDescent="0.2">
      <c r="B7" s="83">
        <f>(COUNTIFS(TblApplications[Action],"À migrer",TblApplications[Mois lib (calc)],"&gt;"&amp;ex_mois,TblApplications[Environnement],ex_envc,TblApplications[Domaine],ex_domc,TblApplications[Tribe],ex_tric)+COUNTIFS(TblApplications[Action],"À décommissionner",TblApplications[Mois lib (calc)],"&gt;"&amp;ex_mois,TblApplications[Environnement],ex_envc,TblApplications[Domaine],ex_domc,TblApplications[Tribe],ex_tric))</f>
        <v>2</v>
      </c>
      <c r="C7" s="83"/>
      <c r="D7" s="83">
        <f>COUNTIFS(TblCalculs[Plateforme],"IKS",TblCalculs[Mois],ex_mois,TblCalculs[Workers],"&gt;0",TblCalculs[Environnement],ex_envc)</f>
        <v>8</v>
      </c>
      <c r="E7" s="83"/>
      <c r="F7" s="84">
        <f>SUMIFS(TblCalculs[Coût mensuel],TblCalculs[Plateforme],"IKS",TblCalculs[Environnement],ex_envc,TblCalculs[Mois],ex_mois)</f>
        <v>81975</v>
      </c>
      <c r="G7" s="84"/>
      <c r="H7" s="84">
        <f>SUMIFS(TblCalculs[Coût mensuel],TblCalculs[Plateforme],"IKS",TblCalculs[Environnement],ex_envc,TblCalculs[Mois],"&gt;="&amp;ex_mois)</f>
        <v>1700436</v>
      </c>
      <c r="I7" s="84"/>
      <c r="J7" s="85" t="str">
        <f>IF(COUNTIFS(TblClusters[Plateforme],"IKS",TblClusters[Environnement],ex_envc,TblClusters[Fermeture retenue],"")&gt;0,"Non planifiée",_xlfn.MAXIFS(TblClusters[Fermeture retenue],TblClusters[Plateforme],"IKS",TblClusters[Environnement],ex_envc))</f>
        <v>Non planifiée</v>
      </c>
      <c r="K7" s="85"/>
      <c r="L7" s="78" t="str">
        <f>IFERROR(MAX(0,(YEAR(IF(COUNTIFS(TblClusters[Plateforme],"IKS",TblClusters[Environnement],ex_envc,TblClusters[Fermeture retenue],"")&gt;0,"Non planifiée",_xlfn.MAXIFS(TblClusters[Fermeture retenue],TblClusters[Plateforme],"IKS",TblClusters[Environnement],ex_envc)))-YEAR(ex_mois))*12+MONTH(IF(COUNTIFS(TblClusters[Plateforme],"IKS",TblClusters[Environnement],ex_envc,TblClusters[Fermeture retenue],"")&gt;0,"Non planifiée",_xlfn.MAXIFS(TblClusters[Fermeture retenue],TblClusters[Plateforme],"IKS",TblClusters[Environnement],ex_envc)))-MONTH(ex_mois)),"–")</f>
        <v>–</v>
      </c>
      <c r="M7" s="78"/>
    </row>
    <row r="9" spans="2:33" x14ac:dyDescent="0.2">
      <c r="B9" s="24" t="s">
        <v>72</v>
      </c>
    </row>
    <row r="11" spans="2:33" ht="16" x14ac:dyDescent="0.2">
      <c r="B11" s="22" t="s">
        <v>73</v>
      </c>
    </row>
    <row r="29" spans="1:18" ht="16" x14ac:dyDescent="0.2">
      <c r="B29" s="22" t="s">
        <v>74</v>
      </c>
    </row>
    <row r="31" spans="1:18" ht="39.75" customHeight="1" x14ac:dyDescent="0.2">
      <c r="B31" s="25" t="s">
        <v>75</v>
      </c>
      <c r="C31" s="25" t="s">
        <v>62</v>
      </c>
      <c r="D31" s="25" t="s">
        <v>76</v>
      </c>
      <c r="E31" s="25" t="s">
        <v>77</v>
      </c>
      <c r="F31" s="25" t="s">
        <v>78</v>
      </c>
      <c r="G31" s="25" t="s">
        <v>79</v>
      </c>
      <c r="H31" s="25" t="s">
        <v>80</v>
      </c>
      <c r="I31" s="25" t="s">
        <v>81</v>
      </c>
      <c r="N31" s="25" t="s">
        <v>42</v>
      </c>
      <c r="O31" s="25" t="s">
        <v>82</v>
      </c>
      <c r="P31" s="25" t="s">
        <v>66</v>
      </c>
      <c r="Q31" s="25" t="s">
        <v>67</v>
      </c>
      <c r="R31" s="25" t="s">
        <v>83</v>
      </c>
    </row>
    <row r="32" spans="1:18" x14ac:dyDescent="0.2">
      <c r="A32" s="37">
        <f>IFERROR(MATCH(1,TblClusters[Rang extinction],0),"")</f>
        <v>22</v>
      </c>
      <c r="B32" s="34" t="str">
        <f>IF($A32="","",INDEX(TblClusters[Cluster],$A32))</f>
        <v>ku002i000249</v>
      </c>
      <c r="C32" s="34" t="str">
        <f>IF($A32="","",INDEX(TblClusters[Environnement],$A32))</f>
        <v>PRD</v>
      </c>
      <c r="D32" s="34">
        <f>IF($A32="","",SUMIFS(TblCalculs[Workers],TblCalculs[Cluster],$B32,TblCalculs[Mois],ex_mois))</f>
        <v>7</v>
      </c>
      <c r="E32" s="34">
        <f>IF($A32="","",COUNTIFS(TblApplications[Cluster IKS source],$B32,TblApplications[Action],"À migrer",TblApplications[Mois lib (calc)],"&gt;"&amp;ex_mois)+COUNTIFS(TblApplications[Cluster IKS source],$B32,TblApplications[Action],"À décommissionner",TblApplications[Mois lib (calc)],"&gt;"&amp;ex_mois))</f>
        <v>2</v>
      </c>
      <c r="F32" s="33">
        <f>IF($A32="","",IFERROR(1/(1/_xlfn.MAXIFS(TblApplications[Mois lib (calc)],TblApplications[Cluster IKS source],$B32)),"–"))</f>
        <v>47087.999999999993</v>
      </c>
      <c r="G32" s="33">
        <f>IF($A32="","",IF(INDEX(TblClusters[Fermeture retenue],$A32)="","–",INDEX(TblClusters[Fermeture retenue],$A32)))</f>
        <v>47088</v>
      </c>
      <c r="H32" s="34" t="str">
        <f t="shared" ref="H32:H71" si="0">IF($A32="","",IF(NOT(ISNUMBER($G32)),"Non planifiée",IF($G32&lt;=ex_mois,"Fermé","Fermeture planifiée")))</f>
        <v>Fermeture planifiée</v>
      </c>
      <c r="I32" s="27">
        <f>IF($A32="","",SUMIFS(TblCalculs[Coût mensuel],TblCalculs[Cluster],$B32,TblCalculs[Mois],"&gt;="&amp;ex_mois))</f>
        <v>60534</v>
      </c>
      <c r="N32" s="33">
        <f>IF(1&gt;p_horizon,"",EDATE(p_debut,0))</f>
        <v>46296</v>
      </c>
      <c r="O32" s="27">
        <f>IF(1&gt;p_horizon,"",SUMIFS(TblCalculs[Coût mensuel],TblCalculs[Plateforme],"IKS",TblCalculs[Environnement],ex_envc,TblCalculs[Mois],$N32))</f>
        <v>90471</v>
      </c>
      <c r="P32" s="34">
        <f>IF(1&gt;p_horizon,"",(COUNTIFS(TblApplications[Action],"À migrer",TblApplications[Mois lib (calc)],"&gt;"&amp;$N32,TblApplications[Environnement],ex_envc,TblApplications[Domaine],ex_domc,TblApplications[Tribe],ex_tric)+COUNTIFS(TblApplications[Action],"À décommissionner",TblApplications[Mois lib (calc)],"&gt;"&amp;$N32,TblApplications[Environnement],ex_envc,TblApplications[Domaine],ex_domc,TblApplications[Tribe],ex_tric)))</f>
        <v>4</v>
      </c>
      <c r="Q32" s="34">
        <f>IF(1&gt;p_horizon,"",COUNTIFS(TblCalculs[Plateforme],"IKS",TblCalculs[Mois],$N32,TblCalculs[Workers],"&gt;0",TblCalculs[Environnement],ex_envc))</f>
        <v>8</v>
      </c>
      <c r="R32" s="27">
        <f>IF(1&gt;p_horizon,"",SUMIFS(TblCalculs[Coût mensuel],TblCalculs[Plateforme],"IKS",TblCalculs[Environnement],ex_envc,TblCalculs[Mois],"&gt;="&amp;$N32))</f>
        <v>2919240</v>
      </c>
    </row>
    <row r="33" spans="1:18" x14ac:dyDescent="0.2">
      <c r="A33" s="37">
        <f>IFERROR(MATCH(2,TblClusters[Rang extinction],0),"")</f>
        <v>23</v>
      </c>
      <c r="B33" s="34" t="str">
        <f>IF($A33="","",INDEX(TblClusters[Cluster],$A33))</f>
        <v>ku002i000246</v>
      </c>
      <c r="C33" s="34" t="str">
        <f>IF($A33="","",INDEX(TblClusters[Environnement],$A33))</f>
        <v>NPRD</v>
      </c>
      <c r="D33" s="34">
        <f>IF($A33="","",SUMIFS(TblCalculs[Workers],TblCalculs[Cluster],$B33,TblCalculs[Mois],ex_mois))</f>
        <v>15</v>
      </c>
      <c r="E33" s="34">
        <f>IF($A33="","",COUNTIFS(TblApplications[Cluster IKS source],$B33,TblApplications[Action],"À migrer",TblApplications[Mois lib (calc)],"&gt;"&amp;ex_mois)+COUNTIFS(TblApplications[Cluster IKS source],$B33,TblApplications[Action],"À décommissionner",TblApplications[Mois lib (calc)],"&gt;"&amp;ex_mois))</f>
        <v>0</v>
      </c>
      <c r="F33" s="33" t="str">
        <f>IF($A33="","",IFERROR(1/(1/_xlfn.MAXIFS(TblApplications[Mois lib (calc)],TblApplications[Cluster IKS source],$B33)),"–"))</f>
        <v>–</v>
      </c>
      <c r="G33" s="33" t="str">
        <f>IF($A33="","",IF(INDEX(TblClusters[Fermeture retenue],$A33)="","–",INDEX(TblClusters[Fermeture retenue],$A33)))</f>
        <v>–</v>
      </c>
      <c r="H33" s="34" t="str">
        <f t="shared" si="0"/>
        <v>Non planifiée</v>
      </c>
      <c r="I33" s="27">
        <f>IF($A33="","",SUMIFS(TblCalculs[Coût mensuel],TblCalculs[Cluster],$B33,TblCalculs[Mois],"&gt;="&amp;ex_mois))</f>
        <v>350460</v>
      </c>
      <c r="N33" s="33">
        <f>IF(2&gt;p_horizon,"",EDATE(p_debut,1))</f>
        <v>46327</v>
      </c>
      <c r="O33" s="27">
        <f>IF(2&gt;p_horizon,"",SUMIFS(TblCalculs[Coût mensuel],TblCalculs[Plateforme],"IKS",TblCalculs[Environnement],ex_envc,TblCalculs[Mois],$N33))</f>
        <v>90471</v>
      </c>
      <c r="P33" s="34">
        <f>IF(2&gt;p_horizon,"",(COUNTIFS(TblApplications[Action],"À migrer",TblApplications[Mois lib (calc)],"&gt;"&amp;$N33,TblApplications[Environnement],ex_envc,TblApplications[Domaine],ex_domc,TblApplications[Tribe],ex_tric)+COUNTIFS(TblApplications[Action],"À décommissionner",TblApplications[Mois lib (calc)],"&gt;"&amp;$N33,TblApplications[Environnement],ex_envc,TblApplications[Domaine],ex_domc,TblApplications[Tribe],ex_tric)))</f>
        <v>4</v>
      </c>
      <c r="Q33" s="34">
        <f>IF(2&gt;p_horizon,"",COUNTIFS(TblCalculs[Plateforme],"IKS",TblCalculs[Mois],$N33,TblCalculs[Workers],"&gt;0",TblCalculs[Environnement],ex_envc))</f>
        <v>8</v>
      </c>
      <c r="R33" s="27">
        <f>IF(2&gt;p_horizon,"",SUMIFS(TblCalculs[Coût mensuel],TblCalculs[Plateforme],"IKS",TblCalculs[Environnement],ex_envc,TblCalculs[Mois],"&gt;="&amp;$N33))</f>
        <v>2828769</v>
      </c>
    </row>
    <row r="34" spans="1:18" x14ac:dyDescent="0.2">
      <c r="A34" s="37">
        <f>IFERROR(MATCH(3,TblClusters[Rang extinction],0),"")</f>
        <v>24</v>
      </c>
      <c r="B34" s="34" t="str">
        <f>IF($A34="","",INDEX(TblClusters[Cluster],$A34))</f>
        <v>ku002i000510</v>
      </c>
      <c r="C34" s="34" t="str">
        <f>IF($A34="","",INDEX(TblClusters[Environnement],$A34))</f>
        <v>NPRD</v>
      </c>
      <c r="D34" s="34">
        <f>IF($A34="","",SUMIFS(TblCalculs[Workers],TblCalculs[Cluster],$B34,TblCalculs[Mois],ex_mois))</f>
        <v>6</v>
      </c>
      <c r="E34" s="34">
        <f>IF($A34="","",COUNTIFS(TblApplications[Cluster IKS source],$B34,TblApplications[Action],"À migrer",TblApplications[Mois lib (calc)],"&gt;"&amp;ex_mois)+COUNTIFS(TblApplications[Cluster IKS source],$B34,TblApplications[Action],"À décommissionner",TblApplications[Mois lib (calc)],"&gt;"&amp;ex_mois))</f>
        <v>0</v>
      </c>
      <c r="F34" s="33" t="str">
        <f>IF($A34="","",IFERROR(1/(1/_xlfn.MAXIFS(TblApplications[Mois lib (calc)],TblApplications[Cluster IKS source],$B34)),"–"))</f>
        <v>–</v>
      </c>
      <c r="G34" s="33" t="str">
        <f>IF($A34="","",IF(INDEX(TblClusters[Fermeture retenue],$A34)="","–",INDEX(TblClusters[Fermeture retenue],$A34)))</f>
        <v>–</v>
      </c>
      <c r="H34" s="34" t="str">
        <f t="shared" si="0"/>
        <v>Non planifiée</v>
      </c>
      <c r="I34" s="27">
        <f>IF($A34="","",SUMIFS(TblCalculs[Coût mensuel],TblCalculs[Cluster],$B34,TblCalculs[Mois],"&gt;="&amp;ex_mois))</f>
        <v>35112</v>
      </c>
      <c r="N34" s="33">
        <f>IF(3&gt;p_horizon,"",EDATE(p_debut,2))</f>
        <v>46357</v>
      </c>
      <c r="O34" s="27">
        <f>IF(3&gt;p_horizon,"",SUMIFS(TblCalculs[Coût mensuel],TblCalculs[Plateforme],"IKS",TblCalculs[Environnement],ex_envc,TblCalculs[Mois],$N34))</f>
        <v>90471</v>
      </c>
      <c r="P34" s="34">
        <f>IF(3&gt;p_horizon,"",(COUNTIFS(TblApplications[Action],"À migrer",TblApplications[Mois lib (calc)],"&gt;"&amp;$N34,TblApplications[Environnement],ex_envc,TblApplications[Domaine],ex_domc,TblApplications[Tribe],ex_tric)+COUNTIFS(TblApplications[Action],"À décommissionner",TblApplications[Mois lib (calc)],"&gt;"&amp;$N34,TblApplications[Environnement],ex_envc,TblApplications[Domaine],ex_domc,TblApplications[Tribe],ex_tric)))</f>
        <v>4</v>
      </c>
      <c r="Q34" s="34">
        <f>IF(3&gt;p_horizon,"",COUNTIFS(TblCalculs[Plateforme],"IKS",TblCalculs[Mois],$N34,TblCalculs[Workers],"&gt;0",TblCalculs[Environnement],ex_envc))</f>
        <v>8</v>
      </c>
      <c r="R34" s="27">
        <f>IF(3&gt;p_horizon,"",SUMIFS(TblCalculs[Coût mensuel],TblCalculs[Plateforme],"IKS",TblCalculs[Environnement],ex_envc,TblCalculs[Mois],"&gt;="&amp;$N34))</f>
        <v>2738298</v>
      </c>
    </row>
    <row r="35" spans="1:18" x14ac:dyDescent="0.2">
      <c r="A35" s="37">
        <f>IFERROR(MATCH(4,TblClusters[Rang extinction],0),"")</f>
        <v>25</v>
      </c>
      <c r="B35" s="34" t="str">
        <f>IF($A35="","",INDEX(TblClusters[Cluster],$A35))</f>
        <v>ku002i000565</v>
      </c>
      <c r="C35" s="34" t="str">
        <f>IF($A35="","",INDEX(TblClusters[Environnement],$A35))</f>
        <v>PRD</v>
      </c>
      <c r="D35" s="34">
        <f>IF($A35="","",SUMIFS(TblCalculs[Workers],TblCalculs[Cluster],$B35,TblCalculs[Mois],ex_mois))</f>
        <v>6</v>
      </c>
      <c r="E35" s="34">
        <f>IF($A35="","",COUNTIFS(TblApplications[Cluster IKS source],$B35,TblApplications[Action],"À migrer",TblApplications[Mois lib (calc)],"&gt;"&amp;ex_mois)+COUNTIFS(TblApplications[Cluster IKS source],$B35,TblApplications[Action],"À décommissionner",TblApplications[Mois lib (calc)],"&gt;"&amp;ex_mois))</f>
        <v>0</v>
      </c>
      <c r="F35" s="33" t="str">
        <f>IF($A35="","",IFERROR(1/(1/_xlfn.MAXIFS(TblApplications[Mois lib (calc)],TblApplications[Cluster IKS source],$B35)),"–"))</f>
        <v>–</v>
      </c>
      <c r="G35" s="33" t="str">
        <f>IF($A35="","",IF(INDEX(TblClusters[Fermeture retenue],$A35)="","–",INDEX(TblClusters[Fermeture retenue],$A35)))</f>
        <v>–</v>
      </c>
      <c r="H35" s="34" t="str">
        <f t="shared" si="0"/>
        <v>Non planifiée</v>
      </c>
      <c r="I35" s="27">
        <f>IF($A35="","",SUMIFS(TblCalculs[Coût mensuel],TblCalculs[Cluster],$B35,TblCalculs[Mois],"&gt;="&amp;ex_mois))</f>
        <v>35112</v>
      </c>
      <c r="N35" s="33">
        <f>IF(4&gt;p_horizon,"",EDATE(p_debut,3))</f>
        <v>46388</v>
      </c>
      <c r="O35" s="27">
        <f>IF(4&gt;p_horizon,"",SUMIFS(TblCalculs[Coût mensuel],TblCalculs[Plateforme],"IKS",TblCalculs[Environnement],ex_envc,TblCalculs[Mois],$N35))</f>
        <v>90471</v>
      </c>
      <c r="P35" s="34">
        <f>IF(4&gt;p_horizon,"",(COUNTIFS(TblApplications[Action],"À migrer",TblApplications[Mois lib (calc)],"&gt;"&amp;$N35,TblApplications[Environnement],ex_envc,TblApplications[Domaine],ex_domc,TblApplications[Tribe],ex_tric)+COUNTIFS(TblApplications[Action],"À décommissionner",TblApplications[Mois lib (calc)],"&gt;"&amp;$N35,TblApplications[Environnement],ex_envc,TblApplications[Domaine],ex_domc,TblApplications[Tribe],ex_tric)))</f>
        <v>4</v>
      </c>
      <c r="Q35" s="34">
        <f>IF(4&gt;p_horizon,"",COUNTIFS(TblCalculs[Plateforme],"IKS",TblCalculs[Mois],$N35,TblCalculs[Workers],"&gt;0",TblCalculs[Environnement],ex_envc))</f>
        <v>8</v>
      </c>
      <c r="R35" s="27">
        <f>IF(4&gt;p_horizon,"",SUMIFS(TblCalculs[Coût mensuel],TblCalculs[Plateforme],"IKS",TblCalculs[Environnement],ex_envc,TblCalculs[Mois],"&gt;="&amp;$N35))</f>
        <v>2647827</v>
      </c>
    </row>
    <row r="36" spans="1:18" x14ac:dyDescent="0.2">
      <c r="A36" s="37">
        <f>IFERROR(MATCH(5,TblClusters[Rang extinction],0),"")</f>
        <v>26</v>
      </c>
      <c r="B36" s="34" t="str">
        <f>IF($A36="","",INDEX(TblClusters[Cluster],$A36))</f>
        <v>ku002i000829</v>
      </c>
      <c r="C36" s="34" t="str">
        <f>IF($A36="","",INDEX(TblClusters[Environnement],$A36))</f>
        <v>NPRD</v>
      </c>
      <c r="D36" s="34">
        <f>IF($A36="","",SUMIFS(TblCalculs[Workers],TblCalculs[Cluster],$B36,TblCalculs[Mois],ex_mois))</f>
        <v>6</v>
      </c>
      <c r="E36" s="34">
        <f>IF($A36="","",COUNTIFS(TblApplications[Cluster IKS source],$B36,TblApplications[Action],"À migrer",TblApplications[Mois lib (calc)],"&gt;"&amp;ex_mois)+COUNTIFS(TblApplications[Cluster IKS source],$B36,TblApplications[Action],"À décommissionner",TblApplications[Mois lib (calc)],"&gt;"&amp;ex_mois))</f>
        <v>0</v>
      </c>
      <c r="F36" s="33" t="str">
        <f>IF($A36="","",IFERROR(1/(1/_xlfn.MAXIFS(TblApplications[Mois lib (calc)],TblApplications[Cluster IKS source],$B36)),"–"))</f>
        <v>–</v>
      </c>
      <c r="G36" s="33" t="str">
        <f>IF($A36="","",IF(INDEX(TblClusters[Fermeture retenue],$A36)="","–",INDEX(TblClusters[Fermeture retenue],$A36)))</f>
        <v>–</v>
      </c>
      <c r="H36" s="34" t="str">
        <f t="shared" si="0"/>
        <v>Non planifiée</v>
      </c>
      <c r="I36" s="27">
        <f>IF($A36="","",SUMIFS(TblCalculs[Coût mensuel],TblCalculs[Cluster],$B36,TblCalculs[Mois],"&gt;="&amp;ex_mois))</f>
        <v>375144</v>
      </c>
      <c r="N36" s="33">
        <f>IF(5&gt;p_horizon,"",EDATE(p_debut,4))</f>
        <v>46419</v>
      </c>
      <c r="O36" s="27">
        <f>IF(5&gt;p_horizon,"",SUMIFS(TblCalculs[Coût mensuel],TblCalculs[Plateforme],"IKS",TblCalculs[Environnement],ex_envc,TblCalculs[Mois],$N36))</f>
        <v>90471</v>
      </c>
      <c r="P36" s="34">
        <f>IF(5&gt;p_horizon,"",(COUNTIFS(TblApplications[Action],"À migrer",TblApplications[Mois lib (calc)],"&gt;"&amp;$N36,TblApplications[Environnement],ex_envc,TblApplications[Domaine],ex_domc,TblApplications[Tribe],ex_tric)+COUNTIFS(TblApplications[Action],"À décommissionner",TblApplications[Mois lib (calc)],"&gt;"&amp;$N36,TblApplications[Environnement],ex_envc,TblApplications[Domaine],ex_domc,TblApplications[Tribe],ex_tric)))</f>
        <v>4</v>
      </c>
      <c r="Q36" s="34">
        <f>IF(5&gt;p_horizon,"",COUNTIFS(TblCalculs[Plateforme],"IKS",TblCalculs[Mois],$N36,TblCalculs[Workers],"&gt;0",TblCalculs[Environnement],ex_envc))</f>
        <v>8</v>
      </c>
      <c r="R36" s="27">
        <f>IF(5&gt;p_horizon,"",SUMIFS(TblCalculs[Coût mensuel],TblCalculs[Plateforme],"IKS",TblCalculs[Environnement],ex_envc,TblCalculs[Mois],"&gt;="&amp;$N36))</f>
        <v>2557356</v>
      </c>
    </row>
    <row r="37" spans="1:18" x14ac:dyDescent="0.2">
      <c r="A37" s="37">
        <f>IFERROR(MATCH(6,TblClusters[Rang extinction],0),"")</f>
        <v>27</v>
      </c>
      <c r="B37" s="34" t="str">
        <f>IF($A37="","",INDEX(TblClusters[Cluster],$A37))</f>
        <v>ku002i000908</v>
      </c>
      <c r="C37" s="34" t="str">
        <f>IF($A37="","",INDEX(TblClusters[Environnement],$A37))</f>
        <v>PRD</v>
      </c>
      <c r="D37" s="34">
        <f>IF($A37="","",SUMIFS(TblCalculs[Workers],TblCalculs[Cluster],$B37,TblCalculs[Mois],ex_mois))</f>
        <v>6</v>
      </c>
      <c r="E37" s="34">
        <f>IF($A37="","",COUNTIFS(TblApplications[Cluster IKS source],$B37,TblApplications[Action],"À migrer",TblApplications[Mois lib (calc)],"&gt;"&amp;ex_mois)+COUNTIFS(TblApplications[Cluster IKS source],$B37,TblApplications[Action],"À décommissionner",TblApplications[Mois lib (calc)],"&gt;"&amp;ex_mois))</f>
        <v>0</v>
      </c>
      <c r="F37" s="33" t="str">
        <f>IF($A37="","",IFERROR(1/(1/_xlfn.MAXIFS(TblApplications[Mois lib (calc)],TblApplications[Cluster IKS source],$B37)),"–"))</f>
        <v>–</v>
      </c>
      <c r="G37" s="33" t="str">
        <f>IF($A37="","",IF(INDEX(TblClusters[Fermeture retenue],$A37)="","–",INDEX(TblClusters[Fermeture retenue],$A37)))</f>
        <v>–</v>
      </c>
      <c r="H37" s="34" t="str">
        <f t="shared" si="0"/>
        <v>Non planifiée</v>
      </c>
      <c r="I37" s="27">
        <f>IF($A37="","",SUMIFS(TblCalculs[Coût mensuel],TblCalculs[Cluster],$B37,TblCalculs[Mois],"&gt;="&amp;ex_mois))</f>
        <v>187572</v>
      </c>
      <c r="N37" s="33">
        <f>IF(6&gt;p_horizon,"",EDATE(p_debut,5))</f>
        <v>46447</v>
      </c>
      <c r="O37" s="27">
        <f>IF(6&gt;p_horizon,"",SUMIFS(TblCalculs[Coût mensuel],TblCalculs[Plateforme],"IKS",TblCalculs[Environnement],ex_envc,TblCalculs[Mois],$N37))</f>
        <v>90471</v>
      </c>
      <c r="P37" s="34">
        <f>IF(6&gt;p_horizon,"",(COUNTIFS(TblApplications[Action],"À migrer",TblApplications[Mois lib (calc)],"&gt;"&amp;$N37,TblApplications[Environnement],ex_envc,TblApplications[Domaine],ex_domc,TblApplications[Tribe],ex_tric)+COUNTIFS(TblApplications[Action],"À décommissionner",TblApplications[Mois lib (calc)],"&gt;"&amp;$N37,TblApplications[Environnement],ex_envc,TblApplications[Domaine],ex_domc,TblApplications[Tribe],ex_tric)))</f>
        <v>4</v>
      </c>
      <c r="Q37" s="34">
        <f>IF(6&gt;p_horizon,"",COUNTIFS(TblCalculs[Plateforme],"IKS",TblCalculs[Mois],$N37,TblCalculs[Workers],"&gt;0",TblCalculs[Environnement],ex_envc))</f>
        <v>8</v>
      </c>
      <c r="R37" s="27">
        <f>IF(6&gt;p_horizon,"",SUMIFS(TblCalculs[Coût mensuel],TblCalculs[Plateforme],"IKS",TblCalculs[Environnement],ex_envc,TblCalculs[Mois],"&gt;="&amp;$N37))</f>
        <v>2466885</v>
      </c>
    </row>
    <row r="38" spans="1:18" x14ac:dyDescent="0.2">
      <c r="A38" s="37">
        <f>IFERROR(MATCH(7,TblClusters[Rang extinction],0),"")</f>
        <v>28</v>
      </c>
      <c r="B38" s="34" t="str">
        <f>IF($A38="","",INDEX(TblClusters[Cluster],$A38))</f>
        <v>ku002i001021</v>
      </c>
      <c r="C38" s="34" t="str">
        <f>IF($A38="","",INDEX(TblClusters[Environnement],$A38))</f>
        <v>NPRD</v>
      </c>
      <c r="D38" s="34">
        <f>IF($A38="","",SUMIFS(TblCalculs[Workers],TblCalculs[Cluster],$B38,TblCalculs[Mois],ex_mois))</f>
        <v>9</v>
      </c>
      <c r="E38" s="34">
        <f>IF($A38="","",COUNTIFS(TblApplications[Cluster IKS source],$B38,TblApplications[Action],"À migrer",TblApplications[Mois lib (calc)],"&gt;"&amp;ex_mois)+COUNTIFS(TblApplications[Cluster IKS source],$B38,TblApplications[Action],"À décommissionner",TblApplications[Mois lib (calc)],"&gt;"&amp;ex_mois))</f>
        <v>0</v>
      </c>
      <c r="F38" s="33" t="str">
        <f>IF($A38="","",IFERROR(1/(1/_xlfn.MAXIFS(TblApplications[Mois lib (calc)],TblApplications[Cluster IKS source],$B38)),"–"))</f>
        <v>–</v>
      </c>
      <c r="G38" s="33" t="str">
        <f>IF($A38="","",IF(INDEX(TblClusters[Fermeture retenue],$A38)="","–",INDEX(TblClusters[Fermeture retenue],$A38)))</f>
        <v>–</v>
      </c>
      <c r="H38" s="34" t="str">
        <f t="shared" si="0"/>
        <v>Non planifiée</v>
      </c>
      <c r="I38" s="27">
        <f>IF($A38="","",SUMIFS(TblCalculs[Coût mensuel],TblCalculs[Cluster],$B38,TblCalculs[Mois],"&gt;="&amp;ex_mois))</f>
        <v>281358</v>
      </c>
      <c r="N38" s="33">
        <f>IF(7&gt;p_horizon,"",EDATE(p_debut,6))</f>
        <v>46478</v>
      </c>
      <c r="O38" s="27">
        <f>IF(7&gt;p_horizon,"",SUMIFS(TblCalculs[Coût mensuel],TblCalculs[Plateforme],"IKS",TblCalculs[Environnement],ex_envc,TblCalculs[Mois],$N38))</f>
        <v>90471</v>
      </c>
      <c r="P38" s="34">
        <f>IF(7&gt;p_horizon,"",(COUNTIFS(TblApplications[Action],"À migrer",TblApplications[Mois lib (calc)],"&gt;"&amp;$N38,TblApplications[Environnement],ex_envc,TblApplications[Domaine],ex_domc,TblApplications[Tribe],ex_tric)+COUNTIFS(TblApplications[Action],"À décommissionner",TblApplications[Mois lib (calc)],"&gt;"&amp;$N38,TblApplications[Environnement],ex_envc,TblApplications[Domaine],ex_domc,TblApplications[Tribe],ex_tric)))</f>
        <v>4</v>
      </c>
      <c r="Q38" s="34">
        <f>IF(7&gt;p_horizon,"",COUNTIFS(TblCalculs[Plateforme],"IKS",TblCalculs[Mois],$N38,TblCalculs[Workers],"&gt;0",TblCalculs[Environnement],ex_envc))</f>
        <v>8</v>
      </c>
      <c r="R38" s="27">
        <f>IF(7&gt;p_horizon,"",SUMIFS(TblCalculs[Coût mensuel],TblCalculs[Plateforme],"IKS",TblCalculs[Environnement],ex_envc,TblCalculs[Mois],"&gt;="&amp;$N38))</f>
        <v>2376414</v>
      </c>
    </row>
    <row r="39" spans="1:18" x14ac:dyDescent="0.2">
      <c r="A39" s="37">
        <f>IFERROR(MATCH(8,TblClusters[Rang extinction],0),"")</f>
        <v>29</v>
      </c>
      <c r="B39" s="34" t="str">
        <f>IF($A39="","",INDEX(TblClusters[Cluster],$A39))</f>
        <v>ku002i001071</v>
      </c>
      <c r="C39" s="34" t="str">
        <f>IF($A39="","",INDEX(TblClusters[Environnement],$A39))</f>
        <v>PRD</v>
      </c>
      <c r="D39" s="34">
        <f>IF($A39="","",SUMIFS(TblCalculs[Workers],TblCalculs[Cluster],$B39,TblCalculs[Mois],ex_mois))</f>
        <v>6</v>
      </c>
      <c r="E39" s="34">
        <f>IF($A39="","",COUNTIFS(TblApplications[Cluster IKS source],$B39,TblApplications[Action],"À migrer",TblApplications[Mois lib (calc)],"&gt;"&amp;ex_mois)+COUNTIFS(TblApplications[Cluster IKS source],$B39,TblApplications[Action],"À décommissionner",TblApplications[Mois lib (calc)],"&gt;"&amp;ex_mois))</f>
        <v>0</v>
      </c>
      <c r="F39" s="33" t="str">
        <f>IF($A39="","",IFERROR(1/(1/_xlfn.MAXIFS(TblApplications[Mois lib (calc)],TblApplications[Cluster IKS source],$B39)),"–"))</f>
        <v>–</v>
      </c>
      <c r="G39" s="33" t="str">
        <f>IF($A39="","",IF(INDEX(TblClusters[Fermeture retenue],$A39)="","–",INDEX(TblClusters[Fermeture retenue],$A39)))</f>
        <v>–</v>
      </c>
      <c r="H39" s="34" t="str">
        <f t="shared" si="0"/>
        <v>Non planifiée</v>
      </c>
      <c r="I39" s="27">
        <f>IF($A39="","",SUMIFS(TblCalculs[Coût mensuel],TblCalculs[Cluster],$B39,TblCalculs[Mois],"&gt;="&amp;ex_mois))</f>
        <v>375144</v>
      </c>
      <c r="N39" s="33">
        <f>IF(8&gt;p_horizon,"",EDATE(p_debut,7))</f>
        <v>46508</v>
      </c>
      <c r="O39" s="27">
        <f>IF(8&gt;p_horizon,"",SUMIFS(TblCalculs[Coût mensuel],TblCalculs[Plateforme],"IKS",TblCalculs[Environnement],ex_envc,TblCalculs[Mois],$N39))</f>
        <v>90471</v>
      </c>
      <c r="P39" s="34">
        <f>IF(8&gt;p_horizon,"",(COUNTIFS(TblApplications[Action],"À migrer",TblApplications[Mois lib (calc)],"&gt;"&amp;$N39,TblApplications[Environnement],ex_envc,TblApplications[Domaine],ex_domc,TblApplications[Tribe],ex_tric)+COUNTIFS(TblApplications[Action],"À décommissionner",TblApplications[Mois lib (calc)],"&gt;"&amp;$N39,TblApplications[Environnement],ex_envc,TblApplications[Domaine],ex_domc,TblApplications[Tribe],ex_tric)))</f>
        <v>4</v>
      </c>
      <c r="Q39" s="34">
        <f>IF(8&gt;p_horizon,"",COUNTIFS(TblCalculs[Plateforme],"IKS",TblCalculs[Mois],$N39,TblCalculs[Workers],"&gt;0",TblCalculs[Environnement],ex_envc))</f>
        <v>8</v>
      </c>
      <c r="R39" s="27">
        <f>IF(8&gt;p_horizon,"",SUMIFS(TblCalculs[Coût mensuel],TblCalculs[Plateforme],"IKS",TblCalculs[Environnement],ex_envc,TblCalculs[Mois],"&gt;="&amp;$N39))</f>
        <v>2285943</v>
      </c>
    </row>
    <row r="40" spans="1:18" x14ac:dyDescent="0.2">
      <c r="A40" s="37">
        <f>IFERROR(MATCH(9,TblClusters[Rang extinction],0),"")</f>
        <v>30</v>
      </c>
      <c r="B40" s="34" t="str">
        <f>IF($A40="","",INDEX(TblClusters[Cluster],$A40))</f>
        <v>ku002i001098</v>
      </c>
      <c r="C40" s="34" t="str">
        <f>IF($A40="","",INDEX(TblClusters[Environnement],$A40))</f>
        <v>NPRD</v>
      </c>
      <c r="D40" s="34">
        <f>IF($A40="","",SUMIFS(TblCalculs[Workers],TblCalculs[Cluster],$B40,TblCalculs[Mois],ex_mois))</f>
        <v>0</v>
      </c>
      <c r="E40" s="34">
        <f>IF($A40="","",COUNTIFS(TblApplications[Cluster IKS source],$B40,TblApplications[Action],"À migrer",TblApplications[Mois lib (calc)],"&gt;"&amp;ex_mois)+COUNTIFS(TblApplications[Cluster IKS source],$B40,TblApplications[Action],"À décommissionner",TblApplications[Mois lib (calc)],"&gt;"&amp;ex_mois))</f>
        <v>0</v>
      </c>
      <c r="F40" s="33" t="str">
        <f>IF($A40="","",IFERROR(1/(1/_xlfn.MAXIFS(TblApplications[Mois lib (calc)],TblApplications[Cluster IKS source],$B40)),"–"))</f>
        <v>–</v>
      </c>
      <c r="G40" s="33" t="str">
        <f>IF($A40="","",IF(INDEX(TblClusters[Fermeture retenue],$A40)="","–",INDEX(TblClusters[Fermeture retenue],$A40)))</f>
        <v>–</v>
      </c>
      <c r="H40" s="34" t="str">
        <f t="shared" si="0"/>
        <v>Non planifiée</v>
      </c>
      <c r="I40" s="27">
        <f>IF($A40="","",SUMIFS(TblCalculs[Coût mensuel],TblCalculs[Cluster],$B40,TblCalculs[Mois],"&gt;="&amp;ex_mois))</f>
        <v>0</v>
      </c>
      <c r="N40" s="33">
        <f>IF(9&gt;p_horizon,"",EDATE(p_debut,8))</f>
        <v>46539</v>
      </c>
      <c r="O40" s="27">
        <f>IF(9&gt;p_horizon,"",SUMIFS(TblCalculs[Coût mensuel],TblCalculs[Plateforme],"IKS",TblCalculs[Environnement],ex_envc,TblCalculs[Mois],$N40))</f>
        <v>85161</v>
      </c>
      <c r="P40" s="34">
        <f>IF(9&gt;p_horizon,"",(COUNTIFS(TblApplications[Action],"À migrer",TblApplications[Mois lib (calc)],"&gt;"&amp;$N40,TblApplications[Environnement],ex_envc,TblApplications[Domaine],ex_domc,TblApplications[Tribe],ex_tric)+COUNTIFS(TblApplications[Action],"À décommissionner",TblApplications[Mois lib (calc)],"&gt;"&amp;$N40,TblApplications[Environnement],ex_envc,TblApplications[Domaine],ex_domc,TblApplications[Tribe],ex_tric)))</f>
        <v>3</v>
      </c>
      <c r="Q40" s="34">
        <f>IF(9&gt;p_horizon,"",COUNTIFS(TblCalculs[Plateforme],"IKS",TblCalculs[Mois],$N40,TblCalculs[Workers],"&gt;0",TblCalculs[Environnement],ex_envc))</f>
        <v>8</v>
      </c>
      <c r="R40" s="27">
        <f>IF(9&gt;p_horizon,"",SUMIFS(TblCalculs[Coût mensuel],TblCalculs[Plateforme],"IKS",TblCalculs[Environnement],ex_envc,TblCalculs[Mois],"&gt;="&amp;$N40))</f>
        <v>2195472</v>
      </c>
    </row>
    <row r="41" spans="1:18" x14ac:dyDescent="0.2">
      <c r="A41" s="37" t="str">
        <f>IFERROR(MATCH(10,TblClusters[Rang extinction],0),"")</f>
        <v/>
      </c>
      <c r="B41" s="34" t="str">
        <f>IF($A41="","",INDEX(TblClusters[Cluster],$A41))</f>
        <v/>
      </c>
      <c r="C41" s="34" t="str">
        <f>IF($A41="","",INDEX(TblClusters[Environnement],$A41))</f>
        <v/>
      </c>
      <c r="D41" s="34" t="str">
        <f>IF($A41="","",SUMIFS(TblCalculs[Workers],TblCalculs[Cluster],$B41,TblCalculs[Mois],ex_mois))</f>
        <v/>
      </c>
      <c r="E41" s="34" t="str">
        <f>IF($A41="","",COUNTIFS(TblApplications[Cluster IKS source],$B41,TblApplications[Action],"À migrer",TblApplications[Mois lib (calc)],"&gt;"&amp;ex_mois)+COUNTIFS(TblApplications[Cluster IKS source],$B41,TblApplications[Action],"À décommissionner",TblApplications[Mois lib (calc)],"&gt;"&amp;ex_mois))</f>
        <v/>
      </c>
      <c r="F41" s="33" t="str">
        <f>IF($A41="","",IFERROR(1/(1/_xlfn.MAXIFS(TblApplications[Mois lib (calc)],TblApplications[Cluster IKS source],$B41)),"–"))</f>
        <v/>
      </c>
      <c r="G41" s="33" t="str">
        <f>IF($A41="","",IF(INDEX(TblClusters[Fermeture retenue],$A41)="","–",INDEX(TblClusters[Fermeture retenue],$A41)))</f>
        <v/>
      </c>
      <c r="H41" s="34" t="str">
        <f t="shared" si="0"/>
        <v/>
      </c>
      <c r="I41" s="27" t="str">
        <f>IF($A41="","",SUMIFS(TblCalculs[Coût mensuel],TblCalculs[Cluster],$B41,TblCalculs[Mois],"&gt;="&amp;ex_mois))</f>
        <v/>
      </c>
      <c r="N41" s="33">
        <f>IF(10&gt;p_horizon,"",EDATE(p_debut,9))</f>
        <v>46569</v>
      </c>
      <c r="O41" s="27">
        <f>IF(10&gt;p_horizon,"",SUMIFS(TblCalculs[Coût mensuel],TblCalculs[Plateforme],"IKS",TblCalculs[Environnement],ex_envc,TblCalculs[Mois],$N41))</f>
        <v>81975</v>
      </c>
      <c r="P41" s="34">
        <f>IF(10&gt;p_horizon,"",(COUNTIFS(TblApplications[Action],"À migrer",TblApplications[Mois lib (calc)],"&gt;"&amp;$N41,TblApplications[Environnement],ex_envc,TblApplications[Domaine],ex_domc,TblApplications[Tribe],ex_tric)+COUNTIFS(TblApplications[Action],"À décommissionner",TblApplications[Mois lib (calc)],"&gt;"&amp;$N41,TblApplications[Environnement],ex_envc,TblApplications[Domaine],ex_domc,TblApplications[Tribe],ex_tric)))</f>
        <v>2</v>
      </c>
      <c r="Q41" s="34">
        <f>IF(10&gt;p_horizon,"",COUNTIFS(TblCalculs[Plateforme],"IKS",TblCalculs[Mois],$N41,TblCalculs[Workers],"&gt;0",TblCalculs[Environnement],ex_envc))</f>
        <v>8</v>
      </c>
      <c r="R41" s="27">
        <f>IF(10&gt;p_horizon,"",SUMIFS(TblCalculs[Coût mensuel],TblCalculs[Plateforme],"IKS",TblCalculs[Environnement],ex_envc,TblCalculs[Mois],"&gt;="&amp;$N41))</f>
        <v>2110311</v>
      </c>
    </row>
    <row r="42" spans="1:18" x14ac:dyDescent="0.2">
      <c r="A42" s="37" t="str">
        <f>IFERROR(MATCH(11,TblClusters[Rang extinction],0),"")</f>
        <v/>
      </c>
      <c r="B42" s="34" t="str">
        <f>IF($A42="","",INDEX(TblClusters[Cluster],$A42))</f>
        <v/>
      </c>
      <c r="C42" s="34" t="str">
        <f>IF($A42="","",INDEX(TblClusters[Environnement],$A42))</f>
        <v/>
      </c>
      <c r="D42" s="34" t="str">
        <f>IF($A42="","",SUMIFS(TblCalculs[Workers],TblCalculs[Cluster],$B42,TblCalculs[Mois],ex_mois))</f>
        <v/>
      </c>
      <c r="E42" s="34" t="str">
        <f>IF($A42="","",COUNTIFS(TblApplications[Cluster IKS source],$B42,TblApplications[Action],"À migrer",TblApplications[Mois lib (calc)],"&gt;"&amp;ex_mois)+COUNTIFS(TblApplications[Cluster IKS source],$B42,TblApplications[Action],"À décommissionner",TblApplications[Mois lib (calc)],"&gt;"&amp;ex_mois))</f>
        <v/>
      </c>
      <c r="F42" s="33" t="str">
        <f>IF($A42="","",IFERROR(1/(1/_xlfn.MAXIFS(TblApplications[Mois lib (calc)],TblApplications[Cluster IKS source],$B42)),"–"))</f>
        <v/>
      </c>
      <c r="G42" s="33" t="str">
        <f>IF($A42="","",IF(INDEX(TblClusters[Fermeture retenue],$A42)="","–",INDEX(TblClusters[Fermeture retenue],$A42)))</f>
        <v/>
      </c>
      <c r="H42" s="34" t="str">
        <f t="shared" si="0"/>
        <v/>
      </c>
      <c r="I42" s="27" t="str">
        <f>IF($A42="","",SUMIFS(TblCalculs[Coût mensuel],TblCalculs[Cluster],$B42,TblCalculs[Mois],"&gt;="&amp;ex_mois))</f>
        <v/>
      </c>
      <c r="N42" s="33">
        <f>IF(11&gt;p_horizon,"",EDATE(p_debut,10))</f>
        <v>46600</v>
      </c>
      <c r="O42" s="27">
        <f>IF(11&gt;p_horizon,"",SUMIFS(TblCalculs[Coût mensuel],TblCalculs[Plateforme],"IKS",TblCalculs[Environnement],ex_envc,TblCalculs[Mois],$N42))</f>
        <v>81975</v>
      </c>
      <c r="P42" s="34">
        <f>IF(11&gt;p_horizon,"",(COUNTIFS(TblApplications[Action],"À migrer",TblApplications[Mois lib (calc)],"&gt;"&amp;$N42,TblApplications[Environnement],ex_envc,TblApplications[Domaine],ex_domc,TblApplications[Tribe],ex_tric)+COUNTIFS(TblApplications[Action],"À décommissionner",TblApplications[Mois lib (calc)],"&gt;"&amp;$N42,TblApplications[Environnement],ex_envc,TblApplications[Domaine],ex_domc,TblApplications[Tribe],ex_tric)))</f>
        <v>2</v>
      </c>
      <c r="Q42" s="34">
        <f>IF(11&gt;p_horizon,"",COUNTIFS(TblCalculs[Plateforme],"IKS",TblCalculs[Mois],$N42,TblCalculs[Workers],"&gt;0",TblCalculs[Environnement],ex_envc))</f>
        <v>8</v>
      </c>
      <c r="R42" s="27">
        <f>IF(11&gt;p_horizon,"",SUMIFS(TblCalculs[Coût mensuel],TblCalculs[Plateforme],"IKS",TblCalculs[Environnement],ex_envc,TblCalculs[Mois],"&gt;="&amp;$N42))</f>
        <v>2028336</v>
      </c>
    </row>
    <row r="43" spans="1:18" x14ac:dyDescent="0.2">
      <c r="A43" s="37" t="str">
        <f>IFERROR(MATCH(12,TblClusters[Rang extinction],0),"")</f>
        <v/>
      </c>
      <c r="B43" s="34" t="str">
        <f>IF($A43="","",INDEX(TblClusters[Cluster],$A43))</f>
        <v/>
      </c>
      <c r="C43" s="34" t="str">
        <f>IF($A43="","",INDEX(TblClusters[Environnement],$A43))</f>
        <v/>
      </c>
      <c r="D43" s="34" t="str">
        <f>IF($A43="","",SUMIFS(TblCalculs[Workers],TblCalculs[Cluster],$B43,TblCalculs[Mois],ex_mois))</f>
        <v/>
      </c>
      <c r="E43" s="34" t="str">
        <f>IF($A43="","",COUNTIFS(TblApplications[Cluster IKS source],$B43,TblApplications[Action],"À migrer",TblApplications[Mois lib (calc)],"&gt;"&amp;ex_mois)+COUNTIFS(TblApplications[Cluster IKS source],$B43,TblApplications[Action],"À décommissionner",TblApplications[Mois lib (calc)],"&gt;"&amp;ex_mois))</f>
        <v/>
      </c>
      <c r="F43" s="33" t="str">
        <f>IF($A43="","",IFERROR(1/(1/_xlfn.MAXIFS(TblApplications[Mois lib (calc)],TblApplications[Cluster IKS source],$B43)),"–"))</f>
        <v/>
      </c>
      <c r="G43" s="33" t="str">
        <f>IF($A43="","",IF(INDEX(TblClusters[Fermeture retenue],$A43)="","–",INDEX(TblClusters[Fermeture retenue],$A43)))</f>
        <v/>
      </c>
      <c r="H43" s="34" t="str">
        <f t="shared" si="0"/>
        <v/>
      </c>
      <c r="I43" s="27" t="str">
        <f>IF($A43="","",SUMIFS(TblCalculs[Coût mensuel],TblCalculs[Cluster],$B43,TblCalculs[Mois],"&gt;="&amp;ex_mois))</f>
        <v/>
      </c>
      <c r="N43" s="33">
        <f>IF(12&gt;p_horizon,"",EDATE(p_debut,11))</f>
        <v>46631</v>
      </c>
      <c r="O43" s="27">
        <f>IF(12&gt;p_horizon,"",SUMIFS(TblCalculs[Coût mensuel],TblCalculs[Plateforme],"IKS",TblCalculs[Environnement],ex_envc,TblCalculs[Mois],$N43))</f>
        <v>81975</v>
      </c>
      <c r="P43" s="34">
        <f>IF(12&gt;p_horizon,"",(COUNTIFS(TblApplications[Action],"À migrer",TblApplications[Mois lib (calc)],"&gt;"&amp;$N43,TblApplications[Environnement],ex_envc,TblApplications[Domaine],ex_domc,TblApplications[Tribe],ex_tric)+COUNTIFS(TblApplications[Action],"À décommissionner",TblApplications[Mois lib (calc)],"&gt;"&amp;$N43,TblApplications[Environnement],ex_envc,TblApplications[Domaine],ex_domc,TblApplications[Tribe],ex_tric)))</f>
        <v>2</v>
      </c>
      <c r="Q43" s="34">
        <f>IF(12&gt;p_horizon,"",COUNTIFS(TblCalculs[Plateforme],"IKS",TblCalculs[Mois],$N43,TblCalculs[Workers],"&gt;0",TblCalculs[Environnement],ex_envc))</f>
        <v>8</v>
      </c>
      <c r="R43" s="27">
        <f>IF(12&gt;p_horizon,"",SUMIFS(TblCalculs[Coût mensuel],TblCalculs[Plateforme],"IKS",TblCalculs[Environnement],ex_envc,TblCalculs[Mois],"&gt;="&amp;$N43))</f>
        <v>1946361</v>
      </c>
    </row>
    <row r="44" spans="1:18" x14ac:dyDescent="0.2">
      <c r="A44" s="37" t="str">
        <f>IFERROR(MATCH(13,TblClusters[Rang extinction],0),"")</f>
        <v/>
      </c>
      <c r="B44" s="34" t="str">
        <f>IF($A44="","",INDEX(TblClusters[Cluster],$A44))</f>
        <v/>
      </c>
      <c r="C44" s="34" t="str">
        <f>IF($A44="","",INDEX(TblClusters[Environnement],$A44))</f>
        <v/>
      </c>
      <c r="D44" s="34" t="str">
        <f>IF($A44="","",SUMIFS(TblCalculs[Workers],TblCalculs[Cluster],$B44,TblCalculs[Mois],ex_mois))</f>
        <v/>
      </c>
      <c r="E44" s="34" t="str">
        <f>IF($A44="","",COUNTIFS(TblApplications[Cluster IKS source],$B44,TblApplications[Action],"À migrer",TblApplications[Mois lib (calc)],"&gt;"&amp;ex_mois)+COUNTIFS(TblApplications[Cluster IKS source],$B44,TblApplications[Action],"À décommissionner",TblApplications[Mois lib (calc)],"&gt;"&amp;ex_mois))</f>
        <v/>
      </c>
      <c r="F44" s="33" t="str">
        <f>IF($A44="","",IFERROR(1/(1/_xlfn.MAXIFS(TblApplications[Mois lib (calc)],TblApplications[Cluster IKS source],$B44)),"–"))</f>
        <v/>
      </c>
      <c r="G44" s="33" t="str">
        <f>IF($A44="","",IF(INDEX(TblClusters[Fermeture retenue],$A44)="","–",INDEX(TblClusters[Fermeture retenue],$A44)))</f>
        <v/>
      </c>
      <c r="H44" s="34" t="str">
        <f t="shared" si="0"/>
        <v/>
      </c>
      <c r="I44" s="27" t="str">
        <f>IF($A44="","",SUMIFS(TblCalculs[Coût mensuel],TblCalculs[Cluster],$B44,TblCalculs[Mois],"&gt;="&amp;ex_mois))</f>
        <v/>
      </c>
      <c r="N44" s="33">
        <f>IF(13&gt;p_horizon,"",EDATE(p_debut,12))</f>
        <v>46661</v>
      </c>
      <c r="O44" s="27">
        <f>IF(13&gt;p_horizon,"",SUMIFS(TblCalculs[Coût mensuel],TblCalculs[Plateforme],"IKS",TblCalculs[Environnement],ex_envc,TblCalculs[Mois],$N44))</f>
        <v>81975</v>
      </c>
      <c r="P44" s="34">
        <f>IF(13&gt;p_horizon,"",(COUNTIFS(TblApplications[Action],"À migrer",TblApplications[Mois lib (calc)],"&gt;"&amp;$N44,TblApplications[Environnement],ex_envc,TblApplications[Domaine],ex_domc,TblApplications[Tribe],ex_tric)+COUNTIFS(TblApplications[Action],"À décommissionner",TblApplications[Mois lib (calc)],"&gt;"&amp;$N44,TblApplications[Environnement],ex_envc,TblApplications[Domaine],ex_domc,TblApplications[Tribe],ex_tric)))</f>
        <v>2</v>
      </c>
      <c r="Q44" s="34">
        <f>IF(13&gt;p_horizon,"",COUNTIFS(TblCalculs[Plateforme],"IKS",TblCalculs[Mois],$N44,TblCalculs[Workers],"&gt;0",TblCalculs[Environnement],ex_envc))</f>
        <v>8</v>
      </c>
      <c r="R44" s="27">
        <f>IF(13&gt;p_horizon,"",SUMIFS(TblCalculs[Coût mensuel],TblCalculs[Plateforme],"IKS",TblCalculs[Environnement],ex_envc,TblCalculs[Mois],"&gt;="&amp;$N44))</f>
        <v>1864386</v>
      </c>
    </row>
    <row r="45" spans="1:18" x14ac:dyDescent="0.2">
      <c r="A45" s="37" t="str">
        <f>IFERROR(MATCH(14,TblClusters[Rang extinction],0),"")</f>
        <v/>
      </c>
      <c r="B45" s="34" t="str">
        <f>IF($A45="","",INDEX(TblClusters[Cluster],$A45))</f>
        <v/>
      </c>
      <c r="C45" s="34" t="str">
        <f>IF($A45="","",INDEX(TblClusters[Environnement],$A45))</f>
        <v/>
      </c>
      <c r="D45" s="34" t="str">
        <f>IF($A45="","",SUMIFS(TblCalculs[Workers],TblCalculs[Cluster],$B45,TblCalculs[Mois],ex_mois))</f>
        <v/>
      </c>
      <c r="E45" s="34" t="str">
        <f>IF($A45="","",COUNTIFS(TblApplications[Cluster IKS source],$B45,TblApplications[Action],"À migrer",TblApplications[Mois lib (calc)],"&gt;"&amp;ex_mois)+COUNTIFS(TblApplications[Cluster IKS source],$B45,TblApplications[Action],"À décommissionner",TblApplications[Mois lib (calc)],"&gt;"&amp;ex_mois))</f>
        <v/>
      </c>
      <c r="F45" s="33" t="str">
        <f>IF($A45="","",IFERROR(1/(1/_xlfn.MAXIFS(TblApplications[Mois lib (calc)],TblApplications[Cluster IKS source],$B45)),"–"))</f>
        <v/>
      </c>
      <c r="G45" s="33" t="str">
        <f>IF($A45="","",IF(INDEX(TblClusters[Fermeture retenue],$A45)="","–",INDEX(TblClusters[Fermeture retenue],$A45)))</f>
        <v/>
      </c>
      <c r="H45" s="34" t="str">
        <f t="shared" si="0"/>
        <v/>
      </c>
      <c r="I45" s="27" t="str">
        <f>IF($A45="","",SUMIFS(TblCalculs[Coût mensuel],TblCalculs[Cluster],$B45,TblCalculs[Mois],"&gt;="&amp;ex_mois))</f>
        <v/>
      </c>
      <c r="N45" s="33">
        <f>IF(14&gt;p_horizon,"",EDATE(p_debut,13))</f>
        <v>46692</v>
      </c>
      <c r="O45" s="27">
        <f>IF(14&gt;p_horizon,"",SUMIFS(TblCalculs[Coût mensuel],TblCalculs[Plateforme],"IKS",TblCalculs[Environnement],ex_envc,TblCalculs[Mois],$N45))</f>
        <v>81975</v>
      </c>
      <c r="P45" s="34">
        <f>IF(14&gt;p_horizon,"",(COUNTIFS(TblApplications[Action],"À migrer",TblApplications[Mois lib (calc)],"&gt;"&amp;$N45,TblApplications[Environnement],ex_envc,TblApplications[Domaine],ex_domc,TblApplications[Tribe],ex_tric)+COUNTIFS(TblApplications[Action],"À décommissionner",TblApplications[Mois lib (calc)],"&gt;"&amp;$N45,TblApplications[Environnement],ex_envc,TblApplications[Domaine],ex_domc,TblApplications[Tribe],ex_tric)))</f>
        <v>2</v>
      </c>
      <c r="Q45" s="34">
        <f>IF(14&gt;p_horizon,"",COUNTIFS(TblCalculs[Plateforme],"IKS",TblCalculs[Mois],$N45,TblCalculs[Workers],"&gt;0",TblCalculs[Environnement],ex_envc))</f>
        <v>8</v>
      </c>
      <c r="R45" s="27">
        <f>IF(14&gt;p_horizon,"",SUMIFS(TblCalculs[Coût mensuel],TblCalculs[Plateforme],"IKS",TblCalculs[Environnement],ex_envc,TblCalculs[Mois],"&gt;="&amp;$N45))</f>
        <v>1782411</v>
      </c>
    </row>
    <row r="46" spans="1:18" x14ac:dyDescent="0.2">
      <c r="A46" s="37" t="str">
        <f>IFERROR(MATCH(15,TblClusters[Rang extinction],0),"")</f>
        <v/>
      </c>
      <c r="B46" s="34" t="str">
        <f>IF($A46="","",INDEX(TblClusters[Cluster],$A46))</f>
        <v/>
      </c>
      <c r="C46" s="34" t="str">
        <f>IF($A46="","",INDEX(TblClusters[Environnement],$A46))</f>
        <v/>
      </c>
      <c r="D46" s="34" t="str">
        <f>IF($A46="","",SUMIFS(TblCalculs[Workers],TblCalculs[Cluster],$B46,TblCalculs[Mois],ex_mois))</f>
        <v/>
      </c>
      <c r="E46" s="34" t="str">
        <f>IF($A46="","",COUNTIFS(TblApplications[Cluster IKS source],$B46,TblApplications[Action],"À migrer",TblApplications[Mois lib (calc)],"&gt;"&amp;ex_mois)+COUNTIFS(TblApplications[Cluster IKS source],$B46,TblApplications[Action],"À décommissionner",TblApplications[Mois lib (calc)],"&gt;"&amp;ex_mois))</f>
        <v/>
      </c>
      <c r="F46" s="33" t="str">
        <f>IF($A46="","",IFERROR(1/(1/_xlfn.MAXIFS(TblApplications[Mois lib (calc)],TblApplications[Cluster IKS source],$B46)),"–"))</f>
        <v/>
      </c>
      <c r="G46" s="33" t="str">
        <f>IF($A46="","",IF(INDEX(TblClusters[Fermeture retenue],$A46)="","–",INDEX(TblClusters[Fermeture retenue],$A46)))</f>
        <v/>
      </c>
      <c r="H46" s="34" t="str">
        <f t="shared" si="0"/>
        <v/>
      </c>
      <c r="I46" s="27" t="str">
        <f>IF($A46="","",SUMIFS(TblCalculs[Coût mensuel],TblCalculs[Cluster],$B46,TblCalculs[Mois],"&gt;="&amp;ex_mois))</f>
        <v/>
      </c>
      <c r="N46" s="33">
        <f>IF(15&gt;p_horizon,"",EDATE(p_debut,14))</f>
        <v>46722</v>
      </c>
      <c r="O46" s="27">
        <f>IF(15&gt;p_horizon,"",SUMIFS(TblCalculs[Coût mensuel],TblCalculs[Plateforme],"IKS",TblCalculs[Environnement],ex_envc,TblCalculs[Mois],$N46))</f>
        <v>81975</v>
      </c>
      <c r="P46" s="34">
        <f>IF(15&gt;p_horizon,"",(COUNTIFS(TblApplications[Action],"À migrer",TblApplications[Mois lib (calc)],"&gt;"&amp;$N46,TblApplications[Environnement],ex_envc,TblApplications[Domaine],ex_domc,TblApplications[Tribe],ex_tric)+COUNTIFS(TblApplications[Action],"À décommissionner",TblApplications[Mois lib (calc)],"&gt;"&amp;$N46,TblApplications[Environnement],ex_envc,TblApplications[Domaine],ex_domc,TblApplications[Tribe],ex_tric)))</f>
        <v>2</v>
      </c>
      <c r="Q46" s="34">
        <f>IF(15&gt;p_horizon,"",COUNTIFS(TblCalculs[Plateforme],"IKS",TblCalculs[Mois],$N46,TblCalculs[Workers],"&gt;0",TblCalculs[Environnement],ex_envc))</f>
        <v>8</v>
      </c>
      <c r="R46" s="27">
        <f>IF(15&gt;p_horizon,"",SUMIFS(TblCalculs[Coût mensuel],TblCalculs[Plateforme],"IKS",TblCalculs[Environnement],ex_envc,TblCalculs[Mois],"&gt;="&amp;$N46))</f>
        <v>1700436</v>
      </c>
    </row>
    <row r="47" spans="1:18" x14ac:dyDescent="0.2">
      <c r="A47" s="37" t="str">
        <f>IFERROR(MATCH(16,TblClusters[Rang extinction],0),"")</f>
        <v/>
      </c>
      <c r="B47" s="34" t="str">
        <f>IF($A47="","",INDEX(TblClusters[Cluster],$A47))</f>
        <v/>
      </c>
      <c r="C47" s="34" t="str">
        <f>IF($A47="","",INDEX(TblClusters[Environnement],$A47))</f>
        <v/>
      </c>
      <c r="D47" s="34" t="str">
        <f>IF($A47="","",SUMIFS(TblCalculs[Workers],TblCalculs[Cluster],$B47,TblCalculs[Mois],ex_mois))</f>
        <v/>
      </c>
      <c r="E47" s="34" t="str">
        <f>IF($A47="","",COUNTIFS(TblApplications[Cluster IKS source],$B47,TblApplications[Action],"À migrer",TblApplications[Mois lib (calc)],"&gt;"&amp;ex_mois)+COUNTIFS(TblApplications[Cluster IKS source],$B47,TblApplications[Action],"À décommissionner",TblApplications[Mois lib (calc)],"&gt;"&amp;ex_mois))</f>
        <v/>
      </c>
      <c r="F47" s="33" t="str">
        <f>IF($A47="","",IFERROR(1/(1/_xlfn.MAXIFS(TblApplications[Mois lib (calc)],TblApplications[Cluster IKS source],$B47)),"–"))</f>
        <v/>
      </c>
      <c r="G47" s="33" t="str">
        <f>IF($A47="","",IF(INDEX(TblClusters[Fermeture retenue],$A47)="","–",INDEX(TblClusters[Fermeture retenue],$A47)))</f>
        <v/>
      </c>
      <c r="H47" s="34" t="str">
        <f t="shared" si="0"/>
        <v/>
      </c>
      <c r="I47" s="27" t="str">
        <f>IF($A47="","",SUMIFS(TblCalculs[Coût mensuel],TblCalculs[Cluster],$B47,TblCalculs[Mois],"&gt;="&amp;ex_mois))</f>
        <v/>
      </c>
      <c r="N47" s="33">
        <f>IF(16&gt;p_horizon,"",EDATE(p_debut,15))</f>
        <v>46753</v>
      </c>
      <c r="O47" s="27">
        <f>IF(16&gt;p_horizon,"",SUMIFS(TblCalculs[Coût mensuel],TblCalculs[Plateforme],"IKS",TblCalculs[Environnement],ex_envc,TblCalculs[Mois],$N47))</f>
        <v>81975</v>
      </c>
      <c r="P47" s="34">
        <f>IF(16&gt;p_horizon,"",(COUNTIFS(TblApplications[Action],"À migrer",TblApplications[Mois lib (calc)],"&gt;"&amp;$N47,TblApplications[Environnement],ex_envc,TblApplications[Domaine],ex_domc,TblApplications[Tribe],ex_tric)+COUNTIFS(TblApplications[Action],"À décommissionner",TblApplications[Mois lib (calc)],"&gt;"&amp;$N47,TblApplications[Environnement],ex_envc,TblApplications[Domaine],ex_domc,TblApplications[Tribe],ex_tric)))</f>
        <v>2</v>
      </c>
      <c r="Q47" s="34">
        <f>IF(16&gt;p_horizon,"",COUNTIFS(TblCalculs[Plateforme],"IKS",TblCalculs[Mois],$N47,TblCalculs[Workers],"&gt;0",TblCalculs[Environnement],ex_envc))</f>
        <v>8</v>
      </c>
      <c r="R47" s="27">
        <f>IF(16&gt;p_horizon,"",SUMIFS(TblCalculs[Coût mensuel],TblCalculs[Plateforme],"IKS",TblCalculs[Environnement],ex_envc,TblCalculs[Mois],"&gt;="&amp;$N47))</f>
        <v>1618461</v>
      </c>
    </row>
    <row r="48" spans="1:18" x14ac:dyDescent="0.2">
      <c r="A48" s="37" t="str">
        <f>IFERROR(MATCH(17,TblClusters[Rang extinction],0),"")</f>
        <v/>
      </c>
      <c r="B48" s="34" t="str">
        <f>IF($A48="","",INDEX(TblClusters[Cluster],$A48))</f>
        <v/>
      </c>
      <c r="C48" s="34" t="str">
        <f>IF($A48="","",INDEX(TblClusters[Environnement],$A48))</f>
        <v/>
      </c>
      <c r="D48" s="34" t="str">
        <f>IF($A48="","",SUMIFS(TblCalculs[Workers],TblCalculs[Cluster],$B48,TblCalculs[Mois],ex_mois))</f>
        <v/>
      </c>
      <c r="E48" s="34" t="str">
        <f>IF($A48="","",COUNTIFS(TblApplications[Cluster IKS source],$B48,TblApplications[Action],"À migrer",TblApplications[Mois lib (calc)],"&gt;"&amp;ex_mois)+COUNTIFS(TblApplications[Cluster IKS source],$B48,TblApplications[Action],"À décommissionner",TblApplications[Mois lib (calc)],"&gt;"&amp;ex_mois))</f>
        <v/>
      </c>
      <c r="F48" s="33" t="str">
        <f>IF($A48="","",IFERROR(1/(1/_xlfn.MAXIFS(TblApplications[Mois lib (calc)],TblApplications[Cluster IKS source],$B48)),"–"))</f>
        <v/>
      </c>
      <c r="G48" s="33" t="str">
        <f>IF($A48="","",IF(INDEX(TblClusters[Fermeture retenue],$A48)="","–",INDEX(TblClusters[Fermeture retenue],$A48)))</f>
        <v/>
      </c>
      <c r="H48" s="34" t="str">
        <f t="shared" si="0"/>
        <v/>
      </c>
      <c r="I48" s="27" t="str">
        <f>IF($A48="","",SUMIFS(TblCalculs[Coût mensuel],TblCalculs[Cluster],$B48,TblCalculs[Mois],"&gt;="&amp;ex_mois))</f>
        <v/>
      </c>
      <c r="N48" s="33">
        <f>IF(17&gt;p_horizon,"",EDATE(p_debut,16))</f>
        <v>46784</v>
      </c>
      <c r="O48" s="27">
        <f>IF(17&gt;p_horizon,"",SUMIFS(TblCalculs[Coût mensuel],TblCalculs[Plateforme],"IKS",TblCalculs[Environnement],ex_envc,TblCalculs[Mois],$N48))</f>
        <v>81975</v>
      </c>
      <c r="P48" s="34">
        <f>IF(17&gt;p_horizon,"",(COUNTIFS(TblApplications[Action],"À migrer",TblApplications[Mois lib (calc)],"&gt;"&amp;$N48,TblApplications[Environnement],ex_envc,TblApplications[Domaine],ex_domc,TblApplications[Tribe],ex_tric)+COUNTIFS(TblApplications[Action],"À décommissionner",TblApplications[Mois lib (calc)],"&gt;"&amp;$N48,TblApplications[Environnement],ex_envc,TblApplications[Domaine],ex_domc,TblApplications[Tribe],ex_tric)))</f>
        <v>2</v>
      </c>
      <c r="Q48" s="34">
        <f>IF(17&gt;p_horizon,"",COUNTIFS(TblCalculs[Plateforme],"IKS",TblCalculs[Mois],$N48,TblCalculs[Workers],"&gt;0",TblCalculs[Environnement],ex_envc))</f>
        <v>8</v>
      </c>
      <c r="R48" s="27">
        <f>IF(17&gt;p_horizon,"",SUMIFS(TblCalculs[Coût mensuel],TblCalculs[Plateforme],"IKS",TblCalculs[Environnement],ex_envc,TblCalculs[Mois],"&gt;="&amp;$N48))</f>
        <v>1536486</v>
      </c>
    </row>
    <row r="49" spans="1:18" x14ac:dyDescent="0.2">
      <c r="A49" s="37" t="str">
        <f>IFERROR(MATCH(18,TblClusters[Rang extinction],0),"")</f>
        <v/>
      </c>
      <c r="B49" s="34" t="str">
        <f>IF($A49="","",INDEX(TblClusters[Cluster],$A49))</f>
        <v/>
      </c>
      <c r="C49" s="34" t="str">
        <f>IF($A49="","",INDEX(TblClusters[Environnement],$A49))</f>
        <v/>
      </c>
      <c r="D49" s="34" t="str">
        <f>IF($A49="","",SUMIFS(TblCalculs[Workers],TblCalculs[Cluster],$B49,TblCalculs[Mois],ex_mois))</f>
        <v/>
      </c>
      <c r="E49" s="34" t="str">
        <f>IF($A49="","",COUNTIFS(TblApplications[Cluster IKS source],$B49,TblApplications[Action],"À migrer",TblApplications[Mois lib (calc)],"&gt;"&amp;ex_mois)+COUNTIFS(TblApplications[Cluster IKS source],$B49,TblApplications[Action],"À décommissionner",TblApplications[Mois lib (calc)],"&gt;"&amp;ex_mois))</f>
        <v/>
      </c>
      <c r="F49" s="33" t="str">
        <f>IF($A49="","",IFERROR(1/(1/_xlfn.MAXIFS(TblApplications[Mois lib (calc)],TblApplications[Cluster IKS source],$B49)),"–"))</f>
        <v/>
      </c>
      <c r="G49" s="33" t="str">
        <f>IF($A49="","",IF(INDEX(TblClusters[Fermeture retenue],$A49)="","–",INDEX(TblClusters[Fermeture retenue],$A49)))</f>
        <v/>
      </c>
      <c r="H49" s="34" t="str">
        <f t="shared" si="0"/>
        <v/>
      </c>
      <c r="I49" s="27" t="str">
        <f>IF($A49="","",SUMIFS(TblCalculs[Coût mensuel],TblCalculs[Cluster],$B49,TblCalculs[Mois],"&gt;="&amp;ex_mois))</f>
        <v/>
      </c>
      <c r="N49" s="33">
        <f>IF(18&gt;p_horizon,"",EDATE(p_debut,17))</f>
        <v>46813</v>
      </c>
      <c r="O49" s="27">
        <f>IF(18&gt;p_horizon,"",SUMIFS(TblCalculs[Coût mensuel],TblCalculs[Plateforme],"IKS",TblCalculs[Environnement],ex_envc,TblCalculs[Mois],$N49))</f>
        <v>78789</v>
      </c>
      <c r="P49" s="34">
        <f>IF(18&gt;p_horizon,"",(COUNTIFS(TblApplications[Action],"À migrer",TblApplications[Mois lib (calc)],"&gt;"&amp;$N49,TblApplications[Environnement],ex_envc,TblApplications[Domaine],ex_domc,TblApplications[Tribe],ex_tric)+COUNTIFS(TblApplications[Action],"À décommissionner",TblApplications[Mois lib (calc)],"&gt;"&amp;$N49,TblApplications[Environnement],ex_envc,TblApplications[Domaine],ex_domc,TblApplications[Tribe],ex_tric)))</f>
        <v>1</v>
      </c>
      <c r="Q49" s="34">
        <f>IF(18&gt;p_horizon,"",COUNTIFS(TblCalculs[Plateforme],"IKS",TblCalculs[Mois],$N49,TblCalculs[Workers],"&gt;0",TblCalculs[Environnement],ex_envc))</f>
        <v>8</v>
      </c>
      <c r="R49" s="27">
        <f>IF(18&gt;p_horizon,"",SUMIFS(TblCalculs[Coût mensuel],TblCalculs[Plateforme],"IKS",TblCalculs[Environnement],ex_envc,TblCalculs[Mois],"&gt;="&amp;$N49))</f>
        <v>1454511</v>
      </c>
    </row>
    <row r="50" spans="1:18" x14ac:dyDescent="0.2">
      <c r="A50" s="37" t="str">
        <f>IFERROR(MATCH(19,TblClusters[Rang extinction],0),"")</f>
        <v/>
      </c>
      <c r="B50" s="34" t="str">
        <f>IF($A50="","",INDEX(TblClusters[Cluster],$A50))</f>
        <v/>
      </c>
      <c r="C50" s="34" t="str">
        <f>IF($A50="","",INDEX(TblClusters[Environnement],$A50))</f>
        <v/>
      </c>
      <c r="D50" s="34" t="str">
        <f>IF($A50="","",SUMIFS(TblCalculs[Workers],TblCalculs[Cluster],$B50,TblCalculs[Mois],ex_mois))</f>
        <v/>
      </c>
      <c r="E50" s="34" t="str">
        <f>IF($A50="","",COUNTIFS(TblApplications[Cluster IKS source],$B50,TblApplications[Action],"À migrer",TblApplications[Mois lib (calc)],"&gt;"&amp;ex_mois)+COUNTIFS(TblApplications[Cluster IKS source],$B50,TblApplications[Action],"À décommissionner",TblApplications[Mois lib (calc)],"&gt;"&amp;ex_mois))</f>
        <v/>
      </c>
      <c r="F50" s="33" t="str">
        <f>IF($A50="","",IFERROR(1/(1/_xlfn.MAXIFS(TblApplications[Mois lib (calc)],TblApplications[Cluster IKS source],$B50)),"–"))</f>
        <v/>
      </c>
      <c r="G50" s="33" t="str">
        <f>IF($A50="","",IF(INDEX(TblClusters[Fermeture retenue],$A50)="","–",INDEX(TblClusters[Fermeture retenue],$A50)))</f>
        <v/>
      </c>
      <c r="H50" s="34" t="str">
        <f t="shared" si="0"/>
        <v/>
      </c>
      <c r="I50" s="27" t="str">
        <f>IF($A50="","",SUMIFS(TblCalculs[Coût mensuel],TblCalculs[Cluster],$B50,TblCalculs[Mois],"&gt;="&amp;ex_mois))</f>
        <v/>
      </c>
      <c r="N50" s="33">
        <f>IF(19&gt;p_horizon,"",EDATE(p_debut,18))</f>
        <v>46844</v>
      </c>
      <c r="O50" s="27">
        <f>IF(19&gt;p_horizon,"",SUMIFS(TblCalculs[Coût mensuel],TblCalculs[Plateforme],"IKS",TblCalculs[Environnement],ex_envc,TblCalculs[Mois],$N50))</f>
        <v>78789</v>
      </c>
      <c r="P50" s="34">
        <f>IF(19&gt;p_horizon,"",(COUNTIFS(TblApplications[Action],"À migrer",TblApplications[Mois lib (calc)],"&gt;"&amp;$N50,TblApplications[Environnement],ex_envc,TblApplications[Domaine],ex_domc,TblApplications[Tribe],ex_tric)+COUNTIFS(TblApplications[Action],"À décommissionner",TblApplications[Mois lib (calc)],"&gt;"&amp;$N50,TblApplications[Environnement],ex_envc,TblApplications[Domaine],ex_domc,TblApplications[Tribe],ex_tric)))</f>
        <v>1</v>
      </c>
      <c r="Q50" s="34">
        <f>IF(19&gt;p_horizon,"",COUNTIFS(TblCalculs[Plateforme],"IKS",TblCalculs[Mois],$N50,TblCalculs[Workers],"&gt;0",TblCalculs[Environnement],ex_envc))</f>
        <v>8</v>
      </c>
      <c r="R50" s="27">
        <f>IF(19&gt;p_horizon,"",SUMIFS(TblCalculs[Coût mensuel],TblCalculs[Plateforme],"IKS",TblCalculs[Environnement],ex_envc,TblCalculs[Mois],"&gt;="&amp;$N50))</f>
        <v>1375722</v>
      </c>
    </row>
    <row r="51" spans="1:18" x14ac:dyDescent="0.2">
      <c r="A51" s="37" t="str">
        <f>IFERROR(MATCH(20,TblClusters[Rang extinction],0),"")</f>
        <v/>
      </c>
      <c r="B51" s="34" t="str">
        <f>IF($A51="","",INDEX(TblClusters[Cluster],$A51))</f>
        <v/>
      </c>
      <c r="C51" s="34" t="str">
        <f>IF($A51="","",INDEX(TblClusters[Environnement],$A51))</f>
        <v/>
      </c>
      <c r="D51" s="34" t="str">
        <f>IF($A51="","",SUMIFS(TblCalculs[Workers],TblCalculs[Cluster],$B51,TblCalculs[Mois],ex_mois))</f>
        <v/>
      </c>
      <c r="E51" s="34" t="str">
        <f>IF($A51="","",COUNTIFS(TblApplications[Cluster IKS source],$B51,TblApplications[Action],"À migrer",TblApplications[Mois lib (calc)],"&gt;"&amp;ex_mois)+COUNTIFS(TblApplications[Cluster IKS source],$B51,TblApplications[Action],"À décommissionner",TblApplications[Mois lib (calc)],"&gt;"&amp;ex_mois))</f>
        <v/>
      </c>
      <c r="F51" s="33" t="str">
        <f>IF($A51="","",IFERROR(1/(1/_xlfn.MAXIFS(TblApplications[Mois lib (calc)],TblApplications[Cluster IKS source],$B51)),"–"))</f>
        <v/>
      </c>
      <c r="G51" s="33" t="str">
        <f>IF($A51="","",IF(INDEX(TblClusters[Fermeture retenue],$A51)="","–",INDEX(TblClusters[Fermeture retenue],$A51)))</f>
        <v/>
      </c>
      <c r="H51" s="34" t="str">
        <f t="shared" si="0"/>
        <v/>
      </c>
      <c r="I51" s="27" t="str">
        <f>IF($A51="","",SUMIFS(TblCalculs[Coût mensuel],TblCalculs[Cluster],$B51,TblCalculs[Mois],"&gt;="&amp;ex_mois))</f>
        <v/>
      </c>
      <c r="N51" s="33">
        <f>IF(20&gt;p_horizon,"",EDATE(p_debut,19))</f>
        <v>46874</v>
      </c>
      <c r="O51" s="27">
        <f>IF(20&gt;p_horizon,"",SUMIFS(TblCalculs[Coût mensuel],TblCalculs[Plateforme],"IKS",TblCalculs[Environnement],ex_envc,TblCalculs[Mois],$N51))</f>
        <v>78789</v>
      </c>
      <c r="P51" s="34">
        <f>IF(20&gt;p_horizon,"",(COUNTIFS(TblApplications[Action],"À migrer",TblApplications[Mois lib (calc)],"&gt;"&amp;$N51,TblApplications[Environnement],ex_envc,TblApplications[Domaine],ex_domc,TblApplications[Tribe],ex_tric)+COUNTIFS(TblApplications[Action],"À décommissionner",TblApplications[Mois lib (calc)],"&gt;"&amp;$N51,TblApplications[Environnement],ex_envc,TblApplications[Domaine],ex_domc,TblApplications[Tribe],ex_tric)))</f>
        <v>1</v>
      </c>
      <c r="Q51" s="34">
        <f>IF(20&gt;p_horizon,"",COUNTIFS(TblCalculs[Plateforme],"IKS",TblCalculs[Mois],$N51,TblCalculs[Workers],"&gt;0",TblCalculs[Environnement],ex_envc))</f>
        <v>8</v>
      </c>
      <c r="R51" s="27">
        <f>IF(20&gt;p_horizon,"",SUMIFS(TblCalculs[Coût mensuel],TblCalculs[Plateforme],"IKS",TblCalculs[Environnement],ex_envc,TblCalculs[Mois],"&gt;="&amp;$N51))</f>
        <v>1296933</v>
      </c>
    </row>
    <row r="52" spans="1:18" x14ac:dyDescent="0.2">
      <c r="A52" s="37" t="str">
        <f>IFERROR(MATCH(21,TblClusters[Rang extinction],0),"")</f>
        <v/>
      </c>
      <c r="B52" s="34" t="str">
        <f>IF($A52="","",INDEX(TblClusters[Cluster],$A52))</f>
        <v/>
      </c>
      <c r="C52" s="34" t="str">
        <f>IF($A52="","",INDEX(TblClusters[Environnement],$A52))</f>
        <v/>
      </c>
      <c r="D52" s="34" t="str">
        <f>IF($A52="","",SUMIFS(TblCalculs[Workers],TblCalculs[Cluster],$B52,TblCalculs[Mois],ex_mois))</f>
        <v/>
      </c>
      <c r="E52" s="34" t="str">
        <f>IF($A52="","",COUNTIFS(TblApplications[Cluster IKS source],$B52,TblApplications[Action],"À migrer",TblApplications[Mois lib (calc)],"&gt;"&amp;ex_mois)+COUNTIFS(TblApplications[Cluster IKS source],$B52,TblApplications[Action],"À décommissionner",TblApplications[Mois lib (calc)],"&gt;"&amp;ex_mois))</f>
        <v/>
      </c>
      <c r="F52" s="33" t="str">
        <f>IF($A52="","",IFERROR(1/(1/_xlfn.MAXIFS(TblApplications[Mois lib (calc)],TblApplications[Cluster IKS source],$B52)),"–"))</f>
        <v/>
      </c>
      <c r="G52" s="33" t="str">
        <f>IF($A52="","",IF(INDEX(TblClusters[Fermeture retenue],$A52)="","–",INDEX(TblClusters[Fermeture retenue],$A52)))</f>
        <v/>
      </c>
      <c r="H52" s="34" t="str">
        <f t="shared" si="0"/>
        <v/>
      </c>
      <c r="I52" s="27" t="str">
        <f>IF($A52="","",SUMIFS(TblCalculs[Coût mensuel],TblCalculs[Cluster],$B52,TblCalculs[Mois],"&gt;="&amp;ex_mois))</f>
        <v/>
      </c>
      <c r="N52" s="33">
        <f>IF(21&gt;p_horizon,"",EDATE(p_debut,20))</f>
        <v>46905</v>
      </c>
      <c r="O52" s="27">
        <f>IF(21&gt;p_horizon,"",SUMIFS(TblCalculs[Coût mensuel],TblCalculs[Plateforme],"IKS",TblCalculs[Environnement],ex_envc,TblCalculs[Mois],$N52))</f>
        <v>78789</v>
      </c>
      <c r="P52" s="34">
        <f>IF(21&gt;p_horizon,"",(COUNTIFS(TblApplications[Action],"À migrer",TblApplications[Mois lib (calc)],"&gt;"&amp;$N52,TblApplications[Environnement],ex_envc,TblApplications[Domaine],ex_domc,TblApplications[Tribe],ex_tric)+COUNTIFS(TblApplications[Action],"À décommissionner",TblApplications[Mois lib (calc)],"&gt;"&amp;$N52,TblApplications[Environnement],ex_envc,TblApplications[Domaine],ex_domc,TblApplications[Tribe],ex_tric)))</f>
        <v>1</v>
      </c>
      <c r="Q52" s="34">
        <f>IF(21&gt;p_horizon,"",COUNTIFS(TblCalculs[Plateforme],"IKS",TblCalculs[Mois],$N52,TblCalculs[Workers],"&gt;0",TblCalculs[Environnement],ex_envc))</f>
        <v>8</v>
      </c>
      <c r="R52" s="27">
        <f>IF(21&gt;p_horizon,"",SUMIFS(TblCalculs[Coût mensuel],TblCalculs[Plateforme],"IKS",TblCalculs[Environnement],ex_envc,TblCalculs[Mois],"&gt;="&amp;$N52))</f>
        <v>1218144</v>
      </c>
    </row>
    <row r="53" spans="1:18" x14ac:dyDescent="0.2">
      <c r="A53" s="37" t="str">
        <f>IFERROR(MATCH(22,TblClusters[Rang extinction],0),"")</f>
        <v/>
      </c>
      <c r="B53" s="34" t="str">
        <f>IF($A53="","",INDEX(TblClusters[Cluster],$A53))</f>
        <v/>
      </c>
      <c r="C53" s="34" t="str">
        <f>IF($A53="","",INDEX(TblClusters[Environnement],$A53))</f>
        <v/>
      </c>
      <c r="D53" s="34" t="str">
        <f>IF($A53="","",SUMIFS(TblCalculs[Workers],TblCalculs[Cluster],$B53,TblCalculs[Mois],ex_mois))</f>
        <v/>
      </c>
      <c r="E53" s="34" t="str">
        <f>IF($A53="","",COUNTIFS(TblApplications[Cluster IKS source],$B53,TblApplications[Action],"À migrer",TblApplications[Mois lib (calc)],"&gt;"&amp;ex_mois)+COUNTIFS(TblApplications[Cluster IKS source],$B53,TblApplications[Action],"À décommissionner",TblApplications[Mois lib (calc)],"&gt;"&amp;ex_mois))</f>
        <v/>
      </c>
      <c r="F53" s="33" t="str">
        <f>IF($A53="","",IFERROR(1/(1/_xlfn.MAXIFS(TblApplications[Mois lib (calc)],TblApplications[Cluster IKS source],$B53)),"–"))</f>
        <v/>
      </c>
      <c r="G53" s="33" t="str">
        <f>IF($A53="","",IF(INDEX(TblClusters[Fermeture retenue],$A53)="","–",INDEX(TblClusters[Fermeture retenue],$A53)))</f>
        <v/>
      </c>
      <c r="H53" s="34" t="str">
        <f t="shared" si="0"/>
        <v/>
      </c>
      <c r="I53" s="27" t="str">
        <f>IF($A53="","",SUMIFS(TblCalculs[Coût mensuel],TblCalculs[Cluster],$B53,TblCalculs[Mois],"&gt;="&amp;ex_mois))</f>
        <v/>
      </c>
      <c r="N53" s="33">
        <f>IF(22&gt;p_horizon,"",EDATE(p_debut,21))</f>
        <v>46935</v>
      </c>
      <c r="O53" s="27">
        <f>IF(22&gt;p_horizon,"",SUMIFS(TblCalculs[Coût mensuel],TblCalculs[Plateforme],"IKS",TblCalculs[Environnement],ex_envc,TblCalculs[Mois],$N53))</f>
        <v>78789</v>
      </c>
      <c r="P53" s="34">
        <f>IF(22&gt;p_horizon,"",(COUNTIFS(TblApplications[Action],"À migrer",TblApplications[Mois lib (calc)],"&gt;"&amp;$N53,TblApplications[Environnement],ex_envc,TblApplications[Domaine],ex_domc,TblApplications[Tribe],ex_tric)+COUNTIFS(TblApplications[Action],"À décommissionner",TblApplications[Mois lib (calc)],"&gt;"&amp;$N53,TblApplications[Environnement],ex_envc,TblApplications[Domaine],ex_domc,TblApplications[Tribe],ex_tric)))</f>
        <v>1</v>
      </c>
      <c r="Q53" s="34">
        <f>IF(22&gt;p_horizon,"",COUNTIFS(TblCalculs[Plateforme],"IKS",TblCalculs[Mois],$N53,TblCalculs[Workers],"&gt;0",TblCalculs[Environnement],ex_envc))</f>
        <v>8</v>
      </c>
      <c r="R53" s="27">
        <f>IF(22&gt;p_horizon,"",SUMIFS(TblCalculs[Coût mensuel],TblCalculs[Plateforme],"IKS",TblCalculs[Environnement],ex_envc,TblCalculs[Mois],"&gt;="&amp;$N53))</f>
        <v>1139355</v>
      </c>
    </row>
    <row r="54" spans="1:18" x14ac:dyDescent="0.2">
      <c r="A54" s="37" t="str">
        <f>IFERROR(MATCH(23,TblClusters[Rang extinction],0),"")</f>
        <v/>
      </c>
      <c r="B54" s="34" t="str">
        <f>IF($A54="","",INDEX(TblClusters[Cluster],$A54))</f>
        <v/>
      </c>
      <c r="C54" s="34" t="str">
        <f>IF($A54="","",INDEX(TblClusters[Environnement],$A54))</f>
        <v/>
      </c>
      <c r="D54" s="34" t="str">
        <f>IF($A54="","",SUMIFS(TblCalculs[Workers],TblCalculs[Cluster],$B54,TblCalculs[Mois],ex_mois))</f>
        <v/>
      </c>
      <c r="E54" s="34" t="str">
        <f>IF($A54="","",COUNTIFS(TblApplications[Cluster IKS source],$B54,TblApplications[Action],"À migrer",TblApplications[Mois lib (calc)],"&gt;"&amp;ex_mois)+COUNTIFS(TblApplications[Cluster IKS source],$B54,TblApplications[Action],"À décommissionner",TblApplications[Mois lib (calc)],"&gt;"&amp;ex_mois))</f>
        <v/>
      </c>
      <c r="F54" s="33" t="str">
        <f>IF($A54="","",IFERROR(1/(1/_xlfn.MAXIFS(TblApplications[Mois lib (calc)],TblApplications[Cluster IKS source],$B54)),"–"))</f>
        <v/>
      </c>
      <c r="G54" s="33" t="str">
        <f>IF($A54="","",IF(INDEX(TblClusters[Fermeture retenue],$A54)="","–",INDEX(TblClusters[Fermeture retenue],$A54)))</f>
        <v/>
      </c>
      <c r="H54" s="34" t="str">
        <f t="shared" si="0"/>
        <v/>
      </c>
      <c r="I54" s="27" t="str">
        <f>IF($A54="","",SUMIFS(TblCalculs[Coût mensuel],TblCalculs[Cluster],$B54,TblCalculs[Mois],"&gt;="&amp;ex_mois))</f>
        <v/>
      </c>
      <c r="N54" s="33">
        <f>IF(23&gt;p_horizon,"",EDATE(p_debut,22))</f>
        <v>46966</v>
      </c>
      <c r="O54" s="27">
        <f>IF(23&gt;p_horizon,"",SUMIFS(TblCalculs[Coût mensuel],TblCalculs[Plateforme],"IKS",TblCalculs[Environnement],ex_envc,TblCalculs[Mois],$N54))</f>
        <v>78789</v>
      </c>
      <c r="P54" s="34">
        <f>IF(23&gt;p_horizon,"",(COUNTIFS(TblApplications[Action],"À migrer",TblApplications[Mois lib (calc)],"&gt;"&amp;$N54,TblApplications[Environnement],ex_envc,TblApplications[Domaine],ex_domc,TblApplications[Tribe],ex_tric)+COUNTIFS(TblApplications[Action],"À décommissionner",TblApplications[Mois lib (calc)],"&gt;"&amp;$N54,TblApplications[Environnement],ex_envc,TblApplications[Domaine],ex_domc,TblApplications[Tribe],ex_tric)))</f>
        <v>1</v>
      </c>
      <c r="Q54" s="34">
        <f>IF(23&gt;p_horizon,"",COUNTIFS(TblCalculs[Plateforme],"IKS",TblCalculs[Mois],$N54,TblCalculs[Workers],"&gt;0",TblCalculs[Environnement],ex_envc))</f>
        <v>8</v>
      </c>
      <c r="R54" s="27">
        <f>IF(23&gt;p_horizon,"",SUMIFS(TblCalculs[Coût mensuel],TblCalculs[Plateforme],"IKS",TblCalculs[Environnement],ex_envc,TblCalculs[Mois],"&gt;="&amp;$N54))</f>
        <v>1060566</v>
      </c>
    </row>
    <row r="55" spans="1:18" x14ac:dyDescent="0.2">
      <c r="A55" s="37" t="str">
        <f>IFERROR(MATCH(24,TblClusters[Rang extinction],0),"")</f>
        <v/>
      </c>
      <c r="B55" s="34" t="str">
        <f>IF($A55="","",INDEX(TblClusters[Cluster],$A55))</f>
        <v/>
      </c>
      <c r="C55" s="34" t="str">
        <f>IF($A55="","",INDEX(TblClusters[Environnement],$A55))</f>
        <v/>
      </c>
      <c r="D55" s="34" t="str">
        <f>IF($A55="","",SUMIFS(TblCalculs[Workers],TblCalculs[Cluster],$B55,TblCalculs[Mois],ex_mois))</f>
        <v/>
      </c>
      <c r="E55" s="34" t="str">
        <f>IF($A55="","",COUNTIFS(TblApplications[Cluster IKS source],$B55,TblApplications[Action],"À migrer",TblApplications[Mois lib (calc)],"&gt;"&amp;ex_mois)+COUNTIFS(TblApplications[Cluster IKS source],$B55,TblApplications[Action],"À décommissionner",TblApplications[Mois lib (calc)],"&gt;"&amp;ex_mois))</f>
        <v/>
      </c>
      <c r="F55" s="33" t="str">
        <f>IF($A55="","",IFERROR(1/(1/_xlfn.MAXIFS(TblApplications[Mois lib (calc)],TblApplications[Cluster IKS source],$B55)),"–"))</f>
        <v/>
      </c>
      <c r="G55" s="33" t="str">
        <f>IF($A55="","",IF(INDEX(TblClusters[Fermeture retenue],$A55)="","–",INDEX(TblClusters[Fermeture retenue],$A55)))</f>
        <v/>
      </c>
      <c r="H55" s="34" t="str">
        <f t="shared" si="0"/>
        <v/>
      </c>
      <c r="I55" s="27" t="str">
        <f>IF($A55="","",SUMIFS(TblCalculs[Coût mensuel],TblCalculs[Cluster],$B55,TblCalculs[Mois],"&gt;="&amp;ex_mois))</f>
        <v/>
      </c>
      <c r="N55" s="33">
        <f>IF(24&gt;p_horizon,"",EDATE(p_debut,23))</f>
        <v>46997</v>
      </c>
      <c r="O55" s="27">
        <f>IF(24&gt;p_horizon,"",SUMIFS(TblCalculs[Coût mensuel],TblCalculs[Plateforme],"IKS",TblCalculs[Environnement],ex_envc,TblCalculs[Mois],$N55))</f>
        <v>78789</v>
      </c>
      <c r="P55" s="34">
        <f>IF(24&gt;p_horizon,"",(COUNTIFS(TblApplications[Action],"À migrer",TblApplications[Mois lib (calc)],"&gt;"&amp;$N55,TblApplications[Environnement],ex_envc,TblApplications[Domaine],ex_domc,TblApplications[Tribe],ex_tric)+COUNTIFS(TblApplications[Action],"À décommissionner",TblApplications[Mois lib (calc)],"&gt;"&amp;$N55,TblApplications[Environnement],ex_envc,TblApplications[Domaine],ex_domc,TblApplications[Tribe],ex_tric)))</f>
        <v>1</v>
      </c>
      <c r="Q55" s="34">
        <f>IF(24&gt;p_horizon,"",COUNTIFS(TblCalculs[Plateforme],"IKS",TblCalculs[Mois],$N55,TblCalculs[Workers],"&gt;0",TblCalculs[Environnement],ex_envc))</f>
        <v>8</v>
      </c>
      <c r="R55" s="27">
        <f>IF(24&gt;p_horizon,"",SUMIFS(TblCalculs[Coût mensuel],TblCalculs[Plateforme],"IKS",TblCalculs[Environnement],ex_envc,TblCalculs[Mois],"&gt;="&amp;$N55))</f>
        <v>981777</v>
      </c>
    </row>
    <row r="56" spans="1:18" x14ac:dyDescent="0.2">
      <c r="A56" s="37" t="str">
        <f>IFERROR(MATCH(25,TblClusters[Rang extinction],0),"")</f>
        <v/>
      </c>
      <c r="B56" s="34" t="str">
        <f>IF($A56="","",INDEX(TblClusters[Cluster],$A56))</f>
        <v/>
      </c>
      <c r="C56" s="34" t="str">
        <f>IF($A56="","",INDEX(TblClusters[Environnement],$A56))</f>
        <v/>
      </c>
      <c r="D56" s="34" t="str">
        <f>IF($A56="","",SUMIFS(TblCalculs[Workers],TblCalculs[Cluster],$B56,TblCalculs[Mois],ex_mois))</f>
        <v/>
      </c>
      <c r="E56" s="34" t="str">
        <f>IF($A56="","",COUNTIFS(TblApplications[Cluster IKS source],$B56,TblApplications[Action],"À migrer",TblApplications[Mois lib (calc)],"&gt;"&amp;ex_mois)+COUNTIFS(TblApplications[Cluster IKS source],$B56,TblApplications[Action],"À décommissionner",TblApplications[Mois lib (calc)],"&gt;"&amp;ex_mois))</f>
        <v/>
      </c>
      <c r="F56" s="33" t="str">
        <f>IF($A56="","",IFERROR(1/(1/_xlfn.MAXIFS(TblApplications[Mois lib (calc)],TblApplications[Cluster IKS source],$B56)),"–"))</f>
        <v/>
      </c>
      <c r="G56" s="33" t="str">
        <f>IF($A56="","",IF(INDEX(TblClusters[Fermeture retenue],$A56)="","–",INDEX(TblClusters[Fermeture retenue],$A56)))</f>
        <v/>
      </c>
      <c r="H56" s="34" t="str">
        <f t="shared" si="0"/>
        <v/>
      </c>
      <c r="I56" s="27" t="str">
        <f>IF($A56="","",SUMIFS(TblCalculs[Coût mensuel],TblCalculs[Cluster],$B56,TblCalculs[Mois],"&gt;="&amp;ex_mois))</f>
        <v/>
      </c>
      <c r="N56" s="33">
        <f>IF(25&gt;p_horizon,"",EDATE(p_debut,24))</f>
        <v>47027</v>
      </c>
      <c r="O56" s="27">
        <f>IF(25&gt;p_horizon,"",SUMIFS(TblCalculs[Coût mensuel],TblCalculs[Plateforme],"IKS",TblCalculs[Environnement],ex_envc,TblCalculs[Mois],$N56))</f>
        <v>78789</v>
      </c>
      <c r="P56" s="34">
        <f>IF(25&gt;p_horizon,"",(COUNTIFS(TblApplications[Action],"À migrer",TblApplications[Mois lib (calc)],"&gt;"&amp;$N56,TblApplications[Environnement],ex_envc,TblApplications[Domaine],ex_domc,TblApplications[Tribe],ex_tric)+COUNTIFS(TblApplications[Action],"À décommissionner",TblApplications[Mois lib (calc)],"&gt;"&amp;$N56,TblApplications[Environnement],ex_envc,TblApplications[Domaine],ex_domc,TblApplications[Tribe],ex_tric)))</f>
        <v>1</v>
      </c>
      <c r="Q56" s="34">
        <f>IF(25&gt;p_horizon,"",COUNTIFS(TblCalculs[Plateforme],"IKS",TblCalculs[Mois],$N56,TblCalculs[Workers],"&gt;0",TblCalculs[Environnement],ex_envc))</f>
        <v>8</v>
      </c>
      <c r="R56" s="27">
        <f>IF(25&gt;p_horizon,"",SUMIFS(TblCalculs[Coût mensuel],TblCalculs[Plateforme],"IKS",TblCalculs[Environnement],ex_envc,TblCalculs[Mois],"&gt;="&amp;$N56))</f>
        <v>902988</v>
      </c>
    </row>
    <row r="57" spans="1:18" x14ac:dyDescent="0.2">
      <c r="A57" s="37" t="str">
        <f>IFERROR(MATCH(26,TblClusters[Rang extinction],0),"")</f>
        <v/>
      </c>
      <c r="B57" s="34" t="str">
        <f>IF($A57="","",INDEX(TblClusters[Cluster],$A57))</f>
        <v/>
      </c>
      <c r="C57" s="34" t="str">
        <f>IF($A57="","",INDEX(TblClusters[Environnement],$A57))</f>
        <v/>
      </c>
      <c r="D57" s="34" t="str">
        <f>IF($A57="","",SUMIFS(TblCalculs[Workers],TblCalculs[Cluster],$B57,TblCalculs[Mois],ex_mois))</f>
        <v/>
      </c>
      <c r="E57" s="34" t="str">
        <f>IF($A57="","",COUNTIFS(TblApplications[Cluster IKS source],$B57,TblApplications[Action],"À migrer",TblApplications[Mois lib (calc)],"&gt;"&amp;ex_mois)+COUNTIFS(TblApplications[Cluster IKS source],$B57,TblApplications[Action],"À décommissionner",TblApplications[Mois lib (calc)],"&gt;"&amp;ex_mois))</f>
        <v/>
      </c>
      <c r="F57" s="33" t="str">
        <f>IF($A57="","",IFERROR(1/(1/_xlfn.MAXIFS(TblApplications[Mois lib (calc)],TblApplications[Cluster IKS source],$B57)),"–"))</f>
        <v/>
      </c>
      <c r="G57" s="33" t="str">
        <f>IF($A57="","",IF(INDEX(TblClusters[Fermeture retenue],$A57)="","–",INDEX(TblClusters[Fermeture retenue],$A57)))</f>
        <v/>
      </c>
      <c r="H57" s="34" t="str">
        <f t="shared" si="0"/>
        <v/>
      </c>
      <c r="I57" s="27" t="str">
        <f>IF($A57="","",SUMIFS(TblCalculs[Coût mensuel],TblCalculs[Cluster],$B57,TblCalculs[Mois],"&gt;="&amp;ex_mois))</f>
        <v/>
      </c>
      <c r="N57" s="33">
        <f>IF(26&gt;p_horizon,"",EDATE(p_debut,25))</f>
        <v>47058</v>
      </c>
      <c r="O57" s="27">
        <f>IF(26&gt;p_horizon,"",SUMIFS(TblCalculs[Coût mensuel],TblCalculs[Plateforme],"IKS",TblCalculs[Environnement],ex_envc,TblCalculs[Mois],$N57))</f>
        <v>78789</v>
      </c>
      <c r="P57" s="34">
        <f>IF(26&gt;p_horizon,"",(COUNTIFS(TblApplications[Action],"À migrer",TblApplications[Mois lib (calc)],"&gt;"&amp;$N57,TblApplications[Environnement],ex_envc,TblApplications[Domaine],ex_domc,TblApplications[Tribe],ex_tric)+COUNTIFS(TblApplications[Action],"À décommissionner",TblApplications[Mois lib (calc)],"&gt;"&amp;$N57,TblApplications[Environnement],ex_envc,TblApplications[Domaine],ex_domc,TblApplications[Tribe],ex_tric)))</f>
        <v>1</v>
      </c>
      <c r="Q57" s="34">
        <f>IF(26&gt;p_horizon,"",COUNTIFS(TblCalculs[Plateforme],"IKS",TblCalculs[Mois],$N57,TblCalculs[Workers],"&gt;0",TblCalculs[Environnement],ex_envc))</f>
        <v>8</v>
      </c>
      <c r="R57" s="27">
        <f>IF(26&gt;p_horizon,"",SUMIFS(TblCalculs[Coût mensuel],TblCalculs[Plateforme],"IKS",TblCalculs[Environnement],ex_envc,TblCalculs[Mois],"&gt;="&amp;$N57))</f>
        <v>824199</v>
      </c>
    </row>
    <row r="58" spans="1:18" x14ac:dyDescent="0.2">
      <c r="A58" s="37" t="str">
        <f>IFERROR(MATCH(27,TblClusters[Rang extinction],0),"")</f>
        <v/>
      </c>
      <c r="B58" s="34" t="str">
        <f>IF($A58="","",INDEX(TblClusters[Cluster],$A58))</f>
        <v/>
      </c>
      <c r="C58" s="34" t="str">
        <f>IF($A58="","",INDEX(TblClusters[Environnement],$A58))</f>
        <v/>
      </c>
      <c r="D58" s="34" t="str">
        <f>IF($A58="","",SUMIFS(TblCalculs[Workers],TblCalculs[Cluster],$B58,TblCalculs[Mois],ex_mois))</f>
        <v/>
      </c>
      <c r="E58" s="34" t="str">
        <f>IF($A58="","",COUNTIFS(TblApplications[Cluster IKS source],$B58,TblApplications[Action],"À migrer",TblApplications[Mois lib (calc)],"&gt;"&amp;ex_mois)+COUNTIFS(TblApplications[Cluster IKS source],$B58,TblApplications[Action],"À décommissionner",TblApplications[Mois lib (calc)],"&gt;"&amp;ex_mois))</f>
        <v/>
      </c>
      <c r="F58" s="33" t="str">
        <f>IF($A58="","",IFERROR(1/(1/_xlfn.MAXIFS(TblApplications[Mois lib (calc)],TblApplications[Cluster IKS source],$B58)),"–"))</f>
        <v/>
      </c>
      <c r="G58" s="33" t="str">
        <f>IF($A58="","",IF(INDEX(TblClusters[Fermeture retenue],$A58)="","–",INDEX(TblClusters[Fermeture retenue],$A58)))</f>
        <v/>
      </c>
      <c r="H58" s="34" t="str">
        <f t="shared" si="0"/>
        <v/>
      </c>
      <c r="I58" s="27" t="str">
        <f>IF($A58="","",SUMIFS(TblCalculs[Coût mensuel],TblCalculs[Cluster],$B58,TblCalculs[Mois],"&gt;="&amp;ex_mois))</f>
        <v/>
      </c>
      <c r="N58" s="33">
        <f>IF(27&gt;p_horizon,"",EDATE(p_debut,26))</f>
        <v>47088</v>
      </c>
      <c r="O58" s="27">
        <f>IF(27&gt;p_horizon,"",SUMIFS(TblCalculs[Coût mensuel],TblCalculs[Plateforme],"IKS",TblCalculs[Environnement],ex_envc,TblCalculs[Mois],$N58))</f>
        <v>74541</v>
      </c>
      <c r="P58" s="34">
        <f>IF(27&gt;p_horizon,"",(COUNTIFS(TblApplications[Action],"À migrer",TblApplications[Mois lib (calc)],"&gt;"&amp;$N58,TblApplications[Environnement],ex_envc,TblApplications[Domaine],ex_domc,TblApplications[Tribe],ex_tric)+COUNTIFS(TblApplications[Action],"À décommissionner",TblApplications[Mois lib (calc)],"&gt;"&amp;$N58,TblApplications[Environnement],ex_envc,TblApplications[Domaine],ex_domc,TblApplications[Tribe],ex_tric)))</f>
        <v>0</v>
      </c>
      <c r="Q58" s="34">
        <f>IF(27&gt;p_horizon,"",COUNTIFS(TblCalculs[Plateforme],"IKS",TblCalculs[Mois],$N58,TblCalculs[Workers],"&gt;0",TblCalculs[Environnement],ex_envc))</f>
        <v>7</v>
      </c>
      <c r="R58" s="27">
        <f>IF(27&gt;p_horizon,"",SUMIFS(TblCalculs[Coût mensuel],TblCalculs[Plateforme],"IKS",TblCalculs[Environnement],ex_envc,TblCalculs[Mois],"&gt;="&amp;$N58))</f>
        <v>745410</v>
      </c>
    </row>
    <row r="59" spans="1:18" x14ac:dyDescent="0.2">
      <c r="A59" s="37" t="str">
        <f>IFERROR(MATCH(28,TblClusters[Rang extinction],0),"")</f>
        <v/>
      </c>
      <c r="B59" s="34" t="str">
        <f>IF($A59="","",INDEX(TblClusters[Cluster],$A59))</f>
        <v/>
      </c>
      <c r="C59" s="34" t="str">
        <f>IF($A59="","",INDEX(TblClusters[Environnement],$A59))</f>
        <v/>
      </c>
      <c r="D59" s="34" t="str">
        <f>IF($A59="","",SUMIFS(TblCalculs[Workers],TblCalculs[Cluster],$B59,TblCalculs[Mois],ex_mois))</f>
        <v/>
      </c>
      <c r="E59" s="34" t="str">
        <f>IF($A59="","",COUNTIFS(TblApplications[Cluster IKS source],$B59,TblApplications[Action],"À migrer",TblApplications[Mois lib (calc)],"&gt;"&amp;ex_mois)+COUNTIFS(TblApplications[Cluster IKS source],$B59,TblApplications[Action],"À décommissionner",TblApplications[Mois lib (calc)],"&gt;"&amp;ex_mois))</f>
        <v/>
      </c>
      <c r="F59" s="33" t="str">
        <f>IF($A59="","",IFERROR(1/(1/_xlfn.MAXIFS(TblApplications[Mois lib (calc)],TblApplications[Cluster IKS source],$B59)),"–"))</f>
        <v/>
      </c>
      <c r="G59" s="33" t="str">
        <f>IF($A59="","",IF(INDEX(TblClusters[Fermeture retenue],$A59)="","–",INDEX(TblClusters[Fermeture retenue],$A59)))</f>
        <v/>
      </c>
      <c r="H59" s="34" t="str">
        <f t="shared" si="0"/>
        <v/>
      </c>
      <c r="I59" s="27" t="str">
        <f>IF($A59="","",SUMIFS(TblCalculs[Coût mensuel],TblCalculs[Cluster],$B59,TblCalculs[Mois],"&gt;="&amp;ex_mois))</f>
        <v/>
      </c>
      <c r="N59" s="33">
        <f>IF(28&gt;p_horizon,"",EDATE(p_debut,27))</f>
        <v>47119</v>
      </c>
      <c r="O59" s="27">
        <f>IF(28&gt;p_horizon,"",SUMIFS(TblCalculs[Coût mensuel],TblCalculs[Plateforme],"IKS",TblCalculs[Environnement],ex_envc,TblCalculs[Mois],$N59))</f>
        <v>74541</v>
      </c>
      <c r="P59" s="34">
        <f>IF(28&gt;p_horizon,"",(COUNTIFS(TblApplications[Action],"À migrer",TblApplications[Mois lib (calc)],"&gt;"&amp;$N59,TblApplications[Environnement],ex_envc,TblApplications[Domaine],ex_domc,TblApplications[Tribe],ex_tric)+COUNTIFS(TblApplications[Action],"À décommissionner",TblApplications[Mois lib (calc)],"&gt;"&amp;$N59,TblApplications[Environnement],ex_envc,TblApplications[Domaine],ex_domc,TblApplications[Tribe],ex_tric)))</f>
        <v>0</v>
      </c>
      <c r="Q59" s="34">
        <f>IF(28&gt;p_horizon,"",COUNTIFS(TblCalculs[Plateforme],"IKS",TblCalculs[Mois],$N59,TblCalculs[Workers],"&gt;0",TblCalculs[Environnement],ex_envc))</f>
        <v>7</v>
      </c>
      <c r="R59" s="27">
        <f>IF(28&gt;p_horizon,"",SUMIFS(TblCalculs[Coût mensuel],TblCalculs[Plateforme],"IKS",TblCalculs[Environnement],ex_envc,TblCalculs[Mois],"&gt;="&amp;$N59))</f>
        <v>670869</v>
      </c>
    </row>
    <row r="60" spans="1:18" x14ac:dyDescent="0.2">
      <c r="A60" s="37" t="str">
        <f>IFERROR(MATCH(29,TblClusters[Rang extinction],0),"")</f>
        <v/>
      </c>
      <c r="B60" s="34" t="str">
        <f>IF($A60="","",INDEX(TblClusters[Cluster],$A60))</f>
        <v/>
      </c>
      <c r="C60" s="34" t="str">
        <f>IF($A60="","",INDEX(TblClusters[Environnement],$A60))</f>
        <v/>
      </c>
      <c r="D60" s="34" t="str">
        <f>IF($A60="","",SUMIFS(TblCalculs[Workers],TblCalculs[Cluster],$B60,TblCalculs[Mois],ex_mois))</f>
        <v/>
      </c>
      <c r="E60" s="34" t="str">
        <f>IF($A60="","",COUNTIFS(TblApplications[Cluster IKS source],$B60,TblApplications[Action],"À migrer",TblApplications[Mois lib (calc)],"&gt;"&amp;ex_mois)+COUNTIFS(TblApplications[Cluster IKS source],$B60,TblApplications[Action],"À décommissionner",TblApplications[Mois lib (calc)],"&gt;"&amp;ex_mois))</f>
        <v/>
      </c>
      <c r="F60" s="33" t="str">
        <f>IF($A60="","",IFERROR(1/(1/_xlfn.MAXIFS(TblApplications[Mois lib (calc)],TblApplications[Cluster IKS source],$B60)),"–"))</f>
        <v/>
      </c>
      <c r="G60" s="33" t="str">
        <f>IF($A60="","",IF(INDEX(TblClusters[Fermeture retenue],$A60)="","–",INDEX(TblClusters[Fermeture retenue],$A60)))</f>
        <v/>
      </c>
      <c r="H60" s="34" t="str">
        <f t="shared" si="0"/>
        <v/>
      </c>
      <c r="I60" s="27" t="str">
        <f>IF($A60="","",SUMIFS(TblCalculs[Coût mensuel],TblCalculs[Cluster],$B60,TblCalculs[Mois],"&gt;="&amp;ex_mois))</f>
        <v/>
      </c>
      <c r="N60" s="33">
        <f>IF(29&gt;p_horizon,"",EDATE(p_debut,28))</f>
        <v>47150</v>
      </c>
      <c r="O60" s="27">
        <f>IF(29&gt;p_horizon,"",SUMIFS(TblCalculs[Coût mensuel],TblCalculs[Plateforme],"IKS",TblCalculs[Environnement],ex_envc,TblCalculs[Mois],$N60))</f>
        <v>74541</v>
      </c>
      <c r="P60" s="34">
        <f>IF(29&gt;p_horizon,"",(COUNTIFS(TblApplications[Action],"À migrer",TblApplications[Mois lib (calc)],"&gt;"&amp;$N60,TblApplications[Environnement],ex_envc,TblApplications[Domaine],ex_domc,TblApplications[Tribe],ex_tric)+COUNTIFS(TblApplications[Action],"À décommissionner",TblApplications[Mois lib (calc)],"&gt;"&amp;$N60,TblApplications[Environnement],ex_envc,TblApplications[Domaine],ex_domc,TblApplications[Tribe],ex_tric)))</f>
        <v>0</v>
      </c>
      <c r="Q60" s="34">
        <f>IF(29&gt;p_horizon,"",COUNTIFS(TblCalculs[Plateforme],"IKS",TblCalculs[Mois],$N60,TblCalculs[Workers],"&gt;0",TblCalculs[Environnement],ex_envc))</f>
        <v>7</v>
      </c>
      <c r="R60" s="27">
        <f>IF(29&gt;p_horizon,"",SUMIFS(TblCalculs[Coût mensuel],TblCalculs[Plateforme],"IKS",TblCalculs[Environnement],ex_envc,TblCalculs[Mois],"&gt;="&amp;$N60))</f>
        <v>596328</v>
      </c>
    </row>
    <row r="61" spans="1:18" x14ac:dyDescent="0.2">
      <c r="A61" s="37" t="str">
        <f>IFERROR(MATCH(30,TblClusters[Rang extinction],0),"")</f>
        <v/>
      </c>
      <c r="B61" s="34" t="str">
        <f>IF($A61="","",INDEX(TblClusters[Cluster],$A61))</f>
        <v/>
      </c>
      <c r="C61" s="34" t="str">
        <f>IF($A61="","",INDEX(TblClusters[Environnement],$A61))</f>
        <v/>
      </c>
      <c r="D61" s="34" t="str">
        <f>IF($A61="","",SUMIFS(TblCalculs[Workers],TblCalculs[Cluster],$B61,TblCalculs[Mois],ex_mois))</f>
        <v/>
      </c>
      <c r="E61" s="34" t="str">
        <f>IF($A61="","",COUNTIFS(TblApplications[Cluster IKS source],$B61,TblApplications[Action],"À migrer",TblApplications[Mois lib (calc)],"&gt;"&amp;ex_mois)+COUNTIFS(TblApplications[Cluster IKS source],$B61,TblApplications[Action],"À décommissionner",TblApplications[Mois lib (calc)],"&gt;"&amp;ex_mois))</f>
        <v/>
      </c>
      <c r="F61" s="33" t="str">
        <f>IF($A61="","",IFERROR(1/(1/_xlfn.MAXIFS(TblApplications[Mois lib (calc)],TblApplications[Cluster IKS source],$B61)),"–"))</f>
        <v/>
      </c>
      <c r="G61" s="33" t="str">
        <f>IF($A61="","",IF(INDEX(TblClusters[Fermeture retenue],$A61)="","–",INDEX(TblClusters[Fermeture retenue],$A61)))</f>
        <v/>
      </c>
      <c r="H61" s="34" t="str">
        <f t="shared" si="0"/>
        <v/>
      </c>
      <c r="I61" s="27" t="str">
        <f>IF($A61="","",SUMIFS(TblCalculs[Coût mensuel],TblCalculs[Cluster],$B61,TblCalculs[Mois],"&gt;="&amp;ex_mois))</f>
        <v/>
      </c>
      <c r="N61" s="33">
        <f>IF(30&gt;p_horizon,"",EDATE(p_debut,29))</f>
        <v>47178</v>
      </c>
      <c r="O61" s="27">
        <f>IF(30&gt;p_horizon,"",SUMIFS(TblCalculs[Coût mensuel],TblCalculs[Plateforme],"IKS",TblCalculs[Environnement],ex_envc,TblCalculs[Mois],$N61))</f>
        <v>74541</v>
      </c>
      <c r="P61" s="34">
        <f>IF(30&gt;p_horizon,"",(COUNTIFS(TblApplications[Action],"À migrer",TblApplications[Mois lib (calc)],"&gt;"&amp;$N61,TblApplications[Environnement],ex_envc,TblApplications[Domaine],ex_domc,TblApplications[Tribe],ex_tric)+COUNTIFS(TblApplications[Action],"À décommissionner",TblApplications[Mois lib (calc)],"&gt;"&amp;$N61,TblApplications[Environnement],ex_envc,TblApplications[Domaine],ex_domc,TblApplications[Tribe],ex_tric)))</f>
        <v>0</v>
      </c>
      <c r="Q61" s="34">
        <f>IF(30&gt;p_horizon,"",COUNTIFS(TblCalculs[Plateforme],"IKS",TblCalculs[Mois],$N61,TblCalculs[Workers],"&gt;0",TblCalculs[Environnement],ex_envc))</f>
        <v>7</v>
      </c>
      <c r="R61" s="27">
        <f>IF(30&gt;p_horizon,"",SUMIFS(TblCalculs[Coût mensuel],TblCalculs[Plateforme],"IKS",TblCalculs[Environnement],ex_envc,TblCalculs[Mois],"&gt;="&amp;$N61))</f>
        <v>521787</v>
      </c>
    </row>
    <row r="62" spans="1:18" x14ac:dyDescent="0.2">
      <c r="A62" s="37" t="str">
        <f>IFERROR(MATCH(31,TblClusters[Rang extinction],0),"")</f>
        <v/>
      </c>
      <c r="B62" s="34" t="str">
        <f>IF($A62="","",INDEX(TblClusters[Cluster],$A62))</f>
        <v/>
      </c>
      <c r="C62" s="34" t="str">
        <f>IF($A62="","",INDEX(TblClusters[Environnement],$A62))</f>
        <v/>
      </c>
      <c r="D62" s="34" t="str">
        <f>IF($A62="","",SUMIFS(TblCalculs[Workers],TblCalculs[Cluster],$B62,TblCalculs[Mois],ex_mois))</f>
        <v/>
      </c>
      <c r="E62" s="34" t="str">
        <f>IF($A62="","",COUNTIFS(TblApplications[Cluster IKS source],$B62,TblApplications[Action],"À migrer",TblApplications[Mois lib (calc)],"&gt;"&amp;ex_mois)+COUNTIFS(TblApplications[Cluster IKS source],$B62,TblApplications[Action],"À décommissionner",TblApplications[Mois lib (calc)],"&gt;"&amp;ex_mois))</f>
        <v/>
      </c>
      <c r="F62" s="33" t="str">
        <f>IF($A62="","",IFERROR(1/(1/_xlfn.MAXIFS(TblApplications[Mois lib (calc)],TblApplications[Cluster IKS source],$B62)),"–"))</f>
        <v/>
      </c>
      <c r="G62" s="33" t="str">
        <f>IF($A62="","",IF(INDEX(TblClusters[Fermeture retenue],$A62)="","–",INDEX(TblClusters[Fermeture retenue],$A62)))</f>
        <v/>
      </c>
      <c r="H62" s="34" t="str">
        <f t="shared" si="0"/>
        <v/>
      </c>
      <c r="I62" s="27" t="str">
        <f>IF($A62="","",SUMIFS(TblCalculs[Coût mensuel],TblCalculs[Cluster],$B62,TblCalculs[Mois],"&gt;="&amp;ex_mois))</f>
        <v/>
      </c>
      <c r="N62" s="33">
        <f>IF(31&gt;p_horizon,"",EDATE(p_debut,30))</f>
        <v>47209</v>
      </c>
      <c r="O62" s="27">
        <f>IF(31&gt;p_horizon,"",SUMIFS(TblCalculs[Coût mensuel],TblCalculs[Plateforme],"IKS",TblCalculs[Environnement],ex_envc,TblCalculs[Mois],$N62))</f>
        <v>74541</v>
      </c>
      <c r="P62" s="34">
        <f>IF(31&gt;p_horizon,"",(COUNTIFS(TblApplications[Action],"À migrer",TblApplications[Mois lib (calc)],"&gt;"&amp;$N62,TblApplications[Environnement],ex_envc,TblApplications[Domaine],ex_domc,TblApplications[Tribe],ex_tric)+COUNTIFS(TblApplications[Action],"À décommissionner",TblApplications[Mois lib (calc)],"&gt;"&amp;$N62,TblApplications[Environnement],ex_envc,TblApplications[Domaine],ex_domc,TblApplications[Tribe],ex_tric)))</f>
        <v>0</v>
      </c>
      <c r="Q62" s="34">
        <f>IF(31&gt;p_horizon,"",COUNTIFS(TblCalculs[Plateforme],"IKS",TblCalculs[Mois],$N62,TblCalculs[Workers],"&gt;0",TblCalculs[Environnement],ex_envc))</f>
        <v>7</v>
      </c>
      <c r="R62" s="27">
        <f>IF(31&gt;p_horizon,"",SUMIFS(TblCalculs[Coût mensuel],TblCalculs[Plateforme],"IKS",TblCalculs[Environnement],ex_envc,TblCalculs[Mois],"&gt;="&amp;$N62))</f>
        <v>447246</v>
      </c>
    </row>
    <row r="63" spans="1:18" x14ac:dyDescent="0.2">
      <c r="A63" s="37" t="str">
        <f>IFERROR(MATCH(32,TblClusters[Rang extinction],0),"")</f>
        <v/>
      </c>
      <c r="B63" s="34" t="str">
        <f>IF($A63="","",INDEX(TblClusters[Cluster],$A63))</f>
        <v/>
      </c>
      <c r="C63" s="34" t="str">
        <f>IF($A63="","",INDEX(TblClusters[Environnement],$A63))</f>
        <v/>
      </c>
      <c r="D63" s="34" t="str">
        <f>IF($A63="","",SUMIFS(TblCalculs[Workers],TblCalculs[Cluster],$B63,TblCalculs[Mois],ex_mois))</f>
        <v/>
      </c>
      <c r="E63" s="34" t="str">
        <f>IF($A63="","",COUNTIFS(TblApplications[Cluster IKS source],$B63,TblApplications[Action],"À migrer",TblApplications[Mois lib (calc)],"&gt;"&amp;ex_mois)+COUNTIFS(TblApplications[Cluster IKS source],$B63,TblApplications[Action],"À décommissionner",TblApplications[Mois lib (calc)],"&gt;"&amp;ex_mois))</f>
        <v/>
      </c>
      <c r="F63" s="33" t="str">
        <f>IF($A63="","",IFERROR(1/(1/_xlfn.MAXIFS(TblApplications[Mois lib (calc)],TblApplications[Cluster IKS source],$B63)),"–"))</f>
        <v/>
      </c>
      <c r="G63" s="33" t="str">
        <f>IF($A63="","",IF(INDEX(TblClusters[Fermeture retenue],$A63)="","–",INDEX(TblClusters[Fermeture retenue],$A63)))</f>
        <v/>
      </c>
      <c r="H63" s="34" t="str">
        <f t="shared" si="0"/>
        <v/>
      </c>
      <c r="I63" s="27" t="str">
        <f>IF($A63="","",SUMIFS(TblCalculs[Coût mensuel],TblCalculs[Cluster],$B63,TblCalculs[Mois],"&gt;="&amp;ex_mois))</f>
        <v/>
      </c>
      <c r="N63" s="33">
        <f>IF(32&gt;p_horizon,"",EDATE(p_debut,31))</f>
        <v>47239</v>
      </c>
      <c r="O63" s="27">
        <f>IF(32&gt;p_horizon,"",SUMIFS(TblCalculs[Coût mensuel],TblCalculs[Plateforme],"IKS",TblCalculs[Environnement],ex_envc,TblCalculs[Mois],$N63))</f>
        <v>74541</v>
      </c>
      <c r="P63" s="34">
        <f>IF(32&gt;p_horizon,"",(COUNTIFS(TblApplications[Action],"À migrer",TblApplications[Mois lib (calc)],"&gt;"&amp;$N63,TblApplications[Environnement],ex_envc,TblApplications[Domaine],ex_domc,TblApplications[Tribe],ex_tric)+COUNTIFS(TblApplications[Action],"À décommissionner",TblApplications[Mois lib (calc)],"&gt;"&amp;$N63,TblApplications[Environnement],ex_envc,TblApplications[Domaine],ex_domc,TblApplications[Tribe],ex_tric)))</f>
        <v>0</v>
      </c>
      <c r="Q63" s="34">
        <f>IF(32&gt;p_horizon,"",COUNTIFS(TblCalculs[Plateforme],"IKS",TblCalculs[Mois],$N63,TblCalculs[Workers],"&gt;0",TblCalculs[Environnement],ex_envc))</f>
        <v>7</v>
      </c>
      <c r="R63" s="27">
        <f>IF(32&gt;p_horizon,"",SUMIFS(TblCalculs[Coût mensuel],TblCalculs[Plateforme],"IKS",TblCalculs[Environnement],ex_envc,TblCalculs[Mois],"&gt;="&amp;$N63))</f>
        <v>372705</v>
      </c>
    </row>
    <row r="64" spans="1:18" x14ac:dyDescent="0.2">
      <c r="A64" s="37" t="str">
        <f>IFERROR(MATCH(33,TblClusters[Rang extinction],0),"")</f>
        <v/>
      </c>
      <c r="B64" s="34" t="str">
        <f>IF($A64="","",INDEX(TblClusters[Cluster],$A64))</f>
        <v/>
      </c>
      <c r="C64" s="34" t="str">
        <f>IF($A64="","",INDEX(TblClusters[Environnement],$A64))</f>
        <v/>
      </c>
      <c r="D64" s="34" t="str">
        <f>IF($A64="","",SUMIFS(TblCalculs[Workers],TblCalculs[Cluster],$B64,TblCalculs[Mois],ex_mois))</f>
        <v/>
      </c>
      <c r="E64" s="34" t="str">
        <f>IF($A64="","",COUNTIFS(TblApplications[Cluster IKS source],$B64,TblApplications[Action],"À migrer",TblApplications[Mois lib (calc)],"&gt;"&amp;ex_mois)+COUNTIFS(TblApplications[Cluster IKS source],$B64,TblApplications[Action],"À décommissionner",TblApplications[Mois lib (calc)],"&gt;"&amp;ex_mois))</f>
        <v/>
      </c>
      <c r="F64" s="33" t="str">
        <f>IF($A64="","",IFERROR(1/(1/_xlfn.MAXIFS(TblApplications[Mois lib (calc)],TblApplications[Cluster IKS source],$B64)),"–"))</f>
        <v/>
      </c>
      <c r="G64" s="33" t="str">
        <f>IF($A64="","",IF(INDEX(TblClusters[Fermeture retenue],$A64)="","–",INDEX(TblClusters[Fermeture retenue],$A64)))</f>
        <v/>
      </c>
      <c r="H64" s="34" t="str">
        <f t="shared" si="0"/>
        <v/>
      </c>
      <c r="I64" s="27" t="str">
        <f>IF($A64="","",SUMIFS(TblCalculs[Coût mensuel],TblCalculs[Cluster],$B64,TblCalculs[Mois],"&gt;="&amp;ex_mois))</f>
        <v/>
      </c>
      <c r="N64" s="33">
        <f>IF(33&gt;p_horizon,"",EDATE(p_debut,32))</f>
        <v>47270</v>
      </c>
      <c r="O64" s="27">
        <f>IF(33&gt;p_horizon,"",SUMIFS(TblCalculs[Coût mensuel],TblCalculs[Plateforme],"IKS",TblCalculs[Environnement],ex_envc,TblCalculs[Mois],$N64))</f>
        <v>74541</v>
      </c>
      <c r="P64" s="34">
        <f>IF(33&gt;p_horizon,"",(COUNTIFS(TblApplications[Action],"À migrer",TblApplications[Mois lib (calc)],"&gt;"&amp;$N64,TblApplications[Environnement],ex_envc,TblApplications[Domaine],ex_domc,TblApplications[Tribe],ex_tric)+COUNTIFS(TblApplications[Action],"À décommissionner",TblApplications[Mois lib (calc)],"&gt;"&amp;$N64,TblApplications[Environnement],ex_envc,TblApplications[Domaine],ex_domc,TblApplications[Tribe],ex_tric)))</f>
        <v>0</v>
      </c>
      <c r="Q64" s="34">
        <f>IF(33&gt;p_horizon,"",COUNTIFS(TblCalculs[Plateforme],"IKS",TblCalculs[Mois],$N64,TblCalculs[Workers],"&gt;0",TblCalculs[Environnement],ex_envc))</f>
        <v>7</v>
      </c>
      <c r="R64" s="27">
        <f>IF(33&gt;p_horizon,"",SUMIFS(TblCalculs[Coût mensuel],TblCalculs[Plateforme],"IKS",TblCalculs[Environnement],ex_envc,TblCalculs[Mois],"&gt;="&amp;$N64))</f>
        <v>298164</v>
      </c>
    </row>
    <row r="65" spans="1:18" x14ac:dyDescent="0.2">
      <c r="A65" s="37" t="str">
        <f>IFERROR(MATCH(34,TblClusters[Rang extinction],0),"")</f>
        <v/>
      </c>
      <c r="B65" s="34" t="str">
        <f>IF($A65="","",INDEX(TblClusters[Cluster],$A65))</f>
        <v/>
      </c>
      <c r="C65" s="34" t="str">
        <f>IF($A65="","",INDEX(TblClusters[Environnement],$A65))</f>
        <v/>
      </c>
      <c r="D65" s="34" t="str">
        <f>IF($A65="","",SUMIFS(TblCalculs[Workers],TblCalculs[Cluster],$B65,TblCalculs[Mois],ex_mois))</f>
        <v/>
      </c>
      <c r="E65" s="34" t="str">
        <f>IF($A65="","",COUNTIFS(TblApplications[Cluster IKS source],$B65,TblApplications[Action],"À migrer",TblApplications[Mois lib (calc)],"&gt;"&amp;ex_mois)+COUNTIFS(TblApplications[Cluster IKS source],$B65,TblApplications[Action],"À décommissionner",TblApplications[Mois lib (calc)],"&gt;"&amp;ex_mois))</f>
        <v/>
      </c>
      <c r="F65" s="33" t="str">
        <f>IF($A65="","",IFERROR(1/(1/_xlfn.MAXIFS(TblApplications[Mois lib (calc)],TblApplications[Cluster IKS source],$B65)),"–"))</f>
        <v/>
      </c>
      <c r="G65" s="33" t="str">
        <f>IF($A65="","",IF(INDEX(TblClusters[Fermeture retenue],$A65)="","–",INDEX(TblClusters[Fermeture retenue],$A65)))</f>
        <v/>
      </c>
      <c r="H65" s="34" t="str">
        <f t="shared" si="0"/>
        <v/>
      </c>
      <c r="I65" s="27" t="str">
        <f>IF($A65="","",SUMIFS(TblCalculs[Coût mensuel],TblCalculs[Cluster],$B65,TblCalculs[Mois],"&gt;="&amp;ex_mois))</f>
        <v/>
      </c>
      <c r="N65" s="33">
        <f>IF(34&gt;p_horizon,"",EDATE(p_debut,33))</f>
        <v>47300</v>
      </c>
      <c r="O65" s="27">
        <f>IF(34&gt;p_horizon,"",SUMIFS(TblCalculs[Coût mensuel],TblCalculs[Plateforme],"IKS",TblCalculs[Environnement],ex_envc,TblCalculs[Mois],$N65))</f>
        <v>74541</v>
      </c>
      <c r="P65" s="34">
        <f>IF(34&gt;p_horizon,"",(COUNTIFS(TblApplications[Action],"À migrer",TblApplications[Mois lib (calc)],"&gt;"&amp;$N65,TblApplications[Environnement],ex_envc,TblApplications[Domaine],ex_domc,TblApplications[Tribe],ex_tric)+COUNTIFS(TblApplications[Action],"À décommissionner",TblApplications[Mois lib (calc)],"&gt;"&amp;$N65,TblApplications[Environnement],ex_envc,TblApplications[Domaine],ex_domc,TblApplications[Tribe],ex_tric)))</f>
        <v>0</v>
      </c>
      <c r="Q65" s="34">
        <f>IF(34&gt;p_horizon,"",COUNTIFS(TblCalculs[Plateforme],"IKS",TblCalculs[Mois],$N65,TblCalculs[Workers],"&gt;0",TblCalculs[Environnement],ex_envc))</f>
        <v>7</v>
      </c>
      <c r="R65" s="27">
        <f>IF(34&gt;p_horizon,"",SUMIFS(TblCalculs[Coût mensuel],TblCalculs[Plateforme],"IKS",TblCalculs[Environnement],ex_envc,TblCalculs[Mois],"&gt;="&amp;$N65))</f>
        <v>223623</v>
      </c>
    </row>
    <row r="66" spans="1:18" x14ac:dyDescent="0.2">
      <c r="A66" s="37" t="str">
        <f>IFERROR(MATCH(35,TblClusters[Rang extinction],0),"")</f>
        <v/>
      </c>
      <c r="B66" s="34" t="str">
        <f>IF($A66="","",INDEX(TblClusters[Cluster],$A66))</f>
        <v/>
      </c>
      <c r="C66" s="34" t="str">
        <f>IF($A66="","",INDEX(TblClusters[Environnement],$A66))</f>
        <v/>
      </c>
      <c r="D66" s="34" t="str">
        <f>IF($A66="","",SUMIFS(TblCalculs[Workers],TblCalculs[Cluster],$B66,TblCalculs[Mois],ex_mois))</f>
        <v/>
      </c>
      <c r="E66" s="34" t="str">
        <f>IF($A66="","",COUNTIFS(TblApplications[Cluster IKS source],$B66,TblApplications[Action],"À migrer",TblApplications[Mois lib (calc)],"&gt;"&amp;ex_mois)+COUNTIFS(TblApplications[Cluster IKS source],$B66,TblApplications[Action],"À décommissionner",TblApplications[Mois lib (calc)],"&gt;"&amp;ex_mois))</f>
        <v/>
      </c>
      <c r="F66" s="33" t="str">
        <f>IF($A66="","",IFERROR(1/(1/_xlfn.MAXIFS(TblApplications[Mois lib (calc)],TblApplications[Cluster IKS source],$B66)),"–"))</f>
        <v/>
      </c>
      <c r="G66" s="33" t="str">
        <f>IF($A66="","",IF(INDEX(TblClusters[Fermeture retenue],$A66)="","–",INDEX(TblClusters[Fermeture retenue],$A66)))</f>
        <v/>
      </c>
      <c r="H66" s="34" t="str">
        <f t="shared" si="0"/>
        <v/>
      </c>
      <c r="I66" s="27" t="str">
        <f>IF($A66="","",SUMIFS(TblCalculs[Coût mensuel],TblCalculs[Cluster],$B66,TblCalculs[Mois],"&gt;="&amp;ex_mois))</f>
        <v/>
      </c>
      <c r="N66" s="33">
        <f>IF(35&gt;p_horizon,"",EDATE(p_debut,34))</f>
        <v>47331</v>
      </c>
      <c r="O66" s="27">
        <f>IF(35&gt;p_horizon,"",SUMIFS(TblCalculs[Coût mensuel],TblCalculs[Plateforme],"IKS",TblCalculs[Environnement],ex_envc,TblCalculs[Mois],$N66))</f>
        <v>74541</v>
      </c>
      <c r="P66" s="34">
        <f>IF(35&gt;p_horizon,"",(COUNTIFS(TblApplications[Action],"À migrer",TblApplications[Mois lib (calc)],"&gt;"&amp;$N66,TblApplications[Environnement],ex_envc,TblApplications[Domaine],ex_domc,TblApplications[Tribe],ex_tric)+COUNTIFS(TblApplications[Action],"À décommissionner",TblApplications[Mois lib (calc)],"&gt;"&amp;$N66,TblApplications[Environnement],ex_envc,TblApplications[Domaine],ex_domc,TblApplications[Tribe],ex_tric)))</f>
        <v>0</v>
      </c>
      <c r="Q66" s="34">
        <f>IF(35&gt;p_horizon,"",COUNTIFS(TblCalculs[Plateforme],"IKS",TblCalculs[Mois],$N66,TblCalculs[Workers],"&gt;0",TblCalculs[Environnement],ex_envc))</f>
        <v>7</v>
      </c>
      <c r="R66" s="27">
        <f>IF(35&gt;p_horizon,"",SUMIFS(TblCalculs[Coût mensuel],TblCalculs[Plateforme],"IKS",TblCalculs[Environnement],ex_envc,TblCalculs[Mois],"&gt;="&amp;$N66))</f>
        <v>149082</v>
      </c>
    </row>
    <row r="67" spans="1:18" x14ac:dyDescent="0.2">
      <c r="A67" s="37" t="str">
        <f>IFERROR(MATCH(36,TblClusters[Rang extinction],0),"")</f>
        <v/>
      </c>
      <c r="B67" s="34" t="str">
        <f>IF($A67="","",INDEX(TblClusters[Cluster],$A67))</f>
        <v/>
      </c>
      <c r="C67" s="34" t="str">
        <f>IF($A67="","",INDEX(TblClusters[Environnement],$A67))</f>
        <v/>
      </c>
      <c r="D67" s="34" t="str">
        <f>IF($A67="","",SUMIFS(TblCalculs[Workers],TblCalculs[Cluster],$B67,TblCalculs[Mois],ex_mois))</f>
        <v/>
      </c>
      <c r="E67" s="34" t="str">
        <f>IF($A67="","",COUNTIFS(TblApplications[Cluster IKS source],$B67,TblApplications[Action],"À migrer",TblApplications[Mois lib (calc)],"&gt;"&amp;ex_mois)+COUNTIFS(TblApplications[Cluster IKS source],$B67,TblApplications[Action],"À décommissionner",TblApplications[Mois lib (calc)],"&gt;"&amp;ex_mois))</f>
        <v/>
      </c>
      <c r="F67" s="33" t="str">
        <f>IF($A67="","",IFERROR(1/(1/_xlfn.MAXIFS(TblApplications[Mois lib (calc)],TblApplications[Cluster IKS source],$B67)),"–"))</f>
        <v/>
      </c>
      <c r="G67" s="33" t="str">
        <f>IF($A67="","",IF(INDEX(TblClusters[Fermeture retenue],$A67)="","–",INDEX(TblClusters[Fermeture retenue],$A67)))</f>
        <v/>
      </c>
      <c r="H67" s="34" t="str">
        <f t="shared" si="0"/>
        <v/>
      </c>
      <c r="I67" s="27" t="str">
        <f>IF($A67="","",SUMIFS(TblCalculs[Coût mensuel],TblCalculs[Cluster],$B67,TblCalculs[Mois],"&gt;="&amp;ex_mois))</f>
        <v/>
      </c>
      <c r="N67" s="33">
        <f>IF(36&gt;p_horizon,"",EDATE(p_debut,35))</f>
        <v>47362</v>
      </c>
      <c r="O67" s="27">
        <f>IF(36&gt;p_horizon,"",SUMIFS(TblCalculs[Coût mensuel],TblCalculs[Plateforme],"IKS",TblCalculs[Environnement],ex_envc,TblCalculs[Mois],$N67))</f>
        <v>74541</v>
      </c>
      <c r="P67" s="34">
        <f>IF(36&gt;p_horizon,"",(COUNTIFS(TblApplications[Action],"À migrer",TblApplications[Mois lib (calc)],"&gt;"&amp;$N67,TblApplications[Environnement],ex_envc,TblApplications[Domaine],ex_domc,TblApplications[Tribe],ex_tric)+COUNTIFS(TblApplications[Action],"À décommissionner",TblApplications[Mois lib (calc)],"&gt;"&amp;$N67,TblApplications[Environnement],ex_envc,TblApplications[Domaine],ex_domc,TblApplications[Tribe],ex_tric)))</f>
        <v>0</v>
      </c>
      <c r="Q67" s="34">
        <f>IF(36&gt;p_horizon,"",COUNTIFS(TblCalculs[Plateforme],"IKS",TblCalculs[Mois],$N67,TblCalculs[Workers],"&gt;0",TblCalculs[Environnement],ex_envc))</f>
        <v>7</v>
      </c>
      <c r="R67" s="27">
        <f>IF(36&gt;p_horizon,"",SUMIFS(TblCalculs[Coût mensuel],TblCalculs[Plateforme],"IKS",TblCalculs[Environnement],ex_envc,TblCalculs[Mois],"&gt;="&amp;$N67))</f>
        <v>74541</v>
      </c>
    </row>
    <row r="68" spans="1:18" x14ac:dyDescent="0.2">
      <c r="A68" s="37" t="str">
        <f>IFERROR(MATCH(37,TblClusters[Rang extinction],0),"")</f>
        <v/>
      </c>
      <c r="B68" s="34" t="str">
        <f>IF($A68="","",INDEX(TblClusters[Cluster],$A68))</f>
        <v/>
      </c>
      <c r="C68" s="34" t="str">
        <f>IF($A68="","",INDEX(TblClusters[Environnement],$A68))</f>
        <v/>
      </c>
      <c r="D68" s="34" t="str">
        <f>IF($A68="","",SUMIFS(TblCalculs[Workers],TblCalculs[Cluster],$B68,TblCalculs[Mois],ex_mois))</f>
        <v/>
      </c>
      <c r="E68" s="34" t="str">
        <f>IF($A68="","",COUNTIFS(TblApplications[Cluster IKS source],$B68,TblApplications[Action],"À migrer",TblApplications[Mois lib (calc)],"&gt;"&amp;ex_mois)+COUNTIFS(TblApplications[Cluster IKS source],$B68,TblApplications[Action],"À décommissionner",TblApplications[Mois lib (calc)],"&gt;"&amp;ex_mois))</f>
        <v/>
      </c>
      <c r="F68" s="33" t="str">
        <f>IF($A68="","",IFERROR(1/(1/_xlfn.MAXIFS(TblApplications[Mois lib (calc)],TblApplications[Cluster IKS source],$B68)),"–"))</f>
        <v/>
      </c>
      <c r="G68" s="33" t="str">
        <f>IF($A68="","",IF(INDEX(TblClusters[Fermeture retenue],$A68)="","–",INDEX(TblClusters[Fermeture retenue],$A68)))</f>
        <v/>
      </c>
      <c r="H68" s="34" t="str">
        <f t="shared" si="0"/>
        <v/>
      </c>
      <c r="I68" s="27" t="str">
        <f>IF($A68="","",SUMIFS(TblCalculs[Coût mensuel],TblCalculs[Cluster],$B68,TblCalculs[Mois],"&gt;="&amp;ex_mois))</f>
        <v/>
      </c>
    </row>
    <row r="69" spans="1:18" x14ac:dyDescent="0.2">
      <c r="A69" s="37" t="str">
        <f>IFERROR(MATCH(38,TblClusters[Rang extinction],0),"")</f>
        <v/>
      </c>
      <c r="B69" s="34" t="str">
        <f>IF($A69="","",INDEX(TblClusters[Cluster],$A69))</f>
        <v/>
      </c>
      <c r="C69" s="34" t="str">
        <f>IF($A69="","",INDEX(TblClusters[Environnement],$A69))</f>
        <v/>
      </c>
      <c r="D69" s="34" t="str">
        <f>IF($A69="","",SUMIFS(TblCalculs[Workers],TblCalculs[Cluster],$B69,TblCalculs[Mois],ex_mois))</f>
        <v/>
      </c>
      <c r="E69" s="34" t="str">
        <f>IF($A69="","",COUNTIFS(TblApplications[Cluster IKS source],$B69,TblApplications[Action],"À migrer",TblApplications[Mois lib (calc)],"&gt;"&amp;ex_mois)+COUNTIFS(TblApplications[Cluster IKS source],$B69,TblApplications[Action],"À décommissionner",TblApplications[Mois lib (calc)],"&gt;"&amp;ex_mois))</f>
        <v/>
      </c>
      <c r="F69" s="33" t="str">
        <f>IF($A69="","",IFERROR(1/(1/_xlfn.MAXIFS(TblApplications[Mois lib (calc)],TblApplications[Cluster IKS source],$B69)),"–"))</f>
        <v/>
      </c>
      <c r="G69" s="33" t="str">
        <f>IF($A69="","",IF(INDEX(TblClusters[Fermeture retenue],$A69)="","–",INDEX(TblClusters[Fermeture retenue],$A69)))</f>
        <v/>
      </c>
      <c r="H69" s="34" t="str">
        <f t="shared" si="0"/>
        <v/>
      </c>
      <c r="I69" s="27" t="str">
        <f>IF($A69="","",SUMIFS(TblCalculs[Coût mensuel],TblCalculs[Cluster],$B69,TblCalculs[Mois],"&gt;="&amp;ex_mois))</f>
        <v/>
      </c>
    </row>
    <row r="70" spans="1:18" x14ac:dyDescent="0.2">
      <c r="A70" s="37" t="str">
        <f>IFERROR(MATCH(39,TblClusters[Rang extinction],0),"")</f>
        <v/>
      </c>
      <c r="B70" s="34" t="str">
        <f>IF($A70="","",INDEX(TblClusters[Cluster],$A70))</f>
        <v/>
      </c>
      <c r="C70" s="34" t="str">
        <f>IF($A70="","",INDEX(TblClusters[Environnement],$A70))</f>
        <v/>
      </c>
      <c r="D70" s="34" t="str">
        <f>IF($A70="","",SUMIFS(TblCalculs[Workers],TblCalculs[Cluster],$B70,TblCalculs[Mois],ex_mois))</f>
        <v/>
      </c>
      <c r="E70" s="34" t="str">
        <f>IF($A70="","",COUNTIFS(TblApplications[Cluster IKS source],$B70,TblApplications[Action],"À migrer",TblApplications[Mois lib (calc)],"&gt;"&amp;ex_mois)+COUNTIFS(TblApplications[Cluster IKS source],$B70,TblApplications[Action],"À décommissionner",TblApplications[Mois lib (calc)],"&gt;"&amp;ex_mois))</f>
        <v/>
      </c>
      <c r="F70" s="33" t="str">
        <f>IF($A70="","",IFERROR(1/(1/_xlfn.MAXIFS(TblApplications[Mois lib (calc)],TblApplications[Cluster IKS source],$B70)),"–"))</f>
        <v/>
      </c>
      <c r="G70" s="33" t="str">
        <f>IF($A70="","",IF(INDEX(TblClusters[Fermeture retenue],$A70)="","–",INDEX(TblClusters[Fermeture retenue],$A70)))</f>
        <v/>
      </c>
      <c r="H70" s="34" t="str">
        <f t="shared" si="0"/>
        <v/>
      </c>
      <c r="I70" s="27" t="str">
        <f>IF($A70="","",SUMIFS(TblCalculs[Coût mensuel],TblCalculs[Cluster],$B70,TblCalculs[Mois],"&gt;="&amp;ex_mois))</f>
        <v/>
      </c>
    </row>
    <row r="71" spans="1:18" x14ac:dyDescent="0.2">
      <c r="A71" s="37" t="str">
        <f>IFERROR(MATCH(40,TblClusters[Rang extinction],0),"")</f>
        <v/>
      </c>
      <c r="B71" s="34" t="str">
        <f>IF($A71="","",INDEX(TblClusters[Cluster],$A71))</f>
        <v/>
      </c>
      <c r="C71" s="34" t="str">
        <f>IF($A71="","",INDEX(TblClusters[Environnement],$A71))</f>
        <v/>
      </c>
      <c r="D71" s="34" t="str">
        <f>IF($A71="","",SUMIFS(TblCalculs[Workers],TblCalculs[Cluster],$B71,TblCalculs[Mois],ex_mois))</f>
        <v/>
      </c>
      <c r="E71" s="34" t="str">
        <f>IF($A71="","",COUNTIFS(TblApplications[Cluster IKS source],$B71,TblApplications[Action],"À migrer",TblApplications[Mois lib (calc)],"&gt;"&amp;ex_mois)+COUNTIFS(TblApplications[Cluster IKS source],$B71,TblApplications[Action],"À décommissionner",TblApplications[Mois lib (calc)],"&gt;"&amp;ex_mois))</f>
        <v/>
      </c>
      <c r="F71" s="33" t="str">
        <f>IF($A71="","",IFERROR(1/(1/_xlfn.MAXIFS(TblApplications[Mois lib (calc)],TblApplications[Cluster IKS source],$B71)),"–"))</f>
        <v/>
      </c>
      <c r="G71" s="33" t="str">
        <f>IF($A71="","",IF(INDEX(TblClusters[Fermeture retenue],$A71)="","–",INDEX(TblClusters[Fermeture retenue],$A71)))</f>
        <v/>
      </c>
      <c r="H71" s="34" t="str">
        <f t="shared" si="0"/>
        <v/>
      </c>
      <c r="I71" s="27" t="str">
        <f>IF($A71="","",SUMIFS(TblCalculs[Coût mensuel],TblCalculs[Cluster],$B71,TblCalculs[Mois],"&gt;="&amp;ex_mois))</f>
        <v/>
      </c>
    </row>
    <row r="73" spans="1:18" ht="16" x14ac:dyDescent="0.2">
      <c r="B73" s="22" t="s">
        <v>84</v>
      </c>
    </row>
    <row r="75" spans="1:18" ht="30" customHeight="1" x14ac:dyDescent="0.2">
      <c r="B75" s="25" t="s">
        <v>85</v>
      </c>
      <c r="C75" s="25" t="s">
        <v>86</v>
      </c>
      <c r="D75" s="25" t="s">
        <v>19</v>
      </c>
      <c r="E75" s="25" t="s">
        <v>62</v>
      </c>
      <c r="F75" s="25" t="s">
        <v>87</v>
      </c>
      <c r="G75" s="25" t="s">
        <v>88</v>
      </c>
      <c r="H75" s="25" t="s">
        <v>75</v>
      </c>
      <c r="I75" s="25" t="s">
        <v>89</v>
      </c>
      <c r="J75" s="25" t="s">
        <v>90</v>
      </c>
    </row>
    <row r="76" spans="1:18" x14ac:dyDescent="0.2">
      <c r="A76" s="37">
        <f>IFERROR(MATCH(1,TblApplications[Rang extinction],0),"")</f>
        <v>2</v>
      </c>
      <c r="B76" s="39" t="str">
        <f>IF($A76="","",INDEX(TblApplications[ID],$A76))</f>
        <v>APP-02</v>
      </c>
      <c r="C76" s="39" t="str">
        <f>IF($A76="","",INDEX(TblApplications[Application],$A76))</f>
        <v>Moteur tarification (démo)</v>
      </c>
      <c r="D76" s="39" t="str">
        <f>IF($A76="","",INDEX(TblApplications[Tribe],$A76))</f>
        <v>Tarification</v>
      </c>
      <c r="E76" s="39" t="str">
        <f>IF($A76="","",INDEX(TblApplications[Environnement],$A76))</f>
        <v>PRD</v>
      </c>
      <c r="F76" s="39" t="str">
        <f>IF($A76="","",INDEX(TblApplications[Couloir],$A76))</f>
        <v>PRD</v>
      </c>
      <c r="G76" s="39" t="str">
        <f>IF($A76="","",INDEX(TblApplications[Action],$A76))</f>
        <v>À migrer</v>
      </c>
      <c r="H76" s="39" t="str">
        <f>IF($A76="","",INDEX(TblApplications[Cluster IKS source],$A76))</f>
        <v>ku002i000249</v>
      </c>
      <c r="I76" s="48">
        <f>IF($A76="","",INDEX(TblApplications[Mois lib (calc)],$A76))</f>
        <v>46813</v>
      </c>
      <c r="J76" s="49">
        <f>IF($A76="","",INDEX(TblApplications[CPU IKS libérable (vCPU)],$A76))</f>
        <v>92.307692307692307</v>
      </c>
    </row>
    <row r="77" spans="1:18" x14ac:dyDescent="0.2">
      <c r="A77" s="37">
        <f>IFERROR(MATCH(2,TblApplications[Rang extinction],0),"")</f>
        <v>3</v>
      </c>
      <c r="B77" s="39" t="str">
        <f>IF($A77="","",INDEX(TblApplications[ID],$A77))</f>
        <v>APP-03</v>
      </c>
      <c r="C77" s="39" t="str">
        <f>IF($A77="","",INDEX(TblApplications[Application],$A77))</f>
        <v>API sinistres (démo)</v>
      </c>
      <c r="D77" s="39" t="str">
        <f>IF($A77="","",INDEX(TblApplications[Tribe],$A77))</f>
        <v>Sinistres</v>
      </c>
      <c r="E77" s="39" t="str">
        <f>IF($A77="","",INDEX(TblApplications[Environnement],$A77))</f>
        <v>PRD</v>
      </c>
      <c r="F77" s="39" t="str">
        <f>IF($A77="","",INDEX(TblApplications[Couloir],$A77))</f>
        <v>PRD</v>
      </c>
      <c r="G77" s="39" t="str">
        <f>IF($A77="","",INDEX(TblApplications[Action],$A77))</f>
        <v>À migrer</v>
      </c>
      <c r="H77" s="39" t="str">
        <f>IF($A77="","",INDEX(TblApplications[Cluster IKS source],$A77))</f>
        <v>ku002i000249</v>
      </c>
      <c r="I77" s="48">
        <f>IF($A77="","",INDEX(TblApplications[Mois lib (calc)],$A77))</f>
        <v>47088</v>
      </c>
      <c r="J77" s="49">
        <f>IF($A77="","",INDEX(TblApplications[CPU IKS libérable (vCPU)],$A77))</f>
        <v>92.307692307692307</v>
      </c>
    </row>
    <row r="78" spans="1:18" x14ac:dyDescent="0.2">
      <c r="A78" s="37" t="str">
        <f>IFERROR(MATCH(3,TblApplications[Rang extinction],0),"")</f>
        <v/>
      </c>
      <c r="B78" s="39" t="str">
        <f>IF($A78="","",INDEX(TblApplications[ID],$A78))</f>
        <v/>
      </c>
      <c r="C78" s="39" t="str">
        <f>IF($A78="","",INDEX(TblApplications[Application],$A78))</f>
        <v/>
      </c>
      <c r="D78" s="39" t="str">
        <f>IF($A78="","",INDEX(TblApplications[Tribe],$A78))</f>
        <v/>
      </c>
      <c r="E78" s="39" t="str">
        <f>IF($A78="","",INDEX(TblApplications[Environnement],$A78))</f>
        <v/>
      </c>
      <c r="F78" s="39" t="str">
        <f>IF($A78="","",INDEX(TblApplications[Couloir],$A78))</f>
        <v/>
      </c>
      <c r="G78" s="39" t="str">
        <f>IF($A78="","",INDEX(TblApplications[Action],$A78))</f>
        <v/>
      </c>
      <c r="H78" s="39" t="str">
        <f>IF($A78="","",INDEX(TblApplications[Cluster IKS source],$A78))</f>
        <v/>
      </c>
      <c r="I78" s="48" t="str">
        <f>IF($A78="","",INDEX(TblApplications[Mois lib (calc)],$A78))</f>
        <v/>
      </c>
      <c r="J78" s="39" t="str">
        <f>IF($A78="","",INDEX(TblApplications[CPU IKS libérable (vCPU)],$A78))</f>
        <v/>
      </c>
    </row>
    <row r="79" spans="1:18" x14ac:dyDescent="0.2">
      <c r="A79" s="37" t="str">
        <f>IFERROR(MATCH(4,TblApplications[Rang extinction],0),"")</f>
        <v/>
      </c>
      <c r="B79" s="39" t="str">
        <f>IF($A79="","",INDEX(TblApplications[ID],$A79))</f>
        <v/>
      </c>
      <c r="C79" s="39" t="str">
        <f>IF($A79="","",INDEX(TblApplications[Application],$A79))</f>
        <v/>
      </c>
      <c r="D79" s="39" t="str">
        <f>IF($A79="","",INDEX(TblApplications[Tribe],$A79))</f>
        <v/>
      </c>
      <c r="E79" s="39" t="str">
        <f>IF($A79="","",INDEX(TblApplications[Environnement],$A79))</f>
        <v/>
      </c>
      <c r="F79" s="39" t="str">
        <f>IF($A79="","",INDEX(TblApplications[Couloir],$A79))</f>
        <v/>
      </c>
      <c r="G79" s="39" t="str">
        <f>IF($A79="","",INDEX(TblApplications[Action],$A79))</f>
        <v/>
      </c>
      <c r="H79" s="39" t="str">
        <f>IF($A79="","",INDEX(TblApplications[Cluster IKS source],$A79))</f>
        <v/>
      </c>
      <c r="I79" s="48" t="str">
        <f>IF($A79="","",INDEX(TblApplications[Mois lib (calc)],$A79))</f>
        <v/>
      </c>
      <c r="J79" s="39" t="str">
        <f>IF($A79="","",INDEX(TblApplications[CPU IKS libérable (vCPU)],$A79))</f>
        <v/>
      </c>
    </row>
    <row r="80" spans="1:18" x14ac:dyDescent="0.2">
      <c r="A80" s="37" t="str">
        <f>IFERROR(MATCH(5,TblApplications[Rang extinction],0),"")</f>
        <v/>
      </c>
      <c r="B80" s="39" t="str">
        <f>IF($A80="","",INDEX(TblApplications[ID],$A80))</f>
        <v/>
      </c>
      <c r="C80" s="39" t="str">
        <f>IF($A80="","",INDEX(TblApplications[Application],$A80))</f>
        <v/>
      </c>
      <c r="D80" s="39" t="str">
        <f>IF($A80="","",INDEX(TblApplications[Tribe],$A80))</f>
        <v/>
      </c>
      <c r="E80" s="39" t="str">
        <f>IF($A80="","",INDEX(TblApplications[Environnement],$A80))</f>
        <v/>
      </c>
      <c r="F80" s="39" t="str">
        <f>IF($A80="","",INDEX(TblApplications[Couloir],$A80))</f>
        <v/>
      </c>
      <c r="G80" s="39" t="str">
        <f>IF($A80="","",INDEX(TblApplications[Action],$A80))</f>
        <v/>
      </c>
      <c r="H80" s="39" t="str">
        <f>IF($A80="","",INDEX(TblApplications[Cluster IKS source],$A80))</f>
        <v/>
      </c>
      <c r="I80" s="48" t="str">
        <f>IF($A80="","",INDEX(TblApplications[Mois lib (calc)],$A80))</f>
        <v/>
      </c>
      <c r="J80" s="39" t="str">
        <f>IF($A80="","",INDEX(TblApplications[CPU IKS libérable (vCPU)],$A80))</f>
        <v/>
      </c>
    </row>
    <row r="81" spans="1:10" x14ac:dyDescent="0.2">
      <c r="A81" s="37" t="str">
        <f>IFERROR(MATCH(6,TblApplications[Rang extinction],0),"")</f>
        <v/>
      </c>
      <c r="B81" s="39" t="str">
        <f>IF($A81="","",INDEX(TblApplications[ID],$A81))</f>
        <v/>
      </c>
      <c r="C81" s="39" t="str">
        <f>IF($A81="","",INDEX(TblApplications[Application],$A81))</f>
        <v/>
      </c>
      <c r="D81" s="39" t="str">
        <f>IF($A81="","",INDEX(TblApplications[Tribe],$A81))</f>
        <v/>
      </c>
      <c r="E81" s="39" t="str">
        <f>IF($A81="","",INDEX(TblApplications[Environnement],$A81))</f>
        <v/>
      </c>
      <c r="F81" s="39" t="str">
        <f>IF($A81="","",INDEX(TblApplications[Couloir],$A81))</f>
        <v/>
      </c>
      <c r="G81" s="39" t="str">
        <f>IF($A81="","",INDEX(TblApplications[Action],$A81))</f>
        <v/>
      </c>
      <c r="H81" s="39" t="str">
        <f>IF($A81="","",INDEX(TblApplications[Cluster IKS source],$A81))</f>
        <v/>
      </c>
      <c r="I81" s="48" t="str">
        <f>IF($A81="","",INDEX(TblApplications[Mois lib (calc)],$A81))</f>
        <v/>
      </c>
      <c r="J81" s="39" t="str">
        <f>IF($A81="","",INDEX(TblApplications[CPU IKS libérable (vCPU)],$A81))</f>
        <v/>
      </c>
    </row>
    <row r="82" spans="1:10" x14ac:dyDescent="0.2">
      <c r="A82" s="37" t="str">
        <f>IFERROR(MATCH(7,TblApplications[Rang extinction],0),"")</f>
        <v/>
      </c>
      <c r="B82" s="39" t="str">
        <f>IF($A82="","",INDEX(TblApplications[ID],$A82))</f>
        <v/>
      </c>
      <c r="C82" s="39" t="str">
        <f>IF($A82="","",INDEX(TblApplications[Application],$A82))</f>
        <v/>
      </c>
      <c r="D82" s="39" t="str">
        <f>IF($A82="","",INDEX(TblApplications[Tribe],$A82))</f>
        <v/>
      </c>
      <c r="E82" s="39" t="str">
        <f>IF($A82="","",INDEX(TblApplications[Environnement],$A82))</f>
        <v/>
      </c>
      <c r="F82" s="39" t="str">
        <f>IF($A82="","",INDEX(TblApplications[Couloir],$A82))</f>
        <v/>
      </c>
      <c r="G82" s="39" t="str">
        <f>IF($A82="","",INDEX(TblApplications[Action],$A82))</f>
        <v/>
      </c>
      <c r="H82" s="39" t="str">
        <f>IF($A82="","",INDEX(TblApplications[Cluster IKS source],$A82))</f>
        <v/>
      </c>
      <c r="I82" s="48" t="str">
        <f>IF($A82="","",INDEX(TblApplications[Mois lib (calc)],$A82))</f>
        <v/>
      </c>
      <c r="J82" s="39" t="str">
        <f>IF($A82="","",INDEX(TblApplications[CPU IKS libérable (vCPU)],$A82))</f>
        <v/>
      </c>
    </row>
    <row r="83" spans="1:10" x14ac:dyDescent="0.2">
      <c r="A83" s="37" t="str">
        <f>IFERROR(MATCH(8,TblApplications[Rang extinction],0),"")</f>
        <v/>
      </c>
      <c r="B83" s="39" t="str">
        <f>IF($A83="","",INDEX(TblApplications[ID],$A83))</f>
        <v/>
      </c>
      <c r="C83" s="39" t="str">
        <f>IF($A83="","",INDEX(TblApplications[Application],$A83))</f>
        <v/>
      </c>
      <c r="D83" s="39" t="str">
        <f>IF($A83="","",INDEX(TblApplications[Tribe],$A83))</f>
        <v/>
      </c>
      <c r="E83" s="39" t="str">
        <f>IF($A83="","",INDEX(TblApplications[Environnement],$A83))</f>
        <v/>
      </c>
      <c r="F83" s="39" t="str">
        <f>IF($A83="","",INDEX(TblApplications[Couloir],$A83))</f>
        <v/>
      </c>
      <c r="G83" s="39" t="str">
        <f>IF($A83="","",INDEX(TblApplications[Action],$A83))</f>
        <v/>
      </c>
      <c r="H83" s="39" t="str">
        <f>IF($A83="","",INDEX(TblApplications[Cluster IKS source],$A83))</f>
        <v/>
      </c>
      <c r="I83" s="48" t="str">
        <f>IF($A83="","",INDEX(TblApplications[Mois lib (calc)],$A83))</f>
        <v/>
      </c>
      <c r="J83" s="39" t="str">
        <f>IF($A83="","",INDEX(TblApplications[CPU IKS libérable (vCPU)],$A83))</f>
        <v/>
      </c>
    </row>
    <row r="84" spans="1:10" x14ac:dyDescent="0.2">
      <c r="A84" s="37" t="str">
        <f>IFERROR(MATCH(9,TblApplications[Rang extinction],0),"")</f>
        <v/>
      </c>
      <c r="B84" s="39" t="str">
        <f>IF($A84="","",INDEX(TblApplications[ID],$A84))</f>
        <v/>
      </c>
      <c r="C84" s="39" t="str">
        <f>IF($A84="","",INDEX(TblApplications[Application],$A84))</f>
        <v/>
      </c>
      <c r="D84" s="39" t="str">
        <f>IF($A84="","",INDEX(TblApplications[Tribe],$A84))</f>
        <v/>
      </c>
      <c r="E84" s="39" t="str">
        <f>IF($A84="","",INDEX(TblApplications[Environnement],$A84))</f>
        <v/>
      </c>
      <c r="F84" s="39" t="str">
        <f>IF($A84="","",INDEX(TblApplications[Couloir],$A84))</f>
        <v/>
      </c>
      <c r="G84" s="39" t="str">
        <f>IF($A84="","",INDEX(TblApplications[Action],$A84))</f>
        <v/>
      </c>
      <c r="H84" s="39" t="str">
        <f>IF($A84="","",INDEX(TblApplications[Cluster IKS source],$A84))</f>
        <v/>
      </c>
      <c r="I84" s="48" t="str">
        <f>IF($A84="","",INDEX(TblApplications[Mois lib (calc)],$A84))</f>
        <v/>
      </c>
      <c r="J84" s="39" t="str">
        <f>IF($A84="","",INDEX(TblApplications[CPU IKS libérable (vCPU)],$A84))</f>
        <v/>
      </c>
    </row>
    <row r="85" spans="1:10" x14ac:dyDescent="0.2">
      <c r="A85" s="37" t="str">
        <f>IFERROR(MATCH(10,TblApplications[Rang extinction],0),"")</f>
        <v/>
      </c>
      <c r="B85" s="39" t="str">
        <f>IF($A85="","",INDEX(TblApplications[ID],$A85))</f>
        <v/>
      </c>
      <c r="C85" s="39" t="str">
        <f>IF($A85="","",INDEX(TblApplications[Application],$A85))</f>
        <v/>
      </c>
      <c r="D85" s="39" t="str">
        <f>IF($A85="","",INDEX(TblApplications[Tribe],$A85))</f>
        <v/>
      </c>
      <c r="E85" s="39" t="str">
        <f>IF($A85="","",INDEX(TblApplications[Environnement],$A85))</f>
        <v/>
      </c>
      <c r="F85" s="39" t="str">
        <f>IF($A85="","",INDEX(TblApplications[Couloir],$A85))</f>
        <v/>
      </c>
      <c r="G85" s="39" t="str">
        <f>IF($A85="","",INDEX(TblApplications[Action],$A85))</f>
        <v/>
      </c>
      <c r="H85" s="39" t="str">
        <f>IF($A85="","",INDEX(TblApplications[Cluster IKS source],$A85))</f>
        <v/>
      </c>
      <c r="I85" s="48" t="str">
        <f>IF($A85="","",INDEX(TblApplications[Mois lib (calc)],$A85))</f>
        <v/>
      </c>
      <c r="J85" s="39" t="str">
        <f>IF($A85="","",INDEX(TblApplications[CPU IKS libérable (vCPU)],$A85))</f>
        <v/>
      </c>
    </row>
    <row r="86" spans="1:10" x14ac:dyDescent="0.2">
      <c r="A86" s="37" t="str">
        <f>IFERROR(MATCH(11,TblApplications[Rang extinction],0),"")</f>
        <v/>
      </c>
      <c r="B86" s="39" t="str">
        <f>IF($A86="","",INDEX(TblApplications[ID],$A86))</f>
        <v/>
      </c>
      <c r="C86" s="39" t="str">
        <f>IF($A86="","",INDEX(TblApplications[Application],$A86))</f>
        <v/>
      </c>
      <c r="D86" s="39" t="str">
        <f>IF($A86="","",INDEX(TblApplications[Tribe],$A86))</f>
        <v/>
      </c>
      <c r="E86" s="39" t="str">
        <f>IF($A86="","",INDEX(TblApplications[Environnement],$A86))</f>
        <v/>
      </c>
      <c r="F86" s="39" t="str">
        <f>IF($A86="","",INDEX(TblApplications[Couloir],$A86))</f>
        <v/>
      </c>
      <c r="G86" s="39" t="str">
        <f>IF($A86="","",INDEX(TblApplications[Action],$A86))</f>
        <v/>
      </c>
      <c r="H86" s="39" t="str">
        <f>IF($A86="","",INDEX(TblApplications[Cluster IKS source],$A86))</f>
        <v/>
      </c>
      <c r="I86" s="48" t="str">
        <f>IF($A86="","",INDEX(TblApplications[Mois lib (calc)],$A86))</f>
        <v/>
      </c>
      <c r="J86" s="39" t="str">
        <f>IF($A86="","",INDEX(TblApplications[CPU IKS libérable (vCPU)],$A86))</f>
        <v/>
      </c>
    </row>
    <row r="87" spans="1:10" x14ac:dyDescent="0.2">
      <c r="A87" s="37" t="str">
        <f>IFERROR(MATCH(12,TblApplications[Rang extinction],0),"")</f>
        <v/>
      </c>
      <c r="B87" s="39" t="str">
        <f>IF($A87="","",INDEX(TblApplications[ID],$A87))</f>
        <v/>
      </c>
      <c r="C87" s="39" t="str">
        <f>IF($A87="","",INDEX(TblApplications[Application],$A87))</f>
        <v/>
      </c>
      <c r="D87" s="39" t="str">
        <f>IF($A87="","",INDEX(TblApplications[Tribe],$A87))</f>
        <v/>
      </c>
      <c r="E87" s="39" t="str">
        <f>IF($A87="","",INDEX(TblApplications[Environnement],$A87))</f>
        <v/>
      </c>
      <c r="F87" s="39" t="str">
        <f>IF($A87="","",INDEX(TblApplications[Couloir],$A87))</f>
        <v/>
      </c>
      <c r="G87" s="39" t="str">
        <f>IF($A87="","",INDEX(TblApplications[Action],$A87))</f>
        <v/>
      </c>
      <c r="H87" s="39" t="str">
        <f>IF($A87="","",INDEX(TblApplications[Cluster IKS source],$A87))</f>
        <v/>
      </c>
      <c r="I87" s="48" t="str">
        <f>IF($A87="","",INDEX(TblApplications[Mois lib (calc)],$A87))</f>
        <v/>
      </c>
      <c r="J87" s="39" t="str">
        <f>IF($A87="","",INDEX(TblApplications[CPU IKS libérable (vCPU)],$A87))</f>
        <v/>
      </c>
    </row>
    <row r="88" spans="1:10" x14ac:dyDescent="0.2">
      <c r="A88" s="37" t="str">
        <f>IFERROR(MATCH(13,TblApplications[Rang extinction],0),"")</f>
        <v/>
      </c>
      <c r="B88" s="39" t="str">
        <f>IF($A88="","",INDEX(TblApplications[ID],$A88))</f>
        <v/>
      </c>
      <c r="C88" s="39" t="str">
        <f>IF($A88="","",INDEX(TblApplications[Application],$A88))</f>
        <v/>
      </c>
      <c r="D88" s="39" t="str">
        <f>IF($A88="","",INDEX(TblApplications[Tribe],$A88))</f>
        <v/>
      </c>
      <c r="E88" s="39" t="str">
        <f>IF($A88="","",INDEX(TblApplications[Environnement],$A88))</f>
        <v/>
      </c>
      <c r="F88" s="39" t="str">
        <f>IF($A88="","",INDEX(TblApplications[Couloir],$A88))</f>
        <v/>
      </c>
      <c r="G88" s="39" t="str">
        <f>IF($A88="","",INDEX(TblApplications[Action],$A88))</f>
        <v/>
      </c>
      <c r="H88" s="39" t="str">
        <f>IF($A88="","",INDEX(TblApplications[Cluster IKS source],$A88))</f>
        <v/>
      </c>
      <c r="I88" s="48" t="str">
        <f>IF($A88="","",INDEX(TblApplications[Mois lib (calc)],$A88))</f>
        <v/>
      </c>
      <c r="J88" s="39" t="str">
        <f>IF($A88="","",INDEX(TblApplications[CPU IKS libérable (vCPU)],$A88))</f>
        <v/>
      </c>
    </row>
    <row r="89" spans="1:10" x14ac:dyDescent="0.2">
      <c r="A89" s="37" t="str">
        <f>IFERROR(MATCH(14,TblApplications[Rang extinction],0),"")</f>
        <v/>
      </c>
      <c r="B89" s="39" t="str">
        <f>IF($A89="","",INDEX(TblApplications[ID],$A89))</f>
        <v/>
      </c>
      <c r="C89" s="39" t="str">
        <f>IF($A89="","",INDEX(TblApplications[Application],$A89))</f>
        <v/>
      </c>
      <c r="D89" s="39" t="str">
        <f>IF($A89="","",INDEX(TblApplications[Tribe],$A89))</f>
        <v/>
      </c>
      <c r="E89" s="39" t="str">
        <f>IF($A89="","",INDEX(TblApplications[Environnement],$A89))</f>
        <v/>
      </c>
      <c r="F89" s="39" t="str">
        <f>IF($A89="","",INDEX(TblApplications[Couloir],$A89))</f>
        <v/>
      </c>
      <c r="G89" s="39" t="str">
        <f>IF($A89="","",INDEX(TblApplications[Action],$A89))</f>
        <v/>
      </c>
      <c r="H89" s="39" t="str">
        <f>IF($A89="","",INDEX(TblApplications[Cluster IKS source],$A89))</f>
        <v/>
      </c>
      <c r="I89" s="48" t="str">
        <f>IF($A89="","",INDEX(TblApplications[Mois lib (calc)],$A89))</f>
        <v/>
      </c>
      <c r="J89" s="39" t="str">
        <f>IF($A89="","",INDEX(TblApplications[CPU IKS libérable (vCPU)],$A89))</f>
        <v/>
      </c>
    </row>
    <row r="90" spans="1:10" x14ac:dyDescent="0.2">
      <c r="A90" s="37" t="str">
        <f>IFERROR(MATCH(15,TblApplications[Rang extinction],0),"")</f>
        <v/>
      </c>
      <c r="B90" s="39" t="str">
        <f>IF($A90="","",INDEX(TblApplications[ID],$A90))</f>
        <v/>
      </c>
      <c r="C90" s="39" t="str">
        <f>IF($A90="","",INDEX(TblApplications[Application],$A90))</f>
        <v/>
      </c>
      <c r="D90" s="39" t="str">
        <f>IF($A90="","",INDEX(TblApplications[Tribe],$A90))</f>
        <v/>
      </c>
      <c r="E90" s="39" t="str">
        <f>IF($A90="","",INDEX(TblApplications[Environnement],$A90))</f>
        <v/>
      </c>
      <c r="F90" s="39" t="str">
        <f>IF($A90="","",INDEX(TblApplications[Couloir],$A90))</f>
        <v/>
      </c>
      <c r="G90" s="39" t="str">
        <f>IF($A90="","",INDEX(TblApplications[Action],$A90))</f>
        <v/>
      </c>
      <c r="H90" s="39" t="str">
        <f>IF($A90="","",INDEX(TblApplications[Cluster IKS source],$A90))</f>
        <v/>
      </c>
      <c r="I90" s="48" t="str">
        <f>IF($A90="","",INDEX(TblApplications[Mois lib (calc)],$A90))</f>
        <v/>
      </c>
      <c r="J90" s="39" t="str">
        <f>IF($A90="","",INDEX(TblApplications[CPU IKS libérable (vCPU)],$A90))</f>
        <v/>
      </c>
    </row>
    <row r="91" spans="1:10" x14ac:dyDescent="0.2">
      <c r="A91" s="37" t="str">
        <f>IFERROR(MATCH(16,TblApplications[Rang extinction],0),"")</f>
        <v/>
      </c>
      <c r="B91" s="39" t="str">
        <f>IF($A91="","",INDEX(TblApplications[ID],$A91))</f>
        <v/>
      </c>
      <c r="C91" s="39" t="str">
        <f>IF($A91="","",INDEX(TblApplications[Application],$A91))</f>
        <v/>
      </c>
      <c r="D91" s="39" t="str">
        <f>IF($A91="","",INDEX(TblApplications[Tribe],$A91))</f>
        <v/>
      </c>
      <c r="E91" s="39" t="str">
        <f>IF($A91="","",INDEX(TblApplications[Environnement],$A91))</f>
        <v/>
      </c>
      <c r="F91" s="39" t="str">
        <f>IF($A91="","",INDEX(TblApplications[Couloir],$A91))</f>
        <v/>
      </c>
      <c r="G91" s="39" t="str">
        <f>IF($A91="","",INDEX(TblApplications[Action],$A91))</f>
        <v/>
      </c>
      <c r="H91" s="39" t="str">
        <f>IF($A91="","",INDEX(TblApplications[Cluster IKS source],$A91))</f>
        <v/>
      </c>
      <c r="I91" s="48" t="str">
        <f>IF($A91="","",INDEX(TblApplications[Mois lib (calc)],$A91))</f>
        <v/>
      </c>
      <c r="J91" s="39" t="str">
        <f>IF($A91="","",INDEX(TblApplications[CPU IKS libérable (vCPU)],$A91))</f>
        <v/>
      </c>
    </row>
    <row r="92" spans="1:10" x14ac:dyDescent="0.2">
      <c r="A92" s="37" t="str">
        <f>IFERROR(MATCH(17,TblApplications[Rang extinction],0),"")</f>
        <v/>
      </c>
      <c r="B92" s="39" t="str">
        <f>IF($A92="","",INDEX(TblApplications[ID],$A92))</f>
        <v/>
      </c>
      <c r="C92" s="39" t="str">
        <f>IF($A92="","",INDEX(TblApplications[Application],$A92))</f>
        <v/>
      </c>
      <c r="D92" s="39" t="str">
        <f>IF($A92="","",INDEX(TblApplications[Tribe],$A92))</f>
        <v/>
      </c>
      <c r="E92" s="39" t="str">
        <f>IF($A92="","",INDEX(TblApplications[Environnement],$A92))</f>
        <v/>
      </c>
      <c r="F92" s="39" t="str">
        <f>IF($A92="","",INDEX(TblApplications[Couloir],$A92))</f>
        <v/>
      </c>
      <c r="G92" s="39" t="str">
        <f>IF($A92="","",INDEX(TblApplications[Action],$A92))</f>
        <v/>
      </c>
      <c r="H92" s="39" t="str">
        <f>IF($A92="","",INDEX(TblApplications[Cluster IKS source],$A92))</f>
        <v/>
      </c>
      <c r="I92" s="48" t="str">
        <f>IF($A92="","",INDEX(TblApplications[Mois lib (calc)],$A92))</f>
        <v/>
      </c>
      <c r="J92" s="39" t="str">
        <f>IF($A92="","",INDEX(TblApplications[CPU IKS libérable (vCPU)],$A92))</f>
        <v/>
      </c>
    </row>
    <row r="93" spans="1:10" x14ac:dyDescent="0.2">
      <c r="A93" s="37" t="str">
        <f>IFERROR(MATCH(18,TblApplications[Rang extinction],0),"")</f>
        <v/>
      </c>
      <c r="B93" s="39" t="str">
        <f>IF($A93="","",INDEX(TblApplications[ID],$A93))</f>
        <v/>
      </c>
      <c r="C93" s="39" t="str">
        <f>IF($A93="","",INDEX(TblApplications[Application],$A93))</f>
        <v/>
      </c>
      <c r="D93" s="39" t="str">
        <f>IF($A93="","",INDEX(TblApplications[Tribe],$A93))</f>
        <v/>
      </c>
      <c r="E93" s="39" t="str">
        <f>IF($A93="","",INDEX(TblApplications[Environnement],$A93))</f>
        <v/>
      </c>
      <c r="F93" s="39" t="str">
        <f>IF($A93="","",INDEX(TblApplications[Couloir],$A93))</f>
        <v/>
      </c>
      <c r="G93" s="39" t="str">
        <f>IF($A93="","",INDEX(TblApplications[Action],$A93))</f>
        <v/>
      </c>
      <c r="H93" s="39" t="str">
        <f>IF($A93="","",INDEX(TblApplications[Cluster IKS source],$A93))</f>
        <v/>
      </c>
      <c r="I93" s="48" t="str">
        <f>IF($A93="","",INDEX(TblApplications[Mois lib (calc)],$A93))</f>
        <v/>
      </c>
      <c r="J93" s="39" t="str">
        <f>IF($A93="","",INDEX(TblApplications[CPU IKS libérable (vCPU)],$A93))</f>
        <v/>
      </c>
    </row>
    <row r="94" spans="1:10" x14ac:dyDescent="0.2">
      <c r="A94" s="37" t="str">
        <f>IFERROR(MATCH(19,TblApplications[Rang extinction],0),"")</f>
        <v/>
      </c>
      <c r="B94" s="39" t="str">
        <f>IF($A94="","",INDEX(TblApplications[ID],$A94))</f>
        <v/>
      </c>
      <c r="C94" s="39" t="str">
        <f>IF($A94="","",INDEX(TblApplications[Application],$A94))</f>
        <v/>
      </c>
      <c r="D94" s="39" t="str">
        <f>IF($A94="","",INDEX(TblApplications[Tribe],$A94))</f>
        <v/>
      </c>
      <c r="E94" s="39" t="str">
        <f>IF($A94="","",INDEX(TblApplications[Environnement],$A94))</f>
        <v/>
      </c>
      <c r="F94" s="39" t="str">
        <f>IF($A94="","",INDEX(TblApplications[Couloir],$A94))</f>
        <v/>
      </c>
      <c r="G94" s="39" t="str">
        <f>IF($A94="","",INDEX(TblApplications[Action],$A94))</f>
        <v/>
      </c>
      <c r="H94" s="39" t="str">
        <f>IF($A94="","",INDEX(TblApplications[Cluster IKS source],$A94))</f>
        <v/>
      </c>
      <c r="I94" s="48" t="str">
        <f>IF($A94="","",INDEX(TblApplications[Mois lib (calc)],$A94))</f>
        <v/>
      </c>
      <c r="J94" s="39" t="str">
        <f>IF($A94="","",INDEX(TblApplications[CPU IKS libérable (vCPU)],$A94))</f>
        <v/>
      </c>
    </row>
    <row r="95" spans="1:10" x14ac:dyDescent="0.2">
      <c r="A95" s="37" t="str">
        <f>IFERROR(MATCH(20,TblApplications[Rang extinction],0),"")</f>
        <v/>
      </c>
      <c r="B95" s="39" t="str">
        <f>IF($A95="","",INDEX(TblApplications[ID],$A95))</f>
        <v/>
      </c>
      <c r="C95" s="39" t="str">
        <f>IF($A95="","",INDEX(TblApplications[Application],$A95))</f>
        <v/>
      </c>
      <c r="D95" s="39" t="str">
        <f>IF($A95="","",INDEX(TblApplications[Tribe],$A95))</f>
        <v/>
      </c>
      <c r="E95" s="39" t="str">
        <f>IF($A95="","",INDEX(TblApplications[Environnement],$A95))</f>
        <v/>
      </c>
      <c r="F95" s="39" t="str">
        <f>IF($A95="","",INDEX(TblApplications[Couloir],$A95))</f>
        <v/>
      </c>
      <c r="G95" s="39" t="str">
        <f>IF($A95="","",INDEX(TblApplications[Action],$A95))</f>
        <v/>
      </c>
      <c r="H95" s="39" t="str">
        <f>IF($A95="","",INDEX(TblApplications[Cluster IKS source],$A95))</f>
        <v/>
      </c>
      <c r="I95" s="48" t="str">
        <f>IF($A95="","",INDEX(TblApplications[Mois lib (calc)],$A95))</f>
        <v/>
      </c>
      <c r="J95" s="39" t="str">
        <f>IF($A95="","",INDEX(TblApplications[CPU IKS libérable (vCPU)],$A95))</f>
        <v/>
      </c>
    </row>
    <row r="96" spans="1:10" x14ac:dyDescent="0.2">
      <c r="A96" s="37" t="str">
        <f>IFERROR(MATCH(21,TblApplications[Rang extinction],0),"")</f>
        <v/>
      </c>
      <c r="B96" s="39" t="str">
        <f>IF($A96="","",INDEX(TblApplications[ID],$A96))</f>
        <v/>
      </c>
      <c r="C96" s="39" t="str">
        <f>IF($A96="","",INDEX(TblApplications[Application],$A96))</f>
        <v/>
      </c>
      <c r="D96" s="39" t="str">
        <f>IF($A96="","",INDEX(TblApplications[Tribe],$A96))</f>
        <v/>
      </c>
      <c r="E96" s="39" t="str">
        <f>IF($A96="","",INDEX(TblApplications[Environnement],$A96))</f>
        <v/>
      </c>
      <c r="F96" s="39" t="str">
        <f>IF($A96="","",INDEX(TblApplications[Couloir],$A96))</f>
        <v/>
      </c>
      <c r="G96" s="39" t="str">
        <f>IF($A96="","",INDEX(TblApplications[Action],$A96))</f>
        <v/>
      </c>
      <c r="H96" s="39" t="str">
        <f>IF($A96="","",INDEX(TblApplications[Cluster IKS source],$A96))</f>
        <v/>
      </c>
      <c r="I96" s="48" t="str">
        <f>IF($A96="","",INDEX(TblApplications[Mois lib (calc)],$A96))</f>
        <v/>
      </c>
      <c r="J96" s="39" t="str">
        <f>IF($A96="","",INDEX(TblApplications[CPU IKS libérable (vCPU)],$A96))</f>
        <v/>
      </c>
    </row>
    <row r="97" spans="1:10" x14ac:dyDescent="0.2">
      <c r="A97" s="37" t="str">
        <f>IFERROR(MATCH(22,TblApplications[Rang extinction],0),"")</f>
        <v/>
      </c>
      <c r="B97" s="39" t="str">
        <f>IF($A97="","",INDEX(TblApplications[ID],$A97))</f>
        <v/>
      </c>
      <c r="C97" s="39" t="str">
        <f>IF($A97="","",INDEX(TblApplications[Application],$A97))</f>
        <v/>
      </c>
      <c r="D97" s="39" t="str">
        <f>IF($A97="","",INDEX(TblApplications[Tribe],$A97))</f>
        <v/>
      </c>
      <c r="E97" s="39" t="str">
        <f>IF($A97="","",INDEX(TblApplications[Environnement],$A97))</f>
        <v/>
      </c>
      <c r="F97" s="39" t="str">
        <f>IF($A97="","",INDEX(TblApplications[Couloir],$A97))</f>
        <v/>
      </c>
      <c r="G97" s="39" t="str">
        <f>IF($A97="","",INDEX(TblApplications[Action],$A97))</f>
        <v/>
      </c>
      <c r="H97" s="39" t="str">
        <f>IF($A97="","",INDEX(TblApplications[Cluster IKS source],$A97))</f>
        <v/>
      </c>
      <c r="I97" s="48" t="str">
        <f>IF($A97="","",INDEX(TblApplications[Mois lib (calc)],$A97))</f>
        <v/>
      </c>
      <c r="J97" s="39" t="str">
        <f>IF($A97="","",INDEX(TblApplications[CPU IKS libérable (vCPU)],$A97))</f>
        <v/>
      </c>
    </row>
    <row r="98" spans="1:10" x14ac:dyDescent="0.2">
      <c r="A98" s="37" t="str">
        <f>IFERROR(MATCH(23,TblApplications[Rang extinction],0),"")</f>
        <v/>
      </c>
      <c r="B98" s="39" t="str">
        <f>IF($A98="","",INDEX(TblApplications[ID],$A98))</f>
        <v/>
      </c>
      <c r="C98" s="39" t="str">
        <f>IF($A98="","",INDEX(TblApplications[Application],$A98))</f>
        <v/>
      </c>
      <c r="D98" s="39" t="str">
        <f>IF($A98="","",INDEX(TblApplications[Tribe],$A98))</f>
        <v/>
      </c>
      <c r="E98" s="39" t="str">
        <f>IF($A98="","",INDEX(TblApplications[Environnement],$A98))</f>
        <v/>
      </c>
      <c r="F98" s="39" t="str">
        <f>IF($A98="","",INDEX(TblApplications[Couloir],$A98))</f>
        <v/>
      </c>
      <c r="G98" s="39" t="str">
        <f>IF($A98="","",INDEX(TblApplications[Action],$A98))</f>
        <v/>
      </c>
      <c r="H98" s="39" t="str">
        <f>IF($A98="","",INDEX(TblApplications[Cluster IKS source],$A98))</f>
        <v/>
      </c>
      <c r="I98" s="48" t="str">
        <f>IF($A98="","",INDEX(TblApplications[Mois lib (calc)],$A98))</f>
        <v/>
      </c>
      <c r="J98" s="39" t="str">
        <f>IF($A98="","",INDEX(TblApplications[CPU IKS libérable (vCPU)],$A98))</f>
        <v/>
      </c>
    </row>
    <row r="99" spans="1:10" x14ac:dyDescent="0.2">
      <c r="A99" s="37" t="str">
        <f>IFERROR(MATCH(24,TblApplications[Rang extinction],0),"")</f>
        <v/>
      </c>
      <c r="B99" s="39" t="str">
        <f>IF($A99="","",INDEX(TblApplications[ID],$A99))</f>
        <v/>
      </c>
      <c r="C99" s="39" t="str">
        <f>IF($A99="","",INDEX(TblApplications[Application],$A99))</f>
        <v/>
      </c>
      <c r="D99" s="39" t="str">
        <f>IF($A99="","",INDEX(TblApplications[Tribe],$A99))</f>
        <v/>
      </c>
      <c r="E99" s="39" t="str">
        <f>IF($A99="","",INDEX(TblApplications[Environnement],$A99))</f>
        <v/>
      </c>
      <c r="F99" s="39" t="str">
        <f>IF($A99="","",INDEX(TblApplications[Couloir],$A99))</f>
        <v/>
      </c>
      <c r="G99" s="39" t="str">
        <f>IF($A99="","",INDEX(TblApplications[Action],$A99))</f>
        <v/>
      </c>
      <c r="H99" s="39" t="str">
        <f>IF($A99="","",INDEX(TblApplications[Cluster IKS source],$A99))</f>
        <v/>
      </c>
      <c r="I99" s="48" t="str">
        <f>IF($A99="","",INDEX(TblApplications[Mois lib (calc)],$A99))</f>
        <v/>
      </c>
      <c r="J99" s="39" t="str">
        <f>IF($A99="","",INDEX(TblApplications[CPU IKS libérable (vCPU)],$A99))</f>
        <v/>
      </c>
    </row>
    <row r="100" spans="1:10" x14ac:dyDescent="0.2">
      <c r="A100" s="37" t="str">
        <f>IFERROR(MATCH(25,TblApplications[Rang extinction],0),"")</f>
        <v/>
      </c>
      <c r="B100" s="39" t="str">
        <f>IF($A100="","",INDEX(TblApplications[ID],$A100))</f>
        <v/>
      </c>
      <c r="C100" s="39" t="str">
        <f>IF($A100="","",INDEX(TblApplications[Application],$A100))</f>
        <v/>
      </c>
      <c r="D100" s="39" t="str">
        <f>IF($A100="","",INDEX(TblApplications[Tribe],$A100))</f>
        <v/>
      </c>
      <c r="E100" s="39" t="str">
        <f>IF($A100="","",INDEX(TblApplications[Environnement],$A100))</f>
        <v/>
      </c>
      <c r="F100" s="39" t="str">
        <f>IF($A100="","",INDEX(TblApplications[Couloir],$A100))</f>
        <v/>
      </c>
      <c r="G100" s="39" t="str">
        <f>IF($A100="","",INDEX(TblApplications[Action],$A100))</f>
        <v/>
      </c>
      <c r="H100" s="39" t="str">
        <f>IF($A100="","",INDEX(TblApplications[Cluster IKS source],$A100))</f>
        <v/>
      </c>
      <c r="I100" s="48" t="str">
        <f>IF($A100="","",INDEX(TblApplications[Mois lib (calc)],$A100))</f>
        <v/>
      </c>
      <c r="J100" s="39" t="str">
        <f>IF($A100="","",INDEX(TblApplications[CPU IKS libérable (vCPU)],$A100))</f>
        <v/>
      </c>
    </row>
    <row r="101" spans="1:10" x14ac:dyDescent="0.2">
      <c r="A101" s="37" t="str">
        <f>IFERROR(MATCH(26,TblApplications[Rang extinction],0),"")</f>
        <v/>
      </c>
      <c r="B101" s="39" t="str">
        <f>IF($A101="","",INDEX(TblApplications[ID],$A101))</f>
        <v/>
      </c>
      <c r="C101" s="39" t="str">
        <f>IF($A101="","",INDEX(TblApplications[Application],$A101))</f>
        <v/>
      </c>
      <c r="D101" s="39" t="str">
        <f>IF($A101="","",INDEX(TblApplications[Tribe],$A101))</f>
        <v/>
      </c>
      <c r="E101" s="39" t="str">
        <f>IF($A101="","",INDEX(TblApplications[Environnement],$A101))</f>
        <v/>
      </c>
      <c r="F101" s="39" t="str">
        <f>IF($A101="","",INDEX(TblApplications[Couloir],$A101))</f>
        <v/>
      </c>
      <c r="G101" s="39" t="str">
        <f>IF($A101="","",INDEX(TblApplications[Action],$A101))</f>
        <v/>
      </c>
      <c r="H101" s="39" t="str">
        <f>IF($A101="","",INDEX(TblApplications[Cluster IKS source],$A101))</f>
        <v/>
      </c>
      <c r="I101" s="48" t="str">
        <f>IF($A101="","",INDEX(TblApplications[Mois lib (calc)],$A101))</f>
        <v/>
      </c>
      <c r="J101" s="39" t="str">
        <f>IF($A101="","",INDEX(TblApplications[CPU IKS libérable (vCPU)],$A101))</f>
        <v/>
      </c>
    </row>
    <row r="102" spans="1:10" x14ac:dyDescent="0.2">
      <c r="A102" s="37" t="str">
        <f>IFERROR(MATCH(27,TblApplications[Rang extinction],0),"")</f>
        <v/>
      </c>
      <c r="B102" s="39" t="str">
        <f>IF($A102="","",INDEX(TblApplications[ID],$A102))</f>
        <v/>
      </c>
      <c r="C102" s="39" t="str">
        <f>IF($A102="","",INDEX(TblApplications[Application],$A102))</f>
        <v/>
      </c>
      <c r="D102" s="39" t="str">
        <f>IF($A102="","",INDEX(TblApplications[Tribe],$A102))</f>
        <v/>
      </c>
      <c r="E102" s="39" t="str">
        <f>IF($A102="","",INDEX(TblApplications[Environnement],$A102))</f>
        <v/>
      </c>
      <c r="F102" s="39" t="str">
        <f>IF($A102="","",INDEX(TblApplications[Couloir],$A102))</f>
        <v/>
      </c>
      <c r="G102" s="39" t="str">
        <f>IF($A102="","",INDEX(TblApplications[Action],$A102))</f>
        <v/>
      </c>
      <c r="H102" s="39" t="str">
        <f>IF($A102="","",INDEX(TblApplications[Cluster IKS source],$A102))</f>
        <v/>
      </c>
      <c r="I102" s="48" t="str">
        <f>IF($A102="","",INDEX(TblApplications[Mois lib (calc)],$A102))</f>
        <v/>
      </c>
      <c r="J102" s="39" t="str">
        <f>IF($A102="","",INDEX(TblApplications[CPU IKS libérable (vCPU)],$A102))</f>
        <v/>
      </c>
    </row>
    <row r="103" spans="1:10" x14ac:dyDescent="0.2">
      <c r="A103" s="37" t="str">
        <f>IFERROR(MATCH(28,TblApplications[Rang extinction],0),"")</f>
        <v/>
      </c>
      <c r="B103" s="39" t="str">
        <f>IF($A103="","",INDEX(TblApplications[ID],$A103))</f>
        <v/>
      </c>
      <c r="C103" s="39" t="str">
        <f>IF($A103="","",INDEX(TblApplications[Application],$A103))</f>
        <v/>
      </c>
      <c r="D103" s="39" t="str">
        <f>IF($A103="","",INDEX(TblApplications[Tribe],$A103))</f>
        <v/>
      </c>
      <c r="E103" s="39" t="str">
        <f>IF($A103="","",INDEX(TblApplications[Environnement],$A103))</f>
        <v/>
      </c>
      <c r="F103" s="39" t="str">
        <f>IF($A103="","",INDEX(TblApplications[Couloir],$A103))</f>
        <v/>
      </c>
      <c r="G103" s="39" t="str">
        <f>IF($A103="","",INDEX(TblApplications[Action],$A103))</f>
        <v/>
      </c>
      <c r="H103" s="39" t="str">
        <f>IF($A103="","",INDEX(TblApplications[Cluster IKS source],$A103))</f>
        <v/>
      </c>
      <c r="I103" s="48" t="str">
        <f>IF($A103="","",INDEX(TblApplications[Mois lib (calc)],$A103))</f>
        <v/>
      </c>
      <c r="J103" s="39" t="str">
        <f>IF($A103="","",INDEX(TblApplications[CPU IKS libérable (vCPU)],$A103))</f>
        <v/>
      </c>
    </row>
    <row r="104" spans="1:10" x14ac:dyDescent="0.2">
      <c r="A104" s="37" t="str">
        <f>IFERROR(MATCH(29,TblApplications[Rang extinction],0),"")</f>
        <v/>
      </c>
      <c r="B104" s="39" t="str">
        <f>IF($A104="","",INDEX(TblApplications[ID],$A104))</f>
        <v/>
      </c>
      <c r="C104" s="39" t="str">
        <f>IF($A104="","",INDEX(TblApplications[Application],$A104))</f>
        <v/>
      </c>
      <c r="D104" s="39" t="str">
        <f>IF($A104="","",INDEX(TblApplications[Tribe],$A104))</f>
        <v/>
      </c>
      <c r="E104" s="39" t="str">
        <f>IF($A104="","",INDEX(TblApplications[Environnement],$A104))</f>
        <v/>
      </c>
      <c r="F104" s="39" t="str">
        <f>IF($A104="","",INDEX(TblApplications[Couloir],$A104))</f>
        <v/>
      </c>
      <c r="G104" s="39" t="str">
        <f>IF($A104="","",INDEX(TblApplications[Action],$A104))</f>
        <v/>
      </c>
      <c r="H104" s="39" t="str">
        <f>IF($A104="","",INDEX(TblApplications[Cluster IKS source],$A104))</f>
        <v/>
      </c>
      <c r="I104" s="48" t="str">
        <f>IF($A104="","",INDEX(TblApplications[Mois lib (calc)],$A104))</f>
        <v/>
      </c>
      <c r="J104" s="39" t="str">
        <f>IF($A104="","",INDEX(TblApplications[CPU IKS libérable (vCPU)],$A104))</f>
        <v/>
      </c>
    </row>
    <row r="105" spans="1:10" x14ac:dyDescent="0.2">
      <c r="A105" s="37" t="str">
        <f>IFERROR(MATCH(30,TblApplications[Rang extinction],0),"")</f>
        <v/>
      </c>
      <c r="B105" s="39" t="str">
        <f>IF($A105="","",INDEX(TblApplications[ID],$A105))</f>
        <v/>
      </c>
      <c r="C105" s="39" t="str">
        <f>IF($A105="","",INDEX(TblApplications[Application],$A105))</f>
        <v/>
      </c>
      <c r="D105" s="39" t="str">
        <f>IF($A105="","",INDEX(TblApplications[Tribe],$A105))</f>
        <v/>
      </c>
      <c r="E105" s="39" t="str">
        <f>IF($A105="","",INDEX(TblApplications[Environnement],$A105))</f>
        <v/>
      </c>
      <c r="F105" s="39" t="str">
        <f>IF($A105="","",INDEX(TblApplications[Couloir],$A105))</f>
        <v/>
      </c>
      <c r="G105" s="39" t="str">
        <f>IF($A105="","",INDEX(TblApplications[Action],$A105))</f>
        <v/>
      </c>
      <c r="H105" s="39" t="str">
        <f>IF($A105="","",INDEX(TblApplications[Cluster IKS source],$A105))</f>
        <v/>
      </c>
      <c r="I105" s="48" t="str">
        <f>IF($A105="","",INDEX(TblApplications[Mois lib (calc)],$A105))</f>
        <v/>
      </c>
      <c r="J105" s="39" t="str">
        <f>IF($A105="","",INDEX(TblApplications[CPU IKS libérable (vCPU)],$A105))</f>
        <v/>
      </c>
    </row>
    <row r="106" spans="1:10" x14ac:dyDescent="0.2">
      <c r="A106" s="37" t="str">
        <f>IFERROR(MATCH(31,TblApplications[Rang extinction],0),"")</f>
        <v/>
      </c>
      <c r="B106" s="39" t="str">
        <f>IF($A106="","",INDEX(TblApplications[ID],$A106))</f>
        <v/>
      </c>
      <c r="C106" s="39" t="str">
        <f>IF($A106="","",INDEX(TblApplications[Application],$A106))</f>
        <v/>
      </c>
      <c r="D106" s="39" t="str">
        <f>IF($A106="","",INDEX(TblApplications[Tribe],$A106))</f>
        <v/>
      </c>
      <c r="E106" s="39" t="str">
        <f>IF($A106="","",INDEX(TblApplications[Environnement],$A106))</f>
        <v/>
      </c>
      <c r="F106" s="39" t="str">
        <f>IF($A106="","",INDEX(TblApplications[Couloir],$A106))</f>
        <v/>
      </c>
      <c r="G106" s="39" t="str">
        <f>IF($A106="","",INDEX(TblApplications[Action],$A106))</f>
        <v/>
      </c>
      <c r="H106" s="39" t="str">
        <f>IF($A106="","",INDEX(TblApplications[Cluster IKS source],$A106))</f>
        <v/>
      </c>
      <c r="I106" s="48" t="str">
        <f>IF($A106="","",INDEX(TblApplications[Mois lib (calc)],$A106))</f>
        <v/>
      </c>
      <c r="J106" s="39" t="str">
        <f>IF($A106="","",INDEX(TblApplications[CPU IKS libérable (vCPU)],$A106))</f>
        <v/>
      </c>
    </row>
    <row r="107" spans="1:10" x14ac:dyDescent="0.2">
      <c r="A107" s="37" t="str">
        <f>IFERROR(MATCH(32,TblApplications[Rang extinction],0),"")</f>
        <v/>
      </c>
      <c r="B107" s="39" t="str">
        <f>IF($A107="","",INDEX(TblApplications[ID],$A107))</f>
        <v/>
      </c>
      <c r="C107" s="39" t="str">
        <f>IF($A107="","",INDEX(TblApplications[Application],$A107))</f>
        <v/>
      </c>
      <c r="D107" s="39" t="str">
        <f>IF($A107="","",INDEX(TblApplications[Tribe],$A107))</f>
        <v/>
      </c>
      <c r="E107" s="39" t="str">
        <f>IF($A107="","",INDEX(TblApplications[Environnement],$A107))</f>
        <v/>
      </c>
      <c r="F107" s="39" t="str">
        <f>IF($A107="","",INDEX(TblApplications[Couloir],$A107))</f>
        <v/>
      </c>
      <c r="G107" s="39" t="str">
        <f>IF($A107="","",INDEX(TblApplications[Action],$A107))</f>
        <v/>
      </c>
      <c r="H107" s="39" t="str">
        <f>IF($A107="","",INDEX(TblApplications[Cluster IKS source],$A107))</f>
        <v/>
      </c>
      <c r="I107" s="48" t="str">
        <f>IF($A107="","",INDEX(TblApplications[Mois lib (calc)],$A107))</f>
        <v/>
      </c>
      <c r="J107" s="39" t="str">
        <f>IF($A107="","",INDEX(TblApplications[CPU IKS libérable (vCPU)],$A107))</f>
        <v/>
      </c>
    </row>
    <row r="108" spans="1:10" x14ac:dyDescent="0.2">
      <c r="A108" s="37" t="str">
        <f>IFERROR(MATCH(33,TblApplications[Rang extinction],0),"")</f>
        <v/>
      </c>
      <c r="B108" s="39" t="str">
        <f>IF($A108="","",INDEX(TblApplications[ID],$A108))</f>
        <v/>
      </c>
      <c r="C108" s="39" t="str">
        <f>IF($A108="","",INDEX(TblApplications[Application],$A108))</f>
        <v/>
      </c>
      <c r="D108" s="39" t="str">
        <f>IF($A108="","",INDEX(TblApplications[Tribe],$A108))</f>
        <v/>
      </c>
      <c r="E108" s="39" t="str">
        <f>IF($A108="","",INDEX(TblApplications[Environnement],$A108))</f>
        <v/>
      </c>
      <c r="F108" s="39" t="str">
        <f>IF($A108="","",INDEX(TblApplications[Couloir],$A108))</f>
        <v/>
      </c>
      <c r="G108" s="39" t="str">
        <f>IF($A108="","",INDEX(TblApplications[Action],$A108))</f>
        <v/>
      </c>
      <c r="H108" s="39" t="str">
        <f>IF($A108="","",INDEX(TblApplications[Cluster IKS source],$A108))</f>
        <v/>
      </c>
      <c r="I108" s="48" t="str">
        <f>IF($A108="","",INDEX(TblApplications[Mois lib (calc)],$A108))</f>
        <v/>
      </c>
      <c r="J108" s="39" t="str">
        <f>IF($A108="","",INDEX(TblApplications[CPU IKS libérable (vCPU)],$A108))</f>
        <v/>
      </c>
    </row>
    <row r="109" spans="1:10" x14ac:dyDescent="0.2">
      <c r="A109" s="37" t="str">
        <f>IFERROR(MATCH(34,TblApplications[Rang extinction],0),"")</f>
        <v/>
      </c>
      <c r="B109" s="39" t="str">
        <f>IF($A109="","",INDEX(TblApplications[ID],$A109))</f>
        <v/>
      </c>
      <c r="C109" s="39" t="str">
        <f>IF($A109="","",INDEX(TblApplications[Application],$A109))</f>
        <v/>
      </c>
      <c r="D109" s="39" t="str">
        <f>IF($A109="","",INDEX(TblApplications[Tribe],$A109))</f>
        <v/>
      </c>
      <c r="E109" s="39" t="str">
        <f>IF($A109="","",INDEX(TblApplications[Environnement],$A109))</f>
        <v/>
      </c>
      <c r="F109" s="39" t="str">
        <f>IF($A109="","",INDEX(TblApplications[Couloir],$A109))</f>
        <v/>
      </c>
      <c r="G109" s="39" t="str">
        <f>IF($A109="","",INDEX(TblApplications[Action],$A109))</f>
        <v/>
      </c>
      <c r="H109" s="39" t="str">
        <f>IF($A109="","",INDEX(TblApplications[Cluster IKS source],$A109))</f>
        <v/>
      </c>
      <c r="I109" s="48" t="str">
        <f>IF($A109="","",INDEX(TblApplications[Mois lib (calc)],$A109))</f>
        <v/>
      </c>
      <c r="J109" s="39" t="str">
        <f>IF($A109="","",INDEX(TblApplications[CPU IKS libérable (vCPU)],$A109))</f>
        <v/>
      </c>
    </row>
    <row r="110" spans="1:10" x14ac:dyDescent="0.2">
      <c r="A110" s="37" t="str">
        <f>IFERROR(MATCH(35,TblApplications[Rang extinction],0),"")</f>
        <v/>
      </c>
      <c r="B110" s="39" t="str">
        <f>IF($A110="","",INDEX(TblApplications[ID],$A110))</f>
        <v/>
      </c>
      <c r="C110" s="39" t="str">
        <f>IF($A110="","",INDEX(TblApplications[Application],$A110))</f>
        <v/>
      </c>
      <c r="D110" s="39" t="str">
        <f>IF($A110="","",INDEX(TblApplications[Tribe],$A110))</f>
        <v/>
      </c>
      <c r="E110" s="39" t="str">
        <f>IF($A110="","",INDEX(TblApplications[Environnement],$A110))</f>
        <v/>
      </c>
      <c r="F110" s="39" t="str">
        <f>IF($A110="","",INDEX(TblApplications[Couloir],$A110))</f>
        <v/>
      </c>
      <c r="G110" s="39" t="str">
        <f>IF($A110="","",INDEX(TblApplications[Action],$A110))</f>
        <v/>
      </c>
      <c r="H110" s="39" t="str">
        <f>IF($A110="","",INDEX(TblApplications[Cluster IKS source],$A110))</f>
        <v/>
      </c>
      <c r="I110" s="48" t="str">
        <f>IF($A110="","",INDEX(TblApplications[Mois lib (calc)],$A110))</f>
        <v/>
      </c>
      <c r="J110" s="39" t="str">
        <f>IF($A110="","",INDEX(TblApplications[CPU IKS libérable (vCPU)],$A110))</f>
        <v/>
      </c>
    </row>
    <row r="111" spans="1:10" x14ac:dyDescent="0.2">
      <c r="A111" s="37" t="str">
        <f>IFERROR(MATCH(36,TblApplications[Rang extinction],0),"")</f>
        <v/>
      </c>
      <c r="B111" s="39" t="str">
        <f>IF($A111="","",INDEX(TblApplications[ID],$A111))</f>
        <v/>
      </c>
      <c r="C111" s="39" t="str">
        <f>IF($A111="","",INDEX(TblApplications[Application],$A111))</f>
        <v/>
      </c>
      <c r="D111" s="39" t="str">
        <f>IF($A111="","",INDEX(TblApplications[Tribe],$A111))</f>
        <v/>
      </c>
      <c r="E111" s="39" t="str">
        <f>IF($A111="","",INDEX(TblApplications[Environnement],$A111))</f>
        <v/>
      </c>
      <c r="F111" s="39" t="str">
        <f>IF($A111="","",INDEX(TblApplications[Couloir],$A111))</f>
        <v/>
      </c>
      <c r="G111" s="39" t="str">
        <f>IF($A111="","",INDEX(TblApplications[Action],$A111))</f>
        <v/>
      </c>
      <c r="H111" s="39" t="str">
        <f>IF($A111="","",INDEX(TblApplications[Cluster IKS source],$A111))</f>
        <v/>
      </c>
      <c r="I111" s="48" t="str">
        <f>IF($A111="","",INDEX(TblApplications[Mois lib (calc)],$A111))</f>
        <v/>
      </c>
      <c r="J111" s="39" t="str">
        <f>IF($A111="","",INDEX(TblApplications[CPU IKS libérable (vCPU)],$A111))</f>
        <v/>
      </c>
    </row>
    <row r="112" spans="1:10" x14ac:dyDescent="0.2">
      <c r="A112" s="37" t="str">
        <f>IFERROR(MATCH(37,TblApplications[Rang extinction],0),"")</f>
        <v/>
      </c>
      <c r="B112" s="39" t="str">
        <f>IF($A112="","",INDEX(TblApplications[ID],$A112))</f>
        <v/>
      </c>
      <c r="C112" s="39" t="str">
        <f>IF($A112="","",INDEX(TblApplications[Application],$A112))</f>
        <v/>
      </c>
      <c r="D112" s="39" t="str">
        <f>IF($A112="","",INDEX(TblApplications[Tribe],$A112))</f>
        <v/>
      </c>
      <c r="E112" s="39" t="str">
        <f>IF($A112="","",INDEX(TblApplications[Environnement],$A112))</f>
        <v/>
      </c>
      <c r="F112" s="39" t="str">
        <f>IF($A112="","",INDEX(TblApplications[Couloir],$A112))</f>
        <v/>
      </c>
      <c r="G112" s="39" t="str">
        <f>IF($A112="","",INDEX(TblApplications[Action],$A112))</f>
        <v/>
      </c>
      <c r="H112" s="39" t="str">
        <f>IF($A112="","",INDEX(TblApplications[Cluster IKS source],$A112))</f>
        <v/>
      </c>
      <c r="I112" s="48" t="str">
        <f>IF($A112="","",INDEX(TblApplications[Mois lib (calc)],$A112))</f>
        <v/>
      </c>
      <c r="J112" s="39" t="str">
        <f>IF($A112="","",INDEX(TblApplications[CPU IKS libérable (vCPU)],$A112))</f>
        <v/>
      </c>
    </row>
    <row r="113" spans="1:10" x14ac:dyDescent="0.2">
      <c r="A113" s="37" t="str">
        <f>IFERROR(MATCH(38,TblApplications[Rang extinction],0),"")</f>
        <v/>
      </c>
      <c r="B113" s="39" t="str">
        <f>IF($A113="","",INDEX(TblApplications[ID],$A113))</f>
        <v/>
      </c>
      <c r="C113" s="39" t="str">
        <f>IF($A113="","",INDEX(TblApplications[Application],$A113))</f>
        <v/>
      </c>
      <c r="D113" s="39" t="str">
        <f>IF($A113="","",INDEX(TblApplications[Tribe],$A113))</f>
        <v/>
      </c>
      <c r="E113" s="39" t="str">
        <f>IF($A113="","",INDEX(TblApplications[Environnement],$A113))</f>
        <v/>
      </c>
      <c r="F113" s="39" t="str">
        <f>IF($A113="","",INDEX(TblApplications[Couloir],$A113))</f>
        <v/>
      </c>
      <c r="G113" s="39" t="str">
        <f>IF($A113="","",INDEX(TblApplications[Action],$A113))</f>
        <v/>
      </c>
      <c r="H113" s="39" t="str">
        <f>IF($A113="","",INDEX(TblApplications[Cluster IKS source],$A113))</f>
        <v/>
      </c>
      <c r="I113" s="48" t="str">
        <f>IF($A113="","",INDEX(TblApplications[Mois lib (calc)],$A113))</f>
        <v/>
      </c>
      <c r="J113" s="39" t="str">
        <f>IF($A113="","",INDEX(TblApplications[CPU IKS libérable (vCPU)],$A113))</f>
        <v/>
      </c>
    </row>
    <row r="114" spans="1:10" x14ac:dyDescent="0.2">
      <c r="A114" s="37" t="str">
        <f>IFERROR(MATCH(39,TblApplications[Rang extinction],0),"")</f>
        <v/>
      </c>
      <c r="B114" s="39" t="str">
        <f>IF($A114="","",INDEX(TblApplications[ID],$A114))</f>
        <v/>
      </c>
      <c r="C114" s="39" t="str">
        <f>IF($A114="","",INDEX(TblApplications[Application],$A114))</f>
        <v/>
      </c>
      <c r="D114" s="39" t="str">
        <f>IF($A114="","",INDEX(TblApplications[Tribe],$A114))</f>
        <v/>
      </c>
      <c r="E114" s="39" t="str">
        <f>IF($A114="","",INDEX(TblApplications[Environnement],$A114))</f>
        <v/>
      </c>
      <c r="F114" s="39" t="str">
        <f>IF($A114="","",INDEX(TblApplications[Couloir],$A114))</f>
        <v/>
      </c>
      <c r="G114" s="39" t="str">
        <f>IF($A114="","",INDEX(TblApplications[Action],$A114))</f>
        <v/>
      </c>
      <c r="H114" s="39" t="str">
        <f>IF($A114="","",INDEX(TblApplications[Cluster IKS source],$A114))</f>
        <v/>
      </c>
      <c r="I114" s="48" t="str">
        <f>IF($A114="","",INDEX(TblApplications[Mois lib (calc)],$A114))</f>
        <v/>
      </c>
      <c r="J114" s="39" t="str">
        <f>IF($A114="","",INDEX(TblApplications[CPU IKS libérable (vCPU)],$A114))</f>
        <v/>
      </c>
    </row>
    <row r="115" spans="1:10" x14ac:dyDescent="0.2">
      <c r="A115" s="37" t="str">
        <f>IFERROR(MATCH(40,TblApplications[Rang extinction],0),"")</f>
        <v/>
      </c>
      <c r="B115" s="39" t="str">
        <f>IF($A115="","",INDEX(TblApplications[ID],$A115))</f>
        <v/>
      </c>
      <c r="C115" s="39" t="str">
        <f>IF($A115="","",INDEX(TblApplications[Application],$A115))</f>
        <v/>
      </c>
      <c r="D115" s="39" t="str">
        <f>IF($A115="","",INDEX(TblApplications[Tribe],$A115))</f>
        <v/>
      </c>
      <c r="E115" s="39" t="str">
        <f>IF($A115="","",INDEX(TblApplications[Environnement],$A115))</f>
        <v/>
      </c>
      <c r="F115" s="39" t="str">
        <f>IF($A115="","",INDEX(TblApplications[Couloir],$A115))</f>
        <v/>
      </c>
      <c r="G115" s="39" t="str">
        <f>IF($A115="","",INDEX(TblApplications[Action],$A115))</f>
        <v/>
      </c>
      <c r="H115" s="39" t="str">
        <f>IF($A115="","",INDEX(TblApplications[Cluster IKS source],$A115))</f>
        <v/>
      </c>
      <c r="I115" s="48" t="str">
        <f>IF($A115="","",INDEX(TblApplications[Mois lib (calc)],$A115))</f>
        <v/>
      </c>
      <c r="J115" s="39" t="str">
        <f>IF($A115="","",INDEX(TblApplications[CPU IKS libérable (vCPU)],$A115))</f>
        <v/>
      </c>
    </row>
    <row r="116" spans="1:10" x14ac:dyDescent="0.2">
      <c r="A116" s="37" t="str">
        <f>IFERROR(MATCH(41,TblApplications[Rang extinction],0),"")</f>
        <v/>
      </c>
      <c r="B116" s="39" t="str">
        <f>IF($A116="","",INDEX(TblApplications[ID],$A116))</f>
        <v/>
      </c>
      <c r="C116" s="39" t="str">
        <f>IF($A116="","",INDEX(TblApplications[Application],$A116))</f>
        <v/>
      </c>
      <c r="D116" s="39" t="str">
        <f>IF($A116="","",INDEX(TblApplications[Tribe],$A116))</f>
        <v/>
      </c>
      <c r="E116" s="39" t="str">
        <f>IF($A116="","",INDEX(TblApplications[Environnement],$A116))</f>
        <v/>
      </c>
      <c r="F116" s="39" t="str">
        <f>IF($A116="","",INDEX(TblApplications[Couloir],$A116))</f>
        <v/>
      </c>
      <c r="G116" s="39" t="str">
        <f>IF($A116="","",INDEX(TblApplications[Action],$A116))</f>
        <v/>
      </c>
      <c r="H116" s="39" t="str">
        <f>IF($A116="","",INDEX(TblApplications[Cluster IKS source],$A116))</f>
        <v/>
      </c>
      <c r="I116" s="48" t="str">
        <f>IF($A116="","",INDEX(TblApplications[Mois lib (calc)],$A116))</f>
        <v/>
      </c>
      <c r="J116" s="39" t="str">
        <f>IF($A116="","",INDEX(TblApplications[CPU IKS libérable (vCPU)],$A116))</f>
        <v/>
      </c>
    </row>
    <row r="117" spans="1:10" x14ac:dyDescent="0.2">
      <c r="A117" s="37" t="str">
        <f>IFERROR(MATCH(42,TblApplications[Rang extinction],0),"")</f>
        <v/>
      </c>
      <c r="B117" s="39" t="str">
        <f>IF($A117="","",INDEX(TblApplications[ID],$A117))</f>
        <v/>
      </c>
      <c r="C117" s="39" t="str">
        <f>IF($A117="","",INDEX(TblApplications[Application],$A117))</f>
        <v/>
      </c>
      <c r="D117" s="39" t="str">
        <f>IF($A117="","",INDEX(TblApplications[Tribe],$A117))</f>
        <v/>
      </c>
      <c r="E117" s="39" t="str">
        <f>IF($A117="","",INDEX(TblApplications[Environnement],$A117))</f>
        <v/>
      </c>
      <c r="F117" s="39" t="str">
        <f>IF($A117="","",INDEX(TblApplications[Couloir],$A117))</f>
        <v/>
      </c>
      <c r="G117" s="39" t="str">
        <f>IF($A117="","",INDEX(TblApplications[Action],$A117))</f>
        <v/>
      </c>
      <c r="H117" s="39" t="str">
        <f>IF($A117="","",INDEX(TblApplications[Cluster IKS source],$A117))</f>
        <v/>
      </c>
      <c r="I117" s="48" t="str">
        <f>IF($A117="","",INDEX(TblApplications[Mois lib (calc)],$A117))</f>
        <v/>
      </c>
      <c r="J117" s="39" t="str">
        <f>IF($A117="","",INDEX(TblApplications[CPU IKS libérable (vCPU)],$A117))</f>
        <v/>
      </c>
    </row>
    <row r="118" spans="1:10" x14ac:dyDescent="0.2">
      <c r="A118" s="37" t="str">
        <f>IFERROR(MATCH(43,TblApplications[Rang extinction],0),"")</f>
        <v/>
      </c>
      <c r="B118" s="39" t="str">
        <f>IF($A118="","",INDEX(TblApplications[ID],$A118))</f>
        <v/>
      </c>
      <c r="C118" s="39" t="str">
        <f>IF($A118="","",INDEX(TblApplications[Application],$A118))</f>
        <v/>
      </c>
      <c r="D118" s="39" t="str">
        <f>IF($A118="","",INDEX(TblApplications[Tribe],$A118))</f>
        <v/>
      </c>
      <c r="E118" s="39" t="str">
        <f>IF($A118="","",INDEX(TblApplications[Environnement],$A118))</f>
        <v/>
      </c>
      <c r="F118" s="39" t="str">
        <f>IF($A118="","",INDEX(TblApplications[Couloir],$A118))</f>
        <v/>
      </c>
      <c r="G118" s="39" t="str">
        <f>IF($A118="","",INDEX(TblApplications[Action],$A118))</f>
        <v/>
      </c>
      <c r="H118" s="39" t="str">
        <f>IF($A118="","",INDEX(TblApplications[Cluster IKS source],$A118))</f>
        <v/>
      </c>
      <c r="I118" s="48" t="str">
        <f>IF($A118="","",INDEX(TblApplications[Mois lib (calc)],$A118))</f>
        <v/>
      </c>
      <c r="J118" s="39" t="str">
        <f>IF($A118="","",INDEX(TblApplications[CPU IKS libérable (vCPU)],$A118))</f>
        <v/>
      </c>
    </row>
    <row r="119" spans="1:10" x14ac:dyDescent="0.2">
      <c r="A119" s="37" t="str">
        <f>IFERROR(MATCH(44,TblApplications[Rang extinction],0),"")</f>
        <v/>
      </c>
      <c r="B119" s="39" t="str">
        <f>IF($A119="","",INDEX(TblApplications[ID],$A119))</f>
        <v/>
      </c>
      <c r="C119" s="39" t="str">
        <f>IF($A119="","",INDEX(TblApplications[Application],$A119))</f>
        <v/>
      </c>
      <c r="D119" s="39" t="str">
        <f>IF($A119="","",INDEX(TblApplications[Tribe],$A119))</f>
        <v/>
      </c>
      <c r="E119" s="39" t="str">
        <f>IF($A119="","",INDEX(TblApplications[Environnement],$A119))</f>
        <v/>
      </c>
      <c r="F119" s="39" t="str">
        <f>IF($A119="","",INDEX(TblApplications[Couloir],$A119))</f>
        <v/>
      </c>
      <c r="G119" s="39" t="str">
        <f>IF($A119="","",INDEX(TblApplications[Action],$A119))</f>
        <v/>
      </c>
      <c r="H119" s="39" t="str">
        <f>IF($A119="","",INDEX(TblApplications[Cluster IKS source],$A119))</f>
        <v/>
      </c>
      <c r="I119" s="48" t="str">
        <f>IF($A119="","",INDEX(TblApplications[Mois lib (calc)],$A119))</f>
        <v/>
      </c>
      <c r="J119" s="39" t="str">
        <f>IF($A119="","",INDEX(TblApplications[CPU IKS libérable (vCPU)],$A119))</f>
        <v/>
      </c>
    </row>
    <row r="120" spans="1:10" x14ac:dyDescent="0.2">
      <c r="A120" s="37" t="str">
        <f>IFERROR(MATCH(45,TblApplications[Rang extinction],0),"")</f>
        <v/>
      </c>
      <c r="B120" s="39" t="str">
        <f>IF($A120="","",INDEX(TblApplications[ID],$A120))</f>
        <v/>
      </c>
      <c r="C120" s="39" t="str">
        <f>IF($A120="","",INDEX(TblApplications[Application],$A120))</f>
        <v/>
      </c>
      <c r="D120" s="39" t="str">
        <f>IF($A120="","",INDEX(TblApplications[Tribe],$A120))</f>
        <v/>
      </c>
      <c r="E120" s="39" t="str">
        <f>IF($A120="","",INDEX(TblApplications[Environnement],$A120))</f>
        <v/>
      </c>
      <c r="F120" s="39" t="str">
        <f>IF($A120="","",INDEX(TblApplications[Couloir],$A120))</f>
        <v/>
      </c>
      <c r="G120" s="39" t="str">
        <f>IF($A120="","",INDEX(TblApplications[Action],$A120))</f>
        <v/>
      </c>
      <c r="H120" s="39" t="str">
        <f>IF($A120="","",INDEX(TblApplications[Cluster IKS source],$A120))</f>
        <v/>
      </c>
      <c r="I120" s="48" t="str">
        <f>IF($A120="","",INDEX(TblApplications[Mois lib (calc)],$A120))</f>
        <v/>
      </c>
      <c r="J120" s="39" t="str">
        <f>IF($A120="","",INDEX(TblApplications[CPU IKS libérable (vCPU)],$A120))</f>
        <v/>
      </c>
    </row>
    <row r="121" spans="1:10" x14ac:dyDescent="0.2">
      <c r="A121" s="37" t="str">
        <f>IFERROR(MATCH(46,TblApplications[Rang extinction],0),"")</f>
        <v/>
      </c>
      <c r="B121" s="39" t="str">
        <f>IF($A121="","",INDEX(TblApplications[ID],$A121))</f>
        <v/>
      </c>
      <c r="C121" s="39" t="str">
        <f>IF($A121="","",INDEX(TblApplications[Application],$A121))</f>
        <v/>
      </c>
      <c r="D121" s="39" t="str">
        <f>IF($A121="","",INDEX(TblApplications[Tribe],$A121))</f>
        <v/>
      </c>
      <c r="E121" s="39" t="str">
        <f>IF($A121="","",INDEX(TblApplications[Environnement],$A121))</f>
        <v/>
      </c>
      <c r="F121" s="39" t="str">
        <f>IF($A121="","",INDEX(TblApplications[Couloir],$A121))</f>
        <v/>
      </c>
      <c r="G121" s="39" t="str">
        <f>IF($A121="","",INDEX(TblApplications[Action],$A121))</f>
        <v/>
      </c>
      <c r="H121" s="39" t="str">
        <f>IF($A121="","",INDEX(TblApplications[Cluster IKS source],$A121))</f>
        <v/>
      </c>
      <c r="I121" s="48" t="str">
        <f>IF($A121="","",INDEX(TblApplications[Mois lib (calc)],$A121))</f>
        <v/>
      </c>
      <c r="J121" s="39" t="str">
        <f>IF($A121="","",INDEX(TblApplications[CPU IKS libérable (vCPU)],$A121))</f>
        <v/>
      </c>
    </row>
    <row r="122" spans="1:10" x14ac:dyDescent="0.2">
      <c r="A122" s="37" t="str">
        <f>IFERROR(MATCH(47,TblApplications[Rang extinction],0),"")</f>
        <v/>
      </c>
      <c r="B122" s="39" t="str">
        <f>IF($A122="","",INDEX(TblApplications[ID],$A122))</f>
        <v/>
      </c>
      <c r="C122" s="39" t="str">
        <f>IF($A122="","",INDEX(TblApplications[Application],$A122))</f>
        <v/>
      </c>
      <c r="D122" s="39" t="str">
        <f>IF($A122="","",INDEX(TblApplications[Tribe],$A122))</f>
        <v/>
      </c>
      <c r="E122" s="39" t="str">
        <f>IF($A122="","",INDEX(TblApplications[Environnement],$A122))</f>
        <v/>
      </c>
      <c r="F122" s="39" t="str">
        <f>IF($A122="","",INDEX(TblApplications[Couloir],$A122))</f>
        <v/>
      </c>
      <c r="G122" s="39" t="str">
        <f>IF($A122="","",INDEX(TblApplications[Action],$A122))</f>
        <v/>
      </c>
      <c r="H122" s="39" t="str">
        <f>IF($A122="","",INDEX(TblApplications[Cluster IKS source],$A122))</f>
        <v/>
      </c>
      <c r="I122" s="48" t="str">
        <f>IF($A122="","",INDEX(TblApplications[Mois lib (calc)],$A122))</f>
        <v/>
      </c>
      <c r="J122" s="39" t="str">
        <f>IF($A122="","",INDEX(TblApplications[CPU IKS libérable (vCPU)],$A122))</f>
        <v/>
      </c>
    </row>
    <row r="123" spans="1:10" x14ac:dyDescent="0.2">
      <c r="A123" s="37" t="str">
        <f>IFERROR(MATCH(48,TblApplications[Rang extinction],0),"")</f>
        <v/>
      </c>
      <c r="B123" s="39" t="str">
        <f>IF($A123="","",INDEX(TblApplications[ID],$A123))</f>
        <v/>
      </c>
      <c r="C123" s="39" t="str">
        <f>IF($A123="","",INDEX(TblApplications[Application],$A123))</f>
        <v/>
      </c>
      <c r="D123" s="39" t="str">
        <f>IF($A123="","",INDEX(TblApplications[Tribe],$A123))</f>
        <v/>
      </c>
      <c r="E123" s="39" t="str">
        <f>IF($A123="","",INDEX(TblApplications[Environnement],$A123))</f>
        <v/>
      </c>
      <c r="F123" s="39" t="str">
        <f>IF($A123="","",INDEX(TblApplications[Couloir],$A123))</f>
        <v/>
      </c>
      <c r="G123" s="39" t="str">
        <f>IF($A123="","",INDEX(TblApplications[Action],$A123))</f>
        <v/>
      </c>
      <c r="H123" s="39" t="str">
        <f>IF($A123="","",INDEX(TblApplications[Cluster IKS source],$A123))</f>
        <v/>
      </c>
      <c r="I123" s="48" t="str">
        <f>IF($A123="","",INDEX(TblApplications[Mois lib (calc)],$A123))</f>
        <v/>
      </c>
      <c r="J123" s="39" t="str">
        <f>IF($A123="","",INDEX(TblApplications[CPU IKS libérable (vCPU)],$A123))</f>
        <v/>
      </c>
    </row>
    <row r="124" spans="1:10" x14ac:dyDescent="0.2">
      <c r="A124" s="37" t="str">
        <f>IFERROR(MATCH(49,TblApplications[Rang extinction],0),"")</f>
        <v/>
      </c>
      <c r="B124" s="39" t="str">
        <f>IF($A124="","",INDEX(TblApplications[ID],$A124))</f>
        <v/>
      </c>
      <c r="C124" s="39" t="str">
        <f>IF($A124="","",INDEX(TblApplications[Application],$A124))</f>
        <v/>
      </c>
      <c r="D124" s="39" t="str">
        <f>IF($A124="","",INDEX(TblApplications[Tribe],$A124))</f>
        <v/>
      </c>
      <c r="E124" s="39" t="str">
        <f>IF($A124="","",INDEX(TblApplications[Environnement],$A124))</f>
        <v/>
      </c>
      <c r="F124" s="39" t="str">
        <f>IF($A124="","",INDEX(TblApplications[Couloir],$A124))</f>
        <v/>
      </c>
      <c r="G124" s="39" t="str">
        <f>IF($A124="","",INDEX(TblApplications[Action],$A124))</f>
        <v/>
      </c>
      <c r="H124" s="39" t="str">
        <f>IF($A124="","",INDEX(TblApplications[Cluster IKS source],$A124))</f>
        <v/>
      </c>
      <c r="I124" s="48" t="str">
        <f>IF($A124="","",INDEX(TblApplications[Mois lib (calc)],$A124))</f>
        <v/>
      </c>
      <c r="J124" s="39" t="str">
        <f>IF($A124="","",INDEX(TblApplications[CPU IKS libérable (vCPU)],$A124))</f>
        <v/>
      </c>
    </row>
    <row r="125" spans="1:10" x14ac:dyDescent="0.2">
      <c r="A125" s="37" t="str">
        <f>IFERROR(MATCH(50,TblApplications[Rang extinction],0),"")</f>
        <v/>
      </c>
      <c r="B125" s="39" t="str">
        <f>IF($A125="","",INDEX(TblApplications[ID],$A125))</f>
        <v/>
      </c>
      <c r="C125" s="39" t="str">
        <f>IF($A125="","",INDEX(TblApplications[Application],$A125))</f>
        <v/>
      </c>
      <c r="D125" s="39" t="str">
        <f>IF($A125="","",INDEX(TblApplications[Tribe],$A125))</f>
        <v/>
      </c>
      <c r="E125" s="39" t="str">
        <f>IF($A125="","",INDEX(TblApplications[Environnement],$A125))</f>
        <v/>
      </c>
      <c r="F125" s="39" t="str">
        <f>IF($A125="","",INDEX(TblApplications[Couloir],$A125))</f>
        <v/>
      </c>
      <c r="G125" s="39" t="str">
        <f>IF($A125="","",INDEX(TblApplications[Action],$A125))</f>
        <v/>
      </c>
      <c r="H125" s="39" t="str">
        <f>IF($A125="","",INDEX(TblApplications[Cluster IKS source],$A125))</f>
        <v/>
      </c>
      <c r="I125" s="48" t="str">
        <f>IF($A125="","",INDEX(TblApplications[Mois lib (calc)],$A125))</f>
        <v/>
      </c>
      <c r="J125" s="39" t="str">
        <f>IF($A125="","",INDEX(TblApplications[CPU IKS libérable (vCPU)],$A125))</f>
        <v/>
      </c>
    </row>
    <row r="126" spans="1:10" x14ac:dyDescent="0.2">
      <c r="A126" s="37" t="str">
        <f>IFERROR(MATCH(51,TblApplications[Rang extinction],0),"")</f>
        <v/>
      </c>
      <c r="B126" s="39" t="str">
        <f>IF($A126="","",INDEX(TblApplications[ID],$A126))</f>
        <v/>
      </c>
      <c r="C126" s="39" t="str">
        <f>IF($A126="","",INDEX(TblApplications[Application],$A126))</f>
        <v/>
      </c>
      <c r="D126" s="39" t="str">
        <f>IF($A126="","",INDEX(TblApplications[Tribe],$A126))</f>
        <v/>
      </c>
      <c r="E126" s="39" t="str">
        <f>IF($A126="","",INDEX(TblApplications[Environnement],$A126))</f>
        <v/>
      </c>
      <c r="F126" s="39" t="str">
        <f>IF($A126="","",INDEX(TblApplications[Couloir],$A126))</f>
        <v/>
      </c>
      <c r="G126" s="39" t="str">
        <f>IF($A126="","",INDEX(TblApplications[Action],$A126))</f>
        <v/>
      </c>
      <c r="H126" s="39" t="str">
        <f>IF($A126="","",INDEX(TblApplications[Cluster IKS source],$A126))</f>
        <v/>
      </c>
      <c r="I126" s="48" t="str">
        <f>IF($A126="","",INDEX(TblApplications[Mois lib (calc)],$A126))</f>
        <v/>
      </c>
      <c r="J126" s="39" t="str">
        <f>IF($A126="","",INDEX(TblApplications[CPU IKS libérable (vCPU)],$A126))</f>
        <v/>
      </c>
    </row>
    <row r="127" spans="1:10" x14ac:dyDescent="0.2">
      <c r="A127" s="37" t="str">
        <f>IFERROR(MATCH(52,TblApplications[Rang extinction],0),"")</f>
        <v/>
      </c>
      <c r="B127" s="39" t="str">
        <f>IF($A127="","",INDEX(TblApplications[ID],$A127))</f>
        <v/>
      </c>
      <c r="C127" s="39" t="str">
        <f>IF($A127="","",INDEX(TblApplications[Application],$A127))</f>
        <v/>
      </c>
      <c r="D127" s="39" t="str">
        <f>IF($A127="","",INDEX(TblApplications[Tribe],$A127))</f>
        <v/>
      </c>
      <c r="E127" s="39" t="str">
        <f>IF($A127="","",INDEX(TblApplications[Environnement],$A127))</f>
        <v/>
      </c>
      <c r="F127" s="39" t="str">
        <f>IF($A127="","",INDEX(TblApplications[Couloir],$A127))</f>
        <v/>
      </c>
      <c r="G127" s="39" t="str">
        <f>IF($A127="","",INDEX(TblApplications[Action],$A127))</f>
        <v/>
      </c>
      <c r="H127" s="39" t="str">
        <f>IF($A127="","",INDEX(TblApplications[Cluster IKS source],$A127))</f>
        <v/>
      </c>
      <c r="I127" s="48" t="str">
        <f>IF($A127="","",INDEX(TblApplications[Mois lib (calc)],$A127))</f>
        <v/>
      </c>
      <c r="J127" s="39" t="str">
        <f>IF($A127="","",INDEX(TblApplications[CPU IKS libérable (vCPU)],$A127))</f>
        <v/>
      </c>
    </row>
    <row r="128" spans="1:10" x14ac:dyDescent="0.2">
      <c r="A128" s="37" t="str">
        <f>IFERROR(MATCH(53,TblApplications[Rang extinction],0),"")</f>
        <v/>
      </c>
      <c r="B128" s="39" t="str">
        <f>IF($A128="","",INDEX(TblApplications[ID],$A128))</f>
        <v/>
      </c>
      <c r="C128" s="39" t="str">
        <f>IF($A128="","",INDEX(TblApplications[Application],$A128))</f>
        <v/>
      </c>
      <c r="D128" s="39" t="str">
        <f>IF($A128="","",INDEX(TblApplications[Tribe],$A128))</f>
        <v/>
      </c>
      <c r="E128" s="39" t="str">
        <f>IF($A128="","",INDEX(TblApplications[Environnement],$A128))</f>
        <v/>
      </c>
      <c r="F128" s="39" t="str">
        <f>IF($A128="","",INDEX(TblApplications[Couloir],$A128))</f>
        <v/>
      </c>
      <c r="G128" s="39" t="str">
        <f>IF($A128="","",INDEX(TblApplications[Action],$A128))</f>
        <v/>
      </c>
      <c r="H128" s="39" t="str">
        <f>IF($A128="","",INDEX(TblApplications[Cluster IKS source],$A128))</f>
        <v/>
      </c>
      <c r="I128" s="48" t="str">
        <f>IF($A128="","",INDEX(TblApplications[Mois lib (calc)],$A128))</f>
        <v/>
      </c>
      <c r="J128" s="39" t="str">
        <f>IF($A128="","",INDEX(TblApplications[CPU IKS libérable (vCPU)],$A128))</f>
        <v/>
      </c>
    </row>
    <row r="129" spans="1:10" x14ac:dyDescent="0.2">
      <c r="A129" s="37" t="str">
        <f>IFERROR(MATCH(54,TblApplications[Rang extinction],0),"")</f>
        <v/>
      </c>
      <c r="B129" s="39" t="str">
        <f>IF($A129="","",INDEX(TblApplications[ID],$A129))</f>
        <v/>
      </c>
      <c r="C129" s="39" t="str">
        <f>IF($A129="","",INDEX(TblApplications[Application],$A129))</f>
        <v/>
      </c>
      <c r="D129" s="39" t="str">
        <f>IF($A129="","",INDEX(TblApplications[Tribe],$A129))</f>
        <v/>
      </c>
      <c r="E129" s="39" t="str">
        <f>IF($A129="","",INDEX(TblApplications[Environnement],$A129))</f>
        <v/>
      </c>
      <c r="F129" s="39" t="str">
        <f>IF($A129="","",INDEX(TblApplications[Couloir],$A129))</f>
        <v/>
      </c>
      <c r="G129" s="39" t="str">
        <f>IF($A129="","",INDEX(TblApplications[Action],$A129))</f>
        <v/>
      </c>
      <c r="H129" s="39" t="str">
        <f>IF($A129="","",INDEX(TblApplications[Cluster IKS source],$A129))</f>
        <v/>
      </c>
      <c r="I129" s="48" t="str">
        <f>IF($A129="","",INDEX(TblApplications[Mois lib (calc)],$A129))</f>
        <v/>
      </c>
      <c r="J129" s="39" t="str">
        <f>IF($A129="","",INDEX(TblApplications[CPU IKS libérable (vCPU)],$A129))</f>
        <v/>
      </c>
    </row>
    <row r="130" spans="1:10" x14ac:dyDescent="0.2">
      <c r="A130" s="37" t="str">
        <f>IFERROR(MATCH(55,TblApplications[Rang extinction],0),"")</f>
        <v/>
      </c>
      <c r="B130" s="39" t="str">
        <f>IF($A130="","",INDEX(TblApplications[ID],$A130))</f>
        <v/>
      </c>
      <c r="C130" s="39" t="str">
        <f>IF($A130="","",INDEX(TblApplications[Application],$A130))</f>
        <v/>
      </c>
      <c r="D130" s="39" t="str">
        <f>IF($A130="","",INDEX(TblApplications[Tribe],$A130))</f>
        <v/>
      </c>
      <c r="E130" s="39" t="str">
        <f>IF($A130="","",INDEX(TblApplications[Environnement],$A130))</f>
        <v/>
      </c>
      <c r="F130" s="39" t="str">
        <f>IF($A130="","",INDEX(TblApplications[Couloir],$A130))</f>
        <v/>
      </c>
      <c r="G130" s="39" t="str">
        <f>IF($A130="","",INDEX(TblApplications[Action],$A130))</f>
        <v/>
      </c>
      <c r="H130" s="39" t="str">
        <f>IF($A130="","",INDEX(TblApplications[Cluster IKS source],$A130))</f>
        <v/>
      </c>
      <c r="I130" s="48" t="str">
        <f>IF($A130="","",INDEX(TblApplications[Mois lib (calc)],$A130))</f>
        <v/>
      </c>
      <c r="J130" s="39" t="str">
        <f>IF($A130="","",INDEX(TblApplications[CPU IKS libérable (vCPU)],$A130))</f>
        <v/>
      </c>
    </row>
    <row r="131" spans="1:10" x14ac:dyDescent="0.2">
      <c r="A131" s="37" t="str">
        <f>IFERROR(MATCH(56,TblApplications[Rang extinction],0),"")</f>
        <v/>
      </c>
      <c r="B131" s="39" t="str">
        <f>IF($A131="","",INDEX(TblApplications[ID],$A131))</f>
        <v/>
      </c>
      <c r="C131" s="39" t="str">
        <f>IF($A131="","",INDEX(TblApplications[Application],$A131))</f>
        <v/>
      </c>
      <c r="D131" s="39" t="str">
        <f>IF($A131="","",INDEX(TblApplications[Tribe],$A131))</f>
        <v/>
      </c>
      <c r="E131" s="39" t="str">
        <f>IF($A131="","",INDEX(TblApplications[Environnement],$A131))</f>
        <v/>
      </c>
      <c r="F131" s="39" t="str">
        <f>IF($A131="","",INDEX(TblApplications[Couloir],$A131))</f>
        <v/>
      </c>
      <c r="G131" s="39" t="str">
        <f>IF($A131="","",INDEX(TblApplications[Action],$A131))</f>
        <v/>
      </c>
      <c r="H131" s="39" t="str">
        <f>IF($A131="","",INDEX(TblApplications[Cluster IKS source],$A131))</f>
        <v/>
      </c>
      <c r="I131" s="48" t="str">
        <f>IF($A131="","",INDEX(TblApplications[Mois lib (calc)],$A131))</f>
        <v/>
      </c>
      <c r="J131" s="39" t="str">
        <f>IF($A131="","",INDEX(TblApplications[CPU IKS libérable (vCPU)],$A131))</f>
        <v/>
      </c>
    </row>
    <row r="132" spans="1:10" x14ac:dyDescent="0.2">
      <c r="A132" s="37" t="str">
        <f>IFERROR(MATCH(57,TblApplications[Rang extinction],0),"")</f>
        <v/>
      </c>
      <c r="B132" s="39" t="str">
        <f>IF($A132="","",INDEX(TblApplications[ID],$A132))</f>
        <v/>
      </c>
      <c r="C132" s="39" t="str">
        <f>IF($A132="","",INDEX(TblApplications[Application],$A132))</f>
        <v/>
      </c>
      <c r="D132" s="39" t="str">
        <f>IF($A132="","",INDEX(TblApplications[Tribe],$A132))</f>
        <v/>
      </c>
      <c r="E132" s="39" t="str">
        <f>IF($A132="","",INDEX(TblApplications[Environnement],$A132))</f>
        <v/>
      </c>
      <c r="F132" s="39" t="str">
        <f>IF($A132="","",INDEX(TblApplications[Couloir],$A132))</f>
        <v/>
      </c>
      <c r="G132" s="39" t="str">
        <f>IF($A132="","",INDEX(TblApplications[Action],$A132))</f>
        <v/>
      </c>
      <c r="H132" s="39" t="str">
        <f>IF($A132="","",INDEX(TblApplications[Cluster IKS source],$A132))</f>
        <v/>
      </c>
      <c r="I132" s="48" t="str">
        <f>IF($A132="","",INDEX(TblApplications[Mois lib (calc)],$A132))</f>
        <v/>
      </c>
      <c r="J132" s="39" t="str">
        <f>IF($A132="","",INDEX(TblApplications[CPU IKS libérable (vCPU)],$A132))</f>
        <v/>
      </c>
    </row>
    <row r="133" spans="1:10" x14ac:dyDescent="0.2">
      <c r="A133" s="37" t="str">
        <f>IFERROR(MATCH(58,TblApplications[Rang extinction],0),"")</f>
        <v/>
      </c>
      <c r="B133" s="39" t="str">
        <f>IF($A133="","",INDEX(TblApplications[ID],$A133))</f>
        <v/>
      </c>
      <c r="C133" s="39" t="str">
        <f>IF($A133="","",INDEX(TblApplications[Application],$A133))</f>
        <v/>
      </c>
      <c r="D133" s="39" t="str">
        <f>IF($A133="","",INDEX(TblApplications[Tribe],$A133))</f>
        <v/>
      </c>
      <c r="E133" s="39" t="str">
        <f>IF($A133="","",INDEX(TblApplications[Environnement],$A133))</f>
        <v/>
      </c>
      <c r="F133" s="39" t="str">
        <f>IF($A133="","",INDEX(TblApplications[Couloir],$A133))</f>
        <v/>
      </c>
      <c r="G133" s="39" t="str">
        <f>IF($A133="","",INDEX(TblApplications[Action],$A133))</f>
        <v/>
      </c>
      <c r="H133" s="39" t="str">
        <f>IF($A133="","",INDEX(TblApplications[Cluster IKS source],$A133))</f>
        <v/>
      </c>
      <c r="I133" s="48" t="str">
        <f>IF($A133="","",INDEX(TblApplications[Mois lib (calc)],$A133))</f>
        <v/>
      </c>
      <c r="J133" s="39" t="str">
        <f>IF($A133="","",INDEX(TblApplications[CPU IKS libérable (vCPU)],$A133))</f>
        <v/>
      </c>
    </row>
    <row r="134" spans="1:10" x14ac:dyDescent="0.2">
      <c r="A134" s="37" t="str">
        <f>IFERROR(MATCH(59,TblApplications[Rang extinction],0),"")</f>
        <v/>
      </c>
      <c r="B134" s="39" t="str">
        <f>IF($A134="","",INDEX(TblApplications[ID],$A134))</f>
        <v/>
      </c>
      <c r="C134" s="39" t="str">
        <f>IF($A134="","",INDEX(TblApplications[Application],$A134))</f>
        <v/>
      </c>
      <c r="D134" s="39" t="str">
        <f>IF($A134="","",INDEX(TblApplications[Tribe],$A134))</f>
        <v/>
      </c>
      <c r="E134" s="39" t="str">
        <f>IF($A134="","",INDEX(TblApplications[Environnement],$A134))</f>
        <v/>
      </c>
      <c r="F134" s="39" t="str">
        <f>IF($A134="","",INDEX(TblApplications[Couloir],$A134))</f>
        <v/>
      </c>
      <c r="G134" s="39" t="str">
        <f>IF($A134="","",INDEX(TblApplications[Action],$A134))</f>
        <v/>
      </c>
      <c r="H134" s="39" t="str">
        <f>IF($A134="","",INDEX(TblApplications[Cluster IKS source],$A134))</f>
        <v/>
      </c>
      <c r="I134" s="48" t="str">
        <f>IF($A134="","",INDEX(TblApplications[Mois lib (calc)],$A134))</f>
        <v/>
      </c>
      <c r="J134" s="39" t="str">
        <f>IF($A134="","",INDEX(TblApplications[CPU IKS libérable (vCPU)],$A134))</f>
        <v/>
      </c>
    </row>
    <row r="135" spans="1:10" x14ac:dyDescent="0.2">
      <c r="A135" s="37" t="str">
        <f>IFERROR(MATCH(60,TblApplications[Rang extinction],0),"")</f>
        <v/>
      </c>
      <c r="B135" s="39" t="str">
        <f>IF($A135="","",INDEX(TblApplications[ID],$A135))</f>
        <v/>
      </c>
      <c r="C135" s="39" t="str">
        <f>IF($A135="","",INDEX(TblApplications[Application],$A135))</f>
        <v/>
      </c>
      <c r="D135" s="39" t="str">
        <f>IF($A135="","",INDEX(TblApplications[Tribe],$A135))</f>
        <v/>
      </c>
      <c r="E135" s="39" t="str">
        <f>IF($A135="","",INDEX(TblApplications[Environnement],$A135))</f>
        <v/>
      </c>
      <c r="F135" s="39" t="str">
        <f>IF($A135="","",INDEX(TblApplications[Couloir],$A135))</f>
        <v/>
      </c>
      <c r="G135" s="39" t="str">
        <f>IF($A135="","",INDEX(TblApplications[Action],$A135))</f>
        <v/>
      </c>
      <c r="H135" s="39" t="str">
        <f>IF($A135="","",INDEX(TblApplications[Cluster IKS source],$A135))</f>
        <v/>
      </c>
      <c r="I135" s="48" t="str">
        <f>IF($A135="","",INDEX(TblApplications[Mois lib (calc)],$A135))</f>
        <v/>
      </c>
      <c r="J135" s="39" t="str">
        <f>IF($A135="","",INDEX(TblApplications[CPU IKS libérable (vCPU)],$A135))</f>
        <v/>
      </c>
    </row>
    <row r="136" spans="1:10" x14ac:dyDescent="0.2">
      <c r="A136" s="37" t="str">
        <f>IFERROR(MATCH(61,TblApplications[Rang extinction],0),"")</f>
        <v/>
      </c>
      <c r="B136" s="39" t="str">
        <f>IF($A136="","",INDEX(TblApplications[ID],$A136))</f>
        <v/>
      </c>
      <c r="C136" s="39" t="str">
        <f>IF($A136="","",INDEX(TblApplications[Application],$A136))</f>
        <v/>
      </c>
      <c r="D136" s="39" t="str">
        <f>IF($A136="","",INDEX(TblApplications[Tribe],$A136))</f>
        <v/>
      </c>
      <c r="E136" s="39" t="str">
        <f>IF($A136="","",INDEX(TblApplications[Environnement],$A136))</f>
        <v/>
      </c>
      <c r="F136" s="39" t="str">
        <f>IF($A136="","",INDEX(TblApplications[Couloir],$A136))</f>
        <v/>
      </c>
      <c r="G136" s="39" t="str">
        <f>IF($A136="","",INDEX(TblApplications[Action],$A136))</f>
        <v/>
      </c>
      <c r="H136" s="39" t="str">
        <f>IF($A136="","",INDEX(TblApplications[Cluster IKS source],$A136))</f>
        <v/>
      </c>
      <c r="I136" s="48" t="str">
        <f>IF($A136="","",INDEX(TblApplications[Mois lib (calc)],$A136))</f>
        <v/>
      </c>
      <c r="J136" s="39" t="str">
        <f>IF($A136="","",INDEX(TblApplications[CPU IKS libérable (vCPU)],$A136))</f>
        <v/>
      </c>
    </row>
    <row r="137" spans="1:10" x14ac:dyDescent="0.2">
      <c r="A137" s="37" t="str">
        <f>IFERROR(MATCH(62,TblApplications[Rang extinction],0),"")</f>
        <v/>
      </c>
      <c r="B137" s="39" t="str">
        <f>IF($A137="","",INDEX(TblApplications[ID],$A137))</f>
        <v/>
      </c>
      <c r="C137" s="39" t="str">
        <f>IF($A137="","",INDEX(TblApplications[Application],$A137))</f>
        <v/>
      </c>
      <c r="D137" s="39" t="str">
        <f>IF($A137="","",INDEX(TblApplications[Tribe],$A137))</f>
        <v/>
      </c>
      <c r="E137" s="39" t="str">
        <f>IF($A137="","",INDEX(TblApplications[Environnement],$A137))</f>
        <v/>
      </c>
      <c r="F137" s="39" t="str">
        <f>IF($A137="","",INDEX(TblApplications[Couloir],$A137))</f>
        <v/>
      </c>
      <c r="G137" s="39" t="str">
        <f>IF($A137="","",INDEX(TblApplications[Action],$A137))</f>
        <v/>
      </c>
      <c r="H137" s="39" t="str">
        <f>IF($A137="","",INDEX(TblApplications[Cluster IKS source],$A137))</f>
        <v/>
      </c>
      <c r="I137" s="48" t="str">
        <f>IF($A137="","",INDEX(TblApplications[Mois lib (calc)],$A137))</f>
        <v/>
      </c>
      <c r="J137" s="39" t="str">
        <f>IF($A137="","",INDEX(TblApplications[CPU IKS libérable (vCPU)],$A137))</f>
        <v/>
      </c>
    </row>
    <row r="138" spans="1:10" x14ac:dyDescent="0.2">
      <c r="A138" s="37" t="str">
        <f>IFERROR(MATCH(63,TblApplications[Rang extinction],0),"")</f>
        <v/>
      </c>
      <c r="B138" s="39" t="str">
        <f>IF($A138="","",INDEX(TblApplications[ID],$A138))</f>
        <v/>
      </c>
      <c r="C138" s="39" t="str">
        <f>IF($A138="","",INDEX(TblApplications[Application],$A138))</f>
        <v/>
      </c>
      <c r="D138" s="39" t="str">
        <f>IF($A138="","",INDEX(TblApplications[Tribe],$A138))</f>
        <v/>
      </c>
      <c r="E138" s="39" t="str">
        <f>IF($A138="","",INDEX(TblApplications[Environnement],$A138))</f>
        <v/>
      </c>
      <c r="F138" s="39" t="str">
        <f>IF($A138="","",INDEX(TblApplications[Couloir],$A138))</f>
        <v/>
      </c>
      <c r="G138" s="39" t="str">
        <f>IF($A138="","",INDEX(TblApplications[Action],$A138))</f>
        <v/>
      </c>
      <c r="H138" s="39" t="str">
        <f>IF($A138="","",INDEX(TblApplications[Cluster IKS source],$A138))</f>
        <v/>
      </c>
      <c r="I138" s="48" t="str">
        <f>IF($A138="","",INDEX(TblApplications[Mois lib (calc)],$A138))</f>
        <v/>
      </c>
      <c r="J138" s="39" t="str">
        <f>IF($A138="","",INDEX(TblApplications[CPU IKS libérable (vCPU)],$A138))</f>
        <v/>
      </c>
    </row>
    <row r="139" spans="1:10" x14ac:dyDescent="0.2">
      <c r="A139" s="37" t="str">
        <f>IFERROR(MATCH(64,TblApplications[Rang extinction],0),"")</f>
        <v/>
      </c>
      <c r="B139" s="39" t="str">
        <f>IF($A139="","",INDEX(TblApplications[ID],$A139))</f>
        <v/>
      </c>
      <c r="C139" s="39" t="str">
        <f>IF($A139="","",INDEX(TblApplications[Application],$A139))</f>
        <v/>
      </c>
      <c r="D139" s="39" t="str">
        <f>IF($A139="","",INDEX(TblApplications[Tribe],$A139))</f>
        <v/>
      </c>
      <c r="E139" s="39" t="str">
        <f>IF($A139="","",INDEX(TblApplications[Environnement],$A139))</f>
        <v/>
      </c>
      <c r="F139" s="39" t="str">
        <f>IF($A139="","",INDEX(TblApplications[Couloir],$A139))</f>
        <v/>
      </c>
      <c r="G139" s="39" t="str">
        <f>IF($A139="","",INDEX(TblApplications[Action],$A139))</f>
        <v/>
      </c>
      <c r="H139" s="39" t="str">
        <f>IF($A139="","",INDEX(TblApplications[Cluster IKS source],$A139))</f>
        <v/>
      </c>
      <c r="I139" s="48" t="str">
        <f>IF($A139="","",INDEX(TblApplications[Mois lib (calc)],$A139))</f>
        <v/>
      </c>
      <c r="J139" s="39" t="str">
        <f>IF($A139="","",INDEX(TblApplications[CPU IKS libérable (vCPU)],$A139))</f>
        <v/>
      </c>
    </row>
    <row r="140" spans="1:10" x14ac:dyDescent="0.2">
      <c r="A140" s="37" t="str">
        <f>IFERROR(MATCH(65,TblApplications[Rang extinction],0),"")</f>
        <v/>
      </c>
      <c r="B140" s="39" t="str">
        <f>IF($A140="","",INDEX(TblApplications[ID],$A140))</f>
        <v/>
      </c>
      <c r="C140" s="39" t="str">
        <f>IF($A140="","",INDEX(TblApplications[Application],$A140))</f>
        <v/>
      </c>
      <c r="D140" s="39" t="str">
        <f>IF($A140="","",INDEX(TblApplications[Tribe],$A140))</f>
        <v/>
      </c>
      <c r="E140" s="39" t="str">
        <f>IF($A140="","",INDEX(TblApplications[Environnement],$A140))</f>
        <v/>
      </c>
      <c r="F140" s="39" t="str">
        <f>IF($A140="","",INDEX(TblApplications[Couloir],$A140))</f>
        <v/>
      </c>
      <c r="G140" s="39" t="str">
        <f>IF($A140="","",INDEX(TblApplications[Action],$A140))</f>
        <v/>
      </c>
      <c r="H140" s="39" t="str">
        <f>IF($A140="","",INDEX(TblApplications[Cluster IKS source],$A140))</f>
        <v/>
      </c>
      <c r="I140" s="48" t="str">
        <f>IF($A140="","",INDEX(TblApplications[Mois lib (calc)],$A140))</f>
        <v/>
      </c>
      <c r="J140" s="39" t="str">
        <f>IF($A140="","",INDEX(TblApplications[CPU IKS libérable (vCPU)],$A140))</f>
        <v/>
      </c>
    </row>
    <row r="141" spans="1:10" x14ac:dyDescent="0.2">
      <c r="A141" s="37" t="str">
        <f>IFERROR(MATCH(66,TblApplications[Rang extinction],0),"")</f>
        <v/>
      </c>
      <c r="B141" s="39" t="str">
        <f>IF($A141="","",INDEX(TblApplications[ID],$A141))</f>
        <v/>
      </c>
      <c r="C141" s="39" t="str">
        <f>IF($A141="","",INDEX(TblApplications[Application],$A141))</f>
        <v/>
      </c>
      <c r="D141" s="39" t="str">
        <f>IF($A141="","",INDEX(TblApplications[Tribe],$A141))</f>
        <v/>
      </c>
      <c r="E141" s="39" t="str">
        <f>IF($A141="","",INDEX(TblApplications[Environnement],$A141))</f>
        <v/>
      </c>
      <c r="F141" s="39" t="str">
        <f>IF($A141="","",INDEX(TblApplications[Couloir],$A141))</f>
        <v/>
      </c>
      <c r="G141" s="39" t="str">
        <f>IF($A141="","",INDEX(TblApplications[Action],$A141))</f>
        <v/>
      </c>
      <c r="H141" s="39" t="str">
        <f>IF($A141="","",INDEX(TblApplications[Cluster IKS source],$A141))</f>
        <v/>
      </c>
      <c r="I141" s="48" t="str">
        <f>IF($A141="","",INDEX(TblApplications[Mois lib (calc)],$A141))</f>
        <v/>
      </c>
      <c r="J141" s="39" t="str">
        <f>IF($A141="","",INDEX(TblApplications[CPU IKS libérable (vCPU)],$A141))</f>
        <v/>
      </c>
    </row>
    <row r="142" spans="1:10" x14ac:dyDescent="0.2">
      <c r="A142" s="37" t="str">
        <f>IFERROR(MATCH(67,TblApplications[Rang extinction],0),"")</f>
        <v/>
      </c>
      <c r="B142" s="39" t="str">
        <f>IF($A142="","",INDEX(TblApplications[ID],$A142))</f>
        <v/>
      </c>
      <c r="C142" s="39" t="str">
        <f>IF($A142="","",INDEX(TblApplications[Application],$A142))</f>
        <v/>
      </c>
      <c r="D142" s="39" t="str">
        <f>IF($A142="","",INDEX(TblApplications[Tribe],$A142))</f>
        <v/>
      </c>
      <c r="E142" s="39" t="str">
        <f>IF($A142="","",INDEX(TblApplications[Environnement],$A142))</f>
        <v/>
      </c>
      <c r="F142" s="39" t="str">
        <f>IF($A142="","",INDEX(TblApplications[Couloir],$A142))</f>
        <v/>
      </c>
      <c r="G142" s="39" t="str">
        <f>IF($A142="","",INDEX(TblApplications[Action],$A142))</f>
        <v/>
      </c>
      <c r="H142" s="39" t="str">
        <f>IF($A142="","",INDEX(TblApplications[Cluster IKS source],$A142))</f>
        <v/>
      </c>
      <c r="I142" s="48" t="str">
        <f>IF($A142="","",INDEX(TblApplications[Mois lib (calc)],$A142))</f>
        <v/>
      </c>
      <c r="J142" s="39" t="str">
        <f>IF($A142="","",INDEX(TblApplications[CPU IKS libérable (vCPU)],$A142))</f>
        <v/>
      </c>
    </row>
    <row r="143" spans="1:10" x14ac:dyDescent="0.2">
      <c r="A143" s="37" t="str">
        <f>IFERROR(MATCH(68,TblApplications[Rang extinction],0),"")</f>
        <v/>
      </c>
      <c r="B143" s="39" t="str">
        <f>IF($A143="","",INDEX(TblApplications[ID],$A143))</f>
        <v/>
      </c>
      <c r="C143" s="39" t="str">
        <f>IF($A143="","",INDEX(TblApplications[Application],$A143))</f>
        <v/>
      </c>
      <c r="D143" s="39" t="str">
        <f>IF($A143="","",INDEX(TblApplications[Tribe],$A143))</f>
        <v/>
      </c>
      <c r="E143" s="39" t="str">
        <f>IF($A143="","",INDEX(TblApplications[Environnement],$A143))</f>
        <v/>
      </c>
      <c r="F143" s="39" t="str">
        <f>IF($A143="","",INDEX(TblApplications[Couloir],$A143))</f>
        <v/>
      </c>
      <c r="G143" s="39" t="str">
        <f>IF($A143="","",INDEX(TblApplications[Action],$A143))</f>
        <v/>
      </c>
      <c r="H143" s="39" t="str">
        <f>IF($A143="","",INDEX(TblApplications[Cluster IKS source],$A143))</f>
        <v/>
      </c>
      <c r="I143" s="48" t="str">
        <f>IF($A143="","",INDEX(TblApplications[Mois lib (calc)],$A143))</f>
        <v/>
      </c>
      <c r="J143" s="39" t="str">
        <f>IF($A143="","",INDEX(TblApplications[CPU IKS libérable (vCPU)],$A143))</f>
        <v/>
      </c>
    </row>
    <row r="144" spans="1:10" x14ac:dyDescent="0.2">
      <c r="A144" s="37" t="str">
        <f>IFERROR(MATCH(69,TblApplications[Rang extinction],0),"")</f>
        <v/>
      </c>
      <c r="B144" s="39" t="str">
        <f>IF($A144="","",INDEX(TblApplications[ID],$A144))</f>
        <v/>
      </c>
      <c r="C144" s="39" t="str">
        <f>IF($A144="","",INDEX(TblApplications[Application],$A144))</f>
        <v/>
      </c>
      <c r="D144" s="39" t="str">
        <f>IF($A144="","",INDEX(TblApplications[Tribe],$A144))</f>
        <v/>
      </c>
      <c r="E144" s="39" t="str">
        <f>IF($A144="","",INDEX(TblApplications[Environnement],$A144))</f>
        <v/>
      </c>
      <c r="F144" s="39" t="str">
        <f>IF($A144="","",INDEX(TblApplications[Couloir],$A144))</f>
        <v/>
      </c>
      <c r="G144" s="39" t="str">
        <f>IF($A144="","",INDEX(TblApplications[Action],$A144))</f>
        <v/>
      </c>
      <c r="H144" s="39" t="str">
        <f>IF($A144="","",INDEX(TblApplications[Cluster IKS source],$A144))</f>
        <v/>
      </c>
      <c r="I144" s="48" t="str">
        <f>IF($A144="","",INDEX(TblApplications[Mois lib (calc)],$A144))</f>
        <v/>
      </c>
      <c r="J144" s="39" t="str">
        <f>IF($A144="","",INDEX(TblApplications[CPU IKS libérable (vCPU)],$A144))</f>
        <v/>
      </c>
    </row>
    <row r="145" spans="1:10" x14ac:dyDescent="0.2">
      <c r="A145" s="37" t="str">
        <f>IFERROR(MATCH(70,TblApplications[Rang extinction],0),"")</f>
        <v/>
      </c>
      <c r="B145" s="39" t="str">
        <f>IF($A145="","",INDEX(TblApplications[ID],$A145))</f>
        <v/>
      </c>
      <c r="C145" s="39" t="str">
        <f>IF($A145="","",INDEX(TblApplications[Application],$A145))</f>
        <v/>
      </c>
      <c r="D145" s="39" t="str">
        <f>IF($A145="","",INDEX(TblApplications[Tribe],$A145))</f>
        <v/>
      </c>
      <c r="E145" s="39" t="str">
        <f>IF($A145="","",INDEX(TblApplications[Environnement],$A145))</f>
        <v/>
      </c>
      <c r="F145" s="39" t="str">
        <f>IF($A145="","",INDEX(TblApplications[Couloir],$A145))</f>
        <v/>
      </c>
      <c r="G145" s="39" t="str">
        <f>IF($A145="","",INDEX(TblApplications[Action],$A145))</f>
        <v/>
      </c>
      <c r="H145" s="39" t="str">
        <f>IF($A145="","",INDEX(TblApplications[Cluster IKS source],$A145))</f>
        <v/>
      </c>
      <c r="I145" s="48" t="str">
        <f>IF($A145="","",INDEX(TblApplications[Mois lib (calc)],$A145))</f>
        <v/>
      </c>
      <c r="J145" s="39" t="str">
        <f>IF($A145="","",INDEX(TblApplications[CPU IKS libérable (vCPU)],$A145))</f>
        <v/>
      </c>
    </row>
    <row r="146" spans="1:10" x14ac:dyDescent="0.2">
      <c r="A146" s="37" t="str">
        <f>IFERROR(MATCH(71,TblApplications[Rang extinction],0),"")</f>
        <v/>
      </c>
      <c r="B146" s="39" t="str">
        <f>IF($A146="","",INDEX(TblApplications[ID],$A146))</f>
        <v/>
      </c>
      <c r="C146" s="39" t="str">
        <f>IF($A146="","",INDEX(TblApplications[Application],$A146))</f>
        <v/>
      </c>
      <c r="D146" s="39" t="str">
        <f>IF($A146="","",INDEX(TblApplications[Tribe],$A146))</f>
        <v/>
      </c>
      <c r="E146" s="39" t="str">
        <f>IF($A146="","",INDEX(TblApplications[Environnement],$A146))</f>
        <v/>
      </c>
      <c r="F146" s="39" t="str">
        <f>IF($A146="","",INDEX(TblApplications[Couloir],$A146))</f>
        <v/>
      </c>
      <c r="G146" s="39" t="str">
        <f>IF($A146="","",INDEX(TblApplications[Action],$A146))</f>
        <v/>
      </c>
      <c r="H146" s="39" t="str">
        <f>IF($A146="","",INDEX(TblApplications[Cluster IKS source],$A146))</f>
        <v/>
      </c>
      <c r="I146" s="48" t="str">
        <f>IF($A146="","",INDEX(TblApplications[Mois lib (calc)],$A146))</f>
        <v/>
      </c>
      <c r="J146" s="39" t="str">
        <f>IF($A146="","",INDEX(TblApplications[CPU IKS libérable (vCPU)],$A146))</f>
        <v/>
      </c>
    </row>
    <row r="147" spans="1:10" x14ac:dyDescent="0.2">
      <c r="A147" s="37" t="str">
        <f>IFERROR(MATCH(72,TblApplications[Rang extinction],0),"")</f>
        <v/>
      </c>
      <c r="B147" s="39" t="str">
        <f>IF($A147="","",INDEX(TblApplications[ID],$A147))</f>
        <v/>
      </c>
      <c r="C147" s="39" t="str">
        <f>IF($A147="","",INDEX(TblApplications[Application],$A147))</f>
        <v/>
      </c>
      <c r="D147" s="39" t="str">
        <f>IF($A147="","",INDEX(TblApplications[Tribe],$A147))</f>
        <v/>
      </c>
      <c r="E147" s="39" t="str">
        <f>IF($A147="","",INDEX(TblApplications[Environnement],$A147))</f>
        <v/>
      </c>
      <c r="F147" s="39" t="str">
        <f>IF($A147="","",INDEX(TblApplications[Couloir],$A147))</f>
        <v/>
      </c>
      <c r="G147" s="39" t="str">
        <f>IF($A147="","",INDEX(TblApplications[Action],$A147))</f>
        <v/>
      </c>
      <c r="H147" s="39" t="str">
        <f>IF($A147="","",INDEX(TblApplications[Cluster IKS source],$A147))</f>
        <v/>
      </c>
      <c r="I147" s="48" t="str">
        <f>IF($A147="","",INDEX(TblApplications[Mois lib (calc)],$A147))</f>
        <v/>
      </c>
      <c r="J147" s="39" t="str">
        <f>IF($A147="","",INDEX(TblApplications[CPU IKS libérable (vCPU)],$A147))</f>
        <v/>
      </c>
    </row>
    <row r="148" spans="1:10" x14ac:dyDescent="0.2">
      <c r="A148" s="37" t="str">
        <f>IFERROR(MATCH(73,TblApplications[Rang extinction],0),"")</f>
        <v/>
      </c>
      <c r="B148" s="39" t="str">
        <f>IF($A148="","",INDEX(TblApplications[ID],$A148))</f>
        <v/>
      </c>
      <c r="C148" s="39" t="str">
        <f>IF($A148="","",INDEX(TblApplications[Application],$A148))</f>
        <v/>
      </c>
      <c r="D148" s="39" t="str">
        <f>IF($A148="","",INDEX(TblApplications[Tribe],$A148))</f>
        <v/>
      </c>
      <c r="E148" s="39" t="str">
        <f>IF($A148="","",INDEX(TblApplications[Environnement],$A148))</f>
        <v/>
      </c>
      <c r="F148" s="39" t="str">
        <f>IF($A148="","",INDEX(TblApplications[Couloir],$A148))</f>
        <v/>
      </c>
      <c r="G148" s="39" t="str">
        <f>IF($A148="","",INDEX(TblApplications[Action],$A148))</f>
        <v/>
      </c>
      <c r="H148" s="39" t="str">
        <f>IF($A148="","",INDEX(TblApplications[Cluster IKS source],$A148))</f>
        <v/>
      </c>
      <c r="I148" s="48" t="str">
        <f>IF($A148="","",INDEX(TblApplications[Mois lib (calc)],$A148))</f>
        <v/>
      </c>
      <c r="J148" s="39" t="str">
        <f>IF($A148="","",INDEX(TblApplications[CPU IKS libérable (vCPU)],$A148))</f>
        <v/>
      </c>
    </row>
    <row r="149" spans="1:10" x14ac:dyDescent="0.2">
      <c r="A149" s="37" t="str">
        <f>IFERROR(MATCH(74,TblApplications[Rang extinction],0),"")</f>
        <v/>
      </c>
      <c r="B149" s="39" t="str">
        <f>IF($A149="","",INDEX(TblApplications[ID],$A149))</f>
        <v/>
      </c>
      <c r="C149" s="39" t="str">
        <f>IF($A149="","",INDEX(TblApplications[Application],$A149))</f>
        <v/>
      </c>
      <c r="D149" s="39" t="str">
        <f>IF($A149="","",INDEX(TblApplications[Tribe],$A149))</f>
        <v/>
      </c>
      <c r="E149" s="39" t="str">
        <f>IF($A149="","",INDEX(TblApplications[Environnement],$A149))</f>
        <v/>
      </c>
      <c r="F149" s="39" t="str">
        <f>IF($A149="","",INDEX(TblApplications[Couloir],$A149))</f>
        <v/>
      </c>
      <c r="G149" s="39" t="str">
        <f>IF($A149="","",INDEX(TblApplications[Action],$A149))</f>
        <v/>
      </c>
      <c r="H149" s="39" t="str">
        <f>IF($A149="","",INDEX(TblApplications[Cluster IKS source],$A149))</f>
        <v/>
      </c>
      <c r="I149" s="48" t="str">
        <f>IF($A149="","",INDEX(TblApplications[Mois lib (calc)],$A149))</f>
        <v/>
      </c>
      <c r="J149" s="39" t="str">
        <f>IF($A149="","",INDEX(TblApplications[CPU IKS libérable (vCPU)],$A149))</f>
        <v/>
      </c>
    </row>
    <row r="150" spans="1:10" x14ac:dyDescent="0.2">
      <c r="A150" s="37" t="str">
        <f>IFERROR(MATCH(75,TblApplications[Rang extinction],0),"")</f>
        <v/>
      </c>
      <c r="B150" s="39" t="str">
        <f>IF($A150="","",INDEX(TblApplications[ID],$A150))</f>
        <v/>
      </c>
      <c r="C150" s="39" t="str">
        <f>IF($A150="","",INDEX(TblApplications[Application],$A150))</f>
        <v/>
      </c>
      <c r="D150" s="39" t="str">
        <f>IF($A150="","",INDEX(TblApplications[Tribe],$A150))</f>
        <v/>
      </c>
      <c r="E150" s="39" t="str">
        <f>IF($A150="","",INDEX(TblApplications[Environnement],$A150))</f>
        <v/>
      </c>
      <c r="F150" s="39" t="str">
        <f>IF($A150="","",INDEX(TblApplications[Couloir],$A150))</f>
        <v/>
      </c>
      <c r="G150" s="39" t="str">
        <f>IF($A150="","",INDEX(TblApplications[Action],$A150))</f>
        <v/>
      </c>
      <c r="H150" s="39" t="str">
        <f>IF($A150="","",INDEX(TblApplications[Cluster IKS source],$A150))</f>
        <v/>
      </c>
      <c r="I150" s="48" t="str">
        <f>IF($A150="","",INDEX(TblApplications[Mois lib (calc)],$A150))</f>
        <v/>
      </c>
      <c r="J150" s="39" t="str">
        <f>IF($A150="","",INDEX(TblApplications[CPU IKS libérable (vCPU)],$A150))</f>
        <v/>
      </c>
    </row>
    <row r="151" spans="1:10" x14ac:dyDescent="0.2">
      <c r="A151" s="37" t="str">
        <f>IFERROR(MATCH(76,TblApplications[Rang extinction],0),"")</f>
        <v/>
      </c>
      <c r="B151" s="39" t="str">
        <f>IF($A151="","",INDEX(TblApplications[ID],$A151))</f>
        <v/>
      </c>
      <c r="C151" s="39" t="str">
        <f>IF($A151="","",INDEX(TblApplications[Application],$A151))</f>
        <v/>
      </c>
      <c r="D151" s="39" t="str">
        <f>IF($A151="","",INDEX(TblApplications[Tribe],$A151))</f>
        <v/>
      </c>
      <c r="E151" s="39" t="str">
        <f>IF($A151="","",INDEX(TblApplications[Environnement],$A151))</f>
        <v/>
      </c>
      <c r="F151" s="39" t="str">
        <f>IF($A151="","",INDEX(TblApplications[Couloir],$A151))</f>
        <v/>
      </c>
      <c r="G151" s="39" t="str">
        <f>IF($A151="","",INDEX(TblApplications[Action],$A151))</f>
        <v/>
      </c>
      <c r="H151" s="39" t="str">
        <f>IF($A151="","",INDEX(TblApplications[Cluster IKS source],$A151))</f>
        <v/>
      </c>
      <c r="I151" s="48" t="str">
        <f>IF($A151="","",INDEX(TblApplications[Mois lib (calc)],$A151))</f>
        <v/>
      </c>
      <c r="J151" s="39" t="str">
        <f>IF($A151="","",INDEX(TblApplications[CPU IKS libérable (vCPU)],$A151))</f>
        <v/>
      </c>
    </row>
    <row r="152" spans="1:10" x14ac:dyDescent="0.2">
      <c r="A152" s="37" t="str">
        <f>IFERROR(MATCH(77,TblApplications[Rang extinction],0),"")</f>
        <v/>
      </c>
      <c r="B152" s="39" t="str">
        <f>IF($A152="","",INDEX(TblApplications[ID],$A152))</f>
        <v/>
      </c>
      <c r="C152" s="39" t="str">
        <f>IF($A152="","",INDEX(TblApplications[Application],$A152))</f>
        <v/>
      </c>
      <c r="D152" s="39" t="str">
        <f>IF($A152="","",INDEX(TblApplications[Tribe],$A152))</f>
        <v/>
      </c>
      <c r="E152" s="39" t="str">
        <f>IF($A152="","",INDEX(TblApplications[Environnement],$A152))</f>
        <v/>
      </c>
      <c r="F152" s="39" t="str">
        <f>IF($A152="","",INDEX(TblApplications[Couloir],$A152))</f>
        <v/>
      </c>
      <c r="G152" s="39" t="str">
        <f>IF($A152="","",INDEX(TblApplications[Action],$A152))</f>
        <v/>
      </c>
      <c r="H152" s="39" t="str">
        <f>IF($A152="","",INDEX(TblApplications[Cluster IKS source],$A152))</f>
        <v/>
      </c>
      <c r="I152" s="48" t="str">
        <f>IF($A152="","",INDEX(TblApplications[Mois lib (calc)],$A152))</f>
        <v/>
      </c>
      <c r="J152" s="39" t="str">
        <f>IF($A152="","",INDEX(TblApplications[CPU IKS libérable (vCPU)],$A152))</f>
        <v/>
      </c>
    </row>
    <row r="153" spans="1:10" x14ac:dyDescent="0.2">
      <c r="A153" s="37" t="str">
        <f>IFERROR(MATCH(78,TblApplications[Rang extinction],0),"")</f>
        <v/>
      </c>
      <c r="B153" s="39" t="str">
        <f>IF($A153="","",INDEX(TblApplications[ID],$A153))</f>
        <v/>
      </c>
      <c r="C153" s="39" t="str">
        <f>IF($A153="","",INDEX(TblApplications[Application],$A153))</f>
        <v/>
      </c>
      <c r="D153" s="39" t="str">
        <f>IF($A153="","",INDEX(TblApplications[Tribe],$A153))</f>
        <v/>
      </c>
      <c r="E153" s="39" t="str">
        <f>IF($A153="","",INDEX(TblApplications[Environnement],$A153))</f>
        <v/>
      </c>
      <c r="F153" s="39" t="str">
        <f>IF($A153="","",INDEX(TblApplications[Couloir],$A153))</f>
        <v/>
      </c>
      <c r="G153" s="39" t="str">
        <f>IF($A153="","",INDEX(TblApplications[Action],$A153))</f>
        <v/>
      </c>
      <c r="H153" s="39" t="str">
        <f>IF($A153="","",INDEX(TblApplications[Cluster IKS source],$A153))</f>
        <v/>
      </c>
      <c r="I153" s="48" t="str">
        <f>IF($A153="","",INDEX(TblApplications[Mois lib (calc)],$A153))</f>
        <v/>
      </c>
      <c r="J153" s="39" t="str">
        <f>IF($A153="","",INDEX(TblApplications[CPU IKS libérable (vCPU)],$A153))</f>
        <v/>
      </c>
    </row>
    <row r="154" spans="1:10" x14ac:dyDescent="0.2">
      <c r="A154" s="37" t="str">
        <f>IFERROR(MATCH(79,TblApplications[Rang extinction],0),"")</f>
        <v/>
      </c>
      <c r="B154" s="39" t="str">
        <f>IF($A154="","",INDEX(TblApplications[ID],$A154))</f>
        <v/>
      </c>
      <c r="C154" s="39" t="str">
        <f>IF($A154="","",INDEX(TblApplications[Application],$A154))</f>
        <v/>
      </c>
      <c r="D154" s="39" t="str">
        <f>IF($A154="","",INDEX(TblApplications[Tribe],$A154))</f>
        <v/>
      </c>
      <c r="E154" s="39" t="str">
        <f>IF($A154="","",INDEX(TblApplications[Environnement],$A154))</f>
        <v/>
      </c>
      <c r="F154" s="39" t="str">
        <f>IF($A154="","",INDEX(TblApplications[Couloir],$A154))</f>
        <v/>
      </c>
      <c r="G154" s="39" t="str">
        <f>IF($A154="","",INDEX(TblApplications[Action],$A154))</f>
        <v/>
      </c>
      <c r="H154" s="39" t="str">
        <f>IF($A154="","",INDEX(TblApplications[Cluster IKS source],$A154))</f>
        <v/>
      </c>
      <c r="I154" s="48" t="str">
        <f>IF($A154="","",INDEX(TblApplications[Mois lib (calc)],$A154))</f>
        <v/>
      </c>
      <c r="J154" s="39" t="str">
        <f>IF($A154="","",INDEX(TblApplications[CPU IKS libérable (vCPU)],$A154))</f>
        <v/>
      </c>
    </row>
    <row r="155" spans="1:10" x14ac:dyDescent="0.2">
      <c r="A155" s="37" t="str">
        <f>IFERROR(MATCH(80,TblApplications[Rang extinction],0),"")</f>
        <v/>
      </c>
      <c r="B155" s="39" t="str">
        <f>IF($A155="","",INDEX(TblApplications[ID],$A155))</f>
        <v/>
      </c>
      <c r="C155" s="39" t="str">
        <f>IF($A155="","",INDEX(TblApplications[Application],$A155))</f>
        <v/>
      </c>
      <c r="D155" s="39" t="str">
        <f>IF($A155="","",INDEX(TblApplications[Tribe],$A155))</f>
        <v/>
      </c>
      <c r="E155" s="39" t="str">
        <f>IF($A155="","",INDEX(TblApplications[Environnement],$A155))</f>
        <v/>
      </c>
      <c r="F155" s="39" t="str">
        <f>IF($A155="","",INDEX(TblApplications[Couloir],$A155))</f>
        <v/>
      </c>
      <c r="G155" s="39" t="str">
        <f>IF($A155="","",INDEX(TblApplications[Action],$A155))</f>
        <v/>
      </c>
      <c r="H155" s="39" t="str">
        <f>IF($A155="","",INDEX(TblApplications[Cluster IKS source],$A155))</f>
        <v/>
      </c>
      <c r="I155" s="48" t="str">
        <f>IF($A155="","",INDEX(TblApplications[Mois lib (calc)],$A155))</f>
        <v/>
      </c>
      <c r="J155" s="39" t="str">
        <f>IF($A155="","",INDEX(TblApplications[CPU IKS libérable (vCPU)],$A155))</f>
        <v/>
      </c>
    </row>
    <row r="156" spans="1:10" x14ac:dyDescent="0.2">
      <c r="A156" s="37" t="str">
        <f>IFERROR(MATCH(81,TblApplications[Rang extinction],0),"")</f>
        <v/>
      </c>
      <c r="B156" s="39" t="str">
        <f>IF($A156="","",INDEX(TblApplications[ID],$A156))</f>
        <v/>
      </c>
      <c r="C156" s="39" t="str">
        <f>IF($A156="","",INDEX(TblApplications[Application],$A156))</f>
        <v/>
      </c>
      <c r="D156" s="39" t="str">
        <f>IF($A156="","",INDEX(TblApplications[Tribe],$A156))</f>
        <v/>
      </c>
      <c r="E156" s="39" t="str">
        <f>IF($A156="","",INDEX(TblApplications[Environnement],$A156))</f>
        <v/>
      </c>
      <c r="F156" s="39" t="str">
        <f>IF($A156="","",INDEX(TblApplications[Couloir],$A156))</f>
        <v/>
      </c>
      <c r="G156" s="39" t="str">
        <f>IF($A156="","",INDEX(TblApplications[Action],$A156))</f>
        <v/>
      </c>
      <c r="H156" s="39" t="str">
        <f>IF($A156="","",INDEX(TblApplications[Cluster IKS source],$A156))</f>
        <v/>
      </c>
      <c r="I156" s="48" t="str">
        <f>IF($A156="","",INDEX(TblApplications[Mois lib (calc)],$A156))</f>
        <v/>
      </c>
      <c r="J156" s="39" t="str">
        <f>IF($A156="","",INDEX(TblApplications[CPU IKS libérable (vCPU)],$A156))</f>
        <v/>
      </c>
    </row>
    <row r="157" spans="1:10" x14ac:dyDescent="0.2">
      <c r="A157" s="37" t="str">
        <f>IFERROR(MATCH(82,TblApplications[Rang extinction],0),"")</f>
        <v/>
      </c>
      <c r="B157" s="39" t="str">
        <f>IF($A157="","",INDEX(TblApplications[ID],$A157))</f>
        <v/>
      </c>
      <c r="C157" s="39" t="str">
        <f>IF($A157="","",INDEX(TblApplications[Application],$A157))</f>
        <v/>
      </c>
      <c r="D157" s="39" t="str">
        <f>IF($A157="","",INDEX(TblApplications[Tribe],$A157))</f>
        <v/>
      </c>
      <c r="E157" s="39" t="str">
        <f>IF($A157="","",INDEX(TblApplications[Environnement],$A157))</f>
        <v/>
      </c>
      <c r="F157" s="39" t="str">
        <f>IF($A157="","",INDEX(TblApplications[Couloir],$A157))</f>
        <v/>
      </c>
      <c r="G157" s="39" t="str">
        <f>IF($A157="","",INDEX(TblApplications[Action],$A157))</f>
        <v/>
      </c>
      <c r="H157" s="39" t="str">
        <f>IF($A157="","",INDEX(TblApplications[Cluster IKS source],$A157))</f>
        <v/>
      </c>
      <c r="I157" s="48" t="str">
        <f>IF($A157="","",INDEX(TblApplications[Mois lib (calc)],$A157))</f>
        <v/>
      </c>
      <c r="J157" s="39" t="str">
        <f>IF($A157="","",INDEX(TblApplications[CPU IKS libérable (vCPU)],$A157))</f>
        <v/>
      </c>
    </row>
    <row r="158" spans="1:10" x14ac:dyDescent="0.2">
      <c r="A158" s="37" t="str">
        <f>IFERROR(MATCH(83,TblApplications[Rang extinction],0),"")</f>
        <v/>
      </c>
      <c r="B158" s="39" t="str">
        <f>IF($A158="","",INDEX(TblApplications[ID],$A158))</f>
        <v/>
      </c>
      <c r="C158" s="39" t="str">
        <f>IF($A158="","",INDEX(TblApplications[Application],$A158))</f>
        <v/>
      </c>
      <c r="D158" s="39" t="str">
        <f>IF($A158="","",INDEX(TblApplications[Tribe],$A158))</f>
        <v/>
      </c>
      <c r="E158" s="39" t="str">
        <f>IF($A158="","",INDEX(TblApplications[Environnement],$A158))</f>
        <v/>
      </c>
      <c r="F158" s="39" t="str">
        <f>IF($A158="","",INDEX(TblApplications[Couloir],$A158))</f>
        <v/>
      </c>
      <c r="G158" s="39" t="str">
        <f>IF($A158="","",INDEX(TblApplications[Action],$A158))</f>
        <v/>
      </c>
      <c r="H158" s="39" t="str">
        <f>IF($A158="","",INDEX(TblApplications[Cluster IKS source],$A158))</f>
        <v/>
      </c>
      <c r="I158" s="48" t="str">
        <f>IF($A158="","",INDEX(TblApplications[Mois lib (calc)],$A158))</f>
        <v/>
      </c>
      <c r="J158" s="39" t="str">
        <f>IF($A158="","",INDEX(TblApplications[CPU IKS libérable (vCPU)],$A158))</f>
        <v/>
      </c>
    </row>
    <row r="159" spans="1:10" x14ac:dyDescent="0.2">
      <c r="A159" s="37" t="str">
        <f>IFERROR(MATCH(84,TblApplications[Rang extinction],0),"")</f>
        <v/>
      </c>
      <c r="B159" s="39" t="str">
        <f>IF($A159="","",INDEX(TblApplications[ID],$A159))</f>
        <v/>
      </c>
      <c r="C159" s="39" t="str">
        <f>IF($A159="","",INDEX(TblApplications[Application],$A159))</f>
        <v/>
      </c>
      <c r="D159" s="39" t="str">
        <f>IF($A159="","",INDEX(TblApplications[Tribe],$A159))</f>
        <v/>
      </c>
      <c r="E159" s="39" t="str">
        <f>IF($A159="","",INDEX(TblApplications[Environnement],$A159))</f>
        <v/>
      </c>
      <c r="F159" s="39" t="str">
        <f>IF($A159="","",INDEX(TblApplications[Couloir],$A159))</f>
        <v/>
      </c>
      <c r="G159" s="39" t="str">
        <f>IF($A159="","",INDEX(TblApplications[Action],$A159))</f>
        <v/>
      </c>
      <c r="H159" s="39" t="str">
        <f>IF($A159="","",INDEX(TblApplications[Cluster IKS source],$A159))</f>
        <v/>
      </c>
      <c r="I159" s="48" t="str">
        <f>IF($A159="","",INDEX(TblApplications[Mois lib (calc)],$A159))</f>
        <v/>
      </c>
      <c r="J159" s="39" t="str">
        <f>IF($A159="","",INDEX(TblApplications[CPU IKS libérable (vCPU)],$A159))</f>
        <v/>
      </c>
    </row>
    <row r="160" spans="1:10" x14ac:dyDescent="0.2">
      <c r="A160" s="37" t="str">
        <f>IFERROR(MATCH(85,TblApplications[Rang extinction],0),"")</f>
        <v/>
      </c>
      <c r="B160" s="39" t="str">
        <f>IF($A160="","",INDEX(TblApplications[ID],$A160))</f>
        <v/>
      </c>
      <c r="C160" s="39" t="str">
        <f>IF($A160="","",INDEX(TblApplications[Application],$A160))</f>
        <v/>
      </c>
      <c r="D160" s="39" t="str">
        <f>IF($A160="","",INDEX(TblApplications[Tribe],$A160))</f>
        <v/>
      </c>
      <c r="E160" s="39" t="str">
        <f>IF($A160="","",INDEX(TblApplications[Environnement],$A160))</f>
        <v/>
      </c>
      <c r="F160" s="39" t="str">
        <f>IF($A160="","",INDEX(TblApplications[Couloir],$A160))</f>
        <v/>
      </c>
      <c r="G160" s="39" t="str">
        <f>IF($A160="","",INDEX(TblApplications[Action],$A160))</f>
        <v/>
      </c>
      <c r="H160" s="39" t="str">
        <f>IF($A160="","",INDEX(TblApplications[Cluster IKS source],$A160))</f>
        <v/>
      </c>
      <c r="I160" s="48" t="str">
        <f>IF($A160="","",INDEX(TblApplications[Mois lib (calc)],$A160))</f>
        <v/>
      </c>
      <c r="J160" s="39" t="str">
        <f>IF($A160="","",INDEX(TblApplications[CPU IKS libérable (vCPU)],$A160))</f>
        <v/>
      </c>
    </row>
    <row r="161" spans="1:10" x14ac:dyDescent="0.2">
      <c r="A161" s="37" t="str">
        <f>IFERROR(MATCH(86,TblApplications[Rang extinction],0),"")</f>
        <v/>
      </c>
      <c r="B161" s="39" t="str">
        <f>IF($A161="","",INDEX(TblApplications[ID],$A161))</f>
        <v/>
      </c>
      <c r="C161" s="39" t="str">
        <f>IF($A161="","",INDEX(TblApplications[Application],$A161))</f>
        <v/>
      </c>
      <c r="D161" s="39" t="str">
        <f>IF($A161="","",INDEX(TblApplications[Tribe],$A161))</f>
        <v/>
      </c>
      <c r="E161" s="39" t="str">
        <f>IF($A161="","",INDEX(TblApplications[Environnement],$A161))</f>
        <v/>
      </c>
      <c r="F161" s="39" t="str">
        <f>IF($A161="","",INDEX(TblApplications[Couloir],$A161))</f>
        <v/>
      </c>
      <c r="G161" s="39" t="str">
        <f>IF($A161="","",INDEX(TblApplications[Action],$A161))</f>
        <v/>
      </c>
      <c r="H161" s="39" t="str">
        <f>IF($A161="","",INDEX(TblApplications[Cluster IKS source],$A161))</f>
        <v/>
      </c>
      <c r="I161" s="48" t="str">
        <f>IF($A161="","",INDEX(TblApplications[Mois lib (calc)],$A161))</f>
        <v/>
      </c>
      <c r="J161" s="39" t="str">
        <f>IF($A161="","",INDEX(TblApplications[CPU IKS libérable (vCPU)],$A161))</f>
        <v/>
      </c>
    </row>
    <row r="162" spans="1:10" x14ac:dyDescent="0.2">
      <c r="A162" s="37" t="str">
        <f>IFERROR(MATCH(87,TblApplications[Rang extinction],0),"")</f>
        <v/>
      </c>
      <c r="B162" s="39" t="str">
        <f>IF($A162="","",INDEX(TblApplications[ID],$A162))</f>
        <v/>
      </c>
      <c r="C162" s="39" t="str">
        <f>IF($A162="","",INDEX(TblApplications[Application],$A162))</f>
        <v/>
      </c>
      <c r="D162" s="39" t="str">
        <f>IF($A162="","",INDEX(TblApplications[Tribe],$A162))</f>
        <v/>
      </c>
      <c r="E162" s="39" t="str">
        <f>IF($A162="","",INDEX(TblApplications[Environnement],$A162))</f>
        <v/>
      </c>
      <c r="F162" s="39" t="str">
        <f>IF($A162="","",INDEX(TblApplications[Couloir],$A162))</f>
        <v/>
      </c>
      <c r="G162" s="39" t="str">
        <f>IF($A162="","",INDEX(TblApplications[Action],$A162))</f>
        <v/>
      </c>
      <c r="H162" s="39" t="str">
        <f>IF($A162="","",INDEX(TblApplications[Cluster IKS source],$A162))</f>
        <v/>
      </c>
      <c r="I162" s="48" t="str">
        <f>IF($A162="","",INDEX(TblApplications[Mois lib (calc)],$A162))</f>
        <v/>
      </c>
      <c r="J162" s="39" t="str">
        <f>IF($A162="","",INDEX(TblApplications[CPU IKS libérable (vCPU)],$A162))</f>
        <v/>
      </c>
    </row>
    <row r="163" spans="1:10" x14ac:dyDescent="0.2">
      <c r="A163" s="37" t="str">
        <f>IFERROR(MATCH(88,TblApplications[Rang extinction],0),"")</f>
        <v/>
      </c>
      <c r="B163" s="39" t="str">
        <f>IF($A163="","",INDEX(TblApplications[ID],$A163))</f>
        <v/>
      </c>
      <c r="C163" s="39" t="str">
        <f>IF($A163="","",INDEX(TblApplications[Application],$A163))</f>
        <v/>
      </c>
      <c r="D163" s="39" t="str">
        <f>IF($A163="","",INDEX(TblApplications[Tribe],$A163))</f>
        <v/>
      </c>
      <c r="E163" s="39" t="str">
        <f>IF($A163="","",INDEX(TblApplications[Environnement],$A163))</f>
        <v/>
      </c>
      <c r="F163" s="39" t="str">
        <f>IF($A163="","",INDEX(TblApplications[Couloir],$A163))</f>
        <v/>
      </c>
      <c r="G163" s="39" t="str">
        <f>IF($A163="","",INDEX(TblApplications[Action],$A163))</f>
        <v/>
      </c>
      <c r="H163" s="39" t="str">
        <f>IF($A163="","",INDEX(TblApplications[Cluster IKS source],$A163))</f>
        <v/>
      </c>
      <c r="I163" s="48" t="str">
        <f>IF($A163="","",INDEX(TblApplications[Mois lib (calc)],$A163))</f>
        <v/>
      </c>
      <c r="J163" s="39" t="str">
        <f>IF($A163="","",INDEX(TblApplications[CPU IKS libérable (vCPU)],$A163))</f>
        <v/>
      </c>
    </row>
    <row r="164" spans="1:10" x14ac:dyDescent="0.2">
      <c r="A164" s="37" t="str">
        <f>IFERROR(MATCH(89,TblApplications[Rang extinction],0),"")</f>
        <v/>
      </c>
      <c r="B164" s="39" t="str">
        <f>IF($A164="","",INDEX(TblApplications[ID],$A164))</f>
        <v/>
      </c>
      <c r="C164" s="39" t="str">
        <f>IF($A164="","",INDEX(TblApplications[Application],$A164))</f>
        <v/>
      </c>
      <c r="D164" s="39" t="str">
        <f>IF($A164="","",INDEX(TblApplications[Tribe],$A164))</f>
        <v/>
      </c>
      <c r="E164" s="39" t="str">
        <f>IF($A164="","",INDEX(TblApplications[Environnement],$A164))</f>
        <v/>
      </c>
      <c r="F164" s="39" t="str">
        <f>IF($A164="","",INDEX(TblApplications[Couloir],$A164))</f>
        <v/>
      </c>
      <c r="G164" s="39" t="str">
        <f>IF($A164="","",INDEX(TblApplications[Action],$A164))</f>
        <v/>
      </c>
      <c r="H164" s="39" t="str">
        <f>IF($A164="","",INDEX(TblApplications[Cluster IKS source],$A164))</f>
        <v/>
      </c>
      <c r="I164" s="48" t="str">
        <f>IF($A164="","",INDEX(TblApplications[Mois lib (calc)],$A164))</f>
        <v/>
      </c>
      <c r="J164" s="39" t="str">
        <f>IF($A164="","",INDEX(TblApplications[CPU IKS libérable (vCPU)],$A164))</f>
        <v/>
      </c>
    </row>
    <row r="165" spans="1:10" x14ac:dyDescent="0.2">
      <c r="A165" s="37" t="str">
        <f>IFERROR(MATCH(90,TblApplications[Rang extinction],0),"")</f>
        <v/>
      </c>
      <c r="B165" s="39" t="str">
        <f>IF($A165="","",INDEX(TblApplications[ID],$A165))</f>
        <v/>
      </c>
      <c r="C165" s="39" t="str">
        <f>IF($A165="","",INDEX(TblApplications[Application],$A165))</f>
        <v/>
      </c>
      <c r="D165" s="39" t="str">
        <f>IF($A165="","",INDEX(TblApplications[Tribe],$A165))</f>
        <v/>
      </c>
      <c r="E165" s="39" t="str">
        <f>IF($A165="","",INDEX(TblApplications[Environnement],$A165))</f>
        <v/>
      </c>
      <c r="F165" s="39" t="str">
        <f>IF($A165="","",INDEX(TblApplications[Couloir],$A165))</f>
        <v/>
      </c>
      <c r="G165" s="39" t="str">
        <f>IF($A165="","",INDEX(TblApplications[Action],$A165))</f>
        <v/>
      </c>
      <c r="H165" s="39" t="str">
        <f>IF($A165="","",INDEX(TblApplications[Cluster IKS source],$A165))</f>
        <v/>
      </c>
      <c r="I165" s="48" t="str">
        <f>IF($A165="","",INDEX(TblApplications[Mois lib (calc)],$A165))</f>
        <v/>
      </c>
      <c r="J165" s="39" t="str">
        <f>IF($A165="","",INDEX(TblApplications[CPU IKS libérable (vCPU)],$A165))</f>
        <v/>
      </c>
    </row>
    <row r="166" spans="1:10" x14ac:dyDescent="0.2">
      <c r="A166" s="37" t="str">
        <f>IFERROR(MATCH(91,TblApplications[Rang extinction],0),"")</f>
        <v/>
      </c>
      <c r="B166" s="39" t="str">
        <f>IF($A166="","",INDEX(TblApplications[ID],$A166))</f>
        <v/>
      </c>
      <c r="C166" s="39" t="str">
        <f>IF($A166="","",INDEX(TblApplications[Application],$A166))</f>
        <v/>
      </c>
      <c r="D166" s="39" t="str">
        <f>IF($A166="","",INDEX(TblApplications[Tribe],$A166))</f>
        <v/>
      </c>
      <c r="E166" s="39" t="str">
        <f>IF($A166="","",INDEX(TblApplications[Environnement],$A166))</f>
        <v/>
      </c>
      <c r="F166" s="39" t="str">
        <f>IF($A166="","",INDEX(TblApplications[Couloir],$A166))</f>
        <v/>
      </c>
      <c r="G166" s="39" t="str">
        <f>IF($A166="","",INDEX(TblApplications[Action],$A166))</f>
        <v/>
      </c>
      <c r="H166" s="39" t="str">
        <f>IF($A166="","",INDEX(TblApplications[Cluster IKS source],$A166))</f>
        <v/>
      </c>
      <c r="I166" s="48" t="str">
        <f>IF($A166="","",INDEX(TblApplications[Mois lib (calc)],$A166))</f>
        <v/>
      </c>
      <c r="J166" s="39" t="str">
        <f>IF($A166="","",INDEX(TblApplications[CPU IKS libérable (vCPU)],$A166))</f>
        <v/>
      </c>
    </row>
    <row r="167" spans="1:10" x14ac:dyDescent="0.2">
      <c r="A167" s="37" t="str">
        <f>IFERROR(MATCH(92,TblApplications[Rang extinction],0),"")</f>
        <v/>
      </c>
      <c r="B167" s="39" t="str">
        <f>IF($A167="","",INDEX(TblApplications[ID],$A167))</f>
        <v/>
      </c>
      <c r="C167" s="39" t="str">
        <f>IF($A167="","",INDEX(TblApplications[Application],$A167))</f>
        <v/>
      </c>
      <c r="D167" s="39" t="str">
        <f>IF($A167="","",INDEX(TblApplications[Tribe],$A167))</f>
        <v/>
      </c>
      <c r="E167" s="39" t="str">
        <f>IF($A167="","",INDEX(TblApplications[Environnement],$A167))</f>
        <v/>
      </c>
      <c r="F167" s="39" t="str">
        <f>IF($A167="","",INDEX(TblApplications[Couloir],$A167))</f>
        <v/>
      </c>
      <c r="G167" s="39" t="str">
        <f>IF($A167="","",INDEX(TblApplications[Action],$A167))</f>
        <v/>
      </c>
      <c r="H167" s="39" t="str">
        <f>IF($A167="","",INDEX(TblApplications[Cluster IKS source],$A167))</f>
        <v/>
      </c>
      <c r="I167" s="48" t="str">
        <f>IF($A167="","",INDEX(TblApplications[Mois lib (calc)],$A167))</f>
        <v/>
      </c>
      <c r="J167" s="39" t="str">
        <f>IF($A167="","",INDEX(TblApplications[CPU IKS libérable (vCPU)],$A167))</f>
        <v/>
      </c>
    </row>
    <row r="168" spans="1:10" x14ac:dyDescent="0.2">
      <c r="A168" s="37" t="str">
        <f>IFERROR(MATCH(93,TblApplications[Rang extinction],0),"")</f>
        <v/>
      </c>
      <c r="B168" s="39" t="str">
        <f>IF($A168="","",INDEX(TblApplications[ID],$A168))</f>
        <v/>
      </c>
      <c r="C168" s="39" t="str">
        <f>IF($A168="","",INDEX(TblApplications[Application],$A168))</f>
        <v/>
      </c>
      <c r="D168" s="39" t="str">
        <f>IF($A168="","",INDEX(TblApplications[Tribe],$A168))</f>
        <v/>
      </c>
      <c r="E168" s="39" t="str">
        <f>IF($A168="","",INDEX(TblApplications[Environnement],$A168))</f>
        <v/>
      </c>
      <c r="F168" s="39" t="str">
        <f>IF($A168="","",INDEX(TblApplications[Couloir],$A168))</f>
        <v/>
      </c>
      <c r="G168" s="39" t="str">
        <f>IF($A168="","",INDEX(TblApplications[Action],$A168))</f>
        <v/>
      </c>
      <c r="H168" s="39" t="str">
        <f>IF($A168="","",INDEX(TblApplications[Cluster IKS source],$A168))</f>
        <v/>
      </c>
      <c r="I168" s="48" t="str">
        <f>IF($A168="","",INDEX(TblApplications[Mois lib (calc)],$A168))</f>
        <v/>
      </c>
      <c r="J168" s="39" t="str">
        <f>IF($A168="","",INDEX(TblApplications[CPU IKS libérable (vCPU)],$A168))</f>
        <v/>
      </c>
    </row>
    <row r="169" spans="1:10" x14ac:dyDescent="0.2">
      <c r="A169" s="37" t="str">
        <f>IFERROR(MATCH(94,TblApplications[Rang extinction],0),"")</f>
        <v/>
      </c>
      <c r="B169" s="39" t="str">
        <f>IF($A169="","",INDEX(TblApplications[ID],$A169))</f>
        <v/>
      </c>
      <c r="C169" s="39" t="str">
        <f>IF($A169="","",INDEX(TblApplications[Application],$A169))</f>
        <v/>
      </c>
      <c r="D169" s="39" t="str">
        <f>IF($A169="","",INDEX(TblApplications[Tribe],$A169))</f>
        <v/>
      </c>
      <c r="E169" s="39" t="str">
        <f>IF($A169="","",INDEX(TblApplications[Environnement],$A169))</f>
        <v/>
      </c>
      <c r="F169" s="39" t="str">
        <f>IF($A169="","",INDEX(TblApplications[Couloir],$A169))</f>
        <v/>
      </c>
      <c r="G169" s="39" t="str">
        <f>IF($A169="","",INDEX(TblApplications[Action],$A169))</f>
        <v/>
      </c>
      <c r="H169" s="39" t="str">
        <f>IF($A169="","",INDEX(TblApplications[Cluster IKS source],$A169))</f>
        <v/>
      </c>
      <c r="I169" s="48" t="str">
        <f>IF($A169="","",INDEX(TblApplications[Mois lib (calc)],$A169))</f>
        <v/>
      </c>
      <c r="J169" s="39" t="str">
        <f>IF($A169="","",INDEX(TblApplications[CPU IKS libérable (vCPU)],$A169))</f>
        <v/>
      </c>
    </row>
    <row r="170" spans="1:10" x14ac:dyDescent="0.2">
      <c r="A170" s="37" t="str">
        <f>IFERROR(MATCH(95,TblApplications[Rang extinction],0),"")</f>
        <v/>
      </c>
      <c r="B170" s="39" t="str">
        <f>IF($A170="","",INDEX(TblApplications[ID],$A170))</f>
        <v/>
      </c>
      <c r="C170" s="39" t="str">
        <f>IF($A170="","",INDEX(TblApplications[Application],$A170))</f>
        <v/>
      </c>
      <c r="D170" s="39" t="str">
        <f>IF($A170="","",INDEX(TblApplications[Tribe],$A170))</f>
        <v/>
      </c>
      <c r="E170" s="39" t="str">
        <f>IF($A170="","",INDEX(TblApplications[Environnement],$A170))</f>
        <v/>
      </c>
      <c r="F170" s="39" t="str">
        <f>IF($A170="","",INDEX(TblApplications[Couloir],$A170))</f>
        <v/>
      </c>
      <c r="G170" s="39" t="str">
        <f>IF($A170="","",INDEX(TblApplications[Action],$A170))</f>
        <v/>
      </c>
      <c r="H170" s="39" t="str">
        <f>IF($A170="","",INDEX(TblApplications[Cluster IKS source],$A170))</f>
        <v/>
      </c>
      <c r="I170" s="48" t="str">
        <f>IF($A170="","",INDEX(TblApplications[Mois lib (calc)],$A170))</f>
        <v/>
      </c>
      <c r="J170" s="39" t="str">
        <f>IF($A170="","",INDEX(TblApplications[CPU IKS libérable (vCPU)],$A170))</f>
        <v/>
      </c>
    </row>
    <row r="171" spans="1:10" x14ac:dyDescent="0.2">
      <c r="A171" s="37" t="str">
        <f>IFERROR(MATCH(96,TblApplications[Rang extinction],0),"")</f>
        <v/>
      </c>
      <c r="B171" s="39" t="str">
        <f>IF($A171="","",INDEX(TblApplications[ID],$A171))</f>
        <v/>
      </c>
      <c r="C171" s="39" t="str">
        <f>IF($A171="","",INDEX(TblApplications[Application],$A171))</f>
        <v/>
      </c>
      <c r="D171" s="39" t="str">
        <f>IF($A171="","",INDEX(TblApplications[Tribe],$A171))</f>
        <v/>
      </c>
      <c r="E171" s="39" t="str">
        <f>IF($A171="","",INDEX(TblApplications[Environnement],$A171))</f>
        <v/>
      </c>
      <c r="F171" s="39" t="str">
        <f>IF($A171="","",INDEX(TblApplications[Couloir],$A171))</f>
        <v/>
      </c>
      <c r="G171" s="39" t="str">
        <f>IF($A171="","",INDEX(TblApplications[Action],$A171))</f>
        <v/>
      </c>
      <c r="H171" s="39" t="str">
        <f>IF($A171="","",INDEX(TblApplications[Cluster IKS source],$A171))</f>
        <v/>
      </c>
      <c r="I171" s="48" t="str">
        <f>IF($A171="","",INDEX(TblApplications[Mois lib (calc)],$A171))</f>
        <v/>
      </c>
      <c r="J171" s="39" t="str">
        <f>IF($A171="","",INDEX(TblApplications[CPU IKS libérable (vCPU)],$A171))</f>
        <v/>
      </c>
    </row>
    <row r="172" spans="1:10" x14ac:dyDescent="0.2">
      <c r="A172" s="37" t="str">
        <f>IFERROR(MATCH(97,TblApplications[Rang extinction],0),"")</f>
        <v/>
      </c>
      <c r="B172" s="39" t="str">
        <f>IF($A172="","",INDEX(TblApplications[ID],$A172))</f>
        <v/>
      </c>
      <c r="C172" s="39" t="str">
        <f>IF($A172="","",INDEX(TblApplications[Application],$A172))</f>
        <v/>
      </c>
      <c r="D172" s="39" t="str">
        <f>IF($A172="","",INDEX(TblApplications[Tribe],$A172))</f>
        <v/>
      </c>
      <c r="E172" s="39" t="str">
        <f>IF($A172="","",INDEX(TblApplications[Environnement],$A172))</f>
        <v/>
      </c>
      <c r="F172" s="39" t="str">
        <f>IF($A172="","",INDEX(TblApplications[Couloir],$A172))</f>
        <v/>
      </c>
      <c r="G172" s="39" t="str">
        <f>IF($A172="","",INDEX(TblApplications[Action],$A172))</f>
        <v/>
      </c>
      <c r="H172" s="39" t="str">
        <f>IF($A172="","",INDEX(TblApplications[Cluster IKS source],$A172))</f>
        <v/>
      </c>
      <c r="I172" s="48" t="str">
        <f>IF($A172="","",INDEX(TblApplications[Mois lib (calc)],$A172))</f>
        <v/>
      </c>
      <c r="J172" s="39" t="str">
        <f>IF($A172="","",INDEX(TblApplications[CPU IKS libérable (vCPU)],$A172))</f>
        <v/>
      </c>
    </row>
    <row r="173" spans="1:10" x14ac:dyDescent="0.2">
      <c r="A173" s="37" t="str">
        <f>IFERROR(MATCH(98,TblApplications[Rang extinction],0),"")</f>
        <v/>
      </c>
      <c r="B173" s="39" t="str">
        <f>IF($A173="","",INDEX(TblApplications[ID],$A173))</f>
        <v/>
      </c>
      <c r="C173" s="39" t="str">
        <f>IF($A173="","",INDEX(TblApplications[Application],$A173))</f>
        <v/>
      </c>
      <c r="D173" s="39" t="str">
        <f>IF($A173="","",INDEX(TblApplications[Tribe],$A173))</f>
        <v/>
      </c>
      <c r="E173" s="39" t="str">
        <f>IF($A173="","",INDEX(TblApplications[Environnement],$A173))</f>
        <v/>
      </c>
      <c r="F173" s="39" t="str">
        <f>IF($A173="","",INDEX(TblApplications[Couloir],$A173))</f>
        <v/>
      </c>
      <c r="G173" s="39" t="str">
        <f>IF($A173="","",INDEX(TblApplications[Action],$A173))</f>
        <v/>
      </c>
      <c r="H173" s="39" t="str">
        <f>IF($A173="","",INDEX(TblApplications[Cluster IKS source],$A173))</f>
        <v/>
      </c>
      <c r="I173" s="48" t="str">
        <f>IF($A173="","",INDEX(TblApplications[Mois lib (calc)],$A173))</f>
        <v/>
      </c>
      <c r="J173" s="39" t="str">
        <f>IF($A173="","",INDEX(TblApplications[CPU IKS libérable (vCPU)],$A173))</f>
        <v/>
      </c>
    </row>
    <row r="174" spans="1:10" x14ac:dyDescent="0.2">
      <c r="A174" s="37" t="str">
        <f>IFERROR(MATCH(99,TblApplications[Rang extinction],0),"")</f>
        <v/>
      </c>
      <c r="B174" s="39" t="str">
        <f>IF($A174="","",INDEX(TblApplications[ID],$A174))</f>
        <v/>
      </c>
      <c r="C174" s="39" t="str">
        <f>IF($A174="","",INDEX(TblApplications[Application],$A174))</f>
        <v/>
      </c>
      <c r="D174" s="39" t="str">
        <f>IF($A174="","",INDEX(TblApplications[Tribe],$A174))</f>
        <v/>
      </c>
      <c r="E174" s="39" t="str">
        <f>IF($A174="","",INDEX(TblApplications[Environnement],$A174))</f>
        <v/>
      </c>
      <c r="F174" s="39" t="str">
        <f>IF($A174="","",INDEX(TblApplications[Couloir],$A174))</f>
        <v/>
      </c>
      <c r="G174" s="39" t="str">
        <f>IF($A174="","",INDEX(TblApplications[Action],$A174))</f>
        <v/>
      </c>
      <c r="H174" s="39" t="str">
        <f>IF($A174="","",INDEX(TblApplications[Cluster IKS source],$A174))</f>
        <v/>
      </c>
      <c r="I174" s="48" t="str">
        <f>IF($A174="","",INDEX(TblApplications[Mois lib (calc)],$A174))</f>
        <v/>
      </c>
      <c r="J174" s="39" t="str">
        <f>IF($A174="","",INDEX(TblApplications[CPU IKS libérable (vCPU)],$A174))</f>
        <v/>
      </c>
    </row>
    <row r="175" spans="1:10" x14ac:dyDescent="0.2">
      <c r="A175" s="37" t="str">
        <f>IFERROR(MATCH(100,TblApplications[Rang extinction],0),"")</f>
        <v/>
      </c>
      <c r="B175" s="39" t="str">
        <f>IF($A175="","",INDEX(TblApplications[ID],$A175))</f>
        <v/>
      </c>
      <c r="C175" s="39" t="str">
        <f>IF($A175="","",INDEX(TblApplications[Application],$A175))</f>
        <v/>
      </c>
      <c r="D175" s="39" t="str">
        <f>IF($A175="","",INDEX(TblApplications[Tribe],$A175))</f>
        <v/>
      </c>
      <c r="E175" s="39" t="str">
        <f>IF($A175="","",INDEX(TblApplications[Environnement],$A175))</f>
        <v/>
      </c>
      <c r="F175" s="39" t="str">
        <f>IF($A175="","",INDEX(TblApplications[Couloir],$A175))</f>
        <v/>
      </c>
      <c r="G175" s="39" t="str">
        <f>IF($A175="","",INDEX(TblApplications[Action],$A175))</f>
        <v/>
      </c>
      <c r="H175" s="39" t="str">
        <f>IF($A175="","",INDEX(TblApplications[Cluster IKS source],$A175))</f>
        <v/>
      </c>
      <c r="I175" s="48" t="str">
        <f>IF($A175="","",INDEX(TblApplications[Mois lib (calc)],$A175))</f>
        <v/>
      </c>
      <c r="J175" s="39" t="str">
        <f>IF($A175="","",INDEX(TblApplications[CPU IKS libérable (vCPU)],$A175))</f>
        <v/>
      </c>
    </row>
    <row r="176" spans="1:10" x14ac:dyDescent="0.2">
      <c r="A176" s="37" t="str">
        <f>IFERROR(MATCH(101,TblApplications[Rang extinction],0),"")</f>
        <v/>
      </c>
      <c r="B176" s="39" t="str">
        <f>IF($A176="","",INDEX(TblApplications[ID],$A176))</f>
        <v/>
      </c>
      <c r="C176" s="39" t="str">
        <f>IF($A176="","",INDEX(TblApplications[Application],$A176))</f>
        <v/>
      </c>
      <c r="D176" s="39" t="str">
        <f>IF($A176="","",INDEX(TblApplications[Tribe],$A176))</f>
        <v/>
      </c>
      <c r="E176" s="39" t="str">
        <f>IF($A176="","",INDEX(TblApplications[Environnement],$A176))</f>
        <v/>
      </c>
      <c r="F176" s="39" t="str">
        <f>IF($A176="","",INDEX(TblApplications[Couloir],$A176))</f>
        <v/>
      </c>
      <c r="G176" s="39" t="str">
        <f>IF($A176="","",INDEX(TblApplications[Action],$A176))</f>
        <v/>
      </c>
      <c r="H176" s="39" t="str">
        <f>IF($A176="","",INDEX(TblApplications[Cluster IKS source],$A176))</f>
        <v/>
      </c>
      <c r="I176" s="48" t="str">
        <f>IF($A176="","",INDEX(TblApplications[Mois lib (calc)],$A176))</f>
        <v/>
      </c>
      <c r="J176" s="39" t="str">
        <f>IF($A176="","",INDEX(TblApplications[CPU IKS libérable (vCPU)],$A176))</f>
        <v/>
      </c>
    </row>
    <row r="177" spans="1:10" x14ac:dyDescent="0.2">
      <c r="A177" s="37" t="str">
        <f>IFERROR(MATCH(102,TblApplications[Rang extinction],0),"")</f>
        <v/>
      </c>
      <c r="B177" s="39" t="str">
        <f>IF($A177="","",INDEX(TblApplications[ID],$A177))</f>
        <v/>
      </c>
      <c r="C177" s="39" t="str">
        <f>IF($A177="","",INDEX(TblApplications[Application],$A177))</f>
        <v/>
      </c>
      <c r="D177" s="39" t="str">
        <f>IF($A177="","",INDEX(TblApplications[Tribe],$A177))</f>
        <v/>
      </c>
      <c r="E177" s="39" t="str">
        <f>IF($A177="","",INDEX(TblApplications[Environnement],$A177))</f>
        <v/>
      </c>
      <c r="F177" s="39" t="str">
        <f>IF($A177="","",INDEX(TblApplications[Couloir],$A177))</f>
        <v/>
      </c>
      <c r="G177" s="39" t="str">
        <f>IF($A177="","",INDEX(TblApplications[Action],$A177))</f>
        <v/>
      </c>
      <c r="H177" s="39" t="str">
        <f>IF($A177="","",INDEX(TblApplications[Cluster IKS source],$A177))</f>
        <v/>
      </c>
      <c r="I177" s="48" t="str">
        <f>IF($A177="","",INDEX(TblApplications[Mois lib (calc)],$A177))</f>
        <v/>
      </c>
      <c r="J177" s="39" t="str">
        <f>IF($A177="","",INDEX(TblApplications[CPU IKS libérable (vCPU)],$A177))</f>
        <v/>
      </c>
    </row>
    <row r="178" spans="1:10" x14ac:dyDescent="0.2">
      <c r="A178" s="37" t="str">
        <f>IFERROR(MATCH(103,TblApplications[Rang extinction],0),"")</f>
        <v/>
      </c>
      <c r="B178" s="39" t="str">
        <f>IF($A178="","",INDEX(TblApplications[ID],$A178))</f>
        <v/>
      </c>
      <c r="C178" s="39" t="str">
        <f>IF($A178="","",INDEX(TblApplications[Application],$A178))</f>
        <v/>
      </c>
      <c r="D178" s="39" t="str">
        <f>IF($A178="","",INDEX(TblApplications[Tribe],$A178))</f>
        <v/>
      </c>
      <c r="E178" s="39" t="str">
        <f>IF($A178="","",INDEX(TblApplications[Environnement],$A178))</f>
        <v/>
      </c>
      <c r="F178" s="39" t="str">
        <f>IF($A178="","",INDEX(TblApplications[Couloir],$A178))</f>
        <v/>
      </c>
      <c r="G178" s="39" t="str">
        <f>IF($A178="","",INDEX(TblApplications[Action],$A178))</f>
        <v/>
      </c>
      <c r="H178" s="39" t="str">
        <f>IF($A178="","",INDEX(TblApplications[Cluster IKS source],$A178))</f>
        <v/>
      </c>
      <c r="I178" s="48" t="str">
        <f>IF($A178="","",INDEX(TblApplications[Mois lib (calc)],$A178))</f>
        <v/>
      </c>
      <c r="J178" s="39" t="str">
        <f>IF($A178="","",INDEX(TblApplications[CPU IKS libérable (vCPU)],$A178))</f>
        <v/>
      </c>
    </row>
    <row r="179" spans="1:10" x14ac:dyDescent="0.2">
      <c r="A179" s="37" t="str">
        <f>IFERROR(MATCH(104,TblApplications[Rang extinction],0),"")</f>
        <v/>
      </c>
      <c r="B179" s="39" t="str">
        <f>IF($A179="","",INDEX(TblApplications[ID],$A179))</f>
        <v/>
      </c>
      <c r="C179" s="39" t="str">
        <f>IF($A179="","",INDEX(TblApplications[Application],$A179))</f>
        <v/>
      </c>
      <c r="D179" s="39" t="str">
        <f>IF($A179="","",INDEX(TblApplications[Tribe],$A179))</f>
        <v/>
      </c>
      <c r="E179" s="39" t="str">
        <f>IF($A179="","",INDEX(TblApplications[Environnement],$A179))</f>
        <v/>
      </c>
      <c r="F179" s="39" t="str">
        <f>IF($A179="","",INDEX(TblApplications[Couloir],$A179))</f>
        <v/>
      </c>
      <c r="G179" s="39" t="str">
        <f>IF($A179="","",INDEX(TblApplications[Action],$A179))</f>
        <v/>
      </c>
      <c r="H179" s="39" t="str">
        <f>IF($A179="","",INDEX(TblApplications[Cluster IKS source],$A179))</f>
        <v/>
      </c>
      <c r="I179" s="48" t="str">
        <f>IF($A179="","",INDEX(TblApplications[Mois lib (calc)],$A179))</f>
        <v/>
      </c>
      <c r="J179" s="39" t="str">
        <f>IF($A179="","",INDEX(TblApplications[CPU IKS libérable (vCPU)],$A179))</f>
        <v/>
      </c>
    </row>
    <row r="180" spans="1:10" x14ac:dyDescent="0.2">
      <c r="A180" s="37" t="str">
        <f>IFERROR(MATCH(105,TblApplications[Rang extinction],0),"")</f>
        <v/>
      </c>
      <c r="B180" s="39" t="str">
        <f>IF($A180="","",INDEX(TblApplications[ID],$A180))</f>
        <v/>
      </c>
      <c r="C180" s="39" t="str">
        <f>IF($A180="","",INDEX(TblApplications[Application],$A180))</f>
        <v/>
      </c>
      <c r="D180" s="39" t="str">
        <f>IF($A180="","",INDEX(TblApplications[Tribe],$A180))</f>
        <v/>
      </c>
      <c r="E180" s="39" t="str">
        <f>IF($A180="","",INDEX(TblApplications[Environnement],$A180))</f>
        <v/>
      </c>
      <c r="F180" s="39" t="str">
        <f>IF($A180="","",INDEX(TblApplications[Couloir],$A180))</f>
        <v/>
      </c>
      <c r="G180" s="39" t="str">
        <f>IF($A180="","",INDEX(TblApplications[Action],$A180))</f>
        <v/>
      </c>
      <c r="H180" s="39" t="str">
        <f>IF($A180="","",INDEX(TblApplications[Cluster IKS source],$A180))</f>
        <v/>
      </c>
      <c r="I180" s="48" t="str">
        <f>IF($A180="","",INDEX(TblApplications[Mois lib (calc)],$A180))</f>
        <v/>
      </c>
      <c r="J180" s="39" t="str">
        <f>IF($A180="","",INDEX(TblApplications[CPU IKS libérable (vCPU)],$A180))</f>
        <v/>
      </c>
    </row>
    <row r="181" spans="1:10" x14ac:dyDescent="0.2">
      <c r="A181" s="37" t="str">
        <f>IFERROR(MATCH(106,TblApplications[Rang extinction],0),"")</f>
        <v/>
      </c>
      <c r="B181" s="39" t="str">
        <f>IF($A181="","",INDEX(TblApplications[ID],$A181))</f>
        <v/>
      </c>
      <c r="C181" s="39" t="str">
        <f>IF($A181="","",INDEX(TblApplications[Application],$A181))</f>
        <v/>
      </c>
      <c r="D181" s="39" t="str">
        <f>IF($A181="","",INDEX(TblApplications[Tribe],$A181))</f>
        <v/>
      </c>
      <c r="E181" s="39" t="str">
        <f>IF($A181="","",INDEX(TblApplications[Environnement],$A181))</f>
        <v/>
      </c>
      <c r="F181" s="39" t="str">
        <f>IF($A181="","",INDEX(TblApplications[Couloir],$A181))</f>
        <v/>
      </c>
      <c r="G181" s="39" t="str">
        <f>IF($A181="","",INDEX(TblApplications[Action],$A181))</f>
        <v/>
      </c>
      <c r="H181" s="39" t="str">
        <f>IF($A181="","",INDEX(TblApplications[Cluster IKS source],$A181))</f>
        <v/>
      </c>
      <c r="I181" s="48" t="str">
        <f>IF($A181="","",INDEX(TblApplications[Mois lib (calc)],$A181))</f>
        <v/>
      </c>
      <c r="J181" s="39" t="str">
        <f>IF($A181="","",INDEX(TblApplications[CPU IKS libérable (vCPU)],$A181))</f>
        <v/>
      </c>
    </row>
    <row r="182" spans="1:10" x14ac:dyDescent="0.2">
      <c r="A182" s="37" t="str">
        <f>IFERROR(MATCH(107,TblApplications[Rang extinction],0),"")</f>
        <v/>
      </c>
      <c r="B182" s="39" t="str">
        <f>IF($A182="","",INDEX(TblApplications[ID],$A182))</f>
        <v/>
      </c>
      <c r="C182" s="39" t="str">
        <f>IF($A182="","",INDEX(TblApplications[Application],$A182))</f>
        <v/>
      </c>
      <c r="D182" s="39" t="str">
        <f>IF($A182="","",INDEX(TblApplications[Tribe],$A182))</f>
        <v/>
      </c>
      <c r="E182" s="39" t="str">
        <f>IF($A182="","",INDEX(TblApplications[Environnement],$A182))</f>
        <v/>
      </c>
      <c r="F182" s="39" t="str">
        <f>IF($A182="","",INDEX(TblApplications[Couloir],$A182))</f>
        <v/>
      </c>
      <c r="G182" s="39" t="str">
        <f>IF($A182="","",INDEX(TblApplications[Action],$A182))</f>
        <v/>
      </c>
      <c r="H182" s="39" t="str">
        <f>IF($A182="","",INDEX(TblApplications[Cluster IKS source],$A182))</f>
        <v/>
      </c>
      <c r="I182" s="48" t="str">
        <f>IF($A182="","",INDEX(TblApplications[Mois lib (calc)],$A182))</f>
        <v/>
      </c>
      <c r="J182" s="39" t="str">
        <f>IF($A182="","",INDEX(TblApplications[CPU IKS libérable (vCPU)],$A182))</f>
        <v/>
      </c>
    </row>
    <row r="183" spans="1:10" x14ac:dyDescent="0.2">
      <c r="A183" s="37" t="str">
        <f>IFERROR(MATCH(108,TblApplications[Rang extinction],0),"")</f>
        <v/>
      </c>
      <c r="B183" s="39" t="str">
        <f>IF($A183="","",INDEX(TblApplications[ID],$A183))</f>
        <v/>
      </c>
      <c r="C183" s="39" t="str">
        <f>IF($A183="","",INDEX(TblApplications[Application],$A183))</f>
        <v/>
      </c>
      <c r="D183" s="39" t="str">
        <f>IF($A183="","",INDEX(TblApplications[Tribe],$A183))</f>
        <v/>
      </c>
      <c r="E183" s="39" t="str">
        <f>IF($A183="","",INDEX(TblApplications[Environnement],$A183))</f>
        <v/>
      </c>
      <c r="F183" s="39" t="str">
        <f>IF($A183="","",INDEX(TblApplications[Couloir],$A183))</f>
        <v/>
      </c>
      <c r="G183" s="39" t="str">
        <f>IF($A183="","",INDEX(TblApplications[Action],$A183))</f>
        <v/>
      </c>
      <c r="H183" s="39" t="str">
        <f>IF($A183="","",INDEX(TblApplications[Cluster IKS source],$A183))</f>
        <v/>
      </c>
      <c r="I183" s="48" t="str">
        <f>IF($A183="","",INDEX(TblApplications[Mois lib (calc)],$A183))</f>
        <v/>
      </c>
      <c r="J183" s="39" t="str">
        <f>IF($A183="","",INDEX(TblApplications[CPU IKS libérable (vCPU)],$A183))</f>
        <v/>
      </c>
    </row>
    <row r="184" spans="1:10" x14ac:dyDescent="0.2">
      <c r="A184" s="37" t="str">
        <f>IFERROR(MATCH(109,TblApplications[Rang extinction],0),"")</f>
        <v/>
      </c>
      <c r="B184" s="39" t="str">
        <f>IF($A184="","",INDEX(TblApplications[ID],$A184))</f>
        <v/>
      </c>
      <c r="C184" s="39" t="str">
        <f>IF($A184="","",INDEX(TblApplications[Application],$A184))</f>
        <v/>
      </c>
      <c r="D184" s="39" t="str">
        <f>IF($A184="","",INDEX(TblApplications[Tribe],$A184))</f>
        <v/>
      </c>
      <c r="E184" s="39" t="str">
        <f>IF($A184="","",INDEX(TblApplications[Environnement],$A184))</f>
        <v/>
      </c>
      <c r="F184" s="39" t="str">
        <f>IF($A184="","",INDEX(TblApplications[Couloir],$A184))</f>
        <v/>
      </c>
      <c r="G184" s="39" t="str">
        <f>IF($A184="","",INDEX(TblApplications[Action],$A184))</f>
        <v/>
      </c>
      <c r="H184" s="39" t="str">
        <f>IF($A184="","",INDEX(TblApplications[Cluster IKS source],$A184))</f>
        <v/>
      </c>
      <c r="I184" s="48" t="str">
        <f>IF($A184="","",INDEX(TblApplications[Mois lib (calc)],$A184))</f>
        <v/>
      </c>
      <c r="J184" s="39" t="str">
        <f>IF($A184="","",INDEX(TblApplications[CPU IKS libérable (vCPU)],$A184))</f>
        <v/>
      </c>
    </row>
    <row r="185" spans="1:10" x14ac:dyDescent="0.2">
      <c r="A185" s="37" t="str">
        <f>IFERROR(MATCH(110,TblApplications[Rang extinction],0),"")</f>
        <v/>
      </c>
      <c r="B185" s="39" t="str">
        <f>IF($A185="","",INDEX(TblApplications[ID],$A185))</f>
        <v/>
      </c>
      <c r="C185" s="39" t="str">
        <f>IF($A185="","",INDEX(TblApplications[Application],$A185))</f>
        <v/>
      </c>
      <c r="D185" s="39" t="str">
        <f>IF($A185="","",INDEX(TblApplications[Tribe],$A185))</f>
        <v/>
      </c>
      <c r="E185" s="39" t="str">
        <f>IF($A185="","",INDEX(TblApplications[Environnement],$A185))</f>
        <v/>
      </c>
      <c r="F185" s="39" t="str">
        <f>IF($A185="","",INDEX(TblApplications[Couloir],$A185))</f>
        <v/>
      </c>
      <c r="G185" s="39" t="str">
        <f>IF($A185="","",INDEX(TblApplications[Action],$A185))</f>
        <v/>
      </c>
      <c r="H185" s="39" t="str">
        <f>IF($A185="","",INDEX(TblApplications[Cluster IKS source],$A185))</f>
        <v/>
      </c>
      <c r="I185" s="48" t="str">
        <f>IF($A185="","",INDEX(TblApplications[Mois lib (calc)],$A185))</f>
        <v/>
      </c>
      <c r="J185" s="39" t="str">
        <f>IF($A185="","",INDEX(TblApplications[CPU IKS libérable (vCPU)],$A185))</f>
        <v/>
      </c>
    </row>
    <row r="186" spans="1:10" x14ac:dyDescent="0.2">
      <c r="A186" s="37" t="str">
        <f>IFERROR(MATCH(111,TblApplications[Rang extinction],0),"")</f>
        <v/>
      </c>
      <c r="B186" s="39" t="str">
        <f>IF($A186="","",INDEX(TblApplications[ID],$A186))</f>
        <v/>
      </c>
      <c r="C186" s="39" t="str">
        <f>IF($A186="","",INDEX(TblApplications[Application],$A186))</f>
        <v/>
      </c>
      <c r="D186" s="39" t="str">
        <f>IF($A186="","",INDEX(TblApplications[Tribe],$A186))</f>
        <v/>
      </c>
      <c r="E186" s="39" t="str">
        <f>IF($A186="","",INDEX(TblApplications[Environnement],$A186))</f>
        <v/>
      </c>
      <c r="F186" s="39" t="str">
        <f>IF($A186="","",INDEX(TblApplications[Couloir],$A186))</f>
        <v/>
      </c>
      <c r="G186" s="39" t="str">
        <f>IF($A186="","",INDEX(TblApplications[Action],$A186))</f>
        <v/>
      </c>
      <c r="H186" s="39" t="str">
        <f>IF($A186="","",INDEX(TblApplications[Cluster IKS source],$A186))</f>
        <v/>
      </c>
      <c r="I186" s="48" t="str">
        <f>IF($A186="","",INDEX(TblApplications[Mois lib (calc)],$A186))</f>
        <v/>
      </c>
      <c r="J186" s="39" t="str">
        <f>IF($A186="","",INDEX(TblApplications[CPU IKS libérable (vCPU)],$A186))</f>
        <v/>
      </c>
    </row>
    <row r="187" spans="1:10" x14ac:dyDescent="0.2">
      <c r="A187" s="37" t="str">
        <f>IFERROR(MATCH(112,TblApplications[Rang extinction],0),"")</f>
        <v/>
      </c>
      <c r="B187" s="39" t="str">
        <f>IF($A187="","",INDEX(TblApplications[ID],$A187))</f>
        <v/>
      </c>
      <c r="C187" s="39" t="str">
        <f>IF($A187="","",INDEX(TblApplications[Application],$A187))</f>
        <v/>
      </c>
      <c r="D187" s="39" t="str">
        <f>IF($A187="","",INDEX(TblApplications[Tribe],$A187))</f>
        <v/>
      </c>
      <c r="E187" s="39" t="str">
        <f>IF($A187="","",INDEX(TblApplications[Environnement],$A187))</f>
        <v/>
      </c>
      <c r="F187" s="39" t="str">
        <f>IF($A187="","",INDEX(TblApplications[Couloir],$A187))</f>
        <v/>
      </c>
      <c r="G187" s="39" t="str">
        <f>IF($A187="","",INDEX(TblApplications[Action],$A187))</f>
        <v/>
      </c>
      <c r="H187" s="39" t="str">
        <f>IF($A187="","",INDEX(TblApplications[Cluster IKS source],$A187))</f>
        <v/>
      </c>
      <c r="I187" s="48" t="str">
        <f>IF($A187="","",INDEX(TblApplications[Mois lib (calc)],$A187))</f>
        <v/>
      </c>
      <c r="J187" s="39" t="str">
        <f>IF($A187="","",INDEX(TblApplications[CPU IKS libérable (vCPU)],$A187))</f>
        <v/>
      </c>
    </row>
    <row r="188" spans="1:10" x14ac:dyDescent="0.2">
      <c r="A188" s="37" t="str">
        <f>IFERROR(MATCH(113,TblApplications[Rang extinction],0),"")</f>
        <v/>
      </c>
      <c r="B188" s="39" t="str">
        <f>IF($A188="","",INDEX(TblApplications[ID],$A188))</f>
        <v/>
      </c>
      <c r="C188" s="39" t="str">
        <f>IF($A188="","",INDEX(TblApplications[Application],$A188))</f>
        <v/>
      </c>
      <c r="D188" s="39" t="str">
        <f>IF($A188="","",INDEX(TblApplications[Tribe],$A188))</f>
        <v/>
      </c>
      <c r="E188" s="39" t="str">
        <f>IF($A188="","",INDEX(TblApplications[Environnement],$A188))</f>
        <v/>
      </c>
      <c r="F188" s="39" t="str">
        <f>IF($A188="","",INDEX(TblApplications[Couloir],$A188))</f>
        <v/>
      </c>
      <c r="G188" s="39" t="str">
        <f>IF($A188="","",INDEX(TblApplications[Action],$A188))</f>
        <v/>
      </c>
      <c r="H188" s="39" t="str">
        <f>IF($A188="","",INDEX(TblApplications[Cluster IKS source],$A188))</f>
        <v/>
      </c>
      <c r="I188" s="48" t="str">
        <f>IF($A188="","",INDEX(TblApplications[Mois lib (calc)],$A188))</f>
        <v/>
      </c>
      <c r="J188" s="39" t="str">
        <f>IF($A188="","",INDEX(TblApplications[CPU IKS libérable (vCPU)],$A188))</f>
        <v/>
      </c>
    </row>
    <row r="189" spans="1:10" x14ac:dyDescent="0.2">
      <c r="A189" s="37" t="str">
        <f>IFERROR(MATCH(114,TblApplications[Rang extinction],0),"")</f>
        <v/>
      </c>
      <c r="B189" s="39" t="str">
        <f>IF($A189="","",INDEX(TblApplications[ID],$A189))</f>
        <v/>
      </c>
      <c r="C189" s="39" t="str">
        <f>IF($A189="","",INDEX(TblApplications[Application],$A189))</f>
        <v/>
      </c>
      <c r="D189" s="39" t="str">
        <f>IF($A189="","",INDEX(TblApplications[Tribe],$A189))</f>
        <v/>
      </c>
      <c r="E189" s="39" t="str">
        <f>IF($A189="","",INDEX(TblApplications[Environnement],$A189))</f>
        <v/>
      </c>
      <c r="F189" s="39" t="str">
        <f>IF($A189="","",INDEX(TblApplications[Couloir],$A189))</f>
        <v/>
      </c>
      <c r="G189" s="39" t="str">
        <f>IF($A189="","",INDEX(TblApplications[Action],$A189))</f>
        <v/>
      </c>
      <c r="H189" s="39" t="str">
        <f>IF($A189="","",INDEX(TblApplications[Cluster IKS source],$A189))</f>
        <v/>
      </c>
      <c r="I189" s="48" t="str">
        <f>IF($A189="","",INDEX(TblApplications[Mois lib (calc)],$A189))</f>
        <v/>
      </c>
      <c r="J189" s="39" t="str">
        <f>IF($A189="","",INDEX(TblApplications[CPU IKS libérable (vCPU)],$A189))</f>
        <v/>
      </c>
    </row>
    <row r="190" spans="1:10" x14ac:dyDescent="0.2">
      <c r="A190" s="37" t="str">
        <f>IFERROR(MATCH(115,TblApplications[Rang extinction],0),"")</f>
        <v/>
      </c>
      <c r="B190" s="39" t="str">
        <f>IF($A190="","",INDEX(TblApplications[ID],$A190))</f>
        <v/>
      </c>
      <c r="C190" s="39" t="str">
        <f>IF($A190="","",INDEX(TblApplications[Application],$A190))</f>
        <v/>
      </c>
      <c r="D190" s="39" t="str">
        <f>IF($A190="","",INDEX(TblApplications[Tribe],$A190))</f>
        <v/>
      </c>
      <c r="E190" s="39" t="str">
        <f>IF($A190="","",INDEX(TblApplications[Environnement],$A190))</f>
        <v/>
      </c>
      <c r="F190" s="39" t="str">
        <f>IF($A190="","",INDEX(TblApplications[Couloir],$A190))</f>
        <v/>
      </c>
      <c r="G190" s="39" t="str">
        <f>IF($A190="","",INDEX(TblApplications[Action],$A190))</f>
        <v/>
      </c>
      <c r="H190" s="39" t="str">
        <f>IF($A190="","",INDEX(TblApplications[Cluster IKS source],$A190))</f>
        <v/>
      </c>
      <c r="I190" s="48" t="str">
        <f>IF($A190="","",INDEX(TblApplications[Mois lib (calc)],$A190))</f>
        <v/>
      </c>
      <c r="J190" s="39" t="str">
        <f>IF($A190="","",INDEX(TblApplications[CPU IKS libérable (vCPU)],$A190))</f>
        <v/>
      </c>
    </row>
    <row r="191" spans="1:10" x14ac:dyDescent="0.2">
      <c r="A191" s="37" t="str">
        <f>IFERROR(MATCH(116,TblApplications[Rang extinction],0),"")</f>
        <v/>
      </c>
      <c r="B191" s="39" t="str">
        <f>IF($A191="","",INDEX(TblApplications[ID],$A191))</f>
        <v/>
      </c>
      <c r="C191" s="39" t="str">
        <f>IF($A191="","",INDEX(TblApplications[Application],$A191))</f>
        <v/>
      </c>
      <c r="D191" s="39" t="str">
        <f>IF($A191="","",INDEX(TblApplications[Tribe],$A191))</f>
        <v/>
      </c>
      <c r="E191" s="39" t="str">
        <f>IF($A191="","",INDEX(TblApplications[Environnement],$A191))</f>
        <v/>
      </c>
      <c r="F191" s="39" t="str">
        <f>IF($A191="","",INDEX(TblApplications[Couloir],$A191))</f>
        <v/>
      </c>
      <c r="G191" s="39" t="str">
        <f>IF($A191="","",INDEX(TblApplications[Action],$A191))</f>
        <v/>
      </c>
      <c r="H191" s="39" t="str">
        <f>IF($A191="","",INDEX(TblApplications[Cluster IKS source],$A191))</f>
        <v/>
      </c>
      <c r="I191" s="48" t="str">
        <f>IF($A191="","",INDEX(TblApplications[Mois lib (calc)],$A191))</f>
        <v/>
      </c>
      <c r="J191" s="39" t="str">
        <f>IF($A191="","",INDEX(TblApplications[CPU IKS libérable (vCPU)],$A191))</f>
        <v/>
      </c>
    </row>
    <row r="192" spans="1:10" x14ac:dyDescent="0.2">
      <c r="A192" s="37" t="str">
        <f>IFERROR(MATCH(117,TblApplications[Rang extinction],0),"")</f>
        <v/>
      </c>
      <c r="B192" s="39" t="str">
        <f>IF($A192="","",INDEX(TblApplications[ID],$A192))</f>
        <v/>
      </c>
      <c r="C192" s="39" t="str">
        <f>IF($A192="","",INDEX(TblApplications[Application],$A192))</f>
        <v/>
      </c>
      <c r="D192" s="39" t="str">
        <f>IF($A192="","",INDEX(TblApplications[Tribe],$A192))</f>
        <v/>
      </c>
      <c r="E192" s="39" t="str">
        <f>IF($A192="","",INDEX(TblApplications[Environnement],$A192))</f>
        <v/>
      </c>
      <c r="F192" s="39" t="str">
        <f>IF($A192="","",INDEX(TblApplications[Couloir],$A192))</f>
        <v/>
      </c>
      <c r="G192" s="39" t="str">
        <f>IF($A192="","",INDEX(TblApplications[Action],$A192))</f>
        <v/>
      </c>
      <c r="H192" s="39" t="str">
        <f>IF($A192="","",INDEX(TblApplications[Cluster IKS source],$A192))</f>
        <v/>
      </c>
      <c r="I192" s="48" t="str">
        <f>IF($A192="","",INDEX(TblApplications[Mois lib (calc)],$A192))</f>
        <v/>
      </c>
      <c r="J192" s="39" t="str">
        <f>IF($A192="","",INDEX(TblApplications[CPU IKS libérable (vCPU)],$A192))</f>
        <v/>
      </c>
    </row>
    <row r="193" spans="1:10" x14ac:dyDescent="0.2">
      <c r="A193" s="37" t="str">
        <f>IFERROR(MATCH(118,TblApplications[Rang extinction],0),"")</f>
        <v/>
      </c>
      <c r="B193" s="39" t="str">
        <f>IF($A193="","",INDEX(TblApplications[ID],$A193))</f>
        <v/>
      </c>
      <c r="C193" s="39" t="str">
        <f>IF($A193="","",INDEX(TblApplications[Application],$A193))</f>
        <v/>
      </c>
      <c r="D193" s="39" t="str">
        <f>IF($A193="","",INDEX(TblApplications[Tribe],$A193))</f>
        <v/>
      </c>
      <c r="E193" s="39" t="str">
        <f>IF($A193="","",INDEX(TblApplications[Environnement],$A193))</f>
        <v/>
      </c>
      <c r="F193" s="39" t="str">
        <f>IF($A193="","",INDEX(TblApplications[Couloir],$A193))</f>
        <v/>
      </c>
      <c r="G193" s="39" t="str">
        <f>IF($A193="","",INDEX(TblApplications[Action],$A193))</f>
        <v/>
      </c>
      <c r="H193" s="39" t="str">
        <f>IF($A193="","",INDEX(TblApplications[Cluster IKS source],$A193))</f>
        <v/>
      </c>
      <c r="I193" s="48" t="str">
        <f>IF($A193="","",INDEX(TblApplications[Mois lib (calc)],$A193))</f>
        <v/>
      </c>
      <c r="J193" s="39" t="str">
        <f>IF($A193="","",INDEX(TblApplications[CPU IKS libérable (vCPU)],$A193))</f>
        <v/>
      </c>
    </row>
    <row r="194" spans="1:10" x14ac:dyDescent="0.2">
      <c r="A194" s="37" t="str">
        <f>IFERROR(MATCH(119,TblApplications[Rang extinction],0),"")</f>
        <v/>
      </c>
      <c r="B194" s="39" t="str">
        <f>IF($A194="","",INDEX(TblApplications[ID],$A194))</f>
        <v/>
      </c>
      <c r="C194" s="39" t="str">
        <f>IF($A194="","",INDEX(TblApplications[Application],$A194))</f>
        <v/>
      </c>
      <c r="D194" s="39" t="str">
        <f>IF($A194="","",INDEX(TblApplications[Tribe],$A194))</f>
        <v/>
      </c>
      <c r="E194" s="39" t="str">
        <f>IF($A194="","",INDEX(TblApplications[Environnement],$A194))</f>
        <v/>
      </c>
      <c r="F194" s="39" t="str">
        <f>IF($A194="","",INDEX(TblApplications[Couloir],$A194))</f>
        <v/>
      </c>
      <c r="G194" s="39" t="str">
        <f>IF($A194="","",INDEX(TblApplications[Action],$A194))</f>
        <v/>
      </c>
      <c r="H194" s="39" t="str">
        <f>IF($A194="","",INDEX(TblApplications[Cluster IKS source],$A194))</f>
        <v/>
      </c>
      <c r="I194" s="48" t="str">
        <f>IF($A194="","",INDEX(TblApplications[Mois lib (calc)],$A194))</f>
        <v/>
      </c>
      <c r="J194" s="39" t="str">
        <f>IF($A194="","",INDEX(TblApplications[CPU IKS libérable (vCPU)],$A194))</f>
        <v/>
      </c>
    </row>
    <row r="195" spans="1:10" x14ac:dyDescent="0.2">
      <c r="A195" s="37" t="str">
        <f>IFERROR(MATCH(120,TblApplications[Rang extinction],0),"")</f>
        <v/>
      </c>
      <c r="B195" s="39" t="str">
        <f>IF($A195="","",INDEX(TblApplications[ID],$A195))</f>
        <v/>
      </c>
      <c r="C195" s="39" t="str">
        <f>IF($A195="","",INDEX(TblApplications[Application],$A195))</f>
        <v/>
      </c>
      <c r="D195" s="39" t="str">
        <f>IF($A195="","",INDEX(TblApplications[Tribe],$A195))</f>
        <v/>
      </c>
      <c r="E195" s="39" t="str">
        <f>IF($A195="","",INDEX(TblApplications[Environnement],$A195))</f>
        <v/>
      </c>
      <c r="F195" s="39" t="str">
        <f>IF($A195="","",INDEX(TblApplications[Couloir],$A195))</f>
        <v/>
      </c>
      <c r="G195" s="39" t="str">
        <f>IF($A195="","",INDEX(TblApplications[Action],$A195))</f>
        <v/>
      </c>
      <c r="H195" s="39" t="str">
        <f>IF($A195="","",INDEX(TblApplications[Cluster IKS source],$A195))</f>
        <v/>
      </c>
      <c r="I195" s="48" t="str">
        <f>IF($A195="","",INDEX(TblApplications[Mois lib (calc)],$A195))</f>
        <v/>
      </c>
      <c r="J195" s="39" t="str">
        <f>IF($A195="","",INDEX(TblApplications[CPU IKS libérable (vCPU)],$A195))</f>
        <v/>
      </c>
    </row>
    <row r="196" spans="1:10" x14ac:dyDescent="0.2">
      <c r="A196" s="37" t="str">
        <f>IFERROR(MATCH(121,TblApplications[Rang extinction],0),"")</f>
        <v/>
      </c>
      <c r="B196" s="39" t="str">
        <f>IF($A196="","",INDEX(TblApplications[ID],$A196))</f>
        <v/>
      </c>
      <c r="C196" s="39" t="str">
        <f>IF($A196="","",INDEX(TblApplications[Application],$A196))</f>
        <v/>
      </c>
      <c r="D196" s="39" t="str">
        <f>IF($A196="","",INDEX(TblApplications[Tribe],$A196))</f>
        <v/>
      </c>
      <c r="E196" s="39" t="str">
        <f>IF($A196="","",INDEX(TblApplications[Environnement],$A196))</f>
        <v/>
      </c>
      <c r="F196" s="39" t="str">
        <f>IF($A196="","",INDEX(TblApplications[Couloir],$A196))</f>
        <v/>
      </c>
      <c r="G196" s="39" t="str">
        <f>IF($A196="","",INDEX(TblApplications[Action],$A196))</f>
        <v/>
      </c>
      <c r="H196" s="39" t="str">
        <f>IF($A196="","",INDEX(TblApplications[Cluster IKS source],$A196))</f>
        <v/>
      </c>
      <c r="I196" s="48" t="str">
        <f>IF($A196="","",INDEX(TblApplications[Mois lib (calc)],$A196))</f>
        <v/>
      </c>
      <c r="J196" s="39" t="str">
        <f>IF($A196="","",INDEX(TblApplications[CPU IKS libérable (vCPU)],$A196))</f>
        <v/>
      </c>
    </row>
    <row r="197" spans="1:10" x14ac:dyDescent="0.2">
      <c r="A197" s="37" t="str">
        <f>IFERROR(MATCH(122,TblApplications[Rang extinction],0),"")</f>
        <v/>
      </c>
      <c r="B197" s="39" t="str">
        <f>IF($A197="","",INDEX(TblApplications[ID],$A197))</f>
        <v/>
      </c>
      <c r="C197" s="39" t="str">
        <f>IF($A197="","",INDEX(TblApplications[Application],$A197))</f>
        <v/>
      </c>
      <c r="D197" s="39" t="str">
        <f>IF($A197="","",INDEX(TblApplications[Tribe],$A197))</f>
        <v/>
      </c>
      <c r="E197" s="39" t="str">
        <f>IF($A197="","",INDEX(TblApplications[Environnement],$A197))</f>
        <v/>
      </c>
      <c r="F197" s="39" t="str">
        <f>IF($A197="","",INDEX(TblApplications[Couloir],$A197))</f>
        <v/>
      </c>
      <c r="G197" s="39" t="str">
        <f>IF($A197="","",INDEX(TblApplications[Action],$A197))</f>
        <v/>
      </c>
      <c r="H197" s="39" t="str">
        <f>IF($A197="","",INDEX(TblApplications[Cluster IKS source],$A197))</f>
        <v/>
      </c>
      <c r="I197" s="48" t="str">
        <f>IF($A197="","",INDEX(TblApplications[Mois lib (calc)],$A197))</f>
        <v/>
      </c>
      <c r="J197" s="39" t="str">
        <f>IF($A197="","",INDEX(TblApplications[CPU IKS libérable (vCPU)],$A197))</f>
        <v/>
      </c>
    </row>
    <row r="198" spans="1:10" x14ac:dyDescent="0.2">
      <c r="A198" s="37" t="str">
        <f>IFERROR(MATCH(123,TblApplications[Rang extinction],0),"")</f>
        <v/>
      </c>
      <c r="B198" s="39" t="str">
        <f>IF($A198="","",INDEX(TblApplications[ID],$A198))</f>
        <v/>
      </c>
      <c r="C198" s="39" t="str">
        <f>IF($A198="","",INDEX(TblApplications[Application],$A198))</f>
        <v/>
      </c>
      <c r="D198" s="39" t="str">
        <f>IF($A198="","",INDEX(TblApplications[Tribe],$A198))</f>
        <v/>
      </c>
      <c r="E198" s="39" t="str">
        <f>IF($A198="","",INDEX(TblApplications[Environnement],$A198))</f>
        <v/>
      </c>
      <c r="F198" s="39" t="str">
        <f>IF($A198="","",INDEX(TblApplications[Couloir],$A198))</f>
        <v/>
      </c>
      <c r="G198" s="39" t="str">
        <f>IF($A198="","",INDEX(TblApplications[Action],$A198))</f>
        <v/>
      </c>
      <c r="H198" s="39" t="str">
        <f>IF($A198="","",INDEX(TblApplications[Cluster IKS source],$A198))</f>
        <v/>
      </c>
      <c r="I198" s="48" t="str">
        <f>IF($A198="","",INDEX(TblApplications[Mois lib (calc)],$A198))</f>
        <v/>
      </c>
      <c r="J198" s="39" t="str">
        <f>IF($A198="","",INDEX(TblApplications[CPU IKS libérable (vCPU)],$A198))</f>
        <v/>
      </c>
    </row>
    <row r="199" spans="1:10" x14ac:dyDescent="0.2">
      <c r="A199" s="37" t="str">
        <f>IFERROR(MATCH(124,TblApplications[Rang extinction],0),"")</f>
        <v/>
      </c>
      <c r="B199" s="39" t="str">
        <f>IF($A199="","",INDEX(TblApplications[ID],$A199))</f>
        <v/>
      </c>
      <c r="C199" s="39" t="str">
        <f>IF($A199="","",INDEX(TblApplications[Application],$A199))</f>
        <v/>
      </c>
      <c r="D199" s="39" t="str">
        <f>IF($A199="","",INDEX(TblApplications[Tribe],$A199))</f>
        <v/>
      </c>
      <c r="E199" s="39" t="str">
        <f>IF($A199="","",INDEX(TblApplications[Environnement],$A199))</f>
        <v/>
      </c>
      <c r="F199" s="39" t="str">
        <f>IF($A199="","",INDEX(TblApplications[Couloir],$A199))</f>
        <v/>
      </c>
      <c r="G199" s="39" t="str">
        <f>IF($A199="","",INDEX(TblApplications[Action],$A199))</f>
        <v/>
      </c>
      <c r="H199" s="39" t="str">
        <f>IF($A199="","",INDEX(TblApplications[Cluster IKS source],$A199))</f>
        <v/>
      </c>
      <c r="I199" s="48" t="str">
        <f>IF($A199="","",INDEX(TblApplications[Mois lib (calc)],$A199))</f>
        <v/>
      </c>
      <c r="J199" s="39" t="str">
        <f>IF($A199="","",INDEX(TblApplications[CPU IKS libérable (vCPU)],$A199))</f>
        <v/>
      </c>
    </row>
    <row r="200" spans="1:10" x14ac:dyDescent="0.2">
      <c r="A200" s="37" t="str">
        <f>IFERROR(MATCH(125,TblApplications[Rang extinction],0),"")</f>
        <v/>
      </c>
      <c r="B200" s="39" t="str">
        <f>IF($A200="","",INDEX(TblApplications[ID],$A200))</f>
        <v/>
      </c>
      <c r="C200" s="39" t="str">
        <f>IF($A200="","",INDEX(TblApplications[Application],$A200))</f>
        <v/>
      </c>
      <c r="D200" s="39" t="str">
        <f>IF($A200="","",INDEX(TblApplications[Tribe],$A200))</f>
        <v/>
      </c>
      <c r="E200" s="39" t="str">
        <f>IF($A200="","",INDEX(TblApplications[Environnement],$A200))</f>
        <v/>
      </c>
      <c r="F200" s="39" t="str">
        <f>IF($A200="","",INDEX(TblApplications[Couloir],$A200))</f>
        <v/>
      </c>
      <c r="G200" s="39" t="str">
        <f>IF($A200="","",INDEX(TblApplications[Action],$A200))</f>
        <v/>
      </c>
      <c r="H200" s="39" t="str">
        <f>IF($A200="","",INDEX(TblApplications[Cluster IKS source],$A200))</f>
        <v/>
      </c>
      <c r="I200" s="48" t="str">
        <f>IF($A200="","",INDEX(TblApplications[Mois lib (calc)],$A200))</f>
        <v/>
      </c>
      <c r="J200" s="39" t="str">
        <f>IF($A200="","",INDEX(TblApplications[CPU IKS libérable (vCPU)],$A200))</f>
        <v/>
      </c>
    </row>
    <row r="201" spans="1:10" x14ac:dyDescent="0.2">
      <c r="A201" s="37" t="str">
        <f>IFERROR(MATCH(126,TblApplications[Rang extinction],0),"")</f>
        <v/>
      </c>
      <c r="B201" s="39" t="str">
        <f>IF($A201="","",INDEX(TblApplications[ID],$A201))</f>
        <v/>
      </c>
      <c r="C201" s="39" t="str">
        <f>IF($A201="","",INDEX(TblApplications[Application],$A201))</f>
        <v/>
      </c>
      <c r="D201" s="39" t="str">
        <f>IF($A201="","",INDEX(TblApplications[Tribe],$A201))</f>
        <v/>
      </c>
      <c r="E201" s="39" t="str">
        <f>IF($A201="","",INDEX(TblApplications[Environnement],$A201))</f>
        <v/>
      </c>
      <c r="F201" s="39" t="str">
        <f>IF($A201="","",INDEX(TblApplications[Couloir],$A201))</f>
        <v/>
      </c>
      <c r="G201" s="39" t="str">
        <f>IF($A201="","",INDEX(TblApplications[Action],$A201))</f>
        <v/>
      </c>
      <c r="H201" s="39" t="str">
        <f>IF($A201="","",INDEX(TblApplications[Cluster IKS source],$A201))</f>
        <v/>
      </c>
      <c r="I201" s="48" t="str">
        <f>IF($A201="","",INDEX(TblApplications[Mois lib (calc)],$A201))</f>
        <v/>
      </c>
      <c r="J201" s="39" t="str">
        <f>IF($A201="","",INDEX(TblApplications[CPU IKS libérable (vCPU)],$A201))</f>
        <v/>
      </c>
    </row>
    <row r="202" spans="1:10" x14ac:dyDescent="0.2">
      <c r="A202" s="37" t="str">
        <f>IFERROR(MATCH(127,TblApplications[Rang extinction],0),"")</f>
        <v/>
      </c>
      <c r="B202" s="39" t="str">
        <f>IF($A202="","",INDEX(TblApplications[ID],$A202))</f>
        <v/>
      </c>
      <c r="C202" s="39" t="str">
        <f>IF($A202="","",INDEX(TblApplications[Application],$A202))</f>
        <v/>
      </c>
      <c r="D202" s="39" t="str">
        <f>IF($A202="","",INDEX(TblApplications[Tribe],$A202))</f>
        <v/>
      </c>
      <c r="E202" s="39" t="str">
        <f>IF($A202="","",INDEX(TblApplications[Environnement],$A202))</f>
        <v/>
      </c>
      <c r="F202" s="39" t="str">
        <f>IF($A202="","",INDEX(TblApplications[Couloir],$A202))</f>
        <v/>
      </c>
      <c r="G202" s="39" t="str">
        <f>IF($A202="","",INDEX(TblApplications[Action],$A202))</f>
        <v/>
      </c>
      <c r="H202" s="39" t="str">
        <f>IF($A202="","",INDEX(TblApplications[Cluster IKS source],$A202))</f>
        <v/>
      </c>
      <c r="I202" s="48" t="str">
        <f>IF($A202="","",INDEX(TblApplications[Mois lib (calc)],$A202))</f>
        <v/>
      </c>
      <c r="J202" s="39" t="str">
        <f>IF($A202="","",INDEX(TblApplications[CPU IKS libérable (vCPU)],$A202))</f>
        <v/>
      </c>
    </row>
    <row r="203" spans="1:10" x14ac:dyDescent="0.2">
      <c r="A203" s="37" t="str">
        <f>IFERROR(MATCH(128,TblApplications[Rang extinction],0),"")</f>
        <v/>
      </c>
      <c r="B203" s="39" t="str">
        <f>IF($A203="","",INDEX(TblApplications[ID],$A203))</f>
        <v/>
      </c>
      <c r="C203" s="39" t="str">
        <f>IF($A203="","",INDEX(TblApplications[Application],$A203))</f>
        <v/>
      </c>
      <c r="D203" s="39" t="str">
        <f>IF($A203="","",INDEX(TblApplications[Tribe],$A203))</f>
        <v/>
      </c>
      <c r="E203" s="39" t="str">
        <f>IF($A203="","",INDEX(TblApplications[Environnement],$A203))</f>
        <v/>
      </c>
      <c r="F203" s="39" t="str">
        <f>IF($A203="","",INDEX(TblApplications[Couloir],$A203))</f>
        <v/>
      </c>
      <c r="G203" s="39" t="str">
        <f>IF($A203="","",INDEX(TblApplications[Action],$A203))</f>
        <v/>
      </c>
      <c r="H203" s="39" t="str">
        <f>IF($A203="","",INDEX(TblApplications[Cluster IKS source],$A203))</f>
        <v/>
      </c>
      <c r="I203" s="48" t="str">
        <f>IF($A203="","",INDEX(TblApplications[Mois lib (calc)],$A203))</f>
        <v/>
      </c>
      <c r="J203" s="39" t="str">
        <f>IF($A203="","",INDEX(TblApplications[CPU IKS libérable (vCPU)],$A203))</f>
        <v/>
      </c>
    </row>
    <row r="204" spans="1:10" x14ac:dyDescent="0.2">
      <c r="A204" s="37" t="str">
        <f>IFERROR(MATCH(129,TblApplications[Rang extinction],0),"")</f>
        <v/>
      </c>
      <c r="B204" s="39" t="str">
        <f>IF($A204="","",INDEX(TblApplications[ID],$A204))</f>
        <v/>
      </c>
      <c r="C204" s="39" t="str">
        <f>IF($A204="","",INDEX(TblApplications[Application],$A204))</f>
        <v/>
      </c>
      <c r="D204" s="39" t="str">
        <f>IF($A204="","",INDEX(TblApplications[Tribe],$A204))</f>
        <v/>
      </c>
      <c r="E204" s="39" t="str">
        <f>IF($A204="","",INDEX(TblApplications[Environnement],$A204))</f>
        <v/>
      </c>
      <c r="F204" s="39" t="str">
        <f>IF($A204="","",INDEX(TblApplications[Couloir],$A204))</f>
        <v/>
      </c>
      <c r="G204" s="39" t="str">
        <f>IF($A204="","",INDEX(TblApplications[Action],$A204))</f>
        <v/>
      </c>
      <c r="H204" s="39" t="str">
        <f>IF($A204="","",INDEX(TblApplications[Cluster IKS source],$A204))</f>
        <v/>
      </c>
      <c r="I204" s="48" t="str">
        <f>IF($A204="","",INDEX(TblApplications[Mois lib (calc)],$A204))</f>
        <v/>
      </c>
      <c r="J204" s="39" t="str">
        <f>IF($A204="","",INDEX(TblApplications[CPU IKS libérable (vCPU)],$A204))</f>
        <v/>
      </c>
    </row>
    <row r="205" spans="1:10" x14ac:dyDescent="0.2">
      <c r="A205" s="37" t="str">
        <f>IFERROR(MATCH(130,TblApplications[Rang extinction],0),"")</f>
        <v/>
      </c>
      <c r="B205" s="39" t="str">
        <f>IF($A205="","",INDEX(TblApplications[ID],$A205))</f>
        <v/>
      </c>
      <c r="C205" s="39" t="str">
        <f>IF($A205="","",INDEX(TblApplications[Application],$A205))</f>
        <v/>
      </c>
      <c r="D205" s="39" t="str">
        <f>IF($A205="","",INDEX(TblApplications[Tribe],$A205))</f>
        <v/>
      </c>
      <c r="E205" s="39" t="str">
        <f>IF($A205="","",INDEX(TblApplications[Environnement],$A205))</f>
        <v/>
      </c>
      <c r="F205" s="39" t="str">
        <f>IF($A205="","",INDEX(TblApplications[Couloir],$A205))</f>
        <v/>
      </c>
      <c r="G205" s="39" t="str">
        <f>IF($A205="","",INDEX(TblApplications[Action],$A205))</f>
        <v/>
      </c>
      <c r="H205" s="39" t="str">
        <f>IF($A205="","",INDEX(TblApplications[Cluster IKS source],$A205))</f>
        <v/>
      </c>
      <c r="I205" s="48" t="str">
        <f>IF($A205="","",INDEX(TblApplications[Mois lib (calc)],$A205))</f>
        <v/>
      </c>
      <c r="J205" s="39" t="str">
        <f>IF($A205="","",INDEX(TblApplications[CPU IKS libérable (vCPU)],$A205))</f>
        <v/>
      </c>
    </row>
    <row r="206" spans="1:10" x14ac:dyDescent="0.2">
      <c r="A206" s="37" t="str">
        <f>IFERROR(MATCH(131,TblApplications[Rang extinction],0),"")</f>
        <v/>
      </c>
      <c r="B206" s="39" t="str">
        <f>IF($A206="","",INDEX(TblApplications[ID],$A206))</f>
        <v/>
      </c>
      <c r="C206" s="39" t="str">
        <f>IF($A206="","",INDEX(TblApplications[Application],$A206))</f>
        <v/>
      </c>
      <c r="D206" s="39" t="str">
        <f>IF($A206="","",INDEX(TblApplications[Tribe],$A206))</f>
        <v/>
      </c>
      <c r="E206" s="39" t="str">
        <f>IF($A206="","",INDEX(TblApplications[Environnement],$A206))</f>
        <v/>
      </c>
      <c r="F206" s="39" t="str">
        <f>IF($A206="","",INDEX(TblApplications[Couloir],$A206))</f>
        <v/>
      </c>
      <c r="G206" s="39" t="str">
        <f>IF($A206="","",INDEX(TblApplications[Action],$A206))</f>
        <v/>
      </c>
      <c r="H206" s="39" t="str">
        <f>IF($A206="","",INDEX(TblApplications[Cluster IKS source],$A206))</f>
        <v/>
      </c>
      <c r="I206" s="48" t="str">
        <f>IF($A206="","",INDEX(TblApplications[Mois lib (calc)],$A206))</f>
        <v/>
      </c>
      <c r="J206" s="39" t="str">
        <f>IF($A206="","",INDEX(TblApplications[CPU IKS libérable (vCPU)],$A206))</f>
        <v/>
      </c>
    </row>
    <row r="207" spans="1:10" x14ac:dyDescent="0.2">
      <c r="A207" s="37" t="str">
        <f>IFERROR(MATCH(132,TblApplications[Rang extinction],0),"")</f>
        <v/>
      </c>
      <c r="B207" s="39" t="str">
        <f>IF($A207="","",INDEX(TblApplications[ID],$A207))</f>
        <v/>
      </c>
      <c r="C207" s="39" t="str">
        <f>IF($A207="","",INDEX(TblApplications[Application],$A207))</f>
        <v/>
      </c>
      <c r="D207" s="39" t="str">
        <f>IF($A207="","",INDEX(TblApplications[Tribe],$A207))</f>
        <v/>
      </c>
      <c r="E207" s="39" t="str">
        <f>IF($A207="","",INDEX(TblApplications[Environnement],$A207))</f>
        <v/>
      </c>
      <c r="F207" s="39" t="str">
        <f>IF($A207="","",INDEX(TblApplications[Couloir],$A207))</f>
        <v/>
      </c>
      <c r="G207" s="39" t="str">
        <f>IF($A207="","",INDEX(TblApplications[Action],$A207))</f>
        <v/>
      </c>
      <c r="H207" s="39" t="str">
        <f>IF($A207="","",INDEX(TblApplications[Cluster IKS source],$A207))</f>
        <v/>
      </c>
      <c r="I207" s="48" t="str">
        <f>IF($A207="","",INDEX(TblApplications[Mois lib (calc)],$A207))</f>
        <v/>
      </c>
      <c r="J207" s="39" t="str">
        <f>IF($A207="","",INDEX(TblApplications[CPU IKS libérable (vCPU)],$A207))</f>
        <v/>
      </c>
    </row>
    <row r="208" spans="1:10" x14ac:dyDescent="0.2">
      <c r="A208" s="37" t="str">
        <f>IFERROR(MATCH(133,TblApplications[Rang extinction],0),"")</f>
        <v/>
      </c>
      <c r="B208" s="39" t="str">
        <f>IF($A208="","",INDEX(TblApplications[ID],$A208))</f>
        <v/>
      </c>
      <c r="C208" s="39" t="str">
        <f>IF($A208="","",INDEX(TblApplications[Application],$A208))</f>
        <v/>
      </c>
      <c r="D208" s="39" t="str">
        <f>IF($A208="","",INDEX(TblApplications[Tribe],$A208))</f>
        <v/>
      </c>
      <c r="E208" s="39" t="str">
        <f>IF($A208="","",INDEX(TblApplications[Environnement],$A208))</f>
        <v/>
      </c>
      <c r="F208" s="39" t="str">
        <f>IF($A208="","",INDEX(TblApplications[Couloir],$A208))</f>
        <v/>
      </c>
      <c r="G208" s="39" t="str">
        <f>IF($A208="","",INDEX(TblApplications[Action],$A208))</f>
        <v/>
      </c>
      <c r="H208" s="39" t="str">
        <f>IF($A208="","",INDEX(TblApplications[Cluster IKS source],$A208))</f>
        <v/>
      </c>
      <c r="I208" s="48" t="str">
        <f>IF($A208="","",INDEX(TblApplications[Mois lib (calc)],$A208))</f>
        <v/>
      </c>
      <c r="J208" s="39" t="str">
        <f>IF($A208="","",INDEX(TblApplications[CPU IKS libérable (vCPU)],$A208))</f>
        <v/>
      </c>
    </row>
    <row r="209" spans="1:10" x14ac:dyDescent="0.2">
      <c r="A209" s="37" t="str">
        <f>IFERROR(MATCH(134,TblApplications[Rang extinction],0),"")</f>
        <v/>
      </c>
      <c r="B209" s="39" t="str">
        <f>IF($A209="","",INDEX(TblApplications[ID],$A209))</f>
        <v/>
      </c>
      <c r="C209" s="39" t="str">
        <f>IF($A209="","",INDEX(TblApplications[Application],$A209))</f>
        <v/>
      </c>
      <c r="D209" s="39" t="str">
        <f>IF($A209="","",INDEX(TblApplications[Tribe],$A209))</f>
        <v/>
      </c>
      <c r="E209" s="39" t="str">
        <f>IF($A209="","",INDEX(TblApplications[Environnement],$A209))</f>
        <v/>
      </c>
      <c r="F209" s="39" t="str">
        <f>IF($A209="","",INDEX(TblApplications[Couloir],$A209))</f>
        <v/>
      </c>
      <c r="G209" s="39" t="str">
        <f>IF($A209="","",INDEX(TblApplications[Action],$A209))</f>
        <v/>
      </c>
      <c r="H209" s="39" t="str">
        <f>IF($A209="","",INDEX(TblApplications[Cluster IKS source],$A209))</f>
        <v/>
      </c>
      <c r="I209" s="48" t="str">
        <f>IF($A209="","",INDEX(TblApplications[Mois lib (calc)],$A209))</f>
        <v/>
      </c>
      <c r="J209" s="39" t="str">
        <f>IF($A209="","",INDEX(TblApplications[CPU IKS libérable (vCPU)],$A209))</f>
        <v/>
      </c>
    </row>
    <row r="210" spans="1:10" x14ac:dyDescent="0.2">
      <c r="A210" s="37" t="str">
        <f>IFERROR(MATCH(135,TblApplications[Rang extinction],0),"")</f>
        <v/>
      </c>
      <c r="B210" s="39" t="str">
        <f>IF($A210="","",INDEX(TblApplications[ID],$A210))</f>
        <v/>
      </c>
      <c r="C210" s="39" t="str">
        <f>IF($A210="","",INDEX(TblApplications[Application],$A210))</f>
        <v/>
      </c>
      <c r="D210" s="39" t="str">
        <f>IF($A210="","",INDEX(TblApplications[Tribe],$A210))</f>
        <v/>
      </c>
      <c r="E210" s="39" t="str">
        <f>IF($A210="","",INDEX(TblApplications[Environnement],$A210))</f>
        <v/>
      </c>
      <c r="F210" s="39" t="str">
        <f>IF($A210="","",INDEX(TblApplications[Couloir],$A210))</f>
        <v/>
      </c>
      <c r="G210" s="39" t="str">
        <f>IF($A210="","",INDEX(TblApplications[Action],$A210))</f>
        <v/>
      </c>
      <c r="H210" s="39" t="str">
        <f>IF($A210="","",INDEX(TblApplications[Cluster IKS source],$A210))</f>
        <v/>
      </c>
      <c r="I210" s="48" t="str">
        <f>IF($A210="","",INDEX(TblApplications[Mois lib (calc)],$A210))</f>
        <v/>
      </c>
      <c r="J210" s="39" t="str">
        <f>IF($A210="","",INDEX(TblApplications[CPU IKS libérable (vCPU)],$A210))</f>
        <v/>
      </c>
    </row>
    <row r="211" spans="1:10" x14ac:dyDescent="0.2">
      <c r="A211" s="37" t="str">
        <f>IFERROR(MATCH(136,TblApplications[Rang extinction],0),"")</f>
        <v/>
      </c>
      <c r="B211" s="39" t="str">
        <f>IF($A211="","",INDEX(TblApplications[ID],$A211))</f>
        <v/>
      </c>
      <c r="C211" s="39" t="str">
        <f>IF($A211="","",INDEX(TblApplications[Application],$A211))</f>
        <v/>
      </c>
      <c r="D211" s="39" t="str">
        <f>IF($A211="","",INDEX(TblApplications[Tribe],$A211))</f>
        <v/>
      </c>
      <c r="E211" s="39" t="str">
        <f>IF($A211="","",INDEX(TblApplications[Environnement],$A211))</f>
        <v/>
      </c>
      <c r="F211" s="39" t="str">
        <f>IF($A211="","",INDEX(TblApplications[Couloir],$A211))</f>
        <v/>
      </c>
      <c r="G211" s="39" t="str">
        <f>IF($A211="","",INDEX(TblApplications[Action],$A211))</f>
        <v/>
      </c>
      <c r="H211" s="39" t="str">
        <f>IF($A211="","",INDEX(TblApplications[Cluster IKS source],$A211))</f>
        <v/>
      </c>
      <c r="I211" s="48" t="str">
        <f>IF($A211="","",INDEX(TblApplications[Mois lib (calc)],$A211))</f>
        <v/>
      </c>
      <c r="J211" s="39" t="str">
        <f>IF($A211="","",INDEX(TblApplications[CPU IKS libérable (vCPU)],$A211))</f>
        <v/>
      </c>
    </row>
    <row r="212" spans="1:10" x14ac:dyDescent="0.2">
      <c r="A212" s="37" t="str">
        <f>IFERROR(MATCH(137,TblApplications[Rang extinction],0),"")</f>
        <v/>
      </c>
      <c r="B212" s="39" t="str">
        <f>IF($A212="","",INDEX(TblApplications[ID],$A212))</f>
        <v/>
      </c>
      <c r="C212" s="39" t="str">
        <f>IF($A212="","",INDEX(TblApplications[Application],$A212))</f>
        <v/>
      </c>
      <c r="D212" s="39" t="str">
        <f>IF($A212="","",INDEX(TblApplications[Tribe],$A212))</f>
        <v/>
      </c>
      <c r="E212" s="39" t="str">
        <f>IF($A212="","",INDEX(TblApplications[Environnement],$A212))</f>
        <v/>
      </c>
      <c r="F212" s="39" t="str">
        <f>IF($A212="","",INDEX(TblApplications[Couloir],$A212))</f>
        <v/>
      </c>
      <c r="G212" s="39" t="str">
        <f>IF($A212="","",INDEX(TblApplications[Action],$A212))</f>
        <v/>
      </c>
      <c r="H212" s="39" t="str">
        <f>IF($A212="","",INDEX(TblApplications[Cluster IKS source],$A212))</f>
        <v/>
      </c>
      <c r="I212" s="48" t="str">
        <f>IF($A212="","",INDEX(TblApplications[Mois lib (calc)],$A212))</f>
        <v/>
      </c>
      <c r="J212" s="39" t="str">
        <f>IF($A212="","",INDEX(TblApplications[CPU IKS libérable (vCPU)],$A212))</f>
        <v/>
      </c>
    </row>
    <row r="213" spans="1:10" x14ac:dyDescent="0.2">
      <c r="A213" s="37" t="str">
        <f>IFERROR(MATCH(138,TblApplications[Rang extinction],0),"")</f>
        <v/>
      </c>
      <c r="B213" s="39" t="str">
        <f>IF($A213="","",INDEX(TblApplications[ID],$A213))</f>
        <v/>
      </c>
      <c r="C213" s="39" t="str">
        <f>IF($A213="","",INDEX(TblApplications[Application],$A213))</f>
        <v/>
      </c>
      <c r="D213" s="39" t="str">
        <f>IF($A213="","",INDEX(TblApplications[Tribe],$A213))</f>
        <v/>
      </c>
      <c r="E213" s="39" t="str">
        <f>IF($A213="","",INDEX(TblApplications[Environnement],$A213))</f>
        <v/>
      </c>
      <c r="F213" s="39" t="str">
        <f>IF($A213="","",INDEX(TblApplications[Couloir],$A213))</f>
        <v/>
      </c>
      <c r="G213" s="39" t="str">
        <f>IF($A213="","",INDEX(TblApplications[Action],$A213))</f>
        <v/>
      </c>
      <c r="H213" s="39" t="str">
        <f>IF($A213="","",INDEX(TblApplications[Cluster IKS source],$A213))</f>
        <v/>
      </c>
      <c r="I213" s="48" t="str">
        <f>IF($A213="","",INDEX(TblApplications[Mois lib (calc)],$A213))</f>
        <v/>
      </c>
      <c r="J213" s="39" t="str">
        <f>IF($A213="","",INDEX(TblApplications[CPU IKS libérable (vCPU)],$A213))</f>
        <v/>
      </c>
    </row>
    <row r="214" spans="1:10" x14ac:dyDescent="0.2">
      <c r="A214" s="37" t="str">
        <f>IFERROR(MATCH(139,TblApplications[Rang extinction],0),"")</f>
        <v/>
      </c>
      <c r="B214" s="39" t="str">
        <f>IF($A214="","",INDEX(TblApplications[ID],$A214))</f>
        <v/>
      </c>
      <c r="C214" s="39" t="str">
        <f>IF($A214="","",INDEX(TblApplications[Application],$A214))</f>
        <v/>
      </c>
      <c r="D214" s="39" t="str">
        <f>IF($A214="","",INDEX(TblApplications[Tribe],$A214))</f>
        <v/>
      </c>
      <c r="E214" s="39" t="str">
        <f>IF($A214="","",INDEX(TblApplications[Environnement],$A214))</f>
        <v/>
      </c>
      <c r="F214" s="39" t="str">
        <f>IF($A214="","",INDEX(TblApplications[Couloir],$A214))</f>
        <v/>
      </c>
      <c r="G214" s="39" t="str">
        <f>IF($A214="","",INDEX(TblApplications[Action],$A214))</f>
        <v/>
      </c>
      <c r="H214" s="39" t="str">
        <f>IF($A214="","",INDEX(TblApplications[Cluster IKS source],$A214))</f>
        <v/>
      </c>
      <c r="I214" s="48" t="str">
        <f>IF($A214="","",INDEX(TblApplications[Mois lib (calc)],$A214))</f>
        <v/>
      </c>
      <c r="J214" s="39" t="str">
        <f>IF($A214="","",INDEX(TblApplications[CPU IKS libérable (vCPU)],$A214))</f>
        <v/>
      </c>
    </row>
    <row r="215" spans="1:10" x14ac:dyDescent="0.2">
      <c r="A215" s="37" t="str">
        <f>IFERROR(MATCH(140,TblApplications[Rang extinction],0),"")</f>
        <v/>
      </c>
      <c r="B215" s="39" t="str">
        <f>IF($A215="","",INDEX(TblApplications[ID],$A215))</f>
        <v/>
      </c>
      <c r="C215" s="39" t="str">
        <f>IF($A215="","",INDEX(TblApplications[Application],$A215))</f>
        <v/>
      </c>
      <c r="D215" s="39" t="str">
        <f>IF($A215="","",INDEX(TblApplications[Tribe],$A215))</f>
        <v/>
      </c>
      <c r="E215" s="39" t="str">
        <f>IF($A215="","",INDEX(TblApplications[Environnement],$A215))</f>
        <v/>
      </c>
      <c r="F215" s="39" t="str">
        <f>IF($A215="","",INDEX(TblApplications[Couloir],$A215))</f>
        <v/>
      </c>
      <c r="G215" s="39" t="str">
        <f>IF($A215="","",INDEX(TblApplications[Action],$A215))</f>
        <v/>
      </c>
      <c r="H215" s="39" t="str">
        <f>IF($A215="","",INDEX(TblApplications[Cluster IKS source],$A215))</f>
        <v/>
      </c>
      <c r="I215" s="48" t="str">
        <f>IF($A215="","",INDEX(TblApplications[Mois lib (calc)],$A215))</f>
        <v/>
      </c>
      <c r="J215" s="39" t="str">
        <f>IF($A215="","",INDEX(TblApplications[CPU IKS libérable (vCPU)],$A215))</f>
        <v/>
      </c>
    </row>
    <row r="216" spans="1:10" x14ac:dyDescent="0.2">
      <c r="A216" s="37" t="str">
        <f>IFERROR(MATCH(141,TblApplications[Rang extinction],0),"")</f>
        <v/>
      </c>
      <c r="B216" s="39" t="str">
        <f>IF($A216="","",INDEX(TblApplications[ID],$A216))</f>
        <v/>
      </c>
      <c r="C216" s="39" t="str">
        <f>IF($A216="","",INDEX(TblApplications[Application],$A216))</f>
        <v/>
      </c>
      <c r="D216" s="39" t="str">
        <f>IF($A216="","",INDEX(TblApplications[Tribe],$A216))</f>
        <v/>
      </c>
      <c r="E216" s="39" t="str">
        <f>IF($A216="","",INDEX(TblApplications[Environnement],$A216))</f>
        <v/>
      </c>
      <c r="F216" s="39" t="str">
        <f>IF($A216="","",INDEX(TblApplications[Couloir],$A216))</f>
        <v/>
      </c>
      <c r="G216" s="39" t="str">
        <f>IF($A216="","",INDEX(TblApplications[Action],$A216))</f>
        <v/>
      </c>
      <c r="H216" s="39" t="str">
        <f>IF($A216="","",INDEX(TblApplications[Cluster IKS source],$A216))</f>
        <v/>
      </c>
      <c r="I216" s="48" t="str">
        <f>IF($A216="","",INDEX(TblApplications[Mois lib (calc)],$A216))</f>
        <v/>
      </c>
      <c r="J216" s="39" t="str">
        <f>IF($A216="","",INDEX(TblApplications[CPU IKS libérable (vCPU)],$A216))</f>
        <v/>
      </c>
    </row>
    <row r="217" spans="1:10" x14ac:dyDescent="0.2">
      <c r="A217" s="37" t="str">
        <f>IFERROR(MATCH(142,TblApplications[Rang extinction],0),"")</f>
        <v/>
      </c>
      <c r="B217" s="39" t="str">
        <f>IF($A217="","",INDEX(TblApplications[ID],$A217))</f>
        <v/>
      </c>
      <c r="C217" s="39" t="str">
        <f>IF($A217="","",INDEX(TblApplications[Application],$A217))</f>
        <v/>
      </c>
      <c r="D217" s="39" t="str">
        <f>IF($A217="","",INDEX(TblApplications[Tribe],$A217))</f>
        <v/>
      </c>
      <c r="E217" s="39" t="str">
        <f>IF($A217="","",INDEX(TblApplications[Environnement],$A217))</f>
        <v/>
      </c>
      <c r="F217" s="39" t="str">
        <f>IF($A217="","",INDEX(TblApplications[Couloir],$A217))</f>
        <v/>
      </c>
      <c r="G217" s="39" t="str">
        <f>IF($A217="","",INDEX(TblApplications[Action],$A217))</f>
        <v/>
      </c>
      <c r="H217" s="39" t="str">
        <f>IF($A217="","",INDEX(TblApplications[Cluster IKS source],$A217))</f>
        <v/>
      </c>
      <c r="I217" s="48" t="str">
        <f>IF($A217="","",INDEX(TblApplications[Mois lib (calc)],$A217))</f>
        <v/>
      </c>
      <c r="J217" s="39" t="str">
        <f>IF($A217="","",INDEX(TblApplications[CPU IKS libérable (vCPU)],$A217))</f>
        <v/>
      </c>
    </row>
    <row r="218" spans="1:10" x14ac:dyDescent="0.2">
      <c r="A218" s="37" t="str">
        <f>IFERROR(MATCH(143,TblApplications[Rang extinction],0),"")</f>
        <v/>
      </c>
      <c r="B218" s="39" t="str">
        <f>IF($A218="","",INDEX(TblApplications[ID],$A218))</f>
        <v/>
      </c>
      <c r="C218" s="39" t="str">
        <f>IF($A218="","",INDEX(TblApplications[Application],$A218))</f>
        <v/>
      </c>
      <c r="D218" s="39" t="str">
        <f>IF($A218="","",INDEX(TblApplications[Tribe],$A218))</f>
        <v/>
      </c>
      <c r="E218" s="39" t="str">
        <f>IF($A218="","",INDEX(TblApplications[Environnement],$A218))</f>
        <v/>
      </c>
      <c r="F218" s="39" t="str">
        <f>IF($A218="","",INDEX(TblApplications[Couloir],$A218))</f>
        <v/>
      </c>
      <c r="G218" s="39" t="str">
        <f>IF($A218="","",INDEX(TblApplications[Action],$A218))</f>
        <v/>
      </c>
      <c r="H218" s="39" t="str">
        <f>IF($A218="","",INDEX(TblApplications[Cluster IKS source],$A218))</f>
        <v/>
      </c>
      <c r="I218" s="48" t="str">
        <f>IF($A218="","",INDEX(TblApplications[Mois lib (calc)],$A218))</f>
        <v/>
      </c>
      <c r="J218" s="39" t="str">
        <f>IF($A218="","",INDEX(TblApplications[CPU IKS libérable (vCPU)],$A218))</f>
        <v/>
      </c>
    </row>
    <row r="219" spans="1:10" x14ac:dyDescent="0.2">
      <c r="A219" s="37" t="str">
        <f>IFERROR(MATCH(144,TblApplications[Rang extinction],0),"")</f>
        <v/>
      </c>
      <c r="B219" s="39" t="str">
        <f>IF($A219="","",INDEX(TblApplications[ID],$A219))</f>
        <v/>
      </c>
      <c r="C219" s="39" t="str">
        <f>IF($A219="","",INDEX(TblApplications[Application],$A219))</f>
        <v/>
      </c>
      <c r="D219" s="39" t="str">
        <f>IF($A219="","",INDEX(TblApplications[Tribe],$A219))</f>
        <v/>
      </c>
      <c r="E219" s="39" t="str">
        <f>IF($A219="","",INDEX(TblApplications[Environnement],$A219))</f>
        <v/>
      </c>
      <c r="F219" s="39" t="str">
        <f>IF($A219="","",INDEX(TblApplications[Couloir],$A219))</f>
        <v/>
      </c>
      <c r="G219" s="39" t="str">
        <f>IF($A219="","",INDEX(TblApplications[Action],$A219))</f>
        <v/>
      </c>
      <c r="H219" s="39" t="str">
        <f>IF($A219="","",INDEX(TblApplications[Cluster IKS source],$A219))</f>
        <v/>
      </c>
      <c r="I219" s="48" t="str">
        <f>IF($A219="","",INDEX(TblApplications[Mois lib (calc)],$A219))</f>
        <v/>
      </c>
      <c r="J219" s="39" t="str">
        <f>IF($A219="","",INDEX(TblApplications[CPU IKS libérable (vCPU)],$A219))</f>
        <v/>
      </c>
    </row>
    <row r="220" spans="1:10" x14ac:dyDescent="0.2">
      <c r="A220" s="37" t="str">
        <f>IFERROR(MATCH(145,TblApplications[Rang extinction],0),"")</f>
        <v/>
      </c>
      <c r="B220" s="39" t="str">
        <f>IF($A220="","",INDEX(TblApplications[ID],$A220))</f>
        <v/>
      </c>
      <c r="C220" s="39" t="str">
        <f>IF($A220="","",INDEX(TblApplications[Application],$A220))</f>
        <v/>
      </c>
      <c r="D220" s="39" t="str">
        <f>IF($A220="","",INDEX(TblApplications[Tribe],$A220))</f>
        <v/>
      </c>
      <c r="E220" s="39" t="str">
        <f>IF($A220="","",INDEX(TblApplications[Environnement],$A220))</f>
        <v/>
      </c>
      <c r="F220" s="39" t="str">
        <f>IF($A220="","",INDEX(TblApplications[Couloir],$A220))</f>
        <v/>
      </c>
      <c r="G220" s="39" t="str">
        <f>IF($A220="","",INDEX(TblApplications[Action],$A220))</f>
        <v/>
      </c>
      <c r="H220" s="39" t="str">
        <f>IF($A220="","",INDEX(TblApplications[Cluster IKS source],$A220))</f>
        <v/>
      </c>
      <c r="I220" s="48" t="str">
        <f>IF($A220="","",INDEX(TblApplications[Mois lib (calc)],$A220))</f>
        <v/>
      </c>
      <c r="J220" s="39" t="str">
        <f>IF($A220="","",INDEX(TblApplications[CPU IKS libérable (vCPU)],$A220))</f>
        <v/>
      </c>
    </row>
    <row r="221" spans="1:10" x14ac:dyDescent="0.2">
      <c r="A221" s="37" t="str">
        <f>IFERROR(MATCH(146,TblApplications[Rang extinction],0),"")</f>
        <v/>
      </c>
      <c r="B221" s="39" t="str">
        <f>IF($A221="","",INDEX(TblApplications[ID],$A221))</f>
        <v/>
      </c>
      <c r="C221" s="39" t="str">
        <f>IF($A221="","",INDEX(TblApplications[Application],$A221))</f>
        <v/>
      </c>
      <c r="D221" s="39" t="str">
        <f>IF($A221="","",INDEX(TblApplications[Tribe],$A221))</f>
        <v/>
      </c>
      <c r="E221" s="39" t="str">
        <f>IF($A221="","",INDEX(TblApplications[Environnement],$A221))</f>
        <v/>
      </c>
      <c r="F221" s="39" t="str">
        <f>IF($A221="","",INDEX(TblApplications[Couloir],$A221))</f>
        <v/>
      </c>
      <c r="G221" s="39" t="str">
        <f>IF($A221="","",INDEX(TblApplications[Action],$A221))</f>
        <v/>
      </c>
      <c r="H221" s="39" t="str">
        <f>IF($A221="","",INDEX(TblApplications[Cluster IKS source],$A221))</f>
        <v/>
      </c>
      <c r="I221" s="48" t="str">
        <f>IF($A221="","",INDEX(TblApplications[Mois lib (calc)],$A221))</f>
        <v/>
      </c>
      <c r="J221" s="39" t="str">
        <f>IF($A221="","",INDEX(TblApplications[CPU IKS libérable (vCPU)],$A221))</f>
        <v/>
      </c>
    </row>
    <row r="222" spans="1:10" x14ac:dyDescent="0.2">
      <c r="A222" s="37" t="str">
        <f>IFERROR(MATCH(147,TblApplications[Rang extinction],0),"")</f>
        <v/>
      </c>
      <c r="B222" s="39" t="str">
        <f>IF($A222="","",INDEX(TblApplications[ID],$A222))</f>
        <v/>
      </c>
      <c r="C222" s="39" t="str">
        <f>IF($A222="","",INDEX(TblApplications[Application],$A222))</f>
        <v/>
      </c>
      <c r="D222" s="39" t="str">
        <f>IF($A222="","",INDEX(TblApplications[Tribe],$A222))</f>
        <v/>
      </c>
      <c r="E222" s="39" t="str">
        <f>IF($A222="","",INDEX(TblApplications[Environnement],$A222))</f>
        <v/>
      </c>
      <c r="F222" s="39" t="str">
        <f>IF($A222="","",INDEX(TblApplications[Couloir],$A222))</f>
        <v/>
      </c>
      <c r="G222" s="39" t="str">
        <f>IF($A222="","",INDEX(TblApplications[Action],$A222))</f>
        <v/>
      </c>
      <c r="H222" s="39" t="str">
        <f>IF($A222="","",INDEX(TblApplications[Cluster IKS source],$A222))</f>
        <v/>
      </c>
      <c r="I222" s="48" t="str">
        <f>IF($A222="","",INDEX(TblApplications[Mois lib (calc)],$A222))</f>
        <v/>
      </c>
      <c r="J222" s="39" t="str">
        <f>IF($A222="","",INDEX(TblApplications[CPU IKS libérable (vCPU)],$A222))</f>
        <v/>
      </c>
    </row>
    <row r="223" spans="1:10" x14ac:dyDescent="0.2">
      <c r="A223" s="37" t="str">
        <f>IFERROR(MATCH(148,TblApplications[Rang extinction],0),"")</f>
        <v/>
      </c>
      <c r="B223" s="39" t="str">
        <f>IF($A223="","",INDEX(TblApplications[ID],$A223))</f>
        <v/>
      </c>
      <c r="C223" s="39" t="str">
        <f>IF($A223="","",INDEX(TblApplications[Application],$A223))</f>
        <v/>
      </c>
      <c r="D223" s="39" t="str">
        <f>IF($A223="","",INDEX(TblApplications[Tribe],$A223))</f>
        <v/>
      </c>
      <c r="E223" s="39" t="str">
        <f>IF($A223="","",INDEX(TblApplications[Environnement],$A223))</f>
        <v/>
      </c>
      <c r="F223" s="39" t="str">
        <f>IF($A223="","",INDEX(TblApplications[Couloir],$A223))</f>
        <v/>
      </c>
      <c r="G223" s="39" t="str">
        <f>IF($A223="","",INDEX(TblApplications[Action],$A223))</f>
        <v/>
      </c>
      <c r="H223" s="39" t="str">
        <f>IF($A223="","",INDEX(TblApplications[Cluster IKS source],$A223))</f>
        <v/>
      </c>
      <c r="I223" s="48" t="str">
        <f>IF($A223="","",INDEX(TblApplications[Mois lib (calc)],$A223))</f>
        <v/>
      </c>
      <c r="J223" s="39" t="str">
        <f>IF($A223="","",INDEX(TblApplications[CPU IKS libérable (vCPU)],$A223))</f>
        <v/>
      </c>
    </row>
    <row r="224" spans="1:10" x14ac:dyDescent="0.2">
      <c r="A224" s="37" t="str">
        <f>IFERROR(MATCH(149,TblApplications[Rang extinction],0),"")</f>
        <v/>
      </c>
      <c r="B224" s="39" t="str">
        <f>IF($A224="","",INDEX(TblApplications[ID],$A224))</f>
        <v/>
      </c>
      <c r="C224" s="39" t="str">
        <f>IF($A224="","",INDEX(TblApplications[Application],$A224))</f>
        <v/>
      </c>
      <c r="D224" s="39" t="str">
        <f>IF($A224="","",INDEX(TblApplications[Tribe],$A224))</f>
        <v/>
      </c>
      <c r="E224" s="39" t="str">
        <f>IF($A224="","",INDEX(TblApplications[Environnement],$A224))</f>
        <v/>
      </c>
      <c r="F224" s="39" t="str">
        <f>IF($A224="","",INDEX(TblApplications[Couloir],$A224))</f>
        <v/>
      </c>
      <c r="G224" s="39" t="str">
        <f>IF($A224="","",INDEX(TblApplications[Action],$A224))</f>
        <v/>
      </c>
      <c r="H224" s="39" t="str">
        <f>IF($A224="","",INDEX(TblApplications[Cluster IKS source],$A224))</f>
        <v/>
      </c>
      <c r="I224" s="48" t="str">
        <f>IF($A224="","",INDEX(TblApplications[Mois lib (calc)],$A224))</f>
        <v/>
      </c>
      <c r="J224" s="39" t="str">
        <f>IF($A224="","",INDEX(TblApplications[CPU IKS libérable (vCPU)],$A224))</f>
        <v/>
      </c>
    </row>
    <row r="225" spans="1:10" x14ac:dyDescent="0.2">
      <c r="A225" s="37" t="str">
        <f>IFERROR(MATCH(150,TblApplications[Rang extinction],0),"")</f>
        <v/>
      </c>
      <c r="B225" s="39" t="str">
        <f>IF($A225="","",INDEX(TblApplications[ID],$A225))</f>
        <v/>
      </c>
      <c r="C225" s="39" t="str">
        <f>IF($A225="","",INDEX(TblApplications[Application],$A225))</f>
        <v/>
      </c>
      <c r="D225" s="39" t="str">
        <f>IF($A225="","",INDEX(TblApplications[Tribe],$A225))</f>
        <v/>
      </c>
      <c r="E225" s="39" t="str">
        <f>IF($A225="","",INDEX(TblApplications[Environnement],$A225))</f>
        <v/>
      </c>
      <c r="F225" s="39" t="str">
        <f>IF($A225="","",INDEX(TblApplications[Couloir],$A225))</f>
        <v/>
      </c>
      <c r="G225" s="39" t="str">
        <f>IF($A225="","",INDEX(TblApplications[Action],$A225))</f>
        <v/>
      </c>
      <c r="H225" s="39" t="str">
        <f>IF($A225="","",INDEX(TblApplications[Cluster IKS source],$A225))</f>
        <v/>
      </c>
      <c r="I225" s="48" t="str">
        <f>IF($A225="","",INDEX(TblApplications[Mois lib (calc)],$A225))</f>
        <v/>
      </c>
      <c r="J225" s="39" t="str">
        <f>IF($A225="","",INDEX(TblApplications[CPU IKS libérable (vCPU)],$A225))</f>
        <v/>
      </c>
    </row>
    <row r="226" spans="1:10" x14ac:dyDescent="0.2">
      <c r="A226" s="37" t="str">
        <f>IFERROR(MATCH(151,TblApplications[Rang extinction],0),"")</f>
        <v/>
      </c>
      <c r="B226" s="39" t="str">
        <f>IF($A226="","",INDEX(TblApplications[ID],$A226))</f>
        <v/>
      </c>
      <c r="C226" s="39" t="str">
        <f>IF($A226="","",INDEX(TblApplications[Application],$A226))</f>
        <v/>
      </c>
      <c r="D226" s="39" t="str">
        <f>IF($A226="","",INDEX(TblApplications[Tribe],$A226))</f>
        <v/>
      </c>
      <c r="E226" s="39" t="str">
        <f>IF($A226="","",INDEX(TblApplications[Environnement],$A226))</f>
        <v/>
      </c>
      <c r="F226" s="39" t="str">
        <f>IF($A226="","",INDEX(TblApplications[Couloir],$A226))</f>
        <v/>
      </c>
      <c r="G226" s="39" t="str">
        <f>IF($A226="","",INDEX(TblApplications[Action],$A226))</f>
        <v/>
      </c>
      <c r="H226" s="39" t="str">
        <f>IF($A226="","",INDEX(TblApplications[Cluster IKS source],$A226))</f>
        <v/>
      </c>
      <c r="I226" s="48" t="str">
        <f>IF($A226="","",INDEX(TblApplications[Mois lib (calc)],$A226))</f>
        <v/>
      </c>
      <c r="J226" s="39" t="str">
        <f>IF($A226="","",INDEX(TblApplications[CPU IKS libérable (vCPU)],$A226))</f>
        <v/>
      </c>
    </row>
    <row r="227" spans="1:10" x14ac:dyDescent="0.2">
      <c r="A227" s="37" t="str">
        <f>IFERROR(MATCH(152,TblApplications[Rang extinction],0),"")</f>
        <v/>
      </c>
      <c r="B227" s="39" t="str">
        <f>IF($A227="","",INDEX(TblApplications[ID],$A227))</f>
        <v/>
      </c>
      <c r="C227" s="39" t="str">
        <f>IF($A227="","",INDEX(TblApplications[Application],$A227))</f>
        <v/>
      </c>
      <c r="D227" s="39" t="str">
        <f>IF($A227="","",INDEX(TblApplications[Tribe],$A227))</f>
        <v/>
      </c>
      <c r="E227" s="39" t="str">
        <f>IF($A227="","",INDEX(TblApplications[Environnement],$A227))</f>
        <v/>
      </c>
      <c r="F227" s="39" t="str">
        <f>IF($A227="","",INDEX(TblApplications[Couloir],$A227))</f>
        <v/>
      </c>
      <c r="G227" s="39" t="str">
        <f>IF($A227="","",INDEX(TblApplications[Action],$A227))</f>
        <v/>
      </c>
      <c r="H227" s="39" t="str">
        <f>IF($A227="","",INDEX(TblApplications[Cluster IKS source],$A227))</f>
        <v/>
      </c>
      <c r="I227" s="48" t="str">
        <f>IF($A227="","",INDEX(TblApplications[Mois lib (calc)],$A227))</f>
        <v/>
      </c>
      <c r="J227" s="39" t="str">
        <f>IF($A227="","",INDEX(TblApplications[CPU IKS libérable (vCPU)],$A227))</f>
        <v/>
      </c>
    </row>
    <row r="228" spans="1:10" x14ac:dyDescent="0.2">
      <c r="A228" s="37" t="str">
        <f>IFERROR(MATCH(153,TblApplications[Rang extinction],0),"")</f>
        <v/>
      </c>
      <c r="B228" s="39" t="str">
        <f>IF($A228="","",INDEX(TblApplications[ID],$A228))</f>
        <v/>
      </c>
      <c r="C228" s="39" t="str">
        <f>IF($A228="","",INDEX(TblApplications[Application],$A228))</f>
        <v/>
      </c>
      <c r="D228" s="39" t="str">
        <f>IF($A228="","",INDEX(TblApplications[Tribe],$A228))</f>
        <v/>
      </c>
      <c r="E228" s="39" t="str">
        <f>IF($A228="","",INDEX(TblApplications[Environnement],$A228))</f>
        <v/>
      </c>
      <c r="F228" s="39" t="str">
        <f>IF($A228="","",INDEX(TblApplications[Couloir],$A228))</f>
        <v/>
      </c>
      <c r="G228" s="39" t="str">
        <f>IF($A228="","",INDEX(TblApplications[Action],$A228))</f>
        <v/>
      </c>
      <c r="H228" s="39" t="str">
        <f>IF($A228="","",INDEX(TblApplications[Cluster IKS source],$A228))</f>
        <v/>
      </c>
      <c r="I228" s="48" t="str">
        <f>IF($A228="","",INDEX(TblApplications[Mois lib (calc)],$A228))</f>
        <v/>
      </c>
      <c r="J228" s="39" t="str">
        <f>IF($A228="","",INDEX(TblApplications[CPU IKS libérable (vCPU)],$A228))</f>
        <v/>
      </c>
    </row>
    <row r="229" spans="1:10" x14ac:dyDescent="0.2">
      <c r="A229" s="37" t="str">
        <f>IFERROR(MATCH(154,TblApplications[Rang extinction],0),"")</f>
        <v/>
      </c>
      <c r="B229" s="39" t="str">
        <f>IF($A229="","",INDEX(TblApplications[ID],$A229))</f>
        <v/>
      </c>
      <c r="C229" s="39" t="str">
        <f>IF($A229="","",INDEX(TblApplications[Application],$A229))</f>
        <v/>
      </c>
      <c r="D229" s="39" t="str">
        <f>IF($A229="","",INDEX(TblApplications[Tribe],$A229))</f>
        <v/>
      </c>
      <c r="E229" s="39" t="str">
        <f>IF($A229="","",INDEX(TblApplications[Environnement],$A229))</f>
        <v/>
      </c>
      <c r="F229" s="39" t="str">
        <f>IF($A229="","",INDEX(TblApplications[Couloir],$A229))</f>
        <v/>
      </c>
      <c r="G229" s="39" t="str">
        <f>IF($A229="","",INDEX(TblApplications[Action],$A229))</f>
        <v/>
      </c>
      <c r="H229" s="39" t="str">
        <f>IF($A229="","",INDEX(TblApplications[Cluster IKS source],$A229))</f>
        <v/>
      </c>
      <c r="I229" s="48" t="str">
        <f>IF($A229="","",INDEX(TblApplications[Mois lib (calc)],$A229))</f>
        <v/>
      </c>
      <c r="J229" s="39" t="str">
        <f>IF($A229="","",INDEX(TblApplications[CPU IKS libérable (vCPU)],$A229))</f>
        <v/>
      </c>
    </row>
    <row r="230" spans="1:10" x14ac:dyDescent="0.2">
      <c r="A230" s="37" t="str">
        <f>IFERROR(MATCH(155,TblApplications[Rang extinction],0),"")</f>
        <v/>
      </c>
      <c r="B230" s="39" t="str">
        <f>IF($A230="","",INDEX(TblApplications[ID],$A230))</f>
        <v/>
      </c>
      <c r="C230" s="39" t="str">
        <f>IF($A230="","",INDEX(TblApplications[Application],$A230))</f>
        <v/>
      </c>
      <c r="D230" s="39" t="str">
        <f>IF($A230="","",INDEX(TblApplications[Tribe],$A230))</f>
        <v/>
      </c>
      <c r="E230" s="39" t="str">
        <f>IF($A230="","",INDEX(TblApplications[Environnement],$A230))</f>
        <v/>
      </c>
      <c r="F230" s="39" t="str">
        <f>IF($A230="","",INDEX(TblApplications[Couloir],$A230))</f>
        <v/>
      </c>
      <c r="G230" s="39" t="str">
        <f>IF($A230="","",INDEX(TblApplications[Action],$A230))</f>
        <v/>
      </c>
      <c r="H230" s="39" t="str">
        <f>IF($A230="","",INDEX(TblApplications[Cluster IKS source],$A230))</f>
        <v/>
      </c>
      <c r="I230" s="48" t="str">
        <f>IF($A230="","",INDEX(TblApplications[Mois lib (calc)],$A230))</f>
        <v/>
      </c>
      <c r="J230" s="39" t="str">
        <f>IF($A230="","",INDEX(TblApplications[CPU IKS libérable (vCPU)],$A230))</f>
        <v/>
      </c>
    </row>
    <row r="231" spans="1:10" x14ac:dyDescent="0.2">
      <c r="A231" s="37" t="str">
        <f>IFERROR(MATCH(156,TblApplications[Rang extinction],0),"")</f>
        <v/>
      </c>
      <c r="B231" s="39" t="str">
        <f>IF($A231="","",INDEX(TblApplications[ID],$A231))</f>
        <v/>
      </c>
      <c r="C231" s="39" t="str">
        <f>IF($A231="","",INDEX(TblApplications[Application],$A231))</f>
        <v/>
      </c>
      <c r="D231" s="39" t="str">
        <f>IF($A231="","",INDEX(TblApplications[Tribe],$A231))</f>
        <v/>
      </c>
      <c r="E231" s="39" t="str">
        <f>IF($A231="","",INDEX(TblApplications[Environnement],$A231))</f>
        <v/>
      </c>
      <c r="F231" s="39" t="str">
        <f>IF($A231="","",INDEX(TblApplications[Couloir],$A231))</f>
        <v/>
      </c>
      <c r="G231" s="39" t="str">
        <f>IF($A231="","",INDEX(TblApplications[Action],$A231))</f>
        <v/>
      </c>
      <c r="H231" s="39" t="str">
        <f>IF($A231="","",INDEX(TblApplications[Cluster IKS source],$A231))</f>
        <v/>
      </c>
      <c r="I231" s="48" t="str">
        <f>IF($A231="","",INDEX(TblApplications[Mois lib (calc)],$A231))</f>
        <v/>
      </c>
      <c r="J231" s="39" t="str">
        <f>IF($A231="","",INDEX(TblApplications[CPU IKS libérable (vCPU)],$A231))</f>
        <v/>
      </c>
    </row>
    <row r="232" spans="1:10" x14ac:dyDescent="0.2">
      <c r="A232" s="37" t="str">
        <f>IFERROR(MATCH(157,TblApplications[Rang extinction],0),"")</f>
        <v/>
      </c>
      <c r="B232" s="39" t="str">
        <f>IF($A232="","",INDEX(TblApplications[ID],$A232))</f>
        <v/>
      </c>
      <c r="C232" s="39" t="str">
        <f>IF($A232="","",INDEX(TblApplications[Application],$A232))</f>
        <v/>
      </c>
      <c r="D232" s="39" t="str">
        <f>IF($A232="","",INDEX(TblApplications[Tribe],$A232))</f>
        <v/>
      </c>
      <c r="E232" s="39" t="str">
        <f>IF($A232="","",INDEX(TblApplications[Environnement],$A232))</f>
        <v/>
      </c>
      <c r="F232" s="39" t="str">
        <f>IF($A232="","",INDEX(TblApplications[Couloir],$A232))</f>
        <v/>
      </c>
      <c r="G232" s="39" t="str">
        <f>IF($A232="","",INDEX(TblApplications[Action],$A232))</f>
        <v/>
      </c>
      <c r="H232" s="39" t="str">
        <f>IF($A232="","",INDEX(TblApplications[Cluster IKS source],$A232))</f>
        <v/>
      </c>
      <c r="I232" s="48" t="str">
        <f>IF($A232="","",INDEX(TblApplications[Mois lib (calc)],$A232))</f>
        <v/>
      </c>
      <c r="J232" s="39" t="str">
        <f>IF($A232="","",INDEX(TblApplications[CPU IKS libérable (vCPU)],$A232))</f>
        <v/>
      </c>
    </row>
    <row r="233" spans="1:10" x14ac:dyDescent="0.2">
      <c r="A233" s="37" t="str">
        <f>IFERROR(MATCH(158,TblApplications[Rang extinction],0),"")</f>
        <v/>
      </c>
      <c r="B233" s="39" t="str">
        <f>IF($A233="","",INDEX(TblApplications[ID],$A233))</f>
        <v/>
      </c>
      <c r="C233" s="39" t="str">
        <f>IF($A233="","",INDEX(TblApplications[Application],$A233))</f>
        <v/>
      </c>
      <c r="D233" s="39" t="str">
        <f>IF($A233="","",INDEX(TblApplications[Tribe],$A233))</f>
        <v/>
      </c>
      <c r="E233" s="39" t="str">
        <f>IF($A233="","",INDEX(TblApplications[Environnement],$A233))</f>
        <v/>
      </c>
      <c r="F233" s="39" t="str">
        <f>IF($A233="","",INDEX(TblApplications[Couloir],$A233))</f>
        <v/>
      </c>
      <c r="G233" s="39" t="str">
        <f>IF($A233="","",INDEX(TblApplications[Action],$A233))</f>
        <v/>
      </c>
      <c r="H233" s="39" t="str">
        <f>IF($A233="","",INDEX(TblApplications[Cluster IKS source],$A233))</f>
        <v/>
      </c>
      <c r="I233" s="48" t="str">
        <f>IF($A233="","",INDEX(TblApplications[Mois lib (calc)],$A233))</f>
        <v/>
      </c>
      <c r="J233" s="39" t="str">
        <f>IF($A233="","",INDEX(TblApplications[CPU IKS libérable (vCPU)],$A233))</f>
        <v/>
      </c>
    </row>
    <row r="234" spans="1:10" x14ac:dyDescent="0.2">
      <c r="A234" s="37" t="str">
        <f>IFERROR(MATCH(159,TblApplications[Rang extinction],0),"")</f>
        <v/>
      </c>
      <c r="B234" s="39" t="str">
        <f>IF($A234="","",INDEX(TblApplications[ID],$A234))</f>
        <v/>
      </c>
      <c r="C234" s="39" t="str">
        <f>IF($A234="","",INDEX(TblApplications[Application],$A234))</f>
        <v/>
      </c>
      <c r="D234" s="39" t="str">
        <f>IF($A234="","",INDEX(TblApplications[Tribe],$A234))</f>
        <v/>
      </c>
      <c r="E234" s="39" t="str">
        <f>IF($A234="","",INDEX(TblApplications[Environnement],$A234))</f>
        <v/>
      </c>
      <c r="F234" s="39" t="str">
        <f>IF($A234="","",INDEX(TblApplications[Couloir],$A234))</f>
        <v/>
      </c>
      <c r="G234" s="39" t="str">
        <f>IF($A234="","",INDEX(TblApplications[Action],$A234))</f>
        <v/>
      </c>
      <c r="H234" s="39" t="str">
        <f>IF($A234="","",INDEX(TblApplications[Cluster IKS source],$A234))</f>
        <v/>
      </c>
      <c r="I234" s="48" t="str">
        <f>IF($A234="","",INDEX(TblApplications[Mois lib (calc)],$A234))</f>
        <v/>
      </c>
      <c r="J234" s="39" t="str">
        <f>IF($A234="","",INDEX(TblApplications[CPU IKS libérable (vCPU)],$A234))</f>
        <v/>
      </c>
    </row>
    <row r="235" spans="1:10" x14ac:dyDescent="0.2">
      <c r="A235" s="37" t="str">
        <f>IFERROR(MATCH(160,TblApplications[Rang extinction],0),"")</f>
        <v/>
      </c>
      <c r="B235" s="39" t="str">
        <f>IF($A235="","",INDEX(TblApplications[ID],$A235))</f>
        <v/>
      </c>
      <c r="C235" s="39" t="str">
        <f>IF($A235="","",INDEX(TblApplications[Application],$A235))</f>
        <v/>
      </c>
      <c r="D235" s="39" t="str">
        <f>IF($A235="","",INDEX(TblApplications[Tribe],$A235))</f>
        <v/>
      </c>
      <c r="E235" s="39" t="str">
        <f>IF($A235="","",INDEX(TblApplications[Environnement],$A235))</f>
        <v/>
      </c>
      <c r="F235" s="39" t="str">
        <f>IF($A235="","",INDEX(TblApplications[Couloir],$A235))</f>
        <v/>
      </c>
      <c r="G235" s="39" t="str">
        <f>IF($A235="","",INDEX(TblApplications[Action],$A235))</f>
        <v/>
      </c>
      <c r="H235" s="39" t="str">
        <f>IF($A235="","",INDEX(TblApplications[Cluster IKS source],$A235))</f>
        <v/>
      </c>
      <c r="I235" s="48" t="str">
        <f>IF($A235="","",INDEX(TblApplications[Mois lib (calc)],$A235))</f>
        <v/>
      </c>
      <c r="J235" s="39" t="str">
        <f>IF($A235="","",INDEX(TblApplications[CPU IKS libérable (vCPU)],$A235))</f>
        <v/>
      </c>
    </row>
    <row r="236" spans="1:10" x14ac:dyDescent="0.2">
      <c r="A236" s="37" t="str">
        <f>IFERROR(MATCH(161,TblApplications[Rang extinction],0),"")</f>
        <v/>
      </c>
      <c r="B236" s="39" t="str">
        <f>IF($A236="","",INDEX(TblApplications[ID],$A236))</f>
        <v/>
      </c>
      <c r="C236" s="39" t="str">
        <f>IF($A236="","",INDEX(TblApplications[Application],$A236))</f>
        <v/>
      </c>
      <c r="D236" s="39" t="str">
        <f>IF($A236="","",INDEX(TblApplications[Tribe],$A236))</f>
        <v/>
      </c>
      <c r="E236" s="39" t="str">
        <f>IF($A236="","",INDEX(TblApplications[Environnement],$A236))</f>
        <v/>
      </c>
      <c r="F236" s="39" t="str">
        <f>IF($A236="","",INDEX(TblApplications[Couloir],$A236))</f>
        <v/>
      </c>
      <c r="G236" s="39" t="str">
        <f>IF($A236="","",INDEX(TblApplications[Action],$A236))</f>
        <v/>
      </c>
      <c r="H236" s="39" t="str">
        <f>IF($A236="","",INDEX(TblApplications[Cluster IKS source],$A236))</f>
        <v/>
      </c>
      <c r="I236" s="48" t="str">
        <f>IF($A236="","",INDEX(TblApplications[Mois lib (calc)],$A236))</f>
        <v/>
      </c>
      <c r="J236" s="39" t="str">
        <f>IF($A236="","",INDEX(TblApplications[CPU IKS libérable (vCPU)],$A236))</f>
        <v/>
      </c>
    </row>
    <row r="237" spans="1:10" x14ac:dyDescent="0.2">
      <c r="A237" s="37" t="str">
        <f>IFERROR(MATCH(162,TblApplications[Rang extinction],0),"")</f>
        <v/>
      </c>
      <c r="B237" s="39" t="str">
        <f>IF($A237="","",INDEX(TblApplications[ID],$A237))</f>
        <v/>
      </c>
      <c r="C237" s="39" t="str">
        <f>IF($A237="","",INDEX(TblApplications[Application],$A237))</f>
        <v/>
      </c>
      <c r="D237" s="39" t="str">
        <f>IF($A237="","",INDEX(TblApplications[Tribe],$A237))</f>
        <v/>
      </c>
      <c r="E237" s="39" t="str">
        <f>IF($A237="","",INDEX(TblApplications[Environnement],$A237))</f>
        <v/>
      </c>
      <c r="F237" s="39" t="str">
        <f>IF($A237="","",INDEX(TblApplications[Couloir],$A237))</f>
        <v/>
      </c>
      <c r="G237" s="39" t="str">
        <f>IF($A237="","",INDEX(TblApplications[Action],$A237))</f>
        <v/>
      </c>
      <c r="H237" s="39" t="str">
        <f>IF($A237="","",INDEX(TblApplications[Cluster IKS source],$A237))</f>
        <v/>
      </c>
      <c r="I237" s="48" t="str">
        <f>IF($A237="","",INDEX(TblApplications[Mois lib (calc)],$A237))</f>
        <v/>
      </c>
      <c r="J237" s="39" t="str">
        <f>IF($A237="","",INDEX(TblApplications[CPU IKS libérable (vCPU)],$A237))</f>
        <v/>
      </c>
    </row>
    <row r="238" spans="1:10" x14ac:dyDescent="0.2">
      <c r="A238" s="37" t="str">
        <f>IFERROR(MATCH(163,TblApplications[Rang extinction],0),"")</f>
        <v/>
      </c>
      <c r="B238" s="39" t="str">
        <f>IF($A238="","",INDEX(TblApplications[ID],$A238))</f>
        <v/>
      </c>
      <c r="C238" s="39" t="str">
        <f>IF($A238="","",INDEX(TblApplications[Application],$A238))</f>
        <v/>
      </c>
      <c r="D238" s="39" t="str">
        <f>IF($A238="","",INDEX(TblApplications[Tribe],$A238))</f>
        <v/>
      </c>
      <c r="E238" s="39" t="str">
        <f>IF($A238="","",INDEX(TblApplications[Environnement],$A238))</f>
        <v/>
      </c>
      <c r="F238" s="39" t="str">
        <f>IF($A238="","",INDEX(TblApplications[Couloir],$A238))</f>
        <v/>
      </c>
      <c r="G238" s="39" t="str">
        <f>IF($A238="","",INDEX(TblApplications[Action],$A238))</f>
        <v/>
      </c>
      <c r="H238" s="39" t="str">
        <f>IF($A238="","",INDEX(TblApplications[Cluster IKS source],$A238))</f>
        <v/>
      </c>
      <c r="I238" s="48" t="str">
        <f>IF($A238="","",INDEX(TblApplications[Mois lib (calc)],$A238))</f>
        <v/>
      </c>
      <c r="J238" s="39" t="str">
        <f>IF($A238="","",INDEX(TblApplications[CPU IKS libérable (vCPU)],$A238))</f>
        <v/>
      </c>
    </row>
    <row r="239" spans="1:10" x14ac:dyDescent="0.2">
      <c r="A239" s="37" t="str">
        <f>IFERROR(MATCH(164,TblApplications[Rang extinction],0),"")</f>
        <v/>
      </c>
      <c r="B239" s="39" t="str">
        <f>IF($A239="","",INDEX(TblApplications[ID],$A239))</f>
        <v/>
      </c>
      <c r="C239" s="39" t="str">
        <f>IF($A239="","",INDEX(TblApplications[Application],$A239))</f>
        <v/>
      </c>
      <c r="D239" s="39" t="str">
        <f>IF($A239="","",INDEX(TblApplications[Tribe],$A239))</f>
        <v/>
      </c>
      <c r="E239" s="39" t="str">
        <f>IF($A239="","",INDEX(TblApplications[Environnement],$A239))</f>
        <v/>
      </c>
      <c r="F239" s="39" t="str">
        <f>IF($A239="","",INDEX(TblApplications[Couloir],$A239))</f>
        <v/>
      </c>
      <c r="G239" s="39" t="str">
        <f>IF($A239="","",INDEX(TblApplications[Action],$A239))</f>
        <v/>
      </c>
      <c r="H239" s="39" t="str">
        <f>IF($A239="","",INDEX(TblApplications[Cluster IKS source],$A239))</f>
        <v/>
      </c>
      <c r="I239" s="48" t="str">
        <f>IF($A239="","",INDEX(TblApplications[Mois lib (calc)],$A239))</f>
        <v/>
      </c>
      <c r="J239" s="39" t="str">
        <f>IF($A239="","",INDEX(TblApplications[CPU IKS libérable (vCPU)],$A239))</f>
        <v/>
      </c>
    </row>
    <row r="240" spans="1:10" x14ac:dyDescent="0.2">
      <c r="A240" s="37" t="str">
        <f>IFERROR(MATCH(165,TblApplications[Rang extinction],0),"")</f>
        <v/>
      </c>
      <c r="B240" s="39" t="str">
        <f>IF($A240="","",INDEX(TblApplications[ID],$A240))</f>
        <v/>
      </c>
      <c r="C240" s="39" t="str">
        <f>IF($A240="","",INDEX(TblApplications[Application],$A240))</f>
        <v/>
      </c>
      <c r="D240" s="39" t="str">
        <f>IF($A240="","",INDEX(TblApplications[Tribe],$A240))</f>
        <v/>
      </c>
      <c r="E240" s="39" t="str">
        <f>IF($A240="","",INDEX(TblApplications[Environnement],$A240))</f>
        <v/>
      </c>
      <c r="F240" s="39" t="str">
        <f>IF($A240="","",INDEX(TblApplications[Couloir],$A240))</f>
        <v/>
      </c>
      <c r="G240" s="39" t="str">
        <f>IF($A240="","",INDEX(TblApplications[Action],$A240))</f>
        <v/>
      </c>
      <c r="H240" s="39" t="str">
        <f>IF($A240="","",INDEX(TblApplications[Cluster IKS source],$A240))</f>
        <v/>
      </c>
      <c r="I240" s="48" t="str">
        <f>IF($A240="","",INDEX(TblApplications[Mois lib (calc)],$A240))</f>
        <v/>
      </c>
      <c r="J240" s="39" t="str">
        <f>IF($A240="","",INDEX(TblApplications[CPU IKS libérable (vCPU)],$A240))</f>
        <v/>
      </c>
    </row>
    <row r="241" spans="1:10" x14ac:dyDescent="0.2">
      <c r="A241" s="37" t="str">
        <f>IFERROR(MATCH(166,TblApplications[Rang extinction],0),"")</f>
        <v/>
      </c>
      <c r="B241" s="39" t="str">
        <f>IF($A241="","",INDEX(TblApplications[ID],$A241))</f>
        <v/>
      </c>
      <c r="C241" s="39" t="str">
        <f>IF($A241="","",INDEX(TblApplications[Application],$A241))</f>
        <v/>
      </c>
      <c r="D241" s="39" t="str">
        <f>IF($A241="","",INDEX(TblApplications[Tribe],$A241))</f>
        <v/>
      </c>
      <c r="E241" s="39" t="str">
        <f>IF($A241="","",INDEX(TblApplications[Environnement],$A241))</f>
        <v/>
      </c>
      <c r="F241" s="39" t="str">
        <f>IF($A241="","",INDEX(TblApplications[Couloir],$A241))</f>
        <v/>
      </c>
      <c r="G241" s="39" t="str">
        <f>IF($A241="","",INDEX(TblApplications[Action],$A241))</f>
        <v/>
      </c>
      <c r="H241" s="39" t="str">
        <f>IF($A241="","",INDEX(TblApplications[Cluster IKS source],$A241))</f>
        <v/>
      </c>
      <c r="I241" s="48" t="str">
        <f>IF($A241="","",INDEX(TblApplications[Mois lib (calc)],$A241))</f>
        <v/>
      </c>
      <c r="J241" s="39" t="str">
        <f>IF($A241="","",INDEX(TblApplications[CPU IKS libérable (vCPU)],$A241))</f>
        <v/>
      </c>
    </row>
    <row r="242" spans="1:10" x14ac:dyDescent="0.2">
      <c r="A242" s="37" t="str">
        <f>IFERROR(MATCH(167,TblApplications[Rang extinction],0),"")</f>
        <v/>
      </c>
      <c r="B242" s="39" t="str">
        <f>IF($A242="","",INDEX(TblApplications[ID],$A242))</f>
        <v/>
      </c>
      <c r="C242" s="39" t="str">
        <f>IF($A242="","",INDEX(TblApplications[Application],$A242))</f>
        <v/>
      </c>
      <c r="D242" s="39" t="str">
        <f>IF($A242="","",INDEX(TblApplications[Tribe],$A242))</f>
        <v/>
      </c>
      <c r="E242" s="39" t="str">
        <f>IF($A242="","",INDEX(TblApplications[Environnement],$A242))</f>
        <v/>
      </c>
      <c r="F242" s="39" t="str">
        <f>IF($A242="","",INDEX(TblApplications[Couloir],$A242))</f>
        <v/>
      </c>
      <c r="G242" s="39" t="str">
        <f>IF($A242="","",INDEX(TblApplications[Action],$A242))</f>
        <v/>
      </c>
      <c r="H242" s="39" t="str">
        <f>IF($A242="","",INDEX(TblApplications[Cluster IKS source],$A242))</f>
        <v/>
      </c>
      <c r="I242" s="48" t="str">
        <f>IF($A242="","",INDEX(TblApplications[Mois lib (calc)],$A242))</f>
        <v/>
      </c>
      <c r="J242" s="39" t="str">
        <f>IF($A242="","",INDEX(TblApplications[CPU IKS libérable (vCPU)],$A242))</f>
        <v/>
      </c>
    </row>
    <row r="243" spans="1:10" x14ac:dyDescent="0.2">
      <c r="A243" s="37" t="str">
        <f>IFERROR(MATCH(168,TblApplications[Rang extinction],0),"")</f>
        <v/>
      </c>
      <c r="B243" s="39" t="str">
        <f>IF($A243="","",INDEX(TblApplications[ID],$A243))</f>
        <v/>
      </c>
      <c r="C243" s="39" t="str">
        <f>IF($A243="","",INDEX(TblApplications[Application],$A243))</f>
        <v/>
      </c>
      <c r="D243" s="39" t="str">
        <f>IF($A243="","",INDEX(TblApplications[Tribe],$A243))</f>
        <v/>
      </c>
      <c r="E243" s="39" t="str">
        <f>IF($A243="","",INDEX(TblApplications[Environnement],$A243))</f>
        <v/>
      </c>
      <c r="F243" s="39" t="str">
        <f>IF($A243="","",INDEX(TblApplications[Couloir],$A243))</f>
        <v/>
      </c>
      <c r="G243" s="39" t="str">
        <f>IF($A243="","",INDEX(TblApplications[Action],$A243))</f>
        <v/>
      </c>
      <c r="H243" s="39" t="str">
        <f>IF($A243="","",INDEX(TblApplications[Cluster IKS source],$A243))</f>
        <v/>
      </c>
      <c r="I243" s="48" t="str">
        <f>IF($A243="","",INDEX(TblApplications[Mois lib (calc)],$A243))</f>
        <v/>
      </c>
      <c r="J243" s="39" t="str">
        <f>IF($A243="","",INDEX(TblApplications[CPU IKS libérable (vCPU)],$A243))</f>
        <v/>
      </c>
    </row>
    <row r="244" spans="1:10" x14ac:dyDescent="0.2">
      <c r="A244" s="37" t="str">
        <f>IFERROR(MATCH(169,TblApplications[Rang extinction],0),"")</f>
        <v/>
      </c>
      <c r="B244" s="39" t="str">
        <f>IF($A244="","",INDEX(TblApplications[ID],$A244))</f>
        <v/>
      </c>
      <c r="C244" s="39" t="str">
        <f>IF($A244="","",INDEX(TblApplications[Application],$A244))</f>
        <v/>
      </c>
      <c r="D244" s="39" t="str">
        <f>IF($A244="","",INDEX(TblApplications[Tribe],$A244))</f>
        <v/>
      </c>
      <c r="E244" s="39" t="str">
        <f>IF($A244="","",INDEX(TblApplications[Environnement],$A244))</f>
        <v/>
      </c>
      <c r="F244" s="39" t="str">
        <f>IF($A244="","",INDEX(TblApplications[Couloir],$A244))</f>
        <v/>
      </c>
      <c r="G244" s="39" t="str">
        <f>IF($A244="","",INDEX(TblApplications[Action],$A244))</f>
        <v/>
      </c>
      <c r="H244" s="39" t="str">
        <f>IF($A244="","",INDEX(TblApplications[Cluster IKS source],$A244))</f>
        <v/>
      </c>
      <c r="I244" s="48" t="str">
        <f>IF($A244="","",INDEX(TblApplications[Mois lib (calc)],$A244))</f>
        <v/>
      </c>
      <c r="J244" s="39" t="str">
        <f>IF($A244="","",INDEX(TblApplications[CPU IKS libérable (vCPU)],$A244))</f>
        <v/>
      </c>
    </row>
    <row r="245" spans="1:10" x14ac:dyDescent="0.2">
      <c r="A245" s="37" t="str">
        <f>IFERROR(MATCH(170,TblApplications[Rang extinction],0),"")</f>
        <v/>
      </c>
      <c r="B245" s="39" t="str">
        <f>IF($A245="","",INDEX(TblApplications[ID],$A245))</f>
        <v/>
      </c>
      <c r="C245" s="39" t="str">
        <f>IF($A245="","",INDEX(TblApplications[Application],$A245))</f>
        <v/>
      </c>
      <c r="D245" s="39" t="str">
        <f>IF($A245="","",INDEX(TblApplications[Tribe],$A245))</f>
        <v/>
      </c>
      <c r="E245" s="39" t="str">
        <f>IF($A245="","",INDEX(TblApplications[Environnement],$A245))</f>
        <v/>
      </c>
      <c r="F245" s="39" t="str">
        <f>IF($A245="","",INDEX(TblApplications[Couloir],$A245))</f>
        <v/>
      </c>
      <c r="G245" s="39" t="str">
        <f>IF($A245="","",INDEX(TblApplications[Action],$A245))</f>
        <v/>
      </c>
      <c r="H245" s="39" t="str">
        <f>IF($A245="","",INDEX(TblApplications[Cluster IKS source],$A245))</f>
        <v/>
      </c>
      <c r="I245" s="48" t="str">
        <f>IF($A245="","",INDEX(TblApplications[Mois lib (calc)],$A245))</f>
        <v/>
      </c>
      <c r="J245" s="39" t="str">
        <f>IF($A245="","",INDEX(TblApplications[CPU IKS libérable (vCPU)],$A245))</f>
        <v/>
      </c>
    </row>
    <row r="246" spans="1:10" x14ac:dyDescent="0.2">
      <c r="A246" s="37" t="str">
        <f>IFERROR(MATCH(171,TblApplications[Rang extinction],0),"")</f>
        <v/>
      </c>
      <c r="B246" s="39" t="str">
        <f>IF($A246="","",INDEX(TblApplications[ID],$A246))</f>
        <v/>
      </c>
      <c r="C246" s="39" t="str">
        <f>IF($A246="","",INDEX(TblApplications[Application],$A246))</f>
        <v/>
      </c>
      <c r="D246" s="39" t="str">
        <f>IF($A246="","",INDEX(TblApplications[Tribe],$A246))</f>
        <v/>
      </c>
      <c r="E246" s="39" t="str">
        <f>IF($A246="","",INDEX(TblApplications[Environnement],$A246))</f>
        <v/>
      </c>
      <c r="F246" s="39" t="str">
        <f>IF($A246="","",INDEX(TblApplications[Couloir],$A246))</f>
        <v/>
      </c>
      <c r="G246" s="39" t="str">
        <f>IF($A246="","",INDEX(TblApplications[Action],$A246))</f>
        <v/>
      </c>
      <c r="H246" s="39" t="str">
        <f>IF($A246="","",INDEX(TblApplications[Cluster IKS source],$A246))</f>
        <v/>
      </c>
      <c r="I246" s="48" t="str">
        <f>IF($A246="","",INDEX(TblApplications[Mois lib (calc)],$A246))</f>
        <v/>
      </c>
      <c r="J246" s="39" t="str">
        <f>IF($A246="","",INDEX(TblApplications[CPU IKS libérable (vCPU)],$A246))</f>
        <v/>
      </c>
    </row>
    <row r="247" spans="1:10" x14ac:dyDescent="0.2">
      <c r="A247" s="37" t="str">
        <f>IFERROR(MATCH(172,TblApplications[Rang extinction],0),"")</f>
        <v/>
      </c>
      <c r="B247" s="39" t="str">
        <f>IF($A247="","",INDEX(TblApplications[ID],$A247))</f>
        <v/>
      </c>
      <c r="C247" s="39" t="str">
        <f>IF($A247="","",INDEX(TblApplications[Application],$A247))</f>
        <v/>
      </c>
      <c r="D247" s="39" t="str">
        <f>IF($A247="","",INDEX(TblApplications[Tribe],$A247))</f>
        <v/>
      </c>
      <c r="E247" s="39" t="str">
        <f>IF($A247="","",INDEX(TblApplications[Environnement],$A247))</f>
        <v/>
      </c>
      <c r="F247" s="39" t="str">
        <f>IF($A247="","",INDEX(TblApplications[Couloir],$A247))</f>
        <v/>
      </c>
      <c r="G247" s="39" t="str">
        <f>IF($A247="","",INDEX(TblApplications[Action],$A247))</f>
        <v/>
      </c>
      <c r="H247" s="39" t="str">
        <f>IF($A247="","",INDEX(TblApplications[Cluster IKS source],$A247))</f>
        <v/>
      </c>
      <c r="I247" s="48" t="str">
        <f>IF($A247="","",INDEX(TblApplications[Mois lib (calc)],$A247))</f>
        <v/>
      </c>
      <c r="J247" s="39" t="str">
        <f>IF($A247="","",INDEX(TblApplications[CPU IKS libérable (vCPU)],$A247))</f>
        <v/>
      </c>
    </row>
    <row r="248" spans="1:10" x14ac:dyDescent="0.2">
      <c r="A248" s="37" t="str">
        <f>IFERROR(MATCH(173,TblApplications[Rang extinction],0),"")</f>
        <v/>
      </c>
      <c r="B248" s="39" t="str">
        <f>IF($A248="","",INDEX(TblApplications[ID],$A248))</f>
        <v/>
      </c>
      <c r="C248" s="39" t="str">
        <f>IF($A248="","",INDEX(TblApplications[Application],$A248))</f>
        <v/>
      </c>
      <c r="D248" s="39" t="str">
        <f>IF($A248="","",INDEX(TblApplications[Tribe],$A248))</f>
        <v/>
      </c>
      <c r="E248" s="39" t="str">
        <f>IF($A248="","",INDEX(TblApplications[Environnement],$A248))</f>
        <v/>
      </c>
      <c r="F248" s="39" t="str">
        <f>IF($A248="","",INDEX(TblApplications[Couloir],$A248))</f>
        <v/>
      </c>
      <c r="G248" s="39" t="str">
        <f>IF($A248="","",INDEX(TblApplications[Action],$A248))</f>
        <v/>
      </c>
      <c r="H248" s="39" t="str">
        <f>IF($A248="","",INDEX(TblApplications[Cluster IKS source],$A248))</f>
        <v/>
      </c>
      <c r="I248" s="48" t="str">
        <f>IF($A248="","",INDEX(TblApplications[Mois lib (calc)],$A248))</f>
        <v/>
      </c>
      <c r="J248" s="39" t="str">
        <f>IF($A248="","",INDEX(TblApplications[CPU IKS libérable (vCPU)],$A248))</f>
        <v/>
      </c>
    </row>
    <row r="249" spans="1:10" x14ac:dyDescent="0.2">
      <c r="A249" s="37" t="str">
        <f>IFERROR(MATCH(174,TblApplications[Rang extinction],0),"")</f>
        <v/>
      </c>
      <c r="B249" s="39" t="str">
        <f>IF($A249="","",INDEX(TblApplications[ID],$A249))</f>
        <v/>
      </c>
      <c r="C249" s="39" t="str">
        <f>IF($A249="","",INDEX(TblApplications[Application],$A249))</f>
        <v/>
      </c>
      <c r="D249" s="39" t="str">
        <f>IF($A249="","",INDEX(TblApplications[Tribe],$A249))</f>
        <v/>
      </c>
      <c r="E249" s="39" t="str">
        <f>IF($A249="","",INDEX(TblApplications[Environnement],$A249))</f>
        <v/>
      </c>
      <c r="F249" s="39" t="str">
        <f>IF($A249="","",INDEX(TblApplications[Couloir],$A249))</f>
        <v/>
      </c>
      <c r="G249" s="39" t="str">
        <f>IF($A249="","",INDEX(TblApplications[Action],$A249))</f>
        <v/>
      </c>
      <c r="H249" s="39" t="str">
        <f>IF($A249="","",INDEX(TblApplications[Cluster IKS source],$A249))</f>
        <v/>
      </c>
      <c r="I249" s="48" t="str">
        <f>IF($A249="","",INDEX(TblApplications[Mois lib (calc)],$A249))</f>
        <v/>
      </c>
      <c r="J249" s="39" t="str">
        <f>IF($A249="","",INDEX(TblApplications[CPU IKS libérable (vCPU)],$A249))</f>
        <v/>
      </c>
    </row>
    <row r="250" spans="1:10" x14ac:dyDescent="0.2">
      <c r="A250" s="37" t="str">
        <f>IFERROR(MATCH(175,TblApplications[Rang extinction],0),"")</f>
        <v/>
      </c>
      <c r="B250" s="39" t="str">
        <f>IF($A250="","",INDEX(TblApplications[ID],$A250))</f>
        <v/>
      </c>
      <c r="C250" s="39" t="str">
        <f>IF($A250="","",INDEX(TblApplications[Application],$A250))</f>
        <v/>
      </c>
      <c r="D250" s="39" t="str">
        <f>IF($A250="","",INDEX(TblApplications[Tribe],$A250))</f>
        <v/>
      </c>
      <c r="E250" s="39" t="str">
        <f>IF($A250="","",INDEX(TblApplications[Environnement],$A250))</f>
        <v/>
      </c>
      <c r="F250" s="39" t="str">
        <f>IF($A250="","",INDEX(TblApplications[Couloir],$A250))</f>
        <v/>
      </c>
      <c r="G250" s="39" t="str">
        <f>IF($A250="","",INDEX(TblApplications[Action],$A250))</f>
        <v/>
      </c>
      <c r="H250" s="39" t="str">
        <f>IF($A250="","",INDEX(TblApplications[Cluster IKS source],$A250))</f>
        <v/>
      </c>
      <c r="I250" s="48" t="str">
        <f>IF($A250="","",INDEX(TblApplications[Mois lib (calc)],$A250))</f>
        <v/>
      </c>
      <c r="J250" s="39" t="str">
        <f>IF($A250="","",INDEX(TblApplications[CPU IKS libérable (vCPU)],$A250))</f>
        <v/>
      </c>
    </row>
    <row r="251" spans="1:10" x14ac:dyDescent="0.2">
      <c r="A251" s="37" t="str">
        <f>IFERROR(MATCH(176,TblApplications[Rang extinction],0),"")</f>
        <v/>
      </c>
      <c r="B251" s="39" t="str">
        <f>IF($A251="","",INDEX(TblApplications[ID],$A251))</f>
        <v/>
      </c>
      <c r="C251" s="39" t="str">
        <f>IF($A251="","",INDEX(TblApplications[Application],$A251))</f>
        <v/>
      </c>
      <c r="D251" s="39" t="str">
        <f>IF($A251="","",INDEX(TblApplications[Tribe],$A251))</f>
        <v/>
      </c>
      <c r="E251" s="39" t="str">
        <f>IF($A251="","",INDEX(TblApplications[Environnement],$A251))</f>
        <v/>
      </c>
      <c r="F251" s="39" t="str">
        <f>IF($A251="","",INDEX(TblApplications[Couloir],$A251))</f>
        <v/>
      </c>
      <c r="G251" s="39" t="str">
        <f>IF($A251="","",INDEX(TblApplications[Action],$A251))</f>
        <v/>
      </c>
      <c r="H251" s="39" t="str">
        <f>IF($A251="","",INDEX(TblApplications[Cluster IKS source],$A251))</f>
        <v/>
      </c>
      <c r="I251" s="48" t="str">
        <f>IF($A251="","",INDEX(TblApplications[Mois lib (calc)],$A251))</f>
        <v/>
      </c>
      <c r="J251" s="39" t="str">
        <f>IF($A251="","",INDEX(TblApplications[CPU IKS libérable (vCPU)],$A251))</f>
        <v/>
      </c>
    </row>
    <row r="252" spans="1:10" x14ac:dyDescent="0.2">
      <c r="A252" s="37" t="str">
        <f>IFERROR(MATCH(177,TblApplications[Rang extinction],0),"")</f>
        <v/>
      </c>
      <c r="B252" s="39" t="str">
        <f>IF($A252="","",INDEX(TblApplications[ID],$A252))</f>
        <v/>
      </c>
      <c r="C252" s="39" t="str">
        <f>IF($A252="","",INDEX(TblApplications[Application],$A252))</f>
        <v/>
      </c>
      <c r="D252" s="39" t="str">
        <f>IF($A252="","",INDEX(TblApplications[Tribe],$A252))</f>
        <v/>
      </c>
      <c r="E252" s="39" t="str">
        <f>IF($A252="","",INDEX(TblApplications[Environnement],$A252))</f>
        <v/>
      </c>
      <c r="F252" s="39" t="str">
        <f>IF($A252="","",INDEX(TblApplications[Couloir],$A252))</f>
        <v/>
      </c>
      <c r="G252" s="39" t="str">
        <f>IF($A252="","",INDEX(TblApplications[Action],$A252))</f>
        <v/>
      </c>
      <c r="H252" s="39" t="str">
        <f>IF($A252="","",INDEX(TblApplications[Cluster IKS source],$A252))</f>
        <v/>
      </c>
      <c r="I252" s="48" t="str">
        <f>IF($A252="","",INDEX(TblApplications[Mois lib (calc)],$A252))</f>
        <v/>
      </c>
      <c r="J252" s="39" t="str">
        <f>IF($A252="","",INDEX(TblApplications[CPU IKS libérable (vCPU)],$A252))</f>
        <v/>
      </c>
    </row>
    <row r="253" spans="1:10" x14ac:dyDescent="0.2">
      <c r="A253" s="37" t="str">
        <f>IFERROR(MATCH(178,TblApplications[Rang extinction],0),"")</f>
        <v/>
      </c>
      <c r="B253" s="39" t="str">
        <f>IF($A253="","",INDEX(TblApplications[ID],$A253))</f>
        <v/>
      </c>
      <c r="C253" s="39" t="str">
        <f>IF($A253="","",INDEX(TblApplications[Application],$A253))</f>
        <v/>
      </c>
      <c r="D253" s="39" t="str">
        <f>IF($A253="","",INDEX(TblApplications[Tribe],$A253))</f>
        <v/>
      </c>
      <c r="E253" s="39" t="str">
        <f>IF($A253="","",INDEX(TblApplications[Environnement],$A253))</f>
        <v/>
      </c>
      <c r="F253" s="39" t="str">
        <f>IF($A253="","",INDEX(TblApplications[Couloir],$A253))</f>
        <v/>
      </c>
      <c r="G253" s="39" t="str">
        <f>IF($A253="","",INDEX(TblApplications[Action],$A253))</f>
        <v/>
      </c>
      <c r="H253" s="39" t="str">
        <f>IF($A253="","",INDEX(TblApplications[Cluster IKS source],$A253))</f>
        <v/>
      </c>
      <c r="I253" s="48" t="str">
        <f>IF($A253="","",INDEX(TblApplications[Mois lib (calc)],$A253))</f>
        <v/>
      </c>
      <c r="J253" s="39" t="str">
        <f>IF($A253="","",INDEX(TblApplications[CPU IKS libérable (vCPU)],$A253))</f>
        <v/>
      </c>
    </row>
    <row r="254" spans="1:10" x14ac:dyDescent="0.2">
      <c r="A254" s="37" t="str">
        <f>IFERROR(MATCH(179,TblApplications[Rang extinction],0),"")</f>
        <v/>
      </c>
      <c r="B254" s="39" t="str">
        <f>IF($A254="","",INDEX(TblApplications[ID],$A254))</f>
        <v/>
      </c>
      <c r="C254" s="39" t="str">
        <f>IF($A254="","",INDEX(TblApplications[Application],$A254))</f>
        <v/>
      </c>
      <c r="D254" s="39" t="str">
        <f>IF($A254="","",INDEX(TblApplications[Tribe],$A254))</f>
        <v/>
      </c>
      <c r="E254" s="39" t="str">
        <f>IF($A254="","",INDEX(TblApplications[Environnement],$A254))</f>
        <v/>
      </c>
      <c r="F254" s="39" t="str">
        <f>IF($A254="","",INDEX(TblApplications[Couloir],$A254))</f>
        <v/>
      </c>
      <c r="G254" s="39" t="str">
        <f>IF($A254="","",INDEX(TblApplications[Action],$A254))</f>
        <v/>
      </c>
      <c r="H254" s="39" t="str">
        <f>IF($A254="","",INDEX(TblApplications[Cluster IKS source],$A254))</f>
        <v/>
      </c>
      <c r="I254" s="48" t="str">
        <f>IF($A254="","",INDEX(TblApplications[Mois lib (calc)],$A254))</f>
        <v/>
      </c>
      <c r="J254" s="39" t="str">
        <f>IF($A254="","",INDEX(TblApplications[CPU IKS libérable (vCPU)],$A254))</f>
        <v/>
      </c>
    </row>
    <row r="255" spans="1:10" x14ac:dyDescent="0.2">
      <c r="A255" s="37" t="str">
        <f>IFERROR(MATCH(180,TblApplications[Rang extinction],0),"")</f>
        <v/>
      </c>
      <c r="B255" s="39" t="str">
        <f>IF($A255="","",INDEX(TblApplications[ID],$A255))</f>
        <v/>
      </c>
      <c r="C255" s="39" t="str">
        <f>IF($A255="","",INDEX(TblApplications[Application],$A255))</f>
        <v/>
      </c>
      <c r="D255" s="39" t="str">
        <f>IF($A255="","",INDEX(TblApplications[Tribe],$A255))</f>
        <v/>
      </c>
      <c r="E255" s="39" t="str">
        <f>IF($A255="","",INDEX(TblApplications[Environnement],$A255))</f>
        <v/>
      </c>
      <c r="F255" s="39" t="str">
        <f>IF($A255="","",INDEX(TblApplications[Couloir],$A255))</f>
        <v/>
      </c>
      <c r="G255" s="39" t="str">
        <f>IF($A255="","",INDEX(TblApplications[Action],$A255))</f>
        <v/>
      </c>
      <c r="H255" s="39" t="str">
        <f>IF($A255="","",INDEX(TblApplications[Cluster IKS source],$A255))</f>
        <v/>
      </c>
      <c r="I255" s="48" t="str">
        <f>IF($A255="","",INDEX(TblApplications[Mois lib (calc)],$A255))</f>
        <v/>
      </c>
      <c r="J255" s="39" t="str">
        <f>IF($A255="","",INDEX(TblApplications[CPU IKS libérable (vCPU)],$A255))</f>
        <v/>
      </c>
    </row>
    <row r="256" spans="1:10" x14ac:dyDescent="0.2">
      <c r="A256" s="37" t="str">
        <f>IFERROR(MATCH(181,TblApplications[Rang extinction],0),"")</f>
        <v/>
      </c>
      <c r="B256" s="39" t="str">
        <f>IF($A256="","",INDEX(TblApplications[ID],$A256))</f>
        <v/>
      </c>
      <c r="C256" s="39" t="str">
        <f>IF($A256="","",INDEX(TblApplications[Application],$A256))</f>
        <v/>
      </c>
      <c r="D256" s="39" t="str">
        <f>IF($A256="","",INDEX(TblApplications[Tribe],$A256))</f>
        <v/>
      </c>
      <c r="E256" s="39" t="str">
        <f>IF($A256="","",INDEX(TblApplications[Environnement],$A256))</f>
        <v/>
      </c>
      <c r="F256" s="39" t="str">
        <f>IF($A256="","",INDEX(TblApplications[Couloir],$A256))</f>
        <v/>
      </c>
      <c r="G256" s="39" t="str">
        <f>IF($A256="","",INDEX(TblApplications[Action],$A256))</f>
        <v/>
      </c>
      <c r="H256" s="39" t="str">
        <f>IF($A256="","",INDEX(TblApplications[Cluster IKS source],$A256))</f>
        <v/>
      </c>
      <c r="I256" s="48" t="str">
        <f>IF($A256="","",INDEX(TblApplications[Mois lib (calc)],$A256))</f>
        <v/>
      </c>
      <c r="J256" s="39" t="str">
        <f>IF($A256="","",INDEX(TblApplications[CPU IKS libérable (vCPU)],$A256))</f>
        <v/>
      </c>
    </row>
    <row r="257" spans="1:10" x14ac:dyDescent="0.2">
      <c r="A257" s="37" t="str">
        <f>IFERROR(MATCH(182,TblApplications[Rang extinction],0),"")</f>
        <v/>
      </c>
      <c r="B257" s="39" t="str">
        <f>IF($A257="","",INDEX(TblApplications[ID],$A257))</f>
        <v/>
      </c>
      <c r="C257" s="39" t="str">
        <f>IF($A257="","",INDEX(TblApplications[Application],$A257))</f>
        <v/>
      </c>
      <c r="D257" s="39" t="str">
        <f>IF($A257="","",INDEX(TblApplications[Tribe],$A257))</f>
        <v/>
      </c>
      <c r="E257" s="39" t="str">
        <f>IF($A257="","",INDEX(TblApplications[Environnement],$A257))</f>
        <v/>
      </c>
      <c r="F257" s="39" t="str">
        <f>IF($A257="","",INDEX(TblApplications[Couloir],$A257))</f>
        <v/>
      </c>
      <c r="G257" s="39" t="str">
        <f>IF($A257="","",INDEX(TblApplications[Action],$A257))</f>
        <v/>
      </c>
      <c r="H257" s="39" t="str">
        <f>IF($A257="","",INDEX(TblApplications[Cluster IKS source],$A257))</f>
        <v/>
      </c>
      <c r="I257" s="48" t="str">
        <f>IF($A257="","",INDEX(TblApplications[Mois lib (calc)],$A257))</f>
        <v/>
      </c>
      <c r="J257" s="39" t="str">
        <f>IF($A257="","",INDEX(TblApplications[CPU IKS libérable (vCPU)],$A257))</f>
        <v/>
      </c>
    </row>
    <row r="258" spans="1:10" x14ac:dyDescent="0.2">
      <c r="A258" s="37" t="str">
        <f>IFERROR(MATCH(183,TblApplications[Rang extinction],0),"")</f>
        <v/>
      </c>
      <c r="B258" s="39" t="str">
        <f>IF($A258="","",INDEX(TblApplications[ID],$A258))</f>
        <v/>
      </c>
      <c r="C258" s="39" t="str">
        <f>IF($A258="","",INDEX(TblApplications[Application],$A258))</f>
        <v/>
      </c>
      <c r="D258" s="39" t="str">
        <f>IF($A258="","",INDEX(TblApplications[Tribe],$A258))</f>
        <v/>
      </c>
      <c r="E258" s="39" t="str">
        <f>IF($A258="","",INDEX(TblApplications[Environnement],$A258))</f>
        <v/>
      </c>
      <c r="F258" s="39" t="str">
        <f>IF($A258="","",INDEX(TblApplications[Couloir],$A258))</f>
        <v/>
      </c>
      <c r="G258" s="39" t="str">
        <f>IF($A258="","",INDEX(TblApplications[Action],$A258))</f>
        <v/>
      </c>
      <c r="H258" s="39" t="str">
        <f>IF($A258="","",INDEX(TblApplications[Cluster IKS source],$A258))</f>
        <v/>
      </c>
      <c r="I258" s="48" t="str">
        <f>IF($A258="","",INDEX(TblApplications[Mois lib (calc)],$A258))</f>
        <v/>
      </c>
      <c r="J258" s="39" t="str">
        <f>IF($A258="","",INDEX(TblApplications[CPU IKS libérable (vCPU)],$A258))</f>
        <v/>
      </c>
    </row>
    <row r="259" spans="1:10" x14ac:dyDescent="0.2">
      <c r="A259" s="37" t="str">
        <f>IFERROR(MATCH(184,TblApplications[Rang extinction],0),"")</f>
        <v/>
      </c>
      <c r="B259" s="39" t="str">
        <f>IF($A259="","",INDEX(TblApplications[ID],$A259))</f>
        <v/>
      </c>
      <c r="C259" s="39" t="str">
        <f>IF($A259="","",INDEX(TblApplications[Application],$A259))</f>
        <v/>
      </c>
      <c r="D259" s="39" t="str">
        <f>IF($A259="","",INDEX(TblApplications[Tribe],$A259))</f>
        <v/>
      </c>
      <c r="E259" s="39" t="str">
        <f>IF($A259="","",INDEX(TblApplications[Environnement],$A259))</f>
        <v/>
      </c>
      <c r="F259" s="39" t="str">
        <f>IF($A259="","",INDEX(TblApplications[Couloir],$A259))</f>
        <v/>
      </c>
      <c r="G259" s="39" t="str">
        <f>IF($A259="","",INDEX(TblApplications[Action],$A259))</f>
        <v/>
      </c>
      <c r="H259" s="39" t="str">
        <f>IF($A259="","",INDEX(TblApplications[Cluster IKS source],$A259))</f>
        <v/>
      </c>
      <c r="I259" s="48" t="str">
        <f>IF($A259="","",INDEX(TblApplications[Mois lib (calc)],$A259))</f>
        <v/>
      </c>
      <c r="J259" s="39" t="str">
        <f>IF($A259="","",INDEX(TblApplications[CPU IKS libérable (vCPU)],$A259))</f>
        <v/>
      </c>
    </row>
    <row r="260" spans="1:10" x14ac:dyDescent="0.2">
      <c r="A260" s="37" t="str">
        <f>IFERROR(MATCH(185,TblApplications[Rang extinction],0),"")</f>
        <v/>
      </c>
      <c r="B260" s="39" t="str">
        <f>IF($A260="","",INDEX(TblApplications[ID],$A260))</f>
        <v/>
      </c>
      <c r="C260" s="39" t="str">
        <f>IF($A260="","",INDEX(TblApplications[Application],$A260))</f>
        <v/>
      </c>
      <c r="D260" s="39" t="str">
        <f>IF($A260="","",INDEX(TblApplications[Tribe],$A260))</f>
        <v/>
      </c>
      <c r="E260" s="39" t="str">
        <f>IF($A260="","",INDEX(TblApplications[Environnement],$A260))</f>
        <v/>
      </c>
      <c r="F260" s="39" t="str">
        <f>IF($A260="","",INDEX(TblApplications[Couloir],$A260))</f>
        <v/>
      </c>
      <c r="G260" s="39" t="str">
        <f>IF($A260="","",INDEX(TblApplications[Action],$A260))</f>
        <v/>
      </c>
      <c r="H260" s="39" t="str">
        <f>IF($A260="","",INDEX(TblApplications[Cluster IKS source],$A260))</f>
        <v/>
      </c>
      <c r="I260" s="48" t="str">
        <f>IF($A260="","",INDEX(TblApplications[Mois lib (calc)],$A260))</f>
        <v/>
      </c>
      <c r="J260" s="39" t="str">
        <f>IF($A260="","",INDEX(TblApplications[CPU IKS libérable (vCPU)],$A260))</f>
        <v/>
      </c>
    </row>
    <row r="261" spans="1:10" x14ac:dyDescent="0.2">
      <c r="A261" s="37" t="str">
        <f>IFERROR(MATCH(186,TblApplications[Rang extinction],0),"")</f>
        <v/>
      </c>
      <c r="B261" s="39" t="str">
        <f>IF($A261="","",INDEX(TblApplications[ID],$A261))</f>
        <v/>
      </c>
      <c r="C261" s="39" t="str">
        <f>IF($A261="","",INDEX(TblApplications[Application],$A261))</f>
        <v/>
      </c>
      <c r="D261" s="39" t="str">
        <f>IF($A261="","",INDEX(TblApplications[Tribe],$A261))</f>
        <v/>
      </c>
      <c r="E261" s="39" t="str">
        <f>IF($A261="","",INDEX(TblApplications[Environnement],$A261))</f>
        <v/>
      </c>
      <c r="F261" s="39" t="str">
        <f>IF($A261="","",INDEX(TblApplications[Couloir],$A261))</f>
        <v/>
      </c>
      <c r="G261" s="39" t="str">
        <f>IF($A261="","",INDEX(TblApplications[Action],$A261))</f>
        <v/>
      </c>
      <c r="H261" s="39" t="str">
        <f>IF($A261="","",INDEX(TblApplications[Cluster IKS source],$A261))</f>
        <v/>
      </c>
      <c r="I261" s="48" t="str">
        <f>IF($A261="","",INDEX(TblApplications[Mois lib (calc)],$A261))</f>
        <v/>
      </c>
      <c r="J261" s="39" t="str">
        <f>IF($A261="","",INDEX(TblApplications[CPU IKS libérable (vCPU)],$A261))</f>
        <v/>
      </c>
    </row>
    <row r="262" spans="1:10" x14ac:dyDescent="0.2">
      <c r="A262" s="37" t="str">
        <f>IFERROR(MATCH(187,TblApplications[Rang extinction],0),"")</f>
        <v/>
      </c>
      <c r="B262" s="39" t="str">
        <f>IF($A262="","",INDEX(TblApplications[ID],$A262))</f>
        <v/>
      </c>
      <c r="C262" s="39" t="str">
        <f>IF($A262="","",INDEX(TblApplications[Application],$A262))</f>
        <v/>
      </c>
      <c r="D262" s="39" t="str">
        <f>IF($A262="","",INDEX(TblApplications[Tribe],$A262))</f>
        <v/>
      </c>
      <c r="E262" s="39" t="str">
        <f>IF($A262="","",INDEX(TblApplications[Environnement],$A262))</f>
        <v/>
      </c>
      <c r="F262" s="39" t="str">
        <f>IF($A262="","",INDEX(TblApplications[Couloir],$A262))</f>
        <v/>
      </c>
      <c r="G262" s="39" t="str">
        <f>IF($A262="","",INDEX(TblApplications[Action],$A262))</f>
        <v/>
      </c>
      <c r="H262" s="39" t="str">
        <f>IF($A262="","",INDEX(TblApplications[Cluster IKS source],$A262))</f>
        <v/>
      </c>
      <c r="I262" s="48" t="str">
        <f>IF($A262="","",INDEX(TblApplications[Mois lib (calc)],$A262))</f>
        <v/>
      </c>
      <c r="J262" s="39" t="str">
        <f>IF($A262="","",INDEX(TblApplications[CPU IKS libérable (vCPU)],$A262))</f>
        <v/>
      </c>
    </row>
    <row r="263" spans="1:10" x14ac:dyDescent="0.2">
      <c r="A263" s="37" t="str">
        <f>IFERROR(MATCH(188,TblApplications[Rang extinction],0),"")</f>
        <v/>
      </c>
      <c r="B263" s="39" t="str">
        <f>IF($A263="","",INDEX(TblApplications[ID],$A263))</f>
        <v/>
      </c>
      <c r="C263" s="39" t="str">
        <f>IF($A263="","",INDEX(TblApplications[Application],$A263))</f>
        <v/>
      </c>
      <c r="D263" s="39" t="str">
        <f>IF($A263="","",INDEX(TblApplications[Tribe],$A263))</f>
        <v/>
      </c>
      <c r="E263" s="39" t="str">
        <f>IF($A263="","",INDEX(TblApplications[Environnement],$A263))</f>
        <v/>
      </c>
      <c r="F263" s="39" t="str">
        <f>IF($A263="","",INDEX(TblApplications[Couloir],$A263))</f>
        <v/>
      </c>
      <c r="G263" s="39" t="str">
        <f>IF($A263="","",INDEX(TblApplications[Action],$A263))</f>
        <v/>
      </c>
      <c r="H263" s="39" t="str">
        <f>IF($A263="","",INDEX(TblApplications[Cluster IKS source],$A263))</f>
        <v/>
      </c>
      <c r="I263" s="48" t="str">
        <f>IF($A263="","",INDEX(TblApplications[Mois lib (calc)],$A263))</f>
        <v/>
      </c>
      <c r="J263" s="39" t="str">
        <f>IF($A263="","",INDEX(TblApplications[CPU IKS libérable (vCPU)],$A263))</f>
        <v/>
      </c>
    </row>
    <row r="264" spans="1:10" x14ac:dyDescent="0.2">
      <c r="A264" s="37" t="str">
        <f>IFERROR(MATCH(189,TblApplications[Rang extinction],0),"")</f>
        <v/>
      </c>
      <c r="B264" s="39" t="str">
        <f>IF($A264="","",INDEX(TblApplications[ID],$A264))</f>
        <v/>
      </c>
      <c r="C264" s="39" t="str">
        <f>IF($A264="","",INDEX(TblApplications[Application],$A264))</f>
        <v/>
      </c>
      <c r="D264" s="39" t="str">
        <f>IF($A264="","",INDEX(TblApplications[Tribe],$A264))</f>
        <v/>
      </c>
      <c r="E264" s="39" t="str">
        <f>IF($A264="","",INDEX(TblApplications[Environnement],$A264))</f>
        <v/>
      </c>
      <c r="F264" s="39" t="str">
        <f>IF($A264="","",INDEX(TblApplications[Couloir],$A264))</f>
        <v/>
      </c>
      <c r="G264" s="39" t="str">
        <f>IF($A264="","",INDEX(TblApplications[Action],$A264))</f>
        <v/>
      </c>
      <c r="H264" s="39" t="str">
        <f>IF($A264="","",INDEX(TblApplications[Cluster IKS source],$A264))</f>
        <v/>
      </c>
      <c r="I264" s="48" t="str">
        <f>IF($A264="","",INDEX(TblApplications[Mois lib (calc)],$A264))</f>
        <v/>
      </c>
      <c r="J264" s="39" t="str">
        <f>IF($A264="","",INDEX(TblApplications[CPU IKS libérable (vCPU)],$A264))</f>
        <v/>
      </c>
    </row>
    <row r="265" spans="1:10" x14ac:dyDescent="0.2">
      <c r="A265" s="37" t="str">
        <f>IFERROR(MATCH(190,TblApplications[Rang extinction],0),"")</f>
        <v/>
      </c>
      <c r="B265" s="39" t="str">
        <f>IF($A265="","",INDEX(TblApplications[ID],$A265))</f>
        <v/>
      </c>
      <c r="C265" s="39" t="str">
        <f>IF($A265="","",INDEX(TblApplications[Application],$A265))</f>
        <v/>
      </c>
      <c r="D265" s="39" t="str">
        <f>IF($A265="","",INDEX(TblApplications[Tribe],$A265))</f>
        <v/>
      </c>
      <c r="E265" s="39" t="str">
        <f>IF($A265="","",INDEX(TblApplications[Environnement],$A265))</f>
        <v/>
      </c>
      <c r="F265" s="39" t="str">
        <f>IF($A265="","",INDEX(TblApplications[Couloir],$A265))</f>
        <v/>
      </c>
      <c r="G265" s="39" t="str">
        <f>IF($A265="","",INDEX(TblApplications[Action],$A265))</f>
        <v/>
      </c>
      <c r="H265" s="39" t="str">
        <f>IF($A265="","",INDEX(TblApplications[Cluster IKS source],$A265))</f>
        <v/>
      </c>
      <c r="I265" s="48" t="str">
        <f>IF($A265="","",INDEX(TblApplications[Mois lib (calc)],$A265))</f>
        <v/>
      </c>
      <c r="J265" s="39" t="str">
        <f>IF($A265="","",INDEX(TblApplications[CPU IKS libérable (vCPU)],$A265))</f>
        <v/>
      </c>
    </row>
    <row r="266" spans="1:10" x14ac:dyDescent="0.2">
      <c r="A266" s="37" t="str">
        <f>IFERROR(MATCH(191,TblApplications[Rang extinction],0),"")</f>
        <v/>
      </c>
      <c r="B266" s="39" t="str">
        <f>IF($A266="","",INDEX(TblApplications[ID],$A266))</f>
        <v/>
      </c>
      <c r="C266" s="39" t="str">
        <f>IF($A266="","",INDEX(TblApplications[Application],$A266))</f>
        <v/>
      </c>
      <c r="D266" s="39" t="str">
        <f>IF($A266="","",INDEX(TblApplications[Tribe],$A266))</f>
        <v/>
      </c>
      <c r="E266" s="39" t="str">
        <f>IF($A266="","",INDEX(TblApplications[Environnement],$A266))</f>
        <v/>
      </c>
      <c r="F266" s="39" t="str">
        <f>IF($A266="","",INDEX(TblApplications[Couloir],$A266))</f>
        <v/>
      </c>
      <c r="G266" s="39" t="str">
        <f>IF($A266="","",INDEX(TblApplications[Action],$A266))</f>
        <v/>
      </c>
      <c r="H266" s="39" t="str">
        <f>IF($A266="","",INDEX(TblApplications[Cluster IKS source],$A266))</f>
        <v/>
      </c>
      <c r="I266" s="48" t="str">
        <f>IF($A266="","",INDEX(TblApplications[Mois lib (calc)],$A266))</f>
        <v/>
      </c>
      <c r="J266" s="39" t="str">
        <f>IF($A266="","",INDEX(TblApplications[CPU IKS libérable (vCPU)],$A266))</f>
        <v/>
      </c>
    </row>
    <row r="267" spans="1:10" x14ac:dyDescent="0.2">
      <c r="A267" s="37" t="str">
        <f>IFERROR(MATCH(192,TblApplications[Rang extinction],0),"")</f>
        <v/>
      </c>
      <c r="B267" s="39" t="str">
        <f>IF($A267="","",INDEX(TblApplications[ID],$A267))</f>
        <v/>
      </c>
      <c r="C267" s="39" t="str">
        <f>IF($A267="","",INDEX(TblApplications[Application],$A267))</f>
        <v/>
      </c>
      <c r="D267" s="39" t="str">
        <f>IF($A267="","",INDEX(TblApplications[Tribe],$A267))</f>
        <v/>
      </c>
      <c r="E267" s="39" t="str">
        <f>IF($A267="","",INDEX(TblApplications[Environnement],$A267))</f>
        <v/>
      </c>
      <c r="F267" s="39" t="str">
        <f>IF($A267="","",INDEX(TblApplications[Couloir],$A267))</f>
        <v/>
      </c>
      <c r="G267" s="39" t="str">
        <f>IF($A267="","",INDEX(TblApplications[Action],$A267))</f>
        <v/>
      </c>
      <c r="H267" s="39" t="str">
        <f>IF($A267="","",INDEX(TblApplications[Cluster IKS source],$A267))</f>
        <v/>
      </c>
      <c r="I267" s="48" t="str">
        <f>IF($A267="","",INDEX(TblApplications[Mois lib (calc)],$A267))</f>
        <v/>
      </c>
      <c r="J267" s="39" t="str">
        <f>IF($A267="","",INDEX(TblApplications[CPU IKS libérable (vCPU)],$A267))</f>
        <v/>
      </c>
    </row>
    <row r="268" spans="1:10" x14ac:dyDescent="0.2">
      <c r="A268" s="37" t="str">
        <f>IFERROR(MATCH(193,TblApplications[Rang extinction],0),"")</f>
        <v/>
      </c>
      <c r="B268" s="39" t="str">
        <f>IF($A268="","",INDEX(TblApplications[ID],$A268))</f>
        <v/>
      </c>
      <c r="C268" s="39" t="str">
        <f>IF($A268="","",INDEX(TblApplications[Application],$A268))</f>
        <v/>
      </c>
      <c r="D268" s="39" t="str">
        <f>IF($A268="","",INDEX(TblApplications[Tribe],$A268))</f>
        <v/>
      </c>
      <c r="E268" s="39" t="str">
        <f>IF($A268="","",INDEX(TblApplications[Environnement],$A268))</f>
        <v/>
      </c>
      <c r="F268" s="39" t="str">
        <f>IF($A268="","",INDEX(TblApplications[Couloir],$A268))</f>
        <v/>
      </c>
      <c r="G268" s="39" t="str">
        <f>IF($A268="","",INDEX(TblApplications[Action],$A268))</f>
        <v/>
      </c>
      <c r="H268" s="39" t="str">
        <f>IF($A268="","",INDEX(TblApplications[Cluster IKS source],$A268))</f>
        <v/>
      </c>
      <c r="I268" s="48" t="str">
        <f>IF($A268="","",INDEX(TblApplications[Mois lib (calc)],$A268))</f>
        <v/>
      </c>
      <c r="J268" s="39" t="str">
        <f>IF($A268="","",INDEX(TblApplications[CPU IKS libérable (vCPU)],$A268))</f>
        <v/>
      </c>
    </row>
    <row r="269" spans="1:10" x14ac:dyDescent="0.2">
      <c r="A269" s="37" t="str">
        <f>IFERROR(MATCH(194,TblApplications[Rang extinction],0),"")</f>
        <v/>
      </c>
      <c r="B269" s="39" t="str">
        <f>IF($A269="","",INDEX(TblApplications[ID],$A269))</f>
        <v/>
      </c>
      <c r="C269" s="39" t="str">
        <f>IF($A269="","",INDEX(TblApplications[Application],$A269))</f>
        <v/>
      </c>
      <c r="D269" s="39" t="str">
        <f>IF($A269="","",INDEX(TblApplications[Tribe],$A269))</f>
        <v/>
      </c>
      <c r="E269" s="39" t="str">
        <f>IF($A269="","",INDEX(TblApplications[Environnement],$A269))</f>
        <v/>
      </c>
      <c r="F269" s="39" t="str">
        <f>IF($A269="","",INDEX(TblApplications[Couloir],$A269))</f>
        <v/>
      </c>
      <c r="G269" s="39" t="str">
        <f>IF($A269="","",INDEX(TblApplications[Action],$A269))</f>
        <v/>
      </c>
      <c r="H269" s="39" t="str">
        <f>IF($A269="","",INDEX(TblApplications[Cluster IKS source],$A269))</f>
        <v/>
      </c>
      <c r="I269" s="48" t="str">
        <f>IF($A269="","",INDEX(TblApplications[Mois lib (calc)],$A269))</f>
        <v/>
      </c>
      <c r="J269" s="39" t="str">
        <f>IF($A269="","",INDEX(TblApplications[CPU IKS libérable (vCPU)],$A269))</f>
        <v/>
      </c>
    </row>
    <row r="270" spans="1:10" x14ac:dyDescent="0.2">
      <c r="A270" s="37" t="str">
        <f>IFERROR(MATCH(195,TblApplications[Rang extinction],0),"")</f>
        <v/>
      </c>
      <c r="B270" s="39" t="str">
        <f>IF($A270="","",INDEX(TblApplications[ID],$A270))</f>
        <v/>
      </c>
      <c r="C270" s="39" t="str">
        <f>IF($A270="","",INDEX(TblApplications[Application],$A270))</f>
        <v/>
      </c>
      <c r="D270" s="39" t="str">
        <f>IF($A270="","",INDEX(TblApplications[Tribe],$A270))</f>
        <v/>
      </c>
      <c r="E270" s="39" t="str">
        <f>IF($A270="","",INDEX(TblApplications[Environnement],$A270))</f>
        <v/>
      </c>
      <c r="F270" s="39" t="str">
        <f>IF($A270="","",INDEX(TblApplications[Couloir],$A270))</f>
        <v/>
      </c>
      <c r="G270" s="39" t="str">
        <f>IF($A270="","",INDEX(TblApplications[Action],$A270))</f>
        <v/>
      </c>
      <c r="H270" s="39" t="str">
        <f>IF($A270="","",INDEX(TblApplications[Cluster IKS source],$A270))</f>
        <v/>
      </c>
      <c r="I270" s="48" t="str">
        <f>IF($A270="","",INDEX(TblApplications[Mois lib (calc)],$A270))</f>
        <v/>
      </c>
      <c r="J270" s="39" t="str">
        <f>IF($A270="","",INDEX(TblApplications[CPU IKS libérable (vCPU)],$A270))</f>
        <v/>
      </c>
    </row>
    <row r="271" spans="1:10" x14ac:dyDescent="0.2">
      <c r="A271" s="37" t="str">
        <f>IFERROR(MATCH(196,TblApplications[Rang extinction],0),"")</f>
        <v/>
      </c>
      <c r="B271" s="39" t="str">
        <f>IF($A271="","",INDEX(TblApplications[ID],$A271))</f>
        <v/>
      </c>
      <c r="C271" s="39" t="str">
        <f>IF($A271="","",INDEX(TblApplications[Application],$A271))</f>
        <v/>
      </c>
      <c r="D271" s="39" t="str">
        <f>IF($A271="","",INDEX(TblApplications[Tribe],$A271))</f>
        <v/>
      </c>
      <c r="E271" s="39" t="str">
        <f>IF($A271="","",INDEX(TblApplications[Environnement],$A271))</f>
        <v/>
      </c>
      <c r="F271" s="39" t="str">
        <f>IF($A271="","",INDEX(TblApplications[Couloir],$A271))</f>
        <v/>
      </c>
      <c r="G271" s="39" t="str">
        <f>IF($A271="","",INDEX(TblApplications[Action],$A271))</f>
        <v/>
      </c>
      <c r="H271" s="39" t="str">
        <f>IF($A271="","",INDEX(TblApplications[Cluster IKS source],$A271))</f>
        <v/>
      </c>
      <c r="I271" s="48" t="str">
        <f>IF($A271="","",INDEX(TblApplications[Mois lib (calc)],$A271))</f>
        <v/>
      </c>
      <c r="J271" s="39" t="str">
        <f>IF($A271="","",INDEX(TblApplications[CPU IKS libérable (vCPU)],$A271))</f>
        <v/>
      </c>
    </row>
    <row r="272" spans="1:10" x14ac:dyDescent="0.2">
      <c r="A272" s="37" t="str">
        <f>IFERROR(MATCH(197,TblApplications[Rang extinction],0),"")</f>
        <v/>
      </c>
      <c r="B272" s="39" t="str">
        <f>IF($A272="","",INDEX(TblApplications[ID],$A272))</f>
        <v/>
      </c>
      <c r="C272" s="39" t="str">
        <f>IF($A272="","",INDEX(TblApplications[Application],$A272))</f>
        <v/>
      </c>
      <c r="D272" s="39" t="str">
        <f>IF($A272="","",INDEX(TblApplications[Tribe],$A272))</f>
        <v/>
      </c>
      <c r="E272" s="39" t="str">
        <f>IF($A272="","",INDEX(TblApplications[Environnement],$A272))</f>
        <v/>
      </c>
      <c r="F272" s="39" t="str">
        <f>IF($A272="","",INDEX(TblApplications[Couloir],$A272))</f>
        <v/>
      </c>
      <c r="G272" s="39" t="str">
        <f>IF($A272="","",INDEX(TblApplications[Action],$A272))</f>
        <v/>
      </c>
      <c r="H272" s="39" t="str">
        <f>IF($A272="","",INDEX(TblApplications[Cluster IKS source],$A272))</f>
        <v/>
      </c>
      <c r="I272" s="48" t="str">
        <f>IF($A272="","",INDEX(TblApplications[Mois lib (calc)],$A272))</f>
        <v/>
      </c>
      <c r="J272" s="39" t="str">
        <f>IF($A272="","",INDEX(TblApplications[CPU IKS libérable (vCPU)],$A272))</f>
        <v/>
      </c>
    </row>
    <row r="273" spans="1:10" x14ac:dyDescent="0.2">
      <c r="A273" s="37" t="str">
        <f>IFERROR(MATCH(198,TblApplications[Rang extinction],0),"")</f>
        <v/>
      </c>
      <c r="B273" s="39" t="str">
        <f>IF($A273="","",INDEX(TblApplications[ID],$A273))</f>
        <v/>
      </c>
      <c r="C273" s="39" t="str">
        <f>IF($A273="","",INDEX(TblApplications[Application],$A273))</f>
        <v/>
      </c>
      <c r="D273" s="39" t="str">
        <f>IF($A273="","",INDEX(TblApplications[Tribe],$A273))</f>
        <v/>
      </c>
      <c r="E273" s="39" t="str">
        <f>IF($A273="","",INDEX(TblApplications[Environnement],$A273))</f>
        <v/>
      </c>
      <c r="F273" s="39" t="str">
        <f>IF($A273="","",INDEX(TblApplications[Couloir],$A273))</f>
        <v/>
      </c>
      <c r="G273" s="39" t="str">
        <f>IF($A273="","",INDEX(TblApplications[Action],$A273))</f>
        <v/>
      </c>
      <c r="H273" s="39" t="str">
        <f>IF($A273="","",INDEX(TblApplications[Cluster IKS source],$A273))</f>
        <v/>
      </c>
      <c r="I273" s="48" t="str">
        <f>IF($A273="","",INDEX(TblApplications[Mois lib (calc)],$A273))</f>
        <v/>
      </c>
      <c r="J273" s="39" t="str">
        <f>IF($A273="","",INDEX(TblApplications[CPU IKS libérable (vCPU)],$A273))</f>
        <v/>
      </c>
    </row>
    <row r="274" spans="1:10" x14ac:dyDescent="0.2">
      <c r="A274" s="37" t="str">
        <f>IFERROR(MATCH(199,TblApplications[Rang extinction],0),"")</f>
        <v/>
      </c>
      <c r="B274" s="39" t="str">
        <f>IF($A274="","",INDEX(TblApplications[ID],$A274))</f>
        <v/>
      </c>
      <c r="C274" s="39" t="str">
        <f>IF($A274="","",INDEX(TblApplications[Application],$A274))</f>
        <v/>
      </c>
      <c r="D274" s="39" t="str">
        <f>IF($A274="","",INDEX(TblApplications[Tribe],$A274))</f>
        <v/>
      </c>
      <c r="E274" s="39" t="str">
        <f>IF($A274="","",INDEX(TblApplications[Environnement],$A274))</f>
        <v/>
      </c>
      <c r="F274" s="39" t="str">
        <f>IF($A274="","",INDEX(TblApplications[Couloir],$A274))</f>
        <v/>
      </c>
      <c r="G274" s="39" t="str">
        <f>IF($A274="","",INDEX(TblApplications[Action],$A274))</f>
        <v/>
      </c>
      <c r="H274" s="39" t="str">
        <f>IF($A274="","",INDEX(TblApplications[Cluster IKS source],$A274))</f>
        <v/>
      </c>
      <c r="I274" s="48" t="str">
        <f>IF($A274="","",INDEX(TblApplications[Mois lib (calc)],$A274))</f>
        <v/>
      </c>
      <c r="J274" s="39" t="str">
        <f>IF($A274="","",INDEX(TblApplications[CPU IKS libérable (vCPU)],$A274))</f>
        <v/>
      </c>
    </row>
    <row r="275" spans="1:10" x14ac:dyDescent="0.2">
      <c r="A275" s="37" t="str">
        <f>IFERROR(MATCH(200,TblApplications[Rang extinction],0),"")</f>
        <v/>
      </c>
      <c r="B275" s="39" t="str">
        <f>IF($A275="","",INDEX(TblApplications[ID],$A275))</f>
        <v/>
      </c>
      <c r="C275" s="39" t="str">
        <f>IF($A275="","",INDEX(TblApplications[Application],$A275))</f>
        <v/>
      </c>
      <c r="D275" s="39" t="str">
        <f>IF($A275="","",INDEX(TblApplications[Tribe],$A275))</f>
        <v/>
      </c>
      <c r="E275" s="39" t="str">
        <f>IF($A275="","",INDEX(TblApplications[Environnement],$A275))</f>
        <v/>
      </c>
      <c r="F275" s="39" t="str">
        <f>IF($A275="","",INDEX(TblApplications[Couloir],$A275))</f>
        <v/>
      </c>
      <c r="G275" s="39" t="str">
        <f>IF($A275="","",INDEX(TblApplications[Action],$A275))</f>
        <v/>
      </c>
      <c r="H275" s="39" t="str">
        <f>IF($A275="","",INDEX(TblApplications[Cluster IKS source],$A275))</f>
        <v/>
      </c>
      <c r="I275" s="48" t="str">
        <f>IF($A275="","",INDEX(TblApplications[Mois lib (calc)],$A275))</f>
        <v/>
      </c>
      <c r="J275" s="39" t="str">
        <f>IF($A275="","",INDEX(TblApplications[CPU IKS libérable (vCPU)],$A275))</f>
        <v/>
      </c>
    </row>
    <row r="276" spans="1:10" x14ac:dyDescent="0.2">
      <c r="A276" s="37" t="str">
        <f>IFERROR(MATCH(201,TblApplications[Rang extinction],0),"")</f>
        <v/>
      </c>
      <c r="B276" s="39" t="str">
        <f>IF($A276="","",INDEX(TblApplications[ID],$A276))</f>
        <v/>
      </c>
      <c r="C276" s="39" t="str">
        <f>IF($A276="","",INDEX(TblApplications[Application],$A276))</f>
        <v/>
      </c>
      <c r="D276" s="39" t="str">
        <f>IF($A276="","",INDEX(TblApplications[Tribe],$A276))</f>
        <v/>
      </c>
      <c r="E276" s="39" t="str">
        <f>IF($A276="","",INDEX(TblApplications[Environnement],$A276))</f>
        <v/>
      </c>
      <c r="F276" s="39" t="str">
        <f>IF($A276="","",INDEX(TblApplications[Couloir],$A276))</f>
        <v/>
      </c>
      <c r="G276" s="39" t="str">
        <f>IF($A276="","",INDEX(TblApplications[Action],$A276))</f>
        <v/>
      </c>
      <c r="H276" s="39" t="str">
        <f>IF($A276="","",INDEX(TblApplications[Cluster IKS source],$A276))</f>
        <v/>
      </c>
      <c r="I276" s="48" t="str">
        <f>IF($A276="","",INDEX(TblApplications[Mois lib (calc)],$A276))</f>
        <v/>
      </c>
      <c r="J276" s="39" t="str">
        <f>IF($A276="","",INDEX(TblApplications[CPU IKS libérable (vCPU)],$A276))</f>
        <v/>
      </c>
    </row>
    <row r="277" spans="1:10" x14ac:dyDescent="0.2">
      <c r="A277" s="37" t="str">
        <f>IFERROR(MATCH(202,TblApplications[Rang extinction],0),"")</f>
        <v/>
      </c>
      <c r="B277" s="39" t="str">
        <f>IF($A277="","",INDEX(TblApplications[ID],$A277))</f>
        <v/>
      </c>
      <c r="C277" s="39" t="str">
        <f>IF($A277="","",INDEX(TblApplications[Application],$A277))</f>
        <v/>
      </c>
      <c r="D277" s="39" t="str">
        <f>IF($A277="","",INDEX(TblApplications[Tribe],$A277))</f>
        <v/>
      </c>
      <c r="E277" s="39" t="str">
        <f>IF($A277="","",INDEX(TblApplications[Environnement],$A277))</f>
        <v/>
      </c>
      <c r="F277" s="39" t="str">
        <f>IF($A277="","",INDEX(TblApplications[Couloir],$A277))</f>
        <v/>
      </c>
      <c r="G277" s="39" t="str">
        <f>IF($A277="","",INDEX(TblApplications[Action],$A277))</f>
        <v/>
      </c>
      <c r="H277" s="39" t="str">
        <f>IF($A277="","",INDEX(TblApplications[Cluster IKS source],$A277))</f>
        <v/>
      </c>
      <c r="I277" s="48" t="str">
        <f>IF($A277="","",INDEX(TblApplications[Mois lib (calc)],$A277))</f>
        <v/>
      </c>
      <c r="J277" s="39" t="str">
        <f>IF($A277="","",INDEX(TblApplications[CPU IKS libérable (vCPU)],$A277))</f>
        <v/>
      </c>
    </row>
    <row r="278" spans="1:10" x14ac:dyDescent="0.2">
      <c r="A278" s="37" t="str">
        <f>IFERROR(MATCH(203,TblApplications[Rang extinction],0),"")</f>
        <v/>
      </c>
      <c r="B278" s="39" t="str">
        <f>IF($A278="","",INDEX(TblApplications[ID],$A278))</f>
        <v/>
      </c>
      <c r="C278" s="39" t="str">
        <f>IF($A278="","",INDEX(TblApplications[Application],$A278))</f>
        <v/>
      </c>
      <c r="D278" s="39" t="str">
        <f>IF($A278="","",INDEX(TblApplications[Tribe],$A278))</f>
        <v/>
      </c>
      <c r="E278" s="39" t="str">
        <f>IF($A278="","",INDEX(TblApplications[Environnement],$A278))</f>
        <v/>
      </c>
      <c r="F278" s="39" t="str">
        <f>IF($A278="","",INDEX(TblApplications[Couloir],$A278))</f>
        <v/>
      </c>
      <c r="G278" s="39" t="str">
        <f>IF($A278="","",INDEX(TblApplications[Action],$A278))</f>
        <v/>
      </c>
      <c r="H278" s="39" t="str">
        <f>IF($A278="","",INDEX(TblApplications[Cluster IKS source],$A278))</f>
        <v/>
      </c>
      <c r="I278" s="48" t="str">
        <f>IF($A278="","",INDEX(TblApplications[Mois lib (calc)],$A278))</f>
        <v/>
      </c>
      <c r="J278" s="39" t="str">
        <f>IF($A278="","",INDEX(TblApplications[CPU IKS libérable (vCPU)],$A278))</f>
        <v/>
      </c>
    </row>
    <row r="279" spans="1:10" x14ac:dyDescent="0.2">
      <c r="A279" s="37" t="str">
        <f>IFERROR(MATCH(204,TblApplications[Rang extinction],0),"")</f>
        <v/>
      </c>
      <c r="B279" s="39" t="str">
        <f>IF($A279="","",INDEX(TblApplications[ID],$A279))</f>
        <v/>
      </c>
      <c r="C279" s="39" t="str">
        <f>IF($A279="","",INDEX(TblApplications[Application],$A279))</f>
        <v/>
      </c>
      <c r="D279" s="39" t="str">
        <f>IF($A279="","",INDEX(TblApplications[Tribe],$A279))</f>
        <v/>
      </c>
      <c r="E279" s="39" t="str">
        <f>IF($A279="","",INDEX(TblApplications[Environnement],$A279))</f>
        <v/>
      </c>
      <c r="F279" s="39" t="str">
        <f>IF($A279="","",INDEX(TblApplications[Couloir],$A279))</f>
        <v/>
      </c>
      <c r="G279" s="39" t="str">
        <f>IF($A279="","",INDEX(TblApplications[Action],$A279))</f>
        <v/>
      </c>
      <c r="H279" s="39" t="str">
        <f>IF($A279="","",INDEX(TblApplications[Cluster IKS source],$A279))</f>
        <v/>
      </c>
      <c r="I279" s="48" t="str">
        <f>IF($A279="","",INDEX(TblApplications[Mois lib (calc)],$A279))</f>
        <v/>
      </c>
      <c r="J279" s="39" t="str">
        <f>IF($A279="","",INDEX(TblApplications[CPU IKS libérable (vCPU)],$A279))</f>
        <v/>
      </c>
    </row>
    <row r="280" spans="1:10" x14ac:dyDescent="0.2">
      <c r="A280" s="37" t="str">
        <f>IFERROR(MATCH(205,TblApplications[Rang extinction],0),"")</f>
        <v/>
      </c>
      <c r="B280" s="39" t="str">
        <f>IF($A280="","",INDEX(TblApplications[ID],$A280))</f>
        <v/>
      </c>
      <c r="C280" s="39" t="str">
        <f>IF($A280="","",INDEX(TblApplications[Application],$A280))</f>
        <v/>
      </c>
      <c r="D280" s="39" t="str">
        <f>IF($A280="","",INDEX(TblApplications[Tribe],$A280))</f>
        <v/>
      </c>
      <c r="E280" s="39" t="str">
        <f>IF($A280="","",INDEX(TblApplications[Environnement],$A280))</f>
        <v/>
      </c>
      <c r="F280" s="39" t="str">
        <f>IF($A280="","",INDEX(TblApplications[Couloir],$A280))</f>
        <v/>
      </c>
      <c r="G280" s="39" t="str">
        <f>IF($A280="","",INDEX(TblApplications[Action],$A280))</f>
        <v/>
      </c>
      <c r="H280" s="39" t="str">
        <f>IF($A280="","",INDEX(TblApplications[Cluster IKS source],$A280))</f>
        <v/>
      </c>
      <c r="I280" s="48" t="str">
        <f>IF($A280="","",INDEX(TblApplications[Mois lib (calc)],$A280))</f>
        <v/>
      </c>
      <c r="J280" s="39" t="str">
        <f>IF($A280="","",INDEX(TblApplications[CPU IKS libérable (vCPU)],$A280))</f>
        <v/>
      </c>
    </row>
    <row r="281" spans="1:10" x14ac:dyDescent="0.2">
      <c r="A281" s="37" t="str">
        <f>IFERROR(MATCH(206,TblApplications[Rang extinction],0),"")</f>
        <v/>
      </c>
      <c r="B281" s="39" t="str">
        <f>IF($A281="","",INDEX(TblApplications[ID],$A281))</f>
        <v/>
      </c>
      <c r="C281" s="39" t="str">
        <f>IF($A281="","",INDEX(TblApplications[Application],$A281))</f>
        <v/>
      </c>
      <c r="D281" s="39" t="str">
        <f>IF($A281="","",INDEX(TblApplications[Tribe],$A281))</f>
        <v/>
      </c>
      <c r="E281" s="39" t="str">
        <f>IF($A281="","",INDEX(TblApplications[Environnement],$A281))</f>
        <v/>
      </c>
      <c r="F281" s="39" t="str">
        <f>IF($A281="","",INDEX(TblApplications[Couloir],$A281))</f>
        <v/>
      </c>
      <c r="G281" s="39" t="str">
        <f>IF($A281="","",INDEX(TblApplications[Action],$A281))</f>
        <v/>
      </c>
      <c r="H281" s="39" t="str">
        <f>IF($A281="","",INDEX(TblApplications[Cluster IKS source],$A281))</f>
        <v/>
      </c>
      <c r="I281" s="48" t="str">
        <f>IF($A281="","",INDEX(TblApplications[Mois lib (calc)],$A281))</f>
        <v/>
      </c>
      <c r="J281" s="39" t="str">
        <f>IF($A281="","",INDEX(TblApplications[CPU IKS libérable (vCPU)],$A281))</f>
        <v/>
      </c>
    </row>
    <row r="282" spans="1:10" x14ac:dyDescent="0.2">
      <c r="A282" s="37" t="str">
        <f>IFERROR(MATCH(207,TblApplications[Rang extinction],0),"")</f>
        <v/>
      </c>
      <c r="B282" s="39" t="str">
        <f>IF($A282="","",INDEX(TblApplications[ID],$A282))</f>
        <v/>
      </c>
      <c r="C282" s="39" t="str">
        <f>IF($A282="","",INDEX(TblApplications[Application],$A282))</f>
        <v/>
      </c>
      <c r="D282" s="39" t="str">
        <f>IF($A282="","",INDEX(TblApplications[Tribe],$A282))</f>
        <v/>
      </c>
      <c r="E282" s="39" t="str">
        <f>IF($A282="","",INDEX(TblApplications[Environnement],$A282))</f>
        <v/>
      </c>
      <c r="F282" s="39" t="str">
        <f>IF($A282="","",INDEX(TblApplications[Couloir],$A282))</f>
        <v/>
      </c>
      <c r="G282" s="39" t="str">
        <f>IF($A282="","",INDEX(TblApplications[Action],$A282))</f>
        <v/>
      </c>
      <c r="H282" s="39" t="str">
        <f>IF($A282="","",INDEX(TblApplications[Cluster IKS source],$A282))</f>
        <v/>
      </c>
      <c r="I282" s="48" t="str">
        <f>IF($A282="","",INDEX(TblApplications[Mois lib (calc)],$A282))</f>
        <v/>
      </c>
      <c r="J282" s="39" t="str">
        <f>IF($A282="","",INDEX(TblApplications[CPU IKS libérable (vCPU)],$A282))</f>
        <v/>
      </c>
    </row>
    <row r="283" spans="1:10" x14ac:dyDescent="0.2">
      <c r="A283" s="37" t="str">
        <f>IFERROR(MATCH(208,TblApplications[Rang extinction],0),"")</f>
        <v/>
      </c>
      <c r="B283" s="39" t="str">
        <f>IF($A283="","",INDEX(TblApplications[ID],$A283))</f>
        <v/>
      </c>
      <c r="C283" s="39" t="str">
        <f>IF($A283="","",INDEX(TblApplications[Application],$A283))</f>
        <v/>
      </c>
      <c r="D283" s="39" t="str">
        <f>IF($A283="","",INDEX(TblApplications[Tribe],$A283))</f>
        <v/>
      </c>
      <c r="E283" s="39" t="str">
        <f>IF($A283="","",INDEX(TblApplications[Environnement],$A283))</f>
        <v/>
      </c>
      <c r="F283" s="39" t="str">
        <f>IF($A283="","",INDEX(TblApplications[Couloir],$A283))</f>
        <v/>
      </c>
      <c r="G283" s="39" t="str">
        <f>IF($A283="","",INDEX(TblApplications[Action],$A283))</f>
        <v/>
      </c>
      <c r="H283" s="39" t="str">
        <f>IF($A283="","",INDEX(TblApplications[Cluster IKS source],$A283))</f>
        <v/>
      </c>
      <c r="I283" s="48" t="str">
        <f>IF($A283="","",INDEX(TblApplications[Mois lib (calc)],$A283))</f>
        <v/>
      </c>
      <c r="J283" s="39" t="str">
        <f>IF($A283="","",INDEX(TblApplications[CPU IKS libérable (vCPU)],$A283))</f>
        <v/>
      </c>
    </row>
    <row r="284" spans="1:10" x14ac:dyDescent="0.2">
      <c r="A284" s="37" t="str">
        <f>IFERROR(MATCH(209,TblApplications[Rang extinction],0),"")</f>
        <v/>
      </c>
      <c r="B284" s="39" t="str">
        <f>IF($A284="","",INDEX(TblApplications[ID],$A284))</f>
        <v/>
      </c>
      <c r="C284" s="39" t="str">
        <f>IF($A284="","",INDEX(TblApplications[Application],$A284))</f>
        <v/>
      </c>
      <c r="D284" s="39" t="str">
        <f>IF($A284="","",INDEX(TblApplications[Tribe],$A284))</f>
        <v/>
      </c>
      <c r="E284" s="39" t="str">
        <f>IF($A284="","",INDEX(TblApplications[Environnement],$A284))</f>
        <v/>
      </c>
      <c r="F284" s="39" t="str">
        <f>IF($A284="","",INDEX(TblApplications[Couloir],$A284))</f>
        <v/>
      </c>
      <c r="G284" s="39" t="str">
        <f>IF($A284="","",INDEX(TblApplications[Action],$A284))</f>
        <v/>
      </c>
      <c r="H284" s="39" t="str">
        <f>IF($A284="","",INDEX(TblApplications[Cluster IKS source],$A284))</f>
        <v/>
      </c>
      <c r="I284" s="48" t="str">
        <f>IF($A284="","",INDEX(TblApplications[Mois lib (calc)],$A284))</f>
        <v/>
      </c>
      <c r="J284" s="39" t="str">
        <f>IF($A284="","",INDEX(TblApplications[CPU IKS libérable (vCPU)],$A284))</f>
        <v/>
      </c>
    </row>
    <row r="285" spans="1:10" x14ac:dyDescent="0.2">
      <c r="A285" s="37" t="str">
        <f>IFERROR(MATCH(210,TblApplications[Rang extinction],0),"")</f>
        <v/>
      </c>
      <c r="B285" s="39" t="str">
        <f>IF($A285="","",INDEX(TblApplications[ID],$A285))</f>
        <v/>
      </c>
      <c r="C285" s="39" t="str">
        <f>IF($A285="","",INDEX(TblApplications[Application],$A285))</f>
        <v/>
      </c>
      <c r="D285" s="39" t="str">
        <f>IF($A285="","",INDEX(TblApplications[Tribe],$A285))</f>
        <v/>
      </c>
      <c r="E285" s="39" t="str">
        <f>IF($A285="","",INDEX(TblApplications[Environnement],$A285))</f>
        <v/>
      </c>
      <c r="F285" s="39" t="str">
        <f>IF($A285="","",INDEX(TblApplications[Couloir],$A285))</f>
        <v/>
      </c>
      <c r="G285" s="39" t="str">
        <f>IF($A285="","",INDEX(TblApplications[Action],$A285))</f>
        <v/>
      </c>
      <c r="H285" s="39" t="str">
        <f>IF($A285="","",INDEX(TblApplications[Cluster IKS source],$A285))</f>
        <v/>
      </c>
      <c r="I285" s="48" t="str">
        <f>IF($A285="","",INDEX(TblApplications[Mois lib (calc)],$A285))</f>
        <v/>
      </c>
      <c r="J285" s="39" t="str">
        <f>IF($A285="","",INDEX(TblApplications[CPU IKS libérable (vCPU)],$A285))</f>
        <v/>
      </c>
    </row>
    <row r="286" spans="1:10" x14ac:dyDescent="0.2">
      <c r="A286" s="37" t="str">
        <f>IFERROR(MATCH(211,TblApplications[Rang extinction],0),"")</f>
        <v/>
      </c>
      <c r="B286" s="39" t="str">
        <f>IF($A286="","",INDEX(TblApplications[ID],$A286))</f>
        <v/>
      </c>
      <c r="C286" s="39" t="str">
        <f>IF($A286="","",INDEX(TblApplications[Application],$A286))</f>
        <v/>
      </c>
      <c r="D286" s="39" t="str">
        <f>IF($A286="","",INDEX(TblApplications[Tribe],$A286))</f>
        <v/>
      </c>
      <c r="E286" s="39" t="str">
        <f>IF($A286="","",INDEX(TblApplications[Environnement],$A286))</f>
        <v/>
      </c>
      <c r="F286" s="39" t="str">
        <f>IF($A286="","",INDEX(TblApplications[Couloir],$A286))</f>
        <v/>
      </c>
      <c r="G286" s="39" t="str">
        <f>IF($A286="","",INDEX(TblApplications[Action],$A286))</f>
        <v/>
      </c>
      <c r="H286" s="39" t="str">
        <f>IF($A286="","",INDEX(TblApplications[Cluster IKS source],$A286))</f>
        <v/>
      </c>
      <c r="I286" s="48" t="str">
        <f>IF($A286="","",INDEX(TblApplications[Mois lib (calc)],$A286))</f>
        <v/>
      </c>
      <c r="J286" s="39" t="str">
        <f>IF($A286="","",INDEX(TblApplications[CPU IKS libérable (vCPU)],$A286))</f>
        <v/>
      </c>
    </row>
    <row r="287" spans="1:10" x14ac:dyDescent="0.2">
      <c r="A287" s="37" t="str">
        <f>IFERROR(MATCH(212,TblApplications[Rang extinction],0),"")</f>
        <v/>
      </c>
      <c r="B287" s="39" t="str">
        <f>IF($A287="","",INDEX(TblApplications[ID],$A287))</f>
        <v/>
      </c>
      <c r="C287" s="39" t="str">
        <f>IF($A287="","",INDEX(TblApplications[Application],$A287))</f>
        <v/>
      </c>
      <c r="D287" s="39" t="str">
        <f>IF($A287="","",INDEX(TblApplications[Tribe],$A287))</f>
        <v/>
      </c>
      <c r="E287" s="39" t="str">
        <f>IF($A287="","",INDEX(TblApplications[Environnement],$A287))</f>
        <v/>
      </c>
      <c r="F287" s="39" t="str">
        <f>IF($A287="","",INDEX(TblApplications[Couloir],$A287))</f>
        <v/>
      </c>
      <c r="G287" s="39" t="str">
        <f>IF($A287="","",INDEX(TblApplications[Action],$A287))</f>
        <v/>
      </c>
      <c r="H287" s="39" t="str">
        <f>IF($A287="","",INDEX(TblApplications[Cluster IKS source],$A287))</f>
        <v/>
      </c>
      <c r="I287" s="48" t="str">
        <f>IF($A287="","",INDEX(TblApplications[Mois lib (calc)],$A287))</f>
        <v/>
      </c>
      <c r="J287" s="39" t="str">
        <f>IF($A287="","",INDEX(TblApplications[CPU IKS libérable (vCPU)],$A287))</f>
        <v/>
      </c>
    </row>
    <row r="288" spans="1:10" x14ac:dyDescent="0.2">
      <c r="A288" s="37" t="str">
        <f>IFERROR(MATCH(213,TblApplications[Rang extinction],0),"")</f>
        <v/>
      </c>
      <c r="B288" s="39" t="str">
        <f>IF($A288="","",INDEX(TblApplications[ID],$A288))</f>
        <v/>
      </c>
      <c r="C288" s="39" t="str">
        <f>IF($A288="","",INDEX(TblApplications[Application],$A288))</f>
        <v/>
      </c>
      <c r="D288" s="39" t="str">
        <f>IF($A288="","",INDEX(TblApplications[Tribe],$A288))</f>
        <v/>
      </c>
      <c r="E288" s="39" t="str">
        <f>IF($A288="","",INDEX(TblApplications[Environnement],$A288))</f>
        <v/>
      </c>
      <c r="F288" s="39" t="str">
        <f>IF($A288="","",INDEX(TblApplications[Couloir],$A288))</f>
        <v/>
      </c>
      <c r="G288" s="39" t="str">
        <f>IF($A288="","",INDEX(TblApplications[Action],$A288))</f>
        <v/>
      </c>
      <c r="H288" s="39" t="str">
        <f>IF($A288="","",INDEX(TblApplications[Cluster IKS source],$A288))</f>
        <v/>
      </c>
      <c r="I288" s="48" t="str">
        <f>IF($A288="","",INDEX(TblApplications[Mois lib (calc)],$A288))</f>
        <v/>
      </c>
      <c r="J288" s="39" t="str">
        <f>IF($A288="","",INDEX(TblApplications[CPU IKS libérable (vCPU)],$A288))</f>
        <v/>
      </c>
    </row>
    <row r="289" spans="1:10" x14ac:dyDescent="0.2">
      <c r="A289" s="37" t="str">
        <f>IFERROR(MATCH(214,TblApplications[Rang extinction],0),"")</f>
        <v/>
      </c>
      <c r="B289" s="39" t="str">
        <f>IF($A289="","",INDEX(TblApplications[ID],$A289))</f>
        <v/>
      </c>
      <c r="C289" s="39" t="str">
        <f>IF($A289="","",INDEX(TblApplications[Application],$A289))</f>
        <v/>
      </c>
      <c r="D289" s="39" t="str">
        <f>IF($A289="","",INDEX(TblApplications[Tribe],$A289))</f>
        <v/>
      </c>
      <c r="E289" s="39" t="str">
        <f>IF($A289="","",INDEX(TblApplications[Environnement],$A289))</f>
        <v/>
      </c>
      <c r="F289" s="39" t="str">
        <f>IF($A289="","",INDEX(TblApplications[Couloir],$A289))</f>
        <v/>
      </c>
      <c r="G289" s="39" t="str">
        <f>IF($A289="","",INDEX(TblApplications[Action],$A289))</f>
        <v/>
      </c>
      <c r="H289" s="39" t="str">
        <f>IF($A289="","",INDEX(TblApplications[Cluster IKS source],$A289))</f>
        <v/>
      </c>
      <c r="I289" s="48" t="str">
        <f>IF($A289="","",INDEX(TblApplications[Mois lib (calc)],$A289))</f>
        <v/>
      </c>
      <c r="J289" s="39" t="str">
        <f>IF($A289="","",INDEX(TblApplications[CPU IKS libérable (vCPU)],$A289))</f>
        <v/>
      </c>
    </row>
    <row r="290" spans="1:10" x14ac:dyDescent="0.2">
      <c r="A290" s="37" t="str">
        <f>IFERROR(MATCH(215,TblApplications[Rang extinction],0),"")</f>
        <v/>
      </c>
      <c r="B290" s="39" t="str">
        <f>IF($A290="","",INDEX(TblApplications[ID],$A290))</f>
        <v/>
      </c>
      <c r="C290" s="39" t="str">
        <f>IF($A290="","",INDEX(TblApplications[Application],$A290))</f>
        <v/>
      </c>
      <c r="D290" s="39" t="str">
        <f>IF($A290="","",INDEX(TblApplications[Tribe],$A290))</f>
        <v/>
      </c>
      <c r="E290" s="39" t="str">
        <f>IF($A290="","",INDEX(TblApplications[Environnement],$A290))</f>
        <v/>
      </c>
      <c r="F290" s="39" t="str">
        <f>IF($A290="","",INDEX(TblApplications[Couloir],$A290))</f>
        <v/>
      </c>
      <c r="G290" s="39" t="str">
        <f>IF($A290="","",INDEX(TblApplications[Action],$A290))</f>
        <v/>
      </c>
      <c r="H290" s="39" t="str">
        <f>IF($A290="","",INDEX(TblApplications[Cluster IKS source],$A290))</f>
        <v/>
      </c>
      <c r="I290" s="48" t="str">
        <f>IF($A290="","",INDEX(TblApplications[Mois lib (calc)],$A290))</f>
        <v/>
      </c>
      <c r="J290" s="39" t="str">
        <f>IF($A290="","",INDEX(TblApplications[CPU IKS libérable (vCPU)],$A290))</f>
        <v/>
      </c>
    </row>
    <row r="291" spans="1:10" x14ac:dyDescent="0.2">
      <c r="A291" s="37" t="str">
        <f>IFERROR(MATCH(216,TblApplications[Rang extinction],0),"")</f>
        <v/>
      </c>
      <c r="B291" s="39" t="str">
        <f>IF($A291="","",INDEX(TblApplications[ID],$A291))</f>
        <v/>
      </c>
      <c r="C291" s="39" t="str">
        <f>IF($A291="","",INDEX(TblApplications[Application],$A291))</f>
        <v/>
      </c>
      <c r="D291" s="39" t="str">
        <f>IF($A291="","",INDEX(TblApplications[Tribe],$A291))</f>
        <v/>
      </c>
      <c r="E291" s="39" t="str">
        <f>IF($A291="","",INDEX(TblApplications[Environnement],$A291))</f>
        <v/>
      </c>
      <c r="F291" s="39" t="str">
        <f>IF($A291="","",INDEX(TblApplications[Couloir],$A291))</f>
        <v/>
      </c>
      <c r="G291" s="39" t="str">
        <f>IF($A291="","",INDEX(TblApplications[Action],$A291))</f>
        <v/>
      </c>
      <c r="H291" s="39" t="str">
        <f>IF($A291="","",INDEX(TblApplications[Cluster IKS source],$A291))</f>
        <v/>
      </c>
      <c r="I291" s="48" t="str">
        <f>IF($A291="","",INDEX(TblApplications[Mois lib (calc)],$A291))</f>
        <v/>
      </c>
      <c r="J291" s="39" t="str">
        <f>IF($A291="","",INDEX(TblApplications[CPU IKS libérable (vCPU)],$A291))</f>
        <v/>
      </c>
    </row>
    <row r="292" spans="1:10" x14ac:dyDescent="0.2">
      <c r="A292" s="37" t="str">
        <f>IFERROR(MATCH(217,TblApplications[Rang extinction],0),"")</f>
        <v/>
      </c>
      <c r="B292" s="39" t="str">
        <f>IF($A292="","",INDEX(TblApplications[ID],$A292))</f>
        <v/>
      </c>
      <c r="C292" s="39" t="str">
        <f>IF($A292="","",INDEX(TblApplications[Application],$A292))</f>
        <v/>
      </c>
      <c r="D292" s="39" t="str">
        <f>IF($A292="","",INDEX(TblApplications[Tribe],$A292))</f>
        <v/>
      </c>
      <c r="E292" s="39" t="str">
        <f>IF($A292="","",INDEX(TblApplications[Environnement],$A292))</f>
        <v/>
      </c>
      <c r="F292" s="39" t="str">
        <f>IF($A292="","",INDEX(TblApplications[Couloir],$A292))</f>
        <v/>
      </c>
      <c r="G292" s="39" t="str">
        <f>IF($A292="","",INDEX(TblApplications[Action],$A292))</f>
        <v/>
      </c>
      <c r="H292" s="39" t="str">
        <f>IF($A292="","",INDEX(TblApplications[Cluster IKS source],$A292))</f>
        <v/>
      </c>
      <c r="I292" s="48" t="str">
        <f>IF($A292="","",INDEX(TblApplications[Mois lib (calc)],$A292))</f>
        <v/>
      </c>
      <c r="J292" s="39" t="str">
        <f>IF($A292="","",INDEX(TblApplications[CPU IKS libérable (vCPU)],$A292))</f>
        <v/>
      </c>
    </row>
    <row r="293" spans="1:10" x14ac:dyDescent="0.2">
      <c r="A293" s="37" t="str">
        <f>IFERROR(MATCH(218,TblApplications[Rang extinction],0),"")</f>
        <v/>
      </c>
      <c r="B293" s="39" t="str">
        <f>IF($A293="","",INDEX(TblApplications[ID],$A293))</f>
        <v/>
      </c>
      <c r="C293" s="39" t="str">
        <f>IF($A293="","",INDEX(TblApplications[Application],$A293))</f>
        <v/>
      </c>
      <c r="D293" s="39" t="str">
        <f>IF($A293="","",INDEX(TblApplications[Tribe],$A293))</f>
        <v/>
      </c>
      <c r="E293" s="39" t="str">
        <f>IF($A293="","",INDEX(TblApplications[Environnement],$A293))</f>
        <v/>
      </c>
      <c r="F293" s="39" t="str">
        <f>IF($A293="","",INDEX(TblApplications[Couloir],$A293))</f>
        <v/>
      </c>
      <c r="G293" s="39" t="str">
        <f>IF($A293="","",INDEX(TblApplications[Action],$A293))</f>
        <v/>
      </c>
      <c r="H293" s="39" t="str">
        <f>IF($A293="","",INDEX(TblApplications[Cluster IKS source],$A293))</f>
        <v/>
      </c>
      <c r="I293" s="48" t="str">
        <f>IF($A293="","",INDEX(TblApplications[Mois lib (calc)],$A293))</f>
        <v/>
      </c>
      <c r="J293" s="39" t="str">
        <f>IF($A293="","",INDEX(TblApplications[CPU IKS libérable (vCPU)],$A293))</f>
        <v/>
      </c>
    </row>
    <row r="294" spans="1:10" x14ac:dyDescent="0.2">
      <c r="A294" s="37" t="str">
        <f>IFERROR(MATCH(219,TblApplications[Rang extinction],0),"")</f>
        <v/>
      </c>
      <c r="B294" s="39" t="str">
        <f>IF($A294="","",INDEX(TblApplications[ID],$A294))</f>
        <v/>
      </c>
      <c r="C294" s="39" t="str">
        <f>IF($A294="","",INDEX(TblApplications[Application],$A294))</f>
        <v/>
      </c>
      <c r="D294" s="39" t="str">
        <f>IF($A294="","",INDEX(TblApplications[Tribe],$A294))</f>
        <v/>
      </c>
      <c r="E294" s="39" t="str">
        <f>IF($A294="","",INDEX(TblApplications[Environnement],$A294))</f>
        <v/>
      </c>
      <c r="F294" s="39" t="str">
        <f>IF($A294="","",INDEX(TblApplications[Couloir],$A294))</f>
        <v/>
      </c>
      <c r="G294" s="39" t="str">
        <f>IF($A294="","",INDEX(TblApplications[Action],$A294))</f>
        <v/>
      </c>
      <c r="H294" s="39" t="str">
        <f>IF($A294="","",INDEX(TblApplications[Cluster IKS source],$A294))</f>
        <v/>
      </c>
      <c r="I294" s="48" t="str">
        <f>IF($A294="","",INDEX(TblApplications[Mois lib (calc)],$A294))</f>
        <v/>
      </c>
      <c r="J294" s="39" t="str">
        <f>IF($A294="","",INDEX(TblApplications[CPU IKS libérable (vCPU)],$A294))</f>
        <v/>
      </c>
    </row>
    <row r="295" spans="1:10" x14ac:dyDescent="0.2">
      <c r="A295" s="37" t="str">
        <f>IFERROR(MATCH(220,TblApplications[Rang extinction],0),"")</f>
        <v/>
      </c>
      <c r="B295" s="39" t="str">
        <f>IF($A295="","",INDEX(TblApplications[ID],$A295))</f>
        <v/>
      </c>
      <c r="C295" s="39" t="str">
        <f>IF($A295="","",INDEX(TblApplications[Application],$A295))</f>
        <v/>
      </c>
      <c r="D295" s="39" t="str">
        <f>IF($A295="","",INDEX(TblApplications[Tribe],$A295))</f>
        <v/>
      </c>
      <c r="E295" s="39" t="str">
        <f>IF($A295="","",INDEX(TblApplications[Environnement],$A295))</f>
        <v/>
      </c>
      <c r="F295" s="39" t="str">
        <f>IF($A295="","",INDEX(TblApplications[Couloir],$A295))</f>
        <v/>
      </c>
      <c r="G295" s="39" t="str">
        <f>IF($A295="","",INDEX(TblApplications[Action],$A295))</f>
        <v/>
      </c>
      <c r="H295" s="39" t="str">
        <f>IF($A295="","",INDEX(TblApplications[Cluster IKS source],$A295))</f>
        <v/>
      </c>
      <c r="I295" s="48" t="str">
        <f>IF($A295="","",INDEX(TblApplications[Mois lib (calc)],$A295))</f>
        <v/>
      </c>
      <c r="J295" s="39" t="str">
        <f>IF($A295="","",INDEX(TblApplications[CPU IKS libérable (vCPU)],$A295))</f>
        <v/>
      </c>
    </row>
    <row r="296" spans="1:10" x14ac:dyDescent="0.2">
      <c r="A296" s="37" t="str">
        <f>IFERROR(MATCH(221,TblApplications[Rang extinction],0),"")</f>
        <v/>
      </c>
      <c r="B296" s="39" t="str">
        <f>IF($A296="","",INDEX(TblApplications[ID],$A296))</f>
        <v/>
      </c>
      <c r="C296" s="39" t="str">
        <f>IF($A296="","",INDEX(TblApplications[Application],$A296))</f>
        <v/>
      </c>
      <c r="D296" s="39" t="str">
        <f>IF($A296="","",INDEX(TblApplications[Tribe],$A296))</f>
        <v/>
      </c>
      <c r="E296" s="39" t="str">
        <f>IF($A296="","",INDEX(TblApplications[Environnement],$A296))</f>
        <v/>
      </c>
      <c r="F296" s="39" t="str">
        <f>IF($A296="","",INDEX(TblApplications[Couloir],$A296))</f>
        <v/>
      </c>
      <c r="G296" s="39" t="str">
        <f>IF($A296="","",INDEX(TblApplications[Action],$A296))</f>
        <v/>
      </c>
      <c r="H296" s="39" t="str">
        <f>IF($A296="","",INDEX(TblApplications[Cluster IKS source],$A296))</f>
        <v/>
      </c>
      <c r="I296" s="48" t="str">
        <f>IF($A296="","",INDEX(TblApplications[Mois lib (calc)],$A296))</f>
        <v/>
      </c>
      <c r="J296" s="39" t="str">
        <f>IF($A296="","",INDEX(TblApplications[CPU IKS libérable (vCPU)],$A296))</f>
        <v/>
      </c>
    </row>
    <row r="297" spans="1:10" x14ac:dyDescent="0.2">
      <c r="A297" s="37" t="str">
        <f>IFERROR(MATCH(222,TblApplications[Rang extinction],0),"")</f>
        <v/>
      </c>
      <c r="B297" s="39" t="str">
        <f>IF($A297="","",INDEX(TblApplications[ID],$A297))</f>
        <v/>
      </c>
      <c r="C297" s="39" t="str">
        <f>IF($A297="","",INDEX(TblApplications[Application],$A297))</f>
        <v/>
      </c>
      <c r="D297" s="39" t="str">
        <f>IF($A297="","",INDEX(TblApplications[Tribe],$A297))</f>
        <v/>
      </c>
      <c r="E297" s="39" t="str">
        <f>IF($A297="","",INDEX(TblApplications[Environnement],$A297))</f>
        <v/>
      </c>
      <c r="F297" s="39" t="str">
        <f>IF($A297="","",INDEX(TblApplications[Couloir],$A297))</f>
        <v/>
      </c>
      <c r="G297" s="39" t="str">
        <f>IF($A297="","",INDEX(TblApplications[Action],$A297))</f>
        <v/>
      </c>
      <c r="H297" s="39" t="str">
        <f>IF($A297="","",INDEX(TblApplications[Cluster IKS source],$A297))</f>
        <v/>
      </c>
      <c r="I297" s="48" t="str">
        <f>IF($A297="","",INDEX(TblApplications[Mois lib (calc)],$A297))</f>
        <v/>
      </c>
      <c r="J297" s="39" t="str">
        <f>IF($A297="","",INDEX(TblApplications[CPU IKS libérable (vCPU)],$A297))</f>
        <v/>
      </c>
    </row>
    <row r="298" spans="1:10" x14ac:dyDescent="0.2">
      <c r="A298" s="37" t="str">
        <f>IFERROR(MATCH(223,TblApplications[Rang extinction],0),"")</f>
        <v/>
      </c>
      <c r="B298" s="39" t="str">
        <f>IF($A298="","",INDEX(TblApplications[ID],$A298))</f>
        <v/>
      </c>
      <c r="C298" s="39" t="str">
        <f>IF($A298="","",INDEX(TblApplications[Application],$A298))</f>
        <v/>
      </c>
      <c r="D298" s="39" t="str">
        <f>IF($A298="","",INDEX(TblApplications[Tribe],$A298))</f>
        <v/>
      </c>
      <c r="E298" s="39" t="str">
        <f>IF($A298="","",INDEX(TblApplications[Environnement],$A298))</f>
        <v/>
      </c>
      <c r="F298" s="39" t="str">
        <f>IF($A298="","",INDEX(TblApplications[Couloir],$A298))</f>
        <v/>
      </c>
      <c r="G298" s="39" t="str">
        <f>IF($A298="","",INDEX(TblApplications[Action],$A298))</f>
        <v/>
      </c>
      <c r="H298" s="39" t="str">
        <f>IF($A298="","",INDEX(TblApplications[Cluster IKS source],$A298))</f>
        <v/>
      </c>
      <c r="I298" s="48" t="str">
        <f>IF($A298="","",INDEX(TblApplications[Mois lib (calc)],$A298))</f>
        <v/>
      </c>
      <c r="J298" s="39" t="str">
        <f>IF($A298="","",INDEX(TblApplications[CPU IKS libérable (vCPU)],$A298))</f>
        <v/>
      </c>
    </row>
    <row r="299" spans="1:10" x14ac:dyDescent="0.2">
      <c r="A299" s="37" t="str">
        <f>IFERROR(MATCH(224,TblApplications[Rang extinction],0),"")</f>
        <v/>
      </c>
      <c r="B299" s="39" t="str">
        <f>IF($A299="","",INDEX(TblApplications[ID],$A299))</f>
        <v/>
      </c>
      <c r="C299" s="39" t="str">
        <f>IF($A299="","",INDEX(TblApplications[Application],$A299))</f>
        <v/>
      </c>
      <c r="D299" s="39" t="str">
        <f>IF($A299="","",INDEX(TblApplications[Tribe],$A299))</f>
        <v/>
      </c>
      <c r="E299" s="39" t="str">
        <f>IF($A299="","",INDEX(TblApplications[Environnement],$A299))</f>
        <v/>
      </c>
      <c r="F299" s="39" t="str">
        <f>IF($A299="","",INDEX(TblApplications[Couloir],$A299))</f>
        <v/>
      </c>
      <c r="G299" s="39" t="str">
        <f>IF($A299="","",INDEX(TblApplications[Action],$A299))</f>
        <v/>
      </c>
      <c r="H299" s="39" t="str">
        <f>IF($A299="","",INDEX(TblApplications[Cluster IKS source],$A299))</f>
        <v/>
      </c>
      <c r="I299" s="48" t="str">
        <f>IF($A299="","",INDEX(TblApplications[Mois lib (calc)],$A299))</f>
        <v/>
      </c>
      <c r="J299" s="39" t="str">
        <f>IF($A299="","",INDEX(TblApplications[CPU IKS libérable (vCPU)],$A299))</f>
        <v/>
      </c>
    </row>
    <row r="300" spans="1:10" x14ac:dyDescent="0.2">
      <c r="A300" s="37" t="str">
        <f>IFERROR(MATCH(225,TblApplications[Rang extinction],0),"")</f>
        <v/>
      </c>
      <c r="B300" s="39" t="str">
        <f>IF($A300="","",INDEX(TblApplications[ID],$A300))</f>
        <v/>
      </c>
      <c r="C300" s="39" t="str">
        <f>IF($A300="","",INDEX(TblApplications[Application],$A300))</f>
        <v/>
      </c>
      <c r="D300" s="39" t="str">
        <f>IF($A300="","",INDEX(TblApplications[Tribe],$A300))</f>
        <v/>
      </c>
      <c r="E300" s="39" t="str">
        <f>IF($A300="","",INDEX(TblApplications[Environnement],$A300))</f>
        <v/>
      </c>
      <c r="F300" s="39" t="str">
        <f>IF($A300="","",INDEX(TblApplications[Couloir],$A300))</f>
        <v/>
      </c>
      <c r="G300" s="39" t="str">
        <f>IF($A300="","",INDEX(TblApplications[Action],$A300))</f>
        <v/>
      </c>
      <c r="H300" s="39" t="str">
        <f>IF($A300="","",INDEX(TblApplications[Cluster IKS source],$A300))</f>
        <v/>
      </c>
      <c r="I300" s="48" t="str">
        <f>IF($A300="","",INDEX(TblApplications[Mois lib (calc)],$A300))</f>
        <v/>
      </c>
      <c r="J300" s="39" t="str">
        <f>IF($A300="","",INDEX(TblApplications[CPU IKS libérable (vCPU)],$A300))</f>
        <v/>
      </c>
    </row>
    <row r="301" spans="1:10" x14ac:dyDescent="0.2">
      <c r="A301" s="37" t="str">
        <f>IFERROR(MATCH(226,TblApplications[Rang extinction],0),"")</f>
        <v/>
      </c>
      <c r="B301" s="39" t="str">
        <f>IF($A301="","",INDEX(TblApplications[ID],$A301))</f>
        <v/>
      </c>
      <c r="C301" s="39" t="str">
        <f>IF($A301="","",INDEX(TblApplications[Application],$A301))</f>
        <v/>
      </c>
      <c r="D301" s="39" t="str">
        <f>IF($A301="","",INDEX(TblApplications[Tribe],$A301))</f>
        <v/>
      </c>
      <c r="E301" s="39" t="str">
        <f>IF($A301="","",INDEX(TblApplications[Environnement],$A301))</f>
        <v/>
      </c>
      <c r="F301" s="39" t="str">
        <f>IF($A301="","",INDEX(TblApplications[Couloir],$A301))</f>
        <v/>
      </c>
      <c r="G301" s="39" t="str">
        <f>IF($A301="","",INDEX(TblApplications[Action],$A301))</f>
        <v/>
      </c>
      <c r="H301" s="39" t="str">
        <f>IF($A301="","",INDEX(TblApplications[Cluster IKS source],$A301))</f>
        <v/>
      </c>
      <c r="I301" s="48" t="str">
        <f>IF($A301="","",INDEX(TblApplications[Mois lib (calc)],$A301))</f>
        <v/>
      </c>
      <c r="J301" s="39" t="str">
        <f>IF($A301="","",INDEX(TblApplications[CPU IKS libérable (vCPU)],$A301))</f>
        <v/>
      </c>
    </row>
    <row r="302" spans="1:10" x14ac:dyDescent="0.2">
      <c r="A302" s="37" t="str">
        <f>IFERROR(MATCH(227,TblApplications[Rang extinction],0),"")</f>
        <v/>
      </c>
      <c r="B302" s="39" t="str">
        <f>IF($A302="","",INDEX(TblApplications[ID],$A302))</f>
        <v/>
      </c>
      <c r="C302" s="39" t="str">
        <f>IF($A302="","",INDEX(TblApplications[Application],$A302))</f>
        <v/>
      </c>
      <c r="D302" s="39" t="str">
        <f>IF($A302="","",INDEX(TblApplications[Tribe],$A302))</f>
        <v/>
      </c>
      <c r="E302" s="39" t="str">
        <f>IF($A302="","",INDEX(TblApplications[Environnement],$A302))</f>
        <v/>
      </c>
      <c r="F302" s="39" t="str">
        <f>IF($A302="","",INDEX(TblApplications[Couloir],$A302))</f>
        <v/>
      </c>
      <c r="G302" s="39" t="str">
        <f>IF($A302="","",INDEX(TblApplications[Action],$A302))</f>
        <v/>
      </c>
      <c r="H302" s="39" t="str">
        <f>IF($A302="","",INDEX(TblApplications[Cluster IKS source],$A302))</f>
        <v/>
      </c>
      <c r="I302" s="48" t="str">
        <f>IF($A302="","",INDEX(TblApplications[Mois lib (calc)],$A302))</f>
        <v/>
      </c>
      <c r="J302" s="39" t="str">
        <f>IF($A302="","",INDEX(TblApplications[CPU IKS libérable (vCPU)],$A302))</f>
        <v/>
      </c>
    </row>
    <row r="303" spans="1:10" x14ac:dyDescent="0.2">
      <c r="A303" s="37" t="str">
        <f>IFERROR(MATCH(228,TblApplications[Rang extinction],0),"")</f>
        <v/>
      </c>
      <c r="B303" s="39" t="str">
        <f>IF($A303="","",INDEX(TblApplications[ID],$A303))</f>
        <v/>
      </c>
      <c r="C303" s="39" t="str">
        <f>IF($A303="","",INDEX(TblApplications[Application],$A303))</f>
        <v/>
      </c>
      <c r="D303" s="39" t="str">
        <f>IF($A303="","",INDEX(TblApplications[Tribe],$A303))</f>
        <v/>
      </c>
      <c r="E303" s="39" t="str">
        <f>IF($A303="","",INDEX(TblApplications[Environnement],$A303))</f>
        <v/>
      </c>
      <c r="F303" s="39" t="str">
        <f>IF($A303="","",INDEX(TblApplications[Couloir],$A303))</f>
        <v/>
      </c>
      <c r="G303" s="39" t="str">
        <f>IF($A303="","",INDEX(TblApplications[Action],$A303))</f>
        <v/>
      </c>
      <c r="H303" s="39" t="str">
        <f>IF($A303="","",INDEX(TblApplications[Cluster IKS source],$A303))</f>
        <v/>
      </c>
      <c r="I303" s="48" t="str">
        <f>IF($A303="","",INDEX(TblApplications[Mois lib (calc)],$A303))</f>
        <v/>
      </c>
      <c r="J303" s="39" t="str">
        <f>IF($A303="","",INDEX(TblApplications[CPU IKS libérable (vCPU)],$A303))</f>
        <v/>
      </c>
    </row>
    <row r="304" spans="1:10" x14ac:dyDescent="0.2">
      <c r="A304" s="37" t="str">
        <f>IFERROR(MATCH(229,TblApplications[Rang extinction],0),"")</f>
        <v/>
      </c>
      <c r="B304" s="39" t="str">
        <f>IF($A304="","",INDEX(TblApplications[ID],$A304))</f>
        <v/>
      </c>
      <c r="C304" s="39" t="str">
        <f>IF($A304="","",INDEX(TblApplications[Application],$A304))</f>
        <v/>
      </c>
      <c r="D304" s="39" t="str">
        <f>IF($A304="","",INDEX(TblApplications[Tribe],$A304))</f>
        <v/>
      </c>
      <c r="E304" s="39" t="str">
        <f>IF($A304="","",INDEX(TblApplications[Environnement],$A304))</f>
        <v/>
      </c>
      <c r="F304" s="39" t="str">
        <f>IF($A304="","",INDEX(TblApplications[Couloir],$A304))</f>
        <v/>
      </c>
      <c r="G304" s="39" t="str">
        <f>IF($A304="","",INDEX(TblApplications[Action],$A304))</f>
        <v/>
      </c>
      <c r="H304" s="39" t="str">
        <f>IF($A304="","",INDEX(TblApplications[Cluster IKS source],$A304))</f>
        <v/>
      </c>
      <c r="I304" s="48" t="str">
        <f>IF($A304="","",INDEX(TblApplications[Mois lib (calc)],$A304))</f>
        <v/>
      </c>
      <c r="J304" s="39" t="str">
        <f>IF($A304="","",INDEX(TblApplications[CPU IKS libérable (vCPU)],$A304))</f>
        <v/>
      </c>
    </row>
    <row r="305" spans="1:10" x14ac:dyDescent="0.2">
      <c r="A305" s="37" t="str">
        <f>IFERROR(MATCH(230,TblApplications[Rang extinction],0),"")</f>
        <v/>
      </c>
      <c r="B305" s="39" t="str">
        <f>IF($A305="","",INDEX(TblApplications[ID],$A305))</f>
        <v/>
      </c>
      <c r="C305" s="39" t="str">
        <f>IF($A305="","",INDEX(TblApplications[Application],$A305))</f>
        <v/>
      </c>
      <c r="D305" s="39" t="str">
        <f>IF($A305="","",INDEX(TblApplications[Tribe],$A305))</f>
        <v/>
      </c>
      <c r="E305" s="39" t="str">
        <f>IF($A305="","",INDEX(TblApplications[Environnement],$A305))</f>
        <v/>
      </c>
      <c r="F305" s="39" t="str">
        <f>IF($A305="","",INDEX(TblApplications[Couloir],$A305))</f>
        <v/>
      </c>
      <c r="G305" s="39" t="str">
        <f>IF($A305="","",INDEX(TblApplications[Action],$A305))</f>
        <v/>
      </c>
      <c r="H305" s="39" t="str">
        <f>IF($A305="","",INDEX(TblApplications[Cluster IKS source],$A305))</f>
        <v/>
      </c>
      <c r="I305" s="48" t="str">
        <f>IF($A305="","",INDEX(TblApplications[Mois lib (calc)],$A305))</f>
        <v/>
      </c>
      <c r="J305" s="39" t="str">
        <f>IF($A305="","",INDEX(TblApplications[CPU IKS libérable (vCPU)],$A305))</f>
        <v/>
      </c>
    </row>
    <row r="306" spans="1:10" x14ac:dyDescent="0.2">
      <c r="A306" s="37" t="str">
        <f>IFERROR(MATCH(231,TblApplications[Rang extinction],0),"")</f>
        <v/>
      </c>
      <c r="B306" s="39" t="str">
        <f>IF($A306="","",INDEX(TblApplications[ID],$A306))</f>
        <v/>
      </c>
      <c r="C306" s="39" t="str">
        <f>IF($A306="","",INDEX(TblApplications[Application],$A306))</f>
        <v/>
      </c>
      <c r="D306" s="39" t="str">
        <f>IF($A306="","",INDEX(TblApplications[Tribe],$A306))</f>
        <v/>
      </c>
      <c r="E306" s="39" t="str">
        <f>IF($A306="","",INDEX(TblApplications[Environnement],$A306))</f>
        <v/>
      </c>
      <c r="F306" s="39" t="str">
        <f>IF($A306="","",INDEX(TblApplications[Couloir],$A306))</f>
        <v/>
      </c>
      <c r="G306" s="39" t="str">
        <f>IF($A306="","",INDEX(TblApplications[Action],$A306))</f>
        <v/>
      </c>
      <c r="H306" s="39" t="str">
        <f>IF($A306="","",INDEX(TblApplications[Cluster IKS source],$A306))</f>
        <v/>
      </c>
      <c r="I306" s="48" t="str">
        <f>IF($A306="","",INDEX(TblApplications[Mois lib (calc)],$A306))</f>
        <v/>
      </c>
      <c r="J306" s="39" t="str">
        <f>IF($A306="","",INDEX(TblApplications[CPU IKS libérable (vCPU)],$A306))</f>
        <v/>
      </c>
    </row>
    <row r="307" spans="1:10" x14ac:dyDescent="0.2">
      <c r="A307" s="37" t="str">
        <f>IFERROR(MATCH(232,TblApplications[Rang extinction],0),"")</f>
        <v/>
      </c>
      <c r="B307" s="39" t="str">
        <f>IF($A307="","",INDEX(TblApplications[ID],$A307))</f>
        <v/>
      </c>
      <c r="C307" s="39" t="str">
        <f>IF($A307="","",INDEX(TblApplications[Application],$A307))</f>
        <v/>
      </c>
      <c r="D307" s="39" t="str">
        <f>IF($A307="","",INDEX(TblApplications[Tribe],$A307))</f>
        <v/>
      </c>
      <c r="E307" s="39" t="str">
        <f>IF($A307="","",INDEX(TblApplications[Environnement],$A307))</f>
        <v/>
      </c>
      <c r="F307" s="39" t="str">
        <f>IF($A307="","",INDEX(TblApplications[Couloir],$A307))</f>
        <v/>
      </c>
      <c r="G307" s="39" t="str">
        <f>IF($A307="","",INDEX(TblApplications[Action],$A307))</f>
        <v/>
      </c>
      <c r="H307" s="39" t="str">
        <f>IF($A307="","",INDEX(TblApplications[Cluster IKS source],$A307))</f>
        <v/>
      </c>
      <c r="I307" s="48" t="str">
        <f>IF($A307="","",INDEX(TblApplications[Mois lib (calc)],$A307))</f>
        <v/>
      </c>
      <c r="J307" s="39" t="str">
        <f>IF($A307="","",INDEX(TblApplications[CPU IKS libérable (vCPU)],$A307))</f>
        <v/>
      </c>
    </row>
    <row r="308" spans="1:10" x14ac:dyDescent="0.2">
      <c r="A308" s="37" t="str">
        <f>IFERROR(MATCH(233,TblApplications[Rang extinction],0),"")</f>
        <v/>
      </c>
      <c r="B308" s="39" t="str">
        <f>IF($A308="","",INDEX(TblApplications[ID],$A308))</f>
        <v/>
      </c>
      <c r="C308" s="39" t="str">
        <f>IF($A308="","",INDEX(TblApplications[Application],$A308))</f>
        <v/>
      </c>
      <c r="D308" s="39" t="str">
        <f>IF($A308="","",INDEX(TblApplications[Tribe],$A308))</f>
        <v/>
      </c>
      <c r="E308" s="39" t="str">
        <f>IF($A308="","",INDEX(TblApplications[Environnement],$A308))</f>
        <v/>
      </c>
      <c r="F308" s="39" t="str">
        <f>IF($A308="","",INDEX(TblApplications[Couloir],$A308))</f>
        <v/>
      </c>
      <c r="G308" s="39" t="str">
        <f>IF($A308="","",INDEX(TblApplications[Action],$A308))</f>
        <v/>
      </c>
      <c r="H308" s="39" t="str">
        <f>IF($A308="","",INDEX(TblApplications[Cluster IKS source],$A308))</f>
        <v/>
      </c>
      <c r="I308" s="48" t="str">
        <f>IF($A308="","",INDEX(TblApplications[Mois lib (calc)],$A308))</f>
        <v/>
      </c>
      <c r="J308" s="39" t="str">
        <f>IF($A308="","",INDEX(TblApplications[CPU IKS libérable (vCPU)],$A308))</f>
        <v/>
      </c>
    </row>
    <row r="309" spans="1:10" x14ac:dyDescent="0.2">
      <c r="A309" s="37" t="str">
        <f>IFERROR(MATCH(234,TblApplications[Rang extinction],0),"")</f>
        <v/>
      </c>
      <c r="B309" s="39" t="str">
        <f>IF($A309="","",INDEX(TblApplications[ID],$A309))</f>
        <v/>
      </c>
      <c r="C309" s="39" t="str">
        <f>IF($A309="","",INDEX(TblApplications[Application],$A309))</f>
        <v/>
      </c>
      <c r="D309" s="39" t="str">
        <f>IF($A309="","",INDEX(TblApplications[Tribe],$A309))</f>
        <v/>
      </c>
      <c r="E309" s="39" t="str">
        <f>IF($A309="","",INDEX(TblApplications[Environnement],$A309))</f>
        <v/>
      </c>
      <c r="F309" s="39" t="str">
        <f>IF($A309="","",INDEX(TblApplications[Couloir],$A309))</f>
        <v/>
      </c>
      <c r="G309" s="39" t="str">
        <f>IF($A309="","",INDEX(TblApplications[Action],$A309))</f>
        <v/>
      </c>
      <c r="H309" s="39" t="str">
        <f>IF($A309="","",INDEX(TblApplications[Cluster IKS source],$A309))</f>
        <v/>
      </c>
      <c r="I309" s="48" t="str">
        <f>IF($A309="","",INDEX(TblApplications[Mois lib (calc)],$A309))</f>
        <v/>
      </c>
      <c r="J309" s="39" t="str">
        <f>IF($A309="","",INDEX(TblApplications[CPU IKS libérable (vCPU)],$A309))</f>
        <v/>
      </c>
    </row>
    <row r="310" spans="1:10" x14ac:dyDescent="0.2">
      <c r="A310" s="37" t="str">
        <f>IFERROR(MATCH(235,TblApplications[Rang extinction],0),"")</f>
        <v/>
      </c>
      <c r="B310" s="39" t="str">
        <f>IF($A310="","",INDEX(TblApplications[ID],$A310))</f>
        <v/>
      </c>
      <c r="C310" s="39" t="str">
        <f>IF($A310="","",INDEX(TblApplications[Application],$A310))</f>
        <v/>
      </c>
      <c r="D310" s="39" t="str">
        <f>IF($A310="","",INDEX(TblApplications[Tribe],$A310))</f>
        <v/>
      </c>
      <c r="E310" s="39" t="str">
        <f>IF($A310="","",INDEX(TblApplications[Environnement],$A310))</f>
        <v/>
      </c>
      <c r="F310" s="39" t="str">
        <f>IF($A310="","",INDEX(TblApplications[Couloir],$A310))</f>
        <v/>
      </c>
      <c r="G310" s="39" t="str">
        <f>IF($A310="","",INDEX(TblApplications[Action],$A310))</f>
        <v/>
      </c>
      <c r="H310" s="39" t="str">
        <f>IF($A310="","",INDEX(TblApplications[Cluster IKS source],$A310))</f>
        <v/>
      </c>
      <c r="I310" s="48" t="str">
        <f>IF($A310="","",INDEX(TblApplications[Mois lib (calc)],$A310))</f>
        <v/>
      </c>
      <c r="J310" s="39" t="str">
        <f>IF($A310="","",INDEX(TblApplications[CPU IKS libérable (vCPU)],$A310))</f>
        <v/>
      </c>
    </row>
    <row r="311" spans="1:10" x14ac:dyDescent="0.2">
      <c r="A311" s="37" t="str">
        <f>IFERROR(MATCH(236,TblApplications[Rang extinction],0),"")</f>
        <v/>
      </c>
      <c r="B311" s="39" t="str">
        <f>IF($A311="","",INDEX(TblApplications[ID],$A311))</f>
        <v/>
      </c>
      <c r="C311" s="39" t="str">
        <f>IF($A311="","",INDEX(TblApplications[Application],$A311))</f>
        <v/>
      </c>
      <c r="D311" s="39" t="str">
        <f>IF($A311="","",INDEX(TblApplications[Tribe],$A311))</f>
        <v/>
      </c>
      <c r="E311" s="39" t="str">
        <f>IF($A311="","",INDEX(TblApplications[Environnement],$A311))</f>
        <v/>
      </c>
      <c r="F311" s="39" t="str">
        <f>IF($A311="","",INDEX(TblApplications[Couloir],$A311))</f>
        <v/>
      </c>
      <c r="G311" s="39" t="str">
        <f>IF($A311="","",INDEX(TblApplications[Action],$A311))</f>
        <v/>
      </c>
      <c r="H311" s="39" t="str">
        <f>IF($A311="","",INDEX(TblApplications[Cluster IKS source],$A311))</f>
        <v/>
      </c>
      <c r="I311" s="48" t="str">
        <f>IF($A311="","",INDEX(TblApplications[Mois lib (calc)],$A311))</f>
        <v/>
      </c>
      <c r="J311" s="39" t="str">
        <f>IF($A311="","",INDEX(TblApplications[CPU IKS libérable (vCPU)],$A311))</f>
        <v/>
      </c>
    </row>
    <row r="312" spans="1:10" x14ac:dyDescent="0.2">
      <c r="A312" s="37" t="str">
        <f>IFERROR(MATCH(237,TblApplications[Rang extinction],0),"")</f>
        <v/>
      </c>
      <c r="B312" s="39" t="str">
        <f>IF($A312="","",INDEX(TblApplications[ID],$A312))</f>
        <v/>
      </c>
      <c r="C312" s="39" t="str">
        <f>IF($A312="","",INDEX(TblApplications[Application],$A312))</f>
        <v/>
      </c>
      <c r="D312" s="39" t="str">
        <f>IF($A312="","",INDEX(TblApplications[Tribe],$A312))</f>
        <v/>
      </c>
      <c r="E312" s="39" t="str">
        <f>IF($A312="","",INDEX(TblApplications[Environnement],$A312))</f>
        <v/>
      </c>
      <c r="F312" s="39" t="str">
        <f>IF($A312="","",INDEX(TblApplications[Couloir],$A312))</f>
        <v/>
      </c>
      <c r="G312" s="39" t="str">
        <f>IF($A312="","",INDEX(TblApplications[Action],$A312))</f>
        <v/>
      </c>
      <c r="H312" s="39" t="str">
        <f>IF($A312="","",INDEX(TblApplications[Cluster IKS source],$A312))</f>
        <v/>
      </c>
      <c r="I312" s="48" t="str">
        <f>IF($A312="","",INDEX(TblApplications[Mois lib (calc)],$A312))</f>
        <v/>
      </c>
      <c r="J312" s="39" t="str">
        <f>IF($A312="","",INDEX(TblApplications[CPU IKS libérable (vCPU)],$A312))</f>
        <v/>
      </c>
    </row>
    <row r="313" spans="1:10" x14ac:dyDescent="0.2">
      <c r="A313" s="37" t="str">
        <f>IFERROR(MATCH(238,TblApplications[Rang extinction],0),"")</f>
        <v/>
      </c>
      <c r="B313" s="39" t="str">
        <f>IF($A313="","",INDEX(TblApplications[ID],$A313))</f>
        <v/>
      </c>
      <c r="C313" s="39" t="str">
        <f>IF($A313="","",INDEX(TblApplications[Application],$A313))</f>
        <v/>
      </c>
      <c r="D313" s="39" t="str">
        <f>IF($A313="","",INDEX(TblApplications[Tribe],$A313))</f>
        <v/>
      </c>
      <c r="E313" s="39" t="str">
        <f>IF($A313="","",INDEX(TblApplications[Environnement],$A313))</f>
        <v/>
      </c>
      <c r="F313" s="39" t="str">
        <f>IF($A313="","",INDEX(TblApplications[Couloir],$A313))</f>
        <v/>
      </c>
      <c r="G313" s="39" t="str">
        <f>IF($A313="","",INDEX(TblApplications[Action],$A313))</f>
        <v/>
      </c>
      <c r="H313" s="39" t="str">
        <f>IF($A313="","",INDEX(TblApplications[Cluster IKS source],$A313))</f>
        <v/>
      </c>
      <c r="I313" s="48" t="str">
        <f>IF($A313="","",INDEX(TblApplications[Mois lib (calc)],$A313))</f>
        <v/>
      </c>
      <c r="J313" s="39" t="str">
        <f>IF($A313="","",INDEX(TblApplications[CPU IKS libérable (vCPU)],$A313))</f>
        <v/>
      </c>
    </row>
    <row r="314" spans="1:10" x14ac:dyDescent="0.2">
      <c r="A314" s="37" t="str">
        <f>IFERROR(MATCH(239,TblApplications[Rang extinction],0),"")</f>
        <v/>
      </c>
      <c r="B314" s="39" t="str">
        <f>IF($A314="","",INDEX(TblApplications[ID],$A314))</f>
        <v/>
      </c>
      <c r="C314" s="39" t="str">
        <f>IF($A314="","",INDEX(TblApplications[Application],$A314))</f>
        <v/>
      </c>
      <c r="D314" s="39" t="str">
        <f>IF($A314="","",INDEX(TblApplications[Tribe],$A314))</f>
        <v/>
      </c>
      <c r="E314" s="39" t="str">
        <f>IF($A314="","",INDEX(TblApplications[Environnement],$A314))</f>
        <v/>
      </c>
      <c r="F314" s="39" t="str">
        <f>IF($A314="","",INDEX(TblApplications[Couloir],$A314))</f>
        <v/>
      </c>
      <c r="G314" s="39" t="str">
        <f>IF($A314="","",INDEX(TblApplications[Action],$A314))</f>
        <v/>
      </c>
      <c r="H314" s="39" t="str">
        <f>IF($A314="","",INDEX(TblApplications[Cluster IKS source],$A314))</f>
        <v/>
      </c>
      <c r="I314" s="48" t="str">
        <f>IF($A314="","",INDEX(TblApplications[Mois lib (calc)],$A314))</f>
        <v/>
      </c>
      <c r="J314" s="39" t="str">
        <f>IF($A314="","",INDEX(TblApplications[CPU IKS libérable (vCPU)],$A314))</f>
        <v/>
      </c>
    </row>
    <row r="315" spans="1:10" x14ac:dyDescent="0.2">
      <c r="A315" s="37" t="str">
        <f>IFERROR(MATCH(240,TblApplications[Rang extinction],0),"")</f>
        <v/>
      </c>
      <c r="B315" s="39" t="str">
        <f>IF($A315="","",INDEX(TblApplications[ID],$A315))</f>
        <v/>
      </c>
      <c r="C315" s="39" t="str">
        <f>IF($A315="","",INDEX(TblApplications[Application],$A315))</f>
        <v/>
      </c>
      <c r="D315" s="39" t="str">
        <f>IF($A315="","",INDEX(TblApplications[Tribe],$A315))</f>
        <v/>
      </c>
      <c r="E315" s="39" t="str">
        <f>IF($A315="","",INDEX(TblApplications[Environnement],$A315))</f>
        <v/>
      </c>
      <c r="F315" s="39" t="str">
        <f>IF($A315="","",INDEX(TblApplications[Couloir],$A315))</f>
        <v/>
      </c>
      <c r="G315" s="39" t="str">
        <f>IF($A315="","",INDEX(TblApplications[Action],$A315))</f>
        <v/>
      </c>
      <c r="H315" s="39" t="str">
        <f>IF($A315="","",INDEX(TblApplications[Cluster IKS source],$A315))</f>
        <v/>
      </c>
      <c r="I315" s="48" t="str">
        <f>IF($A315="","",INDEX(TblApplications[Mois lib (calc)],$A315))</f>
        <v/>
      </c>
      <c r="J315" s="39" t="str">
        <f>IF($A315="","",INDEX(TblApplications[CPU IKS libérable (vCPU)],$A315))</f>
        <v/>
      </c>
    </row>
    <row r="316" spans="1:10" x14ac:dyDescent="0.2">
      <c r="A316" s="37" t="str">
        <f>IFERROR(MATCH(241,TblApplications[Rang extinction],0),"")</f>
        <v/>
      </c>
      <c r="B316" s="39" t="str">
        <f>IF($A316="","",INDEX(TblApplications[ID],$A316))</f>
        <v/>
      </c>
      <c r="C316" s="39" t="str">
        <f>IF($A316="","",INDEX(TblApplications[Application],$A316))</f>
        <v/>
      </c>
      <c r="D316" s="39" t="str">
        <f>IF($A316="","",INDEX(TblApplications[Tribe],$A316))</f>
        <v/>
      </c>
      <c r="E316" s="39" t="str">
        <f>IF($A316="","",INDEX(TblApplications[Environnement],$A316))</f>
        <v/>
      </c>
      <c r="F316" s="39" t="str">
        <f>IF($A316="","",INDEX(TblApplications[Couloir],$A316))</f>
        <v/>
      </c>
      <c r="G316" s="39" t="str">
        <f>IF($A316="","",INDEX(TblApplications[Action],$A316))</f>
        <v/>
      </c>
      <c r="H316" s="39" t="str">
        <f>IF($A316="","",INDEX(TblApplications[Cluster IKS source],$A316))</f>
        <v/>
      </c>
      <c r="I316" s="48" t="str">
        <f>IF($A316="","",INDEX(TblApplications[Mois lib (calc)],$A316))</f>
        <v/>
      </c>
      <c r="J316" s="39" t="str">
        <f>IF($A316="","",INDEX(TblApplications[CPU IKS libérable (vCPU)],$A316))</f>
        <v/>
      </c>
    </row>
    <row r="317" spans="1:10" x14ac:dyDescent="0.2">
      <c r="A317" s="37" t="str">
        <f>IFERROR(MATCH(242,TblApplications[Rang extinction],0),"")</f>
        <v/>
      </c>
      <c r="B317" s="39" t="str">
        <f>IF($A317="","",INDEX(TblApplications[ID],$A317))</f>
        <v/>
      </c>
      <c r="C317" s="39" t="str">
        <f>IF($A317="","",INDEX(TblApplications[Application],$A317))</f>
        <v/>
      </c>
      <c r="D317" s="39" t="str">
        <f>IF($A317="","",INDEX(TblApplications[Tribe],$A317))</f>
        <v/>
      </c>
      <c r="E317" s="39" t="str">
        <f>IF($A317="","",INDEX(TblApplications[Environnement],$A317))</f>
        <v/>
      </c>
      <c r="F317" s="39" t="str">
        <f>IF($A317="","",INDEX(TblApplications[Couloir],$A317))</f>
        <v/>
      </c>
      <c r="G317" s="39" t="str">
        <f>IF($A317="","",INDEX(TblApplications[Action],$A317))</f>
        <v/>
      </c>
      <c r="H317" s="39" t="str">
        <f>IF($A317="","",INDEX(TblApplications[Cluster IKS source],$A317))</f>
        <v/>
      </c>
      <c r="I317" s="48" t="str">
        <f>IF($A317="","",INDEX(TblApplications[Mois lib (calc)],$A317))</f>
        <v/>
      </c>
      <c r="J317" s="39" t="str">
        <f>IF($A317="","",INDEX(TblApplications[CPU IKS libérable (vCPU)],$A317))</f>
        <v/>
      </c>
    </row>
    <row r="318" spans="1:10" x14ac:dyDescent="0.2">
      <c r="A318" s="37" t="str">
        <f>IFERROR(MATCH(243,TblApplications[Rang extinction],0),"")</f>
        <v/>
      </c>
      <c r="B318" s="39" t="str">
        <f>IF($A318="","",INDEX(TblApplications[ID],$A318))</f>
        <v/>
      </c>
      <c r="C318" s="39" t="str">
        <f>IF($A318="","",INDEX(TblApplications[Application],$A318))</f>
        <v/>
      </c>
      <c r="D318" s="39" t="str">
        <f>IF($A318="","",INDEX(TblApplications[Tribe],$A318))</f>
        <v/>
      </c>
      <c r="E318" s="39" t="str">
        <f>IF($A318="","",INDEX(TblApplications[Environnement],$A318))</f>
        <v/>
      </c>
      <c r="F318" s="39" t="str">
        <f>IF($A318="","",INDEX(TblApplications[Couloir],$A318))</f>
        <v/>
      </c>
      <c r="G318" s="39" t="str">
        <f>IF($A318="","",INDEX(TblApplications[Action],$A318))</f>
        <v/>
      </c>
      <c r="H318" s="39" t="str">
        <f>IF($A318="","",INDEX(TblApplications[Cluster IKS source],$A318))</f>
        <v/>
      </c>
      <c r="I318" s="48" t="str">
        <f>IF($A318="","",INDEX(TblApplications[Mois lib (calc)],$A318))</f>
        <v/>
      </c>
      <c r="J318" s="39" t="str">
        <f>IF($A318="","",INDEX(TblApplications[CPU IKS libérable (vCPU)],$A318))</f>
        <v/>
      </c>
    </row>
    <row r="319" spans="1:10" x14ac:dyDescent="0.2">
      <c r="A319" s="37" t="str">
        <f>IFERROR(MATCH(244,TblApplications[Rang extinction],0),"")</f>
        <v/>
      </c>
      <c r="B319" s="39" t="str">
        <f>IF($A319="","",INDEX(TblApplications[ID],$A319))</f>
        <v/>
      </c>
      <c r="C319" s="39" t="str">
        <f>IF($A319="","",INDEX(TblApplications[Application],$A319))</f>
        <v/>
      </c>
      <c r="D319" s="39" t="str">
        <f>IF($A319="","",INDEX(TblApplications[Tribe],$A319))</f>
        <v/>
      </c>
      <c r="E319" s="39" t="str">
        <f>IF($A319="","",INDEX(TblApplications[Environnement],$A319))</f>
        <v/>
      </c>
      <c r="F319" s="39" t="str">
        <f>IF($A319="","",INDEX(TblApplications[Couloir],$A319))</f>
        <v/>
      </c>
      <c r="G319" s="39" t="str">
        <f>IF($A319="","",INDEX(TblApplications[Action],$A319))</f>
        <v/>
      </c>
      <c r="H319" s="39" t="str">
        <f>IF($A319="","",INDEX(TblApplications[Cluster IKS source],$A319))</f>
        <v/>
      </c>
      <c r="I319" s="48" t="str">
        <f>IF($A319="","",INDEX(TblApplications[Mois lib (calc)],$A319))</f>
        <v/>
      </c>
      <c r="J319" s="39" t="str">
        <f>IF($A319="","",INDEX(TblApplications[CPU IKS libérable (vCPU)],$A319))</f>
        <v/>
      </c>
    </row>
    <row r="320" spans="1:10" x14ac:dyDescent="0.2">
      <c r="A320" s="37" t="str">
        <f>IFERROR(MATCH(245,TblApplications[Rang extinction],0),"")</f>
        <v/>
      </c>
      <c r="B320" s="39" t="str">
        <f>IF($A320="","",INDEX(TblApplications[ID],$A320))</f>
        <v/>
      </c>
      <c r="C320" s="39" t="str">
        <f>IF($A320="","",INDEX(TblApplications[Application],$A320))</f>
        <v/>
      </c>
      <c r="D320" s="39" t="str">
        <f>IF($A320="","",INDEX(TblApplications[Tribe],$A320))</f>
        <v/>
      </c>
      <c r="E320" s="39" t="str">
        <f>IF($A320="","",INDEX(TblApplications[Environnement],$A320))</f>
        <v/>
      </c>
      <c r="F320" s="39" t="str">
        <f>IF($A320="","",INDEX(TblApplications[Couloir],$A320))</f>
        <v/>
      </c>
      <c r="G320" s="39" t="str">
        <f>IF($A320="","",INDEX(TblApplications[Action],$A320))</f>
        <v/>
      </c>
      <c r="H320" s="39" t="str">
        <f>IF($A320="","",INDEX(TblApplications[Cluster IKS source],$A320))</f>
        <v/>
      </c>
      <c r="I320" s="48" t="str">
        <f>IF($A320="","",INDEX(TblApplications[Mois lib (calc)],$A320))</f>
        <v/>
      </c>
      <c r="J320" s="39" t="str">
        <f>IF($A320="","",INDEX(TblApplications[CPU IKS libérable (vCPU)],$A320))</f>
        <v/>
      </c>
    </row>
    <row r="321" spans="1:10" x14ac:dyDescent="0.2">
      <c r="A321" s="37" t="str">
        <f>IFERROR(MATCH(246,TblApplications[Rang extinction],0),"")</f>
        <v/>
      </c>
      <c r="B321" s="39" t="str">
        <f>IF($A321="","",INDEX(TblApplications[ID],$A321))</f>
        <v/>
      </c>
      <c r="C321" s="39" t="str">
        <f>IF($A321="","",INDEX(TblApplications[Application],$A321))</f>
        <v/>
      </c>
      <c r="D321" s="39" t="str">
        <f>IF($A321="","",INDEX(TblApplications[Tribe],$A321))</f>
        <v/>
      </c>
      <c r="E321" s="39" t="str">
        <f>IF($A321="","",INDEX(TblApplications[Environnement],$A321))</f>
        <v/>
      </c>
      <c r="F321" s="39" t="str">
        <f>IF($A321="","",INDEX(TblApplications[Couloir],$A321))</f>
        <v/>
      </c>
      <c r="G321" s="39" t="str">
        <f>IF($A321="","",INDEX(TblApplications[Action],$A321))</f>
        <v/>
      </c>
      <c r="H321" s="39" t="str">
        <f>IF($A321="","",INDEX(TblApplications[Cluster IKS source],$A321))</f>
        <v/>
      </c>
      <c r="I321" s="48" t="str">
        <f>IF($A321="","",INDEX(TblApplications[Mois lib (calc)],$A321))</f>
        <v/>
      </c>
      <c r="J321" s="39" t="str">
        <f>IF($A321="","",INDEX(TblApplications[CPU IKS libérable (vCPU)],$A321))</f>
        <v/>
      </c>
    </row>
    <row r="322" spans="1:10" x14ac:dyDescent="0.2">
      <c r="A322" s="37" t="str">
        <f>IFERROR(MATCH(247,TblApplications[Rang extinction],0),"")</f>
        <v/>
      </c>
      <c r="B322" s="39" t="str">
        <f>IF($A322="","",INDEX(TblApplications[ID],$A322))</f>
        <v/>
      </c>
      <c r="C322" s="39" t="str">
        <f>IF($A322="","",INDEX(TblApplications[Application],$A322))</f>
        <v/>
      </c>
      <c r="D322" s="39" t="str">
        <f>IF($A322="","",INDEX(TblApplications[Tribe],$A322))</f>
        <v/>
      </c>
      <c r="E322" s="39" t="str">
        <f>IF($A322="","",INDEX(TblApplications[Environnement],$A322))</f>
        <v/>
      </c>
      <c r="F322" s="39" t="str">
        <f>IF($A322="","",INDEX(TblApplications[Couloir],$A322))</f>
        <v/>
      </c>
      <c r="G322" s="39" t="str">
        <f>IF($A322="","",INDEX(TblApplications[Action],$A322))</f>
        <v/>
      </c>
      <c r="H322" s="39" t="str">
        <f>IF($A322="","",INDEX(TblApplications[Cluster IKS source],$A322))</f>
        <v/>
      </c>
      <c r="I322" s="48" t="str">
        <f>IF($A322="","",INDEX(TblApplications[Mois lib (calc)],$A322))</f>
        <v/>
      </c>
      <c r="J322" s="39" t="str">
        <f>IF($A322="","",INDEX(TblApplications[CPU IKS libérable (vCPU)],$A322))</f>
        <v/>
      </c>
    </row>
    <row r="323" spans="1:10" x14ac:dyDescent="0.2">
      <c r="A323" s="37" t="str">
        <f>IFERROR(MATCH(248,TblApplications[Rang extinction],0),"")</f>
        <v/>
      </c>
      <c r="B323" s="39" t="str">
        <f>IF($A323="","",INDEX(TblApplications[ID],$A323))</f>
        <v/>
      </c>
      <c r="C323" s="39" t="str">
        <f>IF($A323="","",INDEX(TblApplications[Application],$A323))</f>
        <v/>
      </c>
      <c r="D323" s="39" t="str">
        <f>IF($A323="","",INDEX(TblApplications[Tribe],$A323))</f>
        <v/>
      </c>
      <c r="E323" s="39" t="str">
        <f>IF($A323="","",INDEX(TblApplications[Environnement],$A323))</f>
        <v/>
      </c>
      <c r="F323" s="39" t="str">
        <f>IF($A323="","",INDEX(TblApplications[Couloir],$A323))</f>
        <v/>
      </c>
      <c r="G323" s="39" t="str">
        <f>IF($A323="","",INDEX(TblApplications[Action],$A323))</f>
        <v/>
      </c>
      <c r="H323" s="39" t="str">
        <f>IF($A323="","",INDEX(TblApplications[Cluster IKS source],$A323))</f>
        <v/>
      </c>
      <c r="I323" s="48" t="str">
        <f>IF($A323="","",INDEX(TblApplications[Mois lib (calc)],$A323))</f>
        <v/>
      </c>
      <c r="J323" s="39" t="str">
        <f>IF($A323="","",INDEX(TblApplications[CPU IKS libérable (vCPU)],$A323))</f>
        <v/>
      </c>
    </row>
    <row r="324" spans="1:10" x14ac:dyDescent="0.2">
      <c r="A324" s="37" t="str">
        <f>IFERROR(MATCH(249,TblApplications[Rang extinction],0),"")</f>
        <v/>
      </c>
      <c r="B324" s="39" t="str">
        <f>IF($A324="","",INDEX(TblApplications[ID],$A324))</f>
        <v/>
      </c>
      <c r="C324" s="39" t="str">
        <f>IF($A324="","",INDEX(TblApplications[Application],$A324))</f>
        <v/>
      </c>
      <c r="D324" s="39" t="str">
        <f>IF($A324="","",INDEX(TblApplications[Tribe],$A324))</f>
        <v/>
      </c>
      <c r="E324" s="39" t="str">
        <f>IF($A324="","",INDEX(TblApplications[Environnement],$A324))</f>
        <v/>
      </c>
      <c r="F324" s="39" t="str">
        <f>IF($A324="","",INDEX(TblApplications[Couloir],$A324))</f>
        <v/>
      </c>
      <c r="G324" s="39" t="str">
        <f>IF($A324="","",INDEX(TblApplications[Action],$A324))</f>
        <v/>
      </c>
      <c r="H324" s="39" t="str">
        <f>IF($A324="","",INDEX(TblApplications[Cluster IKS source],$A324))</f>
        <v/>
      </c>
      <c r="I324" s="48" t="str">
        <f>IF($A324="","",INDEX(TblApplications[Mois lib (calc)],$A324))</f>
        <v/>
      </c>
      <c r="J324" s="39" t="str">
        <f>IF($A324="","",INDEX(TblApplications[CPU IKS libérable (vCPU)],$A324))</f>
        <v/>
      </c>
    </row>
    <row r="325" spans="1:10" x14ac:dyDescent="0.2">
      <c r="A325" s="37" t="str">
        <f>IFERROR(MATCH(250,TblApplications[Rang extinction],0),"")</f>
        <v/>
      </c>
      <c r="B325" s="39" t="str">
        <f>IF($A325="","",INDEX(TblApplications[ID],$A325))</f>
        <v/>
      </c>
      <c r="C325" s="39" t="str">
        <f>IF($A325="","",INDEX(TblApplications[Application],$A325))</f>
        <v/>
      </c>
      <c r="D325" s="39" t="str">
        <f>IF($A325="","",INDEX(TblApplications[Tribe],$A325))</f>
        <v/>
      </c>
      <c r="E325" s="39" t="str">
        <f>IF($A325="","",INDEX(TblApplications[Environnement],$A325))</f>
        <v/>
      </c>
      <c r="F325" s="39" t="str">
        <f>IF($A325="","",INDEX(TblApplications[Couloir],$A325))</f>
        <v/>
      </c>
      <c r="G325" s="39" t="str">
        <f>IF($A325="","",INDEX(TblApplications[Action],$A325))</f>
        <v/>
      </c>
      <c r="H325" s="39" t="str">
        <f>IF($A325="","",INDEX(TblApplications[Cluster IKS source],$A325))</f>
        <v/>
      </c>
      <c r="I325" s="48" t="str">
        <f>IF($A325="","",INDEX(TblApplications[Mois lib (calc)],$A325))</f>
        <v/>
      </c>
      <c r="J325" s="39" t="str">
        <f>IF($A325="","",INDEX(TblApplications[CPU IKS libérable (vCPU)],$A325))</f>
        <v/>
      </c>
    </row>
    <row r="326" spans="1:10" x14ac:dyDescent="0.2">
      <c r="A326" s="37" t="str">
        <f>IFERROR(MATCH(251,TblApplications[Rang extinction],0),"")</f>
        <v/>
      </c>
      <c r="B326" s="39" t="str">
        <f>IF($A326="","",INDEX(TblApplications[ID],$A326))</f>
        <v/>
      </c>
      <c r="C326" s="39" t="str">
        <f>IF($A326="","",INDEX(TblApplications[Application],$A326))</f>
        <v/>
      </c>
      <c r="D326" s="39" t="str">
        <f>IF($A326="","",INDEX(TblApplications[Tribe],$A326))</f>
        <v/>
      </c>
      <c r="E326" s="39" t="str">
        <f>IF($A326="","",INDEX(TblApplications[Environnement],$A326))</f>
        <v/>
      </c>
      <c r="F326" s="39" t="str">
        <f>IF($A326="","",INDEX(TblApplications[Couloir],$A326))</f>
        <v/>
      </c>
      <c r="G326" s="39" t="str">
        <f>IF($A326="","",INDEX(TblApplications[Action],$A326))</f>
        <v/>
      </c>
      <c r="H326" s="39" t="str">
        <f>IF($A326="","",INDEX(TblApplications[Cluster IKS source],$A326))</f>
        <v/>
      </c>
      <c r="I326" s="48" t="str">
        <f>IF($A326="","",INDEX(TblApplications[Mois lib (calc)],$A326))</f>
        <v/>
      </c>
      <c r="J326" s="39" t="str">
        <f>IF($A326="","",INDEX(TblApplications[CPU IKS libérable (vCPU)],$A326))</f>
        <v/>
      </c>
    </row>
    <row r="327" spans="1:10" x14ac:dyDescent="0.2">
      <c r="A327" s="37" t="str">
        <f>IFERROR(MATCH(252,TblApplications[Rang extinction],0),"")</f>
        <v/>
      </c>
      <c r="B327" s="39" t="str">
        <f>IF($A327="","",INDEX(TblApplications[ID],$A327))</f>
        <v/>
      </c>
      <c r="C327" s="39" t="str">
        <f>IF($A327="","",INDEX(TblApplications[Application],$A327))</f>
        <v/>
      </c>
      <c r="D327" s="39" t="str">
        <f>IF($A327="","",INDEX(TblApplications[Tribe],$A327))</f>
        <v/>
      </c>
      <c r="E327" s="39" t="str">
        <f>IF($A327="","",INDEX(TblApplications[Environnement],$A327))</f>
        <v/>
      </c>
      <c r="F327" s="39" t="str">
        <f>IF($A327="","",INDEX(TblApplications[Couloir],$A327))</f>
        <v/>
      </c>
      <c r="G327" s="39" t="str">
        <f>IF($A327="","",INDEX(TblApplications[Action],$A327))</f>
        <v/>
      </c>
      <c r="H327" s="39" t="str">
        <f>IF($A327="","",INDEX(TblApplications[Cluster IKS source],$A327))</f>
        <v/>
      </c>
      <c r="I327" s="48" t="str">
        <f>IF($A327="","",INDEX(TblApplications[Mois lib (calc)],$A327))</f>
        <v/>
      </c>
      <c r="J327" s="39" t="str">
        <f>IF($A327="","",INDEX(TblApplications[CPU IKS libérable (vCPU)],$A327))</f>
        <v/>
      </c>
    </row>
    <row r="328" spans="1:10" x14ac:dyDescent="0.2">
      <c r="A328" s="37" t="str">
        <f>IFERROR(MATCH(253,TblApplications[Rang extinction],0),"")</f>
        <v/>
      </c>
      <c r="B328" s="39" t="str">
        <f>IF($A328="","",INDEX(TblApplications[ID],$A328))</f>
        <v/>
      </c>
      <c r="C328" s="39" t="str">
        <f>IF($A328="","",INDEX(TblApplications[Application],$A328))</f>
        <v/>
      </c>
      <c r="D328" s="39" t="str">
        <f>IF($A328="","",INDEX(TblApplications[Tribe],$A328))</f>
        <v/>
      </c>
      <c r="E328" s="39" t="str">
        <f>IF($A328="","",INDEX(TblApplications[Environnement],$A328))</f>
        <v/>
      </c>
      <c r="F328" s="39" t="str">
        <f>IF($A328="","",INDEX(TblApplications[Couloir],$A328))</f>
        <v/>
      </c>
      <c r="G328" s="39" t="str">
        <f>IF($A328="","",INDEX(TblApplications[Action],$A328))</f>
        <v/>
      </c>
      <c r="H328" s="39" t="str">
        <f>IF($A328="","",INDEX(TblApplications[Cluster IKS source],$A328))</f>
        <v/>
      </c>
      <c r="I328" s="48" t="str">
        <f>IF($A328="","",INDEX(TblApplications[Mois lib (calc)],$A328))</f>
        <v/>
      </c>
      <c r="J328" s="39" t="str">
        <f>IF($A328="","",INDEX(TblApplications[CPU IKS libérable (vCPU)],$A328))</f>
        <v/>
      </c>
    </row>
    <row r="329" spans="1:10" x14ac:dyDescent="0.2">
      <c r="A329" s="37" t="str">
        <f>IFERROR(MATCH(254,TblApplications[Rang extinction],0),"")</f>
        <v/>
      </c>
      <c r="B329" s="39" t="str">
        <f>IF($A329="","",INDEX(TblApplications[ID],$A329))</f>
        <v/>
      </c>
      <c r="C329" s="39" t="str">
        <f>IF($A329="","",INDEX(TblApplications[Application],$A329))</f>
        <v/>
      </c>
      <c r="D329" s="39" t="str">
        <f>IF($A329="","",INDEX(TblApplications[Tribe],$A329))</f>
        <v/>
      </c>
      <c r="E329" s="39" t="str">
        <f>IF($A329="","",INDEX(TblApplications[Environnement],$A329))</f>
        <v/>
      </c>
      <c r="F329" s="39" t="str">
        <f>IF($A329="","",INDEX(TblApplications[Couloir],$A329))</f>
        <v/>
      </c>
      <c r="G329" s="39" t="str">
        <f>IF($A329="","",INDEX(TblApplications[Action],$A329))</f>
        <v/>
      </c>
      <c r="H329" s="39" t="str">
        <f>IF($A329="","",INDEX(TblApplications[Cluster IKS source],$A329))</f>
        <v/>
      </c>
      <c r="I329" s="48" t="str">
        <f>IF($A329="","",INDEX(TblApplications[Mois lib (calc)],$A329))</f>
        <v/>
      </c>
      <c r="J329" s="39" t="str">
        <f>IF($A329="","",INDEX(TblApplications[CPU IKS libérable (vCPU)],$A329))</f>
        <v/>
      </c>
    </row>
    <row r="330" spans="1:10" x14ac:dyDescent="0.2">
      <c r="A330" s="37" t="str">
        <f>IFERROR(MATCH(255,TblApplications[Rang extinction],0),"")</f>
        <v/>
      </c>
      <c r="B330" s="39" t="str">
        <f>IF($A330="","",INDEX(TblApplications[ID],$A330))</f>
        <v/>
      </c>
      <c r="C330" s="39" t="str">
        <f>IF($A330="","",INDEX(TblApplications[Application],$A330))</f>
        <v/>
      </c>
      <c r="D330" s="39" t="str">
        <f>IF($A330="","",INDEX(TblApplications[Tribe],$A330))</f>
        <v/>
      </c>
      <c r="E330" s="39" t="str">
        <f>IF($A330="","",INDEX(TblApplications[Environnement],$A330))</f>
        <v/>
      </c>
      <c r="F330" s="39" t="str">
        <f>IF($A330="","",INDEX(TblApplications[Couloir],$A330))</f>
        <v/>
      </c>
      <c r="G330" s="39" t="str">
        <f>IF($A330="","",INDEX(TblApplications[Action],$A330))</f>
        <v/>
      </c>
      <c r="H330" s="39" t="str">
        <f>IF($A330="","",INDEX(TblApplications[Cluster IKS source],$A330))</f>
        <v/>
      </c>
      <c r="I330" s="48" t="str">
        <f>IF($A330="","",INDEX(TblApplications[Mois lib (calc)],$A330))</f>
        <v/>
      </c>
      <c r="J330" s="39" t="str">
        <f>IF($A330="","",INDEX(TblApplications[CPU IKS libérable (vCPU)],$A330))</f>
        <v/>
      </c>
    </row>
    <row r="331" spans="1:10" x14ac:dyDescent="0.2">
      <c r="A331" s="37" t="str">
        <f>IFERROR(MATCH(256,TblApplications[Rang extinction],0),"")</f>
        <v/>
      </c>
      <c r="B331" s="39" t="str">
        <f>IF($A331="","",INDEX(TblApplications[ID],$A331))</f>
        <v/>
      </c>
      <c r="C331" s="39" t="str">
        <f>IF($A331="","",INDEX(TblApplications[Application],$A331))</f>
        <v/>
      </c>
      <c r="D331" s="39" t="str">
        <f>IF($A331="","",INDEX(TblApplications[Tribe],$A331))</f>
        <v/>
      </c>
      <c r="E331" s="39" t="str">
        <f>IF($A331="","",INDEX(TblApplications[Environnement],$A331))</f>
        <v/>
      </c>
      <c r="F331" s="39" t="str">
        <f>IF($A331="","",INDEX(TblApplications[Couloir],$A331))</f>
        <v/>
      </c>
      <c r="G331" s="39" t="str">
        <f>IF($A331="","",INDEX(TblApplications[Action],$A331))</f>
        <v/>
      </c>
      <c r="H331" s="39" t="str">
        <f>IF($A331="","",INDEX(TblApplications[Cluster IKS source],$A331))</f>
        <v/>
      </c>
      <c r="I331" s="48" t="str">
        <f>IF($A331="","",INDEX(TblApplications[Mois lib (calc)],$A331))</f>
        <v/>
      </c>
      <c r="J331" s="39" t="str">
        <f>IF($A331="","",INDEX(TblApplications[CPU IKS libérable (vCPU)],$A331))</f>
        <v/>
      </c>
    </row>
    <row r="332" spans="1:10" x14ac:dyDescent="0.2">
      <c r="A332" s="37" t="str">
        <f>IFERROR(MATCH(257,TblApplications[Rang extinction],0),"")</f>
        <v/>
      </c>
      <c r="B332" s="39" t="str">
        <f>IF($A332="","",INDEX(TblApplications[ID],$A332))</f>
        <v/>
      </c>
      <c r="C332" s="39" t="str">
        <f>IF($A332="","",INDEX(TblApplications[Application],$A332))</f>
        <v/>
      </c>
      <c r="D332" s="39" t="str">
        <f>IF($A332="","",INDEX(TblApplications[Tribe],$A332))</f>
        <v/>
      </c>
      <c r="E332" s="39" t="str">
        <f>IF($A332="","",INDEX(TblApplications[Environnement],$A332))</f>
        <v/>
      </c>
      <c r="F332" s="39" t="str">
        <f>IF($A332="","",INDEX(TblApplications[Couloir],$A332))</f>
        <v/>
      </c>
      <c r="G332" s="39" t="str">
        <f>IF($A332="","",INDEX(TblApplications[Action],$A332))</f>
        <v/>
      </c>
      <c r="H332" s="39" t="str">
        <f>IF($A332="","",INDEX(TblApplications[Cluster IKS source],$A332))</f>
        <v/>
      </c>
      <c r="I332" s="48" t="str">
        <f>IF($A332="","",INDEX(TblApplications[Mois lib (calc)],$A332))</f>
        <v/>
      </c>
      <c r="J332" s="39" t="str">
        <f>IF($A332="","",INDEX(TblApplications[CPU IKS libérable (vCPU)],$A332))</f>
        <v/>
      </c>
    </row>
    <row r="333" spans="1:10" x14ac:dyDescent="0.2">
      <c r="A333" s="37" t="str">
        <f>IFERROR(MATCH(258,TblApplications[Rang extinction],0),"")</f>
        <v/>
      </c>
      <c r="B333" s="39" t="str">
        <f>IF($A333="","",INDEX(TblApplications[ID],$A333))</f>
        <v/>
      </c>
      <c r="C333" s="39" t="str">
        <f>IF($A333="","",INDEX(TblApplications[Application],$A333))</f>
        <v/>
      </c>
      <c r="D333" s="39" t="str">
        <f>IF($A333="","",INDEX(TblApplications[Tribe],$A333))</f>
        <v/>
      </c>
      <c r="E333" s="39" t="str">
        <f>IF($A333="","",INDEX(TblApplications[Environnement],$A333))</f>
        <v/>
      </c>
      <c r="F333" s="39" t="str">
        <f>IF($A333="","",INDEX(TblApplications[Couloir],$A333))</f>
        <v/>
      </c>
      <c r="G333" s="39" t="str">
        <f>IF($A333="","",INDEX(TblApplications[Action],$A333))</f>
        <v/>
      </c>
      <c r="H333" s="39" t="str">
        <f>IF($A333="","",INDEX(TblApplications[Cluster IKS source],$A333))</f>
        <v/>
      </c>
      <c r="I333" s="48" t="str">
        <f>IF($A333="","",INDEX(TblApplications[Mois lib (calc)],$A333))</f>
        <v/>
      </c>
      <c r="J333" s="39" t="str">
        <f>IF($A333="","",INDEX(TblApplications[CPU IKS libérable (vCPU)],$A333))</f>
        <v/>
      </c>
    </row>
    <row r="334" spans="1:10" x14ac:dyDescent="0.2">
      <c r="A334" s="37" t="str">
        <f>IFERROR(MATCH(259,TblApplications[Rang extinction],0),"")</f>
        <v/>
      </c>
      <c r="B334" s="39" t="str">
        <f>IF($A334="","",INDEX(TblApplications[ID],$A334))</f>
        <v/>
      </c>
      <c r="C334" s="39" t="str">
        <f>IF($A334="","",INDEX(TblApplications[Application],$A334))</f>
        <v/>
      </c>
      <c r="D334" s="39" t="str">
        <f>IF($A334="","",INDEX(TblApplications[Tribe],$A334))</f>
        <v/>
      </c>
      <c r="E334" s="39" t="str">
        <f>IF($A334="","",INDEX(TblApplications[Environnement],$A334))</f>
        <v/>
      </c>
      <c r="F334" s="39" t="str">
        <f>IF($A334="","",INDEX(TblApplications[Couloir],$A334))</f>
        <v/>
      </c>
      <c r="G334" s="39" t="str">
        <f>IF($A334="","",INDEX(TblApplications[Action],$A334))</f>
        <v/>
      </c>
      <c r="H334" s="39" t="str">
        <f>IF($A334="","",INDEX(TblApplications[Cluster IKS source],$A334))</f>
        <v/>
      </c>
      <c r="I334" s="48" t="str">
        <f>IF($A334="","",INDEX(TblApplications[Mois lib (calc)],$A334))</f>
        <v/>
      </c>
      <c r="J334" s="39" t="str">
        <f>IF($A334="","",INDEX(TblApplications[CPU IKS libérable (vCPU)],$A334))</f>
        <v/>
      </c>
    </row>
    <row r="335" spans="1:10" x14ac:dyDescent="0.2">
      <c r="A335" s="37" t="str">
        <f>IFERROR(MATCH(260,TblApplications[Rang extinction],0),"")</f>
        <v/>
      </c>
      <c r="B335" s="39" t="str">
        <f>IF($A335="","",INDEX(TblApplications[ID],$A335))</f>
        <v/>
      </c>
      <c r="C335" s="39" t="str">
        <f>IF($A335="","",INDEX(TblApplications[Application],$A335))</f>
        <v/>
      </c>
      <c r="D335" s="39" t="str">
        <f>IF($A335="","",INDEX(TblApplications[Tribe],$A335))</f>
        <v/>
      </c>
      <c r="E335" s="39" t="str">
        <f>IF($A335="","",INDEX(TblApplications[Environnement],$A335))</f>
        <v/>
      </c>
      <c r="F335" s="39" t="str">
        <f>IF($A335="","",INDEX(TblApplications[Couloir],$A335))</f>
        <v/>
      </c>
      <c r="G335" s="39" t="str">
        <f>IF($A335="","",INDEX(TblApplications[Action],$A335))</f>
        <v/>
      </c>
      <c r="H335" s="39" t="str">
        <f>IF($A335="","",INDEX(TblApplications[Cluster IKS source],$A335))</f>
        <v/>
      </c>
      <c r="I335" s="48" t="str">
        <f>IF($A335="","",INDEX(TblApplications[Mois lib (calc)],$A335))</f>
        <v/>
      </c>
      <c r="J335" s="39" t="str">
        <f>IF($A335="","",INDEX(TblApplications[CPU IKS libérable (vCPU)],$A335))</f>
        <v/>
      </c>
    </row>
    <row r="336" spans="1:10" x14ac:dyDescent="0.2">
      <c r="A336" s="37" t="str">
        <f>IFERROR(MATCH(261,TblApplications[Rang extinction],0),"")</f>
        <v/>
      </c>
      <c r="B336" s="39" t="str">
        <f>IF($A336="","",INDEX(TblApplications[ID],$A336))</f>
        <v/>
      </c>
      <c r="C336" s="39" t="str">
        <f>IF($A336="","",INDEX(TblApplications[Application],$A336))</f>
        <v/>
      </c>
      <c r="D336" s="39" t="str">
        <f>IF($A336="","",INDEX(TblApplications[Tribe],$A336))</f>
        <v/>
      </c>
      <c r="E336" s="39" t="str">
        <f>IF($A336="","",INDEX(TblApplications[Environnement],$A336))</f>
        <v/>
      </c>
      <c r="F336" s="39" t="str">
        <f>IF($A336="","",INDEX(TblApplications[Couloir],$A336))</f>
        <v/>
      </c>
      <c r="G336" s="39" t="str">
        <f>IF($A336="","",INDEX(TblApplications[Action],$A336))</f>
        <v/>
      </c>
      <c r="H336" s="39" t="str">
        <f>IF($A336="","",INDEX(TblApplications[Cluster IKS source],$A336))</f>
        <v/>
      </c>
      <c r="I336" s="48" t="str">
        <f>IF($A336="","",INDEX(TblApplications[Mois lib (calc)],$A336))</f>
        <v/>
      </c>
      <c r="J336" s="39" t="str">
        <f>IF($A336="","",INDEX(TblApplications[CPU IKS libérable (vCPU)],$A336))</f>
        <v/>
      </c>
    </row>
    <row r="337" spans="1:10" x14ac:dyDescent="0.2">
      <c r="A337" s="37" t="str">
        <f>IFERROR(MATCH(262,TblApplications[Rang extinction],0),"")</f>
        <v/>
      </c>
      <c r="B337" s="39" t="str">
        <f>IF($A337="","",INDEX(TblApplications[ID],$A337))</f>
        <v/>
      </c>
      <c r="C337" s="39" t="str">
        <f>IF($A337="","",INDEX(TblApplications[Application],$A337))</f>
        <v/>
      </c>
      <c r="D337" s="39" t="str">
        <f>IF($A337="","",INDEX(TblApplications[Tribe],$A337))</f>
        <v/>
      </c>
      <c r="E337" s="39" t="str">
        <f>IF($A337="","",INDEX(TblApplications[Environnement],$A337))</f>
        <v/>
      </c>
      <c r="F337" s="39" t="str">
        <f>IF($A337="","",INDEX(TblApplications[Couloir],$A337))</f>
        <v/>
      </c>
      <c r="G337" s="39" t="str">
        <f>IF($A337="","",INDEX(TblApplications[Action],$A337))</f>
        <v/>
      </c>
      <c r="H337" s="39" t="str">
        <f>IF($A337="","",INDEX(TblApplications[Cluster IKS source],$A337))</f>
        <v/>
      </c>
      <c r="I337" s="48" t="str">
        <f>IF($A337="","",INDEX(TblApplications[Mois lib (calc)],$A337))</f>
        <v/>
      </c>
      <c r="J337" s="39" t="str">
        <f>IF($A337="","",INDEX(TblApplications[CPU IKS libérable (vCPU)],$A337))</f>
        <v/>
      </c>
    </row>
    <row r="338" spans="1:10" x14ac:dyDescent="0.2">
      <c r="A338" s="37" t="str">
        <f>IFERROR(MATCH(263,TblApplications[Rang extinction],0),"")</f>
        <v/>
      </c>
      <c r="B338" s="39" t="str">
        <f>IF($A338="","",INDEX(TblApplications[ID],$A338))</f>
        <v/>
      </c>
      <c r="C338" s="39" t="str">
        <f>IF($A338="","",INDEX(TblApplications[Application],$A338))</f>
        <v/>
      </c>
      <c r="D338" s="39" t="str">
        <f>IF($A338="","",INDEX(TblApplications[Tribe],$A338))</f>
        <v/>
      </c>
      <c r="E338" s="39" t="str">
        <f>IF($A338="","",INDEX(TblApplications[Environnement],$A338))</f>
        <v/>
      </c>
      <c r="F338" s="39" t="str">
        <f>IF($A338="","",INDEX(TblApplications[Couloir],$A338))</f>
        <v/>
      </c>
      <c r="G338" s="39" t="str">
        <f>IF($A338="","",INDEX(TblApplications[Action],$A338))</f>
        <v/>
      </c>
      <c r="H338" s="39" t="str">
        <f>IF($A338="","",INDEX(TblApplications[Cluster IKS source],$A338))</f>
        <v/>
      </c>
      <c r="I338" s="48" t="str">
        <f>IF($A338="","",INDEX(TblApplications[Mois lib (calc)],$A338))</f>
        <v/>
      </c>
      <c r="J338" s="39" t="str">
        <f>IF($A338="","",INDEX(TblApplications[CPU IKS libérable (vCPU)],$A338))</f>
        <v/>
      </c>
    </row>
    <row r="339" spans="1:10" x14ac:dyDescent="0.2">
      <c r="A339" s="37" t="str">
        <f>IFERROR(MATCH(264,TblApplications[Rang extinction],0),"")</f>
        <v/>
      </c>
      <c r="B339" s="39" t="str">
        <f>IF($A339="","",INDEX(TblApplications[ID],$A339))</f>
        <v/>
      </c>
      <c r="C339" s="39" t="str">
        <f>IF($A339="","",INDEX(TblApplications[Application],$A339))</f>
        <v/>
      </c>
      <c r="D339" s="39" t="str">
        <f>IF($A339="","",INDEX(TblApplications[Tribe],$A339))</f>
        <v/>
      </c>
      <c r="E339" s="39" t="str">
        <f>IF($A339="","",INDEX(TblApplications[Environnement],$A339))</f>
        <v/>
      </c>
      <c r="F339" s="39" t="str">
        <f>IF($A339="","",INDEX(TblApplications[Couloir],$A339))</f>
        <v/>
      </c>
      <c r="G339" s="39" t="str">
        <f>IF($A339="","",INDEX(TblApplications[Action],$A339))</f>
        <v/>
      </c>
      <c r="H339" s="39" t="str">
        <f>IF($A339="","",INDEX(TblApplications[Cluster IKS source],$A339))</f>
        <v/>
      </c>
      <c r="I339" s="48" t="str">
        <f>IF($A339="","",INDEX(TblApplications[Mois lib (calc)],$A339))</f>
        <v/>
      </c>
      <c r="J339" s="39" t="str">
        <f>IF($A339="","",INDEX(TblApplications[CPU IKS libérable (vCPU)],$A339))</f>
        <v/>
      </c>
    </row>
    <row r="340" spans="1:10" x14ac:dyDescent="0.2">
      <c r="A340" s="37" t="str">
        <f>IFERROR(MATCH(265,TblApplications[Rang extinction],0),"")</f>
        <v/>
      </c>
      <c r="B340" s="39" t="str">
        <f>IF($A340="","",INDEX(TblApplications[ID],$A340))</f>
        <v/>
      </c>
      <c r="C340" s="39" t="str">
        <f>IF($A340="","",INDEX(TblApplications[Application],$A340))</f>
        <v/>
      </c>
      <c r="D340" s="39" t="str">
        <f>IF($A340="","",INDEX(TblApplications[Tribe],$A340))</f>
        <v/>
      </c>
      <c r="E340" s="39" t="str">
        <f>IF($A340="","",INDEX(TblApplications[Environnement],$A340))</f>
        <v/>
      </c>
      <c r="F340" s="39" t="str">
        <f>IF($A340="","",INDEX(TblApplications[Couloir],$A340))</f>
        <v/>
      </c>
      <c r="G340" s="39" t="str">
        <f>IF($A340="","",INDEX(TblApplications[Action],$A340))</f>
        <v/>
      </c>
      <c r="H340" s="39" t="str">
        <f>IF($A340="","",INDEX(TblApplications[Cluster IKS source],$A340))</f>
        <v/>
      </c>
      <c r="I340" s="48" t="str">
        <f>IF($A340="","",INDEX(TblApplications[Mois lib (calc)],$A340))</f>
        <v/>
      </c>
      <c r="J340" s="39" t="str">
        <f>IF($A340="","",INDEX(TblApplications[CPU IKS libérable (vCPU)],$A340))</f>
        <v/>
      </c>
    </row>
    <row r="341" spans="1:10" x14ac:dyDescent="0.2">
      <c r="A341" s="37" t="str">
        <f>IFERROR(MATCH(266,TblApplications[Rang extinction],0),"")</f>
        <v/>
      </c>
      <c r="B341" s="39" t="str">
        <f>IF($A341="","",INDEX(TblApplications[ID],$A341))</f>
        <v/>
      </c>
      <c r="C341" s="39" t="str">
        <f>IF($A341="","",INDEX(TblApplications[Application],$A341))</f>
        <v/>
      </c>
      <c r="D341" s="39" t="str">
        <f>IF($A341="","",INDEX(TblApplications[Tribe],$A341))</f>
        <v/>
      </c>
      <c r="E341" s="39" t="str">
        <f>IF($A341="","",INDEX(TblApplications[Environnement],$A341))</f>
        <v/>
      </c>
      <c r="F341" s="39" t="str">
        <f>IF($A341="","",INDEX(TblApplications[Couloir],$A341))</f>
        <v/>
      </c>
      <c r="G341" s="39" t="str">
        <f>IF($A341="","",INDEX(TblApplications[Action],$A341))</f>
        <v/>
      </c>
      <c r="H341" s="39" t="str">
        <f>IF($A341="","",INDEX(TblApplications[Cluster IKS source],$A341))</f>
        <v/>
      </c>
      <c r="I341" s="48" t="str">
        <f>IF($A341="","",INDEX(TblApplications[Mois lib (calc)],$A341))</f>
        <v/>
      </c>
      <c r="J341" s="39" t="str">
        <f>IF($A341="","",INDEX(TblApplications[CPU IKS libérable (vCPU)],$A341))</f>
        <v/>
      </c>
    </row>
    <row r="342" spans="1:10" x14ac:dyDescent="0.2">
      <c r="A342" s="37" t="str">
        <f>IFERROR(MATCH(267,TblApplications[Rang extinction],0),"")</f>
        <v/>
      </c>
      <c r="B342" s="39" t="str">
        <f>IF($A342="","",INDEX(TblApplications[ID],$A342))</f>
        <v/>
      </c>
      <c r="C342" s="39" t="str">
        <f>IF($A342="","",INDEX(TblApplications[Application],$A342))</f>
        <v/>
      </c>
      <c r="D342" s="39" t="str">
        <f>IF($A342="","",INDEX(TblApplications[Tribe],$A342))</f>
        <v/>
      </c>
      <c r="E342" s="39" t="str">
        <f>IF($A342="","",INDEX(TblApplications[Environnement],$A342))</f>
        <v/>
      </c>
      <c r="F342" s="39" t="str">
        <f>IF($A342="","",INDEX(TblApplications[Couloir],$A342))</f>
        <v/>
      </c>
      <c r="G342" s="39" t="str">
        <f>IF($A342="","",INDEX(TblApplications[Action],$A342))</f>
        <v/>
      </c>
      <c r="H342" s="39" t="str">
        <f>IF($A342="","",INDEX(TblApplications[Cluster IKS source],$A342))</f>
        <v/>
      </c>
      <c r="I342" s="48" t="str">
        <f>IF($A342="","",INDEX(TblApplications[Mois lib (calc)],$A342))</f>
        <v/>
      </c>
      <c r="J342" s="39" t="str">
        <f>IF($A342="","",INDEX(TblApplications[CPU IKS libérable (vCPU)],$A342))</f>
        <v/>
      </c>
    </row>
    <row r="343" spans="1:10" x14ac:dyDescent="0.2">
      <c r="A343" s="37" t="str">
        <f>IFERROR(MATCH(268,TblApplications[Rang extinction],0),"")</f>
        <v/>
      </c>
      <c r="B343" s="39" t="str">
        <f>IF($A343="","",INDEX(TblApplications[ID],$A343))</f>
        <v/>
      </c>
      <c r="C343" s="39" t="str">
        <f>IF($A343="","",INDEX(TblApplications[Application],$A343))</f>
        <v/>
      </c>
      <c r="D343" s="39" t="str">
        <f>IF($A343="","",INDEX(TblApplications[Tribe],$A343))</f>
        <v/>
      </c>
      <c r="E343" s="39" t="str">
        <f>IF($A343="","",INDEX(TblApplications[Environnement],$A343))</f>
        <v/>
      </c>
      <c r="F343" s="39" t="str">
        <f>IF($A343="","",INDEX(TblApplications[Couloir],$A343))</f>
        <v/>
      </c>
      <c r="G343" s="39" t="str">
        <f>IF($A343="","",INDEX(TblApplications[Action],$A343))</f>
        <v/>
      </c>
      <c r="H343" s="39" t="str">
        <f>IF($A343="","",INDEX(TblApplications[Cluster IKS source],$A343))</f>
        <v/>
      </c>
      <c r="I343" s="48" t="str">
        <f>IF($A343="","",INDEX(TblApplications[Mois lib (calc)],$A343))</f>
        <v/>
      </c>
      <c r="J343" s="39" t="str">
        <f>IF($A343="","",INDEX(TblApplications[CPU IKS libérable (vCPU)],$A343))</f>
        <v/>
      </c>
    </row>
    <row r="344" spans="1:10" x14ac:dyDescent="0.2">
      <c r="A344" s="37" t="str">
        <f>IFERROR(MATCH(269,TblApplications[Rang extinction],0),"")</f>
        <v/>
      </c>
      <c r="B344" s="39" t="str">
        <f>IF($A344="","",INDEX(TblApplications[ID],$A344))</f>
        <v/>
      </c>
      <c r="C344" s="39" t="str">
        <f>IF($A344="","",INDEX(TblApplications[Application],$A344))</f>
        <v/>
      </c>
      <c r="D344" s="39" t="str">
        <f>IF($A344="","",INDEX(TblApplications[Tribe],$A344))</f>
        <v/>
      </c>
      <c r="E344" s="39" t="str">
        <f>IF($A344="","",INDEX(TblApplications[Environnement],$A344))</f>
        <v/>
      </c>
      <c r="F344" s="39" t="str">
        <f>IF($A344="","",INDEX(TblApplications[Couloir],$A344))</f>
        <v/>
      </c>
      <c r="G344" s="39" t="str">
        <f>IF($A344="","",INDEX(TblApplications[Action],$A344))</f>
        <v/>
      </c>
      <c r="H344" s="39" t="str">
        <f>IF($A344="","",INDEX(TblApplications[Cluster IKS source],$A344))</f>
        <v/>
      </c>
      <c r="I344" s="48" t="str">
        <f>IF($A344="","",INDEX(TblApplications[Mois lib (calc)],$A344))</f>
        <v/>
      </c>
      <c r="J344" s="39" t="str">
        <f>IF($A344="","",INDEX(TblApplications[CPU IKS libérable (vCPU)],$A344))</f>
        <v/>
      </c>
    </row>
    <row r="345" spans="1:10" x14ac:dyDescent="0.2">
      <c r="A345" s="37" t="str">
        <f>IFERROR(MATCH(270,TblApplications[Rang extinction],0),"")</f>
        <v/>
      </c>
      <c r="B345" s="39" t="str">
        <f>IF($A345="","",INDEX(TblApplications[ID],$A345))</f>
        <v/>
      </c>
      <c r="C345" s="39" t="str">
        <f>IF($A345="","",INDEX(TblApplications[Application],$A345))</f>
        <v/>
      </c>
      <c r="D345" s="39" t="str">
        <f>IF($A345="","",INDEX(TblApplications[Tribe],$A345))</f>
        <v/>
      </c>
      <c r="E345" s="39" t="str">
        <f>IF($A345="","",INDEX(TblApplications[Environnement],$A345))</f>
        <v/>
      </c>
      <c r="F345" s="39" t="str">
        <f>IF($A345="","",INDEX(TblApplications[Couloir],$A345))</f>
        <v/>
      </c>
      <c r="G345" s="39" t="str">
        <f>IF($A345="","",INDEX(TblApplications[Action],$A345))</f>
        <v/>
      </c>
      <c r="H345" s="39" t="str">
        <f>IF($A345="","",INDEX(TblApplications[Cluster IKS source],$A345))</f>
        <v/>
      </c>
      <c r="I345" s="48" t="str">
        <f>IF($A345="","",INDEX(TblApplications[Mois lib (calc)],$A345))</f>
        <v/>
      </c>
      <c r="J345" s="39" t="str">
        <f>IF($A345="","",INDEX(TblApplications[CPU IKS libérable (vCPU)],$A345))</f>
        <v/>
      </c>
    </row>
    <row r="346" spans="1:10" x14ac:dyDescent="0.2">
      <c r="A346" s="37" t="str">
        <f>IFERROR(MATCH(271,TblApplications[Rang extinction],0),"")</f>
        <v/>
      </c>
      <c r="B346" s="39" t="str">
        <f>IF($A346="","",INDEX(TblApplications[ID],$A346))</f>
        <v/>
      </c>
      <c r="C346" s="39" t="str">
        <f>IF($A346="","",INDEX(TblApplications[Application],$A346))</f>
        <v/>
      </c>
      <c r="D346" s="39" t="str">
        <f>IF($A346="","",INDEX(TblApplications[Tribe],$A346))</f>
        <v/>
      </c>
      <c r="E346" s="39" t="str">
        <f>IF($A346="","",INDEX(TblApplications[Environnement],$A346))</f>
        <v/>
      </c>
      <c r="F346" s="39" t="str">
        <f>IF($A346="","",INDEX(TblApplications[Couloir],$A346))</f>
        <v/>
      </c>
      <c r="G346" s="39" t="str">
        <f>IF($A346="","",INDEX(TblApplications[Action],$A346))</f>
        <v/>
      </c>
      <c r="H346" s="39" t="str">
        <f>IF($A346="","",INDEX(TblApplications[Cluster IKS source],$A346))</f>
        <v/>
      </c>
      <c r="I346" s="48" t="str">
        <f>IF($A346="","",INDEX(TblApplications[Mois lib (calc)],$A346))</f>
        <v/>
      </c>
      <c r="J346" s="39" t="str">
        <f>IF($A346="","",INDEX(TblApplications[CPU IKS libérable (vCPU)],$A346))</f>
        <v/>
      </c>
    </row>
    <row r="347" spans="1:10" x14ac:dyDescent="0.2">
      <c r="A347" s="37" t="str">
        <f>IFERROR(MATCH(272,TblApplications[Rang extinction],0),"")</f>
        <v/>
      </c>
      <c r="B347" s="39" t="str">
        <f>IF($A347="","",INDEX(TblApplications[ID],$A347))</f>
        <v/>
      </c>
      <c r="C347" s="39" t="str">
        <f>IF($A347="","",INDEX(TblApplications[Application],$A347))</f>
        <v/>
      </c>
      <c r="D347" s="39" t="str">
        <f>IF($A347="","",INDEX(TblApplications[Tribe],$A347))</f>
        <v/>
      </c>
      <c r="E347" s="39" t="str">
        <f>IF($A347="","",INDEX(TblApplications[Environnement],$A347))</f>
        <v/>
      </c>
      <c r="F347" s="39" t="str">
        <f>IF($A347="","",INDEX(TblApplications[Couloir],$A347))</f>
        <v/>
      </c>
      <c r="G347" s="39" t="str">
        <f>IF($A347="","",INDEX(TblApplications[Action],$A347))</f>
        <v/>
      </c>
      <c r="H347" s="39" t="str">
        <f>IF($A347="","",INDEX(TblApplications[Cluster IKS source],$A347))</f>
        <v/>
      </c>
      <c r="I347" s="48" t="str">
        <f>IF($A347="","",INDEX(TblApplications[Mois lib (calc)],$A347))</f>
        <v/>
      </c>
      <c r="J347" s="39" t="str">
        <f>IF($A347="","",INDEX(TblApplications[CPU IKS libérable (vCPU)],$A347))</f>
        <v/>
      </c>
    </row>
    <row r="348" spans="1:10" x14ac:dyDescent="0.2">
      <c r="A348" s="37" t="str">
        <f>IFERROR(MATCH(273,TblApplications[Rang extinction],0),"")</f>
        <v/>
      </c>
      <c r="B348" s="39" t="str">
        <f>IF($A348="","",INDEX(TblApplications[ID],$A348))</f>
        <v/>
      </c>
      <c r="C348" s="39" t="str">
        <f>IF($A348="","",INDEX(TblApplications[Application],$A348))</f>
        <v/>
      </c>
      <c r="D348" s="39" t="str">
        <f>IF($A348="","",INDEX(TblApplications[Tribe],$A348))</f>
        <v/>
      </c>
      <c r="E348" s="39" t="str">
        <f>IF($A348="","",INDEX(TblApplications[Environnement],$A348))</f>
        <v/>
      </c>
      <c r="F348" s="39" t="str">
        <f>IF($A348="","",INDEX(TblApplications[Couloir],$A348))</f>
        <v/>
      </c>
      <c r="G348" s="39" t="str">
        <f>IF($A348="","",INDEX(TblApplications[Action],$A348))</f>
        <v/>
      </c>
      <c r="H348" s="39" t="str">
        <f>IF($A348="","",INDEX(TblApplications[Cluster IKS source],$A348))</f>
        <v/>
      </c>
      <c r="I348" s="48" t="str">
        <f>IF($A348="","",INDEX(TblApplications[Mois lib (calc)],$A348))</f>
        <v/>
      </c>
      <c r="J348" s="39" t="str">
        <f>IF($A348="","",INDEX(TblApplications[CPU IKS libérable (vCPU)],$A348))</f>
        <v/>
      </c>
    </row>
    <row r="349" spans="1:10" x14ac:dyDescent="0.2">
      <c r="A349" s="37" t="str">
        <f>IFERROR(MATCH(274,TblApplications[Rang extinction],0),"")</f>
        <v/>
      </c>
      <c r="B349" s="39" t="str">
        <f>IF($A349="","",INDEX(TblApplications[ID],$A349))</f>
        <v/>
      </c>
      <c r="C349" s="39" t="str">
        <f>IF($A349="","",INDEX(TblApplications[Application],$A349))</f>
        <v/>
      </c>
      <c r="D349" s="39" t="str">
        <f>IF($A349="","",INDEX(TblApplications[Tribe],$A349))</f>
        <v/>
      </c>
      <c r="E349" s="39" t="str">
        <f>IF($A349="","",INDEX(TblApplications[Environnement],$A349))</f>
        <v/>
      </c>
      <c r="F349" s="39" t="str">
        <f>IF($A349="","",INDEX(TblApplications[Couloir],$A349))</f>
        <v/>
      </c>
      <c r="G349" s="39" t="str">
        <f>IF($A349="","",INDEX(TblApplications[Action],$A349))</f>
        <v/>
      </c>
      <c r="H349" s="39" t="str">
        <f>IF($A349="","",INDEX(TblApplications[Cluster IKS source],$A349))</f>
        <v/>
      </c>
      <c r="I349" s="48" t="str">
        <f>IF($A349="","",INDEX(TblApplications[Mois lib (calc)],$A349))</f>
        <v/>
      </c>
      <c r="J349" s="39" t="str">
        <f>IF($A349="","",INDEX(TblApplications[CPU IKS libérable (vCPU)],$A349))</f>
        <v/>
      </c>
    </row>
    <row r="350" spans="1:10" x14ac:dyDescent="0.2">
      <c r="A350" s="37" t="str">
        <f>IFERROR(MATCH(275,TblApplications[Rang extinction],0),"")</f>
        <v/>
      </c>
      <c r="B350" s="39" t="str">
        <f>IF($A350="","",INDEX(TblApplications[ID],$A350))</f>
        <v/>
      </c>
      <c r="C350" s="39" t="str">
        <f>IF($A350="","",INDEX(TblApplications[Application],$A350))</f>
        <v/>
      </c>
      <c r="D350" s="39" t="str">
        <f>IF($A350="","",INDEX(TblApplications[Tribe],$A350))</f>
        <v/>
      </c>
      <c r="E350" s="39" t="str">
        <f>IF($A350="","",INDEX(TblApplications[Environnement],$A350))</f>
        <v/>
      </c>
      <c r="F350" s="39" t="str">
        <f>IF($A350="","",INDEX(TblApplications[Couloir],$A350))</f>
        <v/>
      </c>
      <c r="G350" s="39" t="str">
        <f>IF($A350="","",INDEX(TblApplications[Action],$A350))</f>
        <v/>
      </c>
      <c r="H350" s="39" t="str">
        <f>IF($A350="","",INDEX(TblApplications[Cluster IKS source],$A350))</f>
        <v/>
      </c>
      <c r="I350" s="48" t="str">
        <f>IF($A350="","",INDEX(TblApplications[Mois lib (calc)],$A350))</f>
        <v/>
      </c>
      <c r="J350" s="39" t="str">
        <f>IF($A350="","",INDEX(TblApplications[CPU IKS libérable (vCPU)],$A350))</f>
        <v/>
      </c>
    </row>
    <row r="351" spans="1:10" x14ac:dyDescent="0.2">
      <c r="A351" s="37" t="str">
        <f>IFERROR(MATCH(276,TblApplications[Rang extinction],0),"")</f>
        <v/>
      </c>
      <c r="B351" s="39" t="str">
        <f>IF($A351="","",INDEX(TblApplications[ID],$A351))</f>
        <v/>
      </c>
      <c r="C351" s="39" t="str">
        <f>IF($A351="","",INDEX(TblApplications[Application],$A351))</f>
        <v/>
      </c>
      <c r="D351" s="39" t="str">
        <f>IF($A351="","",INDEX(TblApplications[Tribe],$A351))</f>
        <v/>
      </c>
      <c r="E351" s="39" t="str">
        <f>IF($A351="","",INDEX(TblApplications[Environnement],$A351))</f>
        <v/>
      </c>
      <c r="F351" s="39" t="str">
        <f>IF($A351="","",INDEX(TblApplications[Couloir],$A351))</f>
        <v/>
      </c>
      <c r="G351" s="39" t="str">
        <f>IF($A351="","",INDEX(TblApplications[Action],$A351))</f>
        <v/>
      </c>
      <c r="H351" s="39" t="str">
        <f>IF($A351="","",INDEX(TblApplications[Cluster IKS source],$A351))</f>
        <v/>
      </c>
      <c r="I351" s="48" t="str">
        <f>IF($A351="","",INDEX(TblApplications[Mois lib (calc)],$A351))</f>
        <v/>
      </c>
      <c r="J351" s="39" t="str">
        <f>IF($A351="","",INDEX(TblApplications[CPU IKS libérable (vCPU)],$A351))</f>
        <v/>
      </c>
    </row>
    <row r="352" spans="1:10" x14ac:dyDescent="0.2">
      <c r="A352" s="37" t="str">
        <f>IFERROR(MATCH(277,TblApplications[Rang extinction],0),"")</f>
        <v/>
      </c>
      <c r="B352" s="39" t="str">
        <f>IF($A352="","",INDEX(TblApplications[ID],$A352))</f>
        <v/>
      </c>
      <c r="C352" s="39" t="str">
        <f>IF($A352="","",INDEX(TblApplications[Application],$A352))</f>
        <v/>
      </c>
      <c r="D352" s="39" t="str">
        <f>IF($A352="","",INDEX(TblApplications[Tribe],$A352))</f>
        <v/>
      </c>
      <c r="E352" s="39" t="str">
        <f>IF($A352="","",INDEX(TblApplications[Environnement],$A352))</f>
        <v/>
      </c>
      <c r="F352" s="39" t="str">
        <f>IF($A352="","",INDEX(TblApplications[Couloir],$A352))</f>
        <v/>
      </c>
      <c r="G352" s="39" t="str">
        <f>IF($A352="","",INDEX(TblApplications[Action],$A352))</f>
        <v/>
      </c>
      <c r="H352" s="39" t="str">
        <f>IF($A352="","",INDEX(TblApplications[Cluster IKS source],$A352))</f>
        <v/>
      </c>
      <c r="I352" s="48" t="str">
        <f>IF($A352="","",INDEX(TblApplications[Mois lib (calc)],$A352))</f>
        <v/>
      </c>
      <c r="J352" s="39" t="str">
        <f>IF($A352="","",INDEX(TblApplications[CPU IKS libérable (vCPU)],$A352))</f>
        <v/>
      </c>
    </row>
    <row r="353" spans="1:10" x14ac:dyDescent="0.2">
      <c r="A353" s="37" t="str">
        <f>IFERROR(MATCH(278,TblApplications[Rang extinction],0),"")</f>
        <v/>
      </c>
      <c r="B353" s="39" t="str">
        <f>IF($A353="","",INDEX(TblApplications[ID],$A353))</f>
        <v/>
      </c>
      <c r="C353" s="39" t="str">
        <f>IF($A353="","",INDEX(TblApplications[Application],$A353))</f>
        <v/>
      </c>
      <c r="D353" s="39" t="str">
        <f>IF($A353="","",INDEX(TblApplications[Tribe],$A353))</f>
        <v/>
      </c>
      <c r="E353" s="39" t="str">
        <f>IF($A353="","",INDEX(TblApplications[Environnement],$A353))</f>
        <v/>
      </c>
      <c r="F353" s="39" t="str">
        <f>IF($A353="","",INDEX(TblApplications[Couloir],$A353))</f>
        <v/>
      </c>
      <c r="G353" s="39" t="str">
        <f>IF($A353="","",INDEX(TblApplications[Action],$A353))</f>
        <v/>
      </c>
      <c r="H353" s="39" t="str">
        <f>IF($A353="","",INDEX(TblApplications[Cluster IKS source],$A353))</f>
        <v/>
      </c>
      <c r="I353" s="48" t="str">
        <f>IF($A353="","",INDEX(TblApplications[Mois lib (calc)],$A353))</f>
        <v/>
      </c>
      <c r="J353" s="39" t="str">
        <f>IF($A353="","",INDEX(TblApplications[CPU IKS libérable (vCPU)],$A353))</f>
        <v/>
      </c>
    </row>
    <row r="354" spans="1:10" x14ac:dyDescent="0.2">
      <c r="A354" s="37" t="str">
        <f>IFERROR(MATCH(279,TblApplications[Rang extinction],0),"")</f>
        <v/>
      </c>
      <c r="B354" s="39" t="str">
        <f>IF($A354="","",INDEX(TblApplications[ID],$A354))</f>
        <v/>
      </c>
      <c r="C354" s="39" t="str">
        <f>IF($A354="","",INDEX(TblApplications[Application],$A354))</f>
        <v/>
      </c>
      <c r="D354" s="39" t="str">
        <f>IF($A354="","",INDEX(TblApplications[Tribe],$A354))</f>
        <v/>
      </c>
      <c r="E354" s="39" t="str">
        <f>IF($A354="","",INDEX(TblApplications[Environnement],$A354))</f>
        <v/>
      </c>
      <c r="F354" s="39" t="str">
        <f>IF($A354="","",INDEX(TblApplications[Couloir],$A354))</f>
        <v/>
      </c>
      <c r="G354" s="39" t="str">
        <f>IF($A354="","",INDEX(TblApplications[Action],$A354))</f>
        <v/>
      </c>
      <c r="H354" s="39" t="str">
        <f>IF($A354="","",INDEX(TblApplications[Cluster IKS source],$A354))</f>
        <v/>
      </c>
      <c r="I354" s="48" t="str">
        <f>IF($A354="","",INDEX(TblApplications[Mois lib (calc)],$A354))</f>
        <v/>
      </c>
      <c r="J354" s="39" t="str">
        <f>IF($A354="","",INDEX(TblApplications[CPU IKS libérable (vCPU)],$A354))</f>
        <v/>
      </c>
    </row>
    <row r="355" spans="1:10" x14ac:dyDescent="0.2">
      <c r="A355" s="37" t="str">
        <f>IFERROR(MATCH(280,TblApplications[Rang extinction],0),"")</f>
        <v/>
      </c>
      <c r="B355" s="39" t="str">
        <f>IF($A355="","",INDEX(TblApplications[ID],$A355))</f>
        <v/>
      </c>
      <c r="C355" s="39" t="str">
        <f>IF($A355="","",INDEX(TblApplications[Application],$A355))</f>
        <v/>
      </c>
      <c r="D355" s="39" t="str">
        <f>IF($A355="","",INDEX(TblApplications[Tribe],$A355))</f>
        <v/>
      </c>
      <c r="E355" s="39" t="str">
        <f>IF($A355="","",INDEX(TblApplications[Environnement],$A355))</f>
        <v/>
      </c>
      <c r="F355" s="39" t="str">
        <f>IF($A355="","",INDEX(TblApplications[Couloir],$A355))</f>
        <v/>
      </c>
      <c r="G355" s="39" t="str">
        <f>IF($A355="","",INDEX(TblApplications[Action],$A355))</f>
        <v/>
      </c>
      <c r="H355" s="39" t="str">
        <f>IF($A355="","",INDEX(TblApplications[Cluster IKS source],$A355))</f>
        <v/>
      </c>
      <c r="I355" s="48" t="str">
        <f>IF($A355="","",INDEX(TblApplications[Mois lib (calc)],$A355))</f>
        <v/>
      </c>
      <c r="J355" s="39" t="str">
        <f>IF($A355="","",INDEX(TblApplications[CPU IKS libérable (vCPU)],$A355))</f>
        <v/>
      </c>
    </row>
    <row r="356" spans="1:10" x14ac:dyDescent="0.2">
      <c r="A356" s="37" t="str">
        <f>IFERROR(MATCH(281,TblApplications[Rang extinction],0),"")</f>
        <v/>
      </c>
      <c r="B356" s="39" t="str">
        <f>IF($A356="","",INDEX(TblApplications[ID],$A356))</f>
        <v/>
      </c>
      <c r="C356" s="39" t="str">
        <f>IF($A356="","",INDEX(TblApplications[Application],$A356))</f>
        <v/>
      </c>
      <c r="D356" s="39" t="str">
        <f>IF($A356="","",INDEX(TblApplications[Tribe],$A356))</f>
        <v/>
      </c>
      <c r="E356" s="39" t="str">
        <f>IF($A356="","",INDEX(TblApplications[Environnement],$A356))</f>
        <v/>
      </c>
      <c r="F356" s="39" t="str">
        <f>IF($A356="","",INDEX(TblApplications[Couloir],$A356))</f>
        <v/>
      </c>
      <c r="G356" s="39" t="str">
        <f>IF($A356="","",INDEX(TblApplications[Action],$A356))</f>
        <v/>
      </c>
      <c r="H356" s="39" t="str">
        <f>IF($A356="","",INDEX(TblApplications[Cluster IKS source],$A356))</f>
        <v/>
      </c>
      <c r="I356" s="48" t="str">
        <f>IF($A356="","",INDEX(TblApplications[Mois lib (calc)],$A356))</f>
        <v/>
      </c>
      <c r="J356" s="39" t="str">
        <f>IF($A356="","",INDEX(TblApplications[CPU IKS libérable (vCPU)],$A356))</f>
        <v/>
      </c>
    </row>
    <row r="357" spans="1:10" x14ac:dyDescent="0.2">
      <c r="A357" s="37" t="str">
        <f>IFERROR(MATCH(282,TblApplications[Rang extinction],0),"")</f>
        <v/>
      </c>
      <c r="B357" s="39" t="str">
        <f>IF($A357="","",INDEX(TblApplications[ID],$A357))</f>
        <v/>
      </c>
      <c r="C357" s="39" t="str">
        <f>IF($A357="","",INDEX(TblApplications[Application],$A357))</f>
        <v/>
      </c>
      <c r="D357" s="39" t="str">
        <f>IF($A357="","",INDEX(TblApplications[Tribe],$A357))</f>
        <v/>
      </c>
      <c r="E357" s="39" t="str">
        <f>IF($A357="","",INDEX(TblApplications[Environnement],$A357))</f>
        <v/>
      </c>
      <c r="F357" s="39" t="str">
        <f>IF($A357="","",INDEX(TblApplications[Couloir],$A357))</f>
        <v/>
      </c>
      <c r="G357" s="39" t="str">
        <f>IF($A357="","",INDEX(TblApplications[Action],$A357))</f>
        <v/>
      </c>
      <c r="H357" s="39" t="str">
        <f>IF($A357="","",INDEX(TblApplications[Cluster IKS source],$A357))</f>
        <v/>
      </c>
      <c r="I357" s="48" t="str">
        <f>IF($A357="","",INDEX(TblApplications[Mois lib (calc)],$A357))</f>
        <v/>
      </c>
      <c r="J357" s="39" t="str">
        <f>IF($A357="","",INDEX(TblApplications[CPU IKS libérable (vCPU)],$A357))</f>
        <v/>
      </c>
    </row>
    <row r="358" spans="1:10" x14ac:dyDescent="0.2">
      <c r="A358" s="37" t="str">
        <f>IFERROR(MATCH(283,TblApplications[Rang extinction],0),"")</f>
        <v/>
      </c>
      <c r="B358" s="39" t="str">
        <f>IF($A358="","",INDEX(TblApplications[ID],$A358))</f>
        <v/>
      </c>
      <c r="C358" s="39" t="str">
        <f>IF($A358="","",INDEX(TblApplications[Application],$A358))</f>
        <v/>
      </c>
      <c r="D358" s="39" t="str">
        <f>IF($A358="","",INDEX(TblApplications[Tribe],$A358))</f>
        <v/>
      </c>
      <c r="E358" s="39" t="str">
        <f>IF($A358="","",INDEX(TblApplications[Environnement],$A358))</f>
        <v/>
      </c>
      <c r="F358" s="39" t="str">
        <f>IF($A358="","",INDEX(TblApplications[Couloir],$A358))</f>
        <v/>
      </c>
      <c r="G358" s="39" t="str">
        <f>IF($A358="","",INDEX(TblApplications[Action],$A358))</f>
        <v/>
      </c>
      <c r="H358" s="39" t="str">
        <f>IF($A358="","",INDEX(TblApplications[Cluster IKS source],$A358))</f>
        <v/>
      </c>
      <c r="I358" s="48" t="str">
        <f>IF($A358="","",INDEX(TblApplications[Mois lib (calc)],$A358))</f>
        <v/>
      </c>
      <c r="J358" s="39" t="str">
        <f>IF($A358="","",INDEX(TblApplications[CPU IKS libérable (vCPU)],$A358))</f>
        <v/>
      </c>
    </row>
    <row r="359" spans="1:10" x14ac:dyDescent="0.2">
      <c r="A359" s="37" t="str">
        <f>IFERROR(MATCH(284,TblApplications[Rang extinction],0),"")</f>
        <v/>
      </c>
      <c r="B359" s="39" t="str">
        <f>IF($A359="","",INDEX(TblApplications[ID],$A359))</f>
        <v/>
      </c>
      <c r="C359" s="39" t="str">
        <f>IF($A359="","",INDEX(TblApplications[Application],$A359))</f>
        <v/>
      </c>
      <c r="D359" s="39" t="str">
        <f>IF($A359="","",INDEX(TblApplications[Tribe],$A359))</f>
        <v/>
      </c>
      <c r="E359" s="39" t="str">
        <f>IF($A359="","",INDEX(TblApplications[Environnement],$A359))</f>
        <v/>
      </c>
      <c r="F359" s="39" t="str">
        <f>IF($A359="","",INDEX(TblApplications[Couloir],$A359))</f>
        <v/>
      </c>
      <c r="G359" s="39" t="str">
        <f>IF($A359="","",INDEX(TblApplications[Action],$A359))</f>
        <v/>
      </c>
      <c r="H359" s="39" t="str">
        <f>IF($A359="","",INDEX(TblApplications[Cluster IKS source],$A359))</f>
        <v/>
      </c>
      <c r="I359" s="48" t="str">
        <f>IF($A359="","",INDEX(TblApplications[Mois lib (calc)],$A359))</f>
        <v/>
      </c>
      <c r="J359" s="39" t="str">
        <f>IF($A359="","",INDEX(TblApplications[CPU IKS libérable (vCPU)],$A359))</f>
        <v/>
      </c>
    </row>
    <row r="360" spans="1:10" x14ac:dyDescent="0.2">
      <c r="A360" s="37" t="str">
        <f>IFERROR(MATCH(285,TblApplications[Rang extinction],0),"")</f>
        <v/>
      </c>
      <c r="B360" s="39" t="str">
        <f>IF($A360="","",INDEX(TblApplications[ID],$A360))</f>
        <v/>
      </c>
      <c r="C360" s="39" t="str">
        <f>IF($A360="","",INDEX(TblApplications[Application],$A360))</f>
        <v/>
      </c>
      <c r="D360" s="39" t="str">
        <f>IF($A360="","",INDEX(TblApplications[Tribe],$A360))</f>
        <v/>
      </c>
      <c r="E360" s="39" t="str">
        <f>IF($A360="","",INDEX(TblApplications[Environnement],$A360))</f>
        <v/>
      </c>
      <c r="F360" s="39" t="str">
        <f>IF($A360="","",INDEX(TblApplications[Couloir],$A360))</f>
        <v/>
      </c>
      <c r="G360" s="39" t="str">
        <f>IF($A360="","",INDEX(TblApplications[Action],$A360))</f>
        <v/>
      </c>
      <c r="H360" s="39" t="str">
        <f>IF($A360="","",INDEX(TblApplications[Cluster IKS source],$A360))</f>
        <v/>
      </c>
      <c r="I360" s="48" t="str">
        <f>IF($A360="","",INDEX(TblApplications[Mois lib (calc)],$A360))</f>
        <v/>
      </c>
      <c r="J360" s="39" t="str">
        <f>IF($A360="","",INDEX(TblApplications[CPU IKS libérable (vCPU)],$A360))</f>
        <v/>
      </c>
    </row>
    <row r="361" spans="1:10" x14ac:dyDescent="0.2">
      <c r="A361" s="37" t="str">
        <f>IFERROR(MATCH(286,TblApplications[Rang extinction],0),"")</f>
        <v/>
      </c>
      <c r="B361" s="39" t="str">
        <f>IF($A361="","",INDEX(TblApplications[ID],$A361))</f>
        <v/>
      </c>
      <c r="C361" s="39" t="str">
        <f>IF($A361="","",INDEX(TblApplications[Application],$A361))</f>
        <v/>
      </c>
      <c r="D361" s="39" t="str">
        <f>IF($A361="","",INDEX(TblApplications[Tribe],$A361))</f>
        <v/>
      </c>
      <c r="E361" s="39" t="str">
        <f>IF($A361="","",INDEX(TblApplications[Environnement],$A361))</f>
        <v/>
      </c>
      <c r="F361" s="39" t="str">
        <f>IF($A361="","",INDEX(TblApplications[Couloir],$A361))</f>
        <v/>
      </c>
      <c r="G361" s="39" t="str">
        <f>IF($A361="","",INDEX(TblApplications[Action],$A361))</f>
        <v/>
      </c>
      <c r="H361" s="39" t="str">
        <f>IF($A361="","",INDEX(TblApplications[Cluster IKS source],$A361))</f>
        <v/>
      </c>
      <c r="I361" s="48" t="str">
        <f>IF($A361="","",INDEX(TblApplications[Mois lib (calc)],$A361))</f>
        <v/>
      </c>
      <c r="J361" s="39" t="str">
        <f>IF($A361="","",INDEX(TblApplications[CPU IKS libérable (vCPU)],$A361))</f>
        <v/>
      </c>
    </row>
    <row r="362" spans="1:10" x14ac:dyDescent="0.2">
      <c r="A362" s="37" t="str">
        <f>IFERROR(MATCH(287,TblApplications[Rang extinction],0),"")</f>
        <v/>
      </c>
      <c r="B362" s="39" t="str">
        <f>IF($A362="","",INDEX(TblApplications[ID],$A362))</f>
        <v/>
      </c>
      <c r="C362" s="39" t="str">
        <f>IF($A362="","",INDEX(TblApplications[Application],$A362))</f>
        <v/>
      </c>
      <c r="D362" s="39" t="str">
        <f>IF($A362="","",INDEX(TblApplications[Tribe],$A362))</f>
        <v/>
      </c>
      <c r="E362" s="39" t="str">
        <f>IF($A362="","",INDEX(TblApplications[Environnement],$A362))</f>
        <v/>
      </c>
      <c r="F362" s="39" t="str">
        <f>IF($A362="","",INDEX(TblApplications[Couloir],$A362))</f>
        <v/>
      </c>
      <c r="G362" s="39" t="str">
        <f>IF($A362="","",INDEX(TblApplications[Action],$A362))</f>
        <v/>
      </c>
      <c r="H362" s="39" t="str">
        <f>IF($A362="","",INDEX(TblApplications[Cluster IKS source],$A362))</f>
        <v/>
      </c>
      <c r="I362" s="48" t="str">
        <f>IF($A362="","",INDEX(TblApplications[Mois lib (calc)],$A362))</f>
        <v/>
      </c>
      <c r="J362" s="39" t="str">
        <f>IF($A362="","",INDEX(TblApplications[CPU IKS libérable (vCPU)],$A362))</f>
        <v/>
      </c>
    </row>
    <row r="363" spans="1:10" x14ac:dyDescent="0.2">
      <c r="A363" s="37" t="str">
        <f>IFERROR(MATCH(288,TblApplications[Rang extinction],0),"")</f>
        <v/>
      </c>
      <c r="B363" s="39" t="str">
        <f>IF($A363="","",INDEX(TblApplications[ID],$A363))</f>
        <v/>
      </c>
      <c r="C363" s="39" t="str">
        <f>IF($A363="","",INDEX(TblApplications[Application],$A363))</f>
        <v/>
      </c>
      <c r="D363" s="39" t="str">
        <f>IF($A363="","",INDEX(TblApplications[Tribe],$A363))</f>
        <v/>
      </c>
      <c r="E363" s="39" t="str">
        <f>IF($A363="","",INDEX(TblApplications[Environnement],$A363))</f>
        <v/>
      </c>
      <c r="F363" s="39" t="str">
        <f>IF($A363="","",INDEX(TblApplications[Couloir],$A363))</f>
        <v/>
      </c>
      <c r="G363" s="39" t="str">
        <f>IF($A363="","",INDEX(TblApplications[Action],$A363))</f>
        <v/>
      </c>
      <c r="H363" s="39" t="str">
        <f>IF($A363="","",INDEX(TblApplications[Cluster IKS source],$A363))</f>
        <v/>
      </c>
      <c r="I363" s="48" t="str">
        <f>IF($A363="","",INDEX(TblApplications[Mois lib (calc)],$A363))</f>
        <v/>
      </c>
      <c r="J363" s="39" t="str">
        <f>IF($A363="","",INDEX(TblApplications[CPU IKS libérable (vCPU)],$A363))</f>
        <v/>
      </c>
    </row>
    <row r="364" spans="1:10" x14ac:dyDescent="0.2">
      <c r="A364" s="37" t="str">
        <f>IFERROR(MATCH(289,TblApplications[Rang extinction],0),"")</f>
        <v/>
      </c>
      <c r="B364" s="39" t="str">
        <f>IF($A364="","",INDEX(TblApplications[ID],$A364))</f>
        <v/>
      </c>
      <c r="C364" s="39" t="str">
        <f>IF($A364="","",INDEX(TblApplications[Application],$A364))</f>
        <v/>
      </c>
      <c r="D364" s="39" t="str">
        <f>IF($A364="","",INDEX(TblApplications[Tribe],$A364))</f>
        <v/>
      </c>
      <c r="E364" s="39" t="str">
        <f>IF($A364="","",INDEX(TblApplications[Environnement],$A364))</f>
        <v/>
      </c>
      <c r="F364" s="39" t="str">
        <f>IF($A364="","",INDEX(TblApplications[Couloir],$A364))</f>
        <v/>
      </c>
      <c r="G364" s="39" t="str">
        <f>IF($A364="","",INDEX(TblApplications[Action],$A364))</f>
        <v/>
      </c>
      <c r="H364" s="39" t="str">
        <f>IF($A364="","",INDEX(TblApplications[Cluster IKS source],$A364))</f>
        <v/>
      </c>
      <c r="I364" s="48" t="str">
        <f>IF($A364="","",INDEX(TblApplications[Mois lib (calc)],$A364))</f>
        <v/>
      </c>
      <c r="J364" s="39" t="str">
        <f>IF($A364="","",INDEX(TblApplications[CPU IKS libérable (vCPU)],$A364))</f>
        <v/>
      </c>
    </row>
    <row r="365" spans="1:10" x14ac:dyDescent="0.2">
      <c r="A365" s="37" t="str">
        <f>IFERROR(MATCH(290,TblApplications[Rang extinction],0),"")</f>
        <v/>
      </c>
      <c r="B365" s="39" t="str">
        <f>IF($A365="","",INDEX(TblApplications[ID],$A365))</f>
        <v/>
      </c>
      <c r="C365" s="39" t="str">
        <f>IF($A365="","",INDEX(TblApplications[Application],$A365))</f>
        <v/>
      </c>
      <c r="D365" s="39" t="str">
        <f>IF($A365="","",INDEX(TblApplications[Tribe],$A365))</f>
        <v/>
      </c>
      <c r="E365" s="39" t="str">
        <f>IF($A365="","",INDEX(TblApplications[Environnement],$A365))</f>
        <v/>
      </c>
      <c r="F365" s="39" t="str">
        <f>IF($A365="","",INDEX(TblApplications[Couloir],$A365))</f>
        <v/>
      </c>
      <c r="G365" s="39" t="str">
        <f>IF($A365="","",INDEX(TblApplications[Action],$A365))</f>
        <v/>
      </c>
      <c r="H365" s="39" t="str">
        <f>IF($A365="","",INDEX(TblApplications[Cluster IKS source],$A365))</f>
        <v/>
      </c>
      <c r="I365" s="48" t="str">
        <f>IF($A365="","",INDEX(TblApplications[Mois lib (calc)],$A365))</f>
        <v/>
      </c>
      <c r="J365" s="39" t="str">
        <f>IF($A365="","",INDEX(TblApplications[CPU IKS libérable (vCPU)],$A365))</f>
        <v/>
      </c>
    </row>
    <row r="366" spans="1:10" x14ac:dyDescent="0.2">
      <c r="A366" s="37" t="str">
        <f>IFERROR(MATCH(291,TblApplications[Rang extinction],0),"")</f>
        <v/>
      </c>
      <c r="B366" s="39" t="str">
        <f>IF($A366="","",INDEX(TblApplications[ID],$A366))</f>
        <v/>
      </c>
      <c r="C366" s="39" t="str">
        <f>IF($A366="","",INDEX(TblApplications[Application],$A366))</f>
        <v/>
      </c>
      <c r="D366" s="39" t="str">
        <f>IF($A366="","",INDEX(TblApplications[Tribe],$A366))</f>
        <v/>
      </c>
      <c r="E366" s="39" t="str">
        <f>IF($A366="","",INDEX(TblApplications[Environnement],$A366))</f>
        <v/>
      </c>
      <c r="F366" s="39" t="str">
        <f>IF($A366="","",INDEX(TblApplications[Couloir],$A366))</f>
        <v/>
      </c>
      <c r="G366" s="39" t="str">
        <f>IF($A366="","",INDEX(TblApplications[Action],$A366))</f>
        <v/>
      </c>
      <c r="H366" s="39" t="str">
        <f>IF($A366="","",INDEX(TblApplications[Cluster IKS source],$A366))</f>
        <v/>
      </c>
      <c r="I366" s="48" t="str">
        <f>IF($A366="","",INDEX(TblApplications[Mois lib (calc)],$A366))</f>
        <v/>
      </c>
      <c r="J366" s="39" t="str">
        <f>IF($A366="","",INDEX(TblApplications[CPU IKS libérable (vCPU)],$A366))</f>
        <v/>
      </c>
    </row>
    <row r="367" spans="1:10" x14ac:dyDescent="0.2">
      <c r="A367" s="37" t="str">
        <f>IFERROR(MATCH(292,TblApplications[Rang extinction],0),"")</f>
        <v/>
      </c>
      <c r="B367" s="39" t="str">
        <f>IF($A367="","",INDEX(TblApplications[ID],$A367))</f>
        <v/>
      </c>
      <c r="C367" s="39" t="str">
        <f>IF($A367="","",INDEX(TblApplications[Application],$A367))</f>
        <v/>
      </c>
      <c r="D367" s="39" t="str">
        <f>IF($A367="","",INDEX(TblApplications[Tribe],$A367))</f>
        <v/>
      </c>
      <c r="E367" s="39" t="str">
        <f>IF($A367="","",INDEX(TblApplications[Environnement],$A367))</f>
        <v/>
      </c>
      <c r="F367" s="39" t="str">
        <f>IF($A367="","",INDEX(TblApplications[Couloir],$A367))</f>
        <v/>
      </c>
      <c r="G367" s="39" t="str">
        <f>IF($A367="","",INDEX(TblApplications[Action],$A367))</f>
        <v/>
      </c>
      <c r="H367" s="39" t="str">
        <f>IF($A367="","",INDEX(TblApplications[Cluster IKS source],$A367))</f>
        <v/>
      </c>
      <c r="I367" s="48" t="str">
        <f>IF($A367="","",INDEX(TblApplications[Mois lib (calc)],$A367))</f>
        <v/>
      </c>
      <c r="J367" s="39" t="str">
        <f>IF($A367="","",INDEX(TblApplications[CPU IKS libérable (vCPU)],$A367))</f>
        <v/>
      </c>
    </row>
    <row r="368" spans="1:10" x14ac:dyDescent="0.2">
      <c r="A368" s="37" t="str">
        <f>IFERROR(MATCH(293,TblApplications[Rang extinction],0),"")</f>
        <v/>
      </c>
      <c r="B368" s="39" t="str">
        <f>IF($A368="","",INDEX(TblApplications[ID],$A368))</f>
        <v/>
      </c>
      <c r="C368" s="39" t="str">
        <f>IF($A368="","",INDEX(TblApplications[Application],$A368))</f>
        <v/>
      </c>
      <c r="D368" s="39" t="str">
        <f>IF($A368="","",INDEX(TblApplications[Tribe],$A368))</f>
        <v/>
      </c>
      <c r="E368" s="39" t="str">
        <f>IF($A368="","",INDEX(TblApplications[Environnement],$A368))</f>
        <v/>
      </c>
      <c r="F368" s="39" t="str">
        <f>IF($A368="","",INDEX(TblApplications[Couloir],$A368))</f>
        <v/>
      </c>
      <c r="G368" s="39" t="str">
        <f>IF($A368="","",INDEX(TblApplications[Action],$A368))</f>
        <v/>
      </c>
      <c r="H368" s="39" t="str">
        <f>IF($A368="","",INDEX(TblApplications[Cluster IKS source],$A368))</f>
        <v/>
      </c>
      <c r="I368" s="48" t="str">
        <f>IF($A368="","",INDEX(TblApplications[Mois lib (calc)],$A368))</f>
        <v/>
      </c>
      <c r="J368" s="39" t="str">
        <f>IF($A368="","",INDEX(TblApplications[CPU IKS libérable (vCPU)],$A368))</f>
        <v/>
      </c>
    </row>
    <row r="369" spans="1:10" x14ac:dyDescent="0.2">
      <c r="A369" s="37" t="str">
        <f>IFERROR(MATCH(294,TblApplications[Rang extinction],0),"")</f>
        <v/>
      </c>
      <c r="B369" s="39" t="str">
        <f>IF($A369="","",INDEX(TblApplications[ID],$A369))</f>
        <v/>
      </c>
      <c r="C369" s="39" t="str">
        <f>IF($A369="","",INDEX(TblApplications[Application],$A369))</f>
        <v/>
      </c>
      <c r="D369" s="39" t="str">
        <f>IF($A369="","",INDEX(TblApplications[Tribe],$A369))</f>
        <v/>
      </c>
      <c r="E369" s="39" t="str">
        <f>IF($A369="","",INDEX(TblApplications[Environnement],$A369))</f>
        <v/>
      </c>
      <c r="F369" s="39" t="str">
        <f>IF($A369="","",INDEX(TblApplications[Couloir],$A369))</f>
        <v/>
      </c>
      <c r="G369" s="39" t="str">
        <f>IF($A369="","",INDEX(TblApplications[Action],$A369))</f>
        <v/>
      </c>
      <c r="H369" s="39" t="str">
        <f>IF($A369="","",INDEX(TblApplications[Cluster IKS source],$A369))</f>
        <v/>
      </c>
      <c r="I369" s="48" t="str">
        <f>IF($A369="","",INDEX(TblApplications[Mois lib (calc)],$A369))</f>
        <v/>
      </c>
      <c r="J369" s="39" t="str">
        <f>IF($A369="","",INDEX(TblApplications[CPU IKS libérable (vCPU)],$A369))</f>
        <v/>
      </c>
    </row>
    <row r="370" spans="1:10" x14ac:dyDescent="0.2">
      <c r="A370" s="37" t="str">
        <f>IFERROR(MATCH(295,TblApplications[Rang extinction],0),"")</f>
        <v/>
      </c>
      <c r="B370" s="39" t="str">
        <f>IF($A370="","",INDEX(TblApplications[ID],$A370))</f>
        <v/>
      </c>
      <c r="C370" s="39" t="str">
        <f>IF($A370="","",INDEX(TblApplications[Application],$A370))</f>
        <v/>
      </c>
      <c r="D370" s="39" t="str">
        <f>IF($A370="","",INDEX(TblApplications[Tribe],$A370))</f>
        <v/>
      </c>
      <c r="E370" s="39" t="str">
        <f>IF($A370="","",INDEX(TblApplications[Environnement],$A370))</f>
        <v/>
      </c>
      <c r="F370" s="39" t="str">
        <f>IF($A370="","",INDEX(TblApplications[Couloir],$A370))</f>
        <v/>
      </c>
      <c r="G370" s="39" t="str">
        <f>IF($A370="","",INDEX(TblApplications[Action],$A370))</f>
        <v/>
      </c>
      <c r="H370" s="39" t="str">
        <f>IF($A370="","",INDEX(TblApplications[Cluster IKS source],$A370))</f>
        <v/>
      </c>
      <c r="I370" s="48" t="str">
        <f>IF($A370="","",INDEX(TblApplications[Mois lib (calc)],$A370))</f>
        <v/>
      </c>
      <c r="J370" s="39" t="str">
        <f>IF($A370="","",INDEX(TblApplications[CPU IKS libérable (vCPU)],$A370))</f>
        <v/>
      </c>
    </row>
    <row r="371" spans="1:10" x14ac:dyDescent="0.2">
      <c r="A371" s="37" t="str">
        <f>IFERROR(MATCH(296,TblApplications[Rang extinction],0),"")</f>
        <v/>
      </c>
      <c r="B371" s="39" t="str">
        <f>IF($A371="","",INDEX(TblApplications[ID],$A371))</f>
        <v/>
      </c>
      <c r="C371" s="39" t="str">
        <f>IF($A371="","",INDEX(TblApplications[Application],$A371))</f>
        <v/>
      </c>
      <c r="D371" s="39" t="str">
        <f>IF($A371="","",INDEX(TblApplications[Tribe],$A371))</f>
        <v/>
      </c>
      <c r="E371" s="39" t="str">
        <f>IF($A371="","",INDEX(TblApplications[Environnement],$A371))</f>
        <v/>
      </c>
      <c r="F371" s="39" t="str">
        <f>IF($A371="","",INDEX(TblApplications[Couloir],$A371))</f>
        <v/>
      </c>
      <c r="G371" s="39" t="str">
        <f>IF($A371="","",INDEX(TblApplications[Action],$A371))</f>
        <v/>
      </c>
      <c r="H371" s="39" t="str">
        <f>IF($A371="","",INDEX(TblApplications[Cluster IKS source],$A371))</f>
        <v/>
      </c>
      <c r="I371" s="48" t="str">
        <f>IF($A371="","",INDEX(TblApplications[Mois lib (calc)],$A371))</f>
        <v/>
      </c>
      <c r="J371" s="39" t="str">
        <f>IF($A371="","",INDEX(TblApplications[CPU IKS libérable (vCPU)],$A371))</f>
        <v/>
      </c>
    </row>
    <row r="372" spans="1:10" x14ac:dyDescent="0.2">
      <c r="A372" s="37" t="str">
        <f>IFERROR(MATCH(297,TblApplications[Rang extinction],0),"")</f>
        <v/>
      </c>
      <c r="B372" s="39" t="str">
        <f>IF($A372="","",INDEX(TblApplications[ID],$A372))</f>
        <v/>
      </c>
      <c r="C372" s="39" t="str">
        <f>IF($A372="","",INDEX(TblApplications[Application],$A372))</f>
        <v/>
      </c>
      <c r="D372" s="39" t="str">
        <f>IF($A372="","",INDEX(TblApplications[Tribe],$A372))</f>
        <v/>
      </c>
      <c r="E372" s="39" t="str">
        <f>IF($A372="","",INDEX(TblApplications[Environnement],$A372))</f>
        <v/>
      </c>
      <c r="F372" s="39" t="str">
        <f>IF($A372="","",INDEX(TblApplications[Couloir],$A372))</f>
        <v/>
      </c>
      <c r="G372" s="39" t="str">
        <f>IF($A372="","",INDEX(TblApplications[Action],$A372))</f>
        <v/>
      </c>
      <c r="H372" s="39" t="str">
        <f>IF($A372="","",INDEX(TblApplications[Cluster IKS source],$A372))</f>
        <v/>
      </c>
      <c r="I372" s="48" t="str">
        <f>IF($A372="","",INDEX(TblApplications[Mois lib (calc)],$A372))</f>
        <v/>
      </c>
      <c r="J372" s="39" t="str">
        <f>IF($A372="","",INDEX(TblApplications[CPU IKS libérable (vCPU)],$A372))</f>
        <v/>
      </c>
    </row>
    <row r="373" spans="1:10" x14ac:dyDescent="0.2">
      <c r="A373" s="37" t="str">
        <f>IFERROR(MATCH(298,TblApplications[Rang extinction],0),"")</f>
        <v/>
      </c>
      <c r="B373" s="39" t="str">
        <f>IF($A373="","",INDEX(TblApplications[ID],$A373))</f>
        <v/>
      </c>
      <c r="C373" s="39" t="str">
        <f>IF($A373="","",INDEX(TblApplications[Application],$A373))</f>
        <v/>
      </c>
      <c r="D373" s="39" t="str">
        <f>IF($A373="","",INDEX(TblApplications[Tribe],$A373))</f>
        <v/>
      </c>
      <c r="E373" s="39" t="str">
        <f>IF($A373="","",INDEX(TblApplications[Environnement],$A373))</f>
        <v/>
      </c>
      <c r="F373" s="39" t="str">
        <f>IF($A373="","",INDEX(TblApplications[Couloir],$A373))</f>
        <v/>
      </c>
      <c r="G373" s="39" t="str">
        <f>IF($A373="","",INDEX(TblApplications[Action],$A373))</f>
        <v/>
      </c>
      <c r="H373" s="39" t="str">
        <f>IF($A373="","",INDEX(TblApplications[Cluster IKS source],$A373))</f>
        <v/>
      </c>
      <c r="I373" s="48" t="str">
        <f>IF($A373="","",INDEX(TblApplications[Mois lib (calc)],$A373))</f>
        <v/>
      </c>
      <c r="J373" s="39" t="str">
        <f>IF($A373="","",INDEX(TblApplications[CPU IKS libérable (vCPU)],$A373))</f>
        <v/>
      </c>
    </row>
    <row r="374" spans="1:10" x14ac:dyDescent="0.2">
      <c r="A374" s="37" t="str">
        <f>IFERROR(MATCH(299,TblApplications[Rang extinction],0),"")</f>
        <v/>
      </c>
      <c r="B374" s="39" t="str">
        <f>IF($A374="","",INDEX(TblApplications[ID],$A374))</f>
        <v/>
      </c>
      <c r="C374" s="39" t="str">
        <f>IF($A374="","",INDEX(TblApplications[Application],$A374))</f>
        <v/>
      </c>
      <c r="D374" s="39" t="str">
        <f>IF($A374="","",INDEX(TblApplications[Tribe],$A374))</f>
        <v/>
      </c>
      <c r="E374" s="39" t="str">
        <f>IF($A374="","",INDEX(TblApplications[Environnement],$A374))</f>
        <v/>
      </c>
      <c r="F374" s="39" t="str">
        <f>IF($A374="","",INDEX(TblApplications[Couloir],$A374))</f>
        <v/>
      </c>
      <c r="G374" s="39" t="str">
        <f>IF($A374="","",INDEX(TblApplications[Action],$A374))</f>
        <v/>
      </c>
      <c r="H374" s="39" t="str">
        <f>IF($A374="","",INDEX(TblApplications[Cluster IKS source],$A374))</f>
        <v/>
      </c>
      <c r="I374" s="48" t="str">
        <f>IF($A374="","",INDEX(TblApplications[Mois lib (calc)],$A374))</f>
        <v/>
      </c>
      <c r="J374" s="39" t="str">
        <f>IF($A374="","",INDEX(TblApplications[CPU IKS libérable (vCPU)],$A374))</f>
        <v/>
      </c>
    </row>
    <row r="375" spans="1:10" x14ac:dyDescent="0.2">
      <c r="A375" s="37" t="str">
        <f>IFERROR(MATCH(300,TblApplications[Rang extinction],0),"")</f>
        <v/>
      </c>
      <c r="B375" s="39" t="str">
        <f>IF($A375="","",INDEX(TblApplications[ID],$A375))</f>
        <v/>
      </c>
      <c r="C375" s="39" t="str">
        <f>IF($A375="","",INDEX(TblApplications[Application],$A375))</f>
        <v/>
      </c>
      <c r="D375" s="39" t="str">
        <f>IF($A375="","",INDEX(TblApplications[Tribe],$A375))</f>
        <v/>
      </c>
      <c r="E375" s="39" t="str">
        <f>IF($A375="","",INDEX(TblApplications[Environnement],$A375))</f>
        <v/>
      </c>
      <c r="F375" s="39" t="str">
        <f>IF($A375="","",INDEX(TblApplications[Couloir],$A375))</f>
        <v/>
      </c>
      <c r="G375" s="39" t="str">
        <f>IF($A375="","",INDEX(TblApplications[Action],$A375))</f>
        <v/>
      </c>
      <c r="H375" s="39" t="str">
        <f>IF($A375="","",INDEX(TblApplications[Cluster IKS source],$A375))</f>
        <v/>
      </c>
      <c r="I375" s="48" t="str">
        <f>IF($A375="","",INDEX(TblApplications[Mois lib (calc)],$A375))</f>
        <v/>
      </c>
      <c r="J375" s="39" t="str">
        <f>IF($A375="","",INDEX(TblApplications[CPU IKS libérable (vCPU)],$A375))</f>
        <v/>
      </c>
    </row>
  </sheetData>
  <mergeCells count="12">
    <mergeCell ref="L6:M6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</mergeCells>
  <conditionalFormatting sqref="H32:H71">
    <cfRule type="expression" dxfId="18" priority="2">
      <formula>H32="Fermé"</formula>
    </cfRule>
    <cfRule type="expression" dxfId="17" priority="3">
      <formula>H32="Non planifiée"</formula>
    </cfRule>
    <cfRule type="expression" dxfId="16" priority="4">
      <formula>H32="Fermeture planifiée"</formula>
    </cfRule>
  </conditionalFormatting>
  <dataValidations count="2">
    <dataValidation type="date" operator="greaterThan" showErrorMessage="1" error="Saisir un mois" sqref="L4" xr:uid="{00000000-0002-0000-0300-000000000000}">
      <formula1>36526</formula1>
      <formula2>0</formula2>
    </dataValidation>
    <dataValidation type="list" showErrorMessage="1" error="Choisir une valeur de la liste" sqref="C4" xr:uid="{00000000-0002-0000-0300-000001000000}">
      <formula1>"Tous,PRD,NPRD"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="Choisir une valeur de la liste" xr:uid="{00000000-0002-0000-0300-000002000000}">
          <x14:formula1>
            <xm:f>'Paramètres &amp; ABS'!$O$21:$O$41</xm:f>
          </x14:formula1>
          <x14:formula2>
            <xm:f>0</xm:f>
          </x14:formula2>
          <xm:sqref>F4</xm:sqref>
        </x14:dataValidation>
        <x14:dataValidation type="list" showErrorMessage="1" error="Choisir une valeur de la liste" xr:uid="{00000000-0002-0000-0300-000003000000}">
          <x14:formula1>
            <xm:f>'Paramètres &amp; ABS'!$P$21:$P$61</xm:f>
          </x14:formula1>
          <x14:formula2>
            <xm:f>0</xm:f>
          </x14:formula2>
          <xm:sqref>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3"/>
  <sheetViews>
    <sheetView zoomScaleNormal="100" workbookViewId="0">
      <pane xSplit="2" ySplit="22" topLeftCell="C23" activePane="bottomRight" state="frozen"/>
      <selection pane="topRight" activeCell="C1" sqref="C1"/>
      <selection pane="bottomLeft" activeCell="A23" sqref="A23"/>
      <selection pane="bottomRight"/>
    </sheetView>
  </sheetViews>
  <sheetFormatPr baseColWidth="10" defaultColWidth="8.6640625" defaultRowHeight="15" outlineLevelCol="1" x14ac:dyDescent="0.2"/>
  <cols>
    <col min="1" max="1" width="16" customWidth="1"/>
    <col min="2" max="2" width="50" customWidth="1"/>
    <col min="3" max="6" width="14" customWidth="1"/>
    <col min="7" max="8" width="11" customWidth="1"/>
    <col min="9" max="11" width="13" customWidth="1"/>
    <col min="12" max="13" width="15" customWidth="1"/>
    <col min="14" max="14" width="11" customWidth="1"/>
    <col min="15" max="15" width="14" customWidth="1"/>
    <col min="16" max="24" width="14" customWidth="1" outlineLevel="1"/>
  </cols>
  <sheetData>
    <row r="1" spans="1:10" ht="18" x14ac:dyDescent="0.2">
      <c r="A1" s="50" t="s">
        <v>91</v>
      </c>
    </row>
    <row r="2" spans="1:10" x14ac:dyDescent="0.2">
      <c r="A2" s="16" t="s">
        <v>92</v>
      </c>
    </row>
    <row r="4" spans="1:10" ht="30" customHeight="1" x14ac:dyDescent="0.2">
      <c r="B4" s="25" t="s">
        <v>93</v>
      </c>
      <c r="C4" s="25" t="s">
        <v>94</v>
      </c>
      <c r="E4" s="25" t="s">
        <v>95</v>
      </c>
      <c r="F4" s="25" t="s">
        <v>3</v>
      </c>
      <c r="G4" s="25" t="s">
        <v>4</v>
      </c>
      <c r="H4" s="25" t="s">
        <v>2</v>
      </c>
      <c r="I4" s="25" t="s">
        <v>5</v>
      </c>
      <c r="J4" s="25" t="s">
        <v>6</v>
      </c>
    </row>
    <row r="5" spans="1:10" ht="16" x14ac:dyDescent="0.2">
      <c r="B5" s="51" t="s">
        <v>3</v>
      </c>
      <c r="C5" s="52">
        <f>SUMIFS(TblCalculs[Coût mensuel],TblCalculs[Plateforme],"IKS")</f>
        <v>2919240</v>
      </c>
      <c r="E5" s="53" t="s">
        <v>39</v>
      </c>
      <c r="F5" s="27">
        <f>SUMIFS(TblCalculs[Coût mensuel],TblCalculs[Plateforme],"IKS",TblCalculs[Environnement],"PRD")</f>
        <v>1214028</v>
      </c>
      <c r="G5" s="27">
        <f>SUMIFS(TblCalculs[Coût mensuel],TblCalculs[Plateforme],"ROKS",TblCalculs[Environnement],"PRD")</f>
        <v>524032</v>
      </c>
      <c r="H5" s="27">
        <f>F5+G5</f>
        <v>1738060</v>
      </c>
      <c r="I5" s="27">
        <f>H5-SUMIFS(TblCalculs[Sans DR – coût],TblCalculs[Environnement],"PRD")</f>
        <v>16992</v>
      </c>
      <c r="J5" s="27">
        <f>H5-SUMIFS(TblCalculs[Sans migration – coût],TblCalculs[Environnement],"PRD")</f>
        <v>-290612</v>
      </c>
    </row>
    <row r="6" spans="1:10" ht="16" x14ac:dyDescent="0.2">
      <c r="B6" s="51" t="s">
        <v>4</v>
      </c>
      <c r="C6" s="52">
        <f>SUMIFS(TblCalculs[Coût mensuel],TblCalculs[Plateforme],"ROKS")</f>
        <v>1184128</v>
      </c>
      <c r="E6" s="53" t="s">
        <v>40</v>
      </c>
      <c r="F6" s="27">
        <f>SUMIFS(TblCalculs[Coût mensuel],TblCalculs[Plateforme],"IKS",TblCalculs[Environnement],"NPRD")</f>
        <v>1705212</v>
      </c>
      <c r="G6" s="27">
        <f>SUMIFS(TblCalculs[Coût mensuel],TblCalculs[Plateforme],"ROKS",TblCalculs[Environnement],"NPRD")</f>
        <v>660096</v>
      </c>
      <c r="H6" s="27">
        <f>F6+G6</f>
        <v>2365308</v>
      </c>
      <c r="I6" s="27">
        <f>H6-SUMIFS(TblCalculs[Sans DR – coût],TblCalculs[Environnement],"NPRD")</f>
        <v>0</v>
      </c>
      <c r="J6" s="27">
        <f>H6-SUMIFS(TblCalculs[Sans migration – coût],TblCalculs[Environnement],"NPRD")</f>
        <v>0</v>
      </c>
    </row>
    <row r="7" spans="1:10" ht="16" x14ac:dyDescent="0.2">
      <c r="B7" s="51" t="s">
        <v>96</v>
      </c>
      <c r="C7" s="52">
        <f>SUM(TblCalculs[Coût mensuel])</f>
        <v>4103368</v>
      </c>
      <c r="E7" s="53" t="s">
        <v>38</v>
      </c>
      <c r="F7" s="23">
        <f>SUMIFS(TblCalculs[Coût mensuel],TblCalculs[Plateforme],"IKS",TblCalculs[Environnement],"*")</f>
        <v>2919240</v>
      </c>
      <c r="G7" s="23">
        <f>SUMIFS(TblCalculs[Coût mensuel],TblCalculs[Plateforme],"ROKS",TblCalculs[Environnement],"*")</f>
        <v>1184128</v>
      </c>
      <c r="H7" s="23">
        <f>F7+G7</f>
        <v>4103368</v>
      </c>
      <c r="I7" s="23">
        <f>H7-SUMIFS(TblCalculs[Sans DR – coût],TblCalculs[Environnement],"*")</f>
        <v>16992</v>
      </c>
      <c r="J7" s="23">
        <f>H7-SUMIFS(TblCalculs[Sans migration – coût],TblCalculs[Environnement],"*")</f>
        <v>-290612</v>
      </c>
    </row>
    <row r="8" spans="1:10" ht="16" x14ac:dyDescent="0.2">
      <c r="B8" s="51" t="s">
        <v>97</v>
      </c>
      <c r="C8" s="52">
        <f>C7-SUM(TblCalculs[Sans DR – coût])</f>
        <v>16992</v>
      </c>
    </row>
    <row r="9" spans="1:10" ht="19.5" customHeight="1" x14ac:dyDescent="0.2">
      <c r="E9" s="25" t="s">
        <v>98</v>
      </c>
      <c r="F9" s="25" t="s">
        <v>99</v>
      </c>
      <c r="G9" s="25" t="s">
        <v>100</v>
      </c>
    </row>
    <row r="10" spans="1:10" x14ac:dyDescent="0.2">
      <c r="B10" s="54" t="s">
        <v>101</v>
      </c>
      <c r="C10" s="27">
        <f>C7-SUM(TblCalculs[Sans migration – coût])</f>
        <v>-290612</v>
      </c>
      <c r="E10" s="54" t="s">
        <v>102</v>
      </c>
      <c r="F10" s="34">
        <f>COUNTIFS(TblApplications[Contrôle],"&lt;&gt;OK",TblApplications[ID],"&lt;&gt;")-COUNTIFS(TblApplications[Contrôle],"*(info)")</f>
        <v>0</v>
      </c>
      <c r="G10" s="86" t="s">
        <v>103</v>
      </c>
      <c r="H10" s="86"/>
      <c r="I10" s="86"/>
      <c r="J10" s="86"/>
    </row>
    <row r="11" spans="1:10" x14ac:dyDescent="0.2">
      <c r="B11" s="54" t="s">
        <v>104</v>
      </c>
      <c r="C11" s="47">
        <f>_xlfn.MAXIFS($D$23:$D$58,$A$23:$A$58,"&lt;="&amp;p_horizon)</f>
        <v>768</v>
      </c>
      <c r="E11" s="54" t="s">
        <v>105</v>
      </c>
      <c r="F11" s="34">
        <f>COUNTIFS(TblClusters[Contrôle],"&lt;&gt;OK",TblClusters[Cluster],"&lt;&gt;")-COUNTIFS(TblClusters[Contrôle],"*(info)")</f>
        <v>0</v>
      </c>
      <c r="G11" s="86" t="s">
        <v>106</v>
      </c>
      <c r="H11" s="86"/>
      <c r="I11" s="86"/>
      <c r="J11" s="86"/>
    </row>
    <row r="12" spans="1:10" x14ac:dyDescent="0.2">
      <c r="B12" s="54" t="s">
        <v>107</v>
      </c>
      <c r="C12" s="47">
        <f>_xlfn.MAXIFS($F$23:$F$58,$A$23:$A$58,"&lt;="&amp;p_horizon)</f>
        <v>3360</v>
      </c>
      <c r="E12" s="54" t="s">
        <v>108</v>
      </c>
      <c r="F12" s="34">
        <f>COUNTIFS(TblDynatrace[Contrôle],"&lt;&gt;OK",TblDynatrace[ID],"&lt;&gt;")-COUNTIFS(TblDynatrace[Contrôle],"*(info)")</f>
        <v>0</v>
      </c>
      <c r="G12" s="86" t="s">
        <v>109</v>
      </c>
      <c r="H12" s="86"/>
      <c r="I12" s="86"/>
      <c r="J12" s="86"/>
    </row>
    <row r="13" spans="1:10" x14ac:dyDescent="0.2">
      <c r="B13" s="54" t="s">
        <v>110</v>
      </c>
      <c r="C13" s="47">
        <f>_xlfn.MAXIFS($O$23:$O$58,$A$23:$A$58,"&lt;="&amp;p_horizon)</f>
        <v>3040</v>
      </c>
      <c r="E13" s="54" t="s">
        <v>111</v>
      </c>
      <c r="F13" s="34">
        <f>COUNTIFS('Paramètres &amp; ABS'!$E$4:$E$18,"&lt;&gt;OK",'Paramètres &amp; ABS'!$E$4:$E$18,"?*")</f>
        <v>0</v>
      </c>
      <c r="G13" s="86" t="s">
        <v>112</v>
      </c>
      <c r="H13" s="86"/>
      <c r="I13" s="86"/>
      <c r="J13" s="86"/>
    </row>
    <row r="14" spans="1:10" x14ac:dyDescent="0.2">
      <c r="B14" s="54" t="s">
        <v>113</v>
      </c>
      <c r="C14" s="27">
        <f>_xlfn.MAXIFS($K$23:$K$58,$A$23:$A$58,"&lt;="&amp;p_horizon)</f>
        <v>122791</v>
      </c>
      <c r="E14" s="54" t="s">
        <v>114</v>
      </c>
      <c r="F14" s="34">
        <f>COUNTIFS(Dashboard!$C$8,"&lt;&gt;Tous",Dashboard!$C$8,"&lt;&gt;PRD",Dashboard!$C$8,"&lt;&gt;NPRD")</f>
        <v>0</v>
      </c>
      <c r="G14" s="86" t="s">
        <v>115</v>
      </c>
      <c r="H14" s="86"/>
      <c r="I14" s="86"/>
      <c r="J14" s="86"/>
    </row>
    <row r="15" spans="1:10" x14ac:dyDescent="0.2">
      <c r="B15" s="54" t="s">
        <v>116</v>
      </c>
      <c r="C15" s="33">
        <f>IFERROR(INDEX($B$23:$B$58,MATCH(C14,$K$23:$K$58,0)),"")</f>
        <v>46478</v>
      </c>
      <c r="E15" s="55" t="s">
        <v>117</v>
      </c>
      <c r="F15" s="34">
        <f>COUNTIFS(TblApplications[Contrôle],"*(info)")+COUNTIFS(TblClusters[Contrôle],"*(info)")+COUNTIFS(TblDynatrace[Contrôle],"*(info)")</f>
        <v>12</v>
      </c>
      <c r="G15" s="86" t="s">
        <v>118</v>
      </c>
      <c r="H15" s="86"/>
      <c r="I15" s="86"/>
      <c r="J15" s="86"/>
    </row>
    <row r="16" spans="1:10" x14ac:dyDescent="0.2">
      <c r="B16" s="54" t="s">
        <v>119</v>
      </c>
      <c r="C16" s="34">
        <f>COUNTIFS(TblApplications[Contrôle],"&lt;&gt;OK",TblApplications[ID],"&lt;&gt;")-COUNTIFS(TblApplications[Contrôle],"*(info)")+COUNTIFS(TblClusters[Contrôle],"&lt;&gt;OK",TblClusters[Cluster],"&lt;&gt;")-COUNTIFS(TblClusters[Contrôle],"*(info)")+COUNTIFS(TblDynatrace[Contrôle],"&lt;&gt;OK",TblDynatrace[ID],"&lt;&gt;")-COUNTIFS(TblDynatrace[Contrôle],"*(info)")+COUNTIFS('Paramètres &amp; ABS'!$E$4:$E$18,"&lt;&gt;OK",'Paramètres &amp; ABS'!$E$4:$E$18,"?*")+COUNTIFS(Dashboard!$C$8,"&lt;&gt;Tous",Dashboard!$C$8,"&lt;&gt;PRD",Dashboard!$C$8,"&lt;&gt;NPRD")</f>
        <v>0</v>
      </c>
    </row>
    <row r="17" spans="1:24" x14ac:dyDescent="0.2">
      <c r="B17" s="54" t="s">
        <v>120</v>
      </c>
      <c r="C17" s="56" t="str">
        <f>IF(C16=0,"OK – aucune anomalie","À corriger : voir colonnes Contrôle et alertes")</f>
        <v>OK – aucune anomalie</v>
      </c>
    </row>
    <row r="20" spans="1:24" x14ac:dyDescent="0.2">
      <c r="A20" s="57" t="s">
        <v>121</v>
      </c>
    </row>
    <row r="22" spans="1:24" ht="45" customHeight="1" x14ac:dyDescent="0.2">
      <c r="A22" s="25" t="s">
        <v>122</v>
      </c>
      <c r="B22" s="25" t="s">
        <v>42</v>
      </c>
      <c r="C22" s="25" t="s">
        <v>123</v>
      </c>
      <c r="D22" s="25" t="s">
        <v>124</v>
      </c>
      <c r="E22" s="25" t="s">
        <v>125</v>
      </c>
      <c r="F22" s="25" t="s">
        <v>126</v>
      </c>
      <c r="G22" s="25" t="s">
        <v>55</v>
      </c>
      <c r="H22" s="25" t="s">
        <v>56</v>
      </c>
      <c r="I22" s="25" t="s">
        <v>21</v>
      </c>
      <c r="J22" s="25" t="s">
        <v>22</v>
      </c>
      <c r="K22" s="25" t="s">
        <v>23</v>
      </c>
      <c r="L22" s="25" t="s">
        <v>127</v>
      </c>
      <c r="M22" s="25" t="s">
        <v>128</v>
      </c>
      <c r="N22" s="25" t="s">
        <v>129</v>
      </c>
      <c r="O22" s="25" t="s">
        <v>130</v>
      </c>
      <c r="P22" s="25" t="s">
        <v>131</v>
      </c>
      <c r="Q22" s="25" t="s">
        <v>132</v>
      </c>
      <c r="R22" s="25" t="s">
        <v>133</v>
      </c>
      <c r="S22" s="25" t="s">
        <v>134</v>
      </c>
      <c r="T22" s="25" t="s">
        <v>135</v>
      </c>
      <c r="U22" s="25" t="s">
        <v>136</v>
      </c>
      <c r="V22" s="25" t="s">
        <v>137</v>
      </c>
      <c r="W22" s="25" t="s">
        <v>138</v>
      </c>
      <c r="X22" s="25" t="s">
        <v>139</v>
      </c>
    </row>
    <row r="23" spans="1:24" x14ac:dyDescent="0.2">
      <c r="A23" s="47">
        <v>1</v>
      </c>
      <c r="B23" s="33">
        <f t="shared" ref="B23:B58" si="0">IF($A23&gt;p_horizon,"",EDATE(p_debut,$A23-1))</f>
        <v>46296</v>
      </c>
      <c r="C23" s="47">
        <f>IF($A23&gt;p_horizon,"",SUMIFS(TblCalculs[CPU provisionné],TblCalculs[Mois],$B23,TblCalculs[Plateforme],"IKS"))</f>
        <v>2304</v>
      </c>
      <c r="D23" s="47">
        <f>IF($A23&gt;p_horizon,"",SUMIFS(TblCalculs[CPU provisionné],TblCalculs[Mois],$B23,TblCalculs[Plateforme],"ROKS"))</f>
        <v>720</v>
      </c>
      <c r="E23" s="47">
        <f>IF($A23&gt;p_horizon,"",SUMIFS(TblCalculs[RAM provisionnée],TblCalculs[Mois],$B23,TblCalculs[Plateforme],"IKS"))</f>
        <v>14208</v>
      </c>
      <c r="F23" s="47">
        <f>IF($A23&gt;p_horizon,"",SUMIFS(TblCalculs[RAM provisionnée],TblCalculs[Mois],$B23,TblCalculs[Plateforme],"ROKS"))</f>
        <v>3120</v>
      </c>
      <c r="G23" s="47">
        <f>IF($A23&gt;p_horizon,"",SUMIFS(TblCalculs[Workers],TblCalculs[Mois],$B23,TblCalculs[Plateforme],"IKS"))</f>
        <v>69</v>
      </c>
      <c r="H23" s="47">
        <f>IF($A23&gt;p_horizon,"",SUMIFS(TblCalculs[Workers],TblCalculs[Mois],$B23,TblCalculs[Plateforme],"ROKS"))</f>
        <v>66</v>
      </c>
      <c r="I23" s="27">
        <f>IF($A23&gt;p_horizon,"",SUMIFS(TblCalculs[Coût mensuel],TblCalculs[Mois],$B23,TblCalculs[Plateforme],"IKS"))</f>
        <v>90471</v>
      </c>
      <c r="J23" s="27">
        <f>IF($A23&gt;p_horizon,"",SUMIFS(TblCalculs[Coût mensuel],TblCalculs[Mois],$B23,TblCalculs[Plateforme],"ROKS"))</f>
        <v>31584</v>
      </c>
      <c r="K23" s="27">
        <f t="shared" ref="K23:K58" si="1">IF($A23&gt;p_horizon,"",I23+J23)</f>
        <v>122055</v>
      </c>
      <c r="L23" s="27">
        <f t="shared" ref="L23:L58" si="2">IF($A23&gt;p_horizon,"",K23-R23)</f>
        <v>0</v>
      </c>
      <c r="M23" s="27">
        <f>IF($A23&gt;p_horizon,"",SUM($L$23:L23))</f>
        <v>0</v>
      </c>
      <c r="N23" s="47">
        <f>IF($A23&gt;p_horizon,"",SUMPRODUCT((TblApplications[Action]="À migrer")*(TblApplications[Mois prov (calc)]&lt;=$B23)*(TblApplications[Mois lib (calc)]&gt;$B23)))</f>
        <v>0</v>
      </c>
      <c r="O23" s="47">
        <f t="shared" ref="O23:O58" si="3">IF($A23&gt;p_horizon,"",C23+D23)</f>
        <v>3024</v>
      </c>
      <c r="P23" s="47">
        <f>IF($A23&gt;p_horizon,"",SUMIFS(TblCalculs[Besoin CPU],TblCalculs[Mois],$B23,TblCalculs[Plateforme],"ROKS"))</f>
        <v>720</v>
      </c>
      <c r="Q23" s="47">
        <f>IF($A23&gt;p_horizon,"",SUMIFS(TblCalculs[Besoin RAM],TblCalculs[Mois],$B23,TblCalculs[Plateforme],"ROKS"))</f>
        <v>3120</v>
      </c>
      <c r="R23" s="27">
        <f>IF($A23&gt;p_horizon,"",SUMIFS(TblCalculs[Sans DR – coût],TblCalculs[Mois],$B23))</f>
        <v>122055</v>
      </c>
      <c r="S23" s="27">
        <f>IF($A23&gt;p_horizon,"",SUMIFS(TblCalculs[Sans migration – coût],TblCalculs[Mois],$B23))</f>
        <v>122055</v>
      </c>
      <c r="T23" s="27">
        <f t="shared" ref="T23:T58" si="4">IF($A23&gt;p_horizon,"",K23-S23)</f>
        <v>0</v>
      </c>
      <c r="U23" s="27">
        <f>IF($A23&gt;p_horizon,"",SUMIFS(TblCalculs[Coût mensuel],TblCalculs[Mois],$B23,TblCalculs[Plateforme],"IKS",TblCalculs[Environnement],p_envcrit))</f>
        <v>90471</v>
      </c>
      <c r="V23" s="27">
        <f>IF($A23&gt;p_horizon,"",SUMIFS(TblCalculs[Coût mensuel],TblCalculs[Mois],$B23,TblCalculs[Plateforme],"ROKS",TblCalculs[Environnement],p_envcrit))</f>
        <v>31584</v>
      </c>
      <c r="W23" s="27">
        <f>IF($A23&gt;p_horizon,"",SUMIFS(TblCalculs[Coût mensuel],TblCalculs[Mois],$B23,TblCalculs[Environnement],p_envcrit)-SUMIFS(TblCalculs[Sans DR – coût],TblCalculs[Mois],$B23,TblCalculs[Environnement],p_envcrit))</f>
        <v>0</v>
      </c>
      <c r="X23" s="27">
        <f t="shared" ref="X23:X58" si="5">IF($A23&gt;p_horizon,"",U23+V23)</f>
        <v>122055</v>
      </c>
    </row>
    <row r="24" spans="1:24" x14ac:dyDescent="0.2">
      <c r="A24" s="47">
        <v>2</v>
      </c>
      <c r="B24" s="33">
        <f t="shared" si="0"/>
        <v>46327</v>
      </c>
      <c r="C24" s="47">
        <f>IF($A24&gt;p_horizon,"",SUMIFS(TblCalculs[CPU provisionné],TblCalculs[Mois],$B24,TblCalculs[Plateforme],"IKS"))</f>
        <v>2304</v>
      </c>
      <c r="D24" s="47">
        <f>IF($A24&gt;p_horizon,"",SUMIFS(TblCalculs[CPU provisionné],TblCalculs[Mois],$B24,TblCalculs[Plateforme],"ROKS"))</f>
        <v>720</v>
      </c>
      <c r="E24" s="47">
        <f>IF($A24&gt;p_horizon,"",SUMIFS(TblCalculs[RAM provisionnée],TblCalculs[Mois],$B24,TblCalculs[Plateforme],"IKS"))</f>
        <v>14208</v>
      </c>
      <c r="F24" s="47">
        <f>IF($A24&gt;p_horizon,"",SUMIFS(TblCalculs[RAM provisionnée],TblCalculs[Mois],$B24,TblCalculs[Plateforme],"ROKS"))</f>
        <v>3120</v>
      </c>
      <c r="G24" s="47">
        <f>IF($A24&gt;p_horizon,"",SUMIFS(TblCalculs[Workers],TblCalculs[Mois],$B24,TblCalculs[Plateforme],"IKS"))</f>
        <v>69</v>
      </c>
      <c r="H24" s="47">
        <f>IF($A24&gt;p_horizon,"",SUMIFS(TblCalculs[Workers],TblCalculs[Mois],$B24,TblCalculs[Plateforme],"ROKS"))</f>
        <v>66</v>
      </c>
      <c r="I24" s="27">
        <f>IF($A24&gt;p_horizon,"",SUMIFS(TblCalculs[Coût mensuel],TblCalculs[Mois],$B24,TblCalculs[Plateforme],"IKS"))</f>
        <v>90471</v>
      </c>
      <c r="J24" s="27">
        <f>IF($A24&gt;p_horizon,"",SUMIFS(TblCalculs[Coût mensuel],TblCalculs[Mois],$B24,TblCalculs[Plateforme],"ROKS"))</f>
        <v>31584</v>
      </c>
      <c r="K24" s="27">
        <f t="shared" si="1"/>
        <v>122055</v>
      </c>
      <c r="L24" s="27">
        <f t="shared" si="2"/>
        <v>0</v>
      </c>
      <c r="M24" s="27">
        <f>IF($A24&gt;p_horizon,"",SUM($L$23:L24))</f>
        <v>0</v>
      </c>
      <c r="N24" s="47">
        <f>IF($A24&gt;p_horizon,"",SUMPRODUCT((TblApplications[Action]="À migrer")*(TblApplications[Mois prov (calc)]&lt;=$B24)*(TblApplications[Mois lib (calc)]&gt;$B24)))</f>
        <v>0</v>
      </c>
      <c r="O24" s="47">
        <f t="shared" si="3"/>
        <v>3024</v>
      </c>
      <c r="P24" s="47">
        <f>IF($A24&gt;p_horizon,"",SUMIFS(TblCalculs[Besoin CPU],TblCalculs[Mois],$B24,TblCalculs[Plateforme],"ROKS"))</f>
        <v>720</v>
      </c>
      <c r="Q24" s="47">
        <f>IF($A24&gt;p_horizon,"",SUMIFS(TblCalculs[Besoin RAM],TblCalculs[Mois],$B24,TblCalculs[Plateforme],"ROKS"))</f>
        <v>3120</v>
      </c>
      <c r="R24" s="27">
        <f>IF($A24&gt;p_horizon,"",SUMIFS(TblCalculs[Sans DR – coût],TblCalculs[Mois],$B24))</f>
        <v>122055</v>
      </c>
      <c r="S24" s="27">
        <f>IF($A24&gt;p_horizon,"",SUMIFS(TblCalculs[Sans migration – coût],TblCalculs[Mois],$B24))</f>
        <v>122055</v>
      </c>
      <c r="T24" s="27">
        <f t="shared" si="4"/>
        <v>0</v>
      </c>
      <c r="U24" s="27">
        <f>IF($A24&gt;p_horizon,"",SUMIFS(TblCalculs[Coût mensuel],TblCalculs[Mois],$B24,TblCalculs[Plateforme],"IKS",TblCalculs[Environnement],p_envcrit))</f>
        <v>90471</v>
      </c>
      <c r="V24" s="27">
        <f>IF($A24&gt;p_horizon,"",SUMIFS(TblCalculs[Coût mensuel],TblCalculs[Mois],$B24,TblCalculs[Plateforme],"ROKS",TblCalculs[Environnement],p_envcrit))</f>
        <v>31584</v>
      </c>
      <c r="W24" s="27">
        <f>IF($A24&gt;p_horizon,"",SUMIFS(TblCalculs[Coût mensuel],TblCalculs[Mois],$B24,TblCalculs[Environnement],p_envcrit)-SUMIFS(TblCalculs[Sans DR – coût],TblCalculs[Mois],$B24,TblCalculs[Environnement],p_envcrit))</f>
        <v>0</v>
      </c>
      <c r="X24" s="27">
        <f t="shared" si="5"/>
        <v>122055</v>
      </c>
    </row>
    <row r="25" spans="1:24" x14ac:dyDescent="0.2">
      <c r="A25" s="47">
        <v>3</v>
      </c>
      <c r="B25" s="33">
        <f t="shared" si="0"/>
        <v>46357</v>
      </c>
      <c r="C25" s="47">
        <f>IF($A25&gt;p_horizon,"",SUMIFS(TblCalculs[CPU provisionné],TblCalculs[Mois],$B25,TblCalculs[Plateforme],"IKS"))</f>
        <v>2304</v>
      </c>
      <c r="D25" s="47">
        <f>IF($A25&gt;p_horizon,"",SUMIFS(TblCalculs[CPU provisionné],TblCalculs[Mois],$B25,TblCalculs[Plateforme],"ROKS"))</f>
        <v>720</v>
      </c>
      <c r="E25" s="47">
        <f>IF($A25&gt;p_horizon,"",SUMIFS(TblCalculs[RAM provisionnée],TblCalculs[Mois],$B25,TblCalculs[Plateforme],"IKS"))</f>
        <v>14208</v>
      </c>
      <c r="F25" s="47">
        <f>IF($A25&gt;p_horizon,"",SUMIFS(TblCalculs[RAM provisionnée],TblCalculs[Mois],$B25,TblCalculs[Plateforme],"ROKS"))</f>
        <v>3120</v>
      </c>
      <c r="G25" s="47">
        <f>IF($A25&gt;p_horizon,"",SUMIFS(TblCalculs[Workers],TblCalculs[Mois],$B25,TblCalculs[Plateforme],"IKS"))</f>
        <v>69</v>
      </c>
      <c r="H25" s="47">
        <f>IF($A25&gt;p_horizon,"",SUMIFS(TblCalculs[Workers],TblCalculs[Mois],$B25,TblCalculs[Plateforme],"ROKS"))</f>
        <v>66</v>
      </c>
      <c r="I25" s="27">
        <f>IF($A25&gt;p_horizon,"",SUMIFS(TblCalculs[Coût mensuel],TblCalculs[Mois],$B25,TblCalculs[Plateforme],"IKS"))</f>
        <v>90471</v>
      </c>
      <c r="J25" s="27">
        <f>IF($A25&gt;p_horizon,"",SUMIFS(TblCalculs[Coût mensuel],TblCalculs[Mois],$B25,TblCalculs[Plateforme],"ROKS"))</f>
        <v>31584</v>
      </c>
      <c r="K25" s="27">
        <f t="shared" si="1"/>
        <v>122055</v>
      </c>
      <c r="L25" s="27">
        <f t="shared" si="2"/>
        <v>0</v>
      </c>
      <c r="M25" s="27">
        <f>IF($A25&gt;p_horizon,"",SUM($L$23:L25))</f>
        <v>0</v>
      </c>
      <c r="N25" s="47">
        <f>IF($A25&gt;p_horizon,"",SUMPRODUCT((TblApplications[Action]="À migrer")*(TblApplications[Mois prov (calc)]&lt;=$B25)*(TblApplications[Mois lib (calc)]&gt;$B25)))</f>
        <v>0</v>
      </c>
      <c r="O25" s="47">
        <f t="shared" si="3"/>
        <v>3024</v>
      </c>
      <c r="P25" s="47">
        <f>IF($A25&gt;p_horizon,"",SUMIFS(TblCalculs[Besoin CPU],TblCalculs[Mois],$B25,TblCalculs[Plateforme],"ROKS"))</f>
        <v>720</v>
      </c>
      <c r="Q25" s="47">
        <f>IF($A25&gt;p_horizon,"",SUMIFS(TblCalculs[Besoin RAM],TblCalculs[Mois],$B25,TblCalculs[Plateforme],"ROKS"))</f>
        <v>3120</v>
      </c>
      <c r="R25" s="27">
        <f>IF($A25&gt;p_horizon,"",SUMIFS(TblCalculs[Sans DR – coût],TblCalculs[Mois],$B25))</f>
        <v>122055</v>
      </c>
      <c r="S25" s="27">
        <f>IF($A25&gt;p_horizon,"",SUMIFS(TblCalculs[Sans migration – coût],TblCalculs[Mois],$B25))</f>
        <v>122055</v>
      </c>
      <c r="T25" s="27">
        <f t="shared" si="4"/>
        <v>0</v>
      </c>
      <c r="U25" s="27">
        <f>IF($A25&gt;p_horizon,"",SUMIFS(TblCalculs[Coût mensuel],TblCalculs[Mois],$B25,TblCalculs[Plateforme],"IKS",TblCalculs[Environnement],p_envcrit))</f>
        <v>90471</v>
      </c>
      <c r="V25" s="27">
        <f>IF($A25&gt;p_horizon,"",SUMIFS(TblCalculs[Coût mensuel],TblCalculs[Mois],$B25,TblCalculs[Plateforme],"ROKS",TblCalculs[Environnement],p_envcrit))</f>
        <v>31584</v>
      </c>
      <c r="W25" s="27">
        <f>IF($A25&gt;p_horizon,"",SUMIFS(TblCalculs[Coût mensuel],TblCalculs[Mois],$B25,TblCalculs[Environnement],p_envcrit)-SUMIFS(TblCalculs[Sans DR – coût],TblCalculs[Mois],$B25,TblCalculs[Environnement],p_envcrit))</f>
        <v>0</v>
      </c>
      <c r="X25" s="27">
        <f t="shared" si="5"/>
        <v>122055</v>
      </c>
    </row>
    <row r="26" spans="1:24" x14ac:dyDescent="0.2">
      <c r="A26" s="47">
        <v>4</v>
      </c>
      <c r="B26" s="33">
        <f t="shared" si="0"/>
        <v>46388</v>
      </c>
      <c r="C26" s="47">
        <f>IF($A26&gt;p_horizon,"",SUMIFS(TblCalculs[CPU provisionné],TblCalculs[Mois],$B26,TblCalculs[Plateforme],"IKS"))</f>
        <v>2304</v>
      </c>
      <c r="D26" s="47">
        <f>IF($A26&gt;p_horizon,"",SUMIFS(TblCalculs[CPU provisionné],TblCalculs[Mois],$B26,TblCalculs[Plateforme],"ROKS"))</f>
        <v>720</v>
      </c>
      <c r="E26" s="47">
        <f>IF($A26&gt;p_horizon,"",SUMIFS(TblCalculs[RAM provisionnée],TblCalculs[Mois],$B26,TblCalculs[Plateforme],"IKS"))</f>
        <v>14208</v>
      </c>
      <c r="F26" s="47">
        <f>IF($A26&gt;p_horizon,"",SUMIFS(TblCalculs[RAM provisionnée],TblCalculs[Mois],$B26,TblCalculs[Plateforme],"ROKS"))</f>
        <v>3120</v>
      </c>
      <c r="G26" s="47">
        <f>IF($A26&gt;p_horizon,"",SUMIFS(TblCalculs[Workers],TblCalculs[Mois],$B26,TblCalculs[Plateforme],"IKS"))</f>
        <v>69</v>
      </c>
      <c r="H26" s="47">
        <f>IF($A26&gt;p_horizon,"",SUMIFS(TblCalculs[Workers],TblCalculs[Mois],$B26,TblCalculs[Plateforme],"ROKS"))</f>
        <v>66</v>
      </c>
      <c r="I26" s="27">
        <f>IF($A26&gt;p_horizon,"",SUMIFS(TblCalculs[Coût mensuel],TblCalculs[Mois],$B26,TblCalculs[Plateforme],"IKS"))</f>
        <v>90471</v>
      </c>
      <c r="J26" s="27">
        <f>IF($A26&gt;p_horizon,"",SUMIFS(TblCalculs[Coût mensuel],TblCalculs[Mois],$B26,TblCalculs[Plateforme],"ROKS"))</f>
        <v>31584</v>
      </c>
      <c r="K26" s="27">
        <f t="shared" si="1"/>
        <v>122055</v>
      </c>
      <c r="L26" s="27">
        <f t="shared" si="2"/>
        <v>0</v>
      </c>
      <c r="M26" s="27">
        <f>IF($A26&gt;p_horizon,"",SUM($L$23:L26))</f>
        <v>0</v>
      </c>
      <c r="N26" s="47">
        <f>IF($A26&gt;p_horizon,"",SUMPRODUCT((TblApplications[Action]="À migrer")*(TblApplications[Mois prov (calc)]&lt;=$B26)*(TblApplications[Mois lib (calc)]&gt;$B26)))</f>
        <v>0</v>
      </c>
      <c r="O26" s="47">
        <f t="shared" si="3"/>
        <v>3024</v>
      </c>
      <c r="P26" s="47">
        <f>IF($A26&gt;p_horizon,"",SUMIFS(TblCalculs[Besoin CPU],TblCalculs[Mois],$B26,TblCalculs[Plateforme],"ROKS"))</f>
        <v>720</v>
      </c>
      <c r="Q26" s="47">
        <f>IF($A26&gt;p_horizon,"",SUMIFS(TblCalculs[Besoin RAM],TblCalculs[Mois],$B26,TblCalculs[Plateforme],"ROKS"))</f>
        <v>3120</v>
      </c>
      <c r="R26" s="27">
        <f>IF($A26&gt;p_horizon,"",SUMIFS(TblCalculs[Sans DR – coût],TblCalculs[Mois],$B26))</f>
        <v>122055</v>
      </c>
      <c r="S26" s="27">
        <f>IF($A26&gt;p_horizon,"",SUMIFS(TblCalculs[Sans migration – coût],TblCalculs[Mois],$B26))</f>
        <v>122055</v>
      </c>
      <c r="T26" s="27">
        <f t="shared" si="4"/>
        <v>0</v>
      </c>
      <c r="U26" s="27">
        <f>IF($A26&gt;p_horizon,"",SUMIFS(TblCalculs[Coût mensuel],TblCalculs[Mois],$B26,TblCalculs[Plateforme],"IKS",TblCalculs[Environnement],p_envcrit))</f>
        <v>90471</v>
      </c>
      <c r="V26" s="27">
        <f>IF($A26&gt;p_horizon,"",SUMIFS(TblCalculs[Coût mensuel],TblCalculs[Mois],$B26,TblCalculs[Plateforme],"ROKS",TblCalculs[Environnement],p_envcrit))</f>
        <v>31584</v>
      </c>
      <c r="W26" s="27">
        <f>IF($A26&gt;p_horizon,"",SUMIFS(TblCalculs[Coût mensuel],TblCalculs[Mois],$B26,TblCalculs[Environnement],p_envcrit)-SUMIFS(TblCalculs[Sans DR – coût],TblCalculs[Mois],$B26,TblCalculs[Environnement],p_envcrit))</f>
        <v>0</v>
      </c>
      <c r="X26" s="27">
        <f t="shared" si="5"/>
        <v>122055</v>
      </c>
    </row>
    <row r="27" spans="1:24" x14ac:dyDescent="0.2">
      <c r="A27" s="47">
        <v>5</v>
      </c>
      <c r="B27" s="33">
        <f t="shared" si="0"/>
        <v>46419</v>
      </c>
      <c r="C27" s="47">
        <f>IF($A27&gt;p_horizon,"",SUMIFS(TblCalculs[CPU provisionné],TblCalculs[Mois],$B27,TblCalculs[Plateforme],"IKS"))</f>
        <v>2304</v>
      </c>
      <c r="D27" s="47">
        <f>IF($A27&gt;p_horizon,"",SUMIFS(TblCalculs[CPU provisionné],TblCalculs[Mois],$B27,TblCalculs[Plateforme],"ROKS"))</f>
        <v>720</v>
      </c>
      <c r="E27" s="47">
        <f>IF($A27&gt;p_horizon,"",SUMIFS(TblCalculs[RAM provisionnée],TblCalculs[Mois],$B27,TblCalculs[Plateforme],"IKS"))</f>
        <v>14208</v>
      </c>
      <c r="F27" s="47">
        <f>IF($A27&gt;p_horizon,"",SUMIFS(TblCalculs[RAM provisionnée],TblCalculs[Mois],$B27,TblCalculs[Plateforme],"ROKS"))</f>
        <v>3120</v>
      </c>
      <c r="G27" s="47">
        <f>IF($A27&gt;p_horizon,"",SUMIFS(TblCalculs[Workers],TblCalculs[Mois],$B27,TblCalculs[Plateforme],"IKS"))</f>
        <v>69</v>
      </c>
      <c r="H27" s="47">
        <f>IF($A27&gt;p_horizon,"",SUMIFS(TblCalculs[Workers],TblCalculs[Mois],$B27,TblCalculs[Plateforme],"ROKS"))</f>
        <v>66</v>
      </c>
      <c r="I27" s="27">
        <f>IF($A27&gt;p_horizon,"",SUMIFS(TblCalculs[Coût mensuel],TblCalculs[Mois],$B27,TblCalculs[Plateforme],"IKS"))</f>
        <v>90471</v>
      </c>
      <c r="J27" s="27">
        <f>IF($A27&gt;p_horizon,"",SUMIFS(TblCalculs[Coût mensuel],TblCalculs[Mois],$B27,TblCalculs[Plateforme],"ROKS"))</f>
        <v>31584</v>
      </c>
      <c r="K27" s="27">
        <f t="shared" si="1"/>
        <v>122055</v>
      </c>
      <c r="L27" s="27">
        <f t="shared" si="2"/>
        <v>0</v>
      </c>
      <c r="M27" s="27">
        <f>IF($A27&gt;p_horizon,"",SUM($L$23:L27))</f>
        <v>0</v>
      </c>
      <c r="N27" s="47">
        <f>IF($A27&gt;p_horizon,"",SUMPRODUCT((TblApplications[Action]="À migrer")*(TblApplications[Mois prov (calc)]&lt;=$B27)*(TblApplications[Mois lib (calc)]&gt;$B27)))</f>
        <v>0</v>
      </c>
      <c r="O27" s="47">
        <f t="shared" si="3"/>
        <v>3024</v>
      </c>
      <c r="P27" s="47">
        <f>IF($A27&gt;p_horizon,"",SUMIFS(TblCalculs[Besoin CPU],TblCalculs[Mois],$B27,TblCalculs[Plateforme],"ROKS"))</f>
        <v>720</v>
      </c>
      <c r="Q27" s="47">
        <f>IF($A27&gt;p_horizon,"",SUMIFS(TblCalculs[Besoin RAM],TblCalculs[Mois],$B27,TblCalculs[Plateforme],"ROKS"))</f>
        <v>3120</v>
      </c>
      <c r="R27" s="27">
        <f>IF($A27&gt;p_horizon,"",SUMIFS(TblCalculs[Sans DR – coût],TblCalculs[Mois],$B27))</f>
        <v>122055</v>
      </c>
      <c r="S27" s="27">
        <f>IF($A27&gt;p_horizon,"",SUMIFS(TblCalculs[Sans migration – coût],TblCalculs[Mois],$B27))</f>
        <v>122055</v>
      </c>
      <c r="T27" s="27">
        <f t="shared" si="4"/>
        <v>0</v>
      </c>
      <c r="U27" s="27">
        <f>IF($A27&gt;p_horizon,"",SUMIFS(TblCalculs[Coût mensuel],TblCalculs[Mois],$B27,TblCalculs[Plateforme],"IKS",TblCalculs[Environnement],p_envcrit))</f>
        <v>90471</v>
      </c>
      <c r="V27" s="27">
        <f>IF($A27&gt;p_horizon,"",SUMIFS(TblCalculs[Coût mensuel],TblCalculs[Mois],$B27,TblCalculs[Plateforme],"ROKS",TblCalculs[Environnement],p_envcrit))</f>
        <v>31584</v>
      </c>
      <c r="W27" s="27">
        <f>IF($A27&gt;p_horizon,"",SUMIFS(TblCalculs[Coût mensuel],TblCalculs[Mois],$B27,TblCalculs[Environnement],p_envcrit)-SUMIFS(TblCalculs[Sans DR – coût],TblCalculs[Mois],$B27,TblCalculs[Environnement],p_envcrit))</f>
        <v>0</v>
      </c>
      <c r="X27" s="27">
        <f t="shared" si="5"/>
        <v>122055</v>
      </c>
    </row>
    <row r="28" spans="1:24" x14ac:dyDescent="0.2">
      <c r="A28" s="47">
        <v>6</v>
      </c>
      <c r="B28" s="33">
        <f t="shared" si="0"/>
        <v>46447</v>
      </c>
      <c r="C28" s="47">
        <f>IF($A28&gt;p_horizon,"",SUMIFS(TblCalculs[CPU provisionné],TblCalculs[Mois],$B28,TblCalculs[Plateforme],"IKS"))</f>
        <v>2304</v>
      </c>
      <c r="D28" s="47">
        <f>IF($A28&gt;p_horizon,"",SUMIFS(TblCalculs[CPU provisionné],TblCalculs[Mois],$B28,TblCalculs[Plateforme],"ROKS"))</f>
        <v>720</v>
      </c>
      <c r="E28" s="47">
        <f>IF($A28&gt;p_horizon,"",SUMIFS(TblCalculs[RAM provisionnée],TblCalculs[Mois],$B28,TblCalculs[Plateforme],"IKS"))</f>
        <v>14208</v>
      </c>
      <c r="F28" s="47">
        <f>IF($A28&gt;p_horizon,"",SUMIFS(TblCalculs[RAM provisionnée],TblCalculs[Mois],$B28,TblCalculs[Plateforme],"ROKS"))</f>
        <v>3120</v>
      </c>
      <c r="G28" s="47">
        <f>IF($A28&gt;p_horizon,"",SUMIFS(TblCalculs[Workers],TblCalculs[Mois],$B28,TblCalculs[Plateforme],"IKS"))</f>
        <v>69</v>
      </c>
      <c r="H28" s="47">
        <f>IF($A28&gt;p_horizon,"",SUMIFS(TblCalculs[Workers],TblCalculs[Mois],$B28,TblCalculs[Plateforme],"ROKS"))</f>
        <v>66</v>
      </c>
      <c r="I28" s="27">
        <f>IF($A28&gt;p_horizon,"",SUMIFS(TblCalculs[Coût mensuel],TblCalculs[Mois],$B28,TblCalculs[Plateforme],"IKS"))</f>
        <v>90471</v>
      </c>
      <c r="J28" s="27">
        <f>IF($A28&gt;p_horizon,"",SUMIFS(TblCalculs[Coût mensuel],TblCalculs[Mois],$B28,TblCalculs[Plateforme],"ROKS"))</f>
        <v>31584</v>
      </c>
      <c r="K28" s="27">
        <f t="shared" si="1"/>
        <v>122055</v>
      </c>
      <c r="L28" s="27">
        <f t="shared" si="2"/>
        <v>0</v>
      </c>
      <c r="M28" s="27">
        <f>IF($A28&gt;p_horizon,"",SUM($L$23:L28))</f>
        <v>0</v>
      </c>
      <c r="N28" s="47">
        <f>IF($A28&gt;p_horizon,"",SUMPRODUCT((TblApplications[Action]="À migrer")*(TblApplications[Mois prov (calc)]&lt;=$B28)*(TblApplications[Mois lib (calc)]&gt;$B28)))</f>
        <v>0</v>
      </c>
      <c r="O28" s="47">
        <f t="shared" si="3"/>
        <v>3024</v>
      </c>
      <c r="P28" s="47">
        <f>IF($A28&gt;p_horizon,"",SUMIFS(TblCalculs[Besoin CPU],TblCalculs[Mois],$B28,TblCalculs[Plateforme],"ROKS"))</f>
        <v>720</v>
      </c>
      <c r="Q28" s="47">
        <f>IF($A28&gt;p_horizon,"",SUMIFS(TblCalculs[Besoin RAM],TblCalculs[Mois],$B28,TblCalculs[Plateforme],"ROKS"))</f>
        <v>3120</v>
      </c>
      <c r="R28" s="27">
        <f>IF($A28&gt;p_horizon,"",SUMIFS(TblCalculs[Sans DR – coût],TblCalculs[Mois],$B28))</f>
        <v>122055</v>
      </c>
      <c r="S28" s="27">
        <f>IF($A28&gt;p_horizon,"",SUMIFS(TblCalculs[Sans migration – coût],TblCalculs[Mois],$B28))</f>
        <v>122055</v>
      </c>
      <c r="T28" s="27">
        <f t="shared" si="4"/>
        <v>0</v>
      </c>
      <c r="U28" s="27">
        <f>IF($A28&gt;p_horizon,"",SUMIFS(TblCalculs[Coût mensuel],TblCalculs[Mois],$B28,TblCalculs[Plateforme],"IKS",TblCalculs[Environnement],p_envcrit))</f>
        <v>90471</v>
      </c>
      <c r="V28" s="27">
        <f>IF($A28&gt;p_horizon,"",SUMIFS(TblCalculs[Coût mensuel],TblCalculs[Mois],$B28,TblCalculs[Plateforme],"ROKS",TblCalculs[Environnement],p_envcrit))</f>
        <v>31584</v>
      </c>
      <c r="W28" s="27">
        <f>IF($A28&gt;p_horizon,"",SUMIFS(TblCalculs[Coût mensuel],TblCalculs[Mois],$B28,TblCalculs[Environnement],p_envcrit)-SUMIFS(TblCalculs[Sans DR – coût],TblCalculs[Mois],$B28,TblCalculs[Environnement],p_envcrit))</f>
        <v>0</v>
      </c>
      <c r="X28" s="27">
        <f t="shared" si="5"/>
        <v>122055</v>
      </c>
    </row>
    <row r="29" spans="1:24" x14ac:dyDescent="0.2">
      <c r="A29" s="47">
        <v>7</v>
      </c>
      <c r="B29" s="33">
        <f t="shared" si="0"/>
        <v>46478</v>
      </c>
      <c r="C29" s="47">
        <f>IF($A29&gt;p_horizon,"",SUMIFS(TblCalculs[CPU provisionné],TblCalculs[Mois],$B29,TblCalculs[Plateforme],"IKS"))</f>
        <v>2304</v>
      </c>
      <c r="D29" s="47">
        <f>IF($A29&gt;p_horizon,"",SUMIFS(TblCalculs[CPU provisionné],TblCalculs[Mois],$B29,TblCalculs[Plateforme],"ROKS"))</f>
        <v>736</v>
      </c>
      <c r="E29" s="47">
        <f>IF($A29&gt;p_horizon,"",SUMIFS(TblCalculs[RAM provisionnée],TblCalculs[Mois],$B29,TblCalculs[Plateforme],"IKS"))</f>
        <v>14208</v>
      </c>
      <c r="F29" s="47">
        <f>IF($A29&gt;p_horizon,"",SUMIFS(TblCalculs[RAM provisionnée],TblCalculs[Mois],$B29,TblCalculs[Plateforme],"ROKS"))</f>
        <v>3200</v>
      </c>
      <c r="G29" s="47">
        <f>IF($A29&gt;p_horizon,"",SUMIFS(TblCalculs[Workers],TblCalculs[Mois],$B29,TblCalculs[Plateforme],"IKS"))</f>
        <v>69</v>
      </c>
      <c r="H29" s="47">
        <f>IF($A29&gt;p_horizon,"",SUMIFS(TblCalculs[Workers],TblCalculs[Mois],$B29,TblCalculs[Plateforme],"ROKS"))</f>
        <v>68</v>
      </c>
      <c r="I29" s="27">
        <f>IF($A29&gt;p_horizon,"",SUMIFS(TblCalculs[Coût mensuel],TblCalculs[Mois],$B29,TblCalculs[Plateforme],"IKS"))</f>
        <v>90471</v>
      </c>
      <c r="J29" s="27">
        <f>IF($A29&gt;p_horizon,"",SUMIFS(TblCalculs[Coût mensuel],TblCalculs[Mois],$B29,TblCalculs[Plateforme],"ROKS"))</f>
        <v>32320</v>
      </c>
      <c r="K29" s="27">
        <f t="shared" si="1"/>
        <v>122791</v>
      </c>
      <c r="L29" s="27">
        <f t="shared" si="2"/>
        <v>2124</v>
      </c>
      <c r="M29" s="27">
        <f>IF($A29&gt;p_horizon,"",SUM($L$23:L29))</f>
        <v>2124</v>
      </c>
      <c r="N29" s="47">
        <f>IF($A29&gt;p_horizon,"",SUMPRODUCT((TblApplications[Action]="À migrer")*(TblApplications[Mois prov (calc)]&lt;=$B29)*(TblApplications[Mois lib (calc)]&gt;$B29)))</f>
        <v>1</v>
      </c>
      <c r="O29" s="47">
        <f t="shared" si="3"/>
        <v>3040</v>
      </c>
      <c r="P29" s="47">
        <f>IF($A29&gt;p_horizon,"",SUMIFS(TblCalculs[Besoin CPU],TblCalculs[Mois],$B29,TblCalculs[Plateforme],"ROKS"))</f>
        <v>735</v>
      </c>
      <c r="Q29" s="47">
        <f>IF($A29&gt;p_horizon,"",SUMIFS(TblCalculs[Besoin RAM],TblCalculs[Mois],$B29,TblCalculs[Plateforme],"ROKS"))</f>
        <v>3192</v>
      </c>
      <c r="R29" s="27">
        <f>IF($A29&gt;p_horizon,"",SUMIFS(TblCalculs[Sans DR – coût],TblCalculs[Mois],$B29))</f>
        <v>120667</v>
      </c>
      <c r="S29" s="27">
        <f>IF($A29&gt;p_horizon,"",SUMIFS(TblCalculs[Sans migration – coût],TblCalculs[Mois],$B29))</f>
        <v>122055</v>
      </c>
      <c r="T29" s="27">
        <f t="shared" si="4"/>
        <v>736</v>
      </c>
      <c r="U29" s="27">
        <f>IF($A29&gt;p_horizon,"",SUMIFS(TblCalculs[Coût mensuel],TblCalculs[Mois],$B29,TblCalculs[Plateforme],"IKS",TblCalculs[Environnement],p_envcrit))</f>
        <v>90471</v>
      </c>
      <c r="V29" s="27">
        <f>IF($A29&gt;p_horizon,"",SUMIFS(TblCalculs[Coût mensuel],TblCalculs[Mois],$B29,TblCalculs[Plateforme],"ROKS",TblCalculs[Environnement],p_envcrit))</f>
        <v>32320</v>
      </c>
      <c r="W29" s="27">
        <f>IF($A29&gt;p_horizon,"",SUMIFS(TblCalculs[Coût mensuel],TblCalculs[Mois],$B29,TblCalculs[Environnement],p_envcrit)-SUMIFS(TblCalculs[Sans DR – coût],TblCalculs[Mois],$B29,TblCalculs[Environnement],p_envcrit))</f>
        <v>2124</v>
      </c>
      <c r="X29" s="27">
        <f t="shared" si="5"/>
        <v>122791</v>
      </c>
    </row>
    <row r="30" spans="1:24" x14ac:dyDescent="0.2">
      <c r="A30" s="47">
        <v>8</v>
      </c>
      <c r="B30" s="33">
        <f t="shared" si="0"/>
        <v>46508</v>
      </c>
      <c r="C30" s="47">
        <f>IF($A30&gt;p_horizon,"",SUMIFS(TblCalculs[CPU provisionné],TblCalculs[Mois],$B30,TblCalculs[Plateforme],"IKS"))</f>
        <v>2304</v>
      </c>
      <c r="D30" s="47">
        <f>IF($A30&gt;p_horizon,"",SUMIFS(TblCalculs[CPU provisionné],TblCalculs[Mois],$B30,TblCalculs[Plateforme],"ROKS"))</f>
        <v>736</v>
      </c>
      <c r="E30" s="47">
        <f>IF($A30&gt;p_horizon,"",SUMIFS(TblCalculs[RAM provisionnée],TblCalculs[Mois],$B30,TblCalculs[Plateforme],"IKS"))</f>
        <v>14208</v>
      </c>
      <c r="F30" s="47">
        <f>IF($A30&gt;p_horizon,"",SUMIFS(TblCalculs[RAM provisionnée],TblCalculs[Mois],$B30,TblCalculs[Plateforme],"ROKS"))</f>
        <v>3200</v>
      </c>
      <c r="G30" s="47">
        <f>IF($A30&gt;p_horizon,"",SUMIFS(TblCalculs[Workers],TblCalculs[Mois],$B30,TblCalculs[Plateforme],"IKS"))</f>
        <v>69</v>
      </c>
      <c r="H30" s="47">
        <f>IF($A30&gt;p_horizon,"",SUMIFS(TblCalculs[Workers],TblCalculs[Mois],$B30,TblCalculs[Plateforme],"ROKS"))</f>
        <v>68</v>
      </c>
      <c r="I30" s="27">
        <f>IF($A30&gt;p_horizon,"",SUMIFS(TblCalculs[Coût mensuel],TblCalculs[Mois],$B30,TblCalculs[Plateforme],"IKS"))</f>
        <v>90471</v>
      </c>
      <c r="J30" s="27">
        <f>IF($A30&gt;p_horizon,"",SUMIFS(TblCalculs[Coût mensuel],TblCalculs[Mois],$B30,TblCalculs[Plateforme],"ROKS"))</f>
        <v>32320</v>
      </c>
      <c r="K30" s="27">
        <f t="shared" si="1"/>
        <v>122791</v>
      </c>
      <c r="L30" s="27">
        <f t="shared" si="2"/>
        <v>2124</v>
      </c>
      <c r="M30" s="27">
        <f>IF($A30&gt;p_horizon,"",SUM($L$23:L30))</f>
        <v>4248</v>
      </c>
      <c r="N30" s="47">
        <f>IF($A30&gt;p_horizon,"",SUMPRODUCT((TblApplications[Action]="À migrer")*(TblApplications[Mois prov (calc)]&lt;=$B30)*(TblApplications[Mois lib (calc)]&gt;$B30)))</f>
        <v>1</v>
      </c>
      <c r="O30" s="47">
        <f t="shared" si="3"/>
        <v>3040</v>
      </c>
      <c r="P30" s="47">
        <f>IF($A30&gt;p_horizon,"",SUMIFS(TblCalculs[Besoin CPU],TblCalculs[Mois],$B30,TblCalculs[Plateforme],"ROKS"))</f>
        <v>735</v>
      </c>
      <c r="Q30" s="47">
        <f>IF($A30&gt;p_horizon,"",SUMIFS(TblCalculs[Besoin RAM],TblCalculs[Mois],$B30,TblCalculs[Plateforme],"ROKS"))</f>
        <v>3192</v>
      </c>
      <c r="R30" s="27">
        <f>IF($A30&gt;p_horizon,"",SUMIFS(TblCalculs[Sans DR – coût],TblCalculs[Mois],$B30))</f>
        <v>120667</v>
      </c>
      <c r="S30" s="27">
        <f>IF($A30&gt;p_horizon,"",SUMIFS(TblCalculs[Sans migration – coût],TblCalculs[Mois],$B30))</f>
        <v>122055</v>
      </c>
      <c r="T30" s="27">
        <f t="shared" si="4"/>
        <v>736</v>
      </c>
      <c r="U30" s="27">
        <f>IF($A30&gt;p_horizon,"",SUMIFS(TblCalculs[Coût mensuel],TblCalculs[Mois],$B30,TblCalculs[Plateforme],"IKS",TblCalculs[Environnement],p_envcrit))</f>
        <v>90471</v>
      </c>
      <c r="V30" s="27">
        <f>IF($A30&gt;p_horizon,"",SUMIFS(TblCalculs[Coût mensuel],TblCalculs[Mois],$B30,TblCalculs[Plateforme],"ROKS",TblCalculs[Environnement],p_envcrit))</f>
        <v>32320</v>
      </c>
      <c r="W30" s="27">
        <f>IF($A30&gt;p_horizon,"",SUMIFS(TblCalculs[Coût mensuel],TblCalculs[Mois],$B30,TblCalculs[Environnement],p_envcrit)-SUMIFS(TblCalculs[Sans DR – coût],TblCalculs[Mois],$B30,TblCalculs[Environnement],p_envcrit))</f>
        <v>2124</v>
      </c>
      <c r="X30" s="27">
        <f t="shared" si="5"/>
        <v>122791</v>
      </c>
    </row>
    <row r="31" spans="1:24" x14ac:dyDescent="0.2">
      <c r="A31" s="47">
        <v>9</v>
      </c>
      <c r="B31" s="33">
        <f t="shared" si="0"/>
        <v>46539</v>
      </c>
      <c r="C31" s="47">
        <f>IF($A31&gt;p_horizon,"",SUMIFS(TblCalculs[CPU provisionné],TblCalculs[Mois],$B31,TblCalculs[Plateforme],"IKS"))</f>
        <v>2144</v>
      </c>
      <c r="D31" s="47">
        <f>IF($A31&gt;p_horizon,"",SUMIFS(TblCalculs[CPU provisionné],TblCalculs[Mois],$B31,TblCalculs[Plateforme],"ROKS"))</f>
        <v>736</v>
      </c>
      <c r="E31" s="47">
        <f>IF($A31&gt;p_horizon,"",SUMIFS(TblCalculs[RAM provisionnée],TblCalculs[Mois],$B31,TblCalculs[Plateforme],"IKS"))</f>
        <v>13568</v>
      </c>
      <c r="F31" s="47">
        <f>IF($A31&gt;p_horizon,"",SUMIFS(TblCalculs[RAM provisionnée],TblCalculs[Mois],$B31,TblCalculs[Plateforme],"ROKS"))</f>
        <v>3200</v>
      </c>
      <c r="G31" s="47">
        <f>IF($A31&gt;p_horizon,"",SUMIFS(TblCalculs[Workers],TblCalculs[Mois],$B31,TblCalculs[Plateforme],"IKS"))</f>
        <v>64</v>
      </c>
      <c r="H31" s="47">
        <f>IF($A31&gt;p_horizon,"",SUMIFS(TblCalculs[Workers],TblCalculs[Mois],$B31,TblCalculs[Plateforme],"ROKS"))</f>
        <v>68</v>
      </c>
      <c r="I31" s="27">
        <f>IF($A31&gt;p_horizon,"",SUMIFS(TblCalculs[Coût mensuel],TblCalculs[Mois],$B31,TblCalculs[Plateforme],"IKS"))</f>
        <v>85161</v>
      </c>
      <c r="J31" s="27">
        <f>IF($A31&gt;p_horizon,"",SUMIFS(TblCalculs[Coût mensuel],TblCalculs[Mois],$B31,TblCalculs[Plateforme],"ROKS"))</f>
        <v>32320</v>
      </c>
      <c r="K31" s="27">
        <f t="shared" si="1"/>
        <v>117481</v>
      </c>
      <c r="L31" s="27">
        <f t="shared" si="2"/>
        <v>3186</v>
      </c>
      <c r="M31" s="27">
        <f>IF($A31&gt;p_horizon,"",SUM($L$23:L31))</f>
        <v>7434</v>
      </c>
      <c r="N31" s="47">
        <f>IF($A31&gt;p_horizon,"",SUMPRODUCT((TblApplications[Action]="À migrer")*(TblApplications[Mois prov (calc)]&lt;=$B31)*(TblApplications[Mois lib (calc)]&gt;$B31)))</f>
        <v>1</v>
      </c>
      <c r="O31" s="47">
        <f t="shared" si="3"/>
        <v>2880</v>
      </c>
      <c r="P31" s="47">
        <f>IF($A31&gt;p_horizon,"",SUMIFS(TblCalculs[Besoin CPU],TblCalculs[Mois],$B31,TblCalculs[Plateforme],"ROKS"))</f>
        <v>735</v>
      </c>
      <c r="Q31" s="47">
        <f>IF($A31&gt;p_horizon,"",SUMIFS(TblCalculs[Besoin RAM],TblCalculs[Mois],$B31,TblCalculs[Plateforme],"ROKS"))</f>
        <v>3192</v>
      </c>
      <c r="R31" s="27">
        <f>IF($A31&gt;p_horizon,"",SUMIFS(TblCalculs[Sans DR – coût],TblCalculs[Mois],$B31))</f>
        <v>114295</v>
      </c>
      <c r="S31" s="27">
        <f>IF($A31&gt;p_horizon,"",SUMIFS(TblCalculs[Sans migration – coût],TblCalculs[Mois],$B31))</f>
        <v>122055</v>
      </c>
      <c r="T31" s="27">
        <f t="shared" si="4"/>
        <v>-4574</v>
      </c>
      <c r="U31" s="27">
        <f>IF($A31&gt;p_horizon,"",SUMIFS(TblCalculs[Coût mensuel],TblCalculs[Mois],$B31,TblCalculs[Plateforme],"IKS",TblCalculs[Environnement],p_envcrit))</f>
        <v>85161</v>
      </c>
      <c r="V31" s="27">
        <f>IF($A31&gt;p_horizon,"",SUMIFS(TblCalculs[Coût mensuel],TblCalculs[Mois],$B31,TblCalculs[Plateforme],"ROKS",TblCalculs[Environnement],p_envcrit))</f>
        <v>32320</v>
      </c>
      <c r="W31" s="27">
        <f>IF($A31&gt;p_horizon,"",SUMIFS(TblCalculs[Coût mensuel],TblCalculs[Mois],$B31,TblCalculs[Environnement],p_envcrit)-SUMIFS(TblCalculs[Sans DR – coût],TblCalculs[Mois],$B31,TblCalculs[Environnement],p_envcrit))</f>
        <v>3186</v>
      </c>
      <c r="X31" s="27">
        <f t="shared" si="5"/>
        <v>117481</v>
      </c>
    </row>
    <row r="32" spans="1:24" x14ac:dyDescent="0.2">
      <c r="A32" s="47">
        <v>10</v>
      </c>
      <c r="B32" s="33">
        <f t="shared" si="0"/>
        <v>46569</v>
      </c>
      <c r="C32" s="47">
        <f>IF($A32&gt;p_horizon,"",SUMIFS(TblCalculs[CPU provisionné],TblCalculs[Mois],$B32,TblCalculs[Plateforme],"IKS"))</f>
        <v>2048</v>
      </c>
      <c r="D32" s="47">
        <f>IF($A32&gt;p_horizon,"",SUMIFS(TblCalculs[CPU provisionné],TblCalculs[Mois],$B32,TblCalculs[Plateforme],"ROKS"))</f>
        <v>736</v>
      </c>
      <c r="E32" s="47">
        <f>IF($A32&gt;p_horizon,"",SUMIFS(TblCalculs[RAM provisionnée],TblCalculs[Mois],$B32,TblCalculs[Plateforme],"IKS"))</f>
        <v>13184</v>
      </c>
      <c r="F32" s="47">
        <f>IF($A32&gt;p_horizon,"",SUMIFS(TblCalculs[RAM provisionnée],TblCalculs[Mois],$B32,TblCalculs[Plateforme],"ROKS"))</f>
        <v>3200</v>
      </c>
      <c r="G32" s="47">
        <f>IF($A32&gt;p_horizon,"",SUMIFS(TblCalculs[Workers],TblCalculs[Mois],$B32,TblCalculs[Plateforme],"IKS"))</f>
        <v>61</v>
      </c>
      <c r="H32" s="47">
        <f>IF($A32&gt;p_horizon,"",SUMIFS(TblCalculs[Workers],TblCalculs[Mois],$B32,TblCalculs[Plateforme],"ROKS"))</f>
        <v>68</v>
      </c>
      <c r="I32" s="27">
        <f>IF($A32&gt;p_horizon,"",SUMIFS(TblCalculs[Coût mensuel],TblCalculs[Mois],$B32,TblCalculs[Plateforme],"IKS"))</f>
        <v>81975</v>
      </c>
      <c r="J32" s="27">
        <f>IF($A32&gt;p_horizon,"",SUMIFS(TblCalculs[Coût mensuel],TblCalculs[Mois],$B32,TblCalculs[Plateforme],"ROKS"))</f>
        <v>32320</v>
      </c>
      <c r="K32" s="27">
        <f t="shared" si="1"/>
        <v>114295</v>
      </c>
      <c r="L32" s="27">
        <f t="shared" si="2"/>
        <v>0</v>
      </c>
      <c r="M32" s="27">
        <f>IF($A32&gt;p_horizon,"",SUM($L$23:L32))</f>
        <v>7434</v>
      </c>
      <c r="N32" s="47">
        <f>IF($A32&gt;p_horizon,"",SUMPRODUCT((TblApplications[Action]="À migrer")*(TblApplications[Mois prov (calc)]&lt;=$B32)*(TblApplications[Mois lib (calc)]&gt;$B32)))</f>
        <v>0</v>
      </c>
      <c r="O32" s="47">
        <f t="shared" si="3"/>
        <v>2784</v>
      </c>
      <c r="P32" s="47">
        <f>IF($A32&gt;p_horizon,"",SUMIFS(TblCalculs[Besoin CPU],TblCalculs[Mois],$B32,TblCalculs[Plateforme],"ROKS"))</f>
        <v>735</v>
      </c>
      <c r="Q32" s="47">
        <f>IF($A32&gt;p_horizon,"",SUMIFS(TblCalculs[Besoin RAM],TblCalculs[Mois],$B32,TblCalculs[Plateforme],"ROKS"))</f>
        <v>3192</v>
      </c>
      <c r="R32" s="27">
        <f>IF($A32&gt;p_horizon,"",SUMIFS(TblCalculs[Sans DR – coût],TblCalculs[Mois],$B32))</f>
        <v>114295</v>
      </c>
      <c r="S32" s="27">
        <f>IF($A32&gt;p_horizon,"",SUMIFS(TblCalculs[Sans migration – coût],TblCalculs[Mois],$B32))</f>
        <v>122055</v>
      </c>
      <c r="T32" s="27">
        <f t="shared" si="4"/>
        <v>-7760</v>
      </c>
      <c r="U32" s="27">
        <f>IF($A32&gt;p_horizon,"",SUMIFS(TblCalculs[Coût mensuel],TblCalculs[Mois],$B32,TblCalculs[Plateforme],"IKS",TblCalculs[Environnement],p_envcrit))</f>
        <v>81975</v>
      </c>
      <c r="V32" s="27">
        <f>IF($A32&gt;p_horizon,"",SUMIFS(TblCalculs[Coût mensuel],TblCalculs[Mois],$B32,TblCalculs[Plateforme],"ROKS",TblCalculs[Environnement],p_envcrit))</f>
        <v>32320</v>
      </c>
      <c r="W32" s="27">
        <f>IF($A32&gt;p_horizon,"",SUMIFS(TblCalculs[Coût mensuel],TblCalculs[Mois],$B32,TblCalculs[Environnement],p_envcrit)-SUMIFS(TblCalculs[Sans DR – coût],TblCalculs[Mois],$B32,TblCalculs[Environnement],p_envcrit))</f>
        <v>0</v>
      </c>
      <c r="X32" s="27">
        <f t="shared" si="5"/>
        <v>114295</v>
      </c>
    </row>
    <row r="33" spans="1:24" x14ac:dyDescent="0.2">
      <c r="A33" s="47">
        <v>11</v>
      </c>
      <c r="B33" s="33">
        <f t="shared" si="0"/>
        <v>46600</v>
      </c>
      <c r="C33" s="47">
        <f>IF($A33&gt;p_horizon,"",SUMIFS(TblCalculs[CPU provisionné],TblCalculs[Mois],$B33,TblCalculs[Plateforme],"IKS"))</f>
        <v>2048</v>
      </c>
      <c r="D33" s="47">
        <f>IF($A33&gt;p_horizon,"",SUMIFS(TblCalculs[CPU provisionné],TblCalculs[Mois],$B33,TblCalculs[Plateforme],"ROKS"))</f>
        <v>736</v>
      </c>
      <c r="E33" s="47">
        <f>IF($A33&gt;p_horizon,"",SUMIFS(TblCalculs[RAM provisionnée],TblCalculs[Mois],$B33,TblCalculs[Plateforme],"IKS"))</f>
        <v>13184</v>
      </c>
      <c r="F33" s="47">
        <f>IF($A33&gt;p_horizon,"",SUMIFS(TblCalculs[RAM provisionnée],TblCalculs[Mois],$B33,TblCalculs[Plateforme],"ROKS"))</f>
        <v>3200</v>
      </c>
      <c r="G33" s="47">
        <f>IF($A33&gt;p_horizon,"",SUMIFS(TblCalculs[Workers],TblCalculs[Mois],$B33,TblCalculs[Plateforme],"IKS"))</f>
        <v>61</v>
      </c>
      <c r="H33" s="47">
        <f>IF($A33&gt;p_horizon,"",SUMIFS(TblCalculs[Workers],TblCalculs[Mois],$B33,TblCalculs[Plateforme],"ROKS"))</f>
        <v>68</v>
      </c>
      <c r="I33" s="27">
        <f>IF($A33&gt;p_horizon,"",SUMIFS(TblCalculs[Coût mensuel],TblCalculs[Mois],$B33,TblCalculs[Plateforme],"IKS"))</f>
        <v>81975</v>
      </c>
      <c r="J33" s="27">
        <f>IF($A33&gt;p_horizon,"",SUMIFS(TblCalculs[Coût mensuel],TblCalculs[Mois],$B33,TblCalculs[Plateforme],"ROKS"))</f>
        <v>32320</v>
      </c>
      <c r="K33" s="27">
        <f t="shared" si="1"/>
        <v>114295</v>
      </c>
      <c r="L33" s="27">
        <f t="shared" si="2"/>
        <v>0</v>
      </c>
      <c r="M33" s="27">
        <f>IF($A33&gt;p_horizon,"",SUM($L$23:L33))</f>
        <v>7434</v>
      </c>
      <c r="N33" s="47">
        <f>IF($A33&gt;p_horizon,"",SUMPRODUCT((TblApplications[Action]="À migrer")*(TblApplications[Mois prov (calc)]&lt;=$B33)*(TblApplications[Mois lib (calc)]&gt;$B33)))</f>
        <v>0</v>
      </c>
      <c r="O33" s="47">
        <f t="shared" si="3"/>
        <v>2784</v>
      </c>
      <c r="P33" s="47">
        <f>IF($A33&gt;p_horizon,"",SUMIFS(TblCalculs[Besoin CPU],TblCalculs[Mois],$B33,TblCalculs[Plateforme],"ROKS"))</f>
        <v>735</v>
      </c>
      <c r="Q33" s="47">
        <f>IF($A33&gt;p_horizon,"",SUMIFS(TblCalculs[Besoin RAM],TblCalculs[Mois],$B33,TblCalculs[Plateforme],"ROKS"))</f>
        <v>3192</v>
      </c>
      <c r="R33" s="27">
        <f>IF($A33&gt;p_horizon,"",SUMIFS(TblCalculs[Sans DR – coût],TblCalculs[Mois],$B33))</f>
        <v>114295</v>
      </c>
      <c r="S33" s="27">
        <f>IF($A33&gt;p_horizon,"",SUMIFS(TblCalculs[Sans migration – coût],TblCalculs[Mois],$B33))</f>
        <v>122055</v>
      </c>
      <c r="T33" s="27">
        <f t="shared" si="4"/>
        <v>-7760</v>
      </c>
      <c r="U33" s="27">
        <f>IF($A33&gt;p_horizon,"",SUMIFS(TblCalculs[Coût mensuel],TblCalculs[Mois],$B33,TblCalculs[Plateforme],"IKS",TblCalculs[Environnement],p_envcrit))</f>
        <v>81975</v>
      </c>
      <c r="V33" s="27">
        <f>IF($A33&gt;p_horizon,"",SUMIFS(TblCalculs[Coût mensuel],TblCalculs[Mois],$B33,TblCalculs[Plateforme],"ROKS",TblCalculs[Environnement],p_envcrit))</f>
        <v>32320</v>
      </c>
      <c r="W33" s="27">
        <f>IF($A33&gt;p_horizon,"",SUMIFS(TblCalculs[Coût mensuel],TblCalculs[Mois],$B33,TblCalculs[Environnement],p_envcrit)-SUMIFS(TblCalculs[Sans DR – coût],TblCalculs[Mois],$B33,TblCalculs[Environnement],p_envcrit))</f>
        <v>0</v>
      </c>
      <c r="X33" s="27">
        <f t="shared" si="5"/>
        <v>114295</v>
      </c>
    </row>
    <row r="34" spans="1:24" x14ac:dyDescent="0.2">
      <c r="A34" s="47">
        <v>12</v>
      </c>
      <c r="B34" s="33">
        <f t="shared" si="0"/>
        <v>46631</v>
      </c>
      <c r="C34" s="47">
        <f>IF($A34&gt;p_horizon,"",SUMIFS(TblCalculs[CPU provisionné],TblCalculs[Mois],$B34,TblCalculs[Plateforme],"IKS"))</f>
        <v>2048</v>
      </c>
      <c r="D34" s="47">
        <f>IF($A34&gt;p_horizon,"",SUMIFS(TblCalculs[CPU provisionné],TblCalculs[Mois],$B34,TblCalculs[Plateforme],"ROKS"))</f>
        <v>736</v>
      </c>
      <c r="E34" s="47">
        <f>IF($A34&gt;p_horizon,"",SUMIFS(TblCalculs[RAM provisionnée],TblCalculs[Mois],$B34,TblCalculs[Plateforme],"IKS"))</f>
        <v>13184</v>
      </c>
      <c r="F34" s="47">
        <f>IF($A34&gt;p_horizon,"",SUMIFS(TblCalculs[RAM provisionnée],TblCalculs[Mois],$B34,TblCalculs[Plateforme],"ROKS"))</f>
        <v>3200</v>
      </c>
      <c r="G34" s="47">
        <f>IF($A34&gt;p_horizon,"",SUMIFS(TblCalculs[Workers],TblCalculs[Mois],$B34,TblCalculs[Plateforme],"IKS"))</f>
        <v>61</v>
      </c>
      <c r="H34" s="47">
        <f>IF($A34&gt;p_horizon,"",SUMIFS(TblCalculs[Workers],TblCalculs[Mois],$B34,TblCalculs[Plateforme],"ROKS"))</f>
        <v>68</v>
      </c>
      <c r="I34" s="27">
        <f>IF($A34&gt;p_horizon,"",SUMIFS(TblCalculs[Coût mensuel],TblCalculs[Mois],$B34,TblCalculs[Plateforme],"IKS"))</f>
        <v>81975</v>
      </c>
      <c r="J34" s="27">
        <f>IF($A34&gt;p_horizon,"",SUMIFS(TblCalculs[Coût mensuel],TblCalculs[Mois],$B34,TblCalculs[Plateforme],"ROKS"))</f>
        <v>32320</v>
      </c>
      <c r="K34" s="27">
        <f t="shared" si="1"/>
        <v>114295</v>
      </c>
      <c r="L34" s="27">
        <f t="shared" si="2"/>
        <v>0</v>
      </c>
      <c r="M34" s="27">
        <f>IF($A34&gt;p_horizon,"",SUM($L$23:L34))</f>
        <v>7434</v>
      </c>
      <c r="N34" s="47">
        <f>IF($A34&gt;p_horizon,"",SUMPRODUCT((TblApplications[Action]="À migrer")*(TblApplications[Mois prov (calc)]&lt;=$B34)*(TblApplications[Mois lib (calc)]&gt;$B34)))</f>
        <v>0</v>
      </c>
      <c r="O34" s="47">
        <f t="shared" si="3"/>
        <v>2784</v>
      </c>
      <c r="P34" s="47">
        <f>IF($A34&gt;p_horizon,"",SUMIFS(TblCalculs[Besoin CPU],TblCalculs[Mois],$B34,TblCalculs[Plateforme],"ROKS"))</f>
        <v>735</v>
      </c>
      <c r="Q34" s="47">
        <f>IF($A34&gt;p_horizon,"",SUMIFS(TblCalculs[Besoin RAM],TblCalculs[Mois],$B34,TblCalculs[Plateforme],"ROKS"))</f>
        <v>3192</v>
      </c>
      <c r="R34" s="27">
        <f>IF($A34&gt;p_horizon,"",SUMIFS(TblCalculs[Sans DR – coût],TblCalculs[Mois],$B34))</f>
        <v>114295</v>
      </c>
      <c r="S34" s="27">
        <f>IF($A34&gt;p_horizon,"",SUMIFS(TblCalculs[Sans migration – coût],TblCalculs[Mois],$B34))</f>
        <v>122055</v>
      </c>
      <c r="T34" s="27">
        <f t="shared" si="4"/>
        <v>-7760</v>
      </c>
      <c r="U34" s="27">
        <f>IF($A34&gt;p_horizon,"",SUMIFS(TblCalculs[Coût mensuel],TblCalculs[Mois],$B34,TblCalculs[Plateforme],"IKS",TblCalculs[Environnement],p_envcrit))</f>
        <v>81975</v>
      </c>
      <c r="V34" s="27">
        <f>IF($A34&gt;p_horizon,"",SUMIFS(TblCalculs[Coût mensuel],TblCalculs[Mois],$B34,TblCalculs[Plateforme],"ROKS",TblCalculs[Environnement],p_envcrit))</f>
        <v>32320</v>
      </c>
      <c r="W34" s="27">
        <f>IF($A34&gt;p_horizon,"",SUMIFS(TblCalculs[Coût mensuel],TblCalculs[Mois],$B34,TblCalculs[Environnement],p_envcrit)-SUMIFS(TblCalculs[Sans DR – coût],TblCalculs[Mois],$B34,TblCalculs[Environnement],p_envcrit))</f>
        <v>0</v>
      </c>
      <c r="X34" s="27">
        <f t="shared" si="5"/>
        <v>114295</v>
      </c>
    </row>
    <row r="35" spans="1:24" x14ac:dyDescent="0.2">
      <c r="A35" s="47">
        <v>13</v>
      </c>
      <c r="B35" s="33">
        <f t="shared" si="0"/>
        <v>46661</v>
      </c>
      <c r="C35" s="47">
        <f>IF($A35&gt;p_horizon,"",SUMIFS(TblCalculs[CPU provisionné],TblCalculs[Mois],$B35,TblCalculs[Plateforme],"IKS"))</f>
        <v>2048</v>
      </c>
      <c r="D35" s="47">
        <f>IF($A35&gt;p_horizon,"",SUMIFS(TblCalculs[CPU provisionné],TblCalculs[Mois],$B35,TblCalculs[Plateforme],"ROKS"))</f>
        <v>736</v>
      </c>
      <c r="E35" s="47">
        <f>IF($A35&gt;p_horizon,"",SUMIFS(TblCalculs[RAM provisionnée],TblCalculs[Mois],$B35,TblCalculs[Plateforme],"IKS"))</f>
        <v>13184</v>
      </c>
      <c r="F35" s="47">
        <f>IF($A35&gt;p_horizon,"",SUMIFS(TblCalculs[RAM provisionnée],TblCalculs[Mois],$B35,TblCalculs[Plateforme],"ROKS"))</f>
        <v>3200</v>
      </c>
      <c r="G35" s="47">
        <f>IF($A35&gt;p_horizon,"",SUMIFS(TblCalculs[Workers],TblCalculs[Mois],$B35,TblCalculs[Plateforme],"IKS"))</f>
        <v>61</v>
      </c>
      <c r="H35" s="47">
        <f>IF($A35&gt;p_horizon,"",SUMIFS(TblCalculs[Workers],TblCalculs[Mois],$B35,TblCalculs[Plateforme],"ROKS"))</f>
        <v>68</v>
      </c>
      <c r="I35" s="27">
        <f>IF($A35&gt;p_horizon,"",SUMIFS(TblCalculs[Coût mensuel],TblCalculs[Mois],$B35,TblCalculs[Plateforme],"IKS"))</f>
        <v>81975</v>
      </c>
      <c r="J35" s="27">
        <f>IF($A35&gt;p_horizon,"",SUMIFS(TblCalculs[Coût mensuel],TblCalculs[Mois],$B35,TblCalculs[Plateforme],"ROKS"))</f>
        <v>32320</v>
      </c>
      <c r="K35" s="27">
        <f t="shared" si="1"/>
        <v>114295</v>
      </c>
      <c r="L35" s="27">
        <f t="shared" si="2"/>
        <v>0</v>
      </c>
      <c r="M35" s="27">
        <f>IF($A35&gt;p_horizon,"",SUM($L$23:L35))</f>
        <v>7434</v>
      </c>
      <c r="N35" s="47">
        <f>IF($A35&gt;p_horizon,"",SUMPRODUCT((TblApplications[Action]="À migrer")*(TblApplications[Mois prov (calc)]&lt;=$B35)*(TblApplications[Mois lib (calc)]&gt;$B35)))</f>
        <v>0</v>
      </c>
      <c r="O35" s="47">
        <f t="shared" si="3"/>
        <v>2784</v>
      </c>
      <c r="P35" s="47">
        <f>IF($A35&gt;p_horizon,"",SUMIFS(TblCalculs[Besoin CPU],TblCalculs[Mois],$B35,TblCalculs[Plateforme],"ROKS"))</f>
        <v>735</v>
      </c>
      <c r="Q35" s="47">
        <f>IF($A35&gt;p_horizon,"",SUMIFS(TblCalculs[Besoin RAM],TblCalculs[Mois],$B35,TblCalculs[Plateforme],"ROKS"))</f>
        <v>3192</v>
      </c>
      <c r="R35" s="27">
        <f>IF($A35&gt;p_horizon,"",SUMIFS(TblCalculs[Sans DR – coût],TblCalculs[Mois],$B35))</f>
        <v>114295</v>
      </c>
      <c r="S35" s="27">
        <f>IF($A35&gt;p_horizon,"",SUMIFS(TblCalculs[Sans migration – coût],TblCalculs[Mois],$B35))</f>
        <v>122055</v>
      </c>
      <c r="T35" s="27">
        <f t="shared" si="4"/>
        <v>-7760</v>
      </c>
      <c r="U35" s="27">
        <f>IF($A35&gt;p_horizon,"",SUMIFS(TblCalculs[Coût mensuel],TblCalculs[Mois],$B35,TblCalculs[Plateforme],"IKS",TblCalculs[Environnement],p_envcrit))</f>
        <v>81975</v>
      </c>
      <c r="V35" s="27">
        <f>IF($A35&gt;p_horizon,"",SUMIFS(TblCalculs[Coût mensuel],TblCalculs[Mois],$B35,TblCalculs[Plateforme],"ROKS",TblCalculs[Environnement],p_envcrit))</f>
        <v>32320</v>
      </c>
      <c r="W35" s="27">
        <f>IF($A35&gt;p_horizon,"",SUMIFS(TblCalculs[Coût mensuel],TblCalculs[Mois],$B35,TblCalculs[Environnement],p_envcrit)-SUMIFS(TblCalculs[Sans DR – coût],TblCalculs[Mois],$B35,TblCalculs[Environnement],p_envcrit))</f>
        <v>0</v>
      </c>
      <c r="X35" s="27">
        <f t="shared" si="5"/>
        <v>114295</v>
      </c>
    </row>
    <row r="36" spans="1:24" x14ac:dyDescent="0.2">
      <c r="A36" s="47">
        <v>14</v>
      </c>
      <c r="B36" s="33">
        <f t="shared" si="0"/>
        <v>46692</v>
      </c>
      <c r="C36" s="47">
        <f>IF($A36&gt;p_horizon,"",SUMIFS(TblCalculs[CPU provisionné],TblCalculs[Mois],$B36,TblCalculs[Plateforme],"IKS"))</f>
        <v>2048</v>
      </c>
      <c r="D36" s="47">
        <f>IF($A36&gt;p_horizon,"",SUMIFS(TblCalculs[CPU provisionné],TblCalculs[Mois],$B36,TblCalculs[Plateforme],"ROKS"))</f>
        <v>736</v>
      </c>
      <c r="E36" s="47">
        <f>IF($A36&gt;p_horizon,"",SUMIFS(TblCalculs[RAM provisionnée],TblCalculs[Mois],$B36,TblCalculs[Plateforme],"IKS"))</f>
        <v>13184</v>
      </c>
      <c r="F36" s="47">
        <f>IF($A36&gt;p_horizon,"",SUMIFS(TblCalculs[RAM provisionnée],TblCalculs[Mois],$B36,TblCalculs[Plateforme],"ROKS"))</f>
        <v>3200</v>
      </c>
      <c r="G36" s="47">
        <f>IF($A36&gt;p_horizon,"",SUMIFS(TblCalculs[Workers],TblCalculs[Mois],$B36,TblCalculs[Plateforme],"IKS"))</f>
        <v>61</v>
      </c>
      <c r="H36" s="47">
        <f>IF($A36&gt;p_horizon,"",SUMIFS(TblCalculs[Workers],TblCalculs[Mois],$B36,TblCalculs[Plateforme],"ROKS"))</f>
        <v>68</v>
      </c>
      <c r="I36" s="27">
        <f>IF($A36&gt;p_horizon,"",SUMIFS(TblCalculs[Coût mensuel],TblCalculs[Mois],$B36,TblCalculs[Plateforme],"IKS"))</f>
        <v>81975</v>
      </c>
      <c r="J36" s="27">
        <f>IF($A36&gt;p_horizon,"",SUMIFS(TblCalculs[Coût mensuel],TblCalculs[Mois],$B36,TblCalculs[Plateforme],"ROKS"))</f>
        <v>32320</v>
      </c>
      <c r="K36" s="27">
        <f t="shared" si="1"/>
        <v>114295</v>
      </c>
      <c r="L36" s="27">
        <f t="shared" si="2"/>
        <v>0</v>
      </c>
      <c r="M36" s="27">
        <f>IF($A36&gt;p_horizon,"",SUM($L$23:L36))</f>
        <v>7434</v>
      </c>
      <c r="N36" s="47">
        <f>IF($A36&gt;p_horizon,"",SUMPRODUCT((TblApplications[Action]="À migrer")*(TblApplications[Mois prov (calc)]&lt;=$B36)*(TblApplications[Mois lib (calc)]&gt;$B36)))</f>
        <v>0</v>
      </c>
      <c r="O36" s="47">
        <f t="shared" si="3"/>
        <v>2784</v>
      </c>
      <c r="P36" s="47">
        <f>IF($A36&gt;p_horizon,"",SUMIFS(TblCalculs[Besoin CPU],TblCalculs[Mois],$B36,TblCalculs[Plateforme],"ROKS"))</f>
        <v>735</v>
      </c>
      <c r="Q36" s="47">
        <f>IF($A36&gt;p_horizon,"",SUMIFS(TblCalculs[Besoin RAM],TblCalculs[Mois],$B36,TblCalculs[Plateforme],"ROKS"))</f>
        <v>3192</v>
      </c>
      <c r="R36" s="27">
        <f>IF($A36&gt;p_horizon,"",SUMIFS(TblCalculs[Sans DR – coût],TblCalculs[Mois],$B36))</f>
        <v>114295</v>
      </c>
      <c r="S36" s="27">
        <f>IF($A36&gt;p_horizon,"",SUMIFS(TblCalculs[Sans migration – coût],TblCalculs[Mois],$B36))</f>
        <v>122055</v>
      </c>
      <c r="T36" s="27">
        <f t="shared" si="4"/>
        <v>-7760</v>
      </c>
      <c r="U36" s="27">
        <f>IF($A36&gt;p_horizon,"",SUMIFS(TblCalculs[Coût mensuel],TblCalculs[Mois],$B36,TblCalculs[Plateforme],"IKS",TblCalculs[Environnement],p_envcrit))</f>
        <v>81975</v>
      </c>
      <c r="V36" s="27">
        <f>IF($A36&gt;p_horizon,"",SUMIFS(TblCalculs[Coût mensuel],TblCalculs[Mois],$B36,TblCalculs[Plateforme],"ROKS",TblCalculs[Environnement],p_envcrit))</f>
        <v>32320</v>
      </c>
      <c r="W36" s="27">
        <f>IF($A36&gt;p_horizon,"",SUMIFS(TblCalculs[Coût mensuel],TblCalculs[Mois],$B36,TblCalculs[Environnement],p_envcrit)-SUMIFS(TblCalculs[Sans DR – coût],TblCalculs[Mois],$B36,TblCalculs[Environnement],p_envcrit))</f>
        <v>0</v>
      </c>
      <c r="X36" s="27">
        <f t="shared" si="5"/>
        <v>114295</v>
      </c>
    </row>
    <row r="37" spans="1:24" x14ac:dyDescent="0.2">
      <c r="A37" s="47">
        <v>15</v>
      </c>
      <c r="B37" s="33">
        <f t="shared" si="0"/>
        <v>46722</v>
      </c>
      <c r="C37" s="47">
        <f>IF($A37&gt;p_horizon,"",SUMIFS(TblCalculs[CPU provisionné],TblCalculs[Mois],$B37,TblCalculs[Plateforme],"IKS"))</f>
        <v>2048</v>
      </c>
      <c r="D37" s="47">
        <f>IF($A37&gt;p_horizon,"",SUMIFS(TblCalculs[CPU provisionné],TblCalculs[Mois],$B37,TblCalculs[Plateforme],"ROKS"))</f>
        <v>736</v>
      </c>
      <c r="E37" s="47">
        <f>IF($A37&gt;p_horizon,"",SUMIFS(TblCalculs[RAM provisionnée],TblCalculs[Mois],$B37,TblCalculs[Plateforme],"IKS"))</f>
        <v>13184</v>
      </c>
      <c r="F37" s="47">
        <f>IF($A37&gt;p_horizon,"",SUMIFS(TblCalculs[RAM provisionnée],TblCalculs[Mois],$B37,TblCalculs[Plateforme],"ROKS"))</f>
        <v>3200</v>
      </c>
      <c r="G37" s="47">
        <f>IF($A37&gt;p_horizon,"",SUMIFS(TblCalculs[Workers],TblCalculs[Mois],$B37,TblCalculs[Plateforme],"IKS"))</f>
        <v>61</v>
      </c>
      <c r="H37" s="47">
        <f>IF($A37&gt;p_horizon,"",SUMIFS(TblCalculs[Workers],TblCalculs[Mois],$B37,TblCalculs[Plateforme],"ROKS"))</f>
        <v>68</v>
      </c>
      <c r="I37" s="27">
        <f>IF($A37&gt;p_horizon,"",SUMIFS(TblCalculs[Coût mensuel],TblCalculs[Mois],$B37,TblCalculs[Plateforme],"IKS"))</f>
        <v>81975</v>
      </c>
      <c r="J37" s="27">
        <f>IF($A37&gt;p_horizon,"",SUMIFS(TblCalculs[Coût mensuel],TblCalculs[Mois],$B37,TblCalculs[Plateforme],"ROKS"))</f>
        <v>32320</v>
      </c>
      <c r="K37" s="27">
        <f t="shared" si="1"/>
        <v>114295</v>
      </c>
      <c r="L37" s="27">
        <f t="shared" si="2"/>
        <v>0</v>
      </c>
      <c r="M37" s="27">
        <f>IF($A37&gt;p_horizon,"",SUM($L$23:L37))</f>
        <v>7434</v>
      </c>
      <c r="N37" s="47">
        <f>IF($A37&gt;p_horizon,"",SUMPRODUCT((TblApplications[Action]="À migrer")*(TblApplications[Mois prov (calc)]&lt;=$B37)*(TblApplications[Mois lib (calc)]&gt;$B37)))</f>
        <v>0</v>
      </c>
      <c r="O37" s="47">
        <f t="shared" si="3"/>
        <v>2784</v>
      </c>
      <c r="P37" s="47">
        <f>IF($A37&gt;p_horizon,"",SUMIFS(TblCalculs[Besoin CPU],TblCalculs[Mois],$B37,TblCalculs[Plateforme],"ROKS"))</f>
        <v>735</v>
      </c>
      <c r="Q37" s="47">
        <f>IF($A37&gt;p_horizon,"",SUMIFS(TblCalculs[Besoin RAM],TblCalculs[Mois],$B37,TblCalculs[Plateforme],"ROKS"))</f>
        <v>3192</v>
      </c>
      <c r="R37" s="27">
        <f>IF($A37&gt;p_horizon,"",SUMIFS(TblCalculs[Sans DR – coût],TblCalculs[Mois],$B37))</f>
        <v>114295</v>
      </c>
      <c r="S37" s="27">
        <f>IF($A37&gt;p_horizon,"",SUMIFS(TblCalculs[Sans migration – coût],TblCalculs[Mois],$B37))</f>
        <v>122055</v>
      </c>
      <c r="T37" s="27">
        <f t="shared" si="4"/>
        <v>-7760</v>
      </c>
      <c r="U37" s="27">
        <f>IF($A37&gt;p_horizon,"",SUMIFS(TblCalculs[Coût mensuel],TblCalculs[Mois],$B37,TblCalculs[Plateforme],"IKS",TblCalculs[Environnement],p_envcrit))</f>
        <v>81975</v>
      </c>
      <c r="V37" s="27">
        <f>IF($A37&gt;p_horizon,"",SUMIFS(TblCalculs[Coût mensuel],TblCalculs[Mois],$B37,TblCalculs[Plateforme],"ROKS",TblCalculs[Environnement],p_envcrit))</f>
        <v>32320</v>
      </c>
      <c r="W37" s="27">
        <f>IF($A37&gt;p_horizon,"",SUMIFS(TblCalculs[Coût mensuel],TblCalculs[Mois],$B37,TblCalculs[Environnement],p_envcrit)-SUMIFS(TblCalculs[Sans DR – coût],TblCalculs[Mois],$B37,TblCalculs[Environnement],p_envcrit))</f>
        <v>0</v>
      </c>
      <c r="X37" s="27">
        <f t="shared" si="5"/>
        <v>114295</v>
      </c>
    </row>
    <row r="38" spans="1:24" x14ac:dyDescent="0.2">
      <c r="A38" s="47">
        <v>16</v>
      </c>
      <c r="B38" s="33">
        <f t="shared" si="0"/>
        <v>46753</v>
      </c>
      <c r="C38" s="47">
        <f>IF($A38&gt;p_horizon,"",SUMIFS(TblCalculs[CPU provisionné],TblCalculs[Mois],$B38,TblCalculs[Plateforme],"IKS"))</f>
        <v>2048</v>
      </c>
      <c r="D38" s="47">
        <f>IF($A38&gt;p_horizon,"",SUMIFS(TblCalculs[CPU provisionné],TblCalculs[Mois],$B38,TblCalculs[Plateforme],"ROKS"))</f>
        <v>752</v>
      </c>
      <c r="E38" s="47">
        <f>IF($A38&gt;p_horizon,"",SUMIFS(TblCalculs[RAM provisionnée],TblCalculs[Mois],$B38,TblCalculs[Plateforme],"IKS"))</f>
        <v>13184</v>
      </c>
      <c r="F38" s="47">
        <f>IF($A38&gt;p_horizon,"",SUMIFS(TblCalculs[RAM provisionnée],TblCalculs[Mois],$B38,TblCalculs[Plateforme],"ROKS"))</f>
        <v>3280</v>
      </c>
      <c r="G38" s="47">
        <f>IF($A38&gt;p_horizon,"",SUMIFS(TblCalculs[Workers],TblCalculs[Mois],$B38,TblCalculs[Plateforme],"IKS"))</f>
        <v>61</v>
      </c>
      <c r="H38" s="47">
        <f>IF($A38&gt;p_horizon,"",SUMIFS(TblCalculs[Workers],TblCalculs[Mois],$B38,TblCalculs[Plateforme],"ROKS"))</f>
        <v>70</v>
      </c>
      <c r="I38" s="27">
        <f>IF($A38&gt;p_horizon,"",SUMIFS(TblCalculs[Coût mensuel],TblCalculs[Mois],$B38,TblCalculs[Plateforme],"IKS"))</f>
        <v>81975</v>
      </c>
      <c r="J38" s="27">
        <f>IF($A38&gt;p_horizon,"",SUMIFS(TblCalculs[Coût mensuel],TblCalculs[Mois],$B38,TblCalculs[Plateforme],"ROKS"))</f>
        <v>33056</v>
      </c>
      <c r="K38" s="27">
        <f t="shared" si="1"/>
        <v>115031</v>
      </c>
      <c r="L38" s="27">
        <f t="shared" si="2"/>
        <v>3186</v>
      </c>
      <c r="M38" s="27">
        <f>IF($A38&gt;p_horizon,"",SUM($L$23:L38))</f>
        <v>10620</v>
      </c>
      <c r="N38" s="47">
        <f>IF($A38&gt;p_horizon,"",SUMPRODUCT((TblApplications[Action]="À migrer")*(TblApplications[Mois prov (calc)]&lt;=$B38)*(TblApplications[Mois lib (calc)]&gt;$B38)))</f>
        <v>1</v>
      </c>
      <c r="O38" s="47">
        <f t="shared" si="3"/>
        <v>2800</v>
      </c>
      <c r="P38" s="47">
        <f>IF($A38&gt;p_horizon,"",SUMIFS(TblCalculs[Besoin CPU],TblCalculs[Mois],$B38,TblCalculs[Plateforme],"ROKS"))</f>
        <v>747</v>
      </c>
      <c r="Q38" s="47">
        <f>IF($A38&gt;p_horizon,"",SUMIFS(TblCalculs[Besoin RAM],TblCalculs[Mois],$B38,TblCalculs[Plateforme],"ROKS"))</f>
        <v>3260</v>
      </c>
      <c r="R38" s="27">
        <f>IF($A38&gt;p_horizon,"",SUMIFS(TblCalculs[Sans DR – coût],TblCalculs[Mois],$B38))</f>
        <v>111845</v>
      </c>
      <c r="S38" s="27">
        <f>IF($A38&gt;p_horizon,"",SUMIFS(TblCalculs[Sans migration – coût],TblCalculs[Mois],$B38))</f>
        <v>122055</v>
      </c>
      <c r="T38" s="27">
        <f t="shared" si="4"/>
        <v>-7024</v>
      </c>
      <c r="U38" s="27">
        <f>IF($A38&gt;p_horizon,"",SUMIFS(TblCalculs[Coût mensuel],TblCalculs[Mois],$B38,TblCalculs[Plateforme],"IKS",TblCalculs[Environnement],p_envcrit))</f>
        <v>81975</v>
      </c>
      <c r="V38" s="27">
        <f>IF($A38&gt;p_horizon,"",SUMIFS(TblCalculs[Coût mensuel],TblCalculs[Mois],$B38,TblCalculs[Plateforme],"ROKS",TblCalculs[Environnement],p_envcrit))</f>
        <v>33056</v>
      </c>
      <c r="W38" s="27">
        <f>IF($A38&gt;p_horizon,"",SUMIFS(TblCalculs[Coût mensuel],TblCalculs[Mois],$B38,TblCalculs[Environnement],p_envcrit)-SUMIFS(TblCalculs[Sans DR – coût],TblCalculs[Mois],$B38,TblCalculs[Environnement],p_envcrit))</f>
        <v>3186</v>
      </c>
      <c r="X38" s="27">
        <f t="shared" si="5"/>
        <v>115031</v>
      </c>
    </row>
    <row r="39" spans="1:24" x14ac:dyDescent="0.2">
      <c r="A39" s="47">
        <v>17</v>
      </c>
      <c r="B39" s="33">
        <f t="shared" si="0"/>
        <v>46784</v>
      </c>
      <c r="C39" s="47">
        <f>IF($A39&gt;p_horizon,"",SUMIFS(TblCalculs[CPU provisionné],TblCalculs[Mois],$B39,TblCalculs[Plateforme],"IKS"))</f>
        <v>2048</v>
      </c>
      <c r="D39" s="47">
        <f>IF($A39&gt;p_horizon,"",SUMIFS(TblCalculs[CPU provisionné],TblCalculs[Mois],$B39,TblCalculs[Plateforme],"ROKS"))</f>
        <v>752</v>
      </c>
      <c r="E39" s="47">
        <f>IF($A39&gt;p_horizon,"",SUMIFS(TblCalculs[RAM provisionnée],TblCalculs[Mois],$B39,TblCalculs[Plateforme],"IKS"))</f>
        <v>13184</v>
      </c>
      <c r="F39" s="47">
        <f>IF($A39&gt;p_horizon,"",SUMIFS(TblCalculs[RAM provisionnée],TblCalculs[Mois],$B39,TblCalculs[Plateforme],"ROKS"))</f>
        <v>3280</v>
      </c>
      <c r="G39" s="47">
        <f>IF($A39&gt;p_horizon,"",SUMIFS(TblCalculs[Workers],TblCalculs[Mois],$B39,TblCalculs[Plateforme],"IKS"))</f>
        <v>61</v>
      </c>
      <c r="H39" s="47">
        <f>IF($A39&gt;p_horizon,"",SUMIFS(TblCalculs[Workers],TblCalculs[Mois],$B39,TblCalculs[Plateforme],"ROKS"))</f>
        <v>70</v>
      </c>
      <c r="I39" s="27">
        <f>IF($A39&gt;p_horizon,"",SUMIFS(TblCalculs[Coût mensuel],TblCalculs[Mois],$B39,TblCalculs[Plateforme],"IKS"))</f>
        <v>81975</v>
      </c>
      <c r="J39" s="27">
        <f>IF($A39&gt;p_horizon,"",SUMIFS(TblCalculs[Coût mensuel],TblCalculs[Mois],$B39,TblCalculs[Plateforme],"ROKS"))</f>
        <v>33056</v>
      </c>
      <c r="K39" s="27">
        <f t="shared" si="1"/>
        <v>115031</v>
      </c>
      <c r="L39" s="27">
        <f t="shared" si="2"/>
        <v>3186</v>
      </c>
      <c r="M39" s="27">
        <f>IF($A39&gt;p_horizon,"",SUM($L$23:L39))</f>
        <v>13806</v>
      </c>
      <c r="N39" s="47">
        <f>IF($A39&gt;p_horizon,"",SUMPRODUCT((TblApplications[Action]="À migrer")*(TblApplications[Mois prov (calc)]&lt;=$B39)*(TblApplications[Mois lib (calc)]&gt;$B39)))</f>
        <v>1</v>
      </c>
      <c r="O39" s="47">
        <f t="shared" si="3"/>
        <v>2800</v>
      </c>
      <c r="P39" s="47">
        <f>IF($A39&gt;p_horizon,"",SUMIFS(TblCalculs[Besoin CPU],TblCalculs[Mois],$B39,TblCalculs[Plateforme],"ROKS"))</f>
        <v>747</v>
      </c>
      <c r="Q39" s="47">
        <f>IF($A39&gt;p_horizon,"",SUMIFS(TblCalculs[Besoin RAM],TblCalculs[Mois],$B39,TblCalculs[Plateforme],"ROKS"))</f>
        <v>3260</v>
      </c>
      <c r="R39" s="27">
        <f>IF($A39&gt;p_horizon,"",SUMIFS(TblCalculs[Sans DR – coût],TblCalculs[Mois],$B39))</f>
        <v>111845</v>
      </c>
      <c r="S39" s="27">
        <f>IF($A39&gt;p_horizon,"",SUMIFS(TblCalculs[Sans migration – coût],TblCalculs[Mois],$B39))</f>
        <v>122055</v>
      </c>
      <c r="T39" s="27">
        <f t="shared" si="4"/>
        <v>-7024</v>
      </c>
      <c r="U39" s="27">
        <f>IF($A39&gt;p_horizon,"",SUMIFS(TblCalculs[Coût mensuel],TblCalculs[Mois],$B39,TblCalculs[Plateforme],"IKS",TblCalculs[Environnement],p_envcrit))</f>
        <v>81975</v>
      </c>
      <c r="V39" s="27">
        <f>IF($A39&gt;p_horizon,"",SUMIFS(TblCalculs[Coût mensuel],TblCalculs[Mois],$B39,TblCalculs[Plateforme],"ROKS",TblCalculs[Environnement],p_envcrit))</f>
        <v>33056</v>
      </c>
      <c r="W39" s="27">
        <f>IF($A39&gt;p_horizon,"",SUMIFS(TblCalculs[Coût mensuel],TblCalculs[Mois],$B39,TblCalculs[Environnement],p_envcrit)-SUMIFS(TblCalculs[Sans DR – coût],TblCalculs[Mois],$B39,TblCalculs[Environnement],p_envcrit))</f>
        <v>3186</v>
      </c>
      <c r="X39" s="27">
        <f t="shared" si="5"/>
        <v>115031</v>
      </c>
    </row>
    <row r="40" spans="1:24" x14ac:dyDescent="0.2">
      <c r="A40" s="47">
        <v>18</v>
      </c>
      <c r="B40" s="33">
        <f t="shared" si="0"/>
        <v>46813</v>
      </c>
      <c r="C40" s="47">
        <f>IF($A40&gt;p_horizon,"",SUMIFS(TblCalculs[CPU provisionné],TblCalculs[Mois],$B40,TblCalculs[Plateforme],"IKS"))</f>
        <v>1952</v>
      </c>
      <c r="D40" s="47">
        <f>IF($A40&gt;p_horizon,"",SUMIFS(TblCalculs[CPU provisionné],TblCalculs[Mois],$B40,TblCalculs[Plateforme],"ROKS"))</f>
        <v>752</v>
      </c>
      <c r="E40" s="47">
        <f>IF($A40&gt;p_horizon,"",SUMIFS(TblCalculs[RAM provisionnée],TblCalculs[Mois],$B40,TblCalculs[Plateforme],"IKS"))</f>
        <v>12800</v>
      </c>
      <c r="F40" s="47">
        <f>IF($A40&gt;p_horizon,"",SUMIFS(TblCalculs[RAM provisionnée],TblCalculs[Mois],$B40,TblCalculs[Plateforme],"ROKS"))</f>
        <v>3280</v>
      </c>
      <c r="G40" s="47">
        <f>IF($A40&gt;p_horizon,"",SUMIFS(TblCalculs[Workers],TblCalculs[Mois],$B40,TblCalculs[Plateforme],"IKS"))</f>
        <v>58</v>
      </c>
      <c r="H40" s="47">
        <f>IF($A40&gt;p_horizon,"",SUMIFS(TblCalculs[Workers],TblCalculs[Mois],$B40,TblCalculs[Plateforme],"ROKS"))</f>
        <v>70</v>
      </c>
      <c r="I40" s="27">
        <f>IF($A40&gt;p_horizon,"",SUMIFS(TblCalculs[Coût mensuel],TblCalculs[Mois],$B40,TblCalculs[Plateforme],"IKS"))</f>
        <v>78789</v>
      </c>
      <c r="J40" s="27">
        <f>IF($A40&gt;p_horizon,"",SUMIFS(TblCalculs[Coût mensuel],TblCalculs[Mois],$B40,TblCalculs[Plateforme],"ROKS"))</f>
        <v>33056</v>
      </c>
      <c r="K40" s="27">
        <f t="shared" si="1"/>
        <v>111845</v>
      </c>
      <c r="L40" s="27">
        <f t="shared" si="2"/>
        <v>0</v>
      </c>
      <c r="M40" s="27">
        <f>IF($A40&gt;p_horizon,"",SUM($L$23:L40))</f>
        <v>13806</v>
      </c>
      <c r="N40" s="47">
        <f>IF($A40&gt;p_horizon,"",SUMPRODUCT((TblApplications[Action]="À migrer")*(TblApplications[Mois prov (calc)]&lt;=$B40)*(TblApplications[Mois lib (calc)]&gt;$B40)))</f>
        <v>0</v>
      </c>
      <c r="O40" s="47">
        <f t="shared" si="3"/>
        <v>2704</v>
      </c>
      <c r="P40" s="47">
        <f>IF($A40&gt;p_horizon,"",SUMIFS(TblCalculs[Besoin CPU],TblCalculs[Mois],$B40,TblCalculs[Plateforme],"ROKS"))</f>
        <v>747</v>
      </c>
      <c r="Q40" s="47">
        <f>IF($A40&gt;p_horizon,"",SUMIFS(TblCalculs[Besoin RAM],TblCalculs[Mois],$B40,TblCalculs[Plateforme],"ROKS"))</f>
        <v>3260</v>
      </c>
      <c r="R40" s="27">
        <f>IF($A40&gt;p_horizon,"",SUMIFS(TblCalculs[Sans DR – coût],TblCalculs[Mois],$B40))</f>
        <v>111845</v>
      </c>
      <c r="S40" s="27">
        <f>IF($A40&gt;p_horizon,"",SUMIFS(TblCalculs[Sans migration – coût],TblCalculs[Mois],$B40))</f>
        <v>122055</v>
      </c>
      <c r="T40" s="27">
        <f t="shared" si="4"/>
        <v>-10210</v>
      </c>
      <c r="U40" s="27">
        <f>IF($A40&gt;p_horizon,"",SUMIFS(TblCalculs[Coût mensuel],TblCalculs[Mois],$B40,TblCalculs[Plateforme],"IKS",TblCalculs[Environnement],p_envcrit))</f>
        <v>78789</v>
      </c>
      <c r="V40" s="27">
        <f>IF($A40&gt;p_horizon,"",SUMIFS(TblCalculs[Coût mensuel],TblCalculs[Mois],$B40,TblCalculs[Plateforme],"ROKS",TblCalculs[Environnement],p_envcrit))</f>
        <v>33056</v>
      </c>
      <c r="W40" s="27">
        <f>IF($A40&gt;p_horizon,"",SUMIFS(TblCalculs[Coût mensuel],TblCalculs[Mois],$B40,TblCalculs[Environnement],p_envcrit)-SUMIFS(TblCalculs[Sans DR – coût],TblCalculs[Mois],$B40,TblCalculs[Environnement],p_envcrit))</f>
        <v>0</v>
      </c>
      <c r="X40" s="27">
        <f t="shared" si="5"/>
        <v>111845</v>
      </c>
    </row>
    <row r="41" spans="1:24" x14ac:dyDescent="0.2">
      <c r="A41" s="47">
        <v>19</v>
      </c>
      <c r="B41" s="33">
        <f t="shared" si="0"/>
        <v>46844</v>
      </c>
      <c r="C41" s="47">
        <f>IF($A41&gt;p_horizon,"",SUMIFS(TblCalculs[CPU provisionné],TblCalculs[Mois],$B41,TblCalculs[Plateforme],"IKS"))</f>
        <v>1952</v>
      </c>
      <c r="D41" s="47">
        <f>IF($A41&gt;p_horizon,"",SUMIFS(TblCalculs[CPU provisionné],TblCalculs[Mois],$B41,TblCalculs[Plateforme],"ROKS"))</f>
        <v>752</v>
      </c>
      <c r="E41" s="47">
        <f>IF($A41&gt;p_horizon,"",SUMIFS(TblCalculs[RAM provisionnée],TblCalculs[Mois],$B41,TblCalculs[Plateforme],"IKS"))</f>
        <v>12800</v>
      </c>
      <c r="F41" s="47">
        <f>IF($A41&gt;p_horizon,"",SUMIFS(TblCalculs[RAM provisionnée],TblCalculs[Mois],$B41,TblCalculs[Plateforme],"ROKS"))</f>
        <v>3280</v>
      </c>
      <c r="G41" s="47">
        <f>IF($A41&gt;p_horizon,"",SUMIFS(TblCalculs[Workers],TblCalculs[Mois],$B41,TblCalculs[Plateforme],"IKS"))</f>
        <v>58</v>
      </c>
      <c r="H41" s="47">
        <f>IF($A41&gt;p_horizon,"",SUMIFS(TblCalculs[Workers],TblCalculs[Mois],$B41,TblCalculs[Plateforme],"ROKS"))</f>
        <v>70</v>
      </c>
      <c r="I41" s="27">
        <f>IF($A41&gt;p_horizon,"",SUMIFS(TblCalculs[Coût mensuel],TblCalculs[Mois],$B41,TblCalculs[Plateforme],"IKS"))</f>
        <v>78789</v>
      </c>
      <c r="J41" s="27">
        <f>IF($A41&gt;p_horizon,"",SUMIFS(TblCalculs[Coût mensuel],TblCalculs[Mois],$B41,TblCalculs[Plateforme],"ROKS"))</f>
        <v>33056</v>
      </c>
      <c r="K41" s="27">
        <f t="shared" si="1"/>
        <v>111845</v>
      </c>
      <c r="L41" s="27">
        <f t="shared" si="2"/>
        <v>0</v>
      </c>
      <c r="M41" s="27">
        <f>IF($A41&gt;p_horizon,"",SUM($L$23:L41))</f>
        <v>13806</v>
      </c>
      <c r="N41" s="47">
        <f>IF($A41&gt;p_horizon,"",SUMPRODUCT((TblApplications[Action]="À migrer")*(TblApplications[Mois prov (calc)]&lt;=$B41)*(TblApplications[Mois lib (calc)]&gt;$B41)))</f>
        <v>0</v>
      </c>
      <c r="O41" s="47">
        <f t="shared" si="3"/>
        <v>2704</v>
      </c>
      <c r="P41" s="47">
        <f>IF($A41&gt;p_horizon,"",SUMIFS(TblCalculs[Besoin CPU],TblCalculs[Mois],$B41,TblCalculs[Plateforme],"ROKS"))</f>
        <v>747</v>
      </c>
      <c r="Q41" s="47">
        <f>IF($A41&gt;p_horizon,"",SUMIFS(TblCalculs[Besoin RAM],TblCalculs[Mois],$B41,TblCalculs[Plateforme],"ROKS"))</f>
        <v>3260</v>
      </c>
      <c r="R41" s="27">
        <f>IF($A41&gt;p_horizon,"",SUMIFS(TblCalculs[Sans DR – coût],TblCalculs[Mois],$B41))</f>
        <v>111845</v>
      </c>
      <c r="S41" s="27">
        <f>IF($A41&gt;p_horizon,"",SUMIFS(TblCalculs[Sans migration – coût],TblCalculs[Mois],$B41))</f>
        <v>122055</v>
      </c>
      <c r="T41" s="27">
        <f t="shared" si="4"/>
        <v>-10210</v>
      </c>
      <c r="U41" s="27">
        <f>IF($A41&gt;p_horizon,"",SUMIFS(TblCalculs[Coût mensuel],TblCalculs[Mois],$B41,TblCalculs[Plateforme],"IKS",TblCalculs[Environnement],p_envcrit))</f>
        <v>78789</v>
      </c>
      <c r="V41" s="27">
        <f>IF($A41&gt;p_horizon,"",SUMIFS(TblCalculs[Coût mensuel],TblCalculs[Mois],$B41,TblCalculs[Plateforme],"ROKS",TblCalculs[Environnement],p_envcrit))</f>
        <v>33056</v>
      </c>
      <c r="W41" s="27">
        <f>IF($A41&gt;p_horizon,"",SUMIFS(TblCalculs[Coût mensuel],TblCalculs[Mois],$B41,TblCalculs[Environnement],p_envcrit)-SUMIFS(TblCalculs[Sans DR – coût],TblCalculs[Mois],$B41,TblCalculs[Environnement],p_envcrit))</f>
        <v>0</v>
      </c>
      <c r="X41" s="27">
        <f t="shared" si="5"/>
        <v>111845</v>
      </c>
    </row>
    <row r="42" spans="1:24" x14ac:dyDescent="0.2">
      <c r="A42" s="47">
        <v>20</v>
      </c>
      <c r="B42" s="33">
        <f t="shared" si="0"/>
        <v>46874</v>
      </c>
      <c r="C42" s="47">
        <f>IF($A42&gt;p_horizon,"",SUMIFS(TblCalculs[CPU provisionné],TblCalculs[Mois],$B42,TblCalculs[Plateforme],"IKS"))</f>
        <v>1952</v>
      </c>
      <c r="D42" s="47">
        <f>IF($A42&gt;p_horizon,"",SUMIFS(TblCalculs[CPU provisionné],TblCalculs[Mois],$B42,TblCalculs[Plateforme],"ROKS"))</f>
        <v>752</v>
      </c>
      <c r="E42" s="47">
        <f>IF($A42&gt;p_horizon,"",SUMIFS(TblCalculs[RAM provisionnée],TblCalculs[Mois],$B42,TblCalculs[Plateforme],"IKS"))</f>
        <v>12800</v>
      </c>
      <c r="F42" s="47">
        <f>IF($A42&gt;p_horizon,"",SUMIFS(TblCalculs[RAM provisionnée],TblCalculs[Mois],$B42,TblCalculs[Plateforme],"ROKS"))</f>
        <v>3280</v>
      </c>
      <c r="G42" s="47">
        <f>IF($A42&gt;p_horizon,"",SUMIFS(TblCalculs[Workers],TblCalculs[Mois],$B42,TblCalculs[Plateforme],"IKS"))</f>
        <v>58</v>
      </c>
      <c r="H42" s="47">
        <f>IF($A42&gt;p_horizon,"",SUMIFS(TblCalculs[Workers],TblCalculs[Mois],$B42,TblCalculs[Plateforme],"ROKS"))</f>
        <v>70</v>
      </c>
      <c r="I42" s="27">
        <f>IF($A42&gt;p_horizon,"",SUMIFS(TblCalculs[Coût mensuel],TblCalculs[Mois],$B42,TblCalculs[Plateforme],"IKS"))</f>
        <v>78789</v>
      </c>
      <c r="J42" s="27">
        <f>IF($A42&gt;p_horizon,"",SUMIFS(TblCalculs[Coût mensuel],TblCalculs[Mois],$B42,TblCalculs[Plateforme],"ROKS"))</f>
        <v>33056</v>
      </c>
      <c r="K42" s="27">
        <f t="shared" si="1"/>
        <v>111845</v>
      </c>
      <c r="L42" s="27">
        <f t="shared" si="2"/>
        <v>0</v>
      </c>
      <c r="M42" s="27">
        <f>IF($A42&gt;p_horizon,"",SUM($L$23:L42))</f>
        <v>13806</v>
      </c>
      <c r="N42" s="47">
        <f>IF($A42&gt;p_horizon,"",SUMPRODUCT((TblApplications[Action]="À migrer")*(TblApplications[Mois prov (calc)]&lt;=$B42)*(TblApplications[Mois lib (calc)]&gt;$B42)))</f>
        <v>0</v>
      </c>
      <c r="O42" s="47">
        <f t="shared" si="3"/>
        <v>2704</v>
      </c>
      <c r="P42" s="47">
        <f>IF($A42&gt;p_horizon,"",SUMIFS(TblCalculs[Besoin CPU],TblCalculs[Mois],$B42,TblCalculs[Plateforme],"ROKS"))</f>
        <v>747</v>
      </c>
      <c r="Q42" s="47">
        <f>IF($A42&gt;p_horizon,"",SUMIFS(TblCalculs[Besoin RAM],TblCalculs[Mois],$B42,TblCalculs[Plateforme],"ROKS"))</f>
        <v>3260</v>
      </c>
      <c r="R42" s="27">
        <f>IF($A42&gt;p_horizon,"",SUMIFS(TblCalculs[Sans DR – coût],TblCalculs[Mois],$B42))</f>
        <v>111845</v>
      </c>
      <c r="S42" s="27">
        <f>IF($A42&gt;p_horizon,"",SUMIFS(TblCalculs[Sans migration – coût],TblCalculs[Mois],$B42))</f>
        <v>122055</v>
      </c>
      <c r="T42" s="27">
        <f t="shared" si="4"/>
        <v>-10210</v>
      </c>
      <c r="U42" s="27">
        <f>IF($A42&gt;p_horizon,"",SUMIFS(TblCalculs[Coût mensuel],TblCalculs[Mois],$B42,TblCalculs[Plateforme],"IKS",TblCalculs[Environnement],p_envcrit))</f>
        <v>78789</v>
      </c>
      <c r="V42" s="27">
        <f>IF($A42&gt;p_horizon,"",SUMIFS(TblCalculs[Coût mensuel],TblCalculs[Mois],$B42,TblCalculs[Plateforme],"ROKS",TblCalculs[Environnement],p_envcrit))</f>
        <v>33056</v>
      </c>
      <c r="W42" s="27">
        <f>IF($A42&gt;p_horizon,"",SUMIFS(TblCalculs[Coût mensuel],TblCalculs[Mois],$B42,TblCalculs[Environnement],p_envcrit)-SUMIFS(TblCalculs[Sans DR – coût],TblCalculs[Mois],$B42,TblCalculs[Environnement],p_envcrit))</f>
        <v>0</v>
      </c>
      <c r="X42" s="27">
        <f t="shared" si="5"/>
        <v>111845</v>
      </c>
    </row>
    <row r="43" spans="1:24" x14ac:dyDescent="0.2">
      <c r="A43" s="47">
        <v>21</v>
      </c>
      <c r="B43" s="33">
        <f t="shared" si="0"/>
        <v>46905</v>
      </c>
      <c r="C43" s="47">
        <f>IF($A43&gt;p_horizon,"",SUMIFS(TblCalculs[CPU provisionné],TblCalculs[Mois],$B43,TblCalculs[Plateforme],"IKS"))</f>
        <v>1952</v>
      </c>
      <c r="D43" s="47">
        <f>IF($A43&gt;p_horizon,"",SUMIFS(TblCalculs[CPU provisionné],TblCalculs[Mois],$B43,TblCalculs[Plateforme],"ROKS"))</f>
        <v>752</v>
      </c>
      <c r="E43" s="47">
        <f>IF($A43&gt;p_horizon,"",SUMIFS(TblCalculs[RAM provisionnée],TblCalculs[Mois],$B43,TblCalculs[Plateforme],"IKS"))</f>
        <v>12800</v>
      </c>
      <c r="F43" s="47">
        <f>IF($A43&gt;p_horizon,"",SUMIFS(TblCalculs[RAM provisionnée],TblCalculs[Mois],$B43,TblCalculs[Plateforme],"ROKS"))</f>
        <v>3280</v>
      </c>
      <c r="G43" s="47">
        <f>IF($A43&gt;p_horizon,"",SUMIFS(TblCalculs[Workers],TblCalculs[Mois],$B43,TblCalculs[Plateforme],"IKS"))</f>
        <v>58</v>
      </c>
      <c r="H43" s="47">
        <f>IF($A43&gt;p_horizon,"",SUMIFS(TblCalculs[Workers],TblCalculs[Mois],$B43,TblCalculs[Plateforme],"ROKS"))</f>
        <v>70</v>
      </c>
      <c r="I43" s="27">
        <f>IF($A43&gt;p_horizon,"",SUMIFS(TblCalculs[Coût mensuel],TblCalculs[Mois],$B43,TblCalculs[Plateforme],"IKS"))</f>
        <v>78789</v>
      </c>
      <c r="J43" s="27">
        <f>IF($A43&gt;p_horizon,"",SUMIFS(TblCalculs[Coût mensuel],TblCalculs[Mois],$B43,TblCalculs[Plateforme],"ROKS"))</f>
        <v>33056</v>
      </c>
      <c r="K43" s="27">
        <f t="shared" si="1"/>
        <v>111845</v>
      </c>
      <c r="L43" s="27">
        <f t="shared" si="2"/>
        <v>0</v>
      </c>
      <c r="M43" s="27">
        <f>IF($A43&gt;p_horizon,"",SUM($L$23:L43))</f>
        <v>13806</v>
      </c>
      <c r="N43" s="47">
        <f>IF($A43&gt;p_horizon,"",SUMPRODUCT((TblApplications[Action]="À migrer")*(TblApplications[Mois prov (calc)]&lt;=$B43)*(TblApplications[Mois lib (calc)]&gt;$B43)))</f>
        <v>0</v>
      </c>
      <c r="O43" s="47">
        <f t="shared" si="3"/>
        <v>2704</v>
      </c>
      <c r="P43" s="47">
        <f>IF($A43&gt;p_horizon,"",SUMIFS(TblCalculs[Besoin CPU],TblCalculs[Mois],$B43,TblCalculs[Plateforme],"ROKS"))</f>
        <v>747</v>
      </c>
      <c r="Q43" s="47">
        <f>IF($A43&gt;p_horizon,"",SUMIFS(TblCalculs[Besoin RAM],TblCalculs[Mois],$B43,TblCalculs[Plateforme],"ROKS"))</f>
        <v>3260</v>
      </c>
      <c r="R43" s="27">
        <f>IF($A43&gt;p_horizon,"",SUMIFS(TblCalculs[Sans DR – coût],TblCalculs[Mois],$B43))</f>
        <v>111845</v>
      </c>
      <c r="S43" s="27">
        <f>IF($A43&gt;p_horizon,"",SUMIFS(TblCalculs[Sans migration – coût],TblCalculs[Mois],$B43))</f>
        <v>122055</v>
      </c>
      <c r="T43" s="27">
        <f t="shared" si="4"/>
        <v>-10210</v>
      </c>
      <c r="U43" s="27">
        <f>IF($A43&gt;p_horizon,"",SUMIFS(TblCalculs[Coût mensuel],TblCalculs[Mois],$B43,TblCalculs[Plateforme],"IKS",TblCalculs[Environnement],p_envcrit))</f>
        <v>78789</v>
      </c>
      <c r="V43" s="27">
        <f>IF($A43&gt;p_horizon,"",SUMIFS(TblCalculs[Coût mensuel],TblCalculs[Mois],$B43,TblCalculs[Plateforme],"ROKS",TblCalculs[Environnement],p_envcrit))</f>
        <v>33056</v>
      </c>
      <c r="W43" s="27">
        <f>IF($A43&gt;p_horizon,"",SUMIFS(TblCalculs[Coût mensuel],TblCalculs[Mois],$B43,TblCalculs[Environnement],p_envcrit)-SUMIFS(TblCalculs[Sans DR – coût],TblCalculs[Mois],$B43,TblCalculs[Environnement],p_envcrit))</f>
        <v>0</v>
      </c>
      <c r="X43" s="27">
        <f t="shared" si="5"/>
        <v>111845</v>
      </c>
    </row>
    <row r="44" spans="1:24" x14ac:dyDescent="0.2">
      <c r="A44" s="47">
        <v>22</v>
      </c>
      <c r="B44" s="33">
        <f t="shared" si="0"/>
        <v>46935</v>
      </c>
      <c r="C44" s="47">
        <f>IF($A44&gt;p_horizon,"",SUMIFS(TblCalculs[CPU provisionné],TblCalculs[Mois],$B44,TblCalculs[Plateforme],"IKS"))</f>
        <v>1952</v>
      </c>
      <c r="D44" s="47">
        <f>IF($A44&gt;p_horizon,"",SUMIFS(TblCalculs[CPU provisionné],TblCalculs[Mois],$B44,TblCalculs[Plateforme],"ROKS"))</f>
        <v>752</v>
      </c>
      <c r="E44" s="47">
        <f>IF($A44&gt;p_horizon,"",SUMIFS(TblCalculs[RAM provisionnée],TblCalculs[Mois],$B44,TblCalculs[Plateforme],"IKS"))</f>
        <v>12800</v>
      </c>
      <c r="F44" s="47">
        <f>IF($A44&gt;p_horizon,"",SUMIFS(TblCalculs[RAM provisionnée],TblCalculs[Mois],$B44,TblCalculs[Plateforme],"ROKS"))</f>
        <v>3280</v>
      </c>
      <c r="G44" s="47">
        <f>IF($A44&gt;p_horizon,"",SUMIFS(TblCalculs[Workers],TblCalculs[Mois],$B44,TblCalculs[Plateforme],"IKS"))</f>
        <v>58</v>
      </c>
      <c r="H44" s="47">
        <f>IF($A44&gt;p_horizon,"",SUMIFS(TblCalculs[Workers],TblCalculs[Mois],$B44,TblCalculs[Plateforme],"ROKS"))</f>
        <v>70</v>
      </c>
      <c r="I44" s="27">
        <f>IF($A44&gt;p_horizon,"",SUMIFS(TblCalculs[Coût mensuel],TblCalculs[Mois],$B44,TblCalculs[Plateforme],"IKS"))</f>
        <v>78789</v>
      </c>
      <c r="J44" s="27">
        <f>IF($A44&gt;p_horizon,"",SUMIFS(TblCalculs[Coût mensuel],TblCalculs[Mois],$B44,TblCalculs[Plateforme],"ROKS"))</f>
        <v>33056</v>
      </c>
      <c r="K44" s="27">
        <f t="shared" si="1"/>
        <v>111845</v>
      </c>
      <c r="L44" s="27">
        <f t="shared" si="2"/>
        <v>0</v>
      </c>
      <c r="M44" s="27">
        <f>IF($A44&gt;p_horizon,"",SUM($L$23:L44))</f>
        <v>13806</v>
      </c>
      <c r="N44" s="47">
        <f>IF($A44&gt;p_horizon,"",SUMPRODUCT((TblApplications[Action]="À migrer")*(TblApplications[Mois prov (calc)]&lt;=$B44)*(TblApplications[Mois lib (calc)]&gt;$B44)))</f>
        <v>0</v>
      </c>
      <c r="O44" s="47">
        <f t="shared" si="3"/>
        <v>2704</v>
      </c>
      <c r="P44" s="47">
        <f>IF($A44&gt;p_horizon,"",SUMIFS(TblCalculs[Besoin CPU],TblCalculs[Mois],$B44,TblCalculs[Plateforme],"ROKS"))</f>
        <v>747</v>
      </c>
      <c r="Q44" s="47">
        <f>IF($A44&gt;p_horizon,"",SUMIFS(TblCalculs[Besoin RAM],TblCalculs[Mois],$B44,TblCalculs[Plateforme],"ROKS"))</f>
        <v>3260</v>
      </c>
      <c r="R44" s="27">
        <f>IF($A44&gt;p_horizon,"",SUMIFS(TblCalculs[Sans DR – coût],TblCalculs[Mois],$B44))</f>
        <v>111845</v>
      </c>
      <c r="S44" s="27">
        <f>IF($A44&gt;p_horizon,"",SUMIFS(TblCalculs[Sans migration – coût],TblCalculs[Mois],$B44))</f>
        <v>122055</v>
      </c>
      <c r="T44" s="27">
        <f t="shared" si="4"/>
        <v>-10210</v>
      </c>
      <c r="U44" s="27">
        <f>IF($A44&gt;p_horizon,"",SUMIFS(TblCalculs[Coût mensuel],TblCalculs[Mois],$B44,TblCalculs[Plateforme],"IKS",TblCalculs[Environnement],p_envcrit))</f>
        <v>78789</v>
      </c>
      <c r="V44" s="27">
        <f>IF($A44&gt;p_horizon,"",SUMIFS(TblCalculs[Coût mensuel],TblCalculs[Mois],$B44,TblCalculs[Plateforme],"ROKS",TblCalculs[Environnement],p_envcrit))</f>
        <v>33056</v>
      </c>
      <c r="W44" s="27">
        <f>IF($A44&gt;p_horizon,"",SUMIFS(TblCalculs[Coût mensuel],TblCalculs[Mois],$B44,TblCalculs[Environnement],p_envcrit)-SUMIFS(TblCalculs[Sans DR – coût],TblCalculs[Mois],$B44,TblCalculs[Environnement],p_envcrit))</f>
        <v>0</v>
      </c>
      <c r="X44" s="27">
        <f t="shared" si="5"/>
        <v>111845</v>
      </c>
    </row>
    <row r="45" spans="1:24" x14ac:dyDescent="0.2">
      <c r="A45" s="47">
        <v>23</v>
      </c>
      <c r="B45" s="33">
        <f t="shared" si="0"/>
        <v>46966</v>
      </c>
      <c r="C45" s="47">
        <f>IF($A45&gt;p_horizon,"",SUMIFS(TblCalculs[CPU provisionné],TblCalculs[Mois],$B45,TblCalculs[Plateforme],"IKS"))</f>
        <v>1952</v>
      </c>
      <c r="D45" s="47">
        <f>IF($A45&gt;p_horizon,"",SUMIFS(TblCalculs[CPU provisionné],TblCalculs[Mois],$B45,TblCalculs[Plateforme],"ROKS"))</f>
        <v>752</v>
      </c>
      <c r="E45" s="47">
        <f>IF($A45&gt;p_horizon,"",SUMIFS(TblCalculs[RAM provisionnée],TblCalculs[Mois],$B45,TblCalculs[Plateforme],"IKS"))</f>
        <v>12800</v>
      </c>
      <c r="F45" s="47">
        <f>IF($A45&gt;p_horizon,"",SUMIFS(TblCalculs[RAM provisionnée],TblCalculs[Mois],$B45,TblCalculs[Plateforme],"ROKS"))</f>
        <v>3280</v>
      </c>
      <c r="G45" s="47">
        <f>IF($A45&gt;p_horizon,"",SUMIFS(TblCalculs[Workers],TblCalculs[Mois],$B45,TblCalculs[Plateforme],"IKS"))</f>
        <v>58</v>
      </c>
      <c r="H45" s="47">
        <f>IF($A45&gt;p_horizon,"",SUMIFS(TblCalculs[Workers],TblCalculs[Mois],$B45,TblCalculs[Plateforme],"ROKS"))</f>
        <v>70</v>
      </c>
      <c r="I45" s="27">
        <f>IF($A45&gt;p_horizon,"",SUMIFS(TblCalculs[Coût mensuel],TblCalculs[Mois],$B45,TblCalculs[Plateforme],"IKS"))</f>
        <v>78789</v>
      </c>
      <c r="J45" s="27">
        <f>IF($A45&gt;p_horizon,"",SUMIFS(TblCalculs[Coût mensuel],TblCalculs[Mois],$B45,TblCalculs[Plateforme],"ROKS"))</f>
        <v>33056</v>
      </c>
      <c r="K45" s="27">
        <f t="shared" si="1"/>
        <v>111845</v>
      </c>
      <c r="L45" s="27">
        <f t="shared" si="2"/>
        <v>0</v>
      </c>
      <c r="M45" s="27">
        <f>IF($A45&gt;p_horizon,"",SUM($L$23:L45))</f>
        <v>13806</v>
      </c>
      <c r="N45" s="47">
        <f>IF($A45&gt;p_horizon,"",SUMPRODUCT((TblApplications[Action]="À migrer")*(TblApplications[Mois prov (calc)]&lt;=$B45)*(TblApplications[Mois lib (calc)]&gt;$B45)))</f>
        <v>0</v>
      </c>
      <c r="O45" s="47">
        <f t="shared" si="3"/>
        <v>2704</v>
      </c>
      <c r="P45" s="47">
        <f>IF($A45&gt;p_horizon,"",SUMIFS(TblCalculs[Besoin CPU],TblCalculs[Mois],$B45,TblCalculs[Plateforme],"ROKS"))</f>
        <v>747</v>
      </c>
      <c r="Q45" s="47">
        <f>IF($A45&gt;p_horizon,"",SUMIFS(TblCalculs[Besoin RAM],TblCalculs[Mois],$B45,TblCalculs[Plateforme],"ROKS"))</f>
        <v>3260</v>
      </c>
      <c r="R45" s="27">
        <f>IF($A45&gt;p_horizon,"",SUMIFS(TblCalculs[Sans DR – coût],TblCalculs[Mois],$B45))</f>
        <v>111845</v>
      </c>
      <c r="S45" s="27">
        <f>IF($A45&gt;p_horizon,"",SUMIFS(TblCalculs[Sans migration – coût],TblCalculs[Mois],$B45))</f>
        <v>122055</v>
      </c>
      <c r="T45" s="27">
        <f t="shared" si="4"/>
        <v>-10210</v>
      </c>
      <c r="U45" s="27">
        <f>IF($A45&gt;p_horizon,"",SUMIFS(TblCalculs[Coût mensuel],TblCalculs[Mois],$B45,TblCalculs[Plateforme],"IKS",TblCalculs[Environnement],p_envcrit))</f>
        <v>78789</v>
      </c>
      <c r="V45" s="27">
        <f>IF($A45&gt;p_horizon,"",SUMIFS(TblCalculs[Coût mensuel],TblCalculs[Mois],$B45,TblCalculs[Plateforme],"ROKS",TblCalculs[Environnement],p_envcrit))</f>
        <v>33056</v>
      </c>
      <c r="W45" s="27">
        <f>IF($A45&gt;p_horizon,"",SUMIFS(TblCalculs[Coût mensuel],TblCalculs[Mois],$B45,TblCalculs[Environnement],p_envcrit)-SUMIFS(TblCalculs[Sans DR – coût],TblCalculs[Mois],$B45,TblCalculs[Environnement],p_envcrit))</f>
        <v>0</v>
      </c>
      <c r="X45" s="27">
        <f t="shared" si="5"/>
        <v>111845</v>
      </c>
    </row>
    <row r="46" spans="1:24" x14ac:dyDescent="0.2">
      <c r="A46" s="47">
        <v>24</v>
      </c>
      <c r="B46" s="33">
        <f t="shared" si="0"/>
        <v>46997</v>
      </c>
      <c r="C46" s="47">
        <f>IF($A46&gt;p_horizon,"",SUMIFS(TblCalculs[CPU provisionné],TblCalculs[Mois],$B46,TblCalculs[Plateforme],"IKS"))</f>
        <v>1952</v>
      </c>
      <c r="D46" s="47">
        <f>IF($A46&gt;p_horizon,"",SUMIFS(TblCalculs[CPU provisionné],TblCalculs[Mois],$B46,TblCalculs[Plateforme],"ROKS"))</f>
        <v>768</v>
      </c>
      <c r="E46" s="47">
        <f>IF($A46&gt;p_horizon,"",SUMIFS(TblCalculs[RAM provisionnée],TblCalculs[Mois],$B46,TblCalculs[Plateforme],"IKS"))</f>
        <v>12800</v>
      </c>
      <c r="F46" s="47">
        <f>IF($A46&gt;p_horizon,"",SUMIFS(TblCalculs[RAM provisionnée],TblCalculs[Mois],$B46,TblCalculs[Plateforme],"ROKS"))</f>
        <v>3360</v>
      </c>
      <c r="G46" s="47">
        <f>IF($A46&gt;p_horizon,"",SUMIFS(TblCalculs[Workers],TblCalculs[Mois],$B46,TblCalculs[Plateforme],"IKS"))</f>
        <v>58</v>
      </c>
      <c r="H46" s="47">
        <f>IF($A46&gt;p_horizon,"",SUMIFS(TblCalculs[Workers],TblCalculs[Mois],$B46,TblCalculs[Plateforme],"ROKS"))</f>
        <v>72</v>
      </c>
      <c r="I46" s="27">
        <f>IF($A46&gt;p_horizon,"",SUMIFS(TblCalculs[Coût mensuel],TblCalculs[Mois],$B46,TblCalculs[Plateforme],"IKS"))</f>
        <v>78789</v>
      </c>
      <c r="J46" s="27">
        <f>IF($A46&gt;p_horizon,"",SUMIFS(TblCalculs[Coût mensuel],TblCalculs[Mois],$B46,TblCalculs[Plateforme],"ROKS"))</f>
        <v>33792</v>
      </c>
      <c r="K46" s="27">
        <f t="shared" si="1"/>
        <v>112581</v>
      </c>
      <c r="L46" s="27">
        <f t="shared" si="2"/>
        <v>1062</v>
      </c>
      <c r="M46" s="27">
        <f>IF($A46&gt;p_horizon,"",SUM($L$23:L46))</f>
        <v>14868</v>
      </c>
      <c r="N46" s="47">
        <f>IF($A46&gt;p_horizon,"",SUMPRODUCT((TblApplications[Action]="À migrer")*(TblApplications[Mois prov (calc)]&lt;=$B46)*(TblApplications[Mois lib (calc)]&gt;$B46)))</f>
        <v>1</v>
      </c>
      <c r="O46" s="47">
        <f t="shared" si="3"/>
        <v>2720</v>
      </c>
      <c r="P46" s="47">
        <f>IF($A46&gt;p_horizon,"",SUMIFS(TblCalculs[Besoin CPU],TblCalculs[Mois],$B46,TblCalculs[Plateforme],"ROKS"))</f>
        <v>758</v>
      </c>
      <c r="Q46" s="47">
        <f>IF($A46&gt;p_horizon,"",SUMIFS(TblCalculs[Besoin RAM],TblCalculs[Mois],$B46,TblCalculs[Plateforme],"ROKS"))</f>
        <v>3356</v>
      </c>
      <c r="R46" s="27">
        <f>IF($A46&gt;p_horizon,"",SUMIFS(TblCalculs[Sans DR – coût],TblCalculs[Mois],$B46))</f>
        <v>111519</v>
      </c>
      <c r="S46" s="27">
        <f>IF($A46&gt;p_horizon,"",SUMIFS(TblCalculs[Sans migration – coût],TblCalculs[Mois],$B46))</f>
        <v>122055</v>
      </c>
      <c r="T46" s="27">
        <f t="shared" si="4"/>
        <v>-9474</v>
      </c>
      <c r="U46" s="27">
        <f>IF($A46&gt;p_horizon,"",SUMIFS(TblCalculs[Coût mensuel],TblCalculs[Mois],$B46,TblCalculs[Plateforme],"IKS",TblCalculs[Environnement],p_envcrit))</f>
        <v>78789</v>
      </c>
      <c r="V46" s="27">
        <f>IF($A46&gt;p_horizon,"",SUMIFS(TblCalculs[Coût mensuel],TblCalculs[Mois],$B46,TblCalculs[Plateforme],"ROKS",TblCalculs[Environnement],p_envcrit))</f>
        <v>33792</v>
      </c>
      <c r="W46" s="27">
        <f>IF($A46&gt;p_horizon,"",SUMIFS(TblCalculs[Coût mensuel],TblCalculs[Mois],$B46,TblCalculs[Environnement],p_envcrit)-SUMIFS(TblCalculs[Sans DR – coût],TblCalculs[Mois],$B46,TblCalculs[Environnement],p_envcrit))</f>
        <v>1062</v>
      </c>
      <c r="X46" s="27">
        <f t="shared" si="5"/>
        <v>112581</v>
      </c>
    </row>
    <row r="47" spans="1:24" x14ac:dyDescent="0.2">
      <c r="A47" s="47">
        <v>25</v>
      </c>
      <c r="B47" s="33">
        <f t="shared" si="0"/>
        <v>47027</v>
      </c>
      <c r="C47" s="47">
        <f>IF($A47&gt;p_horizon,"",SUMIFS(TblCalculs[CPU provisionné],TblCalculs[Mois],$B47,TblCalculs[Plateforme],"IKS"))</f>
        <v>1952</v>
      </c>
      <c r="D47" s="47">
        <f>IF($A47&gt;p_horizon,"",SUMIFS(TblCalculs[CPU provisionné],TblCalculs[Mois],$B47,TblCalculs[Plateforme],"ROKS"))</f>
        <v>768</v>
      </c>
      <c r="E47" s="47">
        <f>IF($A47&gt;p_horizon,"",SUMIFS(TblCalculs[RAM provisionnée],TblCalculs[Mois],$B47,TblCalculs[Plateforme],"IKS"))</f>
        <v>12800</v>
      </c>
      <c r="F47" s="47">
        <f>IF($A47&gt;p_horizon,"",SUMIFS(TblCalculs[RAM provisionnée],TblCalculs[Mois],$B47,TblCalculs[Plateforme],"ROKS"))</f>
        <v>3360</v>
      </c>
      <c r="G47" s="47">
        <f>IF($A47&gt;p_horizon,"",SUMIFS(TblCalculs[Workers],TblCalculs[Mois],$B47,TblCalculs[Plateforme],"IKS"))</f>
        <v>58</v>
      </c>
      <c r="H47" s="47">
        <f>IF($A47&gt;p_horizon,"",SUMIFS(TblCalculs[Workers],TblCalculs[Mois],$B47,TblCalculs[Plateforme],"ROKS"))</f>
        <v>72</v>
      </c>
      <c r="I47" s="27">
        <f>IF($A47&gt;p_horizon,"",SUMIFS(TblCalculs[Coût mensuel],TblCalculs[Mois],$B47,TblCalculs[Plateforme],"IKS"))</f>
        <v>78789</v>
      </c>
      <c r="J47" s="27">
        <f>IF($A47&gt;p_horizon,"",SUMIFS(TblCalculs[Coût mensuel],TblCalculs[Mois],$B47,TblCalculs[Plateforme],"ROKS"))</f>
        <v>33792</v>
      </c>
      <c r="K47" s="27">
        <f t="shared" si="1"/>
        <v>112581</v>
      </c>
      <c r="L47" s="27">
        <f t="shared" si="2"/>
        <v>1062</v>
      </c>
      <c r="M47" s="27">
        <f>IF($A47&gt;p_horizon,"",SUM($L$23:L47))</f>
        <v>15930</v>
      </c>
      <c r="N47" s="47">
        <f>IF($A47&gt;p_horizon,"",SUMPRODUCT((TblApplications[Action]="À migrer")*(TblApplications[Mois prov (calc)]&lt;=$B47)*(TblApplications[Mois lib (calc)]&gt;$B47)))</f>
        <v>1</v>
      </c>
      <c r="O47" s="47">
        <f t="shared" si="3"/>
        <v>2720</v>
      </c>
      <c r="P47" s="47">
        <f>IF($A47&gt;p_horizon,"",SUMIFS(TblCalculs[Besoin CPU],TblCalculs[Mois],$B47,TblCalculs[Plateforme],"ROKS"))</f>
        <v>758</v>
      </c>
      <c r="Q47" s="47">
        <f>IF($A47&gt;p_horizon,"",SUMIFS(TblCalculs[Besoin RAM],TblCalculs[Mois],$B47,TblCalculs[Plateforme],"ROKS"))</f>
        <v>3356</v>
      </c>
      <c r="R47" s="27">
        <f>IF($A47&gt;p_horizon,"",SUMIFS(TblCalculs[Sans DR – coût],TblCalculs[Mois],$B47))</f>
        <v>111519</v>
      </c>
      <c r="S47" s="27">
        <f>IF($A47&gt;p_horizon,"",SUMIFS(TblCalculs[Sans migration – coût],TblCalculs[Mois],$B47))</f>
        <v>122055</v>
      </c>
      <c r="T47" s="27">
        <f t="shared" si="4"/>
        <v>-9474</v>
      </c>
      <c r="U47" s="27">
        <f>IF($A47&gt;p_horizon,"",SUMIFS(TblCalculs[Coût mensuel],TblCalculs[Mois],$B47,TblCalculs[Plateforme],"IKS",TblCalculs[Environnement],p_envcrit))</f>
        <v>78789</v>
      </c>
      <c r="V47" s="27">
        <f>IF($A47&gt;p_horizon,"",SUMIFS(TblCalculs[Coût mensuel],TblCalculs[Mois],$B47,TblCalculs[Plateforme],"ROKS",TblCalculs[Environnement],p_envcrit))</f>
        <v>33792</v>
      </c>
      <c r="W47" s="27">
        <f>IF($A47&gt;p_horizon,"",SUMIFS(TblCalculs[Coût mensuel],TblCalculs[Mois],$B47,TblCalculs[Environnement],p_envcrit)-SUMIFS(TblCalculs[Sans DR – coût],TblCalculs[Mois],$B47,TblCalculs[Environnement],p_envcrit))</f>
        <v>1062</v>
      </c>
      <c r="X47" s="27">
        <f t="shared" si="5"/>
        <v>112581</v>
      </c>
    </row>
    <row r="48" spans="1:24" x14ac:dyDescent="0.2">
      <c r="A48" s="47">
        <v>26</v>
      </c>
      <c r="B48" s="33">
        <f t="shared" si="0"/>
        <v>47058</v>
      </c>
      <c r="C48" s="47">
        <f>IF($A48&gt;p_horizon,"",SUMIFS(TblCalculs[CPU provisionné],TblCalculs[Mois],$B48,TblCalculs[Plateforme],"IKS"))</f>
        <v>1952</v>
      </c>
      <c r="D48" s="47">
        <f>IF($A48&gt;p_horizon,"",SUMIFS(TblCalculs[CPU provisionné],TblCalculs[Mois],$B48,TblCalculs[Plateforme],"ROKS"))</f>
        <v>768</v>
      </c>
      <c r="E48" s="47">
        <f>IF($A48&gt;p_horizon,"",SUMIFS(TblCalculs[RAM provisionnée],TblCalculs[Mois],$B48,TblCalculs[Plateforme],"IKS"))</f>
        <v>12800</v>
      </c>
      <c r="F48" s="47">
        <f>IF($A48&gt;p_horizon,"",SUMIFS(TblCalculs[RAM provisionnée],TblCalculs[Mois],$B48,TblCalculs[Plateforme],"ROKS"))</f>
        <v>3360</v>
      </c>
      <c r="G48" s="47">
        <f>IF($A48&gt;p_horizon,"",SUMIFS(TblCalculs[Workers],TblCalculs[Mois],$B48,TblCalculs[Plateforme],"IKS"))</f>
        <v>58</v>
      </c>
      <c r="H48" s="47">
        <f>IF($A48&gt;p_horizon,"",SUMIFS(TblCalculs[Workers],TblCalculs[Mois],$B48,TblCalculs[Plateforme],"ROKS"))</f>
        <v>72</v>
      </c>
      <c r="I48" s="27">
        <f>IF($A48&gt;p_horizon,"",SUMIFS(TblCalculs[Coût mensuel],TblCalculs[Mois],$B48,TblCalculs[Plateforme],"IKS"))</f>
        <v>78789</v>
      </c>
      <c r="J48" s="27">
        <f>IF($A48&gt;p_horizon,"",SUMIFS(TblCalculs[Coût mensuel],TblCalculs[Mois],$B48,TblCalculs[Plateforme],"ROKS"))</f>
        <v>33792</v>
      </c>
      <c r="K48" s="27">
        <f t="shared" si="1"/>
        <v>112581</v>
      </c>
      <c r="L48" s="27">
        <f t="shared" si="2"/>
        <v>1062</v>
      </c>
      <c r="M48" s="27">
        <f>IF($A48&gt;p_horizon,"",SUM($L$23:L48))</f>
        <v>16992</v>
      </c>
      <c r="N48" s="47">
        <f>IF($A48&gt;p_horizon,"",SUMPRODUCT((TblApplications[Action]="À migrer")*(TblApplications[Mois prov (calc)]&lt;=$B48)*(TblApplications[Mois lib (calc)]&gt;$B48)))</f>
        <v>1</v>
      </c>
      <c r="O48" s="47">
        <f t="shared" si="3"/>
        <v>2720</v>
      </c>
      <c r="P48" s="47">
        <f>IF($A48&gt;p_horizon,"",SUMIFS(TblCalculs[Besoin CPU],TblCalculs[Mois],$B48,TblCalculs[Plateforme],"ROKS"))</f>
        <v>758</v>
      </c>
      <c r="Q48" s="47">
        <f>IF($A48&gt;p_horizon,"",SUMIFS(TblCalculs[Besoin RAM],TblCalculs[Mois],$B48,TblCalculs[Plateforme],"ROKS"))</f>
        <v>3356</v>
      </c>
      <c r="R48" s="27">
        <f>IF($A48&gt;p_horizon,"",SUMIFS(TblCalculs[Sans DR – coût],TblCalculs[Mois],$B48))</f>
        <v>111519</v>
      </c>
      <c r="S48" s="27">
        <f>IF($A48&gt;p_horizon,"",SUMIFS(TblCalculs[Sans migration – coût],TblCalculs[Mois],$B48))</f>
        <v>122055</v>
      </c>
      <c r="T48" s="27">
        <f t="shared" si="4"/>
        <v>-9474</v>
      </c>
      <c r="U48" s="27">
        <f>IF($A48&gt;p_horizon,"",SUMIFS(TblCalculs[Coût mensuel],TblCalculs[Mois],$B48,TblCalculs[Plateforme],"IKS",TblCalculs[Environnement],p_envcrit))</f>
        <v>78789</v>
      </c>
      <c r="V48" s="27">
        <f>IF($A48&gt;p_horizon,"",SUMIFS(TblCalculs[Coût mensuel],TblCalculs[Mois],$B48,TblCalculs[Plateforme],"ROKS",TblCalculs[Environnement],p_envcrit))</f>
        <v>33792</v>
      </c>
      <c r="W48" s="27">
        <f>IF($A48&gt;p_horizon,"",SUMIFS(TblCalculs[Coût mensuel],TblCalculs[Mois],$B48,TblCalculs[Environnement],p_envcrit)-SUMIFS(TblCalculs[Sans DR – coût],TblCalculs[Mois],$B48,TblCalculs[Environnement],p_envcrit))</f>
        <v>1062</v>
      </c>
      <c r="X48" s="27">
        <f t="shared" si="5"/>
        <v>112581</v>
      </c>
    </row>
    <row r="49" spans="1:24" x14ac:dyDescent="0.2">
      <c r="A49" s="47">
        <v>27</v>
      </c>
      <c r="B49" s="33">
        <f t="shared" si="0"/>
        <v>47088</v>
      </c>
      <c r="C49" s="47">
        <f>IF($A49&gt;p_horizon,"",SUMIFS(TblCalculs[CPU provisionné],TblCalculs[Mois],$B49,TblCalculs[Plateforme],"IKS"))</f>
        <v>1824</v>
      </c>
      <c r="D49" s="47">
        <f>IF($A49&gt;p_horizon,"",SUMIFS(TblCalculs[CPU provisionné],TblCalculs[Mois],$B49,TblCalculs[Plateforme],"ROKS"))</f>
        <v>768</v>
      </c>
      <c r="E49" s="47">
        <f>IF($A49&gt;p_horizon,"",SUMIFS(TblCalculs[RAM provisionnée],TblCalculs[Mois],$B49,TblCalculs[Plateforme],"IKS"))</f>
        <v>12288</v>
      </c>
      <c r="F49" s="47">
        <f>IF($A49&gt;p_horizon,"",SUMIFS(TblCalculs[RAM provisionnée],TblCalculs[Mois],$B49,TblCalculs[Plateforme],"ROKS"))</f>
        <v>3360</v>
      </c>
      <c r="G49" s="47">
        <f>IF($A49&gt;p_horizon,"",SUMIFS(TblCalculs[Workers],TblCalculs[Mois],$B49,TblCalculs[Plateforme],"IKS"))</f>
        <v>54</v>
      </c>
      <c r="H49" s="47">
        <f>IF($A49&gt;p_horizon,"",SUMIFS(TblCalculs[Workers],TblCalculs[Mois],$B49,TblCalculs[Plateforme],"ROKS"))</f>
        <v>72</v>
      </c>
      <c r="I49" s="27">
        <f>IF($A49&gt;p_horizon,"",SUMIFS(TblCalculs[Coût mensuel],TblCalculs[Mois],$B49,TblCalculs[Plateforme],"IKS"))</f>
        <v>74541</v>
      </c>
      <c r="J49" s="27">
        <f>IF($A49&gt;p_horizon,"",SUMIFS(TblCalculs[Coût mensuel],TblCalculs[Mois],$B49,TblCalculs[Plateforme],"ROKS"))</f>
        <v>33792</v>
      </c>
      <c r="K49" s="27">
        <f t="shared" si="1"/>
        <v>108333</v>
      </c>
      <c r="L49" s="27">
        <f t="shared" si="2"/>
        <v>0</v>
      </c>
      <c r="M49" s="27">
        <f>IF($A49&gt;p_horizon,"",SUM($L$23:L49))</f>
        <v>16992</v>
      </c>
      <c r="N49" s="47">
        <f>IF($A49&gt;p_horizon,"",SUMPRODUCT((TblApplications[Action]="À migrer")*(TblApplications[Mois prov (calc)]&lt;=$B49)*(TblApplications[Mois lib (calc)]&gt;$B49)))</f>
        <v>0</v>
      </c>
      <c r="O49" s="47">
        <f t="shared" si="3"/>
        <v>2592</v>
      </c>
      <c r="P49" s="47">
        <f>IF($A49&gt;p_horizon,"",SUMIFS(TblCalculs[Besoin CPU],TblCalculs[Mois],$B49,TblCalculs[Plateforme],"ROKS"))</f>
        <v>758</v>
      </c>
      <c r="Q49" s="47">
        <f>IF($A49&gt;p_horizon,"",SUMIFS(TblCalculs[Besoin RAM],TblCalculs[Mois],$B49,TblCalculs[Plateforme],"ROKS"))</f>
        <v>3356</v>
      </c>
      <c r="R49" s="27">
        <f>IF($A49&gt;p_horizon,"",SUMIFS(TblCalculs[Sans DR – coût],TblCalculs[Mois],$B49))</f>
        <v>108333</v>
      </c>
      <c r="S49" s="27">
        <f>IF($A49&gt;p_horizon,"",SUMIFS(TblCalculs[Sans migration – coût],TblCalculs[Mois],$B49))</f>
        <v>122055</v>
      </c>
      <c r="T49" s="27">
        <f t="shared" si="4"/>
        <v>-13722</v>
      </c>
      <c r="U49" s="27">
        <f>IF($A49&gt;p_horizon,"",SUMIFS(TblCalculs[Coût mensuel],TblCalculs[Mois],$B49,TblCalculs[Plateforme],"IKS",TblCalculs[Environnement],p_envcrit))</f>
        <v>74541</v>
      </c>
      <c r="V49" s="27">
        <f>IF($A49&gt;p_horizon,"",SUMIFS(TblCalculs[Coût mensuel],TblCalculs[Mois],$B49,TblCalculs[Plateforme],"ROKS",TblCalculs[Environnement],p_envcrit))</f>
        <v>33792</v>
      </c>
      <c r="W49" s="27">
        <f>IF($A49&gt;p_horizon,"",SUMIFS(TblCalculs[Coût mensuel],TblCalculs[Mois],$B49,TblCalculs[Environnement],p_envcrit)-SUMIFS(TblCalculs[Sans DR – coût],TblCalculs[Mois],$B49,TblCalculs[Environnement],p_envcrit))</f>
        <v>0</v>
      </c>
      <c r="X49" s="27">
        <f t="shared" si="5"/>
        <v>108333</v>
      </c>
    </row>
    <row r="50" spans="1:24" x14ac:dyDescent="0.2">
      <c r="A50" s="47">
        <v>28</v>
      </c>
      <c r="B50" s="33">
        <f t="shared" si="0"/>
        <v>47119</v>
      </c>
      <c r="C50" s="47">
        <f>IF($A50&gt;p_horizon,"",SUMIFS(TblCalculs[CPU provisionné],TblCalculs[Mois],$B50,TblCalculs[Plateforme],"IKS"))</f>
        <v>1824</v>
      </c>
      <c r="D50" s="47">
        <f>IF($A50&gt;p_horizon,"",SUMIFS(TblCalculs[CPU provisionné],TblCalculs[Mois],$B50,TblCalculs[Plateforme],"ROKS"))</f>
        <v>768</v>
      </c>
      <c r="E50" s="47">
        <f>IF($A50&gt;p_horizon,"",SUMIFS(TblCalculs[RAM provisionnée],TblCalculs[Mois],$B50,TblCalculs[Plateforme],"IKS"))</f>
        <v>12288</v>
      </c>
      <c r="F50" s="47">
        <f>IF($A50&gt;p_horizon,"",SUMIFS(TblCalculs[RAM provisionnée],TblCalculs[Mois],$B50,TblCalculs[Plateforme],"ROKS"))</f>
        <v>3360</v>
      </c>
      <c r="G50" s="47">
        <f>IF($A50&gt;p_horizon,"",SUMIFS(TblCalculs[Workers],TblCalculs[Mois],$B50,TblCalculs[Plateforme],"IKS"))</f>
        <v>54</v>
      </c>
      <c r="H50" s="47">
        <f>IF($A50&gt;p_horizon,"",SUMIFS(TblCalculs[Workers],TblCalculs[Mois],$B50,TblCalculs[Plateforme],"ROKS"))</f>
        <v>72</v>
      </c>
      <c r="I50" s="27">
        <f>IF($A50&gt;p_horizon,"",SUMIFS(TblCalculs[Coût mensuel],TblCalculs[Mois],$B50,TblCalculs[Plateforme],"IKS"))</f>
        <v>74541</v>
      </c>
      <c r="J50" s="27">
        <f>IF($A50&gt;p_horizon,"",SUMIFS(TblCalculs[Coût mensuel],TblCalculs[Mois],$B50,TblCalculs[Plateforme],"ROKS"))</f>
        <v>33792</v>
      </c>
      <c r="K50" s="27">
        <f t="shared" si="1"/>
        <v>108333</v>
      </c>
      <c r="L50" s="27">
        <f t="shared" si="2"/>
        <v>0</v>
      </c>
      <c r="M50" s="27">
        <f>IF($A50&gt;p_horizon,"",SUM($L$23:L50))</f>
        <v>16992</v>
      </c>
      <c r="N50" s="47">
        <f>IF($A50&gt;p_horizon,"",SUMPRODUCT((TblApplications[Action]="À migrer")*(TblApplications[Mois prov (calc)]&lt;=$B50)*(TblApplications[Mois lib (calc)]&gt;$B50)))</f>
        <v>0</v>
      </c>
      <c r="O50" s="47">
        <f t="shared" si="3"/>
        <v>2592</v>
      </c>
      <c r="P50" s="47">
        <f>IF($A50&gt;p_horizon,"",SUMIFS(TblCalculs[Besoin CPU],TblCalculs[Mois],$B50,TblCalculs[Plateforme],"ROKS"))</f>
        <v>758</v>
      </c>
      <c r="Q50" s="47">
        <f>IF($A50&gt;p_horizon,"",SUMIFS(TblCalculs[Besoin RAM],TblCalculs[Mois],$B50,TblCalculs[Plateforme],"ROKS"))</f>
        <v>3356</v>
      </c>
      <c r="R50" s="27">
        <f>IF($A50&gt;p_horizon,"",SUMIFS(TblCalculs[Sans DR – coût],TblCalculs[Mois],$B50))</f>
        <v>108333</v>
      </c>
      <c r="S50" s="27">
        <f>IF($A50&gt;p_horizon,"",SUMIFS(TblCalculs[Sans migration – coût],TblCalculs[Mois],$B50))</f>
        <v>122055</v>
      </c>
      <c r="T50" s="27">
        <f t="shared" si="4"/>
        <v>-13722</v>
      </c>
      <c r="U50" s="27">
        <f>IF($A50&gt;p_horizon,"",SUMIFS(TblCalculs[Coût mensuel],TblCalculs[Mois],$B50,TblCalculs[Plateforme],"IKS",TblCalculs[Environnement],p_envcrit))</f>
        <v>74541</v>
      </c>
      <c r="V50" s="27">
        <f>IF($A50&gt;p_horizon,"",SUMIFS(TblCalculs[Coût mensuel],TblCalculs[Mois],$B50,TblCalculs[Plateforme],"ROKS",TblCalculs[Environnement],p_envcrit))</f>
        <v>33792</v>
      </c>
      <c r="W50" s="27">
        <f>IF($A50&gt;p_horizon,"",SUMIFS(TblCalculs[Coût mensuel],TblCalculs[Mois],$B50,TblCalculs[Environnement],p_envcrit)-SUMIFS(TblCalculs[Sans DR – coût],TblCalculs[Mois],$B50,TblCalculs[Environnement],p_envcrit))</f>
        <v>0</v>
      </c>
      <c r="X50" s="27">
        <f t="shared" si="5"/>
        <v>108333</v>
      </c>
    </row>
    <row r="51" spans="1:24" x14ac:dyDescent="0.2">
      <c r="A51" s="47">
        <v>29</v>
      </c>
      <c r="B51" s="33">
        <f t="shared" si="0"/>
        <v>47150</v>
      </c>
      <c r="C51" s="47">
        <f>IF($A51&gt;p_horizon,"",SUMIFS(TblCalculs[CPU provisionné],TblCalculs[Mois],$B51,TblCalculs[Plateforme],"IKS"))</f>
        <v>1824</v>
      </c>
      <c r="D51" s="47">
        <f>IF($A51&gt;p_horizon,"",SUMIFS(TblCalculs[CPU provisionné],TblCalculs[Mois],$B51,TblCalculs[Plateforme],"ROKS"))</f>
        <v>768</v>
      </c>
      <c r="E51" s="47">
        <f>IF($A51&gt;p_horizon,"",SUMIFS(TblCalculs[RAM provisionnée],TblCalculs[Mois],$B51,TblCalculs[Plateforme],"IKS"))</f>
        <v>12288</v>
      </c>
      <c r="F51" s="47">
        <f>IF($A51&gt;p_horizon,"",SUMIFS(TblCalculs[RAM provisionnée],TblCalculs[Mois],$B51,TblCalculs[Plateforme],"ROKS"))</f>
        <v>3360</v>
      </c>
      <c r="G51" s="47">
        <f>IF($A51&gt;p_horizon,"",SUMIFS(TblCalculs[Workers],TblCalculs[Mois],$B51,TblCalculs[Plateforme],"IKS"))</f>
        <v>54</v>
      </c>
      <c r="H51" s="47">
        <f>IF($A51&gt;p_horizon,"",SUMIFS(TblCalculs[Workers],TblCalculs[Mois],$B51,TblCalculs[Plateforme],"ROKS"))</f>
        <v>72</v>
      </c>
      <c r="I51" s="27">
        <f>IF($A51&gt;p_horizon,"",SUMIFS(TblCalculs[Coût mensuel],TblCalculs[Mois],$B51,TblCalculs[Plateforme],"IKS"))</f>
        <v>74541</v>
      </c>
      <c r="J51" s="27">
        <f>IF($A51&gt;p_horizon,"",SUMIFS(TblCalculs[Coût mensuel],TblCalculs[Mois],$B51,TblCalculs[Plateforme],"ROKS"))</f>
        <v>33792</v>
      </c>
      <c r="K51" s="27">
        <f t="shared" si="1"/>
        <v>108333</v>
      </c>
      <c r="L51" s="27">
        <f t="shared" si="2"/>
        <v>0</v>
      </c>
      <c r="M51" s="27">
        <f>IF($A51&gt;p_horizon,"",SUM($L$23:L51))</f>
        <v>16992</v>
      </c>
      <c r="N51" s="47">
        <f>IF($A51&gt;p_horizon,"",SUMPRODUCT((TblApplications[Action]="À migrer")*(TblApplications[Mois prov (calc)]&lt;=$B51)*(TblApplications[Mois lib (calc)]&gt;$B51)))</f>
        <v>0</v>
      </c>
      <c r="O51" s="47">
        <f t="shared" si="3"/>
        <v>2592</v>
      </c>
      <c r="P51" s="47">
        <f>IF($A51&gt;p_horizon,"",SUMIFS(TblCalculs[Besoin CPU],TblCalculs[Mois],$B51,TblCalculs[Plateforme],"ROKS"))</f>
        <v>758</v>
      </c>
      <c r="Q51" s="47">
        <f>IF($A51&gt;p_horizon,"",SUMIFS(TblCalculs[Besoin RAM],TblCalculs[Mois],$B51,TblCalculs[Plateforme],"ROKS"))</f>
        <v>3356</v>
      </c>
      <c r="R51" s="27">
        <f>IF($A51&gt;p_horizon,"",SUMIFS(TblCalculs[Sans DR – coût],TblCalculs[Mois],$B51))</f>
        <v>108333</v>
      </c>
      <c r="S51" s="27">
        <f>IF($A51&gt;p_horizon,"",SUMIFS(TblCalculs[Sans migration – coût],TblCalculs[Mois],$B51))</f>
        <v>122055</v>
      </c>
      <c r="T51" s="27">
        <f t="shared" si="4"/>
        <v>-13722</v>
      </c>
      <c r="U51" s="27">
        <f>IF($A51&gt;p_horizon,"",SUMIFS(TblCalculs[Coût mensuel],TblCalculs[Mois],$B51,TblCalculs[Plateforme],"IKS",TblCalculs[Environnement],p_envcrit))</f>
        <v>74541</v>
      </c>
      <c r="V51" s="27">
        <f>IF($A51&gt;p_horizon,"",SUMIFS(TblCalculs[Coût mensuel],TblCalculs[Mois],$B51,TblCalculs[Plateforme],"ROKS",TblCalculs[Environnement],p_envcrit))</f>
        <v>33792</v>
      </c>
      <c r="W51" s="27">
        <f>IF($A51&gt;p_horizon,"",SUMIFS(TblCalculs[Coût mensuel],TblCalculs[Mois],$B51,TblCalculs[Environnement],p_envcrit)-SUMIFS(TblCalculs[Sans DR – coût],TblCalculs[Mois],$B51,TblCalculs[Environnement],p_envcrit))</f>
        <v>0</v>
      </c>
      <c r="X51" s="27">
        <f t="shared" si="5"/>
        <v>108333</v>
      </c>
    </row>
    <row r="52" spans="1:24" x14ac:dyDescent="0.2">
      <c r="A52" s="47">
        <v>30</v>
      </c>
      <c r="B52" s="33">
        <f t="shared" si="0"/>
        <v>47178</v>
      </c>
      <c r="C52" s="47">
        <f>IF($A52&gt;p_horizon,"",SUMIFS(TblCalculs[CPU provisionné],TblCalculs[Mois],$B52,TblCalculs[Plateforme],"IKS"))</f>
        <v>1824</v>
      </c>
      <c r="D52" s="47">
        <f>IF($A52&gt;p_horizon,"",SUMIFS(TblCalculs[CPU provisionné],TblCalculs[Mois],$B52,TblCalculs[Plateforme],"ROKS"))</f>
        <v>768</v>
      </c>
      <c r="E52" s="47">
        <f>IF($A52&gt;p_horizon,"",SUMIFS(TblCalculs[RAM provisionnée],TblCalculs[Mois],$B52,TblCalculs[Plateforme],"IKS"))</f>
        <v>12288</v>
      </c>
      <c r="F52" s="47">
        <f>IF($A52&gt;p_horizon,"",SUMIFS(TblCalculs[RAM provisionnée],TblCalculs[Mois],$B52,TblCalculs[Plateforme],"ROKS"))</f>
        <v>3360</v>
      </c>
      <c r="G52" s="47">
        <f>IF($A52&gt;p_horizon,"",SUMIFS(TblCalculs[Workers],TblCalculs[Mois],$B52,TblCalculs[Plateforme],"IKS"))</f>
        <v>54</v>
      </c>
      <c r="H52" s="47">
        <f>IF($A52&gt;p_horizon,"",SUMIFS(TblCalculs[Workers],TblCalculs[Mois],$B52,TblCalculs[Plateforme],"ROKS"))</f>
        <v>72</v>
      </c>
      <c r="I52" s="27">
        <f>IF($A52&gt;p_horizon,"",SUMIFS(TblCalculs[Coût mensuel],TblCalculs[Mois],$B52,TblCalculs[Plateforme],"IKS"))</f>
        <v>74541</v>
      </c>
      <c r="J52" s="27">
        <f>IF($A52&gt;p_horizon,"",SUMIFS(TblCalculs[Coût mensuel],TblCalculs[Mois],$B52,TblCalculs[Plateforme],"ROKS"))</f>
        <v>33792</v>
      </c>
      <c r="K52" s="27">
        <f t="shared" si="1"/>
        <v>108333</v>
      </c>
      <c r="L52" s="27">
        <f t="shared" si="2"/>
        <v>0</v>
      </c>
      <c r="M52" s="27">
        <f>IF($A52&gt;p_horizon,"",SUM($L$23:L52))</f>
        <v>16992</v>
      </c>
      <c r="N52" s="47">
        <f>IF($A52&gt;p_horizon,"",SUMPRODUCT((TblApplications[Action]="À migrer")*(TblApplications[Mois prov (calc)]&lt;=$B52)*(TblApplications[Mois lib (calc)]&gt;$B52)))</f>
        <v>0</v>
      </c>
      <c r="O52" s="47">
        <f t="shared" si="3"/>
        <v>2592</v>
      </c>
      <c r="P52" s="47">
        <f>IF($A52&gt;p_horizon,"",SUMIFS(TblCalculs[Besoin CPU],TblCalculs[Mois],$B52,TblCalculs[Plateforme],"ROKS"))</f>
        <v>758</v>
      </c>
      <c r="Q52" s="47">
        <f>IF($A52&gt;p_horizon,"",SUMIFS(TblCalculs[Besoin RAM],TblCalculs[Mois],$B52,TblCalculs[Plateforme],"ROKS"))</f>
        <v>3356</v>
      </c>
      <c r="R52" s="27">
        <f>IF($A52&gt;p_horizon,"",SUMIFS(TblCalculs[Sans DR – coût],TblCalculs[Mois],$B52))</f>
        <v>108333</v>
      </c>
      <c r="S52" s="27">
        <f>IF($A52&gt;p_horizon,"",SUMIFS(TblCalculs[Sans migration – coût],TblCalculs[Mois],$B52))</f>
        <v>122055</v>
      </c>
      <c r="T52" s="27">
        <f t="shared" si="4"/>
        <v>-13722</v>
      </c>
      <c r="U52" s="27">
        <f>IF($A52&gt;p_horizon,"",SUMIFS(TblCalculs[Coût mensuel],TblCalculs[Mois],$B52,TblCalculs[Plateforme],"IKS",TblCalculs[Environnement],p_envcrit))</f>
        <v>74541</v>
      </c>
      <c r="V52" s="27">
        <f>IF($A52&gt;p_horizon,"",SUMIFS(TblCalculs[Coût mensuel],TblCalculs[Mois],$B52,TblCalculs[Plateforme],"ROKS",TblCalculs[Environnement],p_envcrit))</f>
        <v>33792</v>
      </c>
      <c r="W52" s="27">
        <f>IF($A52&gt;p_horizon,"",SUMIFS(TblCalculs[Coût mensuel],TblCalculs[Mois],$B52,TblCalculs[Environnement],p_envcrit)-SUMIFS(TblCalculs[Sans DR – coût],TblCalculs[Mois],$B52,TblCalculs[Environnement],p_envcrit))</f>
        <v>0</v>
      </c>
      <c r="X52" s="27">
        <f t="shared" si="5"/>
        <v>108333</v>
      </c>
    </row>
    <row r="53" spans="1:24" x14ac:dyDescent="0.2">
      <c r="A53" s="47">
        <v>31</v>
      </c>
      <c r="B53" s="33">
        <f t="shared" si="0"/>
        <v>47209</v>
      </c>
      <c r="C53" s="47">
        <f>IF($A53&gt;p_horizon,"",SUMIFS(TblCalculs[CPU provisionné],TblCalculs[Mois],$B53,TblCalculs[Plateforme],"IKS"))</f>
        <v>1824</v>
      </c>
      <c r="D53" s="47">
        <f>IF($A53&gt;p_horizon,"",SUMIFS(TblCalculs[CPU provisionné],TblCalculs[Mois],$B53,TblCalculs[Plateforme],"ROKS"))</f>
        <v>768</v>
      </c>
      <c r="E53" s="47">
        <f>IF($A53&gt;p_horizon,"",SUMIFS(TblCalculs[RAM provisionnée],TblCalculs[Mois],$B53,TblCalculs[Plateforme],"IKS"))</f>
        <v>12288</v>
      </c>
      <c r="F53" s="47">
        <f>IF($A53&gt;p_horizon,"",SUMIFS(TblCalculs[RAM provisionnée],TblCalculs[Mois],$B53,TblCalculs[Plateforme],"ROKS"))</f>
        <v>3360</v>
      </c>
      <c r="G53" s="47">
        <f>IF($A53&gt;p_horizon,"",SUMIFS(TblCalculs[Workers],TblCalculs[Mois],$B53,TblCalculs[Plateforme],"IKS"))</f>
        <v>54</v>
      </c>
      <c r="H53" s="47">
        <f>IF($A53&gt;p_horizon,"",SUMIFS(TblCalculs[Workers],TblCalculs[Mois],$B53,TblCalculs[Plateforme],"ROKS"))</f>
        <v>72</v>
      </c>
      <c r="I53" s="27">
        <f>IF($A53&gt;p_horizon,"",SUMIFS(TblCalculs[Coût mensuel],TblCalculs[Mois],$B53,TblCalculs[Plateforme],"IKS"))</f>
        <v>74541</v>
      </c>
      <c r="J53" s="27">
        <f>IF($A53&gt;p_horizon,"",SUMIFS(TblCalculs[Coût mensuel],TblCalculs[Mois],$B53,TblCalculs[Plateforme],"ROKS"))</f>
        <v>33792</v>
      </c>
      <c r="K53" s="27">
        <f t="shared" si="1"/>
        <v>108333</v>
      </c>
      <c r="L53" s="27">
        <f t="shared" si="2"/>
        <v>0</v>
      </c>
      <c r="M53" s="27">
        <f>IF($A53&gt;p_horizon,"",SUM($L$23:L53))</f>
        <v>16992</v>
      </c>
      <c r="N53" s="47">
        <f>IF($A53&gt;p_horizon,"",SUMPRODUCT((TblApplications[Action]="À migrer")*(TblApplications[Mois prov (calc)]&lt;=$B53)*(TblApplications[Mois lib (calc)]&gt;$B53)))</f>
        <v>0</v>
      </c>
      <c r="O53" s="47">
        <f t="shared" si="3"/>
        <v>2592</v>
      </c>
      <c r="P53" s="47">
        <f>IF($A53&gt;p_horizon,"",SUMIFS(TblCalculs[Besoin CPU],TblCalculs[Mois],$B53,TblCalculs[Plateforme],"ROKS"))</f>
        <v>758</v>
      </c>
      <c r="Q53" s="47">
        <f>IF($A53&gt;p_horizon,"",SUMIFS(TblCalculs[Besoin RAM],TblCalculs[Mois],$B53,TblCalculs[Plateforme],"ROKS"))</f>
        <v>3356</v>
      </c>
      <c r="R53" s="27">
        <f>IF($A53&gt;p_horizon,"",SUMIFS(TblCalculs[Sans DR – coût],TblCalculs[Mois],$B53))</f>
        <v>108333</v>
      </c>
      <c r="S53" s="27">
        <f>IF($A53&gt;p_horizon,"",SUMIFS(TblCalculs[Sans migration – coût],TblCalculs[Mois],$B53))</f>
        <v>122055</v>
      </c>
      <c r="T53" s="27">
        <f t="shared" si="4"/>
        <v>-13722</v>
      </c>
      <c r="U53" s="27">
        <f>IF($A53&gt;p_horizon,"",SUMIFS(TblCalculs[Coût mensuel],TblCalculs[Mois],$B53,TblCalculs[Plateforme],"IKS",TblCalculs[Environnement],p_envcrit))</f>
        <v>74541</v>
      </c>
      <c r="V53" s="27">
        <f>IF($A53&gt;p_horizon,"",SUMIFS(TblCalculs[Coût mensuel],TblCalculs[Mois],$B53,TblCalculs[Plateforme],"ROKS",TblCalculs[Environnement],p_envcrit))</f>
        <v>33792</v>
      </c>
      <c r="W53" s="27">
        <f>IF($A53&gt;p_horizon,"",SUMIFS(TblCalculs[Coût mensuel],TblCalculs[Mois],$B53,TblCalculs[Environnement],p_envcrit)-SUMIFS(TblCalculs[Sans DR – coût],TblCalculs[Mois],$B53,TblCalculs[Environnement],p_envcrit))</f>
        <v>0</v>
      </c>
      <c r="X53" s="27">
        <f t="shared" si="5"/>
        <v>108333</v>
      </c>
    </row>
    <row r="54" spans="1:24" x14ac:dyDescent="0.2">
      <c r="A54" s="47">
        <v>32</v>
      </c>
      <c r="B54" s="33">
        <f t="shared" si="0"/>
        <v>47239</v>
      </c>
      <c r="C54" s="47">
        <f>IF($A54&gt;p_horizon,"",SUMIFS(TblCalculs[CPU provisionné],TblCalculs[Mois],$B54,TblCalculs[Plateforme],"IKS"))</f>
        <v>1824</v>
      </c>
      <c r="D54" s="47">
        <f>IF($A54&gt;p_horizon,"",SUMIFS(TblCalculs[CPU provisionné],TblCalculs[Mois],$B54,TblCalculs[Plateforme],"ROKS"))</f>
        <v>768</v>
      </c>
      <c r="E54" s="47">
        <f>IF($A54&gt;p_horizon,"",SUMIFS(TblCalculs[RAM provisionnée],TblCalculs[Mois],$B54,TblCalculs[Plateforme],"IKS"))</f>
        <v>12288</v>
      </c>
      <c r="F54" s="47">
        <f>IF($A54&gt;p_horizon,"",SUMIFS(TblCalculs[RAM provisionnée],TblCalculs[Mois],$B54,TblCalculs[Plateforme],"ROKS"))</f>
        <v>3360</v>
      </c>
      <c r="G54" s="47">
        <f>IF($A54&gt;p_horizon,"",SUMIFS(TblCalculs[Workers],TblCalculs[Mois],$B54,TblCalculs[Plateforme],"IKS"))</f>
        <v>54</v>
      </c>
      <c r="H54" s="47">
        <f>IF($A54&gt;p_horizon,"",SUMIFS(TblCalculs[Workers],TblCalculs[Mois],$B54,TblCalculs[Plateforme],"ROKS"))</f>
        <v>72</v>
      </c>
      <c r="I54" s="27">
        <f>IF($A54&gt;p_horizon,"",SUMIFS(TblCalculs[Coût mensuel],TblCalculs[Mois],$B54,TblCalculs[Plateforme],"IKS"))</f>
        <v>74541</v>
      </c>
      <c r="J54" s="27">
        <f>IF($A54&gt;p_horizon,"",SUMIFS(TblCalculs[Coût mensuel],TblCalculs[Mois],$B54,TblCalculs[Plateforme],"ROKS"))</f>
        <v>33792</v>
      </c>
      <c r="K54" s="27">
        <f t="shared" si="1"/>
        <v>108333</v>
      </c>
      <c r="L54" s="27">
        <f t="shared" si="2"/>
        <v>0</v>
      </c>
      <c r="M54" s="27">
        <f>IF($A54&gt;p_horizon,"",SUM($L$23:L54))</f>
        <v>16992</v>
      </c>
      <c r="N54" s="47">
        <f>IF($A54&gt;p_horizon,"",SUMPRODUCT((TblApplications[Action]="À migrer")*(TblApplications[Mois prov (calc)]&lt;=$B54)*(TblApplications[Mois lib (calc)]&gt;$B54)))</f>
        <v>0</v>
      </c>
      <c r="O54" s="47">
        <f t="shared" si="3"/>
        <v>2592</v>
      </c>
      <c r="P54" s="47">
        <f>IF($A54&gt;p_horizon,"",SUMIFS(TblCalculs[Besoin CPU],TblCalculs[Mois],$B54,TblCalculs[Plateforme],"ROKS"))</f>
        <v>758</v>
      </c>
      <c r="Q54" s="47">
        <f>IF($A54&gt;p_horizon,"",SUMIFS(TblCalculs[Besoin RAM],TblCalculs[Mois],$B54,TblCalculs[Plateforme],"ROKS"))</f>
        <v>3356</v>
      </c>
      <c r="R54" s="27">
        <f>IF($A54&gt;p_horizon,"",SUMIFS(TblCalculs[Sans DR – coût],TblCalculs[Mois],$B54))</f>
        <v>108333</v>
      </c>
      <c r="S54" s="27">
        <f>IF($A54&gt;p_horizon,"",SUMIFS(TblCalculs[Sans migration – coût],TblCalculs[Mois],$B54))</f>
        <v>122055</v>
      </c>
      <c r="T54" s="27">
        <f t="shared" si="4"/>
        <v>-13722</v>
      </c>
      <c r="U54" s="27">
        <f>IF($A54&gt;p_horizon,"",SUMIFS(TblCalculs[Coût mensuel],TblCalculs[Mois],$B54,TblCalculs[Plateforme],"IKS",TblCalculs[Environnement],p_envcrit))</f>
        <v>74541</v>
      </c>
      <c r="V54" s="27">
        <f>IF($A54&gt;p_horizon,"",SUMIFS(TblCalculs[Coût mensuel],TblCalculs[Mois],$B54,TblCalculs[Plateforme],"ROKS",TblCalculs[Environnement],p_envcrit))</f>
        <v>33792</v>
      </c>
      <c r="W54" s="27">
        <f>IF($A54&gt;p_horizon,"",SUMIFS(TblCalculs[Coût mensuel],TblCalculs[Mois],$B54,TblCalculs[Environnement],p_envcrit)-SUMIFS(TblCalculs[Sans DR – coût],TblCalculs[Mois],$B54,TblCalculs[Environnement],p_envcrit))</f>
        <v>0</v>
      </c>
      <c r="X54" s="27">
        <f t="shared" si="5"/>
        <v>108333</v>
      </c>
    </row>
    <row r="55" spans="1:24" x14ac:dyDescent="0.2">
      <c r="A55" s="47">
        <v>33</v>
      </c>
      <c r="B55" s="33">
        <f t="shared" si="0"/>
        <v>47270</v>
      </c>
      <c r="C55" s="47">
        <f>IF($A55&gt;p_horizon,"",SUMIFS(TblCalculs[CPU provisionné],TblCalculs[Mois],$B55,TblCalculs[Plateforme],"IKS"))</f>
        <v>1824</v>
      </c>
      <c r="D55" s="47">
        <f>IF($A55&gt;p_horizon,"",SUMIFS(TblCalculs[CPU provisionné],TblCalculs[Mois],$B55,TblCalculs[Plateforme],"ROKS"))</f>
        <v>768</v>
      </c>
      <c r="E55" s="47">
        <f>IF($A55&gt;p_horizon,"",SUMIFS(TblCalculs[RAM provisionnée],TblCalculs[Mois],$B55,TblCalculs[Plateforme],"IKS"))</f>
        <v>12288</v>
      </c>
      <c r="F55" s="47">
        <f>IF($A55&gt;p_horizon,"",SUMIFS(TblCalculs[RAM provisionnée],TblCalculs[Mois],$B55,TblCalculs[Plateforme],"ROKS"))</f>
        <v>3360</v>
      </c>
      <c r="G55" s="47">
        <f>IF($A55&gt;p_horizon,"",SUMIFS(TblCalculs[Workers],TblCalculs[Mois],$B55,TblCalculs[Plateforme],"IKS"))</f>
        <v>54</v>
      </c>
      <c r="H55" s="47">
        <f>IF($A55&gt;p_horizon,"",SUMIFS(TblCalculs[Workers],TblCalculs[Mois],$B55,TblCalculs[Plateforme],"ROKS"))</f>
        <v>72</v>
      </c>
      <c r="I55" s="27">
        <f>IF($A55&gt;p_horizon,"",SUMIFS(TblCalculs[Coût mensuel],TblCalculs[Mois],$B55,TblCalculs[Plateforme],"IKS"))</f>
        <v>74541</v>
      </c>
      <c r="J55" s="27">
        <f>IF($A55&gt;p_horizon,"",SUMIFS(TblCalculs[Coût mensuel],TblCalculs[Mois],$B55,TblCalculs[Plateforme],"ROKS"))</f>
        <v>33792</v>
      </c>
      <c r="K55" s="27">
        <f t="shared" si="1"/>
        <v>108333</v>
      </c>
      <c r="L55" s="27">
        <f t="shared" si="2"/>
        <v>0</v>
      </c>
      <c r="M55" s="27">
        <f>IF($A55&gt;p_horizon,"",SUM($L$23:L55))</f>
        <v>16992</v>
      </c>
      <c r="N55" s="47">
        <f>IF($A55&gt;p_horizon,"",SUMPRODUCT((TblApplications[Action]="À migrer")*(TblApplications[Mois prov (calc)]&lt;=$B55)*(TblApplications[Mois lib (calc)]&gt;$B55)))</f>
        <v>0</v>
      </c>
      <c r="O55" s="47">
        <f t="shared" si="3"/>
        <v>2592</v>
      </c>
      <c r="P55" s="47">
        <f>IF($A55&gt;p_horizon,"",SUMIFS(TblCalculs[Besoin CPU],TblCalculs[Mois],$B55,TblCalculs[Plateforme],"ROKS"))</f>
        <v>758</v>
      </c>
      <c r="Q55" s="47">
        <f>IF($A55&gt;p_horizon,"",SUMIFS(TblCalculs[Besoin RAM],TblCalculs[Mois],$B55,TblCalculs[Plateforme],"ROKS"))</f>
        <v>3356</v>
      </c>
      <c r="R55" s="27">
        <f>IF($A55&gt;p_horizon,"",SUMIFS(TblCalculs[Sans DR – coût],TblCalculs[Mois],$B55))</f>
        <v>108333</v>
      </c>
      <c r="S55" s="27">
        <f>IF($A55&gt;p_horizon,"",SUMIFS(TblCalculs[Sans migration – coût],TblCalculs[Mois],$B55))</f>
        <v>122055</v>
      </c>
      <c r="T55" s="27">
        <f t="shared" si="4"/>
        <v>-13722</v>
      </c>
      <c r="U55" s="27">
        <f>IF($A55&gt;p_horizon,"",SUMIFS(TblCalculs[Coût mensuel],TblCalculs[Mois],$B55,TblCalculs[Plateforme],"IKS",TblCalculs[Environnement],p_envcrit))</f>
        <v>74541</v>
      </c>
      <c r="V55" s="27">
        <f>IF($A55&gt;p_horizon,"",SUMIFS(TblCalculs[Coût mensuel],TblCalculs[Mois],$B55,TblCalculs[Plateforme],"ROKS",TblCalculs[Environnement],p_envcrit))</f>
        <v>33792</v>
      </c>
      <c r="W55" s="27">
        <f>IF($A55&gt;p_horizon,"",SUMIFS(TblCalculs[Coût mensuel],TblCalculs[Mois],$B55,TblCalculs[Environnement],p_envcrit)-SUMIFS(TblCalculs[Sans DR – coût],TblCalculs[Mois],$B55,TblCalculs[Environnement],p_envcrit))</f>
        <v>0</v>
      </c>
      <c r="X55" s="27">
        <f t="shared" si="5"/>
        <v>108333</v>
      </c>
    </row>
    <row r="56" spans="1:24" x14ac:dyDescent="0.2">
      <c r="A56" s="47">
        <v>34</v>
      </c>
      <c r="B56" s="33">
        <f t="shared" si="0"/>
        <v>47300</v>
      </c>
      <c r="C56" s="47">
        <f>IF($A56&gt;p_horizon,"",SUMIFS(TblCalculs[CPU provisionné],TblCalculs[Mois],$B56,TblCalculs[Plateforme],"IKS"))</f>
        <v>1824</v>
      </c>
      <c r="D56" s="47">
        <f>IF($A56&gt;p_horizon,"",SUMIFS(TblCalculs[CPU provisionné],TblCalculs[Mois],$B56,TblCalculs[Plateforme],"ROKS"))</f>
        <v>768</v>
      </c>
      <c r="E56" s="47">
        <f>IF($A56&gt;p_horizon,"",SUMIFS(TblCalculs[RAM provisionnée],TblCalculs[Mois],$B56,TblCalculs[Plateforme],"IKS"))</f>
        <v>12288</v>
      </c>
      <c r="F56" s="47">
        <f>IF($A56&gt;p_horizon,"",SUMIFS(TblCalculs[RAM provisionnée],TblCalculs[Mois],$B56,TblCalculs[Plateforme],"ROKS"))</f>
        <v>3360</v>
      </c>
      <c r="G56" s="47">
        <f>IF($A56&gt;p_horizon,"",SUMIFS(TblCalculs[Workers],TblCalculs[Mois],$B56,TblCalculs[Plateforme],"IKS"))</f>
        <v>54</v>
      </c>
      <c r="H56" s="47">
        <f>IF($A56&gt;p_horizon,"",SUMIFS(TblCalculs[Workers],TblCalculs[Mois],$B56,TblCalculs[Plateforme],"ROKS"))</f>
        <v>72</v>
      </c>
      <c r="I56" s="27">
        <f>IF($A56&gt;p_horizon,"",SUMIFS(TblCalculs[Coût mensuel],TblCalculs[Mois],$B56,TblCalculs[Plateforme],"IKS"))</f>
        <v>74541</v>
      </c>
      <c r="J56" s="27">
        <f>IF($A56&gt;p_horizon,"",SUMIFS(TblCalculs[Coût mensuel],TblCalculs[Mois],$B56,TblCalculs[Plateforme],"ROKS"))</f>
        <v>33792</v>
      </c>
      <c r="K56" s="27">
        <f t="shared" si="1"/>
        <v>108333</v>
      </c>
      <c r="L56" s="27">
        <f t="shared" si="2"/>
        <v>0</v>
      </c>
      <c r="M56" s="27">
        <f>IF($A56&gt;p_horizon,"",SUM($L$23:L56))</f>
        <v>16992</v>
      </c>
      <c r="N56" s="47">
        <f>IF($A56&gt;p_horizon,"",SUMPRODUCT((TblApplications[Action]="À migrer")*(TblApplications[Mois prov (calc)]&lt;=$B56)*(TblApplications[Mois lib (calc)]&gt;$B56)))</f>
        <v>0</v>
      </c>
      <c r="O56" s="47">
        <f t="shared" si="3"/>
        <v>2592</v>
      </c>
      <c r="P56" s="47">
        <f>IF($A56&gt;p_horizon,"",SUMIFS(TblCalculs[Besoin CPU],TblCalculs[Mois],$B56,TblCalculs[Plateforme],"ROKS"))</f>
        <v>758</v>
      </c>
      <c r="Q56" s="47">
        <f>IF($A56&gt;p_horizon,"",SUMIFS(TblCalculs[Besoin RAM],TblCalculs[Mois],$B56,TblCalculs[Plateforme],"ROKS"))</f>
        <v>3356</v>
      </c>
      <c r="R56" s="27">
        <f>IF($A56&gt;p_horizon,"",SUMIFS(TblCalculs[Sans DR – coût],TblCalculs[Mois],$B56))</f>
        <v>108333</v>
      </c>
      <c r="S56" s="27">
        <f>IF($A56&gt;p_horizon,"",SUMIFS(TblCalculs[Sans migration – coût],TblCalculs[Mois],$B56))</f>
        <v>122055</v>
      </c>
      <c r="T56" s="27">
        <f t="shared" si="4"/>
        <v>-13722</v>
      </c>
      <c r="U56" s="27">
        <f>IF($A56&gt;p_horizon,"",SUMIFS(TblCalculs[Coût mensuel],TblCalculs[Mois],$B56,TblCalculs[Plateforme],"IKS",TblCalculs[Environnement],p_envcrit))</f>
        <v>74541</v>
      </c>
      <c r="V56" s="27">
        <f>IF($A56&gt;p_horizon,"",SUMIFS(TblCalculs[Coût mensuel],TblCalculs[Mois],$B56,TblCalculs[Plateforme],"ROKS",TblCalculs[Environnement],p_envcrit))</f>
        <v>33792</v>
      </c>
      <c r="W56" s="27">
        <f>IF($A56&gt;p_horizon,"",SUMIFS(TblCalculs[Coût mensuel],TblCalculs[Mois],$B56,TblCalculs[Environnement],p_envcrit)-SUMIFS(TblCalculs[Sans DR – coût],TblCalculs[Mois],$B56,TblCalculs[Environnement],p_envcrit))</f>
        <v>0</v>
      </c>
      <c r="X56" s="27">
        <f t="shared" si="5"/>
        <v>108333</v>
      </c>
    </row>
    <row r="57" spans="1:24" x14ac:dyDescent="0.2">
      <c r="A57" s="47">
        <v>35</v>
      </c>
      <c r="B57" s="33">
        <f t="shared" si="0"/>
        <v>47331</v>
      </c>
      <c r="C57" s="47">
        <f>IF($A57&gt;p_horizon,"",SUMIFS(TblCalculs[CPU provisionné],TblCalculs[Mois],$B57,TblCalculs[Plateforme],"IKS"))</f>
        <v>1824</v>
      </c>
      <c r="D57" s="47">
        <f>IF($A57&gt;p_horizon,"",SUMIFS(TblCalculs[CPU provisionné],TblCalculs[Mois],$B57,TblCalculs[Plateforme],"ROKS"))</f>
        <v>768</v>
      </c>
      <c r="E57" s="47">
        <f>IF($A57&gt;p_horizon,"",SUMIFS(TblCalculs[RAM provisionnée],TblCalculs[Mois],$B57,TblCalculs[Plateforme],"IKS"))</f>
        <v>12288</v>
      </c>
      <c r="F57" s="47">
        <f>IF($A57&gt;p_horizon,"",SUMIFS(TblCalculs[RAM provisionnée],TblCalculs[Mois],$B57,TblCalculs[Plateforme],"ROKS"))</f>
        <v>3360</v>
      </c>
      <c r="G57" s="47">
        <f>IF($A57&gt;p_horizon,"",SUMIFS(TblCalculs[Workers],TblCalculs[Mois],$B57,TblCalculs[Plateforme],"IKS"))</f>
        <v>54</v>
      </c>
      <c r="H57" s="47">
        <f>IF($A57&gt;p_horizon,"",SUMIFS(TblCalculs[Workers],TblCalculs[Mois],$B57,TblCalculs[Plateforme],"ROKS"))</f>
        <v>72</v>
      </c>
      <c r="I57" s="27">
        <f>IF($A57&gt;p_horizon,"",SUMIFS(TblCalculs[Coût mensuel],TblCalculs[Mois],$B57,TblCalculs[Plateforme],"IKS"))</f>
        <v>74541</v>
      </c>
      <c r="J57" s="27">
        <f>IF($A57&gt;p_horizon,"",SUMIFS(TblCalculs[Coût mensuel],TblCalculs[Mois],$B57,TblCalculs[Plateforme],"ROKS"))</f>
        <v>33792</v>
      </c>
      <c r="K57" s="27">
        <f t="shared" si="1"/>
        <v>108333</v>
      </c>
      <c r="L57" s="27">
        <f t="shared" si="2"/>
        <v>0</v>
      </c>
      <c r="M57" s="27">
        <f>IF($A57&gt;p_horizon,"",SUM($L$23:L57))</f>
        <v>16992</v>
      </c>
      <c r="N57" s="47">
        <f>IF($A57&gt;p_horizon,"",SUMPRODUCT((TblApplications[Action]="À migrer")*(TblApplications[Mois prov (calc)]&lt;=$B57)*(TblApplications[Mois lib (calc)]&gt;$B57)))</f>
        <v>0</v>
      </c>
      <c r="O57" s="47">
        <f t="shared" si="3"/>
        <v>2592</v>
      </c>
      <c r="P57" s="47">
        <f>IF($A57&gt;p_horizon,"",SUMIFS(TblCalculs[Besoin CPU],TblCalculs[Mois],$B57,TblCalculs[Plateforme],"ROKS"))</f>
        <v>758</v>
      </c>
      <c r="Q57" s="47">
        <f>IF($A57&gt;p_horizon,"",SUMIFS(TblCalculs[Besoin RAM],TblCalculs[Mois],$B57,TblCalculs[Plateforme],"ROKS"))</f>
        <v>3356</v>
      </c>
      <c r="R57" s="27">
        <f>IF($A57&gt;p_horizon,"",SUMIFS(TblCalculs[Sans DR – coût],TblCalculs[Mois],$B57))</f>
        <v>108333</v>
      </c>
      <c r="S57" s="27">
        <f>IF($A57&gt;p_horizon,"",SUMIFS(TblCalculs[Sans migration – coût],TblCalculs[Mois],$B57))</f>
        <v>122055</v>
      </c>
      <c r="T57" s="27">
        <f t="shared" si="4"/>
        <v>-13722</v>
      </c>
      <c r="U57" s="27">
        <f>IF($A57&gt;p_horizon,"",SUMIFS(TblCalculs[Coût mensuel],TblCalculs[Mois],$B57,TblCalculs[Plateforme],"IKS",TblCalculs[Environnement],p_envcrit))</f>
        <v>74541</v>
      </c>
      <c r="V57" s="27">
        <f>IF($A57&gt;p_horizon,"",SUMIFS(TblCalculs[Coût mensuel],TblCalculs[Mois],$B57,TblCalculs[Plateforme],"ROKS",TblCalculs[Environnement],p_envcrit))</f>
        <v>33792</v>
      </c>
      <c r="W57" s="27">
        <f>IF($A57&gt;p_horizon,"",SUMIFS(TblCalculs[Coût mensuel],TblCalculs[Mois],$B57,TblCalculs[Environnement],p_envcrit)-SUMIFS(TblCalculs[Sans DR – coût],TblCalculs[Mois],$B57,TblCalculs[Environnement],p_envcrit))</f>
        <v>0</v>
      </c>
      <c r="X57" s="27">
        <f t="shared" si="5"/>
        <v>108333</v>
      </c>
    </row>
    <row r="58" spans="1:24" x14ac:dyDescent="0.2">
      <c r="A58" s="47">
        <v>36</v>
      </c>
      <c r="B58" s="33">
        <f t="shared" si="0"/>
        <v>47362</v>
      </c>
      <c r="C58" s="47">
        <f>IF($A58&gt;p_horizon,"",SUMIFS(TblCalculs[CPU provisionné],TblCalculs[Mois],$B58,TblCalculs[Plateforme],"IKS"))</f>
        <v>1824</v>
      </c>
      <c r="D58" s="47">
        <f>IF($A58&gt;p_horizon,"",SUMIFS(TblCalculs[CPU provisionné],TblCalculs[Mois],$B58,TblCalculs[Plateforme],"ROKS"))</f>
        <v>768</v>
      </c>
      <c r="E58" s="47">
        <f>IF($A58&gt;p_horizon,"",SUMIFS(TblCalculs[RAM provisionnée],TblCalculs[Mois],$B58,TblCalculs[Plateforme],"IKS"))</f>
        <v>12288</v>
      </c>
      <c r="F58" s="47">
        <f>IF($A58&gt;p_horizon,"",SUMIFS(TblCalculs[RAM provisionnée],TblCalculs[Mois],$B58,TblCalculs[Plateforme],"ROKS"))</f>
        <v>3360</v>
      </c>
      <c r="G58" s="47">
        <f>IF($A58&gt;p_horizon,"",SUMIFS(TblCalculs[Workers],TblCalculs[Mois],$B58,TblCalculs[Plateforme],"IKS"))</f>
        <v>54</v>
      </c>
      <c r="H58" s="47">
        <f>IF($A58&gt;p_horizon,"",SUMIFS(TblCalculs[Workers],TblCalculs[Mois],$B58,TblCalculs[Plateforme],"ROKS"))</f>
        <v>72</v>
      </c>
      <c r="I58" s="27">
        <f>IF($A58&gt;p_horizon,"",SUMIFS(TblCalculs[Coût mensuel],TblCalculs[Mois],$B58,TblCalculs[Plateforme],"IKS"))</f>
        <v>74541</v>
      </c>
      <c r="J58" s="27">
        <f>IF($A58&gt;p_horizon,"",SUMIFS(TblCalculs[Coût mensuel],TblCalculs[Mois],$B58,TblCalculs[Plateforme],"ROKS"))</f>
        <v>33792</v>
      </c>
      <c r="K58" s="27">
        <f t="shared" si="1"/>
        <v>108333</v>
      </c>
      <c r="L58" s="27">
        <f t="shared" si="2"/>
        <v>0</v>
      </c>
      <c r="M58" s="27">
        <f>IF($A58&gt;p_horizon,"",SUM($L$23:L58))</f>
        <v>16992</v>
      </c>
      <c r="N58" s="47">
        <f>IF($A58&gt;p_horizon,"",SUMPRODUCT((TblApplications[Action]="À migrer")*(TblApplications[Mois prov (calc)]&lt;=$B58)*(TblApplications[Mois lib (calc)]&gt;$B58)))</f>
        <v>0</v>
      </c>
      <c r="O58" s="47">
        <f t="shared" si="3"/>
        <v>2592</v>
      </c>
      <c r="P58" s="47">
        <f>IF($A58&gt;p_horizon,"",SUMIFS(TblCalculs[Besoin CPU],TblCalculs[Mois],$B58,TblCalculs[Plateforme],"ROKS"))</f>
        <v>758</v>
      </c>
      <c r="Q58" s="47">
        <f>IF($A58&gt;p_horizon,"",SUMIFS(TblCalculs[Besoin RAM],TblCalculs[Mois],$B58,TblCalculs[Plateforme],"ROKS"))</f>
        <v>3356</v>
      </c>
      <c r="R58" s="27">
        <f>IF($A58&gt;p_horizon,"",SUMIFS(TblCalculs[Sans DR – coût],TblCalculs[Mois],$B58))</f>
        <v>108333</v>
      </c>
      <c r="S58" s="27">
        <f>IF($A58&gt;p_horizon,"",SUMIFS(TblCalculs[Sans migration – coût],TblCalculs[Mois],$B58))</f>
        <v>122055</v>
      </c>
      <c r="T58" s="27">
        <f t="shared" si="4"/>
        <v>-13722</v>
      </c>
      <c r="U58" s="27">
        <f>IF($A58&gt;p_horizon,"",SUMIFS(TblCalculs[Coût mensuel],TblCalculs[Mois],$B58,TblCalculs[Plateforme],"IKS",TblCalculs[Environnement],p_envcrit))</f>
        <v>74541</v>
      </c>
      <c r="V58" s="27">
        <f>IF($A58&gt;p_horizon,"",SUMIFS(TblCalculs[Coût mensuel],TblCalculs[Mois],$B58,TblCalculs[Plateforme],"ROKS",TblCalculs[Environnement],p_envcrit))</f>
        <v>33792</v>
      </c>
      <c r="W58" s="27">
        <f>IF($A58&gt;p_horizon,"",SUMIFS(TblCalculs[Coût mensuel],TblCalculs[Mois],$B58,TblCalculs[Environnement],p_envcrit)-SUMIFS(TblCalculs[Sans DR – coût],TblCalculs[Mois],$B58,TblCalculs[Environnement],p_envcrit))</f>
        <v>0</v>
      </c>
      <c r="X58" s="27">
        <f t="shared" si="5"/>
        <v>108333</v>
      </c>
    </row>
    <row r="62" spans="1:24" x14ac:dyDescent="0.2">
      <c r="A62" s="57" t="s">
        <v>140</v>
      </c>
    </row>
    <row r="63" spans="1:24" ht="45" customHeight="1" x14ac:dyDescent="0.2">
      <c r="A63" s="25" t="s">
        <v>60</v>
      </c>
      <c r="B63" s="25" t="s">
        <v>61</v>
      </c>
      <c r="C63" s="25" t="s">
        <v>141</v>
      </c>
      <c r="D63" s="25" t="s">
        <v>142</v>
      </c>
      <c r="E63" s="25" t="s">
        <v>143</v>
      </c>
      <c r="F63" s="25" t="s">
        <v>144</v>
      </c>
      <c r="G63" s="25" t="s">
        <v>145</v>
      </c>
      <c r="H63" s="25" t="s">
        <v>146</v>
      </c>
      <c r="I63" s="25" t="s">
        <v>147</v>
      </c>
      <c r="J63" s="25" t="s">
        <v>148</v>
      </c>
      <c r="K63" s="25" t="s">
        <v>23</v>
      </c>
      <c r="L63" s="25" t="s">
        <v>149</v>
      </c>
      <c r="M63" s="25" t="s">
        <v>150</v>
      </c>
      <c r="N63" s="25" t="s">
        <v>26</v>
      </c>
    </row>
    <row r="64" spans="1:24" x14ac:dyDescent="0.2">
      <c r="A64" s="47" t="str">
        <f>IFERROR(IF(INDEX(TblClusters[Cluster],1)="","",INDEX(TblClusters[Cluster],1)),"")</f>
        <v>oc002i000577</v>
      </c>
      <c r="B64" s="47" t="str">
        <f>IF($A64="","",INDEX(TblClusters[Plateforme],1))</f>
        <v>ROKS</v>
      </c>
      <c r="C64" s="47">
        <f>IF($A64="","",SUMIFS(TblCalculs[CPU provisionné],TblCalculs[Cluster],$A64,TblCalculs[Idx mois],1))</f>
        <v>48</v>
      </c>
      <c r="D64" s="47">
        <f>IF($A64="","",SUMIFS(TblCalculs[CPU provisionné],TblCalculs[Cluster],$A64,TblCalculs[Idx mois],p_horizon))</f>
        <v>96</v>
      </c>
      <c r="E64" s="47">
        <f>IF($A64="","",SUMIFS(TblCalculs[RAM provisionnée],TblCalculs[Cluster],$A64,TblCalculs[Idx mois],1))</f>
        <v>240</v>
      </c>
      <c r="F64" s="47">
        <f>IF($A64="","",SUMIFS(TblCalculs[RAM provisionnée],TblCalculs[Cluster],$A64,TblCalculs[Idx mois],p_horizon))</f>
        <v>480</v>
      </c>
      <c r="G64" s="47">
        <f>IF($A64="","",SUMIFS(TblCalculs[Workers],TblCalculs[Cluster],$A64,TblCalculs[Idx mois],1))</f>
        <v>6</v>
      </c>
      <c r="H64" s="47">
        <f>IF($A64="","",SUMIFS(TblCalculs[Workers],TblCalculs[Cluster],$A64,TblCalculs[Idx mois],p_horizon))</f>
        <v>12</v>
      </c>
      <c r="I64" s="47">
        <f>IF($A64="","",SUMIFS(TblCalculs[Besoin CPU],TblCalculs[Cluster],$A64,TblCalculs[Idx mois],p_horizon))</f>
        <v>86</v>
      </c>
      <c r="J64" s="47">
        <f>IF($A64="","",SUMIFS(TblCalculs[Besoin RAM],TblCalculs[Cluster],$A64,TblCalculs[Idx mois],p_horizon))</f>
        <v>476</v>
      </c>
      <c r="K64" s="27">
        <f>IF($A64="","",SUMIFS(TblCalculs[Coût mensuel],TblCalculs[Cluster],$A64))</f>
        <v>126592</v>
      </c>
      <c r="L64" s="27">
        <f>IF($A64="","",SUMIFS(TblCalculs[Coût mensuel],TblCalculs[Cluster],$A64)-SUMIFS(TblCalculs[Sans DR – coût],TblCalculs[Cluster],$A64))</f>
        <v>0</v>
      </c>
      <c r="M64" s="27">
        <f>IF($A64="","",SUMIFS(TblCalculs[Coût mensuel],TblCalculs[Cluster],$A64)-SUMIFS(TblCalculs[Sans migration – coût],TblCalculs[Cluster],$A64))</f>
        <v>47104</v>
      </c>
      <c r="N64" s="47" t="str">
        <f>IF($A64="","",INDEX(TblClusters[Environnement],1))</f>
        <v>PRD</v>
      </c>
    </row>
    <row r="65" spans="1:14" x14ac:dyDescent="0.2">
      <c r="A65" s="47" t="str">
        <f>IFERROR(IF(INDEX(TblClusters[Cluster],2)="","",INDEX(TblClusters[Cluster],2)),"")</f>
        <v>oc002i000578</v>
      </c>
      <c r="B65" s="47" t="str">
        <f>IF($A65="","",INDEX(TblClusters[Plateforme],2))</f>
        <v>ROKS</v>
      </c>
      <c r="C65" s="47">
        <f>IF($A65="","",SUMIFS(TblCalculs[CPU provisionné],TblCalculs[Cluster],$A65,TblCalculs[Idx mois],1))</f>
        <v>192</v>
      </c>
      <c r="D65" s="47">
        <f>IF($A65="","",SUMIFS(TblCalculs[CPU provisionné],TblCalculs[Cluster],$A65,TblCalculs[Idx mois],p_horizon))</f>
        <v>192</v>
      </c>
      <c r="E65" s="47">
        <f>IF($A65="","",SUMIFS(TblCalculs[RAM provisionnée],TblCalculs[Cluster],$A65,TblCalculs[Idx mois],1))</f>
        <v>480</v>
      </c>
      <c r="F65" s="47">
        <f>IF($A65="","",SUMIFS(TblCalculs[RAM provisionnée],TblCalculs[Cluster],$A65,TblCalculs[Idx mois],p_horizon))</f>
        <v>480</v>
      </c>
      <c r="G65" s="47">
        <f>IF($A65="","",SUMIFS(TblCalculs[Workers],TblCalculs[Cluster],$A65,TblCalculs[Idx mois],1))</f>
        <v>6</v>
      </c>
      <c r="H65" s="47">
        <f>IF($A65="","",SUMIFS(TblCalculs[Workers],TblCalculs[Cluster],$A65,TblCalculs[Idx mois],p_horizon))</f>
        <v>6</v>
      </c>
      <c r="I65" s="47">
        <f>IF($A65="","",SUMIFS(TblCalculs[Besoin CPU],TblCalculs[Cluster],$A65,TblCalculs[Idx mois],p_horizon))</f>
        <v>192</v>
      </c>
      <c r="J65" s="47">
        <f>IF($A65="","",SUMIFS(TblCalculs[Besoin RAM],TblCalculs[Cluster],$A65,TblCalculs[Idx mois],p_horizon))</f>
        <v>480</v>
      </c>
      <c r="K65" s="27">
        <f>IF($A65="","",SUMIFS(TblCalculs[Coût mensuel],TblCalculs[Cluster],$A65))</f>
        <v>262656</v>
      </c>
      <c r="L65" s="27">
        <f>IF($A65="","",SUMIFS(TblCalculs[Coût mensuel],TblCalculs[Cluster],$A65)-SUMIFS(TblCalculs[Sans DR – coût],TblCalculs[Cluster],$A65))</f>
        <v>0</v>
      </c>
      <c r="M65" s="27">
        <f>IF($A65="","",SUMIFS(TblCalculs[Coût mensuel],TblCalculs[Cluster],$A65)-SUMIFS(TblCalculs[Sans migration – coût],TblCalculs[Cluster],$A65))</f>
        <v>0</v>
      </c>
      <c r="N65" s="47" t="str">
        <f>IF($A65="","",INDEX(TblClusters[Environnement],2))</f>
        <v>NPRD</v>
      </c>
    </row>
    <row r="66" spans="1:14" x14ac:dyDescent="0.2">
      <c r="A66" s="47" t="str">
        <f>IFERROR(IF(INDEX(TblClusters[Cluster],3)="","",INDEX(TblClusters[Cluster],3)),"")</f>
        <v>oc002i000807</v>
      </c>
      <c r="B66" s="47" t="str">
        <f>IF($A66="","",INDEX(TblClusters[Plateforme],3))</f>
        <v>ROKS</v>
      </c>
      <c r="C66" s="47">
        <f>IF($A66="","",SUMIFS(TblCalculs[CPU provisionné],TblCalculs[Cluster],$A66,TblCalculs[Idx mois],1))</f>
        <v>96</v>
      </c>
      <c r="D66" s="47">
        <f>IF($A66="","",SUMIFS(TblCalculs[CPU provisionné],TblCalculs[Cluster],$A66,TblCalculs[Idx mois],p_horizon))</f>
        <v>96</v>
      </c>
      <c r="E66" s="47">
        <f>IF($A66="","",SUMIFS(TblCalculs[RAM provisionnée],TblCalculs[Cluster],$A66,TblCalculs[Idx mois],1))</f>
        <v>480</v>
      </c>
      <c r="F66" s="47">
        <f>IF($A66="","",SUMIFS(TblCalculs[RAM provisionnée],TblCalculs[Cluster],$A66,TblCalculs[Idx mois],p_horizon))</f>
        <v>480</v>
      </c>
      <c r="G66" s="47">
        <f>IF($A66="","",SUMIFS(TblCalculs[Workers],TblCalculs[Cluster],$A66,TblCalculs[Idx mois],1))</f>
        <v>6</v>
      </c>
      <c r="H66" s="47">
        <f>IF($A66="","",SUMIFS(TblCalculs[Workers],TblCalculs[Cluster],$A66,TblCalculs[Idx mois],p_horizon))</f>
        <v>6</v>
      </c>
      <c r="I66" s="47">
        <f>IF($A66="","",SUMIFS(TblCalculs[Besoin CPU],TblCalculs[Cluster],$A66,TblCalculs[Idx mois],p_horizon))</f>
        <v>96</v>
      </c>
      <c r="J66" s="47">
        <f>IF($A66="","",SUMIFS(TblCalculs[Besoin RAM],TblCalculs[Cluster],$A66,TblCalculs[Idx mois],p_horizon))</f>
        <v>480</v>
      </c>
      <c r="K66" s="27">
        <f>IF($A66="","",SUMIFS(TblCalculs[Coût mensuel],TblCalculs[Cluster],$A66))</f>
        <v>158976</v>
      </c>
      <c r="L66" s="27">
        <f>IF($A66="","",SUMIFS(TblCalculs[Coût mensuel],TblCalculs[Cluster],$A66)-SUMIFS(TblCalculs[Sans DR – coût],TblCalculs[Cluster],$A66))</f>
        <v>0</v>
      </c>
      <c r="M66" s="27">
        <f>IF($A66="","",SUMIFS(TblCalculs[Coût mensuel],TblCalculs[Cluster],$A66)-SUMIFS(TblCalculs[Sans migration – coût],TblCalculs[Cluster],$A66))</f>
        <v>0</v>
      </c>
      <c r="N66" s="47" t="str">
        <f>IF($A66="","",INDEX(TblClusters[Environnement],3))</f>
        <v>NPRD</v>
      </c>
    </row>
    <row r="67" spans="1:14" x14ac:dyDescent="0.2">
      <c r="A67" s="47" t="str">
        <f>IFERROR(IF(INDEX(TblClusters[Cluster],4)="","",INDEX(TblClusters[Cluster],4)),"")</f>
        <v>oc002i000809</v>
      </c>
      <c r="B67" s="47" t="str">
        <f>IF($A67="","",INDEX(TblClusters[Plateforme],4))</f>
        <v>ROKS</v>
      </c>
      <c r="C67" s="47">
        <f>IF($A67="","",SUMIFS(TblCalculs[CPU provisionné],TblCalculs[Cluster],$A67,TblCalculs[Idx mois],1))</f>
        <v>48</v>
      </c>
      <c r="D67" s="47">
        <f>IF($A67="","",SUMIFS(TblCalculs[CPU provisionné],TblCalculs[Cluster],$A67,TblCalculs[Idx mois],p_horizon))</f>
        <v>48</v>
      </c>
      <c r="E67" s="47">
        <f>IF($A67="","",SUMIFS(TblCalculs[RAM provisionnée],TblCalculs[Cluster],$A67,TblCalculs[Idx mois],1))</f>
        <v>240</v>
      </c>
      <c r="F67" s="47">
        <f>IF($A67="","",SUMIFS(TblCalculs[RAM provisionnée],TblCalculs[Cluster],$A67,TblCalculs[Idx mois],p_horizon))</f>
        <v>240</v>
      </c>
      <c r="G67" s="47">
        <f>IF($A67="","",SUMIFS(TblCalculs[Workers],TblCalculs[Cluster],$A67,TblCalculs[Idx mois],1))</f>
        <v>6</v>
      </c>
      <c r="H67" s="47">
        <f>IF($A67="","",SUMIFS(TblCalculs[Workers],TblCalculs[Cluster],$A67,TblCalculs[Idx mois],p_horizon))</f>
        <v>6</v>
      </c>
      <c r="I67" s="47">
        <f>IF($A67="","",SUMIFS(TblCalculs[Besoin CPU],TblCalculs[Cluster],$A67,TblCalculs[Idx mois],p_horizon))</f>
        <v>48</v>
      </c>
      <c r="J67" s="47">
        <f>IF($A67="","",SUMIFS(TblCalculs[Besoin RAM],TblCalculs[Cluster],$A67,TblCalculs[Idx mois],p_horizon))</f>
        <v>240</v>
      </c>
      <c r="K67" s="27">
        <f>IF($A67="","",SUMIFS(TblCalculs[Coût mensuel],TblCalculs[Cluster],$A67))</f>
        <v>79488</v>
      </c>
      <c r="L67" s="27">
        <f>IF($A67="","",SUMIFS(TblCalculs[Coût mensuel],TblCalculs[Cluster],$A67)-SUMIFS(TblCalculs[Sans DR – coût],TblCalculs[Cluster],$A67))</f>
        <v>0</v>
      </c>
      <c r="M67" s="27">
        <f>IF($A67="","",SUMIFS(TblCalculs[Coût mensuel],TblCalculs[Cluster],$A67)-SUMIFS(TblCalculs[Sans migration – coût],TblCalculs[Cluster],$A67))</f>
        <v>0</v>
      </c>
      <c r="N67" s="47" t="str">
        <f>IF($A67="","",INDEX(TblClusters[Environnement],4))</f>
        <v>PRD</v>
      </c>
    </row>
    <row r="68" spans="1:14" x14ac:dyDescent="0.2">
      <c r="A68" s="47" t="str">
        <f>IFERROR(IF(INDEX(TblClusters[Cluster],5)="","",INDEX(TblClusters[Cluster],5)),"")</f>
        <v>oc002i000849</v>
      </c>
      <c r="B68" s="47" t="str">
        <f>IF($A68="","",INDEX(TblClusters[Plateforme],5))</f>
        <v>ROKS</v>
      </c>
      <c r="C68" s="47">
        <f>IF($A68="","",SUMIFS(TblCalculs[CPU provisionné],TblCalculs[Cluster],$A68,TblCalculs[Idx mois],1))</f>
        <v>48</v>
      </c>
      <c r="D68" s="47">
        <f>IF($A68="","",SUMIFS(TblCalculs[CPU provisionné],TblCalculs[Cluster],$A68,TblCalculs[Idx mois],p_horizon))</f>
        <v>48</v>
      </c>
      <c r="E68" s="47">
        <f>IF($A68="","",SUMIFS(TblCalculs[RAM provisionnée],TblCalculs[Cluster],$A68,TblCalculs[Idx mois],1))</f>
        <v>240</v>
      </c>
      <c r="F68" s="47">
        <f>IF($A68="","",SUMIFS(TblCalculs[RAM provisionnée],TblCalculs[Cluster],$A68,TblCalculs[Idx mois],p_horizon))</f>
        <v>240</v>
      </c>
      <c r="G68" s="47">
        <f>IF($A68="","",SUMIFS(TblCalculs[Workers],TblCalculs[Cluster],$A68,TblCalculs[Idx mois],1))</f>
        <v>6</v>
      </c>
      <c r="H68" s="47">
        <f>IF($A68="","",SUMIFS(TblCalculs[Workers],TblCalculs[Cluster],$A68,TblCalculs[Idx mois],p_horizon))</f>
        <v>6</v>
      </c>
      <c r="I68" s="47">
        <f>IF($A68="","",SUMIFS(TblCalculs[Besoin CPU],TblCalculs[Cluster],$A68,TblCalculs[Idx mois],p_horizon))</f>
        <v>48</v>
      </c>
      <c r="J68" s="47">
        <f>IF($A68="","",SUMIFS(TblCalculs[Besoin RAM],TblCalculs[Cluster],$A68,TblCalculs[Idx mois],p_horizon))</f>
        <v>240</v>
      </c>
      <c r="K68" s="27">
        <f>IF($A68="","",SUMIFS(TblCalculs[Coût mensuel],TblCalculs[Cluster],$A68))</f>
        <v>79488</v>
      </c>
      <c r="L68" s="27">
        <f>IF($A68="","",SUMIFS(TblCalculs[Coût mensuel],TblCalculs[Cluster],$A68)-SUMIFS(TblCalculs[Sans DR – coût],TblCalculs[Cluster],$A68))</f>
        <v>0</v>
      </c>
      <c r="M68" s="27">
        <f>IF($A68="","",SUMIFS(TblCalculs[Coût mensuel],TblCalculs[Cluster],$A68)-SUMIFS(TblCalculs[Sans migration – coût],TblCalculs[Cluster],$A68))</f>
        <v>0</v>
      </c>
      <c r="N68" s="47" t="str">
        <f>IF($A68="","",INDEX(TblClusters[Environnement],5))</f>
        <v>NPRD</v>
      </c>
    </row>
    <row r="69" spans="1:14" x14ac:dyDescent="0.2">
      <c r="A69" s="47" t="str">
        <f>IFERROR(IF(INDEX(TblClusters[Cluster],6)="","",INDEX(TblClusters[Cluster],6)),"")</f>
        <v>oc002i000850</v>
      </c>
      <c r="B69" s="47" t="str">
        <f>IF($A69="","",INDEX(TblClusters[Plateforme],6))</f>
        <v>ROKS</v>
      </c>
      <c r="C69" s="47">
        <f>IF($A69="","",SUMIFS(TblCalculs[CPU provisionné],TblCalculs[Cluster],$A69,TblCalculs[Idx mois],1))</f>
        <v>48</v>
      </c>
      <c r="D69" s="47">
        <f>IF($A69="","",SUMIFS(TblCalculs[CPU provisionné],TblCalculs[Cluster],$A69,TblCalculs[Idx mois],p_horizon))</f>
        <v>48</v>
      </c>
      <c r="E69" s="47">
        <f>IF($A69="","",SUMIFS(TblCalculs[RAM provisionnée],TblCalculs[Cluster],$A69,TblCalculs[Idx mois],1))</f>
        <v>240</v>
      </c>
      <c r="F69" s="47">
        <f>IF($A69="","",SUMIFS(TblCalculs[RAM provisionnée],TblCalculs[Cluster],$A69,TblCalculs[Idx mois],p_horizon))</f>
        <v>240</v>
      </c>
      <c r="G69" s="47">
        <f>IF($A69="","",SUMIFS(TblCalculs[Workers],TblCalculs[Cluster],$A69,TblCalculs[Idx mois],1))</f>
        <v>6</v>
      </c>
      <c r="H69" s="47">
        <f>IF($A69="","",SUMIFS(TblCalculs[Workers],TblCalculs[Cluster],$A69,TblCalculs[Idx mois],p_horizon))</f>
        <v>6</v>
      </c>
      <c r="I69" s="47">
        <f>IF($A69="","",SUMIFS(TblCalculs[Besoin CPU],TblCalculs[Cluster],$A69,TblCalculs[Idx mois],p_horizon))</f>
        <v>48</v>
      </c>
      <c r="J69" s="47">
        <f>IF($A69="","",SUMIFS(TblCalculs[Besoin RAM],TblCalculs[Cluster],$A69,TblCalculs[Idx mois],p_horizon))</f>
        <v>240</v>
      </c>
      <c r="K69" s="27">
        <f>IF($A69="","",SUMIFS(TblCalculs[Coût mensuel],TblCalculs[Cluster],$A69))</f>
        <v>79488</v>
      </c>
      <c r="L69" s="27">
        <f>IF($A69="","",SUMIFS(TblCalculs[Coût mensuel],TblCalculs[Cluster],$A69)-SUMIFS(TblCalculs[Sans DR – coût],TblCalculs[Cluster],$A69))</f>
        <v>0</v>
      </c>
      <c r="M69" s="27">
        <f>IF($A69="","",SUMIFS(TblCalculs[Coût mensuel],TblCalculs[Cluster],$A69)-SUMIFS(TblCalculs[Sans migration – coût],TblCalculs[Cluster],$A69))</f>
        <v>0</v>
      </c>
      <c r="N69" s="47" t="str">
        <f>IF($A69="","",INDEX(TblClusters[Environnement],6))</f>
        <v>PRD</v>
      </c>
    </row>
    <row r="70" spans="1:14" x14ac:dyDescent="0.2">
      <c r="A70" s="47" t="str">
        <f>IFERROR(IF(INDEX(TblClusters[Cluster],7)="","",INDEX(TblClusters[Cluster],7)),"")</f>
        <v>oc002i001009</v>
      </c>
      <c r="B70" s="47" t="str">
        <f>IF($A70="","",INDEX(TblClusters[Plateforme],7))</f>
        <v>ROKS</v>
      </c>
      <c r="C70" s="47">
        <f>IF($A70="","",SUMIFS(TblCalculs[CPU provisionné],TblCalculs[Cluster],$A70,TblCalculs[Idx mois],1))</f>
        <v>0</v>
      </c>
      <c r="D70" s="47">
        <f>IF($A70="","",SUMIFS(TblCalculs[CPU provisionné],TblCalculs[Cluster],$A70,TblCalculs[Idx mois],p_horizon))</f>
        <v>0</v>
      </c>
      <c r="E70" s="47">
        <f>IF($A70="","",SUMIFS(TblCalculs[RAM provisionnée],TblCalculs[Cluster],$A70,TblCalculs[Idx mois],1))</f>
        <v>0</v>
      </c>
      <c r="F70" s="47">
        <f>IF($A70="","",SUMIFS(TblCalculs[RAM provisionnée],TblCalculs[Cluster],$A70,TblCalculs[Idx mois],p_horizon))</f>
        <v>0</v>
      </c>
      <c r="G70" s="47">
        <f>IF($A70="","",SUMIFS(TblCalculs[Workers],TblCalculs[Cluster],$A70,TblCalculs[Idx mois],1))</f>
        <v>0</v>
      </c>
      <c r="H70" s="47">
        <f>IF($A70="","",SUMIFS(TblCalculs[Workers],TblCalculs[Cluster],$A70,TblCalculs[Idx mois],p_horizon))</f>
        <v>0</v>
      </c>
      <c r="I70" s="47">
        <f>IF($A70="","",SUMIFS(TblCalculs[Besoin CPU],TblCalculs[Cluster],$A70,TblCalculs[Idx mois],p_horizon))</f>
        <v>0</v>
      </c>
      <c r="J70" s="47">
        <f>IF($A70="","",SUMIFS(TblCalculs[Besoin RAM],TblCalculs[Cluster],$A70,TblCalculs[Idx mois],p_horizon))</f>
        <v>0</v>
      </c>
      <c r="K70" s="27">
        <f>IF($A70="","",SUMIFS(TblCalculs[Coût mensuel],TblCalculs[Cluster],$A70))</f>
        <v>0</v>
      </c>
      <c r="L70" s="27">
        <f>IF($A70="","",SUMIFS(TblCalculs[Coût mensuel],TblCalculs[Cluster],$A70)-SUMIFS(TblCalculs[Sans DR – coût],TblCalculs[Cluster],$A70))</f>
        <v>0</v>
      </c>
      <c r="M70" s="27">
        <f>IF($A70="","",SUMIFS(TblCalculs[Coût mensuel],TblCalculs[Cluster],$A70)-SUMIFS(TblCalculs[Sans migration – coût],TblCalculs[Cluster],$A70))</f>
        <v>0</v>
      </c>
      <c r="N70" s="47" t="str">
        <f>IF($A70="","",INDEX(TblClusters[Environnement],7))</f>
        <v>NPRD</v>
      </c>
    </row>
    <row r="71" spans="1:14" x14ac:dyDescent="0.2">
      <c r="A71" s="47" t="str">
        <f>IFERROR(IF(INDEX(TblClusters[Cluster],8)="","",INDEX(TblClusters[Cluster],8)),"")</f>
        <v>oc002i001010</v>
      </c>
      <c r="B71" s="47" t="str">
        <f>IF($A71="","",INDEX(TblClusters[Plateforme],8))</f>
        <v>ROKS</v>
      </c>
      <c r="C71" s="47">
        <f>IF($A71="","",SUMIFS(TblCalculs[CPU provisionné],TblCalculs[Cluster],$A71,TblCalculs[Idx mois],1))</f>
        <v>48</v>
      </c>
      <c r="D71" s="47">
        <f>IF($A71="","",SUMIFS(TblCalculs[CPU provisionné],TblCalculs[Cluster],$A71,TblCalculs[Idx mois],p_horizon))</f>
        <v>48</v>
      </c>
      <c r="E71" s="47">
        <f>IF($A71="","",SUMIFS(TblCalculs[RAM provisionnée],TblCalculs[Cluster],$A71,TblCalculs[Idx mois],1))</f>
        <v>240</v>
      </c>
      <c r="F71" s="47">
        <f>IF($A71="","",SUMIFS(TblCalculs[RAM provisionnée],TblCalculs[Cluster],$A71,TblCalculs[Idx mois],p_horizon))</f>
        <v>240</v>
      </c>
      <c r="G71" s="47">
        <f>IF($A71="","",SUMIFS(TblCalculs[Workers],TblCalculs[Cluster],$A71,TblCalculs[Idx mois],1))</f>
        <v>6</v>
      </c>
      <c r="H71" s="47">
        <f>IF($A71="","",SUMIFS(TblCalculs[Workers],TblCalculs[Cluster],$A71,TblCalculs[Idx mois],p_horizon))</f>
        <v>6</v>
      </c>
      <c r="I71" s="47">
        <f>IF($A71="","",SUMIFS(TblCalculs[Besoin CPU],TblCalculs[Cluster],$A71,TblCalculs[Idx mois],p_horizon))</f>
        <v>48</v>
      </c>
      <c r="J71" s="47">
        <f>IF($A71="","",SUMIFS(TblCalculs[Besoin RAM],TblCalculs[Cluster],$A71,TblCalculs[Idx mois],p_horizon))</f>
        <v>240</v>
      </c>
      <c r="K71" s="27">
        <f>IF($A71="","",SUMIFS(TblCalculs[Coût mensuel],TblCalculs[Cluster],$A71))</f>
        <v>79488</v>
      </c>
      <c r="L71" s="27">
        <f>IF($A71="","",SUMIFS(TblCalculs[Coût mensuel],TblCalculs[Cluster],$A71)-SUMIFS(TblCalculs[Sans DR – coût],TblCalculs[Cluster],$A71))</f>
        <v>0</v>
      </c>
      <c r="M71" s="27">
        <f>IF($A71="","",SUMIFS(TblCalculs[Coût mensuel],TblCalculs[Cluster],$A71)-SUMIFS(TblCalculs[Sans migration – coût],TblCalculs[Cluster],$A71))</f>
        <v>0</v>
      </c>
      <c r="N71" s="47" t="str">
        <f>IF($A71="","",INDEX(TblClusters[Environnement],8))</f>
        <v>NPRD</v>
      </c>
    </row>
    <row r="72" spans="1:14" x14ac:dyDescent="0.2">
      <c r="A72" s="47" t="str">
        <f>IFERROR(IF(INDEX(TblClusters[Cluster],9)="","",INDEX(TblClusters[Cluster],9)),"")</f>
        <v>oc002i001011</v>
      </c>
      <c r="B72" s="47" t="str">
        <f>IF($A72="","",INDEX(TblClusters[Plateforme],9))</f>
        <v>ROKS</v>
      </c>
      <c r="C72" s="47">
        <f>IF($A72="","",SUMIFS(TblCalculs[CPU provisionné],TblCalculs[Cluster],$A72,TblCalculs[Idx mois],1))</f>
        <v>0</v>
      </c>
      <c r="D72" s="47">
        <f>IF($A72="","",SUMIFS(TblCalculs[CPU provisionné],TblCalculs[Cluster],$A72,TblCalculs[Idx mois],p_horizon))</f>
        <v>0</v>
      </c>
      <c r="E72" s="47">
        <f>IF($A72="","",SUMIFS(TblCalculs[RAM provisionnée],TblCalculs[Cluster],$A72,TblCalculs[Idx mois],1))</f>
        <v>0</v>
      </c>
      <c r="F72" s="47">
        <f>IF($A72="","",SUMIFS(TblCalculs[RAM provisionnée],TblCalculs[Cluster],$A72,TblCalculs[Idx mois],p_horizon))</f>
        <v>0</v>
      </c>
      <c r="G72" s="47">
        <f>IF($A72="","",SUMIFS(TblCalculs[Workers],TblCalculs[Cluster],$A72,TblCalculs[Idx mois],1))</f>
        <v>0</v>
      </c>
      <c r="H72" s="47">
        <f>IF($A72="","",SUMIFS(TblCalculs[Workers],TblCalculs[Cluster],$A72,TblCalculs[Idx mois],p_horizon))</f>
        <v>0</v>
      </c>
      <c r="I72" s="47">
        <f>IF($A72="","",SUMIFS(TblCalculs[Besoin CPU],TblCalculs[Cluster],$A72,TblCalculs[Idx mois],p_horizon))</f>
        <v>0</v>
      </c>
      <c r="J72" s="47">
        <f>IF($A72="","",SUMIFS(TblCalculs[Besoin RAM],TblCalculs[Cluster],$A72,TblCalculs[Idx mois],p_horizon))</f>
        <v>0</v>
      </c>
      <c r="K72" s="27">
        <f>IF($A72="","",SUMIFS(TblCalculs[Coût mensuel],TblCalculs[Cluster],$A72))</f>
        <v>0</v>
      </c>
      <c r="L72" s="27">
        <f>IF($A72="","",SUMIFS(TblCalculs[Coût mensuel],TblCalculs[Cluster],$A72)-SUMIFS(TblCalculs[Sans DR – coût],TblCalculs[Cluster],$A72))</f>
        <v>0</v>
      </c>
      <c r="M72" s="27">
        <f>IF($A72="","",SUMIFS(TblCalculs[Coût mensuel],TblCalculs[Cluster],$A72)-SUMIFS(TblCalculs[Sans migration – coût],TblCalculs[Cluster],$A72))</f>
        <v>0</v>
      </c>
      <c r="N72" s="47" t="str">
        <f>IF($A72="","",INDEX(TblClusters[Environnement],9))</f>
        <v>NPRD</v>
      </c>
    </row>
    <row r="73" spans="1:14" x14ac:dyDescent="0.2">
      <c r="A73" s="47" t="str">
        <f>IFERROR(IF(INDEX(TblClusters[Cluster],10)="","",INDEX(TblClusters[Cluster],10)),"")</f>
        <v>oc002i001019</v>
      </c>
      <c r="B73" s="47" t="str">
        <f>IF($A73="","",INDEX(TblClusters[Plateforme],10))</f>
        <v>ROKS</v>
      </c>
      <c r="C73" s="47">
        <f>IF($A73="","",SUMIFS(TblCalculs[CPU provisionné],TblCalculs[Cluster],$A73,TblCalculs[Idx mois],1))</f>
        <v>48</v>
      </c>
      <c r="D73" s="47">
        <f>IF($A73="","",SUMIFS(TblCalculs[CPU provisionné],TblCalculs[Cluster],$A73,TblCalculs[Idx mois],p_horizon))</f>
        <v>48</v>
      </c>
      <c r="E73" s="47">
        <f>IF($A73="","",SUMIFS(TblCalculs[RAM provisionnée],TblCalculs[Cluster],$A73,TblCalculs[Idx mois],1))</f>
        <v>240</v>
      </c>
      <c r="F73" s="47">
        <f>IF($A73="","",SUMIFS(TblCalculs[RAM provisionnée],TblCalculs[Cluster],$A73,TblCalculs[Idx mois],p_horizon))</f>
        <v>240</v>
      </c>
      <c r="G73" s="47">
        <f>IF($A73="","",SUMIFS(TblCalculs[Workers],TblCalculs[Cluster],$A73,TblCalculs[Idx mois],1))</f>
        <v>6</v>
      </c>
      <c r="H73" s="47">
        <f>IF($A73="","",SUMIFS(TblCalculs[Workers],TblCalculs[Cluster],$A73,TblCalculs[Idx mois],p_horizon))</f>
        <v>6</v>
      </c>
      <c r="I73" s="47">
        <f>IF($A73="","",SUMIFS(TblCalculs[Besoin CPU],TblCalculs[Cluster],$A73,TblCalculs[Idx mois],p_horizon))</f>
        <v>48</v>
      </c>
      <c r="J73" s="47">
        <f>IF($A73="","",SUMIFS(TblCalculs[Besoin RAM],TblCalculs[Cluster],$A73,TblCalculs[Idx mois],p_horizon))</f>
        <v>240</v>
      </c>
      <c r="K73" s="27">
        <f>IF($A73="","",SUMIFS(TblCalculs[Coût mensuel],TblCalculs[Cluster],$A73))</f>
        <v>79488</v>
      </c>
      <c r="L73" s="27">
        <f>IF($A73="","",SUMIFS(TblCalculs[Coût mensuel],TblCalculs[Cluster],$A73)-SUMIFS(TblCalculs[Sans DR – coût],TblCalculs[Cluster],$A73))</f>
        <v>0</v>
      </c>
      <c r="M73" s="27">
        <f>IF($A73="","",SUMIFS(TblCalculs[Coût mensuel],TblCalculs[Cluster],$A73)-SUMIFS(TblCalculs[Sans migration – coût],TblCalculs[Cluster],$A73))</f>
        <v>0</v>
      </c>
      <c r="N73" s="47" t="str">
        <f>IF($A73="","",INDEX(TblClusters[Environnement],10))</f>
        <v>PRD</v>
      </c>
    </row>
    <row r="74" spans="1:14" x14ac:dyDescent="0.2">
      <c r="A74" s="47" t="str">
        <f>IFERROR(IF(INDEX(TblClusters[Cluster],11)="","",INDEX(TblClusters[Cluster],11)),"")</f>
        <v>oc-EMEA-NPR</v>
      </c>
      <c r="B74" s="47" t="str">
        <f>IF($A74="","",INDEX(TblClusters[Plateforme],11))</f>
        <v>ROKS</v>
      </c>
      <c r="C74" s="47">
        <f>IF($A74="","",SUMIFS(TblCalculs[CPU provisionné],TblCalculs[Cluster],$A74,TblCalculs[Idx mois],1))</f>
        <v>48</v>
      </c>
      <c r="D74" s="47">
        <f>IF($A74="","",SUMIFS(TblCalculs[CPU provisionné],TblCalculs[Cluster],$A74,TblCalculs[Idx mois],p_horizon))</f>
        <v>48</v>
      </c>
      <c r="E74" s="47">
        <f>IF($A74="","",SUMIFS(TblCalculs[RAM provisionnée],TblCalculs[Cluster],$A74,TblCalculs[Idx mois],1))</f>
        <v>240</v>
      </c>
      <c r="F74" s="47">
        <f>IF($A74="","",SUMIFS(TblCalculs[RAM provisionnée],TblCalculs[Cluster],$A74,TblCalculs[Idx mois],p_horizon))</f>
        <v>240</v>
      </c>
      <c r="G74" s="47">
        <f>IF($A74="","",SUMIFS(TblCalculs[Workers],TblCalculs[Cluster],$A74,TblCalculs[Idx mois],1))</f>
        <v>6</v>
      </c>
      <c r="H74" s="47">
        <f>IF($A74="","",SUMIFS(TblCalculs[Workers],TblCalculs[Cluster],$A74,TblCalculs[Idx mois],p_horizon))</f>
        <v>6</v>
      </c>
      <c r="I74" s="47">
        <f>IF($A74="","",SUMIFS(TblCalculs[Besoin CPU],TblCalculs[Cluster],$A74,TblCalculs[Idx mois],p_horizon))</f>
        <v>48</v>
      </c>
      <c r="J74" s="47">
        <f>IF($A74="","",SUMIFS(TblCalculs[Besoin RAM],TblCalculs[Cluster],$A74,TblCalculs[Idx mois],p_horizon))</f>
        <v>240</v>
      </c>
      <c r="K74" s="27">
        <f>IF($A74="","",SUMIFS(TblCalculs[Coût mensuel],TblCalculs[Cluster],$A74))</f>
        <v>79488</v>
      </c>
      <c r="L74" s="27">
        <f>IF($A74="","",SUMIFS(TblCalculs[Coût mensuel],TblCalculs[Cluster],$A74)-SUMIFS(TblCalculs[Sans DR – coût],TblCalculs[Cluster],$A74))</f>
        <v>0</v>
      </c>
      <c r="M74" s="27">
        <f>IF($A74="","",SUMIFS(TblCalculs[Coût mensuel],TblCalculs[Cluster],$A74)-SUMIFS(TblCalculs[Sans migration – coût],TblCalculs[Cluster],$A74))</f>
        <v>0</v>
      </c>
      <c r="N74" s="47" t="str">
        <f>IF($A74="","",INDEX(TblClusters[Environnement],11))</f>
        <v>NPRD</v>
      </c>
    </row>
    <row r="75" spans="1:14" x14ac:dyDescent="0.2">
      <c r="A75" s="47" t="str">
        <f>IFERROR(IF(INDEX(TblClusters[Cluster],12)="","",INDEX(TblClusters[Cluster],12)),"")</f>
        <v>oc-EMEA-NOS-PRD</v>
      </c>
      <c r="B75" s="47" t="str">
        <f>IF($A75="","",INDEX(TblClusters[Plateforme],12))</f>
        <v>ROKS</v>
      </c>
      <c r="C75" s="47">
        <f>IF($A75="","",SUMIFS(TblCalculs[CPU provisionné],TblCalculs[Cluster],$A75,TblCalculs[Idx mois],1))</f>
        <v>48</v>
      </c>
      <c r="D75" s="47">
        <f>IF($A75="","",SUMIFS(TblCalculs[CPU provisionné],TblCalculs[Cluster],$A75,TblCalculs[Idx mois],p_horizon))</f>
        <v>48</v>
      </c>
      <c r="E75" s="47">
        <f>IF($A75="","",SUMIFS(TblCalculs[RAM provisionnée],TblCalculs[Cluster],$A75,TblCalculs[Idx mois],1))</f>
        <v>240</v>
      </c>
      <c r="F75" s="47">
        <f>IF($A75="","",SUMIFS(TblCalculs[RAM provisionnée],TblCalculs[Cluster],$A75,TblCalculs[Idx mois],p_horizon))</f>
        <v>240</v>
      </c>
      <c r="G75" s="47">
        <f>IF($A75="","",SUMIFS(TblCalculs[Workers],TblCalculs[Cluster],$A75,TblCalculs[Idx mois],1))</f>
        <v>6</v>
      </c>
      <c r="H75" s="47">
        <f>IF($A75="","",SUMIFS(TblCalculs[Workers],TblCalculs[Cluster],$A75,TblCalculs[Idx mois],p_horizon))</f>
        <v>6</v>
      </c>
      <c r="I75" s="47">
        <f>IF($A75="","",SUMIFS(TblCalculs[Besoin CPU],TblCalculs[Cluster],$A75,TblCalculs[Idx mois],p_horizon))</f>
        <v>48</v>
      </c>
      <c r="J75" s="47">
        <f>IF($A75="","",SUMIFS(TblCalculs[Besoin RAM],TblCalculs[Cluster],$A75,TblCalculs[Idx mois],p_horizon))</f>
        <v>240</v>
      </c>
      <c r="K75" s="27">
        <f>IF($A75="","",SUMIFS(TblCalculs[Coût mensuel],TblCalculs[Cluster],$A75))</f>
        <v>79488</v>
      </c>
      <c r="L75" s="27">
        <f>IF($A75="","",SUMIFS(TblCalculs[Coût mensuel],TblCalculs[Cluster],$A75)-SUMIFS(TblCalculs[Sans DR – coût],TblCalculs[Cluster],$A75))</f>
        <v>0</v>
      </c>
      <c r="M75" s="27">
        <f>IF($A75="","",SUMIFS(TblCalculs[Coût mensuel],TblCalculs[Cluster],$A75)-SUMIFS(TblCalculs[Sans migration – coût],TblCalculs[Cluster],$A75))</f>
        <v>0</v>
      </c>
      <c r="N75" s="47" t="str">
        <f>IF($A75="","",INDEX(TblClusters[Environnement],12))</f>
        <v>PRD</v>
      </c>
    </row>
    <row r="76" spans="1:14" x14ac:dyDescent="0.2">
      <c r="A76" s="47" t="str">
        <f>IFERROR(IF(INDEX(TblClusters[Cluster],13)="","",INDEX(TblClusters[Cluster],13)),"")</f>
        <v>oc-EMEA-SEC-PRD</v>
      </c>
      <c r="B76" s="47" t="str">
        <f>IF($A76="","",INDEX(TblClusters[Plateforme],13))</f>
        <v>ROKS</v>
      </c>
      <c r="C76" s="47">
        <f>IF($A76="","",SUMIFS(TblCalculs[CPU provisionné],TblCalculs[Cluster],$A76,TblCalculs[Idx mois],1))</f>
        <v>0</v>
      </c>
      <c r="D76" s="47">
        <f>IF($A76="","",SUMIFS(TblCalculs[CPU provisionné],TblCalculs[Cluster],$A76,TblCalculs[Idx mois],p_horizon))</f>
        <v>0</v>
      </c>
      <c r="E76" s="47">
        <f>IF($A76="","",SUMIFS(TblCalculs[RAM provisionnée],TblCalculs[Cluster],$A76,TblCalculs[Idx mois],1))</f>
        <v>0</v>
      </c>
      <c r="F76" s="47">
        <f>IF($A76="","",SUMIFS(TblCalculs[RAM provisionnée],TblCalculs[Cluster],$A76,TblCalculs[Idx mois],p_horizon))</f>
        <v>0</v>
      </c>
      <c r="G76" s="47">
        <f>IF($A76="","",SUMIFS(TblCalculs[Workers],TblCalculs[Cluster],$A76,TblCalculs[Idx mois],1))</f>
        <v>0</v>
      </c>
      <c r="H76" s="47">
        <f>IF($A76="","",SUMIFS(TblCalculs[Workers],TblCalculs[Cluster],$A76,TblCalculs[Idx mois],p_horizon))</f>
        <v>0</v>
      </c>
      <c r="I76" s="47">
        <f>IF($A76="","",SUMIFS(TblCalculs[Besoin CPU],TblCalculs[Cluster],$A76,TblCalculs[Idx mois],p_horizon))</f>
        <v>0</v>
      </c>
      <c r="J76" s="47">
        <f>IF($A76="","",SUMIFS(TblCalculs[Besoin RAM],TblCalculs[Cluster],$A76,TblCalculs[Idx mois],p_horizon))</f>
        <v>0</v>
      </c>
      <c r="K76" s="27">
        <f>IF($A76="","",SUMIFS(TblCalculs[Coût mensuel],TblCalculs[Cluster],$A76))</f>
        <v>0</v>
      </c>
      <c r="L76" s="27">
        <f>IF($A76="","",SUMIFS(TblCalculs[Coût mensuel],TblCalculs[Cluster],$A76)-SUMIFS(TblCalculs[Sans DR – coût],TblCalculs[Cluster],$A76))</f>
        <v>0</v>
      </c>
      <c r="M76" s="27">
        <f>IF($A76="","",SUMIFS(TblCalculs[Coût mensuel],TblCalculs[Cluster],$A76)-SUMIFS(TblCalculs[Sans migration – coût],TblCalculs[Cluster],$A76))</f>
        <v>0</v>
      </c>
      <c r="N76" s="47" t="str">
        <f>IF($A76="","",INDEX(TblClusters[Environnement],13))</f>
        <v>PRD</v>
      </c>
    </row>
    <row r="77" spans="1:14" x14ac:dyDescent="0.2">
      <c r="A77" s="47" t="str">
        <f>IFERROR(IF(INDEX(TblClusters[Cluster],14)="","",INDEX(TblClusters[Cluster],14)),"")</f>
        <v>oc-JUMP-AEP-PRD</v>
      </c>
      <c r="B77" s="47" t="str">
        <f>IF($A77="","",INDEX(TblClusters[Plateforme],14))</f>
        <v>ROKS</v>
      </c>
      <c r="C77" s="47">
        <f>IF($A77="","",SUMIFS(TblCalculs[CPU provisionné],TblCalculs[Cluster],$A77,TblCalculs[Idx mois],1))</f>
        <v>0</v>
      </c>
      <c r="D77" s="47">
        <f>IF($A77="","",SUMIFS(TblCalculs[CPU provisionné],TblCalculs[Cluster],$A77,TblCalculs[Idx mois],p_horizon))</f>
        <v>0</v>
      </c>
      <c r="E77" s="47">
        <f>IF($A77="","",SUMIFS(TblCalculs[RAM provisionnée],TblCalculs[Cluster],$A77,TblCalculs[Idx mois],1))</f>
        <v>0</v>
      </c>
      <c r="F77" s="47">
        <f>IF($A77="","",SUMIFS(TblCalculs[RAM provisionnée],TblCalculs[Cluster],$A77,TblCalculs[Idx mois],p_horizon))</f>
        <v>0</v>
      </c>
      <c r="G77" s="47">
        <f>IF($A77="","",SUMIFS(TblCalculs[Workers],TblCalculs[Cluster],$A77,TblCalculs[Idx mois],1))</f>
        <v>0</v>
      </c>
      <c r="H77" s="47">
        <f>IF($A77="","",SUMIFS(TblCalculs[Workers],TblCalculs[Cluster],$A77,TblCalculs[Idx mois],p_horizon))</f>
        <v>0</v>
      </c>
      <c r="I77" s="47">
        <f>IF($A77="","",SUMIFS(TblCalculs[Besoin CPU],TblCalculs[Cluster],$A77,TblCalculs[Idx mois],p_horizon))</f>
        <v>0</v>
      </c>
      <c r="J77" s="47">
        <f>IF($A77="","",SUMIFS(TblCalculs[Besoin RAM],TblCalculs[Cluster],$A77,TblCalculs[Idx mois],p_horizon))</f>
        <v>0</v>
      </c>
      <c r="K77" s="27">
        <f>IF($A77="","",SUMIFS(TblCalculs[Coût mensuel],TblCalculs[Cluster],$A77))</f>
        <v>0</v>
      </c>
      <c r="L77" s="27">
        <f>IF($A77="","",SUMIFS(TblCalculs[Coût mensuel],TblCalculs[Cluster],$A77)-SUMIFS(TblCalculs[Sans DR – coût],TblCalculs[Cluster],$A77))</f>
        <v>0</v>
      </c>
      <c r="M77" s="27">
        <f>IF($A77="","",SUMIFS(TblCalculs[Coût mensuel],TblCalculs[Cluster],$A77)-SUMIFS(TblCalculs[Sans migration – coût],TblCalculs[Cluster],$A77))</f>
        <v>0</v>
      </c>
      <c r="N77" s="47" t="str">
        <f>IF($A77="","",INDEX(TblClusters[Environnement],14))</f>
        <v>PRD</v>
      </c>
    </row>
    <row r="78" spans="1:14" x14ac:dyDescent="0.2">
      <c r="A78" s="47" t="str">
        <f>IFERROR(IF(INDEX(TblClusters[Cluster],15)="","",INDEX(TblClusters[Cluster],15)),"")</f>
        <v>oc-JUMP-CLV-PRD</v>
      </c>
      <c r="B78" s="47" t="str">
        <f>IF($A78="","",INDEX(TblClusters[Plateforme],15))</f>
        <v>ROKS</v>
      </c>
      <c r="C78" s="47">
        <f>IF($A78="","",SUMIFS(TblCalculs[CPU provisionné],TblCalculs[Cluster],$A78,TblCalculs[Idx mois],1))</f>
        <v>0</v>
      </c>
      <c r="D78" s="47">
        <f>IF($A78="","",SUMIFS(TblCalculs[CPU provisionné],TblCalculs[Cluster],$A78,TblCalculs[Idx mois],p_horizon))</f>
        <v>0</v>
      </c>
      <c r="E78" s="47">
        <f>IF($A78="","",SUMIFS(TblCalculs[RAM provisionnée],TblCalculs[Cluster],$A78,TblCalculs[Idx mois],1))</f>
        <v>0</v>
      </c>
      <c r="F78" s="47">
        <f>IF($A78="","",SUMIFS(TblCalculs[RAM provisionnée],TblCalculs[Cluster],$A78,TblCalculs[Idx mois],p_horizon))</f>
        <v>0</v>
      </c>
      <c r="G78" s="47">
        <f>IF($A78="","",SUMIFS(TblCalculs[Workers],TblCalculs[Cluster],$A78,TblCalculs[Idx mois],1))</f>
        <v>0</v>
      </c>
      <c r="H78" s="47">
        <f>IF($A78="","",SUMIFS(TblCalculs[Workers],TblCalculs[Cluster],$A78,TblCalculs[Idx mois],p_horizon))</f>
        <v>0</v>
      </c>
      <c r="I78" s="47">
        <f>IF($A78="","",SUMIFS(TblCalculs[Besoin CPU],TblCalculs[Cluster],$A78,TblCalculs[Idx mois],p_horizon))</f>
        <v>0</v>
      </c>
      <c r="J78" s="47">
        <f>IF($A78="","",SUMIFS(TblCalculs[Besoin RAM],TblCalculs[Cluster],$A78,TblCalculs[Idx mois],p_horizon))</f>
        <v>0</v>
      </c>
      <c r="K78" s="27">
        <f>IF($A78="","",SUMIFS(TblCalculs[Coût mensuel],TblCalculs[Cluster],$A78))</f>
        <v>0</v>
      </c>
      <c r="L78" s="27">
        <f>IF($A78="","",SUMIFS(TblCalculs[Coût mensuel],TblCalculs[Cluster],$A78)-SUMIFS(TblCalculs[Sans DR – coût],TblCalculs[Cluster],$A78))</f>
        <v>0</v>
      </c>
      <c r="M78" s="27">
        <f>IF($A78="","",SUMIFS(TblCalculs[Coût mensuel],TblCalculs[Cluster],$A78)-SUMIFS(TblCalculs[Sans migration – coût],TblCalculs[Cluster],$A78))</f>
        <v>0</v>
      </c>
      <c r="N78" s="47" t="str">
        <f>IF($A78="","",INDEX(TblClusters[Environnement],15))</f>
        <v>PRD</v>
      </c>
    </row>
    <row r="79" spans="1:14" x14ac:dyDescent="0.2">
      <c r="A79" s="47" t="str">
        <f>IFERROR(IF(INDEX(TblClusters[Cluster],16)="","",INDEX(TblClusters[Cluster],16)),"")</f>
        <v>oc-JUMP-AEP-NPR</v>
      </c>
      <c r="B79" s="47" t="str">
        <f>IF($A79="","",INDEX(TblClusters[Plateforme],16))</f>
        <v>ROKS</v>
      </c>
      <c r="C79" s="47">
        <f>IF($A79="","",SUMIFS(TblCalculs[CPU provisionné],TblCalculs[Cluster],$A79,TblCalculs[Idx mois],1))</f>
        <v>0</v>
      </c>
      <c r="D79" s="47">
        <f>IF($A79="","",SUMIFS(TblCalculs[CPU provisionné],TblCalculs[Cluster],$A79,TblCalculs[Idx mois],p_horizon))</f>
        <v>0</v>
      </c>
      <c r="E79" s="47">
        <f>IF($A79="","",SUMIFS(TblCalculs[RAM provisionnée],TblCalculs[Cluster],$A79,TblCalculs[Idx mois],1))</f>
        <v>0</v>
      </c>
      <c r="F79" s="47">
        <f>IF($A79="","",SUMIFS(TblCalculs[RAM provisionnée],TblCalculs[Cluster],$A79,TblCalculs[Idx mois],p_horizon))</f>
        <v>0</v>
      </c>
      <c r="G79" s="47">
        <f>IF($A79="","",SUMIFS(TblCalculs[Workers],TblCalculs[Cluster],$A79,TblCalculs[Idx mois],1))</f>
        <v>0</v>
      </c>
      <c r="H79" s="47">
        <f>IF($A79="","",SUMIFS(TblCalculs[Workers],TblCalculs[Cluster],$A79,TblCalculs[Idx mois],p_horizon))</f>
        <v>0</v>
      </c>
      <c r="I79" s="47">
        <f>IF($A79="","",SUMIFS(TblCalculs[Besoin CPU],TblCalculs[Cluster],$A79,TblCalculs[Idx mois],p_horizon))</f>
        <v>0</v>
      </c>
      <c r="J79" s="47">
        <f>IF($A79="","",SUMIFS(TblCalculs[Besoin RAM],TblCalculs[Cluster],$A79,TblCalculs[Idx mois],p_horizon))</f>
        <v>0</v>
      </c>
      <c r="K79" s="27">
        <f>IF($A79="","",SUMIFS(TblCalculs[Coût mensuel],TblCalculs[Cluster],$A79))</f>
        <v>0</v>
      </c>
      <c r="L79" s="27">
        <f>IF($A79="","",SUMIFS(TblCalculs[Coût mensuel],TblCalculs[Cluster],$A79)-SUMIFS(TblCalculs[Sans DR – coût],TblCalculs[Cluster],$A79))</f>
        <v>0</v>
      </c>
      <c r="M79" s="27">
        <f>IF($A79="","",SUMIFS(TblCalculs[Coût mensuel],TblCalculs[Cluster],$A79)-SUMIFS(TblCalculs[Sans migration – coût],TblCalculs[Cluster],$A79))</f>
        <v>0</v>
      </c>
      <c r="N79" s="47" t="str">
        <f>IF($A79="","",INDEX(TblClusters[Environnement],16))</f>
        <v>NPRD</v>
      </c>
    </row>
    <row r="80" spans="1:14" x14ac:dyDescent="0.2">
      <c r="A80" s="47" t="str">
        <f>IFERROR(IF(INDEX(TblClusters[Cluster],17)="","",INDEX(TblClusters[Cluster],17)),"")</f>
        <v>oc-JUMP-CLV-NPR</v>
      </c>
      <c r="B80" s="47" t="str">
        <f>IF($A80="","",INDEX(TblClusters[Plateforme],17))</f>
        <v>ROKS</v>
      </c>
      <c r="C80" s="47">
        <f>IF($A80="","",SUMIFS(TblCalculs[CPU provisionné],TblCalculs[Cluster],$A80,TblCalculs[Idx mois],1))</f>
        <v>0</v>
      </c>
      <c r="D80" s="47">
        <f>IF($A80="","",SUMIFS(TblCalculs[CPU provisionné],TblCalculs[Cluster],$A80,TblCalculs[Idx mois],p_horizon))</f>
        <v>0</v>
      </c>
      <c r="E80" s="47">
        <f>IF($A80="","",SUMIFS(TblCalculs[RAM provisionnée],TblCalculs[Cluster],$A80,TblCalculs[Idx mois],1))</f>
        <v>0</v>
      </c>
      <c r="F80" s="47">
        <f>IF($A80="","",SUMIFS(TblCalculs[RAM provisionnée],TblCalculs[Cluster],$A80,TblCalculs[Idx mois],p_horizon))</f>
        <v>0</v>
      </c>
      <c r="G80" s="47">
        <f>IF($A80="","",SUMIFS(TblCalculs[Workers],TblCalculs[Cluster],$A80,TblCalculs[Idx mois],1))</f>
        <v>0</v>
      </c>
      <c r="H80" s="47">
        <f>IF($A80="","",SUMIFS(TblCalculs[Workers],TblCalculs[Cluster],$A80,TblCalculs[Idx mois],p_horizon))</f>
        <v>0</v>
      </c>
      <c r="I80" s="47">
        <f>IF($A80="","",SUMIFS(TblCalculs[Besoin CPU],TblCalculs[Cluster],$A80,TblCalculs[Idx mois],p_horizon))</f>
        <v>0</v>
      </c>
      <c r="J80" s="47">
        <f>IF($A80="","",SUMIFS(TblCalculs[Besoin RAM],TblCalculs[Cluster],$A80,TblCalculs[Idx mois],p_horizon))</f>
        <v>0</v>
      </c>
      <c r="K80" s="27">
        <f>IF($A80="","",SUMIFS(TblCalculs[Coût mensuel],TblCalculs[Cluster],$A80))</f>
        <v>0</v>
      </c>
      <c r="L80" s="27">
        <f>IF($A80="","",SUMIFS(TblCalculs[Coût mensuel],TblCalculs[Cluster],$A80)-SUMIFS(TblCalculs[Sans DR – coût],TblCalculs[Cluster],$A80))</f>
        <v>0</v>
      </c>
      <c r="M80" s="27">
        <f>IF($A80="","",SUMIFS(TblCalculs[Coût mensuel],TblCalculs[Cluster],$A80)-SUMIFS(TblCalculs[Sans migration – coût],TblCalculs[Cluster],$A80))</f>
        <v>0</v>
      </c>
      <c r="N80" s="47" t="str">
        <f>IF($A80="","",INDEX(TblClusters[Environnement],17))</f>
        <v>NPRD</v>
      </c>
    </row>
    <row r="81" spans="1:14" x14ac:dyDescent="0.2">
      <c r="A81" s="47" t="str">
        <f>IFERROR(IF(INDEX(TblClusters[Cluster],18)="","",INDEX(TblClusters[Cluster],18)),"")</f>
        <v>oc002i001021</v>
      </c>
      <c r="B81" s="47" t="str">
        <f>IF($A81="","",INDEX(TblClusters[Plateforme],18))</f>
        <v>ROKS</v>
      </c>
      <c r="C81" s="47">
        <f>IF($A81="","",SUMIFS(TblCalculs[CPU provisionné],TblCalculs[Cluster],$A81,TblCalculs[Idx mois],1))</f>
        <v>48</v>
      </c>
      <c r="D81" s="47">
        <f>IF($A81="","",SUMIFS(TblCalculs[CPU provisionné],TblCalculs[Cluster],$A81,TblCalculs[Idx mois],p_horizon))</f>
        <v>48</v>
      </c>
      <c r="E81" s="47">
        <f>IF($A81="","",SUMIFS(TblCalculs[RAM provisionnée],TblCalculs[Cluster],$A81,TblCalculs[Idx mois],1))</f>
        <v>240</v>
      </c>
      <c r="F81" s="47">
        <f>IF($A81="","",SUMIFS(TblCalculs[RAM provisionnée],TblCalculs[Cluster],$A81,TblCalculs[Idx mois],p_horizon))</f>
        <v>240</v>
      </c>
      <c r="G81" s="47">
        <f>IF($A81="","",SUMIFS(TblCalculs[Workers],TblCalculs[Cluster],$A81,TblCalculs[Idx mois],1))</f>
        <v>6</v>
      </c>
      <c r="H81" s="47">
        <f>IF($A81="","",SUMIFS(TblCalculs[Workers],TblCalculs[Cluster],$A81,TblCalculs[Idx mois],p_horizon))</f>
        <v>6</v>
      </c>
      <c r="I81" s="47">
        <f>IF($A81="","",SUMIFS(TblCalculs[Besoin CPU],TblCalculs[Cluster],$A81,TblCalculs[Idx mois],p_horizon))</f>
        <v>48</v>
      </c>
      <c r="J81" s="47">
        <f>IF($A81="","",SUMIFS(TblCalculs[Besoin RAM],TblCalculs[Cluster],$A81,TblCalculs[Idx mois],p_horizon))</f>
        <v>240</v>
      </c>
      <c r="K81" s="27">
        <f>IF($A81="","",SUMIFS(TblCalculs[Coût mensuel],TblCalculs[Cluster],$A81))</f>
        <v>79488</v>
      </c>
      <c r="L81" s="27">
        <f>IF($A81="","",SUMIFS(TblCalculs[Coût mensuel],TblCalculs[Cluster],$A81)-SUMIFS(TblCalculs[Sans DR – coût],TblCalculs[Cluster],$A81))</f>
        <v>0</v>
      </c>
      <c r="M81" s="27">
        <f>IF($A81="","",SUMIFS(TblCalculs[Coût mensuel],TblCalculs[Cluster],$A81)-SUMIFS(TblCalculs[Sans migration – coût],TblCalculs[Cluster],$A81))</f>
        <v>0</v>
      </c>
      <c r="N81" s="47" t="str">
        <f>IF($A81="","",INDEX(TblClusters[Environnement],18))</f>
        <v>PRD</v>
      </c>
    </row>
    <row r="82" spans="1:14" x14ac:dyDescent="0.2">
      <c r="A82" s="47" t="str">
        <f>IFERROR(IF(INDEX(TblClusters[Cluster],19)="","",INDEX(TblClusters[Cluster],19)),"")</f>
        <v>oc002i001016</v>
      </c>
      <c r="B82" s="47" t="str">
        <f>IF($A82="","",INDEX(TblClusters[Plateforme],19))</f>
        <v>ROKS</v>
      </c>
      <c r="C82" s="47">
        <f>IF($A82="","",SUMIFS(TblCalculs[CPU provisionné],TblCalculs[Cluster],$A82,TblCalculs[Idx mois],1))</f>
        <v>0</v>
      </c>
      <c r="D82" s="47">
        <f>IF($A82="","",SUMIFS(TblCalculs[CPU provisionné],TblCalculs[Cluster],$A82,TblCalculs[Idx mois],p_horizon))</f>
        <v>0</v>
      </c>
      <c r="E82" s="47">
        <f>IF($A82="","",SUMIFS(TblCalculs[RAM provisionnée],TblCalculs[Cluster],$A82,TblCalculs[Idx mois],1))</f>
        <v>0</v>
      </c>
      <c r="F82" s="47">
        <f>IF($A82="","",SUMIFS(TblCalculs[RAM provisionnée],TblCalculs[Cluster],$A82,TblCalculs[Idx mois],p_horizon))</f>
        <v>0</v>
      </c>
      <c r="G82" s="47">
        <f>IF($A82="","",SUMIFS(TblCalculs[Workers],TblCalculs[Cluster],$A82,TblCalculs[Idx mois],1))</f>
        <v>0</v>
      </c>
      <c r="H82" s="47">
        <f>IF($A82="","",SUMIFS(TblCalculs[Workers],TblCalculs[Cluster],$A82,TblCalculs[Idx mois],p_horizon))</f>
        <v>0</v>
      </c>
      <c r="I82" s="47">
        <f>IF($A82="","",SUMIFS(TblCalculs[Besoin CPU],TblCalculs[Cluster],$A82,TblCalculs[Idx mois],p_horizon))</f>
        <v>0</v>
      </c>
      <c r="J82" s="47">
        <f>IF($A82="","",SUMIFS(TblCalculs[Besoin RAM],TblCalculs[Cluster],$A82,TblCalculs[Idx mois],p_horizon))</f>
        <v>0</v>
      </c>
      <c r="K82" s="27">
        <f>IF($A82="","",SUMIFS(TblCalculs[Coût mensuel],TblCalculs[Cluster],$A82))</f>
        <v>0</v>
      </c>
      <c r="L82" s="27">
        <f>IF($A82="","",SUMIFS(TblCalculs[Coût mensuel],TblCalculs[Cluster],$A82)-SUMIFS(TblCalculs[Sans DR – coût],TblCalculs[Cluster],$A82))</f>
        <v>0</v>
      </c>
      <c r="M82" s="27">
        <f>IF($A82="","",SUMIFS(TblCalculs[Coût mensuel],TblCalculs[Cluster],$A82)-SUMIFS(TblCalculs[Sans migration – coût],TblCalculs[Cluster],$A82))</f>
        <v>0</v>
      </c>
      <c r="N82" s="47" t="str">
        <f>IF($A82="","",INDEX(TblClusters[Environnement],19))</f>
        <v>NPRD</v>
      </c>
    </row>
    <row r="83" spans="1:14" x14ac:dyDescent="0.2">
      <c r="A83" s="47" t="str">
        <f>IFERROR(IF(INDEX(TblClusters[Cluster],20)="","",INDEX(TblClusters[Cluster],20)),"")</f>
        <v>oc-LATAM-NOS-PRD</v>
      </c>
      <c r="B83" s="47" t="str">
        <f>IF($A83="","",INDEX(TblClusters[Plateforme],20))</f>
        <v>ROKS</v>
      </c>
      <c r="C83" s="47">
        <f>IF($A83="","",SUMIFS(TblCalculs[CPU provisionné],TblCalculs[Cluster],$A83,TblCalculs[Idx mois],1))</f>
        <v>0</v>
      </c>
      <c r="D83" s="47">
        <f>IF($A83="","",SUMIFS(TblCalculs[CPU provisionné],TblCalculs[Cluster],$A83,TblCalculs[Idx mois],p_horizon))</f>
        <v>0</v>
      </c>
      <c r="E83" s="47">
        <f>IF($A83="","",SUMIFS(TblCalculs[RAM provisionnée],TblCalculs[Cluster],$A83,TblCalculs[Idx mois],1))</f>
        <v>0</v>
      </c>
      <c r="F83" s="47">
        <f>IF($A83="","",SUMIFS(TblCalculs[RAM provisionnée],TblCalculs[Cluster],$A83,TblCalculs[Idx mois],p_horizon))</f>
        <v>0</v>
      </c>
      <c r="G83" s="47">
        <f>IF($A83="","",SUMIFS(TblCalculs[Workers],TblCalculs[Cluster],$A83,TblCalculs[Idx mois],1))</f>
        <v>0</v>
      </c>
      <c r="H83" s="47">
        <f>IF($A83="","",SUMIFS(TblCalculs[Workers],TblCalculs[Cluster],$A83,TblCalculs[Idx mois],p_horizon))</f>
        <v>0</v>
      </c>
      <c r="I83" s="47">
        <f>IF($A83="","",SUMIFS(TblCalculs[Besoin CPU],TblCalculs[Cluster],$A83,TblCalculs[Idx mois],p_horizon))</f>
        <v>0</v>
      </c>
      <c r="J83" s="47">
        <f>IF($A83="","",SUMIFS(TblCalculs[Besoin RAM],TblCalculs[Cluster],$A83,TblCalculs[Idx mois],p_horizon))</f>
        <v>0</v>
      </c>
      <c r="K83" s="27">
        <f>IF($A83="","",SUMIFS(TblCalculs[Coût mensuel],TblCalculs[Cluster],$A83))</f>
        <v>0</v>
      </c>
      <c r="L83" s="27">
        <f>IF($A83="","",SUMIFS(TblCalculs[Coût mensuel],TblCalculs[Cluster],$A83)-SUMIFS(TblCalculs[Sans DR – coût],TblCalculs[Cluster],$A83))</f>
        <v>0</v>
      </c>
      <c r="M83" s="27">
        <f>IF($A83="","",SUMIFS(TblCalculs[Coût mensuel],TblCalculs[Cluster],$A83)-SUMIFS(TblCalculs[Sans migration – coût],TblCalculs[Cluster],$A83))</f>
        <v>0</v>
      </c>
      <c r="N83" s="47" t="str">
        <f>IF($A83="","",INDEX(TblClusters[Environnement],20))</f>
        <v>PRD</v>
      </c>
    </row>
    <row r="84" spans="1:14" x14ac:dyDescent="0.2">
      <c r="A84" s="47" t="str">
        <f>IFERROR(IF(INDEX(TblClusters[Cluster],21)="","",INDEX(TblClusters[Cluster],21)),"")</f>
        <v>oc-ITALY-SEC-PRD</v>
      </c>
      <c r="B84" s="47" t="str">
        <f>IF($A84="","",INDEX(TblClusters[Plateforme],21))</f>
        <v>ROKS</v>
      </c>
      <c r="C84" s="47">
        <f>IF($A84="","",SUMIFS(TblCalculs[CPU provisionné],TblCalculs[Cluster],$A84,TblCalculs[Idx mois],1))</f>
        <v>0</v>
      </c>
      <c r="D84" s="47">
        <f>IF($A84="","",SUMIFS(TblCalculs[CPU provisionné],TblCalculs[Cluster],$A84,TblCalculs[Idx mois],p_horizon))</f>
        <v>0</v>
      </c>
      <c r="E84" s="47">
        <f>IF($A84="","",SUMIFS(TblCalculs[RAM provisionnée],TblCalculs[Cluster],$A84,TblCalculs[Idx mois],1))</f>
        <v>0</v>
      </c>
      <c r="F84" s="47">
        <f>IF($A84="","",SUMIFS(TblCalculs[RAM provisionnée],TblCalculs[Cluster],$A84,TblCalculs[Idx mois],p_horizon))</f>
        <v>0</v>
      </c>
      <c r="G84" s="47">
        <f>IF($A84="","",SUMIFS(TblCalculs[Workers],TblCalculs[Cluster],$A84,TblCalculs[Idx mois],1))</f>
        <v>0</v>
      </c>
      <c r="H84" s="47">
        <f>IF($A84="","",SUMIFS(TblCalculs[Workers],TblCalculs[Cluster],$A84,TblCalculs[Idx mois],p_horizon))</f>
        <v>0</v>
      </c>
      <c r="I84" s="47">
        <f>IF($A84="","",SUMIFS(TblCalculs[Besoin CPU],TblCalculs[Cluster],$A84,TblCalculs[Idx mois],p_horizon))</f>
        <v>0</v>
      </c>
      <c r="J84" s="47">
        <f>IF($A84="","",SUMIFS(TblCalculs[Besoin RAM],TblCalculs[Cluster],$A84,TblCalculs[Idx mois],p_horizon))</f>
        <v>0</v>
      </c>
      <c r="K84" s="27">
        <f>IF($A84="","",SUMIFS(TblCalculs[Coût mensuel],TblCalculs[Cluster],$A84))</f>
        <v>0</v>
      </c>
      <c r="L84" s="27">
        <f>IF($A84="","",SUMIFS(TblCalculs[Coût mensuel],TblCalculs[Cluster],$A84)-SUMIFS(TblCalculs[Sans DR – coût],TblCalculs[Cluster],$A84))</f>
        <v>0</v>
      </c>
      <c r="M84" s="27">
        <f>IF($A84="","",SUMIFS(TblCalculs[Coût mensuel],TblCalculs[Cluster],$A84)-SUMIFS(TblCalculs[Sans migration – coût],TblCalculs[Cluster],$A84))</f>
        <v>0</v>
      </c>
      <c r="N84" s="47" t="str">
        <f>IF($A84="","",INDEX(TblClusters[Environnement],21))</f>
        <v>PRD</v>
      </c>
    </row>
    <row r="85" spans="1:14" x14ac:dyDescent="0.2">
      <c r="A85" s="47" t="str">
        <f>IFERROR(IF(INDEX(TblClusters[Cluster],22)="","",INDEX(TblClusters[Cluster],22)),"")</f>
        <v>ku002i000249</v>
      </c>
      <c r="B85" s="47" t="str">
        <f>IF($A85="","",INDEX(TblClusters[Plateforme],22))</f>
        <v>IKS</v>
      </c>
      <c r="C85" s="47">
        <f>IF($A85="","",SUMIFS(TblCalculs[CPU provisionné],TblCalculs[Cluster],$A85,TblCalculs[Idx mois],1))</f>
        <v>480</v>
      </c>
      <c r="D85" s="47">
        <f>IF($A85="","",SUMIFS(TblCalculs[CPU provisionné],TblCalculs[Cluster],$A85,TblCalculs[Idx mois],p_horizon))</f>
        <v>0</v>
      </c>
      <c r="E85" s="47">
        <f>IF($A85="","",SUMIFS(TblCalculs[RAM provisionnée],TblCalculs[Cluster],$A85,TblCalculs[Idx mois],1))</f>
        <v>1920</v>
      </c>
      <c r="F85" s="47">
        <f>IF($A85="","",SUMIFS(TblCalculs[RAM provisionnée],TblCalculs[Cluster],$A85,TblCalculs[Idx mois],p_horizon))</f>
        <v>0</v>
      </c>
      <c r="G85" s="47">
        <f>IF($A85="","",SUMIFS(TblCalculs[Workers],TblCalculs[Cluster],$A85,TblCalculs[Idx mois],1))</f>
        <v>15</v>
      </c>
      <c r="H85" s="47">
        <f>IF($A85="","",SUMIFS(TblCalculs[Workers],TblCalculs[Cluster],$A85,TblCalculs[Idx mois],p_horizon))</f>
        <v>0</v>
      </c>
      <c r="I85" s="47">
        <f>IF($A85="","",SUMIFS(TblCalculs[Besoin CPU],TblCalculs[Cluster],$A85,TblCalculs[Idx mois],p_horizon))</f>
        <v>0</v>
      </c>
      <c r="J85" s="47">
        <f>IF($A85="","",SUMIFS(TblCalculs[Besoin RAM],TblCalculs[Cluster],$A85,TblCalculs[Idx mois],p_horizon))</f>
        <v>0</v>
      </c>
      <c r="K85" s="27">
        <f>IF($A85="","",SUMIFS(TblCalculs[Coût mensuel],TblCalculs[Cluster],$A85))</f>
        <v>235764</v>
      </c>
      <c r="L85" s="27">
        <f>IF($A85="","",SUMIFS(TblCalculs[Coût mensuel],TblCalculs[Cluster],$A85)-SUMIFS(TblCalculs[Sans DR – coût],TblCalculs[Cluster],$A85))</f>
        <v>16992</v>
      </c>
      <c r="M85" s="27">
        <f>IF($A85="","",SUMIFS(TblCalculs[Coût mensuel],TblCalculs[Cluster],$A85)-SUMIFS(TblCalculs[Sans migration – coût],TblCalculs[Cluster],$A85))</f>
        <v>-337716</v>
      </c>
      <c r="N85" s="47" t="str">
        <f>IF($A85="","",INDEX(TblClusters[Environnement],22))</f>
        <v>PRD</v>
      </c>
    </row>
    <row r="86" spans="1:14" x14ac:dyDescent="0.2">
      <c r="A86" s="47" t="str">
        <f>IFERROR(IF(INDEX(TblClusters[Cluster],23)="","",INDEX(TblClusters[Cluster],23)),"")</f>
        <v>ku002i000246</v>
      </c>
      <c r="B86" s="47" t="str">
        <f>IF($A86="","",INDEX(TblClusters[Plateforme],23))</f>
        <v>IKS</v>
      </c>
      <c r="C86" s="47">
        <f>IF($A86="","",SUMIFS(TblCalculs[CPU provisionné],TblCalculs[Cluster],$A86,TblCalculs[Idx mois],1))</f>
        <v>480</v>
      </c>
      <c r="D86" s="47">
        <f>IF($A86="","",SUMIFS(TblCalculs[CPU provisionné],TblCalculs[Cluster],$A86,TblCalculs[Idx mois],p_horizon))</f>
        <v>480</v>
      </c>
      <c r="E86" s="47">
        <f>IF($A86="","",SUMIFS(TblCalculs[RAM provisionnée],TblCalculs[Cluster],$A86,TblCalculs[Idx mois],1))</f>
        <v>1920</v>
      </c>
      <c r="F86" s="47">
        <f>IF($A86="","",SUMIFS(TblCalculs[RAM provisionnée],TblCalculs[Cluster],$A86,TblCalculs[Idx mois],p_horizon))</f>
        <v>1920</v>
      </c>
      <c r="G86" s="47">
        <f>IF($A86="","",SUMIFS(TblCalculs[Workers],TblCalculs[Cluster],$A86,TblCalculs[Idx mois],1))</f>
        <v>15</v>
      </c>
      <c r="H86" s="47">
        <f>IF($A86="","",SUMIFS(TblCalculs[Workers],TblCalculs[Cluster],$A86,TblCalculs[Idx mois],p_horizon))</f>
        <v>15</v>
      </c>
      <c r="I86" s="47">
        <f>IF($A86="","",SUMIFS(TblCalculs[Besoin CPU],TblCalculs[Cluster],$A86,TblCalculs[Idx mois],p_horizon))</f>
        <v>480</v>
      </c>
      <c r="J86" s="47">
        <f>IF($A86="","",SUMIFS(TblCalculs[Besoin RAM],TblCalculs[Cluster],$A86,TblCalculs[Idx mois],p_horizon))</f>
        <v>1920</v>
      </c>
      <c r="K86" s="27">
        <f>IF($A86="","",SUMIFS(TblCalculs[Coût mensuel],TblCalculs[Cluster],$A86))</f>
        <v>573480</v>
      </c>
      <c r="L86" s="27">
        <f>IF($A86="","",SUMIFS(TblCalculs[Coût mensuel],TblCalculs[Cluster],$A86)-SUMIFS(TblCalculs[Sans DR – coût],TblCalculs[Cluster],$A86))</f>
        <v>0</v>
      </c>
      <c r="M86" s="27">
        <f>IF($A86="","",SUMIFS(TblCalculs[Coût mensuel],TblCalculs[Cluster],$A86)-SUMIFS(TblCalculs[Sans migration – coût],TblCalculs[Cluster],$A86))</f>
        <v>0</v>
      </c>
      <c r="N86" s="47" t="str">
        <f>IF($A86="","",INDEX(TblClusters[Environnement],23))</f>
        <v>NPRD</v>
      </c>
    </row>
    <row r="87" spans="1:14" x14ac:dyDescent="0.2">
      <c r="A87" s="47" t="str">
        <f>IFERROR(IF(INDEX(TblClusters[Cluster],24)="","",INDEX(TblClusters[Cluster],24)),"")</f>
        <v>ku002i000510</v>
      </c>
      <c r="B87" s="47" t="str">
        <f>IF($A87="","",INDEX(TblClusters[Plateforme],24))</f>
        <v>IKS</v>
      </c>
      <c r="C87" s="47">
        <f>IF($A87="","",SUMIFS(TblCalculs[CPU provisionné],TblCalculs[Cluster],$A87,TblCalculs[Idx mois],1))</f>
        <v>48</v>
      </c>
      <c r="D87" s="47">
        <f>IF($A87="","",SUMIFS(TblCalculs[CPU provisionné],TblCalculs[Cluster],$A87,TblCalculs[Idx mois],p_horizon))</f>
        <v>48</v>
      </c>
      <c r="E87" s="47">
        <f>IF($A87="","",SUMIFS(TblCalculs[RAM provisionnée],TblCalculs[Cluster],$A87,TblCalculs[Idx mois],1))</f>
        <v>192</v>
      </c>
      <c r="F87" s="47">
        <f>IF($A87="","",SUMIFS(TblCalculs[RAM provisionnée],TblCalculs[Cluster],$A87,TblCalculs[Idx mois],p_horizon))</f>
        <v>192</v>
      </c>
      <c r="G87" s="47">
        <f>IF($A87="","",SUMIFS(TblCalculs[Workers],TblCalculs[Cluster],$A87,TblCalculs[Idx mois],1))</f>
        <v>6</v>
      </c>
      <c r="H87" s="47">
        <f>IF($A87="","",SUMIFS(TblCalculs[Workers],TblCalculs[Cluster],$A87,TblCalculs[Idx mois],p_horizon))</f>
        <v>6</v>
      </c>
      <c r="I87" s="47">
        <f>IF($A87="","",SUMIFS(TblCalculs[Besoin CPU],TblCalculs[Cluster],$A87,TblCalculs[Idx mois],p_horizon))</f>
        <v>48</v>
      </c>
      <c r="J87" s="47">
        <f>IF($A87="","",SUMIFS(TblCalculs[Besoin RAM],TblCalculs[Cluster],$A87,TblCalculs[Idx mois],p_horizon))</f>
        <v>192</v>
      </c>
      <c r="K87" s="27">
        <f>IF($A87="","",SUMIFS(TblCalculs[Coût mensuel],TblCalculs[Cluster],$A87))</f>
        <v>57456</v>
      </c>
      <c r="L87" s="27">
        <f>IF($A87="","",SUMIFS(TblCalculs[Coût mensuel],TblCalculs[Cluster],$A87)-SUMIFS(TblCalculs[Sans DR – coût],TblCalculs[Cluster],$A87))</f>
        <v>0</v>
      </c>
      <c r="M87" s="27">
        <f>IF($A87="","",SUMIFS(TblCalculs[Coût mensuel],TblCalculs[Cluster],$A87)-SUMIFS(TblCalculs[Sans migration – coût],TblCalculs[Cluster],$A87))</f>
        <v>0</v>
      </c>
      <c r="N87" s="47" t="str">
        <f>IF($A87="","",INDEX(TblClusters[Environnement],24))</f>
        <v>NPRD</v>
      </c>
    </row>
    <row r="88" spans="1:14" x14ac:dyDescent="0.2">
      <c r="A88" s="47" t="str">
        <f>IFERROR(IF(INDEX(TblClusters[Cluster],25)="","",INDEX(TblClusters[Cluster],25)),"")</f>
        <v>ku002i000565</v>
      </c>
      <c r="B88" s="47" t="str">
        <f>IF($A88="","",INDEX(TblClusters[Plateforme],25))</f>
        <v>IKS</v>
      </c>
      <c r="C88" s="47">
        <f>IF($A88="","",SUMIFS(TblCalculs[CPU provisionné],TblCalculs[Cluster],$A88,TblCalculs[Idx mois],1))</f>
        <v>48</v>
      </c>
      <c r="D88" s="47">
        <f>IF($A88="","",SUMIFS(TblCalculs[CPU provisionné],TblCalculs[Cluster],$A88,TblCalculs[Idx mois],p_horizon))</f>
        <v>48</v>
      </c>
      <c r="E88" s="47">
        <f>IF($A88="","",SUMIFS(TblCalculs[RAM provisionnée],TblCalculs[Cluster],$A88,TblCalculs[Idx mois],1))</f>
        <v>192</v>
      </c>
      <c r="F88" s="47">
        <f>IF($A88="","",SUMIFS(TblCalculs[RAM provisionnée],TblCalculs[Cluster],$A88,TblCalculs[Idx mois],p_horizon))</f>
        <v>192</v>
      </c>
      <c r="G88" s="47">
        <f>IF($A88="","",SUMIFS(TblCalculs[Workers],TblCalculs[Cluster],$A88,TblCalculs[Idx mois],1))</f>
        <v>6</v>
      </c>
      <c r="H88" s="47">
        <f>IF($A88="","",SUMIFS(TblCalculs[Workers],TblCalculs[Cluster],$A88,TblCalculs[Idx mois],p_horizon))</f>
        <v>6</v>
      </c>
      <c r="I88" s="47">
        <f>IF($A88="","",SUMIFS(TblCalculs[Besoin CPU],TblCalculs[Cluster],$A88,TblCalculs[Idx mois],p_horizon))</f>
        <v>48</v>
      </c>
      <c r="J88" s="47">
        <f>IF($A88="","",SUMIFS(TblCalculs[Besoin RAM],TblCalculs[Cluster],$A88,TblCalculs[Idx mois],p_horizon))</f>
        <v>192</v>
      </c>
      <c r="K88" s="27">
        <f>IF($A88="","",SUMIFS(TblCalculs[Coût mensuel],TblCalculs[Cluster],$A88))</f>
        <v>57456</v>
      </c>
      <c r="L88" s="27">
        <f>IF($A88="","",SUMIFS(TblCalculs[Coût mensuel],TblCalculs[Cluster],$A88)-SUMIFS(TblCalculs[Sans DR – coût],TblCalculs[Cluster],$A88))</f>
        <v>0</v>
      </c>
      <c r="M88" s="27">
        <f>IF($A88="","",SUMIFS(TblCalculs[Coût mensuel],TblCalculs[Cluster],$A88)-SUMIFS(TblCalculs[Sans migration – coût],TblCalculs[Cluster],$A88))</f>
        <v>0</v>
      </c>
      <c r="N88" s="47" t="str">
        <f>IF($A88="","",INDEX(TblClusters[Environnement],25))</f>
        <v>PRD</v>
      </c>
    </row>
    <row r="89" spans="1:14" x14ac:dyDescent="0.2">
      <c r="A89" s="47" t="str">
        <f>IFERROR(IF(INDEX(TblClusters[Cluster],26)="","",INDEX(TblClusters[Cluster],26)),"")</f>
        <v>ku002i000829</v>
      </c>
      <c r="B89" s="47" t="str">
        <f>IF($A89="","",INDEX(TblClusters[Plateforme],26))</f>
        <v>IKS</v>
      </c>
      <c r="C89" s="47">
        <f>IF($A89="","",SUMIFS(TblCalculs[CPU provisionné],TblCalculs[Cluster],$A89,TblCalculs[Idx mois],1))</f>
        <v>384</v>
      </c>
      <c r="D89" s="47">
        <f>IF($A89="","",SUMIFS(TblCalculs[CPU provisionné],TblCalculs[Cluster],$A89,TblCalculs[Idx mois],p_horizon))</f>
        <v>384</v>
      </c>
      <c r="E89" s="47">
        <f>IF($A89="","",SUMIFS(TblCalculs[RAM provisionnée],TblCalculs[Cluster],$A89,TblCalculs[Idx mois],1))</f>
        <v>3072</v>
      </c>
      <c r="F89" s="47">
        <f>IF($A89="","",SUMIFS(TblCalculs[RAM provisionnée],TblCalculs[Cluster],$A89,TblCalculs[Idx mois],p_horizon))</f>
        <v>3072</v>
      </c>
      <c r="G89" s="47">
        <f>IF($A89="","",SUMIFS(TblCalculs[Workers],TblCalculs[Cluster],$A89,TblCalculs[Idx mois],1))</f>
        <v>6</v>
      </c>
      <c r="H89" s="47">
        <f>IF($A89="","",SUMIFS(TblCalculs[Workers],TblCalculs[Cluster],$A89,TblCalculs[Idx mois],p_horizon))</f>
        <v>6</v>
      </c>
      <c r="I89" s="47">
        <f>IF($A89="","",SUMIFS(TblCalculs[Besoin CPU],TblCalculs[Cluster],$A89,TblCalculs[Idx mois],p_horizon))</f>
        <v>384</v>
      </c>
      <c r="J89" s="47">
        <f>IF($A89="","",SUMIFS(TblCalculs[Besoin RAM],TblCalculs[Cluster],$A89,TblCalculs[Idx mois],p_horizon))</f>
        <v>3072</v>
      </c>
      <c r="K89" s="27">
        <f>IF($A89="","",SUMIFS(TblCalculs[Coût mensuel],TblCalculs[Cluster],$A89))</f>
        <v>613872</v>
      </c>
      <c r="L89" s="27">
        <f>IF($A89="","",SUMIFS(TblCalculs[Coût mensuel],TblCalculs[Cluster],$A89)-SUMIFS(TblCalculs[Sans DR – coût],TblCalculs[Cluster],$A89))</f>
        <v>0</v>
      </c>
      <c r="M89" s="27">
        <f>IF($A89="","",SUMIFS(TblCalculs[Coût mensuel],TblCalculs[Cluster],$A89)-SUMIFS(TblCalculs[Sans migration – coût],TblCalculs[Cluster],$A89))</f>
        <v>0</v>
      </c>
      <c r="N89" s="47" t="str">
        <f>IF($A89="","",INDEX(TblClusters[Environnement],26))</f>
        <v>NPRD</v>
      </c>
    </row>
    <row r="90" spans="1:14" x14ac:dyDescent="0.2">
      <c r="A90" s="47" t="str">
        <f>IFERROR(IF(INDEX(TblClusters[Cluster],27)="","",INDEX(TblClusters[Cluster],27)),"")</f>
        <v>ku002i000908</v>
      </c>
      <c r="B90" s="47" t="str">
        <f>IF($A90="","",INDEX(TblClusters[Plateforme],27))</f>
        <v>IKS</v>
      </c>
      <c r="C90" s="47">
        <f>IF($A90="","",SUMIFS(TblCalculs[CPU provisionné],TblCalculs[Cluster],$A90,TblCalculs[Idx mois],1))</f>
        <v>192</v>
      </c>
      <c r="D90" s="47">
        <f>IF($A90="","",SUMIFS(TblCalculs[CPU provisionné],TblCalculs[Cluster],$A90,TblCalculs[Idx mois],p_horizon))</f>
        <v>192</v>
      </c>
      <c r="E90" s="47">
        <f>IF($A90="","",SUMIFS(TblCalculs[RAM provisionnée],TblCalculs[Cluster],$A90,TblCalculs[Idx mois],1))</f>
        <v>1536</v>
      </c>
      <c r="F90" s="47">
        <f>IF($A90="","",SUMIFS(TblCalculs[RAM provisionnée],TblCalculs[Cluster],$A90,TblCalculs[Idx mois],p_horizon))</f>
        <v>1536</v>
      </c>
      <c r="G90" s="47">
        <f>IF($A90="","",SUMIFS(TblCalculs[Workers],TblCalculs[Cluster],$A90,TblCalculs[Idx mois],1))</f>
        <v>6</v>
      </c>
      <c r="H90" s="47">
        <f>IF($A90="","",SUMIFS(TblCalculs[Workers],TblCalculs[Cluster],$A90,TblCalculs[Idx mois],p_horizon))</f>
        <v>6</v>
      </c>
      <c r="I90" s="47">
        <f>IF($A90="","",SUMIFS(TblCalculs[Besoin CPU],TblCalculs[Cluster],$A90,TblCalculs[Idx mois],p_horizon))</f>
        <v>192</v>
      </c>
      <c r="J90" s="47">
        <f>IF($A90="","",SUMIFS(TblCalculs[Besoin RAM],TblCalculs[Cluster],$A90,TblCalculs[Idx mois],p_horizon))</f>
        <v>1536</v>
      </c>
      <c r="K90" s="27">
        <f>IF($A90="","",SUMIFS(TblCalculs[Coût mensuel],TblCalculs[Cluster],$A90))</f>
        <v>306936</v>
      </c>
      <c r="L90" s="27">
        <f>IF($A90="","",SUMIFS(TblCalculs[Coût mensuel],TblCalculs[Cluster],$A90)-SUMIFS(TblCalculs[Sans DR – coût],TblCalculs[Cluster],$A90))</f>
        <v>0</v>
      </c>
      <c r="M90" s="27">
        <f>IF($A90="","",SUMIFS(TblCalculs[Coût mensuel],TblCalculs[Cluster],$A90)-SUMIFS(TblCalculs[Sans migration – coût],TblCalculs[Cluster],$A90))</f>
        <v>0</v>
      </c>
      <c r="N90" s="47" t="str">
        <f>IF($A90="","",INDEX(TblClusters[Environnement],27))</f>
        <v>PRD</v>
      </c>
    </row>
    <row r="91" spans="1:14" x14ac:dyDescent="0.2">
      <c r="A91" s="47" t="str">
        <f>IFERROR(IF(INDEX(TblClusters[Cluster],28)="","",INDEX(TblClusters[Cluster],28)),"")</f>
        <v>ku002i001021</v>
      </c>
      <c r="B91" s="47" t="str">
        <f>IF($A91="","",INDEX(TblClusters[Plateforme],28))</f>
        <v>IKS</v>
      </c>
      <c r="C91" s="47">
        <f>IF($A91="","",SUMIFS(TblCalculs[CPU provisionné],TblCalculs[Cluster],$A91,TblCalculs[Idx mois],1))</f>
        <v>288</v>
      </c>
      <c r="D91" s="47">
        <f>IF($A91="","",SUMIFS(TblCalculs[CPU provisionné],TblCalculs[Cluster],$A91,TblCalculs[Idx mois],p_horizon))</f>
        <v>288</v>
      </c>
      <c r="E91" s="47">
        <f>IF($A91="","",SUMIFS(TblCalculs[RAM provisionnée],TblCalculs[Cluster],$A91,TblCalculs[Idx mois],1))</f>
        <v>2304</v>
      </c>
      <c r="F91" s="47">
        <f>IF($A91="","",SUMIFS(TblCalculs[RAM provisionnée],TblCalculs[Cluster],$A91,TblCalculs[Idx mois],p_horizon))</f>
        <v>2304</v>
      </c>
      <c r="G91" s="47">
        <f>IF($A91="","",SUMIFS(TblCalculs[Workers],TblCalculs[Cluster],$A91,TblCalculs[Idx mois],1))</f>
        <v>9</v>
      </c>
      <c r="H91" s="47">
        <f>IF($A91="","",SUMIFS(TblCalculs[Workers],TblCalculs[Cluster],$A91,TblCalculs[Idx mois],p_horizon))</f>
        <v>9</v>
      </c>
      <c r="I91" s="47">
        <f>IF($A91="","",SUMIFS(TblCalculs[Besoin CPU],TblCalculs[Cluster],$A91,TblCalculs[Idx mois],p_horizon))</f>
        <v>288</v>
      </c>
      <c r="J91" s="47">
        <f>IF($A91="","",SUMIFS(TblCalculs[Besoin RAM],TblCalculs[Cluster],$A91,TblCalculs[Idx mois],p_horizon))</f>
        <v>2304</v>
      </c>
      <c r="K91" s="27">
        <f>IF($A91="","",SUMIFS(TblCalculs[Coût mensuel],TblCalculs[Cluster],$A91))</f>
        <v>460404</v>
      </c>
      <c r="L91" s="27">
        <f>IF($A91="","",SUMIFS(TblCalculs[Coût mensuel],TblCalculs[Cluster],$A91)-SUMIFS(TblCalculs[Sans DR – coût],TblCalculs[Cluster],$A91))</f>
        <v>0</v>
      </c>
      <c r="M91" s="27">
        <f>IF($A91="","",SUMIFS(TblCalculs[Coût mensuel],TblCalculs[Cluster],$A91)-SUMIFS(TblCalculs[Sans migration – coût],TblCalculs[Cluster],$A91))</f>
        <v>0</v>
      </c>
      <c r="N91" s="47" t="str">
        <f>IF($A91="","",INDEX(TblClusters[Environnement],28))</f>
        <v>NPRD</v>
      </c>
    </row>
    <row r="92" spans="1:14" x14ac:dyDescent="0.2">
      <c r="A92" s="47" t="str">
        <f>IFERROR(IF(INDEX(TblClusters[Cluster],29)="","",INDEX(TblClusters[Cluster],29)),"")</f>
        <v>ku002i001071</v>
      </c>
      <c r="B92" s="47" t="str">
        <f>IF($A92="","",INDEX(TblClusters[Plateforme],29))</f>
        <v>IKS</v>
      </c>
      <c r="C92" s="47">
        <f>IF($A92="","",SUMIFS(TblCalculs[CPU provisionné],TblCalculs[Cluster],$A92,TblCalculs[Idx mois],1))</f>
        <v>384</v>
      </c>
      <c r="D92" s="47">
        <f>IF($A92="","",SUMIFS(TblCalculs[CPU provisionné],TblCalculs[Cluster],$A92,TblCalculs[Idx mois],p_horizon))</f>
        <v>384</v>
      </c>
      <c r="E92" s="47">
        <f>IF($A92="","",SUMIFS(TblCalculs[RAM provisionnée],TblCalculs[Cluster],$A92,TblCalculs[Idx mois],1))</f>
        <v>3072</v>
      </c>
      <c r="F92" s="47">
        <f>IF($A92="","",SUMIFS(TblCalculs[RAM provisionnée],TblCalculs[Cluster],$A92,TblCalculs[Idx mois],p_horizon))</f>
        <v>3072</v>
      </c>
      <c r="G92" s="47">
        <f>IF($A92="","",SUMIFS(TblCalculs[Workers],TblCalculs[Cluster],$A92,TblCalculs[Idx mois],1))</f>
        <v>6</v>
      </c>
      <c r="H92" s="47">
        <f>IF($A92="","",SUMIFS(TblCalculs[Workers],TblCalculs[Cluster],$A92,TblCalculs[Idx mois],p_horizon))</f>
        <v>6</v>
      </c>
      <c r="I92" s="47">
        <f>IF($A92="","",SUMIFS(TblCalculs[Besoin CPU],TblCalculs[Cluster],$A92,TblCalculs[Idx mois],p_horizon))</f>
        <v>384</v>
      </c>
      <c r="J92" s="47">
        <f>IF($A92="","",SUMIFS(TblCalculs[Besoin RAM],TblCalculs[Cluster],$A92,TblCalculs[Idx mois],p_horizon))</f>
        <v>3072</v>
      </c>
      <c r="K92" s="27">
        <f>IF($A92="","",SUMIFS(TblCalculs[Coût mensuel],TblCalculs[Cluster],$A92))</f>
        <v>613872</v>
      </c>
      <c r="L92" s="27">
        <f>IF($A92="","",SUMIFS(TblCalculs[Coût mensuel],TblCalculs[Cluster],$A92)-SUMIFS(TblCalculs[Sans DR – coût],TblCalculs[Cluster],$A92))</f>
        <v>0</v>
      </c>
      <c r="M92" s="27">
        <f>IF($A92="","",SUMIFS(TblCalculs[Coût mensuel],TblCalculs[Cluster],$A92)-SUMIFS(TblCalculs[Sans migration – coût],TblCalculs[Cluster],$A92))</f>
        <v>0</v>
      </c>
      <c r="N92" s="47" t="str">
        <f>IF($A92="","",INDEX(TblClusters[Environnement],29))</f>
        <v>PRD</v>
      </c>
    </row>
    <row r="93" spans="1:14" x14ac:dyDescent="0.2">
      <c r="A93" s="47" t="str">
        <f>IFERROR(IF(INDEX(TblClusters[Cluster],30)="","",INDEX(TblClusters[Cluster],30)),"")</f>
        <v>ku002i001098</v>
      </c>
      <c r="B93" s="47" t="str">
        <f>IF($A93="","",INDEX(TblClusters[Plateforme],30))</f>
        <v>IKS</v>
      </c>
      <c r="C93" s="47">
        <f>IF($A93="","",SUMIFS(TblCalculs[CPU provisionné],TblCalculs[Cluster],$A93,TblCalculs[Idx mois],1))</f>
        <v>0</v>
      </c>
      <c r="D93" s="47">
        <f>IF($A93="","",SUMIFS(TblCalculs[CPU provisionné],TblCalculs[Cluster],$A93,TblCalculs[Idx mois],p_horizon))</f>
        <v>0</v>
      </c>
      <c r="E93" s="47">
        <f>IF($A93="","",SUMIFS(TblCalculs[RAM provisionnée],TblCalculs[Cluster],$A93,TblCalculs[Idx mois],1))</f>
        <v>0</v>
      </c>
      <c r="F93" s="47">
        <f>IF($A93="","",SUMIFS(TblCalculs[RAM provisionnée],TblCalculs[Cluster],$A93,TblCalculs[Idx mois],p_horizon))</f>
        <v>0</v>
      </c>
      <c r="G93" s="47">
        <f>IF($A93="","",SUMIFS(TblCalculs[Workers],TblCalculs[Cluster],$A93,TblCalculs[Idx mois],1))</f>
        <v>0</v>
      </c>
      <c r="H93" s="47">
        <f>IF($A93="","",SUMIFS(TblCalculs[Workers],TblCalculs[Cluster],$A93,TblCalculs[Idx mois],p_horizon))</f>
        <v>0</v>
      </c>
      <c r="I93" s="47">
        <f>IF($A93="","",SUMIFS(TblCalculs[Besoin CPU],TblCalculs[Cluster],$A93,TblCalculs[Idx mois],p_horizon))</f>
        <v>0</v>
      </c>
      <c r="J93" s="47">
        <f>IF($A93="","",SUMIFS(TblCalculs[Besoin RAM],TblCalculs[Cluster],$A93,TblCalculs[Idx mois],p_horizon))</f>
        <v>0</v>
      </c>
      <c r="K93" s="27">
        <f>IF($A93="","",SUMIFS(TblCalculs[Coût mensuel],TblCalculs[Cluster],$A93))</f>
        <v>0</v>
      </c>
      <c r="L93" s="27">
        <f>IF($A93="","",SUMIFS(TblCalculs[Coût mensuel],TblCalculs[Cluster],$A93)-SUMIFS(TblCalculs[Sans DR – coût],TblCalculs[Cluster],$A93))</f>
        <v>0</v>
      </c>
      <c r="M93" s="27">
        <f>IF($A93="","",SUMIFS(TblCalculs[Coût mensuel],TblCalculs[Cluster],$A93)-SUMIFS(TblCalculs[Sans migration – coût],TblCalculs[Cluster],$A93))</f>
        <v>0</v>
      </c>
      <c r="N93" s="47" t="str">
        <f>IF($A93="","",INDEX(TblClusters[Environnement],30))</f>
        <v>NPRD</v>
      </c>
    </row>
    <row r="94" spans="1:14" x14ac:dyDescent="0.2">
      <c r="A94" s="47" t="str">
        <f>IFERROR(IF(INDEX(TblClusters[Cluster],31)="","",INDEX(TblClusters[Cluster],31)),"")</f>
        <v/>
      </c>
      <c r="B94" s="47" t="str">
        <f>IF($A94="","",INDEX(TblClusters[Plateforme],31))</f>
        <v/>
      </c>
      <c r="C94" s="47" t="str">
        <f>IF($A94="","",SUMIFS(TblCalculs[CPU provisionné],TblCalculs[Cluster],$A94,TblCalculs[Idx mois],1))</f>
        <v/>
      </c>
      <c r="D94" s="47" t="str">
        <f>IF($A94="","",SUMIFS(TblCalculs[CPU provisionné],TblCalculs[Cluster],$A94,TblCalculs[Idx mois],p_horizon))</f>
        <v/>
      </c>
      <c r="E94" s="47" t="str">
        <f>IF($A94="","",SUMIFS(TblCalculs[RAM provisionnée],TblCalculs[Cluster],$A94,TblCalculs[Idx mois],1))</f>
        <v/>
      </c>
      <c r="F94" s="47" t="str">
        <f>IF($A94="","",SUMIFS(TblCalculs[RAM provisionnée],TblCalculs[Cluster],$A94,TblCalculs[Idx mois],p_horizon))</f>
        <v/>
      </c>
      <c r="G94" s="47" t="str">
        <f>IF($A94="","",SUMIFS(TblCalculs[Workers],TblCalculs[Cluster],$A94,TblCalculs[Idx mois],1))</f>
        <v/>
      </c>
      <c r="H94" s="47" t="str">
        <f>IF($A94="","",SUMIFS(TblCalculs[Workers],TblCalculs[Cluster],$A94,TblCalculs[Idx mois],p_horizon))</f>
        <v/>
      </c>
      <c r="I94" s="47" t="str">
        <f>IF($A94="","",SUMIFS(TblCalculs[Besoin CPU],TblCalculs[Cluster],$A94,TblCalculs[Idx mois],p_horizon))</f>
        <v/>
      </c>
      <c r="J94" s="47" t="str">
        <f>IF($A94="","",SUMIFS(TblCalculs[Besoin RAM],TblCalculs[Cluster],$A94,TblCalculs[Idx mois],p_horizon))</f>
        <v/>
      </c>
      <c r="K94" s="27" t="str">
        <f>IF($A94="","",SUMIFS(TblCalculs[Coût mensuel],TblCalculs[Cluster],$A94))</f>
        <v/>
      </c>
      <c r="L94" s="27" t="str">
        <f>IF($A94="","",SUMIFS(TblCalculs[Coût mensuel],TblCalculs[Cluster],$A94)-SUMIFS(TblCalculs[Sans DR – coût],TblCalculs[Cluster],$A94))</f>
        <v/>
      </c>
      <c r="M94" s="27" t="str">
        <f>IF($A94="","",SUMIFS(TblCalculs[Coût mensuel],TblCalculs[Cluster],$A94)-SUMIFS(TblCalculs[Sans migration – coût],TblCalculs[Cluster],$A94))</f>
        <v/>
      </c>
      <c r="N94" s="47" t="str">
        <f>IF($A94="","",INDEX(TblClusters[Environnement],31))</f>
        <v/>
      </c>
    </row>
    <row r="95" spans="1:14" x14ac:dyDescent="0.2">
      <c r="A95" s="47" t="str">
        <f>IFERROR(IF(INDEX(TblClusters[Cluster],32)="","",INDEX(TblClusters[Cluster],32)),"")</f>
        <v/>
      </c>
      <c r="B95" s="47" t="str">
        <f>IF($A95="","",INDEX(TblClusters[Plateforme],32))</f>
        <v/>
      </c>
      <c r="C95" s="47" t="str">
        <f>IF($A95="","",SUMIFS(TblCalculs[CPU provisionné],TblCalculs[Cluster],$A95,TblCalculs[Idx mois],1))</f>
        <v/>
      </c>
      <c r="D95" s="47" t="str">
        <f>IF($A95="","",SUMIFS(TblCalculs[CPU provisionné],TblCalculs[Cluster],$A95,TblCalculs[Idx mois],p_horizon))</f>
        <v/>
      </c>
      <c r="E95" s="47" t="str">
        <f>IF($A95="","",SUMIFS(TblCalculs[RAM provisionnée],TblCalculs[Cluster],$A95,TblCalculs[Idx mois],1))</f>
        <v/>
      </c>
      <c r="F95" s="47" t="str">
        <f>IF($A95="","",SUMIFS(TblCalculs[RAM provisionnée],TblCalculs[Cluster],$A95,TblCalculs[Idx mois],p_horizon))</f>
        <v/>
      </c>
      <c r="G95" s="47" t="str">
        <f>IF($A95="","",SUMIFS(TblCalculs[Workers],TblCalculs[Cluster],$A95,TblCalculs[Idx mois],1))</f>
        <v/>
      </c>
      <c r="H95" s="47" t="str">
        <f>IF($A95="","",SUMIFS(TblCalculs[Workers],TblCalculs[Cluster],$A95,TblCalculs[Idx mois],p_horizon))</f>
        <v/>
      </c>
      <c r="I95" s="47" t="str">
        <f>IF($A95="","",SUMIFS(TblCalculs[Besoin CPU],TblCalculs[Cluster],$A95,TblCalculs[Idx mois],p_horizon))</f>
        <v/>
      </c>
      <c r="J95" s="47" t="str">
        <f>IF($A95="","",SUMIFS(TblCalculs[Besoin RAM],TblCalculs[Cluster],$A95,TblCalculs[Idx mois],p_horizon))</f>
        <v/>
      </c>
      <c r="K95" s="27" t="str">
        <f>IF($A95="","",SUMIFS(TblCalculs[Coût mensuel],TblCalculs[Cluster],$A95))</f>
        <v/>
      </c>
      <c r="L95" s="27" t="str">
        <f>IF($A95="","",SUMIFS(TblCalculs[Coût mensuel],TblCalculs[Cluster],$A95)-SUMIFS(TblCalculs[Sans DR – coût],TblCalculs[Cluster],$A95))</f>
        <v/>
      </c>
      <c r="M95" s="27" t="str">
        <f>IF($A95="","",SUMIFS(TblCalculs[Coût mensuel],TblCalculs[Cluster],$A95)-SUMIFS(TblCalculs[Sans migration – coût],TblCalculs[Cluster],$A95))</f>
        <v/>
      </c>
      <c r="N95" s="47" t="str">
        <f>IF($A95="","",INDEX(TblClusters[Environnement],32))</f>
        <v/>
      </c>
    </row>
    <row r="96" spans="1:14" x14ac:dyDescent="0.2">
      <c r="A96" s="47" t="str">
        <f>IFERROR(IF(INDEX(TblClusters[Cluster],33)="","",INDEX(TblClusters[Cluster],33)),"")</f>
        <v/>
      </c>
      <c r="B96" s="47" t="str">
        <f>IF($A96="","",INDEX(TblClusters[Plateforme],33))</f>
        <v/>
      </c>
      <c r="C96" s="47" t="str">
        <f>IF($A96="","",SUMIFS(TblCalculs[CPU provisionné],TblCalculs[Cluster],$A96,TblCalculs[Idx mois],1))</f>
        <v/>
      </c>
      <c r="D96" s="47" t="str">
        <f>IF($A96="","",SUMIFS(TblCalculs[CPU provisionné],TblCalculs[Cluster],$A96,TblCalculs[Idx mois],p_horizon))</f>
        <v/>
      </c>
      <c r="E96" s="47" t="str">
        <f>IF($A96="","",SUMIFS(TblCalculs[RAM provisionnée],TblCalculs[Cluster],$A96,TblCalculs[Idx mois],1))</f>
        <v/>
      </c>
      <c r="F96" s="47" t="str">
        <f>IF($A96="","",SUMIFS(TblCalculs[RAM provisionnée],TblCalculs[Cluster],$A96,TblCalculs[Idx mois],p_horizon))</f>
        <v/>
      </c>
      <c r="G96" s="47" t="str">
        <f>IF($A96="","",SUMIFS(TblCalculs[Workers],TblCalculs[Cluster],$A96,TblCalculs[Idx mois],1))</f>
        <v/>
      </c>
      <c r="H96" s="47" t="str">
        <f>IF($A96="","",SUMIFS(TblCalculs[Workers],TblCalculs[Cluster],$A96,TblCalculs[Idx mois],p_horizon))</f>
        <v/>
      </c>
      <c r="I96" s="47" t="str">
        <f>IF($A96="","",SUMIFS(TblCalculs[Besoin CPU],TblCalculs[Cluster],$A96,TblCalculs[Idx mois],p_horizon))</f>
        <v/>
      </c>
      <c r="J96" s="47" t="str">
        <f>IF($A96="","",SUMIFS(TblCalculs[Besoin RAM],TblCalculs[Cluster],$A96,TblCalculs[Idx mois],p_horizon))</f>
        <v/>
      </c>
      <c r="K96" s="27" t="str">
        <f>IF($A96="","",SUMIFS(TblCalculs[Coût mensuel],TblCalculs[Cluster],$A96))</f>
        <v/>
      </c>
      <c r="L96" s="27" t="str">
        <f>IF($A96="","",SUMIFS(TblCalculs[Coût mensuel],TblCalculs[Cluster],$A96)-SUMIFS(TblCalculs[Sans DR – coût],TblCalculs[Cluster],$A96))</f>
        <v/>
      </c>
      <c r="M96" s="27" t="str">
        <f>IF($A96="","",SUMIFS(TblCalculs[Coût mensuel],TblCalculs[Cluster],$A96)-SUMIFS(TblCalculs[Sans migration – coût],TblCalculs[Cluster],$A96))</f>
        <v/>
      </c>
      <c r="N96" s="47" t="str">
        <f>IF($A96="","",INDEX(TblClusters[Environnement],33))</f>
        <v/>
      </c>
    </row>
    <row r="97" spans="1:14" x14ac:dyDescent="0.2">
      <c r="A97" s="47" t="str">
        <f>IFERROR(IF(INDEX(TblClusters[Cluster],34)="","",INDEX(TblClusters[Cluster],34)),"")</f>
        <v/>
      </c>
      <c r="B97" s="47" t="str">
        <f>IF($A97="","",INDEX(TblClusters[Plateforme],34))</f>
        <v/>
      </c>
      <c r="C97" s="47" t="str">
        <f>IF($A97="","",SUMIFS(TblCalculs[CPU provisionné],TblCalculs[Cluster],$A97,TblCalculs[Idx mois],1))</f>
        <v/>
      </c>
      <c r="D97" s="47" t="str">
        <f>IF($A97="","",SUMIFS(TblCalculs[CPU provisionné],TblCalculs[Cluster],$A97,TblCalculs[Idx mois],p_horizon))</f>
        <v/>
      </c>
      <c r="E97" s="47" t="str">
        <f>IF($A97="","",SUMIFS(TblCalculs[RAM provisionnée],TblCalculs[Cluster],$A97,TblCalculs[Idx mois],1))</f>
        <v/>
      </c>
      <c r="F97" s="47" t="str">
        <f>IF($A97="","",SUMIFS(TblCalculs[RAM provisionnée],TblCalculs[Cluster],$A97,TblCalculs[Idx mois],p_horizon))</f>
        <v/>
      </c>
      <c r="G97" s="47" t="str">
        <f>IF($A97="","",SUMIFS(TblCalculs[Workers],TblCalculs[Cluster],$A97,TblCalculs[Idx mois],1))</f>
        <v/>
      </c>
      <c r="H97" s="47" t="str">
        <f>IF($A97="","",SUMIFS(TblCalculs[Workers],TblCalculs[Cluster],$A97,TblCalculs[Idx mois],p_horizon))</f>
        <v/>
      </c>
      <c r="I97" s="47" t="str">
        <f>IF($A97="","",SUMIFS(TblCalculs[Besoin CPU],TblCalculs[Cluster],$A97,TblCalculs[Idx mois],p_horizon))</f>
        <v/>
      </c>
      <c r="J97" s="47" t="str">
        <f>IF($A97="","",SUMIFS(TblCalculs[Besoin RAM],TblCalculs[Cluster],$A97,TblCalculs[Idx mois],p_horizon))</f>
        <v/>
      </c>
      <c r="K97" s="27" t="str">
        <f>IF($A97="","",SUMIFS(TblCalculs[Coût mensuel],TblCalculs[Cluster],$A97))</f>
        <v/>
      </c>
      <c r="L97" s="27" t="str">
        <f>IF($A97="","",SUMIFS(TblCalculs[Coût mensuel],TblCalculs[Cluster],$A97)-SUMIFS(TblCalculs[Sans DR – coût],TblCalculs[Cluster],$A97))</f>
        <v/>
      </c>
      <c r="M97" s="27" t="str">
        <f>IF($A97="","",SUMIFS(TblCalculs[Coût mensuel],TblCalculs[Cluster],$A97)-SUMIFS(TblCalculs[Sans migration – coût],TblCalculs[Cluster],$A97))</f>
        <v/>
      </c>
      <c r="N97" s="47" t="str">
        <f>IF($A97="","",INDEX(TblClusters[Environnement],34))</f>
        <v/>
      </c>
    </row>
    <row r="98" spans="1:14" x14ac:dyDescent="0.2">
      <c r="A98" s="47" t="str">
        <f>IFERROR(IF(INDEX(TblClusters[Cluster],35)="","",INDEX(TblClusters[Cluster],35)),"")</f>
        <v/>
      </c>
      <c r="B98" s="47" t="str">
        <f>IF($A98="","",INDEX(TblClusters[Plateforme],35))</f>
        <v/>
      </c>
      <c r="C98" s="47" t="str">
        <f>IF($A98="","",SUMIFS(TblCalculs[CPU provisionné],TblCalculs[Cluster],$A98,TblCalculs[Idx mois],1))</f>
        <v/>
      </c>
      <c r="D98" s="47" t="str">
        <f>IF($A98="","",SUMIFS(TblCalculs[CPU provisionné],TblCalculs[Cluster],$A98,TblCalculs[Idx mois],p_horizon))</f>
        <v/>
      </c>
      <c r="E98" s="47" t="str">
        <f>IF($A98="","",SUMIFS(TblCalculs[RAM provisionnée],TblCalculs[Cluster],$A98,TblCalculs[Idx mois],1))</f>
        <v/>
      </c>
      <c r="F98" s="47" t="str">
        <f>IF($A98="","",SUMIFS(TblCalculs[RAM provisionnée],TblCalculs[Cluster],$A98,TblCalculs[Idx mois],p_horizon))</f>
        <v/>
      </c>
      <c r="G98" s="47" t="str">
        <f>IF($A98="","",SUMIFS(TblCalculs[Workers],TblCalculs[Cluster],$A98,TblCalculs[Idx mois],1))</f>
        <v/>
      </c>
      <c r="H98" s="47" t="str">
        <f>IF($A98="","",SUMIFS(TblCalculs[Workers],TblCalculs[Cluster],$A98,TblCalculs[Idx mois],p_horizon))</f>
        <v/>
      </c>
      <c r="I98" s="47" t="str">
        <f>IF($A98="","",SUMIFS(TblCalculs[Besoin CPU],TblCalculs[Cluster],$A98,TblCalculs[Idx mois],p_horizon))</f>
        <v/>
      </c>
      <c r="J98" s="47" t="str">
        <f>IF($A98="","",SUMIFS(TblCalculs[Besoin RAM],TblCalculs[Cluster],$A98,TblCalculs[Idx mois],p_horizon))</f>
        <v/>
      </c>
      <c r="K98" s="27" t="str">
        <f>IF($A98="","",SUMIFS(TblCalculs[Coût mensuel],TblCalculs[Cluster],$A98))</f>
        <v/>
      </c>
      <c r="L98" s="27" t="str">
        <f>IF($A98="","",SUMIFS(TblCalculs[Coût mensuel],TblCalculs[Cluster],$A98)-SUMIFS(TblCalculs[Sans DR – coût],TblCalculs[Cluster],$A98))</f>
        <v/>
      </c>
      <c r="M98" s="27" t="str">
        <f>IF($A98="","",SUMIFS(TblCalculs[Coût mensuel],TblCalculs[Cluster],$A98)-SUMIFS(TblCalculs[Sans migration – coût],TblCalculs[Cluster],$A98))</f>
        <v/>
      </c>
      <c r="N98" s="47" t="str">
        <f>IF($A98="","",INDEX(TblClusters[Environnement],35))</f>
        <v/>
      </c>
    </row>
    <row r="99" spans="1:14" x14ac:dyDescent="0.2">
      <c r="A99" s="47" t="str">
        <f>IFERROR(IF(INDEX(TblClusters[Cluster],36)="","",INDEX(TblClusters[Cluster],36)),"")</f>
        <v/>
      </c>
      <c r="B99" s="47" t="str">
        <f>IF($A99="","",INDEX(TblClusters[Plateforme],36))</f>
        <v/>
      </c>
      <c r="C99" s="47" t="str">
        <f>IF($A99="","",SUMIFS(TblCalculs[CPU provisionné],TblCalculs[Cluster],$A99,TblCalculs[Idx mois],1))</f>
        <v/>
      </c>
      <c r="D99" s="47" t="str">
        <f>IF($A99="","",SUMIFS(TblCalculs[CPU provisionné],TblCalculs[Cluster],$A99,TblCalculs[Idx mois],p_horizon))</f>
        <v/>
      </c>
      <c r="E99" s="47" t="str">
        <f>IF($A99="","",SUMIFS(TblCalculs[RAM provisionnée],TblCalculs[Cluster],$A99,TblCalculs[Idx mois],1))</f>
        <v/>
      </c>
      <c r="F99" s="47" t="str">
        <f>IF($A99="","",SUMIFS(TblCalculs[RAM provisionnée],TblCalculs[Cluster],$A99,TblCalculs[Idx mois],p_horizon))</f>
        <v/>
      </c>
      <c r="G99" s="47" t="str">
        <f>IF($A99="","",SUMIFS(TblCalculs[Workers],TblCalculs[Cluster],$A99,TblCalculs[Idx mois],1))</f>
        <v/>
      </c>
      <c r="H99" s="47" t="str">
        <f>IF($A99="","",SUMIFS(TblCalculs[Workers],TblCalculs[Cluster],$A99,TblCalculs[Idx mois],p_horizon))</f>
        <v/>
      </c>
      <c r="I99" s="47" t="str">
        <f>IF($A99="","",SUMIFS(TblCalculs[Besoin CPU],TblCalculs[Cluster],$A99,TblCalculs[Idx mois],p_horizon))</f>
        <v/>
      </c>
      <c r="J99" s="47" t="str">
        <f>IF($A99="","",SUMIFS(TblCalculs[Besoin RAM],TblCalculs[Cluster],$A99,TblCalculs[Idx mois],p_horizon))</f>
        <v/>
      </c>
      <c r="K99" s="27" t="str">
        <f>IF($A99="","",SUMIFS(TblCalculs[Coût mensuel],TblCalculs[Cluster],$A99))</f>
        <v/>
      </c>
      <c r="L99" s="27" t="str">
        <f>IF($A99="","",SUMIFS(TblCalculs[Coût mensuel],TblCalculs[Cluster],$A99)-SUMIFS(TblCalculs[Sans DR – coût],TblCalculs[Cluster],$A99))</f>
        <v/>
      </c>
      <c r="M99" s="27" t="str">
        <f>IF($A99="","",SUMIFS(TblCalculs[Coût mensuel],TblCalculs[Cluster],$A99)-SUMIFS(TblCalculs[Sans migration – coût],TblCalculs[Cluster],$A99))</f>
        <v/>
      </c>
      <c r="N99" s="47" t="str">
        <f>IF($A99="","",INDEX(TblClusters[Environnement],36))</f>
        <v/>
      </c>
    </row>
    <row r="100" spans="1:14" x14ac:dyDescent="0.2">
      <c r="A100" s="47" t="str">
        <f>IFERROR(IF(INDEX(TblClusters[Cluster],37)="","",INDEX(TblClusters[Cluster],37)),"")</f>
        <v/>
      </c>
      <c r="B100" s="47" t="str">
        <f>IF($A100="","",INDEX(TblClusters[Plateforme],37))</f>
        <v/>
      </c>
      <c r="C100" s="47" t="str">
        <f>IF($A100="","",SUMIFS(TblCalculs[CPU provisionné],TblCalculs[Cluster],$A100,TblCalculs[Idx mois],1))</f>
        <v/>
      </c>
      <c r="D100" s="47" t="str">
        <f>IF($A100="","",SUMIFS(TblCalculs[CPU provisionné],TblCalculs[Cluster],$A100,TblCalculs[Idx mois],p_horizon))</f>
        <v/>
      </c>
      <c r="E100" s="47" t="str">
        <f>IF($A100="","",SUMIFS(TblCalculs[RAM provisionnée],TblCalculs[Cluster],$A100,TblCalculs[Idx mois],1))</f>
        <v/>
      </c>
      <c r="F100" s="47" t="str">
        <f>IF($A100="","",SUMIFS(TblCalculs[RAM provisionnée],TblCalculs[Cluster],$A100,TblCalculs[Idx mois],p_horizon))</f>
        <v/>
      </c>
      <c r="G100" s="47" t="str">
        <f>IF($A100="","",SUMIFS(TblCalculs[Workers],TblCalculs[Cluster],$A100,TblCalculs[Idx mois],1))</f>
        <v/>
      </c>
      <c r="H100" s="47" t="str">
        <f>IF($A100="","",SUMIFS(TblCalculs[Workers],TblCalculs[Cluster],$A100,TblCalculs[Idx mois],p_horizon))</f>
        <v/>
      </c>
      <c r="I100" s="47" t="str">
        <f>IF($A100="","",SUMIFS(TblCalculs[Besoin CPU],TblCalculs[Cluster],$A100,TblCalculs[Idx mois],p_horizon))</f>
        <v/>
      </c>
      <c r="J100" s="47" t="str">
        <f>IF($A100="","",SUMIFS(TblCalculs[Besoin RAM],TblCalculs[Cluster],$A100,TblCalculs[Idx mois],p_horizon))</f>
        <v/>
      </c>
      <c r="K100" s="27" t="str">
        <f>IF($A100="","",SUMIFS(TblCalculs[Coût mensuel],TblCalculs[Cluster],$A100))</f>
        <v/>
      </c>
      <c r="L100" s="27" t="str">
        <f>IF($A100="","",SUMIFS(TblCalculs[Coût mensuel],TblCalculs[Cluster],$A100)-SUMIFS(TblCalculs[Sans DR – coût],TblCalculs[Cluster],$A100))</f>
        <v/>
      </c>
      <c r="M100" s="27" t="str">
        <f>IF($A100="","",SUMIFS(TblCalculs[Coût mensuel],TblCalculs[Cluster],$A100)-SUMIFS(TblCalculs[Sans migration – coût],TblCalculs[Cluster],$A100))</f>
        <v/>
      </c>
      <c r="N100" s="47" t="str">
        <f>IF($A100="","",INDEX(TblClusters[Environnement],37))</f>
        <v/>
      </c>
    </row>
    <row r="101" spans="1:14" x14ac:dyDescent="0.2">
      <c r="A101" s="47" t="str">
        <f>IFERROR(IF(INDEX(TblClusters[Cluster],38)="","",INDEX(TblClusters[Cluster],38)),"")</f>
        <v/>
      </c>
      <c r="B101" s="47" t="str">
        <f>IF($A101="","",INDEX(TblClusters[Plateforme],38))</f>
        <v/>
      </c>
      <c r="C101" s="47" t="str">
        <f>IF($A101="","",SUMIFS(TblCalculs[CPU provisionné],TblCalculs[Cluster],$A101,TblCalculs[Idx mois],1))</f>
        <v/>
      </c>
      <c r="D101" s="47" t="str">
        <f>IF($A101="","",SUMIFS(TblCalculs[CPU provisionné],TblCalculs[Cluster],$A101,TblCalculs[Idx mois],p_horizon))</f>
        <v/>
      </c>
      <c r="E101" s="47" t="str">
        <f>IF($A101="","",SUMIFS(TblCalculs[RAM provisionnée],TblCalculs[Cluster],$A101,TblCalculs[Idx mois],1))</f>
        <v/>
      </c>
      <c r="F101" s="47" t="str">
        <f>IF($A101="","",SUMIFS(TblCalculs[RAM provisionnée],TblCalculs[Cluster],$A101,TblCalculs[Idx mois],p_horizon))</f>
        <v/>
      </c>
      <c r="G101" s="47" t="str">
        <f>IF($A101="","",SUMIFS(TblCalculs[Workers],TblCalculs[Cluster],$A101,TblCalculs[Idx mois],1))</f>
        <v/>
      </c>
      <c r="H101" s="47" t="str">
        <f>IF($A101="","",SUMIFS(TblCalculs[Workers],TblCalculs[Cluster],$A101,TblCalculs[Idx mois],p_horizon))</f>
        <v/>
      </c>
      <c r="I101" s="47" t="str">
        <f>IF($A101="","",SUMIFS(TblCalculs[Besoin CPU],TblCalculs[Cluster],$A101,TblCalculs[Idx mois],p_horizon))</f>
        <v/>
      </c>
      <c r="J101" s="47" t="str">
        <f>IF($A101="","",SUMIFS(TblCalculs[Besoin RAM],TblCalculs[Cluster],$A101,TblCalculs[Idx mois],p_horizon))</f>
        <v/>
      </c>
      <c r="K101" s="27" t="str">
        <f>IF($A101="","",SUMIFS(TblCalculs[Coût mensuel],TblCalculs[Cluster],$A101))</f>
        <v/>
      </c>
      <c r="L101" s="27" t="str">
        <f>IF($A101="","",SUMIFS(TblCalculs[Coût mensuel],TblCalculs[Cluster],$A101)-SUMIFS(TblCalculs[Sans DR – coût],TblCalculs[Cluster],$A101))</f>
        <v/>
      </c>
      <c r="M101" s="27" t="str">
        <f>IF($A101="","",SUMIFS(TblCalculs[Coût mensuel],TblCalculs[Cluster],$A101)-SUMIFS(TblCalculs[Sans migration – coût],TblCalculs[Cluster],$A101))</f>
        <v/>
      </c>
      <c r="N101" s="47" t="str">
        <f>IF($A101="","",INDEX(TblClusters[Environnement],38))</f>
        <v/>
      </c>
    </row>
    <row r="102" spans="1:14" x14ac:dyDescent="0.2">
      <c r="A102" s="47" t="str">
        <f>IFERROR(IF(INDEX(TblClusters[Cluster],39)="","",INDEX(TblClusters[Cluster],39)),"")</f>
        <v/>
      </c>
      <c r="B102" s="47" t="str">
        <f>IF($A102="","",INDEX(TblClusters[Plateforme],39))</f>
        <v/>
      </c>
      <c r="C102" s="47" t="str">
        <f>IF($A102="","",SUMIFS(TblCalculs[CPU provisionné],TblCalculs[Cluster],$A102,TblCalculs[Idx mois],1))</f>
        <v/>
      </c>
      <c r="D102" s="47" t="str">
        <f>IF($A102="","",SUMIFS(TblCalculs[CPU provisionné],TblCalculs[Cluster],$A102,TblCalculs[Idx mois],p_horizon))</f>
        <v/>
      </c>
      <c r="E102" s="47" t="str">
        <f>IF($A102="","",SUMIFS(TblCalculs[RAM provisionnée],TblCalculs[Cluster],$A102,TblCalculs[Idx mois],1))</f>
        <v/>
      </c>
      <c r="F102" s="47" t="str">
        <f>IF($A102="","",SUMIFS(TblCalculs[RAM provisionnée],TblCalculs[Cluster],$A102,TblCalculs[Idx mois],p_horizon))</f>
        <v/>
      </c>
      <c r="G102" s="47" t="str">
        <f>IF($A102="","",SUMIFS(TblCalculs[Workers],TblCalculs[Cluster],$A102,TblCalculs[Idx mois],1))</f>
        <v/>
      </c>
      <c r="H102" s="47" t="str">
        <f>IF($A102="","",SUMIFS(TblCalculs[Workers],TblCalculs[Cluster],$A102,TblCalculs[Idx mois],p_horizon))</f>
        <v/>
      </c>
      <c r="I102" s="47" t="str">
        <f>IF($A102="","",SUMIFS(TblCalculs[Besoin CPU],TblCalculs[Cluster],$A102,TblCalculs[Idx mois],p_horizon))</f>
        <v/>
      </c>
      <c r="J102" s="47" t="str">
        <f>IF($A102="","",SUMIFS(TblCalculs[Besoin RAM],TblCalculs[Cluster],$A102,TblCalculs[Idx mois],p_horizon))</f>
        <v/>
      </c>
      <c r="K102" s="27" t="str">
        <f>IF($A102="","",SUMIFS(TblCalculs[Coût mensuel],TblCalculs[Cluster],$A102))</f>
        <v/>
      </c>
      <c r="L102" s="27" t="str">
        <f>IF($A102="","",SUMIFS(TblCalculs[Coût mensuel],TblCalculs[Cluster],$A102)-SUMIFS(TblCalculs[Sans DR – coût],TblCalculs[Cluster],$A102))</f>
        <v/>
      </c>
      <c r="M102" s="27" t="str">
        <f>IF($A102="","",SUMIFS(TblCalculs[Coût mensuel],TblCalculs[Cluster],$A102)-SUMIFS(TblCalculs[Sans migration – coût],TblCalculs[Cluster],$A102))</f>
        <v/>
      </c>
      <c r="N102" s="47" t="str">
        <f>IF($A102="","",INDEX(TblClusters[Environnement],39))</f>
        <v/>
      </c>
    </row>
    <row r="103" spans="1:14" x14ac:dyDescent="0.2">
      <c r="A103" s="47" t="str">
        <f>IFERROR(IF(INDEX(TblClusters[Cluster],40)="","",INDEX(TblClusters[Cluster],40)),"")</f>
        <v/>
      </c>
      <c r="B103" s="47" t="str">
        <f>IF($A103="","",INDEX(TblClusters[Plateforme],40))</f>
        <v/>
      </c>
      <c r="C103" s="47" t="str">
        <f>IF($A103="","",SUMIFS(TblCalculs[CPU provisionné],TblCalculs[Cluster],$A103,TblCalculs[Idx mois],1))</f>
        <v/>
      </c>
      <c r="D103" s="47" t="str">
        <f>IF($A103="","",SUMIFS(TblCalculs[CPU provisionné],TblCalculs[Cluster],$A103,TblCalculs[Idx mois],p_horizon))</f>
        <v/>
      </c>
      <c r="E103" s="47" t="str">
        <f>IF($A103="","",SUMIFS(TblCalculs[RAM provisionnée],TblCalculs[Cluster],$A103,TblCalculs[Idx mois],1))</f>
        <v/>
      </c>
      <c r="F103" s="47" t="str">
        <f>IF($A103="","",SUMIFS(TblCalculs[RAM provisionnée],TblCalculs[Cluster],$A103,TblCalculs[Idx mois],p_horizon))</f>
        <v/>
      </c>
      <c r="G103" s="47" t="str">
        <f>IF($A103="","",SUMIFS(TblCalculs[Workers],TblCalculs[Cluster],$A103,TblCalculs[Idx mois],1))</f>
        <v/>
      </c>
      <c r="H103" s="47" t="str">
        <f>IF($A103="","",SUMIFS(TblCalculs[Workers],TblCalculs[Cluster],$A103,TblCalculs[Idx mois],p_horizon))</f>
        <v/>
      </c>
      <c r="I103" s="47" t="str">
        <f>IF($A103="","",SUMIFS(TblCalculs[Besoin CPU],TblCalculs[Cluster],$A103,TblCalculs[Idx mois],p_horizon))</f>
        <v/>
      </c>
      <c r="J103" s="47" t="str">
        <f>IF($A103="","",SUMIFS(TblCalculs[Besoin RAM],TblCalculs[Cluster],$A103,TblCalculs[Idx mois],p_horizon))</f>
        <v/>
      </c>
      <c r="K103" s="27" t="str">
        <f>IF($A103="","",SUMIFS(TblCalculs[Coût mensuel],TblCalculs[Cluster],$A103))</f>
        <v/>
      </c>
      <c r="L103" s="27" t="str">
        <f>IF($A103="","",SUMIFS(TblCalculs[Coût mensuel],TblCalculs[Cluster],$A103)-SUMIFS(TblCalculs[Sans DR – coût],TblCalculs[Cluster],$A103))</f>
        <v/>
      </c>
      <c r="M103" s="27" t="str">
        <f>IF($A103="","",SUMIFS(TblCalculs[Coût mensuel],TblCalculs[Cluster],$A103)-SUMIFS(TblCalculs[Sans migration – coût],TblCalculs[Cluster],$A103))</f>
        <v/>
      </c>
      <c r="N103" s="47" t="str">
        <f>IF($A103="","",INDEX(TblClusters[Environnement],40))</f>
        <v/>
      </c>
    </row>
  </sheetData>
  <mergeCells count="6">
    <mergeCell ref="G15:J15"/>
    <mergeCell ref="G10:J10"/>
    <mergeCell ref="G11:J11"/>
    <mergeCell ref="G12:J12"/>
    <mergeCell ref="G13:J13"/>
    <mergeCell ref="G14:J14"/>
  </mergeCells>
  <conditionalFormatting sqref="C16:C17">
    <cfRule type="expression" dxfId="15" priority="2">
      <formula>$C$16&gt;0</formula>
    </cfRule>
    <cfRule type="expression" dxfId="14" priority="3">
      <formula>$C$16=0</formula>
    </cfRule>
  </conditionalFormatting>
  <conditionalFormatting sqref="F10">
    <cfRule type="expression" dxfId="13" priority="4">
      <formula>$F$10&gt;0</formula>
    </cfRule>
  </conditionalFormatting>
  <conditionalFormatting sqref="F11">
    <cfRule type="expression" dxfId="12" priority="5">
      <formula>$F$11&gt;0</formula>
    </cfRule>
  </conditionalFormatting>
  <conditionalFormatting sqref="F12">
    <cfRule type="expression" dxfId="11" priority="6">
      <formula>$F$12&gt;0</formula>
    </cfRule>
  </conditionalFormatting>
  <conditionalFormatting sqref="F13">
    <cfRule type="expression" dxfId="10" priority="7">
      <formula>$F$13&gt;0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0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150" customWidth="1"/>
  </cols>
  <sheetData>
    <row r="1" spans="1:2" ht="18" x14ac:dyDescent="0.2">
      <c r="A1" s="50" t="s">
        <v>151</v>
      </c>
    </row>
    <row r="2" spans="1:2" x14ac:dyDescent="0.2">
      <c r="A2" s="16" t="s">
        <v>152</v>
      </c>
    </row>
    <row r="4" spans="1:2" x14ac:dyDescent="0.2">
      <c r="A4" s="57" t="s">
        <v>153</v>
      </c>
    </row>
    <row r="5" spans="1:2" x14ac:dyDescent="0.2">
      <c r="B5" s="58" t="s">
        <v>154</v>
      </c>
    </row>
    <row r="6" spans="1:2" x14ac:dyDescent="0.2">
      <c r="B6" s="58" t="s">
        <v>155</v>
      </c>
    </row>
    <row r="7" spans="1:2" x14ac:dyDescent="0.2">
      <c r="B7" s="58" t="s">
        <v>156</v>
      </c>
    </row>
    <row r="8" spans="1:2" x14ac:dyDescent="0.2">
      <c r="A8" s="57" t="s">
        <v>157</v>
      </c>
    </row>
    <row r="9" spans="1:2" x14ac:dyDescent="0.2">
      <c r="B9" s="58" t="s">
        <v>158</v>
      </c>
    </row>
    <row r="10" spans="1:2" x14ac:dyDescent="0.2">
      <c r="A10" s="57" t="s">
        <v>159</v>
      </c>
    </row>
    <row r="11" spans="1:2" x14ac:dyDescent="0.2">
      <c r="B11" s="58" t="s">
        <v>160</v>
      </c>
    </row>
    <row r="12" spans="1:2" x14ac:dyDescent="0.2">
      <c r="B12" s="58" t="s">
        <v>161</v>
      </c>
    </row>
    <row r="13" spans="1:2" x14ac:dyDescent="0.2">
      <c r="A13" s="57" t="s">
        <v>162</v>
      </c>
    </row>
    <row r="14" spans="1:2" x14ac:dyDescent="0.2">
      <c r="B14" s="58" t="s">
        <v>163</v>
      </c>
    </row>
    <row r="15" spans="1:2" x14ac:dyDescent="0.2">
      <c r="B15" s="58" t="s">
        <v>164</v>
      </c>
    </row>
    <row r="16" spans="1:2" x14ac:dyDescent="0.2">
      <c r="B16" s="58" t="s">
        <v>165</v>
      </c>
    </row>
    <row r="17" spans="1:2" x14ac:dyDescent="0.2">
      <c r="B17" s="58" t="s">
        <v>166</v>
      </c>
    </row>
    <row r="18" spans="1:2" x14ac:dyDescent="0.2">
      <c r="B18" s="58" t="s">
        <v>167</v>
      </c>
    </row>
    <row r="19" spans="1:2" x14ac:dyDescent="0.2">
      <c r="B19" s="58" t="s">
        <v>168</v>
      </c>
    </row>
    <row r="20" spans="1:2" x14ac:dyDescent="0.2">
      <c r="B20" s="58" t="s">
        <v>169</v>
      </c>
    </row>
    <row r="21" spans="1:2" x14ac:dyDescent="0.2">
      <c r="B21" s="58" t="s">
        <v>170</v>
      </c>
    </row>
    <row r="22" spans="1:2" x14ac:dyDescent="0.2">
      <c r="B22" s="58" t="s">
        <v>171</v>
      </c>
    </row>
    <row r="23" spans="1:2" x14ac:dyDescent="0.2">
      <c r="B23" s="58" t="s">
        <v>172</v>
      </c>
    </row>
    <row r="24" spans="1:2" x14ac:dyDescent="0.2">
      <c r="B24" s="58" t="s">
        <v>173</v>
      </c>
    </row>
    <row r="25" spans="1:2" x14ac:dyDescent="0.2">
      <c r="A25" s="57" t="s">
        <v>174</v>
      </c>
    </row>
    <row r="26" spans="1:2" x14ac:dyDescent="0.2">
      <c r="B26" s="58" t="s">
        <v>175</v>
      </c>
    </row>
    <row r="27" spans="1:2" x14ac:dyDescent="0.2">
      <c r="B27" s="58" t="s">
        <v>176</v>
      </c>
    </row>
    <row r="28" spans="1:2" x14ac:dyDescent="0.2">
      <c r="A28" s="57" t="s">
        <v>177</v>
      </c>
    </row>
    <row r="29" spans="1:2" x14ac:dyDescent="0.2">
      <c r="B29" s="58" t="s">
        <v>178</v>
      </c>
    </row>
    <row r="30" spans="1:2" x14ac:dyDescent="0.2">
      <c r="B30" s="58" t="s">
        <v>179</v>
      </c>
    </row>
    <row r="31" spans="1:2" x14ac:dyDescent="0.2">
      <c r="B31" s="58" t="s">
        <v>180</v>
      </c>
    </row>
    <row r="32" spans="1:2" x14ac:dyDescent="0.2">
      <c r="B32" s="58" t="s">
        <v>181</v>
      </c>
    </row>
    <row r="33" spans="1:2" x14ac:dyDescent="0.2">
      <c r="B33" s="58" t="s">
        <v>182</v>
      </c>
    </row>
    <row r="34" spans="1:2" x14ac:dyDescent="0.2">
      <c r="A34" s="57" t="s">
        <v>183</v>
      </c>
    </row>
    <row r="35" spans="1:2" x14ac:dyDescent="0.2">
      <c r="B35" s="58" t="s">
        <v>184</v>
      </c>
    </row>
    <row r="36" spans="1:2" x14ac:dyDescent="0.2">
      <c r="B36" s="58" t="s">
        <v>185</v>
      </c>
    </row>
    <row r="37" spans="1:2" x14ac:dyDescent="0.2">
      <c r="B37" s="58" t="s">
        <v>186</v>
      </c>
    </row>
    <row r="38" spans="1:2" x14ac:dyDescent="0.2">
      <c r="B38" s="58" t="s">
        <v>187</v>
      </c>
    </row>
    <row r="39" spans="1:2" x14ac:dyDescent="0.2">
      <c r="B39" s="58" t="s">
        <v>188</v>
      </c>
    </row>
    <row r="40" spans="1:2" x14ac:dyDescent="0.2">
      <c r="B40" s="58" t="s">
        <v>189</v>
      </c>
    </row>
    <row r="41" spans="1:2" x14ac:dyDescent="0.2">
      <c r="B41" s="58" t="s">
        <v>190</v>
      </c>
    </row>
    <row r="42" spans="1:2" x14ac:dyDescent="0.2">
      <c r="B42" s="58" t="s">
        <v>191</v>
      </c>
    </row>
    <row r="43" spans="1:2" x14ac:dyDescent="0.2">
      <c r="B43" s="58" t="s">
        <v>192</v>
      </c>
    </row>
    <row r="44" spans="1:2" x14ac:dyDescent="0.2">
      <c r="B44" s="58" t="s">
        <v>193</v>
      </c>
    </row>
    <row r="45" spans="1:2" x14ac:dyDescent="0.2">
      <c r="B45" s="58" t="s">
        <v>194</v>
      </c>
    </row>
    <row r="46" spans="1:2" x14ac:dyDescent="0.2">
      <c r="B46" s="58" t="s">
        <v>195</v>
      </c>
    </row>
    <row r="47" spans="1:2" x14ac:dyDescent="0.2">
      <c r="B47" s="58" t="s">
        <v>196</v>
      </c>
    </row>
    <row r="48" spans="1:2" x14ac:dyDescent="0.2">
      <c r="B48" s="58" t="s">
        <v>197</v>
      </c>
    </row>
    <row r="49" spans="1:2" x14ac:dyDescent="0.2">
      <c r="B49" s="58" t="s">
        <v>198</v>
      </c>
    </row>
    <row r="50" spans="1:2" x14ac:dyDescent="0.2">
      <c r="B50" s="58" t="s">
        <v>199</v>
      </c>
    </row>
    <row r="51" spans="1:2" x14ac:dyDescent="0.2">
      <c r="B51" s="58" t="s">
        <v>200</v>
      </c>
    </row>
    <row r="52" spans="1:2" x14ac:dyDescent="0.2">
      <c r="B52" s="58" t="s">
        <v>201</v>
      </c>
    </row>
    <row r="53" spans="1:2" x14ac:dyDescent="0.2">
      <c r="B53" s="58" t="s">
        <v>202</v>
      </c>
    </row>
    <row r="54" spans="1:2" x14ac:dyDescent="0.2">
      <c r="B54" s="58" t="s">
        <v>203</v>
      </c>
    </row>
    <row r="55" spans="1:2" x14ac:dyDescent="0.2">
      <c r="B55" s="58" t="s">
        <v>204</v>
      </c>
    </row>
    <row r="56" spans="1:2" x14ac:dyDescent="0.2">
      <c r="A56" s="57" t="s">
        <v>205</v>
      </c>
    </row>
    <row r="57" spans="1:2" x14ac:dyDescent="0.2">
      <c r="B57" s="58" t="s">
        <v>206</v>
      </c>
    </row>
    <row r="58" spans="1:2" x14ac:dyDescent="0.2">
      <c r="B58" s="58" t="s">
        <v>207</v>
      </c>
    </row>
    <row r="59" spans="1:2" x14ac:dyDescent="0.2">
      <c r="B59" s="58" t="s">
        <v>208</v>
      </c>
    </row>
    <row r="60" spans="1:2" x14ac:dyDescent="0.2">
      <c r="A60" s="57" t="s">
        <v>209</v>
      </c>
    </row>
    <row r="61" spans="1:2" x14ac:dyDescent="0.2">
      <c r="B61" s="58" t="s">
        <v>210</v>
      </c>
    </row>
    <row r="62" spans="1:2" x14ac:dyDescent="0.2">
      <c r="B62" s="58" t="s">
        <v>211</v>
      </c>
    </row>
    <row r="63" spans="1:2" x14ac:dyDescent="0.2">
      <c r="B63" s="58" t="s">
        <v>212</v>
      </c>
    </row>
    <row r="64" spans="1:2" x14ac:dyDescent="0.2">
      <c r="B64" s="58" t="s">
        <v>213</v>
      </c>
    </row>
    <row r="65" spans="2:2" x14ac:dyDescent="0.2">
      <c r="B65" s="58" t="s">
        <v>214</v>
      </c>
    </row>
    <row r="66" spans="2:2" x14ac:dyDescent="0.2">
      <c r="B66" s="58" t="s">
        <v>215</v>
      </c>
    </row>
    <row r="67" spans="2:2" x14ac:dyDescent="0.2">
      <c r="B67" s="58" t="s">
        <v>216</v>
      </c>
    </row>
    <row r="68" spans="2:2" x14ac:dyDescent="0.2">
      <c r="B68" s="58" t="s">
        <v>217</v>
      </c>
    </row>
    <row r="69" spans="2:2" x14ac:dyDescent="0.2">
      <c r="B69" s="58" t="s">
        <v>218</v>
      </c>
    </row>
    <row r="70" spans="2:2" x14ac:dyDescent="0.2">
      <c r="B70" s="58" t="s">
        <v>219</v>
      </c>
    </row>
    <row r="71" spans="2:2" x14ac:dyDescent="0.2">
      <c r="B71" s="58" t="s">
        <v>220</v>
      </c>
    </row>
    <row r="72" spans="2:2" x14ac:dyDescent="0.2">
      <c r="B72" s="58" t="s">
        <v>221</v>
      </c>
    </row>
    <row r="73" spans="2:2" x14ac:dyDescent="0.2">
      <c r="B73" s="58" t="s">
        <v>222</v>
      </c>
    </row>
    <row r="74" spans="2:2" x14ac:dyDescent="0.2">
      <c r="B74" s="58" t="s">
        <v>223</v>
      </c>
    </row>
    <row r="75" spans="2:2" x14ac:dyDescent="0.2">
      <c r="B75" s="58" t="s">
        <v>224</v>
      </c>
    </row>
    <row r="76" spans="2:2" x14ac:dyDescent="0.2">
      <c r="B76" s="58" t="s">
        <v>225</v>
      </c>
    </row>
    <row r="77" spans="2:2" x14ac:dyDescent="0.2">
      <c r="B77" s="58" t="s">
        <v>226</v>
      </c>
    </row>
    <row r="79" spans="2:2" x14ac:dyDescent="0.2">
      <c r="B79" s="59" t="s">
        <v>227</v>
      </c>
    </row>
    <row r="80" spans="2:2" x14ac:dyDescent="0.2">
      <c r="B80" s="26" t="s">
        <v>228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305"/>
  <sheetViews>
    <sheetView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R31" sqref="R31"/>
    </sheetView>
  </sheetViews>
  <sheetFormatPr baseColWidth="10" defaultColWidth="8.6640625" defaultRowHeight="15" outlineLevelCol="1" x14ac:dyDescent="0.2"/>
  <cols>
    <col min="1" max="1" width="14" customWidth="1"/>
    <col min="2" max="2" width="15" customWidth="1"/>
    <col min="3" max="3" width="9" customWidth="1"/>
    <col min="4" max="4" width="22" customWidth="1"/>
    <col min="5" max="5" width="11" customWidth="1"/>
    <col min="6" max="6" width="9" customWidth="1"/>
    <col min="7" max="7" width="8" customWidth="1"/>
    <col min="8" max="8" width="10" customWidth="1"/>
    <col min="9" max="9" width="14" customWidth="1"/>
    <col min="10" max="13" width="16" customWidth="1"/>
    <col min="14" max="14" width="20" customWidth="1"/>
    <col min="15" max="15" width="14" customWidth="1"/>
    <col min="16" max="17" width="11" customWidth="1"/>
    <col min="18" max="18" width="15" customWidth="1"/>
    <col min="19" max="21" width="11" customWidth="1"/>
    <col min="22" max="22" width="10" customWidth="1"/>
    <col min="23" max="23" width="11" customWidth="1"/>
    <col min="24" max="24" width="8" customWidth="1"/>
    <col min="25" max="32" width="10" hidden="1" customWidth="1" outlineLevel="1"/>
    <col min="33" max="33" width="36" customWidth="1" collapsed="1"/>
    <col min="34" max="44" width="10" hidden="1" customWidth="1" outlineLevel="1"/>
    <col min="45" max="45" width="8.6640625" collapsed="1"/>
  </cols>
  <sheetData>
    <row r="1" spans="1:44" ht="18" x14ac:dyDescent="0.2">
      <c r="A1" s="50" t="s">
        <v>229</v>
      </c>
    </row>
    <row r="2" spans="1:44" x14ac:dyDescent="0.2">
      <c r="A2" s="16" t="s">
        <v>230</v>
      </c>
    </row>
    <row r="3" spans="1:44" x14ac:dyDescent="0.2">
      <c r="F3" s="18" t="s">
        <v>231</v>
      </c>
      <c r="G3" s="59" t="s">
        <v>232</v>
      </c>
      <c r="H3" s="26" t="s">
        <v>233</v>
      </c>
    </row>
    <row r="5" spans="1:44" ht="45" customHeight="1" x14ac:dyDescent="0.2">
      <c r="A5" s="25" t="s">
        <v>20</v>
      </c>
      <c r="B5" s="25" t="s">
        <v>19</v>
      </c>
      <c r="C5" s="25" t="s">
        <v>85</v>
      </c>
      <c r="D5" s="25" t="s">
        <v>86</v>
      </c>
      <c r="E5" s="25" t="s">
        <v>26</v>
      </c>
      <c r="F5" s="25" t="s">
        <v>87</v>
      </c>
      <c r="G5" s="25" t="s">
        <v>88</v>
      </c>
      <c r="H5" s="25" t="s">
        <v>234</v>
      </c>
      <c r="I5" s="25" t="s">
        <v>235</v>
      </c>
      <c r="J5" s="25" t="s">
        <v>236</v>
      </c>
      <c r="K5" s="25" t="s">
        <v>237</v>
      </c>
      <c r="L5" s="25" t="s">
        <v>238</v>
      </c>
      <c r="M5" s="25" t="s">
        <v>239</v>
      </c>
      <c r="N5" s="25" t="s">
        <v>240</v>
      </c>
      <c r="O5" s="25" t="s">
        <v>241</v>
      </c>
      <c r="P5" s="25" t="s">
        <v>242</v>
      </c>
      <c r="Q5" s="25" t="s">
        <v>243</v>
      </c>
      <c r="R5" s="25" t="s">
        <v>244</v>
      </c>
      <c r="S5" s="25" t="s">
        <v>245</v>
      </c>
      <c r="T5" s="25" t="s">
        <v>246</v>
      </c>
      <c r="U5" s="25" t="s">
        <v>247</v>
      </c>
      <c r="V5" s="25" t="s">
        <v>248</v>
      </c>
      <c r="W5" s="25" t="s">
        <v>249</v>
      </c>
      <c r="X5" s="25" t="s">
        <v>250</v>
      </c>
      <c r="Y5" s="25" t="s">
        <v>251</v>
      </c>
      <c r="Z5" s="25" t="s">
        <v>252</v>
      </c>
      <c r="AA5" s="25" t="s">
        <v>253</v>
      </c>
      <c r="AB5" s="25" t="s">
        <v>254</v>
      </c>
      <c r="AC5" s="25" t="s">
        <v>255</v>
      </c>
      <c r="AD5" s="25" t="s">
        <v>256</v>
      </c>
      <c r="AE5" s="25" t="s">
        <v>257</v>
      </c>
      <c r="AF5" s="25" t="s">
        <v>258</v>
      </c>
      <c r="AG5" s="25" t="s">
        <v>259</v>
      </c>
      <c r="AH5" s="25" t="s">
        <v>260</v>
      </c>
      <c r="AI5" s="25" t="s">
        <v>261</v>
      </c>
      <c r="AJ5" s="25" t="s">
        <v>262</v>
      </c>
      <c r="AK5" s="25" t="s">
        <v>263</v>
      </c>
      <c r="AL5" s="25" t="s">
        <v>264</v>
      </c>
      <c r="AM5" s="25" t="s">
        <v>265</v>
      </c>
      <c r="AN5" s="25" t="s">
        <v>266</v>
      </c>
      <c r="AO5" s="25" t="s">
        <v>267</v>
      </c>
      <c r="AP5" s="25" t="s">
        <v>268</v>
      </c>
      <c r="AQ5" s="25" t="s">
        <v>269</v>
      </c>
      <c r="AR5" s="25" t="s">
        <v>270</v>
      </c>
    </row>
    <row r="6" spans="1:44" x14ac:dyDescent="0.2">
      <c r="A6" s="59" t="s">
        <v>271</v>
      </c>
      <c r="B6" s="59" t="s">
        <v>272</v>
      </c>
      <c r="C6" s="59" t="s">
        <v>273</v>
      </c>
      <c r="D6" s="59" t="s">
        <v>274</v>
      </c>
      <c r="E6" s="59" t="s">
        <v>39</v>
      </c>
      <c r="F6" s="59" t="s">
        <v>39</v>
      </c>
      <c r="G6" s="59" t="s">
        <v>29</v>
      </c>
      <c r="H6" s="59" t="s">
        <v>275</v>
      </c>
      <c r="I6" s="59" t="s">
        <v>276</v>
      </c>
      <c r="J6" s="59"/>
      <c r="K6" s="59"/>
      <c r="L6" s="59"/>
      <c r="M6" s="59"/>
      <c r="N6" s="26" t="str">
        <f t="shared" ref="N6:N69" si="0">IF($C6="","",IF($J6="Oui","Dédié (données secrètes)",IF($K6="Oui","Dédié (RGPD / sécurité)",IF($L6="Oui","Dédié (isolement fort)",IF(OR($M6="Oui",AND(ISNUMBER($P6),$P6&gt;=p_seuil_cpu_dedie),AND(ISNUMBER($Q6),$Q6&gt;=p_seuil_ram_dedie)),"Dédié (volume / atypique)","Mutualisé")))))</f>
        <v>Mutualisé</v>
      </c>
      <c r="O6" s="59" t="s">
        <v>277</v>
      </c>
      <c r="P6" s="60">
        <f>IF($C6="","",IF($AQ6&lt;&gt;"",$AQ6,SUMIFS(TblDynatrace[CPU P95 (vCPU)],TblDynatrace[ID],$C6,TblDynatrace[Environnement],$E6,TblDynatrace[Couloir],$F6)))</f>
        <v>12</v>
      </c>
      <c r="Q6" s="60">
        <f>IF($C6="","",IF($AR6&lt;&gt;"",$AR6,SUMIFS(TblDynatrace[RAM P95 (Go)],TblDynatrace[ID],$C6,TblDynatrace[Environnement],$E6,TblDynatrace[Couloir],$F6)))</f>
        <v>60</v>
      </c>
      <c r="R6" s="26" t="str">
        <f>IF($C6="","",IFERROR(INDEX(TblDynatrace[Métrique / période],MATCH($C6&amp;"|"&amp;$E6&amp;"|"&amp;$F6,TblDynatrace[Clé],0)),""))</f>
        <v>P95 30 j – fictif</v>
      </c>
      <c r="S6" s="60">
        <f>IF(OR($C6="",NOT(OR($G6="À migrer",$G6="À décommissionner")),$I6="",NOT(ISNUMBER($P6))),"",IF($AO6&lt;&gt;"",$AO6,IFERROR(SUMIFS(TblClusters[CPU initial (vCPU)],TblClusters[Cluster],$I6)*$P6/(SUMIFS(TblApplications[CPU Dynatrace (vCPU)],TblApplications[Cluster IKS source],$I6,TblApplications[Action],"À migrer")+SUMIFS(TblApplications[CPU Dynatrace (vCPU)],TblApplications[Cluster IKS source],$I6,TblApplications[Action],"À décommissionner")),0)))</f>
        <v>110.76923076923077</v>
      </c>
      <c r="T6" s="60">
        <f>IF(OR($C6="",NOT(OR($G6="À migrer",$G6="À décommissionner")),$I6="",NOT(ISNUMBER($Q6))),"",IF($AP6&lt;&gt;"",$AP6,IFERROR(SUMIFS(TblClusters[RAM initiale (Go)],TblClusters[Cluster],$I6)*$Q6/(SUMIFS(TblApplications[RAM Dynatrace (Go)],TblApplications[Cluster IKS source],$I6,TblApplications[Action],"À migrer")+SUMIFS(TblApplications[RAM Dynatrace (Go)],TblApplications[Cluster IKS source],$I6,TblApplications[Action],"À décommissionner")),0)))</f>
        <v>364.55696202531647</v>
      </c>
      <c r="U6" s="61">
        <v>46478</v>
      </c>
      <c r="V6" s="61">
        <v>46508</v>
      </c>
      <c r="W6" s="61">
        <v>46569</v>
      </c>
      <c r="X6" s="59" t="s">
        <v>278</v>
      </c>
      <c r="Y6" s="26">
        <f t="shared" ref="Y6:Y69" si="1">IF(OR($C6="",NOT(OR($G6="À migrer",$G6="Migré")),NOT(ISNUMBER($P6))),"",ROUNDUP($P6*(1+IF($AH6="",p_margeCPU,$AH6)),0))</f>
        <v>15</v>
      </c>
      <c r="Z6" s="26">
        <f t="shared" ref="Z6:Z69" si="2">IF(OR($C6="",NOT(OR($G6="À migrer",$G6="Migré")),NOT(ISNUMBER($Q6))),"",ROUNDUP($Q6*(1+IF($AI6="",p_margeRAM,$AI6)),0))</f>
        <v>72</v>
      </c>
      <c r="AA6" s="33">
        <f t="shared" ref="AA6:AA69" si="3">IF(OR(NOT($G6="À migrer"),$U6=""),"",IFERROR(DATE(YEAR($U6),MONTH($U6),1),""))</f>
        <v>46478</v>
      </c>
      <c r="AB6" s="33">
        <f t="shared" ref="AB6:AB69" si="4">IF(OR(NOT(OR($G6="À migrer",$G6="À décommissionner")),$W6=""),"",IFERROR(DATE(YEAR($W6),MONTH($W6),1),""))</f>
        <v>46569</v>
      </c>
      <c r="AC6" s="26">
        <f t="shared" ref="AC6:AC69" si="5">IF(OR($AA6="",$AB6=""),"",MAX(0,(YEAR($AB6)-YEAR($AA6))*12+MONTH($AB6)-MONTH($AA6)))</f>
        <v>3</v>
      </c>
      <c r="AD6" s="26">
        <f>IF($C6="","",COUNTIF(TblApplications[ID],$C6))</f>
        <v>1</v>
      </c>
      <c r="AE6" s="33">
        <f>IF($C6="","",IFERROR(1/(1/_xlfn.MINIFS(TblApplications[Mois prov (calc)],TblApplications[ID],$C6)),""))</f>
        <v>46478</v>
      </c>
      <c r="AF6" s="33">
        <f>IF($C6="","",IFERROR(1/(1/_xlfn.MAXIFS(TblApplications[Mois lib (calc)],TblApplications[ID],$C6)),""))</f>
        <v>46569</v>
      </c>
      <c r="AG6" s="26" t="str">
        <f>IF($C6="","",IF(OR(OR($A6="",$B6="",$D6="",$E6="",$F6="",$G6=""),AND($G6="À migrer",OR($H6="",$I6="",$O6="",$U6="",$V6="",$W6="")),AND($G6="Migré",OR($O6="")),AND($G6="À décommissionner",OR($I6="",$W6=""))),"Données manquantes (selon l’action)",IF(AND($G6&lt;&gt;"Migré",$G6&lt;&gt;"À migrer",$G6&lt;&gt;"À décommissionner",$G6&lt;&gt;"Décommissionné"),"Action invalide",IF(COUNTIF(TblDomaines[Domaine],$A6)=0,"Domaine inconnu (référentiel)",IF(COUNTIFS(TblTribes[Tribe],$B6,TblTribes[Domaine de la tribe],$A6)=0,"Tribe inconnue ou hors domaine",IF(AND($G6="À migrer",$H6&lt;&gt;"Oui",$H6&lt;&gt;"Non"),"Valeur Oui/Non invalide (Déjà incluse ROKS)",IF(AND($E6&lt;&gt;"PRD",$E6&lt;&gt;"NPRD"),"Environnement invalide",IF(COUNTIFS(TblApplications[ID],$C6,TblApplications[Environnement],$E6,TblApplications[Couloir],$F6)&gt;1,"Déploiement en doublon (ID + env + couloir)",IF(AND(OR(OR($G6="À migrer",$G6="Migré"),OR($G6="À migrer",$G6="À décommissionner")),N($P6)&lt;=0),"Conso Dynatrace absente (onglet Dynatrace)",IF(OR(AND($P6&lt;&gt;"",NOT(ISNUMBER($P6))),AND($Q6&lt;&gt;"",NOT(ISNUMBER($Q6)))),"Ressource non numérique",IF(MIN(N($P6),N($Q6))&lt;0,"Ressource négative",IF(OR(AND($AH6&lt;&gt;"",OR(NOT(ISNUMBER($AH6)),$AH6&lt;0,$AH6&gt;1)),AND($AI6&lt;&gt;"",OR(NOT(ISNUMBER($AI6)),$AI6&lt;0,$AI6&gt;1))),"Marge spécifique invalide (0–100 %)",IF(OR(AND($U6&lt;&gt;"",NOT(ISNUMBER($U6))),AND($V6&lt;&gt;"",NOT(ISNUMBER($V6))),AND($W6&lt;&gt;"",NOT(ISNUMBER($W6)))),"Mois invalide",IF(AND(OR($G6="À migrer",$G6="À décommissionner"),COUNTIFS(TblClusters[Cluster],$I6,TblClusters[Plateforme],"IKS")=0),"Cluster IKS inconnu",IF(AND(OR($G6="À migrer",$G6="Migré"),COUNTIFS(TblClusters[Cluster],$O6,TblClusters[Plateforme],"ROKS")=0),"Cluster ROKS inconnu",IF(AND(OR($G6="À migrer",$G6="À décommissionner"),COUNTIFS(TblClusters[Cluster],$I6,TblClusters[Environnement],$E6)=0),"Environnement ≠ cluster IKS",IF(AND(OR($G6="À migrer",$G6="Migré"),COUNTIFS(TblClusters[Cluster],$O6,TblClusters[Environnement],$E6)=0),"Environnement ≠ cluster ROKS",IF(AND($G6="À migrer",OR($U6&gt;$V6,$V6&gt;$W6)),"Dates incohérentes (prov ≤ bascule ≤ libération)",IF(AND(OR($G6="À migrer",$G6="À décommissionner"),OR(N($AO6)&gt;SUMIFS(TblClusters[CPU initial (vCPU)],TblClusters[Cluster],$I6),N($AP6)&gt;SUMIFS(TblClusters[RAM initiale (Go)],TblClusters[Cluster],$I6))),"Forçage &gt; capacité du cluster source",IF(OR(AND($AA6&lt;&gt;"",$AA6&lt;p_debut),AND($AB6&lt;&gt;"",$AB6&gt;p_fin)),"Hors horizon (info)",IF(AND($G6="À migrer",$E6="PRD",COUNTIFS(TblApplications[ID],$C6,TblApplications[Environnement],"NPRD",TblApplications[Action],"À migrer")&gt;0,$AA6&lt;_xlfn.MINIFS(TblApplications[Mois prov (calc)],TblApplications[ID],$C6,TblApplications[Environnement],"NPRD")),"PRD avant NPRD (info)","OK")))))))))))))))))))))</f>
        <v>OK</v>
      </c>
      <c r="AH6" s="62"/>
      <c r="AI6" s="62"/>
      <c r="AJ6" s="27">
        <f>IF(OR($C6="",NOT(OR($G6="À migrer",$G6="À décommissionner")),NOT(ISNUMBER($S6)),NOT(ISNUMBER($T6)),$AB6=""),"",($S6+p_poidsram*$T6)*SUMIFS(TblCalculs[Coût par unité],TblCalculs[Cluster],$I6,TblCalculs[Mois],"&lt;"&amp;$AB6))</f>
        <v>31692.483263126964</v>
      </c>
      <c r="AK6" s="27">
        <f>IF($C6="","",IF(AND($G6="À migrer",$H6="Non",$Y6&lt;&gt;"",$AA6&lt;&gt;""),($Y6+p_poidsram*$Z6)*SUMIFS(TblCalculs[Coût par unité],TblCalculs[Cluster],$O6,TblCalculs[Mois],"&gt;="&amp;$AA6),IF(AND($G6="Migré",$Y6&lt;&gt;""),($Y6+p_poidsram*$Z6)*SUMIFS(TblCalculs[Coût par unité],TblCalculs[Cluster],$O6),"")))</f>
        <v>21567.421158809728</v>
      </c>
      <c r="AL6" s="27">
        <f t="shared" ref="AL6:AL69" si="6">IF($C6="","",N($AJ6)+N($AK6))</f>
        <v>53259.904421936692</v>
      </c>
      <c r="AM6" s="26">
        <f t="shared" ref="AM6:AM69" si="7">IF($C6="","",IF(AND(OR($G6="À migrer",$G6="À décommissionner"),$AB6&lt;&gt;"",$AB6&gt;ex_mois),1,0))</f>
        <v>0</v>
      </c>
      <c r="AN6" s="26" t="str">
        <f>IF(OR($C6="",$AM6&lt;&gt;1,COUNTIFS($E6,ex_envc,$A6,ex_domc,$B6,ex_tric)=0),"",COUNTIFS($AM$6:$AM6,1,$E$6:$E6,ex_envc,$A$6:$A6,ex_domc,$B$6:$B6,ex_tric))</f>
        <v/>
      </c>
      <c r="AO6" s="63"/>
      <c r="AP6" s="63"/>
      <c r="AQ6" s="63"/>
      <c r="AR6" s="63"/>
    </row>
    <row r="7" spans="1:44" x14ac:dyDescent="0.2">
      <c r="A7" s="59" t="s">
        <v>271</v>
      </c>
      <c r="B7" s="59" t="s">
        <v>279</v>
      </c>
      <c r="C7" s="59" t="s">
        <v>280</v>
      </c>
      <c r="D7" s="59" t="s">
        <v>281</v>
      </c>
      <c r="E7" s="59" t="s">
        <v>39</v>
      </c>
      <c r="F7" s="59" t="s">
        <v>39</v>
      </c>
      <c r="G7" s="59" t="s">
        <v>29</v>
      </c>
      <c r="H7" s="59" t="s">
        <v>275</v>
      </c>
      <c r="I7" s="59" t="s">
        <v>276</v>
      </c>
      <c r="J7" s="59"/>
      <c r="K7" s="59"/>
      <c r="L7" s="59"/>
      <c r="M7" s="59"/>
      <c r="N7" s="26" t="str">
        <f t="shared" si="0"/>
        <v>Mutualisé</v>
      </c>
      <c r="O7" s="59" t="s">
        <v>277</v>
      </c>
      <c r="P7" s="60">
        <f>IF($C7="","",IF($AQ7&lt;&gt;"",$AQ7,SUMIFS(TblDynatrace[CPU P95 (vCPU)],TblDynatrace[ID],$C7,TblDynatrace[Environnement],$E7,TblDynatrace[Couloir],$F7)))</f>
        <v>10</v>
      </c>
      <c r="Q7" s="60">
        <f>IF($C7="","",IF($AR7&lt;&gt;"",$AR7,SUMIFS(TblDynatrace[RAM P95 (Go)],TblDynatrace[ID],$C7,TblDynatrace[Environnement],$E7,TblDynatrace[Couloir],$F7)))</f>
        <v>56</v>
      </c>
      <c r="R7" s="26" t="str">
        <f>IF($C7="","",IFERROR(INDEX(TblDynatrace[Métrique / période],MATCH($C7&amp;"|"&amp;$E7&amp;"|"&amp;$F7,TblDynatrace[Clé],0)),""))</f>
        <v>P95 30 j – fictif</v>
      </c>
      <c r="S7" s="60">
        <f>IF(OR($C7="",NOT(OR($G7="À migrer",$G7="À décommissionner")),$I7="",NOT(ISNUMBER($P7))),"",IF($AO7&lt;&gt;"",$AO7,IFERROR(SUMIFS(TblClusters[CPU initial (vCPU)],TblClusters[Cluster],$I7)*$P7/(SUMIFS(TblApplications[CPU Dynatrace (vCPU)],TblApplications[Cluster IKS source],$I7,TblApplications[Action],"À migrer")+SUMIFS(TblApplications[CPU Dynatrace (vCPU)],TblApplications[Cluster IKS source],$I7,TblApplications[Action],"À décommissionner")),0)))</f>
        <v>92.307692307692307</v>
      </c>
      <c r="T7" s="60">
        <f>IF(OR($C7="",NOT(OR($G7="À migrer",$G7="À décommissionner")),$I7="",NOT(ISNUMBER($Q7))),"",IF($AP7&lt;&gt;"",$AP7,IFERROR(SUMIFS(TblClusters[RAM initiale (Go)],TblClusters[Cluster],$I7)*$Q7/(SUMIFS(TblApplications[RAM Dynatrace (Go)],TblApplications[Cluster IKS source],$I7,TblApplications[Action],"À migrer")+SUMIFS(TblApplications[RAM Dynatrace (Go)],TblApplications[Cluster IKS source],$I7,TblApplications[Action],"À décommissionner")),0)))</f>
        <v>340.25316455696202</v>
      </c>
      <c r="U7" s="61">
        <v>46753</v>
      </c>
      <c r="V7" s="61">
        <v>46784</v>
      </c>
      <c r="W7" s="61">
        <v>46813</v>
      </c>
      <c r="X7" s="59" t="s">
        <v>278</v>
      </c>
      <c r="Y7" s="26">
        <f t="shared" si="1"/>
        <v>12</v>
      </c>
      <c r="Z7" s="26">
        <f t="shared" si="2"/>
        <v>68</v>
      </c>
      <c r="AA7" s="33">
        <f t="shared" si="3"/>
        <v>46753</v>
      </c>
      <c r="AB7" s="33">
        <f t="shared" si="4"/>
        <v>46813</v>
      </c>
      <c r="AC7" s="26">
        <f t="shared" si="5"/>
        <v>2</v>
      </c>
      <c r="AD7" s="26">
        <f>IF($C7="","",COUNTIF(TblApplications[ID],$C7))</f>
        <v>1</v>
      </c>
      <c r="AE7" s="33">
        <f>IF($C7="","",IFERROR(1/(1/_xlfn.MINIFS(TblApplications[Mois prov (calc)],TblApplications[ID],$C7)),""))</f>
        <v>46753</v>
      </c>
      <c r="AF7" s="33">
        <f>IF($C7="","",IFERROR(1/(1/_xlfn.MAXIFS(TblApplications[Mois lib (calc)],TblApplications[ID],$C7)),""))</f>
        <v>46813</v>
      </c>
      <c r="AG7" s="26" t="str">
        <f>IF($C7="","",IF(OR(OR($A7="",$B7="",$D7="",$E7="",$F7="",$G7=""),AND($G7="À migrer",OR($H7="",$I7="",$O7="",$U7="",$V7="",$W7="")),AND($G7="Migré",OR($O7="")),AND($G7="À décommissionner",OR($I7="",$W7=""))),"Données manquantes (selon l’action)",IF(AND($G7&lt;&gt;"Migré",$G7&lt;&gt;"À migrer",$G7&lt;&gt;"À décommissionner",$G7&lt;&gt;"Décommissionné"),"Action invalide",IF(COUNTIF(TblDomaines[Domaine],$A7)=0,"Domaine inconnu (référentiel)",IF(COUNTIFS(TblTribes[Tribe],$B7,TblTribes[Domaine de la tribe],$A7)=0,"Tribe inconnue ou hors domaine",IF(AND($G7="À migrer",$H7&lt;&gt;"Oui",$H7&lt;&gt;"Non"),"Valeur Oui/Non invalide (Déjà incluse ROKS)",IF(AND($E7&lt;&gt;"PRD",$E7&lt;&gt;"NPRD"),"Environnement invalide",IF(COUNTIFS(TblApplications[ID],$C7,TblApplications[Environnement],$E7,TblApplications[Couloir],$F7)&gt;1,"Déploiement en doublon (ID + env + couloir)",IF(AND(OR(OR($G7="À migrer",$G7="Migré"),OR($G7="À migrer",$G7="À décommissionner")),N($P7)&lt;=0),"Conso Dynatrace absente (onglet Dynatrace)",IF(OR(AND($P7&lt;&gt;"",NOT(ISNUMBER($P7))),AND($Q7&lt;&gt;"",NOT(ISNUMBER($Q7)))),"Ressource non numérique",IF(MIN(N($P7),N($Q7))&lt;0,"Ressource négative",IF(OR(AND($AH7&lt;&gt;"",OR(NOT(ISNUMBER($AH7)),$AH7&lt;0,$AH7&gt;1)),AND($AI7&lt;&gt;"",OR(NOT(ISNUMBER($AI7)),$AI7&lt;0,$AI7&gt;1))),"Marge spécifique invalide (0–100 %)",IF(OR(AND($U7&lt;&gt;"",NOT(ISNUMBER($U7))),AND($V7&lt;&gt;"",NOT(ISNUMBER($V7))),AND($W7&lt;&gt;"",NOT(ISNUMBER($W7)))),"Mois invalide",IF(AND(OR($G7="À migrer",$G7="À décommissionner"),COUNTIFS(TblClusters[Cluster],$I7,TblClusters[Plateforme],"IKS")=0),"Cluster IKS inconnu",IF(AND(OR($G7="À migrer",$G7="Migré"),COUNTIFS(TblClusters[Cluster],$O7,TblClusters[Plateforme],"ROKS")=0),"Cluster ROKS inconnu",IF(AND(OR($G7="À migrer",$G7="À décommissionner"),COUNTIFS(TblClusters[Cluster],$I7,TblClusters[Environnement],$E7)=0),"Environnement ≠ cluster IKS",IF(AND(OR($G7="À migrer",$G7="Migré"),COUNTIFS(TblClusters[Cluster],$O7,TblClusters[Environnement],$E7)=0),"Environnement ≠ cluster ROKS",IF(AND($G7="À migrer",OR($U7&gt;$V7,$V7&gt;$W7)),"Dates incohérentes (prov ≤ bascule ≤ libération)",IF(AND(OR($G7="À migrer",$G7="À décommissionner"),OR(N($AO7)&gt;SUMIFS(TblClusters[CPU initial (vCPU)],TblClusters[Cluster],$I7),N($AP7)&gt;SUMIFS(TblClusters[RAM initiale (Go)],TblClusters[Cluster],$I7))),"Forçage &gt; capacité du cluster source",IF(OR(AND($AA7&lt;&gt;"",$AA7&lt;p_debut),AND($AB7&lt;&gt;"",$AB7&gt;p_fin)),"Hors horizon (info)",IF(AND($G7="À migrer",$E7="PRD",COUNTIFS(TblApplications[ID],$C7,TblApplications[Environnement],"NPRD",TblApplications[Action],"À migrer")&gt;0,$AA7&lt;_xlfn.MINIFS(TblApplications[Mois prov (calc)],TblApplications[ID],$C7,TblApplications[Environnement],"NPRD")),"PRD avant NPRD (info)","OK")))))))))))))))))))))</f>
        <v>OK</v>
      </c>
      <c r="AH7" s="62"/>
      <c r="AI7" s="62"/>
      <c r="AJ7" s="27">
        <f>IF(OR($C7="",NOT(OR($G7="À migrer",$G7="À décommissionner")),NOT(ISNUMBER($S7)),NOT(ISNUMBER($T7)),$AB7=""),"",($S7+p_poidsram*$T7)*SUMIFS(TblCalculs[Coût par unité],TblCalculs[Cluster],$I7,TblCalculs[Mois],"&lt;"&amp;$AB7))</f>
        <v>55308.638016622972</v>
      </c>
      <c r="AK7" s="27">
        <f>IF($C7="","",IF(AND($G7="À migrer",$H7="Non",$Y7&lt;&gt;"",$AA7&lt;&gt;""),($Y7+p_poidsram*$Z7)*SUMIFS(TblCalculs[Coût par unité],TblCalculs[Cluster],$O7,TblCalculs[Mois],"&gt;="&amp;$AA7),IF(AND($G7="Migré",$Y7&lt;&gt;""),($Y7+p_poidsram*$Z7)*SUMIFS(TblCalculs[Coût par unité],TblCalculs[Cluster],$O7),"")))</f>
        <v>12976.35355836999</v>
      </c>
      <c r="AL7" s="27">
        <f t="shared" si="6"/>
        <v>68284.991574992964</v>
      </c>
      <c r="AM7" s="26">
        <f t="shared" si="7"/>
        <v>1</v>
      </c>
      <c r="AN7" s="26">
        <f>IF(OR($C7="",$AM7&lt;&gt;1,COUNTIFS($E7,ex_envc,$A7,ex_domc,$B7,ex_tric)=0),"",COUNTIFS($AM$6:$AM7,1,$E$6:$E7,ex_envc,$A$6:$A7,ex_domc,$B$6:$B7,ex_tric))</f>
        <v>1</v>
      </c>
      <c r="AO7" s="63"/>
      <c r="AP7" s="63"/>
      <c r="AQ7" s="63"/>
      <c r="AR7" s="63"/>
    </row>
    <row r="8" spans="1:44" x14ac:dyDescent="0.2">
      <c r="A8" s="59" t="s">
        <v>282</v>
      </c>
      <c r="B8" s="59" t="s">
        <v>283</v>
      </c>
      <c r="C8" s="59" t="s">
        <v>284</v>
      </c>
      <c r="D8" s="59" t="s">
        <v>285</v>
      </c>
      <c r="E8" s="59" t="s">
        <v>39</v>
      </c>
      <c r="F8" s="59" t="s">
        <v>39</v>
      </c>
      <c r="G8" s="59" t="s">
        <v>29</v>
      </c>
      <c r="H8" s="59" t="s">
        <v>275</v>
      </c>
      <c r="I8" s="59" t="s">
        <v>276</v>
      </c>
      <c r="J8" s="59"/>
      <c r="K8" s="59"/>
      <c r="L8" s="59"/>
      <c r="M8" s="59"/>
      <c r="N8" s="26" t="str">
        <f t="shared" si="0"/>
        <v>Mutualisé</v>
      </c>
      <c r="O8" s="59" t="s">
        <v>277</v>
      </c>
      <c r="P8" s="60">
        <f>IF($C8="","",IF($AQ8&lt;&gt;"",$AQ8,SUMIFS(TblDynatrace[CPU P95 (vCPU)],TblDynatrace[ID],$C8,TblDynatrace[Environnement],$E8,TblDynatrace[Couloir],$F8)))</f>
        <v>10</v>
      </c>
      <c r="Q8" s="60">
        <f>IF($C8="","",IF($AR8&lt;&gt;"",$AR8,SUMIFS(TblDynatrace[RAM P95 (Go)],TblDynatrace[ID],$C8,TblDynatrace[Environnement],$E8,TblDynatrace[Couloir],$F8)))</f>
        <v>80</v>
      </c>
      <c r="R8" s="26" t="str">
        <f>IF($C8="","",IFERROR(INDEX(TblDynatrace[Métrique / période],MATCH($C8&amp;"|"&amp;$E8&amp;"|"&amp;$F8,TblDynatrace[Clé],0)),""))</f>
        <v>P95 30 j – fictif</v>
      </c>
      <c r="S8" s="60">
        <f>IF(OR($C8="",NOT(OR($G8="À migrer",$G8="À décommissionner")),$I8="",NOT(ISNUMBER($P8))),"",IF($AO8&lt;&gt;"",$AO8,IFERROR(SUMIFS(TblClusters[CPU initial (vCPU)],TblClusters[Cluster],$I8)*$P8/(SUMIFS(TblApplications[CPU Dynatrace (vCPU)],TblApplications[Cluster IKS source],$I8,TblApplications[Action],"À migrer")+SUMIFS(TblApplications[CPU Dynatrace (vCPU)],TblApplications[Cluster IKS source],$I8,TblApplications[Action],"À décommissionner")),0)))</f>
        <v>92.307692307692307</v>
      </c>
      <c r="T8" s="60">
        <f>IF(OR($C8="",NOT(OR($G8="À migrer",$G8="À décommissionner")),$I8="",NOT(ISNUMBER($Q8))),"",IF($AP8&lt;&gt;"",$AP8,IFERROR(SUMIFS(TblClusters[RAM initiale (Go)],TblClusters[Cluster],$I8)*$Q8/(SUMIFS(TblApplications[RAM Dynatrace (Go)],TblApplications[Cluster IKS source],$I8,TblApplications[Action],"À migrer")+SUMIFS(TblApplications[RAM Dynatrace (Go)],TblApplications[Cluster IKS source],$I8,TblApplications[Action],"À décommissionner")),0)))</f>
        <v>486.07594936708858</v>
      </c>
      <c r="U8" s="61">
        <v>46997</v>
      </c>
      <c r="V8" s="61">
        <v>47027</v>
      </c>
      <c r="W8" s="61">
        <v>47088</v>
      </c>
      <c r="X8" s="59" t="s">
        <v>278</v>
      </c>
      <c r="Y8" s="26">
        <f t="shared" si="1"/>
        <v>11</v>
      </c>
      <c r="Z8" s="26">
        <f t="shared" si="2"/>
        <v>96</v>
      </c>
      <c r="AA8" s="33">
        <f t="shared" si="3"/>
        <v>46997</v>
      </c>
      <c r="AB8" s="33">
        <f t="shared" si="4"/>
        <v>47088</v>
      </c>
      <c r="AC8" s="26">
        <f t="shared" si="5"/>
        <v>3</v>
      </c>
      <c r="AD8" s="26">
        <f>IF($C8="","",COUNTIF(TblApplications[ID],$C8))</f>
        <v>1</v>
      </c>
      <c r="AE8" s="33">
        <f>IF($C8="","",IFERROR(1/(1/_xlfn.MINIFS(TblApplications[Mois prov (calc)],TblApplications[ID],$C8)),""))</f>
        <v>46997</v>
      </c>
      <c r="AF8" s="33">
        <f>IF($C8="","",IFERROR(1/(1/_xlfn.MAXIFS(TblApplications[Mois lib (calc)],TblApplications[ID],$C8)),""))</f>
        <v>47087.999999999993</v>
      </c>
      <c r="AG8" s="26" t="str">
        <f>IF($C8="","",IF(OR(OR($A8="",$B8="",$D8="",$E8="",$F8="",$G8=""),AND($G8="À migrer",OR($H8="",$I8="",$O8="",$U8="",$V8="",$W8="")),AND($G8="Migré",OR($O8="")),AND($G8="À décommissionner",OR($I8="",$W8=""))),"Données manquantes (selon l’action)",IF(AND($G8&lt;&gt;"Migré",$G8&lt;&gt;"À migrer",$G8&lt;&gt;"À décommissionner",$G8&lt;&gt;"Décommissionné"),"Action invalide",IF(COUNTIF(TblDomaines[Domaine],$A8)=0,"Domaine inconnu (référentiel)",IF(COUNTIFS(TblTribes[Tribe],$B8,TblTribes[Domaine de la tribe],$A8)=0,"Tribe inconnue ou hors domaine",IF(AND($G8="À migrer",$H8&lt;&gt;"Oui",$H8&lt;&gt;"Non"),"Valeur Oui/Non invalide (Déjà incluse ROKS)",IF(AND($E8&lt;&gt;"PRD",$E8&lt;&gt;"NPRD"),"Environnement invalide",IF(COUNTIFS(TblApplications[ID],$C8,TblApplications[Environnement],$E8,TblApplications[Couloir],$F8)&gt;1,"Déploiement en doublon (ID + env + couloir)",IF(AND(OR(OR($G8="À migrer",$G8="Migré"),OR($G8="À migrer",$G8="À décommissionner")),N($P8)&lt;=0),"Conso Dynatrace absente (onglet Dynatrace)",IF(OR(AND($P8&lt;&gt;"",NOT(ISNUMBER($P8))),AND($Q8&lt;&gt;"",NOT(ISNUMBER($Q8)))),"Ressource non numérique",IF(MIN(N($P8),N($Q8))&lt;0,"Ressource négative",IF(OR(AND($AH8&lt;&gt;"",OR(NOT(ISNUMBER($AH8)),$AH8&lt;0,$AH8&gt;1)),AND($AI8&lt;&gt;"",OR(NOT(ISNUMBER($AI8)),$AI8&lt;0,$AI8&gt;1))),"Marge spécifique invalide (0–100 %)",IF(OR(AND($U8&lt;&gt;"",NOT(ISNUMBER($U8))),AND($V8&lt;&gt;"",NOT(ISNUMBER($V8))),AND($W8&lt;&gt;"",NOT(ISNUMBER($W8)))),"Mois invalide",IF(AND(OR($G8="À migrer",$G8="À décommissionner"),COUNTIFS(TblClusters[Cluster],$I8,TblClusters[Plateforme],"IKS")=0),"Cluster IKS inconnu",IF(AND(OR($G8="À migrer",$G8="Migré"),COUNTIFS(TblClusters[Cluster],$O8,TblClusters[Plateforme],"ROKS")=0),"Cluster ROKS inconnu",IF(AND(OR($G8="À migrer",$G8="À décommissionner"),COUNTIFS(TblClusters[Cluster],$I8,TblClusters[Environnement],$E8)=0),"Environnement ≠ cluster IKS",IF(AND(OR($G8="À migrer",$G8="Migré"),COUNTIFS(TblClusters[Cluster],$O8,TblClusters[Environnement],$E8)=0),"Environnement ≠ cluster ROKS",IF(AND($G8="À migrer",OR($U8&gt;$V8,$V8&gt;$W8)),"Dates incohérentes (prov ≤ bascule ≤ libération)",IF(AND(OR($G8="À migrer",$G8="À décommissionner"),OR(N($AO8)&gt;SUMIFS(TblClusters[CPU initial (vCPU)],TblClusters[Cluster],$I8),N($AP8)&gt;SUMIFS(TblClusters[RAM initiale (Go)],TblClusters[Cluster],$I8))),"Forçage &gt; capacité du cluster source",IF(OR(AND($AA8&lt;&gt;"",$AA8&lt;p_debut),AND($AB8&lt;&gt;"",$AB8&gt;p_fin)),"Hors horizon (info)",IF(AND($G8="À migrer",$E8="PRD",COUNTIFS(TblApplications[ID],$C8,TblApplications[Environnement],"NPRD",TblApplications[Action],"À migrer")&gt;0,$AA8&lt;_xlfn.MINIFS(TblApplications[Mois prov (calc)],TblApplications[ID],$C8,TblApplications[Environnement],"NPRD")),"PRD avant NPRD (info)","OK")))))))))))))))))))))</f>
        <v>OK</v>
      </c>
      <c r="AH8" s="62">
        <v>0.1</v>
      </c>
      <c r="AI8" s="62"/>
      <c r="AJ8" s="27">
        <f>IF(OR($C8="",NOT(OR($G8="À migrer",$G8="À décommissionner")),NOT(ISNUMBER($S8)),NOT(ISNUMBER($T8)),$AB8=""),"",($S8+p_poidsram*$T8)*SUMIFS(TblCalculs[Coût par unité],TblCalculs[Cluster],$I8,TblCalculs[Mois],"&lt;"&amp;$AB8))</f>
        <v>98948.576182876859</v>
      </c>
      <c r="AK8" s="27">
        <f>IF($C8="","",IF(AND($G8="À migrer",$H8="Non",$Y8&lt;&gt;"",$AA8&lt;&gt;""),($Y8+p_poidsram*$Z8)*SUMIFS(TblCalculs[Coût par unité],TblCalculs[Cluster],$O8,TblCalculs[Mois],"&gt;="&amp;$AA8),IF(AND($G8="Migré",$Y8&lt;&gt;""),($Y8+p_poidsram*$Z8)*SUMIFS(TblCalculs[Coût par unité],TblCalculs[Cluster],$O8),"")))</f>
        <v>8851.8323353293399</v>
      </c>
      <c r="AL8" s="27">
        <f t="shared" si="6"/>
        <v>107800.4085182062</v>
      </c>
      <c r="AM8" s="26">
        <f t="shared" si="7"/>
        <v>1</v>
      </c>
      <c r="AN8" s="26">
        <f>IF(OR($C8="",$AM8&lt;&gt;1,COUNTIFS($E8,ex_envc,$A8,ex_domc,$B8,ex_tric)=0),"",COUNTIFS($AM$6:$AM8,1,$E$6:$E8,ex_envc,$A$6:$A8,ex_domc,$B$6:$B8,ex_tric))</f>
        <v>2</v>
      </c>
      <c r="AO8" s="63"/>
      <c r="AP8" s="63"/>
      <c r="AQ8" s="63"/>
      <c r="AR8" s="63"/>
    </row>
    <row r="9" spans="1:44" x14ac:dyDescent="0.2">
      <c r="A9" s="59" t="s">
        <v>271</v>
      </c>
      <c r="B9" s="59" t="s">
        <v>272</v>
      </c>
      <c r="C9" s="59" t="s">
        <v>286</v>
      </c>
      <c r="D9" s="59" t="s">
        <v>287</v>
      </c>
      <c r="E9" s="59" t="s">
        <v>39</v>
      </c>
      <c r="F9" s="59" t="s">
        <v>39</v>
      </c>
      <c r="G9" s="59" t="s">
        <v>30</v>
      </c>
      <c r="H9" s="59"/>
      <c r="I9" s="59" t="s">
        <v>276</v>
      </c>
      <c r="J9" s="59"/>
      <c r="K9" s="59"/>
      <c r="L9" s="59"/>
      <c r="M9" s="59"/>
      <c r="N9" s="26" t="str">
        <f t="shared" si="0"/>
        <v>Mutualisé</v>
      </c>
      <c r="O9" s="59"/>
      <c r="P9" s="60">
        <f>IF($C9="","",IF($AQ9&lt;&gt;"",$AQ9,SUMIFS(TblDynatrace[CPU P95 (vCPU)],TblDynatrace[ID],$C9,TblDynatrace[Environnement],$E9,TblDynatrace[Couloir],$F9)))</f>
        <v>20</v>
      </c>
      <c r="Q9" s="60">
        <f>IF($C9="","",IF($AR9&lt;&gt;"",$AR9,SUMIFS(TblDynatrace[RAM P95 (Go)],TblDynatrace[ID],$C9,TblDynatrace[Environnement],$E9,TblDynatrace[Couloir],$F9)))</f>
        <v>120</v>
      </c>
      <c r="R9" s="26" t="str">
        <f>IF($C9="","",IFERROR(INDEX(TblDynatrace[Métrique / période],MATCH($C9&amp;"|"&amp;$E9&amp;"|"&amp;$F9,TblDynatrace[Clé],0)),""))</f>
        <v>P95 30 j – fictif</v>
      </c>
      <c r="S9" s="60">
        <f>IF(OR($C9="",NOT(OR($G9="À migrer",$G9="À décommissionner")),$I9="",NOT(ISNUMBER($P9))),"",IF($AO9&lt;&gt;"",$AO9,IFERROR(SUMIFS(TblClusters[CPU initial (vCPU)],TblClusters[Cluster],$I9)*$P9/(SUMIFS(TblApplications[CPU Dynatrace (vCPU)],TblApplications[Cluster IKS source],$I9,TblApplications[Action],"À migrer")+SUMIFS(TblApplications[CPU Dynatrace (vCPU)],TblApplications[Cluster IKS source],$I9,TblApplications[Action],"À décommissionner")),0)))</f>
        <v>184.61538461538461</v>
      </c>
      <c r="T9" s="60">
        <f>IF(OR($C9="",NOT(OR($G9="À migrer",$G9="À décommissionner")),$I9="",NOT(ISNUMBER($Q9))),"",IF($AP9&lt;&gt;"",$AP9,IFERROR(SUMIFS(TblClusters[RAM initiale (Go)],TblClusters[Cluster],$I9)*$Q9/(SUMIFS(TblApplications[RAM Dynatrace (Go)],TblApplications[Cluster IKS source],$I9,TblApplications[Action],"À migrer")+SUMIFS(TblApplications[RAM Dynatrace (Go)],TblApplications[Cluster IKS source],$I9,TblApplications[Action],"À décommissionner")),0)))</f>
        <v>729.11392405063293</v>
      </c>
      <c r="U9" s="61"/>
      <c r="V9" s="61"/>
      <c r="W9" s="61">
        <v>46539</v>
      </c>
      <c r="X9" s="59" t="s">
        <v>278</v>
      </c>
      <c r="Y9" s="26" t="str">
        <f t="shared" si="1"/>
        <v/>
      </c>
      <c r="Z9" s="26" t="str">
        <f t="shared" si="2"/>
        <v/>
      </c>
      <c r="AA9" s="33" t="str">
        <f t="shared" si="3"/>
        <v/>
      </c>
      <c r="AB9" s="33">
        <f t="shared" si="4"/>
        <v>46539</v>
      </c>
      <c r="AC9" s="26" t="str">
        <f t="shared" si="5"/>
        <v/>
      </c>
      <c r="AD9" s="26">
        <f>IF($C9="","",COUNTIF(TblApplications[ID],$C9))</f>
        <v>1</v>
      </c>
      <c r="AE9" s="33" t="str">
        <f>IF($C9="","",IFERROR(1/(1/_xlfn.MINIFS(TblApplications[Mois prov (calc)],TblApplications[ID],$C9)),""))</f>
        <v/>
      </c>
      <c r="AF9" s="33">
        <f>IF($C9="","",IFERROR(1/(1/_xlfn.MAXIFS(TblApplications[Mois lib (calc)],TblApplications[ID],$C9)),""))</f>
        <v>46539</v>
      </c>
      <c r="AG9" s="26" t="str">
        <f>IF($C9="","",IF(OR(OR($A9="",$B9="",$D9="",$E9="",$F9="",$G9=""),AND($G9="À migrer",OR($H9="",$I9="",$O9="",$U9="",$V9="",$W9="")),AND($G9="Migré",OR($O9="")),AND($G9="À décommissionner",OR($I9="",$W9=""))),"Données manquantes (selon l’action)",IF(AND($G9&lt;&gt;"Migré",$G9&lt;&gt;"À migrer",$G9&lt;&gt;"À décommissionner",$G9&lt;&gt;"Décommissionné"),"Action invalide",IF(COUNTIF(TblDomaines[Domaine],$A9)=0,"Domaine inconnu (référentiel)",IF(COUNTIFS(TblTribes[Tribe],$B9,TblTribes[Domaine de la tribe],$A9)=0,"Tribe inconnue ou hors domaine",IF(AND($G9="À migrer",$H9&lt;&gt;"Oui",$H9&lt;&gt;"Non"),"Valeur Oui/Non invalide (Déjà incluse ROKS)",IF(AND($E9&lt;&gt;"PRD",$E9&lt;&gt;"NPRD"),"Environnement invalide",IF(COUNTIFS(TblApplications[ID],$C9,TblApplications[Environnement],$E9,TblApplications[Couloir],$F9)&gt;1,"Déploiement en doublon (ID + env + couloir)",IF(AND(OR(OR($G9="À migrer",$G9="Migré"),OR($G9="À migrer",$G9="À décommissionner")),N($P9)&lt;=0),"Conso Dynatrace absente (onglet Dynatrace)",IF(OR(AND($P9&lt;&gt;"",NOT(ISNUMBER($P9))),AND($Q9&lt;&gt;"",NOT(ISNUMBER($Q9)))),"Ressource non numérique",IF(MIN(N($P9),N($Q9))&lt;0,"Ressource négative",IF(OR(AND($AH9&lt;&gt;"",OR(NOT(ISNUMBER($AH9)),$AH9&lt;0,$AH9&gt;1)),AND($AI9&lt;&gt;"",OR(NOT(ISNUMBER($AI9)),$AI9&lt;0,$AI9&gt;1))),"Marge spécifique invalide (0–100 %)",IF(OR(AND($U9&lt;&gt;"",NOT(ISNUMBER($U9))),AND($V9&lt;&gt;"",NOT(ISNUMBER($V9))),AND($W9&lt;&gt;"",NOT(ISNUMBER($W9)))),"Mois invalide",IF(AND(OR($G9="À migrer",$G9="À décommissionner"),COUNTIFS(TblClusters[Cluster],$I9,TblClusters[Plateforme],"IKS")=0),"Cluster IKS inconnu",IF(AND(OR($G9="À migrer",$G9="Migré"),COUNTIFS(TblClusters[Cluster],$O9,TblClusters[Plateforme],"ROKS")=0),"Cluster ROKS inconnu",IF(AND(OR($G9="À migrer",$G9="À décommissionner"),COUNTIFS(TblClusters[Cluster],$I9,TblClusters[Environnement],$E9)=0),"Environnement ≠ cluster IKS",IF(AND(OR($G9="À migrer",$G9="Migré"),COUNTIFS(TblClusters[Cluster],$O9,TblClusters[Environnement],$E9)=0),"Environnement ≠ cluster ROKS",IF(AND($G9="À migrer",OR($U9&gt;$V9,$V9&gt;$W9)),"Dates incohérentes (prov ≤ bascule ≤ libération)",IF(AND(OR($G9="À migrer",$G9="À décommissionner"),OR(N($AO9)&gt;SUMIFS(TblClusters[CPU initial (vCPU)],TblClusters[Cluster],$I9),N($AP9)&gt;SUMIFS(TblClusters[RAM initiale (Go)],TblClusters[Cluster],$I9))),"Forçage &gt; capacité du cluster source",IF(OR(AND($AA9&lt;&gt;"",$AA9&lt;p_debut),AND($AB9&lt;&gt;"",$AB9&gt;p_fin)),"Hors horizon (info)",IF(AND($G9="À migrer",$E9="PRD",COUNTIFS(TblApplications[ID],$C9,TblApplications[Environnement],"NPRD",TblApplications[Action],"À migrer")&gt;0,$AA9&lt;_xlfn.MINIFS(TblApplications[Mois prov (calc)],TblApplications[ID],$C9,TblApplications[Environnement],"NPRD")),"PRD avant NPRD (info)","OK")))))))))))))))))))))</f>
        <v>OK</v>
      </c>
      <c r="AH9" s="62"/>
      <c r="AI9" s="62"/>
      <c r="AJ9" s="27">
        <f>IF(OR($C9="",NOT(OR($G9="À migrer",$G9="À décommissionner")),NOT(ISNUMBER($S9)),NOT(ISNUMBER($T9)),$AB9=""),"",($S9+p_poidsram*$T9)*SUMIFS(TblCalculs[Coût par unité],TblCalculs[Cluster],$I9,TblCalculs[Mois],"&lt;"&amp;$AB9))</f>
        <v>48838.11378494923</v>
      </c>
      <c r="AK9" s="27" t="str">
        <f>IF($C9="","",IF(AND($G9="À migrer",$H9="Non",$Y9&lt;&gt;"",$AA9&lt;&gt;""),($Y9+p_poidsram*$Z9)*SUMIFS(TblCalculs[Coût par unité],TblCalculs[Cluster],$O9,TblCalculs[Mois],"&gt;="&amp;$AA9),IF(AND($G9="Migré",$Y9&lt;&gt;""),($Y9+p_poidsram*$Z9)*SUMIFS(TblCalculs[Coût par unité],TblCalculs[Cluster],$O9),"")))</f>
        <v/>
      </c>
      <c r="AL9" s="27">
        <f t="shared" si="6"/>
        <v>48838.11378494923</v>
      </c>
      <c r="AM9" s="26">
        <f t="shared" si="7"/>
        <v>0</v>
      </c>
      <c r="AN9" s="26" t="str">
        <f>IF(OR($C9="",$AM9&lt;&gt;1,COUNTIFS($E9,ex_envc,$A9,ex_domc,$B9,ex_tric)=0),"",COUNTIFS($AM$6:$AM9,1,$E$6:$E9,ex_envc,$A$6:$A9,ex_domc,$B$6:$B9,ex_tric))</f>
        <v/>
      </c>
      <c r="AO9" s="63"/>
      <c r="AP9" s="63"/>
      <c r="AQ9" s="63"/>
      <c r="AR9" s="63"/>
    </row>
    <row r="10" spans="1:44" x14ac:dyDescent="0.2">
      <c r="A10" s="59" t="s">
        <v>282</v>
      </c>
      <c r="B10" s="59" t="s">
        <v>283</v>
      </c>
      <c r="C10" s="59" t="s">
        <v>288</v>
      </c>
      <c r="D10" s="59" t="s">
        <v>289</v>
      </c>
      <c r="E10" s="59" t="s">
        <v>39</v>
      </c>
      <c r="F10" s="59" t="s">
        <v>39</v>
      </c>
      <c r="G10" s="59" t="s">
        <v>36</v>
      </c>
      <c r="H10" s="59"/>
      <c r="I10" s="59"/>
      <c r="J10" s="59"/>
      <c r="K10" s="59"/>
      <c r="L10" s="59"/>
      <c r="M10" s="59"/>
      <c r="N10" s="26" t="str">
        <f t="shared" si="0"/>
        <v>Mutualisé</v>
      </c>
      <c r="O10" s="59" t="s">
        <v>277</v>
      </c>
      <c r="P10" s="60">
        <f>IF($C10="","",IF($AQ10&lt;&gt;"",$AQ10,SUMIFS(TblDynatrace[CPU P95 (vCPU)],TblDynatrace[ID],$C10,TblDynatrace[Environnement],$E10,TblDynatrace[Couloir],$F10)))</f>
        <v>6</v>
      </c>
      <c r="Q10" s="60">
        <f>IF($C10="","",IF($AR10&lt;&gt;"",$AR10,SUMIFS(TblDynatrace[RAM P95 (Go)],TblDynatrace[ID],$C10,TblDynatrace[Environnement],$E10,TblDynatrace[Couloir],$F10)))</f>
        <v>24</v>
      </c>
      <c r="R10" s="26" t="str">
        <f>IF($C10="","",IFERROR(INDEX(TblDynatrace[Métrique / période],MATCH($C10&amp;"|"&amp;$E10&amp;"|"&amp;$F10,TblDynatrace[Clé],0)),""))</f>
        <v>P95 30 j – fictif</v>
      </c>
      <c r="S10" s="60" t="str">
        <f>IF(OR($C10="",NOT(OR($G10="À migrer",$G10="À décommissionner")),$I10="",NOT(ISNUMBER($P10))),"",IF($AO10&lt;&gt;"",$AO10,IFERROR(SUMIFS(TblClusters[CPU initial (vCPU)],TblClusters[Cluster],$I10)*$P10/(SUMIFS(TblApplications[CPU Dynatrace (vCPU)],TblApplications[Cluster IKS source],$I10,TblApplications[Action],"À migrer")+SUMIFS(TblApplications[CPU Dynatrace (vCPU)],TblApplications[Cluster IKS source],$I10,TblApplications[Action],"À décommissionner")),0)))</f>
        <v/>
      </c>
      <c r="T10" s="60" t="str">
        <f>IF(OR($C10="",NOT(OR($G10="À migrer",$G10="À décommissionner")),$I10="",NOT(ISNUMBER($Q10))),"",IF($AP10&lt;&gt;"",$AP10,IFERROR(SUMIFS(TblClusters[RAM initiale (Go)],TblClusters[Cluster],$I10)*$Q10/(SUMIFS(TblApplications[RAM Dynatrace (Go)],TblApplications[Cluster IKS source],$I10,TblApplications[Action],"À migrer")+SUMIFS(TblApplications[RAM Dynatrace (Go)],TblApplications[Cluster IKS source],$I10,TblApplications[Action],"À décommissionner")),0)))</f>
        <v/>
      </c>
      <c r="U10" s="61"/>
      <c r="V10" s="61"/>
      <c r="W10" s="61"/>
      <c r="X10" s="59" t="s">
        <v>278</v>
      </c>
      <c r="Y10" s="26">
        <f t="shared" si="1"/>
        <v>8</v>
      </c>
      <c r="Z10" s="26">
        <f t="shared" si="2"/>
        <v>29</v>
      </c>
      <c r="AA10" s="33" t="str">
        <f t="shared" si="3"/>
        <v/>
      </c>
      <c r="AB10" s="33" t="str">
        <f t="shared" si="4"/>
        <v/>
      </c>
      <c r="AC10" s="26" t="str">
        <f t="shared" si="5"/>
        <v/>
      </c>
      <c r="AD10" s="26">
        <f>IF($C10="","",COUNTIF(TblApplications[ID],$C10))</f>
        <v>1</v>
      </c>
      <c r="AE10" s="33" t="str">
        <f>IF($C10="","",IFERROR(1/(1/_xlfn.MINIFS(TblApplications[Mois prov (calc)],TblApplications[ID],$C10)),""))</f>
        <v/>
      </c>
      <c r="AF10" s="33" t="str">
        <f>IF($C10="","",IFERROR(1/(1/_xlfn.MAXIFS(TblApplications[Mois lib (calc)],TblApplications[ID],$C10)),""))</f>
        <v/>
      </c>
      <c r="AG10" s="26" t="str">
        <f>IF($C10="","",IF(OR(OR($A10="",$B10="",$D10="",$E10="",$F10="",$G10=""),AND($G10="À migrer",OR($H10="",$I10="",$O10="",$U10="",$V10="",$W10="")),AND($G10="Migré",OR($O10="")),AND($G10="À décommissionner",OR($I10="",$W10=""))),"Données manquantes (selon l’action)",IF(AND($G10&lt;&gt;"Migré",$G10&lt;&gt;"À migrer",$G10&lt;&gt;"À décommissionner",$G10&lt;&gt;"Décommissionné"),"Action invalide",IF(COUNTIF(TblDomaines[Domaine],$A10)=0,"Domaine inconnu (référentiel)",IF(COUNTIFS(TblTribes[Tribe],$B10,TblTribes[Domaine de la tribe],$A10)=0,"Tribe inconnue ou hors domaine",IF(AND($G10="À migrer",$H10&lt;&gt;"Oui",$H10&lt;&gt;"Non"),"Valeur Oui/Non invalide (Déjà incluse ROKS)",IF(AND($E10&lt;&gt;"PRD",$E10&lt;&gt;"NPRD"),"Environnement invalide",IF(COUNTIFS(TblApplications[ID],$C10,TblApplications[Environnement],$E10,TblApplications[Couloir],$F10)&gt;1,"Déploiement en doublon (ID + env + couloir)",IF(AND(OR(OR($G10="À migrer",$G10="Migré"),OR($G10="À migrer",$G10="À décommissionner")),N($P10)&lt;=0),"Conso Dynatrace absente (onglet Dynatrace)",IF(OR(AND($P10&lt;&gt;"",NOT(ISNUMBER($P10))),AND($Q10&lt;&gt;"",NOT(ISNUMBER($Q10)))),"Ressource non numérique",IF(MIN(N($P10),N($Q10))&lt;0,"Ressource négative",IF(OR(AND($AH10&lt;&gt;"",OR(NOT(ISNUMBER($AH10)),$AH10&lt;0,$AH10&gt;1)),AND($AI10&lt;&gt;"",OR(NOT(ISNUMBER($AI10)),$AI10&lt;0,$AI10&gt;1))),"Marge spécifique invalide (0–100 %)",IF(OR(AND($U10&lt;&gt;"",NOT(ISNUMBER($U10))),AND($V10&lt;&gt;"",NOT(ISNUMBER($V10))),AND($W10&lt;&gt;"",NOT(ISNUMBER($W10)))),"Mois invalide",IF(AND(OR($G10="À migrer",$G10="À décommissionner"),COUNTIFS(TblClusters[Cluster],$I10,TblClusters[Plateforme],"IKS")=0),"Cluster IKS inconnu",IF(AND(OR($G10="À migrer",$G10="Migré"),COUNTIFS(TblClusters[Cluster],$O10,TblClusters[Plateforme],"ROKS")=0),"Cluster ROKS inconnu",IF(AND(OR($G10="À migrer",$G10="À décommissionner"),COUNTIFS(TblClusters[Cluster],$I10,TblClusters[Environnement],$E10)=0),"Environnement ≠ cluster IKS",IF(AND(OR($G10="À migrer",$G10="Migré"),COUNTIFS(TblClusters[Cluster],$O10,TblClusters[Environnement],$E10)=0),"Environnement ≠ cluster ROKS",IF(AND($G10="À migrer",OR($U10&gt;$V10,$V10&gt;$W10)),"Dates incohérentes (prov ≤ bascule ≤ libération)",IF(AND(OR($G10="À migrer",$G10="À décommissionner"),OR(N($AO10)&gt;SUMIFS(TblClusters[CPU initial (vCPU)],TblClusters[Cluster],$I10),N($AP10)&gt;SUMIFS(TblClusters[RAM initiale (Go)],TblClusters[Cluster],$I10))),"Forçage &gt; capacité du cluster source",IF(OR(AND($AA10&lt;&gt;"",$AA10&lt;p_debut),AND($AB10&lt;&gt;"",$AB10&gt;p_fin)),"Hors horizon (info)",IF(AND($G10="À migrer",$E10="PRD",COUNTIFS(TblApplications[ID],$C10,TblApplications[Environnement],"NPRD",TblApplications[Action],"À migrer")&gt;0,$AA10&lt;_xlfn.MINIFS(TblApplications[Mois prov (calc)],TblApplications[ID],$C10,TblApplications[Environnement],"NPRD")),"PRD avant NPRD (info)","OK")))))))))))))))))))))</f>
        <v>OK</v>
      </c>
      <c r="AH10" s="62"/>
      <c r="AI10" s="62"/>
      <c r="AJ10" s="27" t="str">
        <f>IF(OR($C10="",NOT(OR($G10="À migrer",$G10="À décommissionner")),NOT(ISNUMBER($S10)),NOT(ISNUMBER($T10)),$AB10=""),"",($S10+p_poidsram*$T10)*SUMIFS(TblCalculs[Coût par unité],TblCalculs[Cluster],$I10,TblCalculs[Mois],"&lt;"&amp;$AB10))</f>
        <v/>
      </c>
      <c r="AK10" s="27">
        <f>IF($C10="","",IF(AND($G10="À migrer",$H10="Non",$Y10&lt;&gt;"",$AA10&lt;&gt;""),($Y10+p_poidsram*$Z10)*SUMIFS(TblCalculs[Coût par unité],TblCalculs[Cluster],$O10,TblCalculs[Mois],"&gt;="&amp;$AA10),IF(AND($G10="Migré",$Y10&lt;&gt;""),($Y10+p_poidsram*$Z10)*SUMIFS(TblCalculs[Coût par unité],TblCalculs[Cluster],$O10),"")))</f>
        <v>12595.009487884054</v>
      </c>
      <c r="AL10" s="27">
        <f t="shared" si="6"/>
        <v>12595.009487884054</v>
      </c>
      <c r="AM10" s="26">
        <f t="shared" si="7"/>
        <v>0</v>
      </c>
      <c r="AN10" s="26" t="str">
        <f>IF(OR($C10="",$AM10&lt;&gt;1,COUNTIFS($E10,ex_envc,$A10,ex_domc,$B10,ex_tric)=0),"",COUNTIFS($AM$6:$AM10,1,$E$6:$E10,ex_envc,$A$6:$A10,ex_domc,$B$6:$B10,ex_tric))</f>
        <v/>
      </c>
      <c r="AO10" s="63"/>
      <c r="AP10" s="63"/>
      <c r="AQ10" s="63"/>
      <c r="AR10" s="63"/>
    </row>
    <row r="11" spans="1:44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26" t="str">
        <f t="shared" si="0"/>
        <v/>
      </c>
      <c r="O11" s="59"/>
      <c r="P11" s="60" t="str">
        <f>IF($C11="","",IF($AQ11&lt;&gt;"",$AQ11,SUMIFS(TblDynatrace[CPU P95 (vCPU)],TblDynatrace[ID],$C11,TblDynatrace[Environnement],$E11,TblDynatrace[Couloir],$F11)))</f>
        <v/>
      </c>
      <c r="Q11" s="60" t="str">
        <f>IF($C11="","",IF($AR11&lt;&gt;"",$AR11,SUMIFS(TblDynatrace[RAM P95 (Go)],TblDynatrace[ID],$C11,TblDynatrace[Environnement],$E11,TblDynatrace[Couloir],$F11)))</f>
        <v/>
      </c>
      <c r="R11" s="26" t="str">
        <f>IF($C11="","",IFERROR(INDEX(TblDynatrace[Métrique / période],MATCH($C11&amp;"|"&amp;$E11&amp;"|"&amp;$F11,TblDynatrace[Clé],0)),""))</f>
        <v/>
      </c>
      <c r="S11" s="60" t="str">
        <f>IF(OR($C11="",NOT(OR($G11="À migrer",$G11="À décommissionner")),$I11="",NOT(ISNUMBER($P11))),"",IF($AO11&lt;&gt;"",$AO11,IFERROR(SUMIFS(TblClusters[CPU initial (vCPU)],TblClusters[Cluster],$I11)*$P11/(SUMIFS(TblApplications[CPU Dynatrace (vCPU)],TblApplications[Cluster IKS source],$I11,TblApplications[Action],"À migrer")+SUMIFS(TblApplications[CPU Dynatrace (vCPU)],TblApplications[Cluster IKS source],$I11,TblApplications[Action],"À décommissionner")),0)))</f>
        <v/>
      </c>
      <c r="T11" s="60" t="str">
        <f>IF(OR($C11="",NOT(OR($G11="À migrer",$G11="À décommissionner")),$I11="",NOT(ISNUMBER($Q11))),"",IF($AP11&lt;&gt;"",$AP11,IFERROR(SUMIFS(TblClusters[RAM initiale (Go)],TblClusters[Cluster],$I11)*$Q11/(SUMIFS(TblApplications[RAM Dynatrace (Go)],TblApplications[Cluster IKS source],$I11,TblApplications[Action],"À migrer")+SUMIFS(TblApplications[RAM Dynatrace (Go)],TblApplications[Cluster IKS source],$I11,TblApplications[Action],"À décommissionner")),0)))</f>
        <v/>
      </c>
      <c r="U11" s="61"/>
      <c r="V11" s="61"/>
      <c r="W11" s="61"/>
      <c r="X11" s="59"/>
      <c r="Y11" s="26" t="str">
        <f t="shared" si="1"/>
        <v/>
      </c>
      <c r="Z11" s="26" t="str">
        <f t="shared" si="2"/>
        <v/>
      </c>
      <c r="AA11" s="33" t="str">
        <f t="shared" si="3"/>
        <v/>
      </c>
      <c r="AB11" s="33" t="str">
        <f t="shared" si="4"/>
        <v/>
      </c>
      <c r="AC11" s="26" t="str">
        <f t="shared" si="5"/>
        <v/>
      </c>
      <c r="AD11" s="26" t="str">
        <f>IF($C11="","",COUNTIF(TblApplications[ID],$C11))</f>
        <v/>
      </c>
      <c r="AE11" s="33" t="str">
        <f>IF($C11="","",IFERROR(1/(1/_xlfn.MINIFS(TblApplications[Mois prov (calc)],TblApplications[ID],$C11)),""))</f>
        <v/>
      </c>
      <c r="AF11" s="33" t="str">
        <f>IF($C11="","",IFERROR(1/(1/_xlfn.MAXIFS(TblApplications[Mois lib (calc)],TblApplications[ID],$C11)),""))</f>
        <v/>
      </c>
      <c r="AG11" s="26" t="str">
        <f>IF($C11="","",IF(OR(OR($A11="",$B11="",$D11="",$E11="",$F11="",$G11=""),AND($G11="À migrer",OR($H11="",$I11="",$O11="",$U11="",$V11="",$W11="")),AND($G11="Migré",OR($O11="")),AND($G11="À décommissionner",OR($I11="",$W11=""))),"Données manquantes (selon l’action)",IF(AND($G11&lt;&gt;"Migré",$G11&lt;&gt;"À migrer",$G11&lt;&gt;"À décommissionner",$G11&lt;&gt;"Décommissionné"),"Action invalide",IF(COUNTIF(TblDomaines[Domaine],$A11)=0,"Domaine inconnu (référentiel)",IF(COUNTIFS(TblTribes[Tribe],$B11,TblTribes[Domaine de la tribe],$A11)=0,"Tribe inconnue ou hors domaine",IF(AND($G11="À migrer",$H11&lt;&gt;"Oui",$H11&lt;&gt;"Non"),"Valeur Oui/Non invalide (Déjà incluse ROKS)",IF(AND($E11&lt;&gt;"PRD",$E11&lt;&gt;"NPRD"),"Environnement invalide",IF(COUNTIFS(TblApplications[ID],$C11,TblApplications[Environnement],$E11,TblApplications[Couloir],$F11)&gt;1,"Déploiement en doublon (ID + env + couloir)",IF(AND(OR(OR($G11="À migrer",$G11="Migré"),OR($G11="À migrer",$G11="À décommissionner")),N($P11)&lt;=0),"Conso Dynatrace absente (onglet Dynatrace)",IF(OR(AND($P11&lt;&gt;"",NOT(ISNUMBER($P11))),AND($Q11&lt;&gt;"",NOT(ISNUMBER($Q11)))),"Ressource non numérique",IF(MIN(N($P11),N($Q11))&lt;0,"Ressource négative",IF(OR(AND($AH11&lt;&gt;"",OR(NOT(ISNUMBER($AH11)),$AH11&lt;0,$AH11&gt;1)),AND($AI11&lt;&gt;"",OR(NOT(ISNUMBER($AI11)),$AI11&lt;0,$AI11&gt;1))),"Marge spécifique invalide (0–100 %)",IF(OR(AND($U11&lt;&gt;"",NOT(ISNUMBER($U11))),AND($V11&lt;&gt;"",NOT(ISNUMBER($V11))),AND($W11&lt;&gt;"",NOT(ISNUMBER($W11)))),"Mois invalide",IF(AND(OR($G11="À migrer",$G11="À décommissionner"),COUNTIFS(TblClusters[Cluster],$I11,TblClusters[Plateforme],"IKS")=0),"Cluster IKS inconnu",IF(AND(OR($G11="À migrer",$G11="Migré"),COUNTIFS(TblClusters[Cluster],$O11,TblClusters[Plateforme],"ROKS")=0),"Cluster ROKS inconnu",IF(AND(OR($G11="À migrer",$G11="À décommissionner"),COUNTIFS(TblClusters[Cluster],$I11,TblClusters[Environnement],$E11)=0),"Environnement ≠ cluster IKS",IF(AND(OR($G11="À migrer",$G11="Migré"),COUNTIFS(TblClusters[Cluster],$O11,TblClusters[Environnement],$E11)=0),"Environnement ≠ cluster ROKS",IF(AND($G11="À migrer",OR($U11&gt;$V11,$V11&gt;$W11)),"Dates incohérentes (prov ≤ bascule ≤ libération)",IF(AND(OR($G11="À migrer",$G11="À décommissionner"),OR(N($AO11)&gt;SUMIFS(TblClusters[CPU initial (vCPU)],TblClusters[Cluster],$I11),N($AP11)&gt;SUMIFS(TblClusters[RAM initiale (Go)],TblClusters[Cluster],$I11))),"Forçage &gt; capacité du cluster source",IF(OR(AND($AA11&lt;&gt;"",$AA11&lt;p_debut),AND($AB11&lt;&gt;"",$AB11&gt;p_fin)),"Hors horizon (info)",IF(AND($G11="À migrer",$E11="PRD",COUNTIFS(TblApplications[ID],$C11,TblApplications[Environnement],"NPRD",TblApplications[Action],"À migrer")&gt;0,$AA11&lt;_xlfn.MINIFS(TblApplications[Mois prov (calc)],TblApplications[ID],$C11,TblApplications[Environnement],"NPRD")),"PRD avant NPRD (info)","OK")))))))))))))))))))))</f>
        <v/>
      </c>
      <c r="AH11" s="62"/>
      <c r="AI11" s="62"/>
      <c r="AJ11" s="27" t="str">
        <f>IF(OR($C11="",NOT(OR($G11="À migrer",$G11="À décommissionner")),NOT(ISNUMBER($S11)),NOT(ISNUMBER($T11)),$AB11=""),"",($S11+p_poidsram*$T11)*SUMIFS(TblCalculs[Coût par unité],TblCalculs[Cluster],$I11,TblCalculs[Mois],"&lt;"&amp;$AB11))</f>
        <v/>
      </c>
      <c r="AK11" s="27" t="str">
        <f>IF($C11="","",IF(AND($G11="À migrer",$H11="Non",$Y11&lt;&gt;"",$AA11&lt;&gt;""),($Y11+p_poidsram*$Z11)*SUMIFS(TblCalculs[Coût par unité],TblCalculs[Cluster],$O11,TblCalculs[Mois],"&gt;="&amp;$AA11),IF(AND($G11="Migré",$Y11&lt;&gt;""),($Y11+p_poidsram*$Z11)*SUMIFS(TblCalculs[Coût par unité],TblCalculs[Cluster],$O11),"")))</f>
        <v/>
      </c>
      <c r="AL11" s="27" t="str">
        <f t="shared" si="6"/>
        <v/>
      </c>
      <c r="AM11" s="26" t="str">
        <f t="shared" si="7"/>
        <v/>
      </c>
      <c r="AN11" s="26" t="str">
        <f>IF(OR($C11="",$AM11&lt;&gt;1,COUNTIFS($E11,ex_envc,$A11,ex_domc,$B11,ex_tric)=0),"",COUNTIFS($AM$6:$AM11,1,$E$6:$E11,ex_envc,$A$6:$A11,ex_domc,$B$6:$B11,ex_tric))</f>
        <v/>
      </c>
      <c r="AO11" s="63"/>
      <c r="AP11" s="63"/>
      <c r="AQ11" s="63"/>
      <c r="AR11" s="63"/>
    </row>
    <row r="12" spans="1:4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26" t="str">
        <f t="shared" si="0"/>
        <v/>
      </c>
      <c r="O12" s="59"/>
      <c r="P12" s="60" t="str">
        <f>IF($C12="","",IF($AQ12&lt;&gt;"",$AQ12,SUMIFS(TblDynatrace[CPU P95 (vCPU)],TblDynatrace[ID],$C12,TblDynatrace[Environnement],$E12,TblDynatrace[Couloir],$F12)))</f>
        <v/>
      </c>
      <c r="Q12" s="60" t="str">
        <f>IF($C12="","",IF($AR12&lt;&gt;"",$AR12,SUMIFS(TblDynatrace[RAM P95 (Go)],TblDynatrace[ID],$C12,TblDynatrace[Environnement],$E12,TblDynatrace[Couloir],$F12)))</f>
        <v/>
      </c>
      <c r="R12" s="26" t="str">
        <f>IF($C12="","",IFERROR(INDEX(TblDynatrace[Métrique / période],MATCH($C12&amp;"|"&amp;$E12&amp;"|"&amp;$F12,TblDynatrace[Clé],0)),""))</f>
        <v/>
      </c>
      <c r="S12" s="60" t="str">
        <f>IF(OR($C12="",NOT(OR($G12="À migrer",$G12="À décommissionner")),$I12="",NOT(ISNUMBER($P12))),"",IF($AO12&lt;&gt;"",$AO12,IFERROR(SUMIFS(TblClusters[CPU initial (vCPU)],TblClusters[Cluster],$I12)*$P12/(SUMIFS(TblApplications[CPU Dynatrace (vCPU)],TblApplications[Cluster IKS source],$I12,TblApplications[Action],"À migrer")+SUMIFS(TblApplications[CPU Dynatrace (vCPU)],TblApplications[Cluster IKS source],$I12,TblApplications[Action],"À décommissionner")),0)))</f>
        <v/>
      </c>
      <c r="T12" s="60" t="str">
        <f>IF(OR($C12="",NOT(OR($G12="À migrer",$G12="À décommissionner")),$I12="",NOT(ISNUMBER($Q12))),"",IF($AP12&lt;&gt;"",$AP12,IFERROR(SUMIFS(TblClusters[RAM initiale (Go)],TblClusters[Cluster],$I12)*$Q12/(SUMIFS(TblApplications[RAM Dynatrace (Go)],TblApplications[Cluster IKS source],$I12,TblApplications[Action],"À migrer")+SUMIFS(TblApplications[RAM Dynatrace (Go)],TblApplications[Cluster IKS source],$I12,TblApplications[Action],"À décommissionner")),0)))</f>
        <v/>
      </c>
      <c r="U12" s="61"/>
      <c r="V12" s="61"/>
      <c r="W12" s="61"/>
      <c r="X12" s="59"/>
      <c r="Y12" s="26" t="str">
        <f t="shared" si="1"/>
        <v/>
      </c>
      <c r="Z12" s="26" t="str">
        <f t="shared" si="2"/>
        <v/>
      </c>
      <c r="AA12" s="33" t="str">
        <f t="shared" si="3"/>
        <v/>
      </c>
      <c r="AB12" s="33" t="str">
        <f t="shared" si="4"/>
        <v/>
      </c>
      <c r="AC12" s="26" t="str">
        <f t="shared" si="5"/>
        <v/>
      </c>
      <c r="AD12" s="26" t="str">
        <f>IF($C12="","",COUNTIF(TblApplications[ID],$C12))</f>
        <v/>
      </c>
      <c r="AE12" s="33" t="str">
        <f>IF($C12="","",IFERROR(1/(1/_xlfn.MINIFS(TblApplications[Mois prov (calc)],TblApplications[ID],$C12)),""))</f>
        <v/>
      </c>
      <c r="AF12" s="33" t="str">
        <f>IF($C12="","",IFERROR(1/(1/_xlfn.MAXIFS(TblApplications[Mois lib (calc)],TblApplications[ID],$C12)),""))</f>
        <v/>
      </c>
      <c r="AG12" s="26" t="str">
        <f>IF($C12="","",IF(OR(OR($A12="",$B12="",$D12="",$E12="",$F12="",$G12=""),AND($G12="À migrer",OR($H12="",$I12="",$O12="",$U12="",$V12="",$W12="")),AND($G12="Migré",OR($O12="")),AND($G12="À décommissionner",OR($I12="",$W12=""))),"Données manquantes (selon l’action)",IF(AND($G12&lt;&gt;"Migré",$G12&lt;&gt;"À migrer",$G12&lt;&gt;"À décommissionner",$G12&lt;&gt;"Décommissionné"),"Action invalide",IF(COUNTIF(TblDomaines[Domaine],$A12)=0,"Domaine inconnu (référentiel)",IF(COUNTIFS(TblTribes[Tribe],$B12,TblTribes[Domaine de la tribe],$A12)=0,"Tribe inconnue ou hors domaine",IF(AND($G12="À migrer",$H12&lt;&gt;"Oui",$H12&lt;&gt;"Non"),"Valeur Oui/Non invalide (Déjà incluse ROKS)",IF(AND($E12&lt;&gt;"PRD",$E12&lt;&gt;"NPRD"),"Environnement invalide",IF(COUNTIFS(TblApplications[ID],$C12,TblApplications[Environnement],$E12,TblApplications[Couloir],$F12)&gt;1,"Déploiement en doublon (ID + env + couloir)",IF(AND(OR(OR($G12="À migrer",$G12="Migré"),OR($G12="À migrer",$G12="À décommissionner")),N($P12)&lt;=0),"Conso Dynatrace absente (onglet Dynatrace)",IF(OR(AND($P12&lt;&gt;"",NOT(ISNUMBER($P12))),AND($Q12&lt;&gt;"",NOT(ISNUMBER($Q12)))),"Ressource non numérique",IF(MIN(N($P12),N($Q12))&lt;0,"Ressource négative",IF(OR(AND($AH12&lt;&gt;"",OR(NOT(ISNUMBER($AH12)),$AH12&lt;0,$AH12&gt;1)),AND($AI12&lt;&gt;"",OR(NOT(ISNUMBER($AI12)),$AI12&lt;0,$AI12&gt;1))),"Marge spécifique invalide (0–100 %)",IF(OR(AND($U12&lt;&gt;"",NOT(ISNUMBER($U12))),AND($V12&lt;&gt;"",NOT(ISNUMBER($V12))),AND($W12&lt;&gt;"",NOT(ISNUMBER($W12)))),"Mois invalide",IF(AND(OR($G12="À migrer",$G12="À décommissionner"),COUNTIFS(TblClusters[Cluster],$I12,TblClusters[Plateforme],"IKS")=0),"Cluster IKS inconnu",IF(AND(OR($G12="À migrer",$G12="Migré"),COUNTIFS(TblClusters[Cluster],$O12,TblClusters[Plateforme],"ROKS")=0),"Cluster ROKS inconnu",IF(AND(OR($G12="À migrer",$G12="À décommissionner"),COUNTIFS(TblClusters[Cluster],$I12,TblClusters[Environnement],$E12)=0),"Environnement ≠ cluster IKS",IF(AND(OR($G12="À migrer",$G12="Migré"),COUNTIFS(TblClusters[Cluster],$O12,TblClusters[Environnement],$E12)=0),"Environnement ≠ cluster ROKS",IF(AND($G12="À migrer",OR($U12&gt;$V12,$V12&gt;$W12)),"Dates incohérentes (prov ≤ bascule ≤ libération)",IF(AND(OR($G12="À migrer",$G12="À décommissionner"),OR(N($AO12)&gt;SUMIFS(TblClusters[CPU initial (vCPU)],TblClusters[Cluster],$I12),N($AP12)&gt;SUMIFS(TblClusters[RAM initiale (Go)],TblClusters[Cluster],$I12))),"Forçage &gt; capacité du cluster source",IF(OR(AND($AA12&lt;&gt;"",$AA12&lt;p_debut),AND($AB12&lt;&gt;"",$AB12&gt;p_fin)),"Hors horizon (info)",IF(AND($G12="À migrer",$E12="PRD",COUNTIFS(TblApplications[ID],$C12,TblApplications[Environnement],"NPRD",TblApplications[Action],"À migrer")&gt;0,$AA12&lt;_xlfn.MINIFS(TblApplications[Mois prov (calc)],TblApplications[ID],$C12,TblApplications[Environnement],"NPRD")),"PRD avant NPRD (info)","OK")))))))))))))))))))))</f>
        <v/>
      </c>
      <c r="AH12" s="62"/>
      <c r="AI12" s="62"/>
      <c r="AJ12" s="27" t="str">
        <f>IF(OR($C12="",NOT(OR($G12="À migrer",$G12="À décommissionner")),NOT(ISNUMBER($S12)),NOT(ISNUMBER($T12)),$AB12=""),"",($S12+p_poidsram*$T12)*SUMIFS(TblCalculs[Coût par unité],TblCalculs[Cluster],$I12,TblCalculs[Mois],"&lt;"&amp;$AB12))</f>
        <v/>
      </c>
      <c r="AK12" s="27" t="str">
        <f>IF($C12="","",IF(AND($G12="À migrer",$H12="Non",$Y12&lt;&gt;"",$AA12&lt;&gt;""),($Y12+p_poidsram*$Z12)*SUMIFS(TblCalculs[Coût par unité],TblCalculs[Cluster],$O12,TblCalculs[Mois],"&gt;="&amp;$AA12),IF(AND($G12="Migré",$Y12&lt;&gt;""),($Y12+p_poidsram*$Z12)*SUMIFS(TblCalculs[Coût par unité],TblCalculs[Cluster],$O12),"")))</f>
        <v/>
      </c>
      <c r="AL12" s="27" t="str">
        <f t="shared" si="6"/>
        <v/>
      </c>
      <c r="AM12" s="26" t="str">
        <f t="shared" si="7"/>
        <v/>
      </c>
      <c r="AN12" s="26" t="str">
        <f>IF(OR($C12="",$AM12&lt;&gt;1,COUNTIFS($E12,ex_envc,$A12,ex_domc,$B12,ex_tric)=0),"",COUNTIFS($AM$6:$AM12,1,$E$6:$E12,ex_envc,$A$6:$A12,ex_domc,$B$6:$B12,ex_tric))</f>
        <v/>
      </c>
      <c r="AO12" s="63"/>
      <c r="AP12" s="63"/>
      <c r="AQ12" s="63"/>
      <c r="AR12" s="63"/>
    </row>
    <row r="13" spans="1:44" x14ac:dyDescent="0.2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26" t="str">
        <f t="shared" si="0"/>
        <v/>
      </c>
      <c r="O13" s="59"/>
      <c r="P13" s="60" t="str">
        <f>IF($C13="","",IF($AQ13&lt;&gt;"",$AQ13,SUMIFS(TblDynatrace[CPU P95 (vCPU)],TblDynatrace[ID],$C13,TblDynatrace[Environnement],$E13,TblDynatrace[Couloir],$F13)))</f>
        <v/>
      </c>
      <c r="Q13" s="60" t="str">
        <f>IF($C13="","",IF($AR13&lt;&gt;"",$AR13,SUMIFS(TblDynatrace[RAM P95 (Go)],TblDynatrace[ID],$C13,TblDynatrace[Environnement],$E13,TblDynatrace[Couloir],$F13)))</f>
        <v/>
      </c>
      <c r="R13" s="26" t="str">
        <f>IF($C13="","",IFERROR(INDEX(TblDynatrace[Métrique / période],MATCH($C13&amp;"|"&amp;$E13&amp;"|"&amp;$F13,TblDynatrace[Clé],0)),""))</f>
        <v/>
      </c>
      <c r="S13" s="60" t="str">
        <f>IF(OR($C13="",NOT(OR($G13="À migrer",$G13="À décommissionner")),$I13="",NOT(ISNUMBER($P13))),"",IF($AO13&lt;&gt;"",$AO13,IFERROR(SUMIFS(TblClusters[CPU initial (vCPU)],TblClusters[Cluster],$I13)*$P13/(SUMIFS(TblApplications[CPU Dynatrace (vCPU)],TblApplications[Cluster IKS source],$I13,TblApplications[Action],"À migrer")+SUMIFS(TblApplications[CPU Dynatrace (vCPU)],TblApplications[Cluster IKS source],$I13,TblApplications[Action],"À décommissionner")),0)))</f>
        <v/>
      </c>
      <c r="T13" s="60" t="str">
        <f>IF(OR($C13="",NOT(OR($G13="À migrer",$G13="À décommissionner")),$I13="",NOT(ISNUMBER($Q13))),"",IF($AP13&lt;&gt;"",$AP13,IFERROR(SUMIFS(TblClusters[RAM initiale (Go)],TblClusters[Cluster],$I13)*$Q13/(SUMIFS(TblApplications[RAM Dynatrace (Go)],TblApplications[Cluster IKS source],$I13,TblApplications[Action],"À migrer")+SUMIFS(TblApplications[RAM Dynatrace (Go)],TblApplications[Cluster IKS source],$I13,TblApplications[Action],"À décommissionner")),0)))</f>
        <v/>
      </c>
      <c r="U13" s="61"/>
      <c r="V13" s="61"/>
      <c r="W13" s="61"/>
      <c r="X13" s="59"/>
      <c r="Y13" s="26" t="str">
        <f t="shared" si="1"/>
        <v/>
      </c>
      <c r="Z13" s="26" t="str">
        <f t="shared" si="2"/>
        <v/>
      </c>
      <c r="AA13" s="33" t="str">
        <f t="shared" si="3"/>
        <v/>
      </c>
      <c r="AB13" s="33" t="str">
        <f t="shared" si="4"/>
        <v/>
      </c>
      <c r="AC13" s="26" t="str">
        <f t="shared" si="5"/>
        <v/>
      </c>
      <c r="AD13" s="26" t="str">
        <f>IF($C13="","",COUNTIF(TblApplications[ID],$C13))</f>
        <v/>
      </c>
      <c r="AE13" s="33" t="str">
        <f>IF($C13="","",IFERROR(1/(1/_xlfn.MINIFS(TblApplications[Mois prov (calc)],TblApplications[ID],$C13)),""))</f>
        <v/>
      </c>
      <c r="AF13" s="33" t="str">
        <f>IF($C13="","",IFERROR(1/(1/_xlfn.MAXIFS(TblApplications[Mois lib (calc)],TblApplications[ID],$C13)),""))</f>
        <v/>
      </c>
      <c r="AG13" s="26" t="str">
        <f>IF($C13="","",IF(OR(OR($A13="",$B13="",$D13="",$E13="",$F13="",$G13=""),AND($G13="À migrer",OR($H13="",$I13="",$O13="",$U13="",$V13="",$W13="")),AND($G13="Migré",OR($O13="")),AND($G13="À décommissionner",OR($I13="",$W13=""))),"Données manquantes (selon l’action)",IF(AND($G13&lt;&gt;"Migré",$G13&lt;&gt;"À migrer",$G13&lt;&gt;"À décommissionner",$G13&lt;&gt;"Décommissionné"),"Action invalide",IF(COUNTIF(TblDomaines[Domaine],$A13)=0,"Domaine inconnu (référentiel)",IF(COUNTIFS(TblTribes[Tribe],$B13,TblTribes[Domaine de la tribe],$A13)=0,"Tribe inconnue ou hors domaine",IF(AND($G13="À migrer",$H13&lt;&gt;"Oui",$H13&lt;&gt;"Non"),"Valeur Oui/Non invalide (Déjà incluse ROKS)",IF(AND($E13&lt;&gt;"PRD",$E13&lt;&gt;"NPRD"),"Environnement invalide",IF(COUNTIFS(TblApplications[ID],$C13,TblApplications[Environnement],$E13,TblApplications[Couloir],$F13)&gt;1,"Déploiement en doublon (ID + env + couloir)",IF(AND(OR(OR($G13="À migrer",$G13="Migré"),OR($G13="À migrer",$G13="À décommissionner")),N($P13)&lt;=0),"Conso Dynatrace absente (onglet Dynatrace)",IF(OR(AND($P13&lt;&gt;"",NOT(ISNUMBER($P13))),AND($Q13&lt;&gt;"",NOT(ISNUMBER($Q13)))),"Ressource non numérique",IF(MIN(N($P13),N($Q13))&lt;0,"Ressource négative",IF(OR(AND($AH13&lt;&gt;"",OR(NOT(ISNUMBER($AH13)),$AH13&lt;0,$AH13&gt;1)),AND($AI13&lt;&gt;"",OR(NOT(ISNUMBER($AI13)),$AI13&lt;0,$AI13&gt;1))),"Marge spécifique invalide (0–100 %)",IF(OR(AND($U13&lt;&gt;"",NOT(ISNUMBER($U13))),AND($V13&lt;&gt;"",NOT(ISNUMBER($V13))),AND($W13&lt;&gt;"",NOT(ISNUMBER($W13)))),"Mois invalide",IF(AND(OR($G13="À migrer",$G13="À décommissionner"),COUNTIFS(TblClusters[Cluster],$I13,TblClusters[Plateforme],"IKS")=0),"Cluster IKS inconnu",IF(AND(OR($G13="À migrer",$G13="Migré"),COUNTIFS(TblClusters[Cluster],$O13,TblClusters[Plateforme],"ROKS")=0),"Cluster ROKS inconnu",IF(AND(OR($G13="À migrer",$G13="À décommissionner"),COUNTIFS(TblClusters[Cluster],$I13,TblClusters[Environnement],$E13)=0),"Environnement ≠ cluster IKS",IF(AND(OR($G13="À migrer",$G13="Migré"),COUNTIFS(TblClusters[Cluster],$O13,TblClusters[Environnement],$E13)=0),"Environnement ≠ cluster ROKS",IF(AND($G13="À migrer",OR($U13&gt;$V13,$V13&gt;$W13)),"Dates incohérentes (prov ≤ bascule ≤ libération)",IF(AND(OR($G13="À migrer",$G13="À décommissionner"),OR(N($AO13)&gt;SUMIFS(TblClusters[CPU initial (vCPU)],TblClusters[Cluster],$I13),N($AP13)&gt;SUMIFS(TblClusters[RAM initiale (Go)],TblClusters[Cluster],$I13))),"Forçage &gt; capacité du cluster source",IF(OR(AND($AA13&lt;&gt;"",$AA13&lt;p_debut),AND($AB13&lt;&gt;"",$AB13&gt;p_fin)),"Hors horizon (info)",IF(AND($G13="À migrer",$E13="PRD",COUNTIFS(TblApplications[ID],$C13,TblApplications[Environnement],"NPRD",TblApplications[Action],"À migrer")&gt;0,$AA13&lt;_xlfn.MINIFS(TblApplications[Mois prov (calc)],TblApplications[ID],$C13,TblApplications[Environnement],"NPRD")),"PRD avant NPRD (info)","OK")))))))))))))))))))))</f>
        <v/>
      </c>
      <c r="AH13" s="62"/>
      <c r="AI13" s="62"/>
      <c r="AJ13" s="27" t="str">
        <f>IF(OR($C13="",NOT(OR($G13="À migrer",$G13="À décommissionner")),NOT(ISNUMBER($S13)),NOT(ISNUMBER($T13)),$AB13=""),"",($S13+p_poidsram*$T13)*SUMIFS(TblCalculs[Coût par unité],TblCalculs[Cluster],$I13,TblCalculs[Mois],"&lt;"&amp;$AB13))</f>
        <v/>
      </c>
      <c r="AK13" s="27" t="str">
        <f>IF($C13="","",IF(AND($G13="À migrer",$H13="Non",$Y13&lt;&gt;"",$AA13&lt;&gt;""),($Y13+p_poidsram*$Z13)*SUMIFS(TblCalculs[Coût par unité],TblCalculs[Cluster],$O13,TblCalculs[Mois],"&gt;="&amp;$AA13),IF(AND($G13="Migré",$Y13&lt;&gt;""),($Y13+p_poidsram*$Z13)*SUMIFS(TblCalculs[Coût par unité],TblCalculs[Cluster],$O13),"")))</f>
        <v/>
      </c>
      <c r="AL13" s="27" t="str">
        <f t="shared" si="6"/>
        <v/>
      </c>
      <c r="AM13" s="26" t="str">
        <f t="shared" si="7"/>
        <v/>
      </c>
      <c r="AN13" s="26" t="str">
        <f>IF(OR($C13="",$AM13&lt;&gt;1,COUNTIFS($E13,ex_envc,$A13,ex_domc,$B13,ex_tric)=0),"",COUNTIFS($AM$6:$AM13,1,$E$6:$E13,ex_envc,$A$6:$A13,ex_domc,$B$6:$B13,ex_tric))</f>
        <v/>
      </c>
      <c r="AO13" s="63"/>
      <c r="AP13" s="63"/>
      <c r="AQ13" s="63"/>
      <c r="AR13" s="63"/>
    </row>
    <row r="14" spans="1:44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26" t="str">
        <f t="shared" si="0"/>
        <v/>
      </c>
      <c r="O14" s="59"/>
      <c r="P14" s="60" t="str">
        <f>IF($C14="","",IF($AQ14&lt;&gt;"",$AQ14,SUMIFS(TblDynatrace[CPU P95 (vCPU)],TblDynatrace[ID],$C14,TblDynatrace[Environnement],$E14,TblDynatrace[Couloir],$F14)))</f>
        <v/>
      </c>
      <c r="Q14" s="60" t="str">
        <f>IF($C14="","",IF($AR14&lt;&gt;"",$AR14,SUMIFS(TblDynatrace[RAM P95 (Go)],TblDynatrace[ID],$C14,TblDynatrace[Environnement],$E14,TblDynatrace[Couloir],$F14)))</f>
        <v/>
      </c>
      <c r="R14" s="26" t="str">
        <f>IF($C14="","",IFERROR(INDEX(TblDynatrace[Métrique / période],MATCH($C14&amp;"|"&amp;$E14&amp;"|"&amp;$F14,TblDynatrace[Clé],0)),""))</f>
        <v/>
      </c>
      <c r="S14" s="60" t="str">
        <f>IF(OR($C14="",NOT(OR($G14="À migrer",$G14="À décommissionner")),$I14="",NOT(ISNUMBER($P14))),"",IF($AO14&lt;&gt;"",$AO14,IFERROR(SUMIFS(TblClusters[CPU initial (vCPU)],TblClusters[Cluster],$I14)*$P14/(SUMIFS(TblApplications[CPU Dynatrace (vCPU)],TblApplications[Cluster IKS source],$I14,TblApplications[Action],"À migrer")+SUMIFS(TblApplications[CPU Dynatrace (vCPU)],TblApplications[Cluster IKS source],$I14,TblApplications[Action],"À décommissionner")),0)))</f>
        <v/>
      </c>
      <c r="T14" s="60" t="str">
        <f>IF(OR($C14="",NOT(OR($G14="À migrer",$G14="À décommissionner")),$I14="",NOT(ISNUMBER($Q14))),"",IF($AP14&lt;&gt;"",$AP14,IFERROR(SUMIFS(TblClusters[RAM initiale (Go)],TblClusters[Cluster],$I14)*$Q14/(SUMIFS(TblApplications[RAM Dynatrace (Go)],TblApplications[Cluster IKS source],$I14,TblApplications[Action],"À migrer")+SUMIFS(TblApplications[RAM Dynatrace (Go)],TblApplications[Cluster IKS source],$I14,TblApplications[Action],"À décommissionner")),0)))</f>
        <v/>
      </c>
      <c r="U14" s="61"/>
      <c r="V14" s="61"/>
      <c r="W14" s="61"/>
      <c r="X14" s="59"/>
      <c r="Y14" s="26" t="str">
        <f t="shared" si="1"/>
        <v/>
      </c>
      <c r="Z14" s="26" t="str">
        <f t="shared" si="2"/>
        <v/>
      </c>
      <c r="AA14" s="33" t="str">
        <f t="shared" si="3"/>
        <v/>
      </c>
      <c r="AB14" s="33" t="str">
        <f t="shared" si="4"/>
        <v/>
      </c>
      <c r="AC14" s="26" t="str">
        <f t="shared" si="5"/>
        <v/>
      </c>
      <c r="AD14" s="26" t="str">
        <f>IF($C14="","",COUNTIF(TblApplications[ID],$C14))</f>
        <v/>
      </c>
      <c r="AE14" s="33" t="str">
        <f>IF($C14="","",IFERROR(1/(1/_xlfn.MINIFS(TblApplications[Mois prov (calc)],TblApplications[ID],$C14)),""))</f>
        <v/>
      </c>
      <c r="AF14" s="33" t="str">
        <f>IF($C14="","",IFERROR(1/(1/_xlfn.MAXIFS(TblApplications[Mois lib (calc)],TblApplications[ID],$C14)),""))</f>
        <v/>
      </c>
      <c r="AG14" s="26" t="str">
        <f>IF($C14="","",IF(OR(OR($A14="",$B14="",$D14="",$E14="",$F14="",$G14=""),AND($G14="À migrer",OR($H14="",$I14="",$O14="",$U14="",$V14="",$W14="")),AND($G14="Migré",OR($O14="")),AND($G14="À décommissionner",OR($I14="",$W14=""))),"Données manquantes (selon l’action)",IF(AND($G14&lt;&gt;"Migré",$G14&lt;&gt;"À migrer",$G14&lt;&gt;"À décommissionner",$G14&lt;&gt;"Décommissionné"),"Action invalide",IF(COUNTIF(TblDomaines[Domaine],$A14)=0,"Domaine inconnu (référentiel)",IF(COUNTIFS(TblTribes[Tribe],$B14,TblTribes[Domaine de la tribe],$A14)=0,"Tribe inconnue ou hors domaine",IF(AND($G14="À migrer",$H14&lt;&gt;"Oui",$H14&lt;&gt;"Non"),"Valeur Oui/Non invalide (Déjà incluse ROKS)",IF(AND($E14&lt;&gt;"PRD",$E14&lt;&gt;"NPRD"),"Environnement invalide",IF(COUNTIFS(TblApplications[ID],$C14,TblApplications[Environnement],$E14,TblApplications[Couloir],$F14)&gt;1,"Déploiement en doublon (ID + env + couloir)",IF(AND(OR(OR($G14="À migrer",$G14="Migré"),OR($G14="À migrer",$G14="À décommissionner")),N($P14)&lt;=0),"Conso Dynatrace absente (onglet Dynatrace)",IF(OR(AND($P14&lt;&gt;"",NOT(ISNUMBER($P14))),AND($Q14&lt;&gt;"",NOT(ISNUMBER($Q14)))),"Ressource non numérique",IF(MIN(N($P14),N($Q14))&lt;0,"Ressource négative",IF(OR(AND($AH14&lt;&gt;"",OR(NOT(ISNUMBER($AH14)),$AH14&lt;0,$AH14&gt;1)),AND($AI14&lt;&gt;"",OR(NOT(ISNUMBER($AI14)),$AI14&lt;0,$AI14&gt;1))),"Marge spécifique invalide (0–100 %)",IF(OR(AND($U14&lt;&gt;"",NOT(ISNUMBER($U14))),AND($V14&lt;&gt;"",NOT(ISNUMBER($V14))),AND($W14&lt;&gt;"",NOT(ISNUMBER($W14)))),"Mois invalide",IF(AND(OR($G14="À migrer",$G14="À décommissionner"),COUNTIFS(TblClusters[Cluster],$I14,TblClusters[Plateforme],"IKS")=0),"Cluster IKS inconnu",IF(AND(OR($G14="À migrer",$G14="Migré"),COUNTIFS(TblClusters[Cluster],$O14,TblClusters[Plateforme],"ROKS")=0),"Cluster ROKS inconnu",IF(AND(OR($G14="À migrer",$G14="À décommissionner"),COUNTIFS(TblClusters[Cluster],$I14,TblClusters[Environnement],$E14)=0),"Environnement ≠ cluster IKS",IF(AND(OR($G14="À migrer",$G14="Migré"),COUNTIFS(TblClusters[Cluster],$O14,TblClusters[Environnement],$E14)=0),"Environnement ≠ cluster ROKS",IF(AND($G14="À migrer",OR($U14&gt;$V14,$V14&gt;$W14)),"Dates incohérentes (prov ≤ bascule ≤ libération)",IF(AND(OR($G14="À migrer",$G14="À décommissionner"),OR(N($AO14)&gt;SUMIFS(TblClusters[CPU initial (vCPU)],TblClusters[Cluster],$I14),N($AP14)&gt;SUMIFS(TblClusters[RAM initiale (Go)],TblClusters[Cluster],$I14))),"Forçage &gt; capacité du cluster source",IF(OR(AND($AA14&lt;&gt;"",$AA14&lt;p_debut),AND($AB14&lt;&gt;"",$AB14&gt;p_fin)),"Hors horizon (info)",IF(AND($G14="À migrer",$E14="PRD",COUNTIFS(TblApplications[ID],$C14,TblApplications[Environnement],"NPRD",TblApplications[Action],"À migrer")&gt;0,$AA14&lt;_xlfn.MINIFS(TblApplications[Mois prov (calc)],TblApplications[ID],$C14,TblApplications[Environnement],"NPRD")),"PRD avant NPRD (info)","OK")))))))))))))))))))))</f>
        <v/>
      </c>
      <c r="AH14" s="62"/>
      <c r="AI14" s="62"/>
      <c r="AJ14" s="27" t="str">
        <f>IF(OR($C14="",NOT(OR($G14="À migrer",$G14="À décommissionner")),NOT(ISNUMBER($S14)),NOT(ISNUMBER($T14)),$AB14=""),"",($S14+p_poidsram*$T14)*SUMIFS(TblCalculs[Coût par unité],TblCalculs[Cluster],$I14,TblCalculs[Mois],"&lt;"&amp;$AB14))</f>
        <v/>
      </c>
      <c r="AK14" s="27" t="str">
        <f>IF($C14="","",IF(AND($G14="À migrer",$H14="Non",$Y14&lt;&gt;"",$AA14&lt;&gt;""),($Y14+p_poidsram*$Z14)*SUMIFS(TblCalculs[Coût par unité],TblCalculs[Cluster],$O14,TblCalculs[Mois],"&gt;="&amp;$AA14),IF(AND($G14="Migré",$Y14&lt;&gt;""),($Y14+p_poidsram*$Z14)*SUMIFS(TblCalculs[Coût par unité],TblCalculs[Cluster],$O14),"")))</f>
        <v/>
      </c>
      <c r="AL14" s="27" t="str">
        <f t="shared" si="6"/>
        <v/>
      </c>
      <c r="AM14" s="26" t="str">
        <f t="shared" si="7"/>
        <v/>
      </c>
      <c r="AN14" s="26" t="str">
        <f>IF(OR($C14="",$AM14&lt;&gt;1,COUNTIFS($E14,ex_envc,$A14,ex_domc,$B14,ex_tric)=0),"",COUNTIFS($AM$6:$AM14,1,$E$6:$E14,ex_envc,$A$6:$A14,ex_domc,$B$6:$B14,ex_tric))</f>
        <v/>
      </c>
      <c r="AO14" s="63"/>
      <c r="AP14" s="63"/>
      <c r="AQ14" s="63"/>
      <c r="AR14" s="63"/>
    </row>
    <row r="15" spans="1:44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26" t="str">
        <f t="shared" si="0"/>
        <v/>
      </c>
      <c r="O15" s="59"/>
      <c r="P15" s="60" t="str">
        <f>IF($C15="","",IF($AQ15&lt;&gt;"",$AQ15,SUMIFS(TblDynatrace[CPU P95 (vCPU)],TblDynatrace[ID],$C15,TblDynatrace[Environnement],$E15,TblDynatrace[Couloir],$F15)))</f>
        <v/>
      </c>
      <c r="Q15" s="60" t="str">
        <f>IF($C15="","",IF($AR15&lt;&gt;"",$AR15,SUMIFS(TblDynatrace[RAM P95 (Go)],TblDynatrace[ID],$C15,TblDynatrace[Environnement],$E15,TblDynatrace[Couloir],$F15)))</f>
        <v/>
      </c>
      <c r="R15" s="26" t="str">
        <f>IF($C15="","",IFERROR(INDEX(TblDynatrace[Métrique / période],MATCH($C15&amp;"|"&amp;$E15&amp;"|"&amp;$F15,TblDynatrace[Clé],0)),""))</f>
        <v/>
      </c>
      <c r="S15" s="60" t="str">
        <f>IF(OR($C15="",NOT(OR($G15="À migrer",$G15="À décommissionner")),$I15="",NOT(ISNUMBER($P15))),"",IF($AO15&lt;&gt;"",$AO15,IFERROR(SUMIFS(TblClusters[CPU initial (vCPU)],TblClusters[Cluster],$I15)*$P15/(SUMIFS(TblApplications[CPU Dynatrace (vCPU)],TblApplications[Cluster IKS source],$I15,TblApplications[Action],"À migrer")+SUMIFS(TblApplications[CPU Dynatrace (vCPU)],TblApplications[Cluster IKS source],$I15,TblApplications[Action],"À décommissionner")),0)))</f>
        <v/>
      </c>
      <c r="T15" s="60" t="str">
        <f>IF(OR($C15="",NOT(OR($G15="À migrer",$G15="À décommissionner")),$I15="",NOT(ISNUMBER($Q15))),"",IF($AP15&lt;&gt;"",$AP15,IFERROR(SUMIFS(TblClusters[RAM initiale (Go)],TblClusters[Cluster],$I15)*$Q15/(SUMIFS(TblApplications[RAM Dynatrace (Go)],TblApplications[Cluster IKS source],$I15,TblApplications[Action],"À migrer")+SUMIFS(TblApplications[RAM Dynatrace (Go)],TblApplications[Cluster IKS source],$I15,TblApplications[Action],"À décommissionner")),0)))</f>
        <v/>
      </c>
      <c r="U15" s="61"/>
      <c r="V15" s="61"/>
      <c r="W15" s="61"/>
      <c r="X15" s="59"/>
      <c r="Y15" s="26" t="str">
        <f t="shared" si="1"/>
        <v/>
      </c>
      <c r="Z15" s="26" t="str">
        <f t="shared" si="2"/>
        <v/>
      </c>
      <c r="AA15" s="33" t="str">
        <f t="shared" si="3"/>
        <v/>
      </c>
      <c r="AB15" s="33" t="str">
        <f t="shared" si="4"/>
        <v/>
      </c>
      <c r="AC15" s="26" t="str">
        <f t="shared" si="5"/>
        <v/>
      </c>
      <c r="AD15" s="26" t="str">
        <f>IF($C15="","",COUNTIF(TblApplications[ID],$C15))</f>
        <v/>
      </c>
      <c r="AE15" s="33" t="str">
        <f>IF($C15="","",IFERROR(1/(1/_xlfn.MINIFS(TblApplications[Mois prov (calc)],TblApplications[ID],$C15)),""))</f>
        <v/>
      </c>
      <c r="AF15" s="33" t="str">
        <f>IF($C15="","",IFERROR(1/(1/_xlfn.MAXIFS(TblApplications[Mois lib (calc)],TblApplications[ID],$C15)),""))</f>
        <v/>
      </c>
      <c r="AG15" s="26" t="str">
        <f>IF($C15="","",IF(OR(OR($A15="",$B15="",$D15="",$E15="",$F15="",$G15=""),AND($G15="À migrer",OR($H15="",$I15="",$O15="",$U15="",$V15="",$W15="")),AND($G15="Migré",OR($O15="")),AND($G15="À décommissionner",OR($I15="",$W15=""))),"Données manquantes (selon l’action)",IF(AND($G15&lt;&gt;"Migré",$G15&lt;&gt;"À migrer",$G15&lt;&gt;"À décommissionner",$G15&lt;&gt;"Décommissionné"),"Action invalide",IF(COUNTIF(TblDomaines[Domaine],$A15)=0,"Domaine inconnu (référentiel)",IF(COUNTIFS(TblTribes[Tribe],$B15,TblTribes[Domaine de la tribe],$A15)=0,"Tribe inconnue ou hors domaine",IF(AND($G15="À migrer",$H15&lt;&gt;"Oui",$H15&lt;&gt;"Non"),"Valeur Oui/Non invalide (Déjà incluse ROKS)",IF(AND($E15&lt;&gt;"PRD",$E15&lt;&gt;"NPRD"),"Environnement invalide",IF(COUNTIFS(TblApplications[ID],$C15,TblApplications[Environnement],$E15,TblApplications[Couloir],$F15)&gt;1,"Déploiement en doublon (ID + env + couloir)",IF(AND(OR(OR($G15="À migrer",$G15="Migré"),OR($G15="À migrer",$G15="À décommissionner")),N($P15)&lt;=0),"Conso Dynatrace absente (onglet Dynatrace)",IF(OR(AND($P15&lt;&gt;"",NOT(ISNUMBER($P15))),AND($Q15&lt;&gt;"",NOT(ISNUMBER($Q15)))),"Ressource non numérique",IF(MIN(N($P15),N($Q15))&lt;0,"Ressource négative",IF(OR(AND($AH15&lt;&gt;"",OR(NOT(ISNUMBER($AH15)),$AH15&lt;0,$AH15&gt;1)),AND($AI15&lt;&gt;"",OR(NOT(ISNUMBER($AI15)),$AI15&lt;0,$AI15&gt;1))),"Marge spécifique invalide (0–100 %)",IF(OR(AND($U15&lt;&gt;"",NOT(ISNUMBER($U15))),AND($V15&lt;&gt;"",NOT(ISNUMBER($V15))),AND($W15&lt;&gt;"",NOT(ISNUMBER($W15)))),"Mois invalide",IF(AND(OR($G15="À migrer",$G15="À décommissionner"),COUNTIFS(TblClusters[Cluster],$I15,TblClusters[Plateforme],"IKS")=0),"Cluster IKS inconnu",IF(AND(OR($G15="À migrer",$G15="Migré"),COUNTIFS(TblClusters[Cluster],$O15,TblClusters[Plateforme],"ROKS")=0),"Cluster ROKS inconnu",IF(AND(OR($G15="À migrer",$G15="À décommissionner"),COUNTIFS(TblClusters[Cluster],$I15,TblClusters[Environnement],$E15)=0),"Environnement ≠ cluster IKS",IF(AND(OR($G15="À migrer",$G15="Migré"),COUNTIFS(TblClusters[Cluster],$O15,TblClusters[Environnement],$E15)=0),"Environnement ≠ cluster ROKS",IF(AND($G15="À migrer",OR($U15&gt;$V15,$V15&gt;$W15)),"Dates incohérentes (prov ≤ bascule ≤ libération)",IF(AND(OR($G15="À migrer",$G15="À décommissionner"),OR(N($AO15)&gt;SUMIFS(TblClusters[CPU initial (vCPU)],TblClusters[Cluster],$I15),N($AP15)&gt;SUMIFS(TblClusters[RAM initiale (Go)],TblClusters[Cluster],$I15))),"Forçage &gt; capacité du cluster source",IF(OR(AND($AA15&lt;&gt;"",$AA15&lt;p_debut),AND($AB15&lt;&gt;"",$AB15&gt;p_fin)),"Hors horizon (info)",IF(AND($G15="À migrer",$E15="PRD",COUNTIFS(TblApplications[ID],$C15,TblApplications[Environnement],"NPRD",TblApplications[Action],"À migrer")&gt;0,$AA15&lt;_xlfn.MINIFS(TblApplications[Mois prov (calc)],TblApplications[ID],$C15,TblApplications[Environnement],"NPRD")),"PRD avant NPRD (info)","OK")))))))))))))))))))))</f>
        <v/>
      </c>
      <c r="AH15" s="62"/>
      <c r="AI15" s="62"/>
      <c r="AJ15" s="27" t="str">
        <f>IF(OR($C15="",NOT(OR($G15="À migrer",$G15="À décommissionner")),NOT(ISNUMBER($S15)),NOT(ISNUMBER($T15)),$AB15=""),"",($S15+p_poidsram*$T15)*SUMIFS(TblCalculs[Coût par unité],TblCalculs[Cluster],$I15,TblCalculs[Mois],"&lt;"&amp;$AB15))</f>
        <v/>
      </c>
      <c r="AK15" s="27" t="str">
        <f>IF($C15="","",IF(AND($G15="À migrer",$H15="Non",$Y15&lt;&gt;"",$AA15&lt;&gt;""),($Y15+p_poidsram*$Z15)*SUMIFS(TblCalculs[Coût par unité],TblCalculs[Cluster],$O15,TblCalculs[Mois],"&gt;="&amp;$AA15),IF(AND($G15="Migré",$Y15&lt;&gt;""),($Y15+p_poidsram*$Z15)*SUMIFS(TblCalculs[Coût par unité],TblCalculs[Cluster],$O15),"")))</f>
        <v/>
      </c>
      <c r="AL15" s="27" t="str">
        <f t="shared" si="6"/>
        <v/>
      </c>
      <c r="AM15" s="26" t="str">
        <f t="shared" si="7"/>
        <v/>
      </c>
      <c r="AN15" s="26" t="str">
        <f>IF(OR($C15="",$AM15&lt;&gt;1,COUNTIFS($E15,ex_envc,$A15,ex_domc,$B15,ex_tric)=0),"",COUNTIFS($AM$6:$AM15,1,$E$6:$E15,ex_envc,$A$6:$A15,ex_domc,$B$6:$B15,ex_tric))</f>
        <v/>
      </c>
      <c r="AO15" s="63"/>
      <c r="AP15" s="63"/>
      <c r="AQ15" s="63"/>
      <c r="AR15" s="63"/>
    </row>
    <row r="16" spans="1:44" x14ac:dyDescent="0.2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26" t="str">
        <f t="shared" si="0"/>
        <v/>
      </c>
      <c r="O16" s="59"/>
      <c r="P16" s="60" t="str">
        <f>IF($C16="","",IF($AQ16&lt;&gt;"",$AQ16,SUMIFS(TblDynatrace[CPU P95 (vCPU)],TblDynatrace[ID],$C16,TblDynatrace[Environnement],$E16,TblDynatrace[Couloir],$F16)))</f>
        <v/>
      </c>
      <c r="Q16" s="60" t="str">
        <f>IF($C16="","",IF($AR16&lt;&gt;"",$AR16,SUMIFS(TblDynatrace[RAM P95 (Go)],TblDynatrace[ID],$C16,TblDynatrace[Environnement],$E16,TblDynatrace[Couloir],$F16)))</f>
        <v/>
      </c>
      <c r="R16" s="26" t="str">
        <f>IF($C16="","",IFERROR(INDEX(TblDynatrace[Métrique / période],MATCH($C16&amp;"|"&amp;$E16&amp;"|"&amp;$F16,TblDynatrace[Clé],0)),""))</f>
        <v/>
      </c>
      <c r="S16" s="60" t="str">
        <f>IF(OR($C16="",NOT(OR($G16="À migrer",$G16="À décommissionner")),$I16="",NOT(ISNUMBER($P16))),"",IF($AO16&lt;&gt;"",$AO16,IFERROR(SUMIFS(TblClusters[CPU initial (vCPU)],TblClusters[Cluster],$I16)*$P16/(SUMIFS(TblApplications[CPU Dynatrace (vCPU)],TblApplications[Cluster IKS source],$I16,TblApplications[Action],"À migrer")+SUMIFS(TblApplications[CPU Dynatrace (vCPU)],TblApplications[Cluster IKS source],$I16,TblApplications[Action],"À décommissionner")),0)))</f>
        <v/>
      </c>
      <c r="T16" s="60" t="str">
        <f>IF(OR($C16="",NOT(OR($G16="À migrer",$G16="À décommissionner")),$I16="",NOT(ISNUMBER($Q16))),"",IF($AP16&lt;&gt;"",$AP16,IFERROR(SUMIFS(TblClusters[RAM initiale (Go)],TblClusters[Cluster],$I16)*$Q16/(SUMIFS(TblApplications[RAM Dynatrace (Go)],TblApplications[Cluster IKS source],$I16,TblApplications[Action],"À migrer")+SUMIFS(TblApplications[RAM Dynatrace (Go)],TblApplications[Cluster IKS source],$I16,TblApplications[Action],"À décommissionner")),0)))</f>
        <v/>
      </c>
      <c r="U16" s="61"/>
      <c r="V16" s="61"/>
      <c r="W16" s="61"/>
      <c r="X16" s="59"/>
      <c r="Y16" s="26" t="str">
        <f t="shared" si="1"/>
        <v/>
      </c>
      <c r="Z16" s="26" t="str">
        <f t="shared" si="2"/>
        <v/>
      </c>
      <c r="AA16" s="33" t="str">
        <f t="shared" si="3"/>
        <v/>
      </c>
      <c r="AB16" s="33" t="str">
        <f t="shared" si="4"/>
        <v/>
      </c>
      <c r="AC16" s="26" t="str">
        <f t="shared" si="5"/>
        <v/>
      </c>
      <c r="AD16" s="26" t="str">
        <f>IF($C16="","",COUNTIF(TblApplications[ID],$C16))</f>
        <v/>
      </c>
      <c r="AE16" s="33" t="str">
        <f>IF($C16="","",IFERROR(1/(1/_xlfn.MINIFS(TblApplications[Mois prov (calc)],TblApplications[ID],$C16)),""))</f>
        <v/>
      </c>
      <c r="AF16" s="33" t="str">
        <f>IF($C16="","",IFERROR(1/(1/_xlfn.MAXIFS(TblApplications[Mois lib (calc)],TblApplications[ID],$C16)),""))</f>
        <v/>
      </c>
      <c r="AG16" s="26" t="str">
        <f>IF($C16="","",IF(OR(OR($A16="",$B16="",$D16="",$E16="",$F16="",$G16=""),AND($G16="À migrer",OR($H16="",$I16="",$O16="",$U16="",$V16="",$W16="")),AND($G16="Migré",OR($O16="")),AND($G16="À décommissionner",OR($I16="",$W16=""))),"Données manquantes (selon l’action)",IF(AND($G16&lt;&gt;"Migré",$G16&lt;&gt;"À migrer",$G16&lt;&gt;"À décommissionner",$G16&lt;&gt;"Décommissionné"),"Action invalide",IF(COUNTIF(TblDomaines[Domaine],$A16)=0,"Domaine inconnu (référentiel)",IF(COUNTIFS(TblTribes[Tribe],$B16,TblTribes[Domaine de la tribe],$A16)=0,"Tribe inconnue ou hors domaine",IF(AND($G16="À migrer",$H16&lt;&gt;"Oui",$H16&lt;&gt;"Non"),"Valeur Oui/Non invalide (Déjà incluse ROKS)",IF(AND($E16&lt;&gt;"PRD",$E16&lt;&gt;"NPRD"),"Environnement invalide",IF(COUNTIFS(TblApplications[ID],$C16,TblApplications[Environnement],$E16,TblApplications[Couloir],$F16)&gt;1,"Déploiement en doublon (ID + env + couloir)",IF(AND(OR(OR($G16="À migrer",$G16="Migré"),OR($G16="À migrer",$G16="À décommissionner")),N($P16)&lt;=0),"Conso Dynatrace absente (onglet Dynatrace)",IF(OR(AND($P16&lt;&gt;"",NOT(ISNUMBER($P16))),AND($Q16&lt;&gt;"",NOT(ISNUMBER($Q16)))),"Ressource non numérique",IF(MIN(N($P16),N($Q16))&lt;0,"Ressource négative",IF(OR(AND($AH16&lt;&gt;"",OR(NOT(ISNUMBER($AH16)),$AH16&lt;0,$AH16&gt;1)),AND($AI16&lt;&gt;"",OR(NOT(ISNUMBER($AI16)),$AI16&lt;0,$AI16&gt;1))),"Marge spécifique invalide (0–100 %)",IF(OR(AND($U16&lt;&gt;"",NOT(ISNUMBER($U16))),AND($V16&lt;&gt;"",NOT(ISNUMBER($V16))),AND($W16&lt;&gt;"",NOT(ISNUMBER($W16)))),"Mois invalide",IF(AND(OR($G16="À migrer",$G16="À décommissionner"),COUNTIFS(TblClusters[Cluster],$I16,TblClusters[Plateforme],"IKS")=0),"Cluster IKS inconnu",IF(AND(OR($G16="À migrer",$G16="Migré"),COUNTIFS(TblClusters[Cluster],$O16,TblClusters[Plateforme],"ROKS")=0),"Cluster ROKS inconnu",IF(AND(OR($G16="À migrer",$G16="À décommissionner"),COUNTIFS(TblClusters[Cluster],$I16,TblClusters[Environnement],$E16)=0),"Environnement ≠ cluster IKS",IF(AND(OR($G16="À migrer",$G16="Migré"),COUNTIFS(TblClusters[Cluster],$O16,TblClusters[Environnement],$E16)=0),"Environnement ≠ cluster ROKS",IF(AND($G16="À migrer",OR($U16&gt;$V16,$V16&gt;$W16)),"Dates incohérentes (prov ≤ bascule ≤ libération)",IF(AND(OR($G16="À migrer",$G16="À décommissionner"),OR(N($AO16)&gt;SUMIFS(TblClusters[CPU initial (vCPU)],TblClusters[Cluster],$I16),N($AP16)&gt;SUMIFS(TblClusters[RAM initiale (Go)],TblClusters[Cluster],$I16))),"Forçage &gt; capacité du cluster source",IF(OR(AND($AA16&lt;&gt;"",$AA16&lt;p_debut),AND($AB16&lt;&gt;"",$AB16&gt;p_fin)),"Hors horizon (info)",IF(AND($G16="À migrer",$E16="PRD",COUNTIFS(TblApplications[ID],$C16,TblApplications[Environnement],"NPRD",TblApplications[Action],"À migrer")&gt;0,$AA16&lt;_xlfn.MINIFS(TblApplications[Mois prov (calc)],TblApplications[ID],$C16,TblApplications[Environnement],"NPRD")),"PRD avant NPRD (info)","OK")))))))))))))))))))))</f>
        <v/>
      </c>
      <c r="AH16" s="62"/>
      <c r="AI16" s="62"/>
      <c r="AJ16" s="27" t="str">
        <f>IF(OR($C16="",NOT(OR($G16="À migrer",$G16="À décommissionner")),NOT(ISNUMBER($S16)),NOT(ISNUMBER($T16)),$AB16=""),"",($S16+p_poidsram*$T16)*SUMIFS(TblCalculs[Coût par unité],TblCalculs[Cluster],$I16,TblCalculs[Mois],"&lt;"&amp;$AB16))</f>
        <v/>
      </c>
      <c r="AK16" s="27" t="str">
        <f>IF($C16="","",IF(AND($G16="À migrer",$H16="Non",$Y16&lt;&gt;"",$AA16&lt;&gt;""),($Y16+p_poidsram*$Z16)*SUMIFS(TblCalculs[Coût par unité],TblCalculs[Cluster],$O16,TblCalculs[Mois],"&gt;="&amp;$AA16),IF(AND($G16="Migré",$Y16&lt;&gt;""),($Y16+p_poidsram*$Z16)*SUMIFS(TblCalculs[Coût par unité],TblCalculs[Cluster],$O16),"")))</f>
        <v/>
      </c>
      <c r="AL16" s="27" t="str">
        <f t="shared" si="6"/>
        <v/>
      </c>
      <c r="AM16" s="26" t="str">
        <f t="shared" si="7"/>
        <v/>
      </c>
      <c r="AN16" s="26" t="str">
        <f>IF(OR($C16="",$AM16&lt;&gt;1,COUNTIFS($E16,ex_envc,$A16,ex_domc,$B16,ex_tric)=0),"",COUNTIFS($AM$6:$AM16,1,$E$6:$E16,ex_envc,$A$6:$A16,ex_domc,$B$6:$B16,ex_tric))</f>
        <v/>
      </c>
      <c r="AO16" s="63"/>
      <c r="AP16" s="63"/>
      <c r="AQ16" s="63"/>
      <c r="AR16" s="63"/>
    </row>
    <row r="17" spans="1:44" x14ac:dyDescent="0.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26" t="str">
        <f t="shared" si="0"/>
        <v/>
      </c>
      <c r="O17" s="59"/>
      <c r="P17" s="60" t="str">
        <f>IF($C17="","",IF($AQ17&lt;&gt;"",$AQ17,SUMIFS(TblDynatrace[CPU P95 (vCPU)],TblDynatrace[ID],$C17,TblDynatrace[Environnement],$E17,TblDynatrace[Couloir],$F17)))</f>
        <v/>
      </c>
      <c r="Q17" s="60" t="str">
        <f>IF($C17="","",IF($AR17&lt;&gt;"",$AR17,SUMIFS(TblDynatrace[RAM P95 (Go)],TblDynatrace[ID],$C17,TblDynatrace[Environnement],$E17,TblDynatrace[Couloir],$F17)))</f>
        <v/>
      </c>
      <c r="R17" s="26" t="str">
        <f>IF($C17="","",IFERROR(INDEX(TblDynatrace[Métrique / période],MATCH($C17&amp;"|"&amp;$E17&amp;"|"&amp;$F17,TblDynatrace[Clé],0)),""))</f>
        <v/>
      </c>
      <c r="S17" s="60" t="str">
        <f>IF(OR($C17="",NOT(OR($G17="À migrer",$G17="À décommissionner")),$I17="",NOT(ISNUMBER($P17))),"",IF($AO17&lt;&gt;"",$AO17,IFERROR(SUMIFS(TblClusters[CPU initial (vCPU)],TblClusters[Cluster],$I17)*$P17/(SUMIFS(TblApplications[CPU Dynatrace (vCPU)],TblApplications[Cluster IKS source],$I17,TblApplications[Action],"À migrer")+SUMIFS(TblApplications[CPU Dynatrace (vCPU)],TblApplications[Cluster IKS source],$I17,TblApplications[Action],"À décommissionner")),0)))</f>
        <v/>
      </c>
      <c r="T17" s="60" t="str">
        <f>IF(OR($C17="",NOT(OR($G17="À migrer",$G17="À décommissionner")),$I17="",NOT(ISNUMBER($Q17))),"",IF($AP17&lt;&gt;"",$AP17,IFERROR(SUMIFS(TblClusters[RAM initiale (Go)],TblClusters[Cluster],$I17)*$Q17/(SUMIFS(TblApplications[RAM Dynatrace (Go)],TblApplications[Cluster IKS source],$I17,TblApplications[Action],"À migrer")+SUMIFS(TblApplications[RAM Dynatrace (Go)],TblApplications[Cluster IKS source],$I17,TblApplications[Action],"À décommissionner")),0)))</f>
        <v/>
      </c>
      <c r="U17" s="61"/>
      <c r="V17" s="61"/>
      <c r="W17" s="61"/>
      <c r="X17" s="59"/>
      <c r="Y17" s="26" t="str">
        <f t="shared" si="1"/>
        <v/>
      </c>
      <c r="Z17" s="26" t="str">
        <f t="shared" si="2"/>
        <v/>
      </c>
      <c r="AA17" s="33" t="str">
        <f t="shared" si="3"/>
        <v/>
      </c>
      <c r="AB17" s="33" t="str">
        <f t="shared" si="4"/>
        <v/>
      </c>
      <c r="AC17" s="26" t="str">
        <f t="shared" si="5"/>
        <v/>
      </c>
      <c r="AD17" s="26" t="str">
        <f>IF($C17="","",COUNTIF(TblApplications[ID],$C17))</f>
        <v/>
      </c>
      <c r="AE17" s="33" t="str">
        <f>IF($C17="","",IFERROR(1/(1/_xlfn.MINIFS(TblApplications[Mois prov (calc)],TblApplications[ID],$C17)),""))</f>
        <v/>
      </c>
      <c r="AF17" s="33" t="str">
        <f>IF($C17="","",IFERROR(1/(1/_xlfn.MAXIFS(TblApplications[Mois lib (calc)],TblApplications[ID],$C17)),""))</f>
        <v/>
      </c>
      <c r="AG17" s="26" t="str">
        <f>IF($C17="","",IF(OR(OR($A17="",$B17="",$D17="",$E17="",$F17="",$G17=""),AND($G17="À migrer",OR($H17="",$I17="",$O17="",$U17="",$V17="",$W17="")),AND($G17="Migré",OR($O17="")),AND($G17="À décommissionner",OR($I17="",$W17=""))),"Données manquantes (selon l’action)",IF(AND($G17&lt;&gt;"Migré",$G17&lt;&gt;"À migrer",$G17&lt;&gt;"À décommissionner",$G17&lt;&gt;"Décommissionné"),"Action invalide",IF(COUNTIF(TblDomaines[Domaine],$A17)=0,"Domaine inconnu (référentiel)",IF(COUNTIFS(TblTribes[Tribe],$B17,TblTribes[Domaine de la tribe],$A17)=0,"Tribe inconnue ou hors domaine",IF(AND($G17="À migrer",$H17&lt;&gt;"Oui",$H17&lt;&gt;"Non"),"Valeur Oui/Non invalide (Déjà incluse ROKS)",IF(AND($E17&lt;&gt;"PRD",$E17&lt;&gt;"NPRD"),"Environnement invalide",IF(COUNTIFS(TblApplications[ID],$C17,TblApplications[Environnement],$E17,TblApplications[Couloir],$F17)&gt;1,"Déploiement en doublon (ID + env + couloir)",IF(AND(OR(OR($G17="À migrer",$G17="Migré"),OR($G17="À migrer",$G17="À décommissionner")),N($P17)&lt;=0),"Conso Dynatrace absente (onglet Dynatrace)",IF(OR(AND($P17&lt;&gt;"",NOT(ISNUMBER($P17))),AND($Q17&lt;&gt;"",NOT(ISNUMBER($Q17)))),"Ressource non numérique",IF(MIN(N($P17),N($Q17))&lt;0,"Ressource négative",IF(OR(AND($AH17&lt;&gt;"",OR(NOT(ISNUMBER($AH17)),$AH17&lt;0,$AH17&gt;1)),AND($AI17&lt;&gt;"",OR(NOT(ISNUMBER($AI17)),$AI17&lt;0,$AI17&gt;1))),"Marge spécifique invalide (0–100 %)",IF(OR(AND($U17&lt;&gt;"",NOT(ISNUMBER($U17))),AND($V17&lt;&gt;"",NOT(ISNUMBER($V17))),AND($W17&lt;&gt;"",NOT(ISNUMBER($W17)))),"Mois invalide",IF(AND(OR($G17="À migrer",$G17="À décommissionner"),COUNTIFS(TblClusters[Cluster],$I17,TblClusters[Plateforme],"IKS")=0),"Cluster IKS inconnu",IF(AND(OR($G17="À migrer",$G17="Migré"),COUNTIFS(TblClusters[Cluster],$O17,TblClusters[Plateforme],"ROKS")=0),"Cluster ROKS inconnu",IF(AND(OR($G17="À migrer",$G17="À décommissionner"),COUNTIFS(TblClusters[Cluster],$I17,TblClusters[Environnement],$E17)=0),"Environnement ≠ cluster IKS",IF(AND(OR($G17="À migrer",$G17="Migré"),COUNTIFS(TblClusters[Cluster],$O17,TblClusters[Environnement],$E17)=0),"Environnement ≠ cluster ROKS",IF(AND($G17="À migrer",OR($U17&gt;$V17,$V17&gt;$W17)),"Dates incohérentes (prov ≤ bascule ≤ libération)",IF(AND(OR($G17="À migrer",$G17="À décommissionner"),OR(N($AO17)&gt;SUMIFS(TblClusters[CPU initial (vCPU)],TblClusters[Cluster],$I17),N($AP17)&gt;SUMIFS(TblClusters[RAM initiale (Go)],TblClusters[Cluster],$I17))),"Forçage &gt; capacité du cluster source",IF(OR(AND($AA17&lt;&gt;"",$AA17&lt;p_debut),AND($AB17&lt;&gt;"",$AB17&gt;p_fin)),"Hors horizon (info)",IF(AND($G17="À migrer",$E17="PRD",COUNTIFS(TblApplications[ID],$C17,TblApplications[Environnement],"NPRD",TblApplications[Action],"À migrer")&gt;0,$AA17&lt;_xlfn.MINIFS(TblApplications[Mois prov (calc)],TblApplications[ID],$C17,TblApplications[Environnement],"NPRD")),"PRD avant NPRD (info)","OK")))))))))))))))))))))</f>
        <v/>
      </c>
      <c r="AH17" s="62"/>
      <c r="AI17" s="62"/>
      <c r="AJ17" s="27" t="str">
        <f>IF(OR($C17="",NOT(OR($G17="À migrer",$G17="À décommissionner")),NOT(ISNUMBER($S17)),NOT(ISNUMBER($T17)),$AB17=""),"",($S17+p_poidsram*$T17)*SUMIFS(TblCalculs[Coût par unité],TblCalculs[Cluster],$I17,TblCalculs[Mois],"&lt;"&amp;$AB17))</f>
        <v/>
      </c>
      <c r="AK17" s="27" t="str">
        <f>IF($C17="","",IF(AND($G17="À migrer",$H17="Non",$Y17&lt;&gt;"",$AA17&lt;&gt;""),($Y17+p_poidsram*$Z17)*SUMIFS(TblCalculs[Coût par unité],TblCalculs[Cluster],$O17,TblCalculs[Mois],"&gt;="&amp;$AA17),IF(AND($G17="Migré",$Y17&lt;&gt;""),($Y17+p_poidsram*$Z17)*SUMIFS(TblCalculs[Coût par unité],TblCalculs[Cluster],$O17),"")))</f>
        <v/>
      </c>
      <c r="AL17" s="27" t="str">
        <f t="shared" si="6"/>
        <v/>
      </c>
      <c r="AM17" s="26" t="str">
        <f t="shared" si="7"/>
        <v/>
      </c>
      <c r="AN17" s="26" t="str">
        <f>IF(OR($C17="",$AM17&lt;&gt;1,COUNTIFS($E17,ex_envc,$A17,ex_domc,$B17,ex_tric)=0),"",COUNTIFS($AM$6:$AM17,1,$E$6:$E17,ex_envc,$A$6:$A17,ex_domc,$B$6:$B17,ex_tric))</f>
        <v/>
      </c>
      <c r="AO17" s="63"/>
      <c r="AP17" s="63"/>
      <c r="AQ17" s="63"/>
      <c r="AR17" s="63"/>
    </row>
    <row r="18" spans="1:44" x14ac:dyDescent="0.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26" t="str">
        <f t="shared" si="0"/>
        <v/>
      </c>
      <c r="O18" s="59"/>
      <c r="P18" s="60" t="str">
        <f>IF($C18="","",IF($AQ18&lt;&gt;"",$AQ18,SUMIFS(TblDynatrace[CPU P95 (vCPU)],TblDynatrace[ID],$C18,TblDynatrace[Environnement],$E18,TblDynatrace[Couloir],$F18)))</f>
        <v/>
      </c>
      <c r="Q18" s="60" t="str">
        <f>IF($C18="","",IF($AR18&lt;&gt;"",$AR18,SUMIFS(TblDynatrace[RAM P95 (Go)],TblDynatrace[ID],$C18,TblDynatrace[Environnement],$E18,TblDynatrace[Couloir],$F18)))</f>
        <v/>
      </c>
      <c r="R18" s="26" t="str">
        <f>IF($C18="","",IFERROR(INDEX(TblDynatrace[Métrique / période],MATCH($C18&amp;"|"&amp;$E18&amp;"|"&amp;$F18,TblDynatrace[Clé],0)),""))</f>
        <v/>
      </c>
      <c r="S18" s="60" t="str">
        <f>IF(OR($C18="",NOT(OR($G18="À migrer",$G18="À décommissionner")),$I18="",NOT(ISNUMBER($P18))),"",IF($AO18&lt;&gt;"",$AO18,IFERROR(SUMIFS(TblClusters[CPU initial (vCPU)],TblClusters[Cluster],$I18)*$P18/(SUMIFS(TblApplications[CPU Dynatrace (vCPU)],TblApplications[Cluster IKS source],$I18,TblApplications[Action],"À migrer")+SUMIFS(TblApplications[CPU Dynatrace (vCPU)],TblApplications[Cluster IKS source],$I18,TblApplications[Action],"À décommissionner")),0)))</f>
        <v/>
      </c>
      <c r="T18" s="60" t="str">
        <f>IF(OR($C18="",NOT(OR($G18="À migrer",$G18="À décommissionner")),$I18="",NOT(ISNUMBER($Q18))),"",IF($AP18&lt;&gt;"",$AP18,IFERROR(SUMIFS(TblClusters[RAM initiale (Go)],TblClusters[Cluster],$I18)*$Q18/(SUMIFS(TblApplications[RAM Dynatrace (Go)],TblApplications[Cluster IKS source],$I18,TblApplications[Action],"À migrer")+SUMIFS(TblApplications[RAM Dynatrace (Go)],TblApplications[Cluster IKS source],$I18,TblApplications[Action],"À décommissionner")),0)))</f>
        <v/>
      </c>
      <c r="U18" s="61"/>
      <c r="V18" s="61"/>
      <c r="W18" s="61"/>
      <c r="X18" s="59"/>
      <c r="Y18" s="26" t="str">
        <f t="shared" si="1"/>
        <v/>
      </c>
      <c r="Z18" s="26" t="str">
        <f t="shared" si="2"/>
        <v/>
      </c>
      <c r="AA18" s="33" t="str">
        <f t="shared" si="3"/>
        <v/>
      </c>
      <c r="AB18" s="33" t="str">
        <f t="shared" si="4"/>
        <v/>
      </c>
      <c r="AC18" s="26" t="str">
        <f t="shared" si="5"/>
        <v/>
      </c>
      <c r="AD18" s="26" t="str">
        <f>IF($C18="","",COUNTIF(TblApplications[ID],$C18))</f>
        <v/>
      </c>
      <c r="AE18" s="33" t="str">
        <f>IF($C18="","",IFERROR(1/(1/_xlfn.MINIFS(TblApplications[Mois prov (calc)],TblApplications[ID],$C18)),""))</f>
        <v/>
      </c>
      <c r="AF18" s="33" t="str">
        <f>IF($C18="","",IFERROR(1/(1/_xlfn.MAXIFS(TblApplications[Mois lib (calc)],TblApplications[ID],$C18)),""))</f>
        <v/>
      </c>
      <c r="AG18" s="26" t="str">
        <f>IF($C18="","",IF(OR(OR($A18="",$B18="",$D18="",$E18="",$F18="",$G18=""),AND($G18="À migrer",OR($H18="",$I18="",$O18="",$U18="",$V18="",$W18="")),AND($G18="Migré",OR($O18="")),AND($G18="À décommissionner",OR($I18="",$W18=""))),"Données manquantes (selon l’action)",IF(AND($G18&lt;&gt;"Migré",$G18&lt;&gt;"À migrer",$G18&lt;&gt;"À décommissionner",$G18&lt;&gt;"Décommissionné"),"Action invalide",IF(COUNTIF(TblDomaines[Domaine],$A18)=0,"Domaine inconnu (référentiel)",IF(COUNTIFS(TblTribes[Tribe],$B18,TblTribes[Domaine de la tribe],$A18)=0,"Tribe inconnue ou hors domaine",IF(AND($G18="À migrer",$H18&lt;&gt;"Oui",$H18&lt;&gt;"Non"),"Valeur Oui/Non invalide (Déjà incluse ROKS)",IF(AND($E18&lt;&gt;"PRD",$E18&lt;&gt;"NPRD"),"Environnement invalide",IF(COUNTIFS(TblApplications[ID],$C18,TblApplications[Environnement],$E18,TblApplications[Couloir],$F18)&gt;1,"Déploiement en doublon (ID + env + couloir)",IF(AND(OR(OR($G18="À migrer",$G18="Migré"),OR($G18="À migrer",$G18="À décommissionner")),N($P18)&lt;=0),"Conso Dynatrace absente (onglet Dynatrace)",IF(OR(AND($P18&lt;&gt;"",NOT(ISNUMBER($P18))),AND($Q18&lt;&gt;"",NOT(ISNUMBER($Q18)))),"Ressource non numérique",IF(MIN(N($P18),N($Q18))&lt;0,"Ressource négative",IF(OR(AND($AH18&lt;&gt;"",OR(NOT(ISNUMBER($AH18)),$AH18&lt;0,$AH18&gt;1)),AND($AI18&lt;&gt;"",OR(NOT(ISNUMBER($AI18)),$AI18&lt;0,$AI18&gt;1))),"Marge spécifique invalide (0–100 %)",IF(OR(AND($U18&lt;&gt;"",NOT(ISNUMBER($U18))),AND($V18&lt;&gt;"",NOT(ISNUMBER($V18))),AND($W18&lt;&gt;"",NOT(ISNUMBER($W18)))),"Mois invalide",IF(AND(OR($G18="À migrer",$G18="À décommissionner"),COUNTIFS(TblClusters[Cluster],$I18,TblClusters[Plateforme],"IKS")=0),"Cluster IKS inconnu",IF(AND(OR($G18="À migrer",$G18="Migré"),COUNTIFS(TblClusters[Cluster],$O18,TblClusters[Plateforme],"ROKS")=0),"Cluster ROKS inconnu",IF(AND(OR($G18="À migrer",$G18="À décommissionner"),COUNTIFS(TblClusters[Cluster],$I18,TblClusters[Environnement],$E18)=0),"Environnement ≠ cluster IKS",IF(AND(OR($G18="À migrer",$G18="Migré"),COUNTIFS(TblClusters[Cluster],$O18,TblClusters[Environnement],$E18)=0),"Environnement ≠ cluster ROKS",IF(AND($G18="À migrer",OR($U18&gt;$V18,$V18&gt;$W18)),"Dates incohérentes (prov ≤ bascule ≤ libération)",IF(AND(OR($G18="À migrer",$G18="À décommissionner"),OR(N($AO18)&gt;SUMIFS(TblClusters[CPU initial (vCPU)],TblClusters[Cluster],$I18),N($AP18)&gt;SUMIFS(TblClusters[RAM initiale (Go)],TblClusters[Cluster],$I18))),"Forçage &gt; capacité du cluster source",IF(OR(AND($AA18&lt;&gt;"",$AA18&lt;p_debut),AND($AB18&lt;&gt;"",$AB18&gt;p_fin)),"Hors horizon (info)",IF(AND($G18="À migrer",$E18="PRD",COUNTIFS(TblApplications[ID],$C18,TblApplications[Environnement],"NPRD",TblApplications[Action],"À migrer")&gt;0,$AA18&lt;_xlfn.MINIFS(TblApplications[Mois prov (calc)],TblApplications[ID],$C18,TblApplications[Environnement],"NPRD")),"PRD avant NPRD (info)","OK")))))))))))))))))))))</f>
        <v/>
      </c>
      <c r="AH18" s="62"/>
      <c r="AI18" s="62"/>
      <c r="AJ18" s="27" t="str">
        <f>IF(OR($C18="",NOT(OR($G18="À migrer",$G18="À décommissionner")),NOT(ISNUMBER($S18)),NOT(ISNUMBER($T18)),$AB18=""),"",($S18+p_poidsram*$T18)*SUMIFS(TblCalculs[Coût par unité],TblCalculs[Cluster],$I18,TblCalculs[Mois],"&lt;"&amp;$AB18))</f>
        <v/>
      </c>
      <c r="AK18" s="27" t="str">
        <f>IF($C18="","",IF(AND($G18="À migrer",$H18="Non",$Y18&lt;&gt;"",$AA18&lt;&gt;""),($Y18+p_poidsram*$Z18)*SUMIFS(TblCalculs[Coût par unité],TblCalculs[Cluster],$O18,TblCalculs[Mois],"&gt;="&amp;$AA18),IF(AND($G18="Migré",$Y18&lt;&gt;""),($Y18+p_poidsram*$Z18)*SUMIFS(TblCalculs[Coût par unité],TblCalculs[Cluster],$O18),"")))</f>
        <v/>
      </c>
      <c r="AL18" s="27" t="str">
        <f t="shared" si="6"/>
        <v/>
      </c>
      <c r="AM18" s="26" t="str">
        <f t="shared" si="7"/>
        <v/>
      </c>
      <c r="AN18" s="26" t="str">
        <f>IF(OR($C18="",$AM18&lt;&gt;1,COUNTIFS($E18,ex_envc,$A18,ex_domc,$B18,ex_tric)=0),"",COUNTIFS($AM$6:$AM18,1,$E$6:$E18,ex_envc,$A$6:$A18,ex_domc,$B$6:$B18,ex_tric))</f>
        <v/>
      </c>
      <c r="AO18" s="63"/>
      <c r="AP18" s="63"/>
      <c r="AQ18" s="63"/>
      <c r="AR18" s="63"/>
    </row>
    <row r="19" spans="1:44" x14ac:dyDescent="0.2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26" t="str">
        <f t="shared" si="0"/>
        <v/>
      </c>
      <c r="O19" s="59"/>
      <c r="P19" s="60" t="str">
        <f>IF($C19="","",IF($AQ19&lt;&gt;"",$AQ19,SUMIFS(TblDynatrace[CPU P95 (vCPU)],TblDynatrace[ID],$C19,TblDynatrace[Environnement],$E19,TblDynatrace[Couloir],$F19)))</f>
        <v/>
      </c>
      <c r="Q19" s="60" t="str">
        <f>IF($C19="","",IF($AR19&lt;&gt;"",$AR19,SUMIFS(TblDynatrace[RAM P95 (Go)],TblDynatrace[ID],$C19,TblDynatrace[Environnement],$E19,TblDynatrace[Couloir],$F19)))</f>
        <v/>
      </c>
      <c r="R19" s="26" t="str">
        <f>IF($C19="","",IFERROR(INDEX(TblDynatrace[Métrique / période],MATCH($C19&amp;"|"&amp;$E19&amp;"|"&amp;$F19,TblDynatrace[Clé],0)),""))</f>
        <v/>
      </c>
      <c r="S19" s="60" t="str">
        <f>IF(OR($C19="",NOT(OR($G19="À migrer",$G19="À décommissionner")),$I19="",NOT(ISNUMBER($P19))),"",IF($AO19&lt;&gt;"",$AO19,IFERROR(SUMIFS(TblClusters[CPU initial (vCPU)],TblClusters[Cluster],$I19)*$P19/(SUMIFS(TblApplications[CPU Dynatrace (vCPU)],TblApplications[Cluster IKS source],$I19,TblApplications[Action],"À migrer")+SUMIFS(TblApplications[CPU Dynatrace (vCPU)],TblApplications[Cluster IKS source],$I19,TblApplications[Action],"À décommissionner")),0)))</f>
        <v/>
      </c>
      <c r="T19" s="60" t="str">
        <f>IF(OR($C19="",NOT(OR($G19="À migrer",$G19="À décommissionner")),$I19="",NOT(ISNUMBER($Q19))),"",IF($AP19&lt;&gt;"",$AP19,IFERROR(SUMIFS(TblClusters[RAM initiale (Go)],TblClusters[Cluster],$I19)*$Q19/(SUMIFS(TblApplications[RAM Dynatrace (Go)],TblApplications[Cluster IKS source],$I19,TblApplications[Action],"À migrer")+SUMIFS(TblApplications[RAM Dynatrace (Go)],TblApplications[Cluster IKS source],$I19,TblApplications[Action],"À décommissionner")),0)))</f>
        <v/>
      </c>
      <c r="U19" s="61"/>
      <c r="V19" s="61"/>
      <c r="W19" s="61"/>
      <c r="X19" s="59"/>
      <c r="Y19" s="26" t="str">
        <f t="shared" si="1"/>
        <v/>
      </c>
      <c r="Z19" s="26" t="str">
        <f t="shared" si="2"/>
        <v/>
      </c>
      <c r="AA19" s="33" t="str">
        <f t="shared" si="3"/>
        <v/>
      </c>
      <c r="AB19" s="33" t="str">
        <f t="shared" si="4"/>
        <v/>
      </c>
      <c r="AC19" s="26" t="str">
        <f t="shared" si="5"/>
        <v/>
      </c>
      <c r="AD19" s="26" t="str">
        <f>IF($C19="","",COUNTIF(TblApplications[ID],$C19))</f>
        <v/>
      </c>
      <c r="AE19" s="33" t="str">
        <f>IF($C19="","",IFERROR(1/(1/_xlfn.MINIFS(TblApplications[Mois prov (calc)],TblApplications[ID],$C19)),""))</f>
        <v/>
      </c>
      <c r="AF19" s="33" t="str">
        <f>IF($C19="","",IFERROR(1/(1/_xlfn.MAXIFS(TblApplications[Mois lib (calc)],TblApplications[ID],$C19)),""))</f>
        <v/>
      </c>
      <c r="AG19" s="26" t="str">
        <f>IF($C19="","",IF(OR(OR($A19="",$B19="",$D19="",$E19="",$F19="",$G19=""),AND($G19="À migrer",OR($H19="",$I19="",$O19="",$U19="",$V19="",$W19="")),AND($G19="Migré",OR($O19="")),AND($G19="À décommissionner",OR($I19="",$W19=""))),"Données manquantes (selon l’action)",IF(AND($G19&lt;&gt;"Migré",$G19&lt;&gt;"À migrer",$G19&lt;&gt;"À décommissionner",$G19&lt;&gt;"Décommissionné"),"Action invalide",IF(COUNTIF(TblDomaines[Domaine],$A19)=0,"Domaine inconnu (référentiel)",IF(COUNTIFS(TblTribes[Tribe],$B19,TblTribes[Domaine de la tribe],$A19)=0,"Tribe inconnue ou hors domaine",IF(AND($G19="À migrer",$H19&lt;&gt;"Oui",$H19&lt;&gt;"Non"),"Valeur Oui/Non invalide (Déjà incluse ROKS)",IF(AND($E19&lt;&gt;"PRD",$E19&lt;&gt;"NPRD"),"Environnement invalide",IF(COUNTIFS(TblApplications[ID],$C19,TblApplications[Environnement],$E19,TblApplications[Couloir],$F19)&gt;1,"Déploiement en doublon (ID + env + couloir)",IF(AND(OR(OR($G19="À migrer",$G19="Migré"),OR($G19="À migrer",$G19="À décommissionner")),N($P19)&lt;=0),"Conso Dynatrace absente (onglet Dynatrace)",IF(OR(AND($P19&lt;&gt;"",NOT(ISNUMBER($P19))),AND($Q19&lt;&gt;"",NOT(ISNUMBER($Q19)))),"Ressource non numérique",IF(MIN(N($P19),N($Q19))&lt;0,"Ressource négative",IF(OR(AND($AH19&lt;&gt;"",OR(NOT(ISNUMBER($AH19)),$AH19&lt;0,$AH19&gt;1)),AND($AI19&lt;&gt;"",OR(NOT(ISNUMBER($AI19)),$AI19&lt;0,$AI19&gt;1))),"Marge spécifique invalide (0–100 %)",IF(OR(AND($U19&lt;&gt;"",NOT(ISNUMBER($U19))),AND($V19&lt;&gt;"",NOT(ISNUMBER($V19))),AND($W19&lt;&gt;"",NOT(ISNUMBER($W19)))),"Mois invalide",IF(AND(OR($G19="À migrer",$G19="À décommissionner"),COUNTIFS(TblClusters[Cluster],$I19,TblClusters[Plateforme],"IKS")=0),"Cluster IKS inconnu",IF(AND(OR($G19="À migrer",$G19="Migré"),COUNTIFS(TblClusters[Cluster],$O19,TblClusters[Plateforme],"ROKS")=0),"Cluster ROKS inconnu",IF(AND(OR($G19="À migrer",$G19="À décommissionner"),COUNTIFS(TblClusters[Cluster],$I19,TblClusters[Environnement],$E19)=0),"Environnement ≠ cluster IKS",IF(AND(OR($G19="À migrer",$G19="Migré"),COUNTIFS(TblClusters[Cluster],$O19,TblClusters[Environnement],$E19)=0),"Environnement ≠ cluster ROKS",IF(AND($G19="À migrer",OR($U19&gt;$V19,$V19&gt;$W19)),"Dates incohérentes (prov ≤ bascule ≤ libération)",IF(AND(OR($G19="À migrer",$G19="À décommissionner"),OR(N($AO19)&gt;SUMIFS(TblClusters[CPU initial (vCPU)],TblClusters[Cluster],$I19),N($AP19)&gt;SUMIFS(TblClusters[RAM initiale (Go)],TblClusters[Cluster],$I19))),"Forçage &gt; capacité du cluster source",IF(OR(AND($AA19&lt;&gt;"",$AA19&lt;p_debut),AND($AB19&lt;&gt;"",$AB19&gt;p_fin)),"Hors horizon (info)",IF(AND($G19="À migrer",$E19="PRD",COUNTIFS(TblApplications[ID],$C19,TblApplications[Environnement],"NPRD",TblApplications[Action],"À migrer")&gt;0,$AA19&lt;_xlfn.MINIFS(TblApplications[Mois prov (calc)],TblApplications[ID],$C19,TblApplications[Environnement],"NPRD")),"PRD avant NPRD (info)","OK")))))))))))))))))))))</f>
        <v/>
      </c>
      <c r="AH19" s="62"/>
      <c r="AI19" s="62"/>
      <c r="AJ19" s="27" t="str">
        <f>IF(OR($C19="",NOT(OR($G19="À migrer",$G19="À décommissionner")),NOT(ISNUMBER($S19)),NOT(ISNUMBER($T19)),$AB19=""),"",($S19+p_poidsram*$T19)*SUMIFS(TblCalculs[Coût par unité],TblCalculs[Cluster],$I19,TblCalculs[Mois],"&lt;"&amp;$AB19))</f>
        <v/>
      </c>
      <c r="AK19" s="27" t="str">
        <f>IF($C19="","",IF(AND($G19="À migrer",$H19="Non",$Y19&lt;&gt;"",$AA19&lt;&gt;""),($Y19+p_poidsram*$Z19)*SUMIFS(TblCalculs[Coût par unité],TblCalculs[Cluster],$O19,TblCalculs[Mois],"&gt;="&amp;$AA19),IF(AND($G19="Migré",$Y19&lt;&gt;""),($Y19+p_poidsram*$Z19)*SUMIFS(TblCalculs[Coût par unité],TblCalculs[Cluster],$O19),"")))</f>
        <v/>
      </c>
      <c r="AL19" s="27" t="str">
        <f t="shared" si="6"/>
        <v/>
      </c>
      <c r="AM19" s="26" t="str">
        <f t="shared" si="7"/>
        <v/>
      </c>
      <c r="AN19" s="26" t="str">
        <f>IF(OR($C19="",$AM19&lt;&gt;1,COUNTIFS($E19,ex_envc,$A19,ex_domc,$B19,ex_tric)=0),"",COUNTIFS($AM$6:$AM19,1,$E$6:$E19,ex_envc,$A$6:$A19,ex_domc,$B$6:$B19,ex_tric))</f>
        <v/>
      </c>
      <c r="AO19" s="63"/>
      <c r="AP19" s="63"/>
      <c r="AQ19" s="63"/>
      <c r="AR19" s="63"/>
    </row>
    <row r="20" spans="1:44" x14ac:dyDescent="0.2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26" t="str">
        <f t="shared" si="0"/>
        <v/>
      </c>
      <c r="O20" s="59"/>
      <c r="P20" s="60" t="str">
        <f>IF($C20="","",IF($AQ20&lt;&gt;"",$AQ20,SUMIFS(TblDynatrace[CPU P95 (vCPU)],TblDynatrace[ID],$C20,TblDynatrace[Environnement],$E20,TblDynatrace[Couloir],$F20)))</f>
        <v/>
      </c>
      <c r="Q20" s="60" t="str">
        <f>IF($C20="","",IF($AR20&lt;&gt;"",$AR20,SUMIFS(TblDynatrace[RAM P95 (Go)],TblDynatrace[ID],$C20,TblDynatrace[Environnement],$E20,TblDynatrace[Couloir],$F20)))</f>
        <v/>
      </c>
      <c r="R20" s="26" t="str">
        <f>IF($C20="","",IFERROR(INDEX(TblDynatrace[Métrique / période],MATCH($C20&amp;"|"&amp;$E20&amp;"|"&amp;$F20,TblDynatrace[Clé],0)),""))</f>
        <v/>
      </c>
      <c r="S20" s="60" t="str">
        <f>IF(OR($C20="",NOT(OR($G20="À migrer",$G20="À décommissionner")),$I20="",NOT(ISNUMBER($P20))),"",IF($AO20&lt;&gt;"",$AO20,IFERROR(SUMIFS(TblClusters[CPU initial (vCPU)],TblClusters[Cluster],$I20)*$P20/(SUMIFS(TblApplications[CPU Dynatrace (vCPU)],TblApplications[Cluster IKS source],$I20,TblApplications[Action],"À migrer")+SUMIFS(TblApplications[CPU Dynatrace (vCPU)],TblApplications[Cluster IKS source],$I20,TblApplications[Action],"À décommissionner")),0)))</f>
        <v/>
      </c>
      <c r="T20" s="60" t="str">
        <f>IF(OR($C20="",NOT(OR($G20="À migrer",$G20="À décommissionner")),$I20="",NOT(ISNUMBER($Q20))),"",IF($AP20&lt;&gt;"",$AP20,IFERROR(SUMIFS(TblClusters[RAM initiale (Go)],TblClusters[Cluster],$I20)*$Q20/(SUMIFS(TblApplications[RAM Dynatrace (Go)],TblApplications[Cluster IKS source],$I20,TblApplications[Action],"À migrer")+SUMIFS(TblApplications[RAM Dynatrace (Go)],TblApplications[Cluster IKS source],$I20,TblApplications[Action],"À décommissionner")),0)))</f>
        <v/>
      </c>
      <c r="U20" s="61"/>
      <c r="V20" s="61"/>
      <c r="W20" s="61"/>
      <c r="X20" s="59"/>
      <c r="Y20" s="26" t="str">
        <f t="shared" si="1"/>
        <v/>
      </c>
      <c r="Z20" s="26" t="str">
        <f t="shared" si="2"/>
        <v/>
      </c>
      <c r="AA20" s="33" t="str">
        <f t="shared" si="3"/>
        <v/>
      </c>
      <c r="AB20" s="33" t="str">
        <f t="shared" si="4"/>
        <v/>
      </c>
      <c r="AC20" s="26" t="str">
        <f t="shared" si="5"/>
        <v/>
      </c>
      <c r="AD20" s="26" t="str">
        <f>IF($C20="","",COUNTIF(TblApplications[ID],$C20))</f>
        <v/>
      </c>
      <c r="AE20" s="33" t="str">
        <f>IF($C20="","",IFERROR(1/(1/_xlfn.MINIFS(TblApplications[Mois prov (calc)],TblApplications[ID],$C20)),""))</f>
        <v/>
      </c>
      <c r="AF20" s="33" t="str">
        <f>IF($C20="","",IFERROR(1/(1/_xlfn.MAXIFS(TblApplications[Mois lib (calc)],TblApplications[ID],$C20)),""))</f>
        <v/>
      </c>
      <c r="AG20" s="26" t="str">
        <f>IF($C20="","",IF(OR(OR($A20="",$B20="",$D20="",$E20="",$F20="",$G20=""),AND($G20="À migrer",OR($H20="",$I20="",$O20="",$U20="",$V20="",$W20="")),AND($G20="Migré",OR($O20="")),AND($G20="À décommissionner",OR($I20="",$W20=""))),"Données manquantes (selon l’action)",IF(AND($G20&lt;&gt;"Migré",$G20&lt;&gt;"À migrer",$G20&lt;&gt;"À décommissionner",$G20&lt;&gt;"Décommissionné"),"Action invalide",IF(COUNTIF(TblDomaines[Domaine],$A20)=0,"Domaine inconnu (référentiel)",IF(COUNTIFS(TblTribes[Tribe],$B20,TblTribes[Domaine de la tribe],$A20)=0,"Tribe inconnue ou hors domaine",IF(AND($G20="À migrer",$H20&lt;&gt;"Oui",$H20&lt;&gt;"Non"),"Valeur Oui/Non invalide (Déjà incluse ROKS)",IF(AND($E20&lt;&gt;"PRD",$E20&lt;&gt;"NPRD"),"Environnement invalide",IF(COUNTIFS(TblApplications[ID],$C20,TblApplications[Environnement],$E20,TblApplications[Couloir],$F20)&gt;1,"Déploiement en doublon (ID + env + couloir)",IF(AND(OR(OR($G20="À migrer",$G20="Migré"),OR($G20="À migrer",$G20="À décommissionner")),N($P20)&lt;=0),"Conso Dynatrace absente (onglet Dynatrace)",IF(OR(AND($P20&lt;&gt;"",NOT(ISNUMBER($P20))),AND($Q20&lt;&gt;"",NOT(ISNUMBER($Q20)))),"Ressource non numérique",IF(MIN(N($P20),N($Q20))&lt;0,"Ressource négative",IF(OR(AND($AH20&lt;&gt;"",OR(NOT(ISNUMBER($AH20)),$AH20&lt;0,$AH20&gt;1)),AND($AI20&lt;&gt;"",OR(NOT(ISNUMBER($AI20)),$AI20&lt;0,$AI20&gt;1))),"Marge spécifique invalide (0–100 %)",IF(OR(AND($U20&lt;&gt;"",NOT(ISNUMBER($U20))),AND($V20&lt;&gt;"",NOT(ISNUMBER($V20))),AND($W20&lt;&gt;"",NOT(ISNUMBER($W20)))),"Mois invalide",IF(AND(OR($G20="À migrer",$G20="À décommissionner"),COUNTIFS(TblClusters[Cluster],$I20,TblClusters[Plateforme],"IKS")=0),"Cluster IKS inconnu",IF(AND(OR($G20="À migrer",$G20="Migré"),COUNTIFS(TblClusters[Cluster],$O20,TblClusters[Plateforme],"ROKS")=0),"Cluster ROKS inconnu",IF(AND(OR($G20="À migrer",$G20="À décommissionner"),COUNTIFS(TblClusters[Cluster],$I20,TblClusters[Environnement],$E20)=0),"Environnement ≠ cluster IKS",IF(AND(OR($G20="À migrer",$G20="Migré"),COUNTIFS(TblClusters[Cluster],$O20,TblClusters[Environnement],$E20)=0),"Environnement ≠ cluster ROKS",IF(AND($G20="À migrer",OR($U20&gt;$V20,$V20&gt;$W20)),"Dates incohérentes (prov ≤ bascule ≤ libération)",IF(AND(OR($G20="À migrer",$G20="À décommissionner"),OR(N($AO20)&gt;SUMIFS(TblClusters[CPU initial (vCPU)],TblClusters[Cluster],$I20),N($AP20)&gt;SUMIFS(TblClusters[RAM initiale (Go)],TblClusters[Cluster],$I20))),"Forçage &gt; capacité du cluster source",IF(OR(AND($AA20&lt;&gt;"",$AA20&lt;p_debut),AND($AB20&lt;&gt;"",$AB20&gt;p_fin)),"Hors horizon (info)",IF(AND($G20="À migrer",$E20="PRD",COUNTIFS(TblApplications[ID],$C20,TblApplications[Environnement],"NPRD",TblApplications[Action],"À migrer")&gt;0,$AA20&lt;_xlfn.MINIFS(TblApplications[Mois prov (calc)],TblApplications[ID],$C20,TblApplications[Environnement],"NPRD")),"PRD avant NPRD (info)","OK")))))))))))))))))))))</f>
        <v/>
      </c>
      <c r="AH20" s="62"/>
      <c r="AI20" s="62"/>
      <c r="AJ20" s="27" t="str">
        <f>IF(OR($C20="",NOT(OR($G20="À migrer",$G20="À décommissionner")),NOT(ISNUMBER($S20)),NOT(ISNUMBER($T20)),$AB20=""),"",($S20+p_poidsram*$T20)*SUMIFS(TblCalculs[Coût par unité],TblCalculs[Cluster],$I20,TblCalculs[Mois],"&lt;"&amp;$AB20))</f>
        <v/>
      </c>
      <c r="AK20" s="27" t="str">
        <f>IF($C20="","",IF(AND($G20="À migrer",$H20="Non",$Y20&lt;&gt;"",$AA20&lt;&gt;""),($Y20+p_poidsram*$Z20)*SUMIFS(TblCalculs[Coût par unité],TblCalculs[Cluster],$O20,TblCalculs[Mois],"&gt;="&amp;$AA20),IF(AND($G20="Migré",$Y20&lt;&gt;""),($Y20+p_poidsram*$Z20)*SUMIFS(TblCalculs[Coût par unité],TblCalculs[Cluster],$O20),"")))</f>
        <v/>
      </c>
      <c r="AL20" s="27" t="str">
        <f t="shared" si="6"/>
        <v/>
      </c>
      <c r="AM20" s="26" t="str">
        <f t="shared" si="7"/>
        <v/>
      </c>
      <c r="AN20" s="26" t="str">
        <f>IF(OR($C20="",$AM20&lt;&gt;1,COUNTIFS($E20,ex_envc,$A20,ex_domc,$B20,ex_tric)=0),"",COUNTIFS($AM$6:$AM20,1,$E$6:$E20,ex_envc,$A$6:$A20,ex_domc,$B$6:$B20,ex_tric))</f>
        <v/>
      </c>
      <c r="AO20" s="63"/>
      <c r="AP20" s="63"/>
      <c r="AQ20" s="63"/>
      <c r="AR20" s="63"/>
    </row>
    <row r="21" spans="1:44" x14ac:dyDescent="0.2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26" t="str">
        <f t="shared" si="0"/>
        <v/>
      </c>
      <c r="O21" s="59"/>
      <c r="P21" s="60" t="str">
        <f>IF($C21="","",IF($AQ21&lt;&gt;"",$AQ21,SUMIFS(TblDynatrace[CPU P95 (vCPU)],TblDynatrace[ID],$C21,TblDynatrace[Environnement],$E21,TblDynatrace[Couloir],$F21)))</f>
        <v/>
      </c>
      <c r="Q21" s="60" t="str">
        <f>IF($C21="","",IF($AR21&lt;&gt;"",$AR21,SUMIFS(TblDynatrace[RAM P95 (Go)],TblDynatrace[ID],$C21,TblDynatrace[Environnement],$E21,TblDynatrace[Couloir],$F21)))</f>
        <v/>
      </c>
      <c r="R21" s="26" t="str">
        <f>IF($C21="","",IFERROR(INDEX(TblDynatrace[Métrique / période],MATCH($C21&amp;"|"&amp;$E21&amp;"|"&amp;$F21,TblDynatrace[Clé],0)),""))</f>
        <v/>
      </c>
      <c r="S21" s="60" t="str">
        <f>IF(OR($C21="",NOT(OR($G21="À migrer",$G21="À décommissionner")),$I21="",NOT(ISNUMBER($P21))),"",IF($AO21&lt;&gt;"",$AO21,IFERROR(SUMIFS(TblClusters[CPU initial (vCPU)],TblClusters[Cluster],$I21)*$P21/(SUMIFS(TblApplications[CPU Dynatrace (vCPU)],TblApplications[Cluster IKS source],$I21,TblApplications[Action],"À migrer")+SUMIFS(TblApplications[CPU Dynatrace (vCPU)],TblApplications[Cluster IKS source],$I21,TblApplications[Action],"À décommissionner")),0)))</f>
        <v/>
      </c>
      <c r="T21" s="60" t="str">
        <f>IF(OR($C21="",NOT(OR($G21="À migrer",$G21="À décommissionner")),$I21="",NOT(ISNUMBER($Q21))),"",IF($AP21&lt;&gt;"",$AP21,IFERROR(SUMIFS(TblClusters[RAM initiale (Go)],TblClusters[Cluster],$I21)*$Q21/(SUMIFS(TblApplications[RAM Dynatrace (Go)],TblApplications[Cluster IKS source],$I21,TblApplications[Action],"À migrer")+SUMIFS(TblApplications[RAM Dynatrace (Go)],TblApplications[Cluster IKS source],$I21,TblApplications[Action],"À décommissionner")),0)))</f>
        <v/>
      </c>
      <c r="U21" s="61"/>
      <c r="V21" s="61"/>
      <c r="W21" s="61"/>
      <c r="X21" s="59"/>
      <c r="Y21" s="26" t="str">
        <f t="shared" si="1"/>
        <v/>
      </c>
      <c r="Z21" s="26" t="str">
        <f t="shared" si="2"/>
        <v/>
      </c>
      <c r="AA21" s="33" t="str">
        <f t="shared" si="3"/>
        <v/>
      </c>
      <c r="AB21" s="33" t="str">
        <f t="shared" si="4"/>
        <v/>
      </c>
      <c r="AC21" s="26" t="str">
        <f t="shared" si="5"/>
        <v/>
      </c>
      <c r="AD21" s="26" t="str">
        <f>IF($C21="","",COUNTIF(TblApplications[ID],$C21))</f>
        <v/>
      </c>
      <c r="AE21" s="33" t="str">
        <f>IF($C21="","",IFERROR(1/(1/_xlfn.MINIFS(TblApplications[Mois prov (calc)],TblApplications[ID],$C21)),""))</f>
        <v/>
      </c>
      <c r="AF21" s="33" t="str">
        <f>IF($C21="","",IFERROR(1/(1/_xlfn.MAXIFS(TblApplications[Mois lib (calc)],TblApplications[ID],$C21)),""))</f>
        <v/>
      </c>
      <c r="AG21" s="26" t="str">
        <f>IF($C21="","",IF(OR(OR($A21="",$B21="",$D21="",$E21="",$F21="",$G21=""),AND($G21="À migrer",OR($H21="",$I21="",$O21="",$U21="",$V21="",$W21="")),AND($G21="Migré",OR($O21="")),AND($G21="À décommissionner",OR($I21="",$W21=""))),"Données manquantes (selon l’action)",IF(AND($G21&lt;&gt;"Migré",$G21&lt;&gt;"À migrer",$G21&lt;&gt;"À décommissionner",$G21&lt;&gt;"Décommissionné"),"Action invalide",IF(COUNTIF(TblDomaines[Domaine],$A21)=0,"Domaine inconnu (référentiel)",IF(COUNTIFS(TblTribes[Tribe],$B21,TblTribes[Domaine de la tribe],$A21)=0,"Tribe inconnue ou hors domaine",IF(AND($G21="À migrer",$H21&lt;&gt;"Oui",$H21&lt;&gt;"Non"),"Valeur Oui/Non invalide (Déjà incluse ROKS)",IF(AND($E21&lt;&gt;"PRD",$E21&lt;&gt;"NPRD"),"Environnement invalide",IF(COUNTIFS(TblApplications[ID],$C21,TblApplications[Environnement],$E21,TblApplications[Couloir],$F21)&gt;1,"Déploiement en doublon (ID + env + couloir)",IF(AND(OR(OR($G21="À migrer",$G21="Migré"),OR($G21="À migrer",$G21="À décommissionner")),N($P21)&lt;=0),"Conso Dynatrace absente (onglet Dynatrace)",IF(OR(AND($P21&lt;&gt;"",NOT(ISNUMBER($P21))),AND($Q21&lt;&gt;"",NOT(ISNUMBER($Q21)))),"Ressource non numérique",IF(MIN(N($P21),N($Q21))&lt;0,"Ressource négative",IF(OR(AND($AH21&lt;&gt;"",OR(NOT(ISNUMBER($AH21)),$AH21&lt;0,$AH21&gt;1)),AND($AI21&lt;&gt;"",OR(NOT(ISNUMBER($AI21)),$AI21&lt;0,$AI21&gt;1))),"Marge spécifique invalide (0–100 %)",IF(OR(AND($U21&lt;&gt;"",NOT(ISNUMBER($U21))),AND($V21&lt;&gt;"",NOT(ISNUMBER($V21))),AND($W21&lt;&gt;"",NOT(ISNUMBER($W21)))),"Mois invalide",IF(AND(OR($G21="À migrer",$G21="À décommissionner"),COUNTIFS(TblClusters[Cluster],$I21,TblClusters[Plateforme],"IKS")=0),"Cluster IKS inconnu",IF(AND(OR($G21="À migrer",$G21="Migré"),COUNTIFS(TblClusters[Cluster],$O21,TblClusters[Plateforme],"ROKS")=0),"Cluster ROKS inconnu",IF(AND(OR($G21="À migrer",$G21="À décommissionner"),COUNTIFS(TblClusters[Cluster],$I21,TblClusters[Environnement],$E21)=0),"Environnement ≠ cluster IKS",IF(AND(OR($G21="À migrer",$G21="Migré"),COUNTIFS(TblClusters[Cluster],$O21,TblClusters[Environnement],$E21)=0),"Environnement ≠ cluster ROKS",IF(AND($G21="À migrer",OR($U21&gt;$V21,$V21&gt;$W21)),"Dates incohérentes (prov ≤ bascule ≤ libération)",IF(AND(OR($G21="À migrer",$G21="À décommissionner"),OR(N($AO21)&gt;SUMIFS(TblClusters[CPU initial (vCPU)],TblClusters[Cluster],$I21),N($AP21)&gt;SUMIFS(TblClusters[RAM initiale (Go)],TblClusters[Cluster],$I21))),"Forçage &gt; capacité du cluster source",IF(OR(AND($AA21&lt;&gt;"",$AA21&lt;p_debut),AND($AB21&lt;&gt;"",$AB21&gt;p_fin)),"Hors horizon (info)",IF(AND($G21="À migrer",$E21="PRD",COUNTIFS(TblApplications[ID],$C21,TblApplications[Environnement],"NPRD",TblApplications[Action],"À migrer")&gt;0,$AA21&lt;_xlfn.MINIFS(TblApplications[Mois prov (calc)],TblApplications[ID],$C21,TblApplications[Environnement],"NPRD")),"PRD avant NPRD (info)","OK")))))))))))))))))))))</f>
        <v/>
      </c>
      <c r="AH21" s="62"/>
      <c r="AI21" s="62"/>
      <c r="AJ21" s="27" t="str">
        <f>IF(OR($C21="",NOT(OR($G21="À migrer",$G21="À décommissionner")),NOT(ISNUMBER($S21)),NOT(ISNUMBER($T21)),$AB21=""),"",($S21+p_poidsram*$T21)*SUMIFS(TblCalculs[Coût par unité],TblCalculs[Cluster],$I21,TblCalculs[Mois],"&lt;"&amp;$AB21))</f>
        <v/>
      </c>
      <c r="AK21" s="27" t="str">
        <f>IF($C21="","",IF(AND($G21="À migrer",$H21="Non",$Y21&lt;&gt;"",$AA21&lt;&gt;""),($Y21+p_poidsram*$Z21)*SUMIFS(TblCalculs[Coût par unité],TblCalculs[Cluster],$O21,TblCalculs[Mois],"&gt;="&amp;$AA21),IF(AND($G21="Migré",$Y21&lt;&gt;""),($Y21+p_poidsram*$Z21)*SUMIFS(TblCalculs[Coût par unité],TblCalculs[Cluster],$O21),"")))</f>
        <v/>
      </c>
      <c r="AL21" s="27" t="str">
        <f t="shared" si="6"/>
        <v/>
      </c>
      <c r="AM21" s="26" t="str">
        <f t="shared" si="7"/>
        <v/>
      </c>
      <c r="AN21" s="26" t="str">
        <f>IF(OR($C21="",$AM21&lt;&gt;1,COUNTIFS($E21,ex_envc,$A21,ex_domc,$B21,ex_tric)=0),"",COUNTIFS($AM$6:$AM21,1,$E$6:$E21,ex_envc,$A$6:$A21,ex_domc,$B$6:$B21,ex_tric))</f>
        <v/>
      </c>
      <c r="AO21" s="63"/>
      <c r="AP21" s="63"/>
      <c r="AQ21" s="63"/>
      <c r="AR21" s="63"/>
    </row>
    <row r="22" spans="1:44" x14ac:dyDescent="0.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26" t="str">
        <f t="shared" si="0"/>
        <v/>
      </c>
      <c r="O22" s="59"/>
      <c r="P22" s="60" t="str">
        <f>IF($C22="","",IF($AQ22&lt;&gt;"",$AQ22,SUMIFS(TblDynatrace[CPU P95 (vCPU)],TblDynatrace[ID],$C22,TblDynatrace[Environnement],$E22,TblDynatrace[Couloir],$F22)))</f>
        <v/>
      </c>
      <c r="Q22" s="60" t="str">
        <f>IF($C22="","",IF($AR22&lt;&gt;"",$AR22,SUMIFS(TblDynatrace[RAM P95 (Go)],TblDynatrace[ID],$C22,TblDynatrace[Environnement],$E22,TblDynatrace[Couloir],$F22)))</f>
        <v/>
      </c>
      <c r="R22" s="26" t="str">
        <f>IF($C22="","",IFERROR(INDEX(TblDynatrace[Métrique / période],MATCH($C22&amp;"|"&amp;$E22&amp;"|"&amp;$F22,TblDynatrace[Clé],0)),""))</f>
        <v/>
      </c>
      <c r="S22" s="60" t="str">
        <f>IF(OR($C22="",NOT(OR($G22="À migrer",$G22="À décommissionner")),$I22="",NOT(ISNUMBER($P22))),"",IF($AO22&lt;&gt;"",$AO22,IFERROR(SUMIFS(TblClusters[CPU initial (vCPU)],TblClusters[Cluster],$I22)*$P22/(SUMIFS(TblApplications[CPU Dynatrace (vCPU)],TblApplications[Cluster IKS source],$I22,TblApplications[Action],"À migrer")+SUMIFS(TblApplications[CPU Dynatrace (vCPU)],TblApplications[Cluster IKS source],$I22,TblApplications[Action],"À décommissionner")),0)))</f>
        <v/>
      </c>
      <c r="T22" s="60" t="str">
        <f>IF(OR($C22="",NOT(OR($G22="À migrer",$G22="À décommissionner")),$I22="",NOT(ISNUMBER($Q22))),"",IF($AP22&lt;&gt;"",$AP22,IFERROR(SUMIFS(TblClusters[RAM initiale (Go)],TblClusters[Cluster],$I22)*$Q22/(SUMIFS(TblApplications[RAM Dynatrace (Go)],TblApplications[Cluster IKS source],$I22,TblApplications[Action],"À migrer")+SUMIFS(TblApplications[RAM Dynatrace (Go)],TblApplications[Cluster IKS source],$I22,TblApplications[Action],"À décommissionner")),0)))</f>
        <v/>
      </c>
      <c r="U22" s="61"/>
      <c r="V22" s="61"/>
      <c r="W22" s="61"/>
      <c r="X22" s="59"/>
      <c r="Y22" s="26" t="str">
        <f t="shared" si="1"/>
        <v/>
      </c>
      <c r="Z22" s="26" t="str">
        <f t="shared" si="2"/>
        <v/>
      </c>
      <c r="AA22" s="33" t="str">
        <f t="shared" si="3"/>
        <v/>
      </c>
      <c r="AB22" s="33" t="str">
        <f t="shared" si="4"/>
        <v/>
      </c>
      <c r="AC22" s="26" t="str">
        <f t="shared" si="5"/>
        <v/>
      </c>
      <c r="AD22" s="26" t="str">
        <f>IF($C22="","",COUNTIF(TblApplications[ID],$C22))</f>
        <v/>
      </c>
      <c r="AE22" s="33" t="str">
        <f>IF($C22="","",IFERROR(1/(1/_xlfn.MINIFS(TblApplications[Mois prov (calc)],TblApplications[ID],$C22)),""))</f>
        <v/>
      </c>
      <c r="AF22" s="33" t="str">
        <f>IF($C22="","",IFERROR(1/(1/_xlfn.MAXIFS(TblApplications[Mois lib (calc)],TblApplications[ID],$C22)),""))</f>
        <v/>
      </c>
      <c r="AG22" s="26" t="str">
        <f>IF($C22="","",IF(OR(OR($A22="",$B22="",$D22="",$E22="",$F22="",$G22=""),AND($G22="À migrer",OR($H22="",$I22="",$O22="",$U22="",$V22="",$W22="")),AND($G22="Migré",OR($O22="")),AND($G22="À décommissionner",OR($I22="",$W22=""))),"Données manquantes (selon l’action)",IF(AND($G22&lt;&gt;"Migré",$G22&lt;&gt;"À migrer",$G22&lt;&gt;"À décommissionner",$G22&lt;&gt;"Décommissionné"),"Action invalide",IF(COUNTIF(TblDomaines[Domaine],$A22)=0,"Domaine inconnu (référentiel)",IF(COUNTIFS(TblTribes[Tribe],$B22,TblTribes[Domaine de la tribe],$A22)=0,"Tribe inconnue ou hors domaine",IF(AND($G22="À migrer",$H22&lt;&gt;"Oui",$H22&lt;&gt;"Non"),"Valeur Oui/Non invalide (Déjà incluse ROKS)",IF(AND($E22&lt;&gt;"PRD",$E22&lt;&gt;"NPRD"),"Environnement invalide",IF(COUNTIFS(TblApplications[ID],$C22,TblApplications[Environnement],$E22,TblApplications[Couloir],$F22)&gt;1,"Déploiement en doublon (ID + env + couloir)",IF(AND(OR(OR($G22="À migrer",$G22="Migré"),OR($G22="À migrer",$G22="À décommissionner")),N($P22)&lt;=0),"Conso Dynatrace absente (onglet Dynatrace)",IF(OR(AND($P22&lt;&gt;"",NOT(ISNUMBER($P22))),AND($Q22&lt;&gt;"",NOT(ISNUMBER($Q22)))),"Ressource non numérique",IF(MIN(N($P22),N($Q22))&lt;0,"Ressource négative",IF(OR(AND($AH22&lt;&gt;"",OR(NOT(ISNUMBER($AH22)),$AH22&lt;0,$AH22&gt;1)),AND($AI22&lt;&gt;"",OR(NOT(ISNUMBER($AI22)),$AI22&lt;0,$AI22&gt;1))),"Marge spécifique invalide (0–100 %)",IF(OR(AND($U22&lt;&gt;"",NOT(ISNUMBER($U22))),AND($V22&lt;&gt;"",NOT(ISNUMBER($V22))),AND($W22&lt;&gt;"",NOT(ISNUMBER($W22)))),"Mois invalide",IF(AND(OR($G22="À migrer",$G22="À décommissionner"),COUNTIFS(TblClusters[Cluster],$I22,TblClusters[Plateforme],"IKS")=0),"Cluster IKS inconnu",IF(AND(OR($G22="À migrer",$G22="Migré"),COUNTIFS(TblClusters[Cluster],$O22,TblClusters[Plateforme],"ROKS")=0),"Cluster ROKS inconnu",IF(AND(OR($G22="À migrer",$G22="À décommissionner"),COUNTIFS(TblClusters[Cluster],$I22,TblClusters[Environnement],$E22)=0),"Environnement ≠ cluster IKS",IF(AND(OR($G22="À migrer",$G22="Migré"),COUNTIFS(TblClusters[Cluster],$O22,TblClusters[Environnement],$E22)=0),"Environnement ≠ cluster ROKS",IF(AND($G22="À migrer",OR($U22&gt;$V22,$V22&gt;$W22)),"Dates incohérentes (prov ≤ bascule ≤ libération)",IF(AND(OR($G22="À migrer",$G22="À décommissionner"),OR(N($AO22)&gt;SUMIFS(TblClusters[CPU initial (vCPU)],TblClusters[Cluster],$I22),N($AP22)&gt;SUMIFS(TblClusters[RAM initiale (Go)],TblClusters[Cluster],$I22))),"Forçage &gt; capacité du cluster source",IF(OR(AND($AA22&lt;&gt;"",$AA22&lt;p_debut),AND($AB22&lt;&gt;"",$AB22&gt;p_fin)),"Hors horizon (info)",IF(AND($G22="À migrer",$E22="PRD",COUNTIFS(TblApplications[ID],$C22,TblApplications[Environnement],"NPRD",TblApplications[Action],"À migrer")&gt;0,$AA22&lt;_xlfn.MINIFS(TblApplications[Mois prov (calc)],TblApplications[ID],$C22,TblApplications[Environnement],"NPRD")),"PRD avant NPRD (info)","OK")))))))))))))))))))))</f>
        <v/>
      </c>
      <c r="AH22" s="62"/>
      <c r="AI22" s="62"/>
      <c r="AJ22" s="27" t="str">
        <f>IF(OR($C22="",NOT(OR($G22="À migrer",$G22="À décommissionner")),NOT(ISNUMBER($S22)),NOT(ISNUMBER($T22)),$AB22=""),"",($S22+p_poidsram*$T22)*SUMIFS(TblCalculs[Coût par unité],TblCalculs[Cluster],$I22,TblCalculs[Mois],"&lt;"&amp;$AB22))</f>
        <v/>
      </c>
      <c r="AK22" s="27" t="str">
        <f>IF($C22="","",IF(AND($G22="À migrer",$H22="Non",$Y22&lt;&gt;"",$AA22&lt;&gt;""),($Y22+p_poidsram*$Z22)*SUMIFS(TblCalculs[Coût par unité],TblCalculs[Cluster],$O22,TblCalculs[Mois],"&gt;="&amp;$AA22),IF(AND($G22="Migré",$Y22&lt;&gt;""),($Y22+p_poidsram*$Z22)*SUMIFS(TblCalculs[Coût par unité],TblCalculs[Cluster],$O22),"")))</f>
        <v/>
      </c>
      <c r="AL22" s="27" t="str">
        <f t="shared" si="6"/>
        <v/>
      </c>
      <c r="AM22" s="26" t="str">
        <f t="shared" si="7"/>
        <v/>
      </c>
      <c r="AN22" s="26" t="str">
        <f>IF(OR($C22="",$AM22&lt;&gt;1,COUNTIFS($E22,ex_envc,$A22,ex_domc,$B22,ex_tric)=0),"",COUNTIFS($AM$6:$AM22,1,$E$6:$E22,ex_envc,$A$6:$A22,ex_domc,$B$6:$B22,ex_tric))</f>
        <v/>
      </c>
      <c r="AO22" s="63"/>
      <c r="AP22" s="63"/>
      <c r="AQ22" s="63"/>
      <c r="AR22" s="63"/>
    </row>
    <row r="23" spans="1:44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26" t="str">
        <f t="shared" si="0"/>
        <v/>
      </c>
      <c r="O23" s="59"/>
      <c r="P23" s="60" t="str">
        <f>IF($C23="","",IF($AQ23&lt;&gt;"",$AQ23,SUMIFS(TblDynatrace[CPU P95 (vCPU)],TblDynatrace[ID],$C23,TblDynatrace[Environnement],$E23,TblDynatrace[Couloir],$F23)))</f>
        <v/>
      </c>
      <c r="Q23" s="60" t="str">
        <f>IF($C23="","",IF($AR23&lt;&gt;"",$AR23,SUMIFS(TblDynatrace[RAM P95 (Go)],TblDynatrace[ID],$C23,TblDynatrace[Environnement],$E23,TblDynatrace[Couloir],$F23)))</f>
        <v/>
      </c>
      <c r="R23" s="26" t="str">
        <f>IF($C23="","",IFERROR(INDEX(TblDynatrace[Métrique / période],MATCH($C23&amp;"|"&amp;$E23&amp;"|"&amp;$F23,TblDynatrace[Clé],0)),""))</f>
        <v/>
      </c>
      <c r="S23" s="60" t="str">
        <f>IF(OR($C23="",NOT(OR($G23="À migrer",$G23="À décommissionner")),$I23="",NOT(ISNUMBER($P23))),"",IF($AO23&lt;&gt;"",$AO23,IFERROR(SUMIFS(TblClusters[CPU initial (vCPU)],TblClusters[Cluster],$I23)*$P23/(SUMIFS(TblApplications[CPU Dynatrace (vCPU)],TblApplications[Cluster IKS source],$I23,TblApplications[Action],"À migrer")+SUMIFS(TblApplications[CPU Dynatrace (vCPU)],TblApplications[Cluster IKS source],$I23,TblApplications[Action],"À décommissionner")),0)))</f>
        <v/>
      </c>
      <c r="T23" s="60" t="str">
        <f>IF(OR($C23="",NOT(OR($G23="À migrer",$G23="À décommissionner")),$I23="",NOT(ISNUMBER($Q23))),"",IF($AP23&lt;&gt;"",$AP23,IFERROR(SUMIFS(TblClusters[RAM initiale (Go)],TblClusters[Cluster],$I23)*$Q23/(SUMIFS(TblApplications[RAM Dynatrace (Go)],TblApplications[Cluster IKS source],$I23,TblApplications[Action],"À migrer")+SUMIFS(TblApplications[RAM Dynatrace (Go)],TblApplications[Cluster IKS source],$I23,TblApplications[Action],"À décommissionner")),0)))</f>
        <v/>
      </c>
      <c r="U23" s="61"/>
      <c r="V23" s="61"/>
      <c r="W23" s="61"/>
      <c r="X23" s="59"/>
      <c r="Y23" s="26" t="str">
        <f t="shared" si="1"/>
        <v/>
      </c>
      <c r="Z23" s="26" t="str">
        <f t="shared" si="2"/>
        <v/>
      </c>
      <c r="AA23" s="33" t="str">
        <f t="shared" si="3"/>
        <v/>
      </c>
      <c r="AB23" s="33" t="str">
        <f t="shared" si="4"/>
        <v/>
      </c>
      <c r="AC23" s="26" t="str">
        <f t="shared" si="5"/>
        <v/>
      </c>
      <c r="AD23" s="26" t="str">
        <f>IF($C23="","",COUNTIF(TblApplications[ID],$C23))</f>
        <v/>
      </c>
      <c r="AE23" s="33" t="str">
        <f>IF($C23="","",IFERROR(1/(1/_xlfn.MINIFS(TblApplications[Mois prov (calc)],TblApplications[ID],$C23)),""))</f>
        <v/>
      </c>
      <c r="AF23" s="33" t="str">
        <f>IF($C23="","",IFERROR(1/(1/_xlfn.MAXIFS(TblApplications[Mois lib (calc)],TblApplications[ID],$C23)),""))</f>
        <v/>
      </c>
      <c r="AG23" s="26" t="str">
        <f>IF($C23="","",IF(OR(OR($A23="",$B23="",$D23="",$E23="",$F23="",$G23=""),AND($G23="À migrer",OR($H23="",$I23="",$O23="",$U23="",$V23="",$W23="")),AND($G23="Migré",OR($O23="")),AND($G23="À décommissionner",OR($I23="",$W23=""))),"Données manquantes (selon l’action)",IF(AND($G23&lt;&gt;"Migré",$G23&lt;&gt;"À migrer",$G23&lt;&gt;"À décommissionner",$G23&lt;&gt;"Décommissionné"),"Action invalide",IF(COUNTIF(TblDomaines[Domaine],$A23)=0,"Domaine inconnu (référentiel)",IF(COUNTIFS(TblTribes[Tribe],$B23,TblTribes[Domaine de la tribe],$A23)=0,"Tribe inconnue ou hors domaine",IF(AND($G23="À migrer",$H23&lt;&gt;"Oui",$H23&lt;&gt;"Non"),"Valeur Oui/Non invalide (Déjà incluse ROKS)",IF(AND($E23&lt;&gt;"PRD",$E23&lt;&gt;"NPRD"),"Environnement invalide",IF(COUNTIFS(TblApplications[ID],$C23,TblApplications[Environnement],$E23,TblApplications[Couloir],$F23)&gt;1,"Déploiement en doublon (ID + env + couloir)",IF(AND(OR(OR($G23="À migrer",$G23="Migré"),OR($G23="À migrer",$G23="À décommissionner")),N($P23)&lt;=0),"Conso Dynatrace absente (onglet Dynatrace)",IF(OR(AND($P23&lt;&gt;"",NOT(ISNUMBER($P23))),AND($Q23&lt;&gt;"",NOT(ISNUMBER($Q23)))),"Ressource non numérique",IF(MIN(N($P23),N($Q23))&lt;0,"Ressource négative",IF(OR(AND($AH23&lt;&gt;"",OR(NOT(ISNUMBER($AH23)),$AH23&lt;0,$AH23&gt;1)),AND($AI23&lt;&gt;"",OR(NOT(ISNUMBER($AI23)),$AI23&lt;0,$AI23&gt;1))),"Marge spécifique invalide (0–100 %)",IF(OR(AND($U23&lt;&gt;"",NOT(ISNUMBER($U23))),AND($V23&lt;&gt;"",NOT(ISNUMBER($V23))),AND($W23&lt;&gt;"",NOT(ISNUMBER($W23)))),"Mois invalide",IF(AND(OR($G23="À migrer",$G23="À décommissionner"),COUNTIFS(TblClusters[Cluster],$I23,TblClusters[Plateforme],"IKS")=0),"Cluster IKS inconnu",IF(AND(OR($G23="À migrer",$G23="Migré"),COUNTIFS(TblClusters[Cluster],$O23,TblClusters[Plateforme],"ROKS")=0),"Cluster ROKS inconnu",IF(AND(OR($G23="À migrer",$G23="À décommissionner"),COUNTIFS(TblClusters[Cluster],$I23,TblClusters[Environnement],$E23)=0),"Environnement ≠ cluster IKS",IF(AND(OR($G23="À migrer",$G23="Migré"),COUNTIFS(TblClusters[Cluster],$O23,TblClusters[Environnement],$E23)=0),"Environnement ≠ cluster ROKS",IF(AND($G23="À migrer",OR($U23&gt;$V23,$V23&gt;$W23)),"Dates incohérentes (prov ≤ bascule ≤ libération)",IF(AND(OR($G23="À migrer",$G23="À décommissionner"),OR(N($AO23)&gt;SUMIFS(TblClusters[CPU initial (vCPU)],TblClusters[Cluster],$I23),N($AP23)&gt;SUMIFS(TblClusters[RAM initiale (Go)],TblClusters[Cluster],$I23))),"Forçage &gt; capacité du cluster source",IF(OR(AND($AA23&lt;&gt;"",$AA23&lt;p_debut),AND($AB23&lt;&gt;"",$AB23&gt;p_fin)),"Hors horizon (info)",IF(AND($G23="À migrer",$E23="PRD",COUNTIFS(TblApplications[ID],$C23,TblApplications[Environnement],"NPRD",TblApplications[Action],"À migrer")&gt;0,$AA23&lt;_xlfn.MINIFS(TblApplications[Mois prov (calc)],TblApplications[ID],$C23,TblApplications[Environnement],"NPRD")),"PRD avant NPRD (info)","OK")))))))))))))))))))))</f>
        <v/>
      </c>
      <c r="AH23" s="62"/>
      <c r="AI23" s="62"/>
      <c r="AJ23" s="27" t="str">
        <f>IF(OR($C23="",NOT(OR($G23="À migrer",$G23="À décommissionner")),NOT(ISNUMBER($S23)),NOT(ISNUMBER($T23)),$AB23=""),"",($S23+p_poidsram*$T23)*SUMIFS(TblCalculs[Coût par unité],TblCalculs[Cluster],$I23,TblCalculs[Mois],"&lt;"&amp;$AB23))</f>
        <v/>
      </c>
      <c r="AK23" s="27" t="str">
        <f>IF($C23="","",IF(AND($G23="À migrer",$H23="Non",$Y23&lt;&gt;"",$AA23&lt;&gt;""),($Y23+p_poidsram*$Z23)*SUMIFS(TblCalculs[Coût par unité],TblCalculs[Cluster],$O23,TblCalculs[Mois],"&gt;="&amp;$AA23),IF(AND($G23="Migré",$Y23&lt;&gt;""),($Y23+p_poidsram*$Z23)*SUMIFS(TblCalculs[Coût par unité],TblCalculs[Cluster],$O23),"")))</f>
        <v/>
      </c>
      <c r="AL23" s="27" t="str">
        <f t="shared" si="6"/>
        <v/>
      </c>
      <c r="AM23" s="26" t="str">
        <f t="shared" si="7"/>
        <v/>
      </c>
      <c r="AN23" s="26" t="str">
        <f>IF(OR($C23="",$AM23&lt;&gt;1,COUNTIFS($E23,ex_envc,$A23,ex_domc,$B23,ex_tric)=0),"",COUNTIFS($AM$6:$AM23,1,$E$6:$E23,ex_envc,$A$6:$A23,ex_domc,$B$6:$B23,ex_tric))</f>
        <v/>
      </c>
      <c r="AO23" s="63"/>
      <c r="AP23" s="63"/>
      <c r="AQ23" s="63"/>
      <c r="AR23" s="63"/>
    </row>
    <row r="24" spans="1:44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26" t="str">
        <f t="shared" si="0"/>
        <v/>
      </c>
      <c r="O24" s="59"/>
      <c r="P24" s="60" t="str">
        <f>IF($C24="","",IF($AQ24&lt;&gt;"",$AQ24,SUMIFS(TblDynatrace[CPU P95 (vCPU)],TblDynatrace[ID],$C24,TblDynatrace[Environnement],$E24,TblDynatrace[Couloir],$F24)))</f>
        <v/>
      </c>
      <c r="Q24" s="60" t="str">
        <f>IF($C24="","",IF($AR24&lt;&gt;"",$AR24,SUMIFS(TblDynatrace[RAM P95 (Go)],TblDynatrace[ID],$C24,TblDynatrace[Environnement],$E24,TblDynatrace[Couloir],$F24)))</f>
        <v/>
      </c>
      <c r="R24" s="26" t="str">
        <f>IF($C24="","",IFERROR(INDEX(TblDynatrace[Métrique / période],MATCH($C24&amp;"|"&amp;$E24&amp;"|"&amp;$F24,TblDynatrace[Clé],0)),""))</f>
        <v/>
      </c>
      <c r="S24" s="60" t="str">
        <f>IF(OR($C24="",NOT(OR($G24="À migrer",$G24="À décommissionner")),$I24="",NOT(ISNUMBER($P24))),"",IF($AO24&lt;&gt;"",$AO24,IFERROR(SUMIFS(TblClusters[CPU initial (vCPU)],TblClusters[Cluster],$I24)*$P24/(SUMIFS(TblApplications[CPU Dynatrace (vCPU)],TblApplications[Cluster IKS source],$I24,TblApplications[Action],"À migrer")+SUMIFS(TblApplications[CPU Dynatrace (vCPU)],TblApplications[Cluster IKS source],$I24,TblApplications[Action],"À décommissionner")),0)))</f>
        <v/>
      </c>
      <c r="T24" s="60" t="str">
        <f>IF(OR($C24="",NOT(OR($G24="À migrer",$G24="À décommissionner")),$I24="",NOT(ISNUMBER($Q24))),"",IF($AP24&lt;&gt;"",$AP24,IFERROR(SUMIFS(TblClusters[RAM initiale (Go)],TblClusters[Cluster],$I24)*$Q24/(SUMIFS(TblApplications[RAM Dynatrace (Go)],TblApplications[Cluster IKS source],$I24,TblApplications[Action],"À migrer")+SUMIFS(TblApplications[RAM Dynatrace (Go)],TblApplications[Cluster IKS source],$I24,TblApplications[Action],"À décommissionner")),0)))</f>
        <v/>
      </c>
      <c r="U24" s="61"/>
      <c r="V24" s="61"/>
      <c r="W24" s="61"/>
      <c r="X24" s="59"/>
      <c r="Y24" s="26" t="str">
        <f t="shared" si="1"/>
        <v/>
      </c>
      <c r="Z24" s="26" t="str">
        <f t="shared" si="2"/>
        <v/>
      </c>
      <c r="AA24" s="33" t="str">
        <f t="shared" si="3"/>
        <v/>
      </c>
      <c r="AB24" s="33" t="str">
        <f t="shared" si="4"/>
        <v/>
      </c>
      <c r="AC24" s="26" t="str">
        <f t="shared" si="5"/>
        <v/>
      </c>
      <c r="AD24" s="26" t="str">
        <f>IF($C24="","",COUNTIF(TblApplications[ID],$C24))</f>
        <v/>
      </c>
      <c r="AE24" s="33" t="str">
        <f>IF($C24="","",IFERROR(1/(1/_xlfn.MINIFS(TblApplications[Mois prov (calc)],TblApplications[ID],$C24)),""))</f>
        <v/>
      </c>
      <c r="AF24" s="33" t="str">
        <f>IF($C24="","",IFERROR(1/(1/_xlfn.MAXIFS(TblApplications[Mois lib (calc)],TblApplications[ID],$C24)),""))</f>
        <v/>
      </c>
      <c r="AG24" s="26" t="str">
        <f>IF($C24="","",IF(OR(OR($A24="",$B24="",$D24="",$E24="",$F24="",$G24=""),AND($G24="À migrer",OR($H24="",$I24="",$O24="",$U24="",$V24="",$W24="")),AND($G24="Migré",OR($O24="")),AND($G24="À décommissionner",OR($I24="",$W24=""))),"Données manquantes (selon l’action)",IF(AND($G24&lt;&gt;"Migré",$G24&lt;&gt;"À migrer",$G24&lt;&gt;"À décommissionner",$G24&lt;&gt;"Décommissionné"),"Action invalide",IF(COUNTIF(TblDomaines[Domaine],$A24)=0,"Domaine inconnu (référentiel)",IF(COUNTIFS(TblTribes[Tribe],$B24,TblTribes[Domaine de la tribe],$A24)=0,"Tribe inconnue ou hors domaine",IF(AND($G24="À migrer",$H24&lt;&gt;"Oui",$H24&lt;&gt;"Non"),"Valeur Oui/Non invalide (Déjà incluse ROKS)",IF(AND($E24&lt;&gt;"PRD",$E24&lt;&gt;"NPRD"),"Environnement invalide",IF(COUNTIFS(TblApplications[ID],$C24,TblApplications[Environnement],$E24,TblApplications[Couloir],$F24)&gt;1,"Déploiement en doublon (ID + env + couloir)",IF(AND(OR(OR($G24="À migrer",$G24="Migré"),OR($G24="À migrer",$G24="À décommissionner")),N($P24)&lt;=0),"Conso Dynatrace absente (onglet Dynatrace)",IF(OR(AND($P24&lt;&gt;"",NOT(ISNUMBER($P24))),AND($Q24&lt;&gt;"",NOT(ISNUMBER($Q24)))),"Ressource non numérique",IF(MIN(N($P24),N($Q24))&lt;0,"Ressource négative",IF(OR(AND($AH24&lt;&gt;"",OR(NOT(ISNUMBER($AH24)),$AH24&lt;0,$AH24&gt;1)),AND($AI24&lt;&gt;"",OR(NOT(ISNUMBER($AI24)),$AI24&lt;0,$AI24&gt;1))),"Marge spécifique invalide (0–100 %)",IF(OR(AND($U24&lt;&gt;"",NOT(ISNUMBER($U24))),AND($V24&lt;&gt;"",NOT(ISNUMBER($V24))),AND($W24&lt;&gt;"",NOT(ISNUMBER($W24)))),"Mois invalide",IF(AND(OR($G24="À migrer",$G24="À décommissionner"),COUNTIFS(TblClusters[Cluster],$I24,TblClusters[Plateforme],"IKS")=0),"Cluster IKS inconnu",IF(AND(OR($G24="À migrer",$G24="Migré"),COUNTIFS(TblClusters[Cluster],$O24,TblClusters[Plateforme],"ROKS")=0),"Cluster ROKS inconnu",IF(AND(OR($G24="À migrer",$G24="À décommissionner"),COUNTIFS(TblClusters[Cluster],$I24,TblClusters[Environnement],$E24)=0),"Environnement ≠ cluster IKS",IF(AND(OR($G24="À migrer",$G24="Migré"),COUNTIFS(TblClusters[Cluster],$O24,TblClusters[Environnement],$E24)=0),"Environnement ≠ cluster ROKS",IF(AND($G24="À migrer",OR($U24&gt;$V24,$V24&gt;$W24)),"Dates incohérentes (prov ≤ bascule ≤ libération)",IF(AND(OR($G24="À migrer",$G24="À décommissionner"),OR(N($AO24)&gt;SUMIFS(TblClusters[CPU initial (vCPU)],TblClusters[Cluster],$I24),N($AP24)&gt;SUMIFS(TblClusters[RAM initiale (Go)],TblClusters[Cluster],$I24))),"Forçage &gt; capacité du cluster source",IF(OR(AND($AA24&lt;&gt;"",$AA24&lt;p_debut),AND($AB24&lt;&gt;"",$AB24&gt;p_fin)),"Hors horizon (info)",IF(AND($G24="À migrer",$E24="PRD",COUNTIFS(TblApplications[ID],$C24,TblApplications[Environnement],"NPRD",TblApplications[Action],"À migrer")&gt;0,$AA24&lt;_xlfn.MINIFS(TblApplications[Mois prov (calc)],TblApplications[ID],$C24,TblApplications[Environnement],"NPRD")),"PRD avant NPRD (info)","OK")))))))))))))))))))))</f>
        <v/>
      </c>
      <c r="AH24" s="62"/>
      <c r="AI24" s="62"/>
      <c r="AJ24" s="27" t="str">
        <f>IF(OR($C24="",NOT(OR($G24="À migrer",$G24="À décommissionner")),NOT(ISNUMBER($S24)),NOT(ISNUMBER($T24)),$AB24=""),"",($S24+p_poidsram*$T24)*SUMIFS(TblCalculs[Coût par unité],TblCalculs[Cluster],$I24,TblCalculs[Mois],"&lt;"&amp;$AB24))</f>
        <v/>
      </c>
      <c r="AK24" s="27" t="str">
        <f>IF($C24="","",IF(AND($G24="À migrer",$H24="Non",$Y24&lt;&gt;"",$AA24&lt;&gt;""),($Y24+p_poidsram*$Z24)*SUMIFS(TblCalculs[Coût par unité],TblCalculs[Cluster],$O24,TblCalculs[Mois],"&gt;="&amp;$AA24),IF(AND($G24="Migré",$Y24&lt;&gt;""),($Y24+p_poidsram*$Z24)*SUMIFS(TblCalculs[Coût par unité],TblCalculs[Cluster],$O24),"")))</f>
        <v/>
      </c>
      <c r="AL24" s="27" t="str">
        <f t="shared" si="6"/>
        <v/>
      </c>
      <c r="AM24" s="26" t="str">
        <f t="shared" si="7"/>
        <v/>
      </c>
      <c r="AN24" s="26" t="str">
        <f>IF(OR($C24="",$AM24&lt;&gt;1,COUNTIFS($E24,ex_envc,$A24,ex_domc,$B24,ex_tric)=0),"",COUNTIFS($AM$6:$AM24,1,$E$6:$E24,ex_envc,$A$6:$A24,ex_domc,$B$6:$B24,ex_tric))</f>
        <v/>
      </c>
      <c r="AO24" s="63"/>
      <c r="AP24" s="63"/>
      <c r="AQ24" s="63"/>
      <c r="AR24" s="63"/>
    </row>
    <row r="25" spans="1:44" x14ac:dyDescent="0.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26" t="str">
        <f t="shared" si="0"/>
        <v/>
      </c>
      <c r="O25" s="59"/>
      <c r="P25" s="60" t="str">
        <f>IF($C25="","",IF($AQ25&lt;&gt;"",$AQ25,SUMIFS(TblDynatrace[CPU P95 (vCPU)],TblDynatrace[ID],$C25,TblDynatrace[Environnement],$E25,TblDynatrace[Couloir],$F25)))</f>
        <v/>
      </c>
      <c r="Q25" s="60" t="str">
        <f>IF($C25="","",IF($AR25&lt;&gt;"",$AR25,SUMIFS(TblDynatrace[RAM P95 (Go)],TblDynatrace[ID],$C25,TblDynatrace[Environnement],$E25,TblDynatrace[Couloir],$F25)))</f>
        <v/>
      </c>
      <c r="R25" s="26" t="str">
        <f>IF($C25="","",IFERROR(INDEX(TblDynatrace[Métrique / période],MATCH($C25&amp;"|"&amp;$E25&amp;"|"&amp;$F25,TblDynatrace[Clé],0)),""))</f>
        <v/>
      </c>
      <c r="S25" s="60" t="str">
        <f>IF(OR($C25="",NOT(OR($G25="À migrer",$G25="À décommissionner")),$I25="",NOT(ISNUMBER($P25))),"",IF($AO25&lt;&gt;"",$AO25,IFERROR(SUMIFS(TblClusters[CPU initial (vCPU)],TblClusters[Cluster],$I25)*$P25/(SUMIFS(TblApplications[CPU Dynatrace (vCPU)],TblApplications[Cluster IKS source],$I25,TblApplications[Action],"À migrer")+SUMIFS(TblApplications[CPU Dynatrace (vCPU)],TblApplications[Cluster IKS source],$I25,TblApplications[Action],"À décommissionner")),0)))</f>
        <v/>
      </c>
      <c r="T25" s="60" t="str">
        <f>IF(OR($C25="",NOT(OR($G25="À migrer",$G25="À décommissionner")),$I25="",NOT(ISNUMBER($Q25))),"",IF($AP25&lt;&gt;"",$AP25,IFERROR(SUMIFS(TblClusters[RAM initiale (Go)],TblClusters[Cluster],$I25)*$Q25/(SUMIFS(TblApplications[RAM Dynatrace (Go)],TblApplications[Cluster IKS source],$I25,TblApplications[Action],"À migrer")+SUMIFS(TblApplications[RAM Dynatrace (Go)],TblApplications[Cluster IKS source],$I25,TblApplications[Action],"À décommissionner")),0)))</f>
        <v/>
      </c>
      <c r="U25" s="61"/>
      <c r="V25" s="61"/>
      <c r="W25" s="61"/>
      <c r="X25" s="59"/>
      <c r="Y25" s="26" t="str">
        <f t="shared" si="1"/>
        <v/>
      </c>
      <c r="Z25" s="26" t="str">
        <f t="shared" si="2"/>
        <v/>
      </c>
      <c r="AA25" s="33" t="str">
        <f t="shared" si="3"/>
        <v/>
      </c>
      <c r="AB25" s="33" t="str">
        <f t="shared" si="4"/>
        <v/>
      </c>
      <c r="AC25" s="26" t="str">
        <f t="shared" si="5"/>
        <v/>
      </c>
      <c r="AD25" s="26" t="str">
        <f>IF($C25="","",COUNTIF(TblApplications[ID],$C25))</f>
        <v/>
      </c>
      <c r="AE25" s="33" t="str">
        <f>IF($C25="","",IFERROR(1/(1/_xlfn.MINIFS(TblApplications[Mois prov (calc)],TblApplications[ID],$C25)),""))</f>
        <v/>
      </c>
      <c r="AF25" s="33" t="str">
        <f>IF($C25="","",IFERROR(1/(1/_xlfn.MAXIFS(TblApplications[Mois lib (calc)],TblApplications[ID],$C25)),""))</f>
        <v/>
      </c>
      <c r="AG25" s="26" t="str">
        <f>IF($C25="","",IF(OR(OR($A25="",$B25="",$D25="",$E25="",$F25="",$G25=""),AND($G25="À migrer",OR($H25="",$I25="",$O25="",$U25="",$V25="",$W25="")),AND($G25="Migré",OR($O25="")),AND($G25="À décommissionner",OR($I25="",$W25=""))),"Données manquantes (selon l’action)",IF(AND($G25&lt;&gt;"Migré",$G25&lt;&gt;"À migrer",$G25&lt;&gt;"À décommissionner",$G25&lt;&gt;"Décommissionné"),"Action invalide",IF(COUNTIF(TblDomaines[Domaine],$A25)=0,"Domaine inconnu (référentiel)",IF(COUNTIFS(TblTribes[Tribe],$B25,TblTribes[Domaine de la tribe],$A25)=0,"Tribe inconnue ou hors domaine",IF(AND($G25="À migrer",$H25&lt;&gt;"Oui",$H25&lt;&gt;"Non"),"Valeur Oui/Non invalide (Déjà incluse ROKS)",IF(AND($E25&lt;&gt;"PRD",$E25&lt;&gt;"NPRD"),"Environnement invalide",IF(COUNTIFS(TblApplications[ID],$C25,TblApplications[Environnement],$E25,TblApplications[Couloir],$F25)&gt;1,"Déploiement en doublon (ID + env + couloir)",IF(AND(OR(OR($G25="À migrer",$G25="Migré"),OR($G25="À migrer",$G25="À décommissionner")),N($P25)&lt;=0),"Conso Dynatrace absente (onglet Dynatrace)",IF(OR(AND($P25&lt;&gt;"",NOT(ISNUMBER($P25))),AND($Q25&lt;&gt;"",NOT(ISNUMBER($Q25)))),"Ressource non numérique",IF(MIN(N($P25),N($Q25))&lt;0,"Ressource négative",IF(OR(AND($AH25&lt;&gt;"",OR(NOT(ISNUMBER($AH25)),$AH25&lt;0,$AH25&gt;1)),AND($AI25&lt;&gt;"",OR(NOT(ISNUMBER($AI25)),$AI25&lt;0,$AI25&gt;1))),"Marge spécifique invalide (0–100 %)",IF(OR(AND($U25&lt;&gt;"",NOT(ISNUMBER($U25))),AND($V25&lt;&gt;"",NOT(ISNUMBER($V25))),AND($W25&lt;&gt;"",NOT(ISNUMBER($W25)))),"Mois invalide",IF(AND(OR($G25="À migrer",$G25="À décommissionner"),COUNTIFS(TblClusters[Cluster],$I25,TblClusters[Plateforme],"IKS")=0),"Cluster IKS inconnu",IF(AND(OR($G25="À migrer",$G25="Migré"),COUNTIFS(TblClusters[Cluster],$O25,TblClusters[Plateforme],"ROKS")=0),"Cluster ROKS inconnu",IF(AND(OR($G25="À migrer",$G25="À décommissionner"),COUNTIFS(TblClusters[Cluster],$I25,TblClusters[Environnement],$E25)=0),"Environnement ≠ cluster IKS",IF(AND(OR($G25="À migrer",$G25="Migré"),COUNTIFS(TblClusters[Cluster],$O25,TblClusters[Environnement],$E25)=0),"Environnement ≠ cluster ROKS",IF(AND($G25="À migrer",OR($U25&gt;$V25,$V25&gt;$W25)),"Dates incohérentes (prov ≤ bascule ≤ libération)",IF(AND(OR($G25="À migrer",$G25="À décommissionner"),OR(N($AO25)&gt;SUMIFS(TblClusters[CPU initial (vCPU)],TblClusters[Cluster],$I25),N($AP25)&gt;SUMIFS(TblClusters[RAM initiale (Go)],TblClusters[Cluster],$I25))),"Forçage &gt; capacité du cluster source",IF(OR(AND($AA25&lt;&gt;"",$AA25&lt;p_debut),AND($AB25&lt;&gt;"",$AB25&gt;p_fin)),"Hors horizon (info)",IF(AND($G25="À migrer",$E25="PRD",COUNTIFS(TblApplications[ID],$C25,TblApplications[Environnement],"NPRD",TblApplications[Action],"À migrer")&gt;0,$AA25&lt;_xlfn.MINIFS(TblApplications[Mois prov (calc)],TblApplications[ID],$C25,TblApplications[Environnement],"NPRD")),"PRD avant NPRD (info)","OK")))))))))))))))))))))</f>
        <v/>
      </c>
      <c r="AH25" s="62"/>
      <c r="AI25" s="62"/>
      <c r="AJ25" s="27" t="str">
        <f>IF(OR($C25="",NOT(OR($G25="À migrer",$G25="À décommissionner")),NOT(ISNUMBER($S25)),NOT(ISNUMBER($T25)),$AB25=""),"",($S25+p_poidsram*$T25)*SUMIFS(TblCalculs[Coût par unité],TblCalculs[Cluster],$I25,TblCalculs[Mois],"&lt;"&amp;$AB25))</f>
        <v/>
      </c>
      <c r="AK25" s="27" t="str">
        <f>IF($C25="","",IF(AND($G25="À migrer",$H25="Non",$Y25&lt;&gt;"",$AA25&lt;&gt;""),($Y25+p_poidsram*$Z25)*SUMIFS(TblCalculs[Coût par unité],TblCalculs[Cluster],$O25,TblCalculs[Mois],"&gt;="&amp;$AA25),IF(AND($G25="Migré",$Y25&lt;&gt;""),($Y25+p_poidsram*$Z25)*SUMIFS(TblCalculs[Coût par unité],TblCalculs[Cluster],$O25),"")))</f>
        <v/>
      </c>
      <c r="AL25" s="27" t="str">
        <f t="shared" si="6"/>
        <v/>
      </c>
      <c r="AM25" s="26" t="str">
        <f t="shared" si="7"/>
        <v/>
      </c>
      <c r="AN25" s="26" t="str">
        <f>IF(OR($C25="",$AM25&lt;&gt;1,COUNTIFS($E25,ex_envc,$A25,ex_domc,$B25,ex_tric)=0),"",COUNTIFS($AM$6:$AM25,1,$E$6:$E25,ex_envc,$A$6:$A25,ex_domc,$B$6:$B25,ex_tric))</f>
        <v/>
      </c>
      <c r="AO25" s="63"/>
      <c r="AP25" s="63"/>
      <c r="AQ25" s="63"/>
      <c r="AR25" s="63"/>
    </row>
    <row r="26" spans="1:44" x14ac:dyDescent="0.2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26" t="str">
        <f t="shared" si="0"/>
        <v/>
      </c>
      <c r="O26" s="59"/>
      <c r="P26" s="60" t="str">
        <f>IF($C26="","",IF($AQ26&lt;&gt;"",$AQ26,SUMIFS(TblDynatrace[CPU P95 (vCPU)],TblDynatrace[ID],$C26,TblDynatrace[Environnement],$E26,TblDynatrace[Couloir],$F26)))</f>
        <v/>
      </c>
      <c r="Q26" s="60" t="str">
        <f>IF($C26="","",IF($AR26&lt;&gt;"",$AR26,SUMIFS(TblDynatrace[RAM P95 (Go)],TblDynatrace[ID],$C26,TblDynatrace[Environnement],$E26,TblDynatrace[Couloir],$F26)))</f>
        <v/>
      </c>
      <c r="R26" s="26" t="str">
        <f>IF($C26="","",IFERROR(INDEX(TblDynatrace[Métrique / période],MATCH($C26&amp;"|"&amp;$E26&amp;"|"&amp;$F26,TblDynatrace[Clé],0)),""))</f>
        <v/>
      </c>
      <c r="S26" s="60" t="str">
        <f>IF(OR($C26="",NOT(OR($G26="À migrer",$G26="À décommissionner")),$I26="",NOT(ISNUMBER($P26))),"",IF($AO26&lt;&gt;"",$AO26,IFERROR(SUMIFS(TblClusters[CPU initial (vCPU)],TblClusters[Cluster],$I26)*$P26/(SUMIFS(TblApplications[CPU Dynatrace (vCPU)],TblApplications[Cluster IKS source],$I26,TblApplications[Action],"À migrer")+SUMIFS(TblApplications[CPU Dynatrace (vCPU)],TblApplications[Cluster IKS source],$I26,TblApplications[Action],"À décommissionner")),0)))</f>
        <v/>
      </c>
      <c r="T26" s="60" t="str">
        <f>IF(OR($C26="",NOT(OR($G26="À migrer",$G26="À décommissionner")),$I26="",NOT(ISNUMBER($Q26))),"",IF($AP26&lt;&gt;"",$AP26,IFERROR(SUMIFS(TblClusters[RAM initiale (Go)],TblClusters[Cluster],$I26)*$Q26/(SUMIFS(TblApplications[RAM Dynatrace (Go)],TblApplications[Cluster IKS source],$I26,TblApplications[Action],"À migrer")+SUMIFS(TblApplications[RAM Dynatrace (Go)],TblApplications[Cluster IKS source],$I26,TblApplications[Action],"À décommissionner")),0)))</f>
        <v/>
      </c>
      <c r="U26" s="61"/>
      <c r="V26" s="61"/>
      <c r="W26" s="61"/>
      <c r="X26" s="59"/>
      <c r="Y26" s="26" t="str">
        <f t="shared" si="1"/>
        <v/>
      </c>
      <c r="Z26" s="26" t="str">
        <f t="shared" si="2"/>
        <v/>
      </c>
      <c r="AA26" s="33" t="str">
        <f t="shared" si="3"/>
        <v/>
      </c>
      <c r="AB26" s="33" t="str">
        <f t="shared" si="4"/>
        <v/>
      </c>
      <c r="AC26" s="26" t="str">
        <f t="shared" si="5"/>
        <v/>
      </c>
      <c r="AD26" s="26" t="str">
        <f>IF($C26="","",COUNTIF(TblApplications[ID],$C26))</f>
        <v/>
      </c>
      <c r="AE26" s="33" t="str">
        <f>IF($C26="","",IFERROR(1/(1/_xlfn.MINIFS(TblApplications[Mois prov (calc)],TblApplications[ID],$C26)),""))</f>
        <v/>
      </c>
      <c r="AF26" s="33" t="str">
        <f>IF($C26="","",IFERROR(1/(1/_xlfn.MAXIFS(TblApplications[Mois lib (calc)],TblApplications[ID],$C26)),""))</f>
        <v/>
      </c>
      <c r="AG26" s="26" t="str">
        <f>IF($C26="","",IF(OR(OR($A26="",$B26="",$D26="",$E26="",$F26="",$G26=""),AND($G26="À migrer",OR($H26="",$I26="",$O26="",$U26="",$V26="",$W26="")),AND($G26="Migré",OR($O26="")),AND($G26="À décommissionner",OR($I26="",$W26=""))),"Données manquantes (selon l’action)",IF(AND($G26&lt;&gt;"Migré",$G26&lt;&gt;"À migrer",$G26&lt;&gt;"À décommissionner",$G26&lt;&gt;"Décommissionné"),"Action invalide",IF(COUNTIF(TblDomaines[Domaine],$A26)=0,"Domaine inconnu (référentiel)",IF(COUNTIFS(TblTribes[Tribe],$B26,TblTribes[Domaine de la tribe],$A26)=0,"Tribe inconnue ou hors domaine",IF(AND($G26="À migrer",$H26&lt;&gt;"Oui",$H26&lt;&gt;"Non"),"Valeur Oui/Non invalide (Déjà incluse ROKS)",IF(AND($E26&lt;&gt;"PRD",$E26&lt;&gt;"NPRD"),"Environnement invalide",IF(COUNTIFS(TblApplications[ID],$C26,TblApplications[Environnement],$E26,TblApplications[Couloir],$F26)&gt;1,"Déploiement en doublon (ID + env + couloir)",IF(AND(OR(OR($G26="À migrer",$G26="Migré"),OR($G26="À migrer",$G26="À décommissionner")),N($P26)&lt;=0),"Conso Dynatrace absente (onglet Dynatrace)",IF(OR(AND($P26&lt;&gt;"",NOT(ISNUMBER($P26))),AND($Q26&lt;&gt;"",NOT(ISNUMBER($Q26)))),"Ressource non numérique",IF(MIN(N($P26),N($Q26))&lt;0,"Ressource négative",IF(OR(AND($AH26&lt;&gt;"",OR(NOT(ISNUMBER($AH26)),$AH26&lt;0,$AH26&gt;1)),AND($AI26&lt;&gt;"",OR(NOT(ISNUMBER($AI26)),$AI26&lt;0,$AI26&gt;1))),"Marge spécifique invalide (0–100 %)",IF(OR(AND($U26&lt;&gt;"",NOT(ISNUMBER($U26))),AND($V26&lt;&gt;"",NOT(ISNUMBER($V26))),AND($W26&lt;&gt;"",NOT(ISNUMBER($W26)))),"Mois invalide",IF(AND(OR($G26="À migrer",$G26="À décommissionner"),COUNTIFS(TblClusters[Cluster],$I26,TblClusters[Plateforme],"IKS")=0),"Cluster IKS inconnu",IF(AND(OR($G26="À migrer",$G26="Migré"),COUNTIFS(TblClusters[Cluster],$O26,TblClusters[Plateforme],"ROKS")=0),"Cluster ROKS inconnu",IF(AND(OR($G26="À migrer",$G26="À décommissionner"),COUNTIFS(TblClusters[Cluster],$I26,TblClusters[Environnement],$E26)=0),"Environnement ≠ cluster IKS",IF(AND(OR($G26="À migrer",$G26="Migré"),COUNTIFS(TblClusters[Cluster],$O26,TblClusters[Environnement],$E26)=0),"Environnement ≠ cluster ROKS",IF(AND($G26="À migrer",OR($U26&gt;$V26,$V26&gt;$W26)),"Dates incohérentes (prov ≤ bascule ≤ libération)",IF(AND(OR($G26="À migrer",$G26="À décommissionner"),OR(N($AO26)&gt;SUMIFS(TblClusters[CPU initial (vCPU)],TblClusters[Cluster],$I26),N($AP26)&gt;SUMIFS(TblClusters[RAM initiale (Go)],TblClusters[Cluster],$I26))),"Forçage &gt; capacité du cluster source",IF(OR(AND($AA26&lt;&gt;"",$AA26&lt;p_debut),AND($AB26&lt;&gt;"",$AB26&gt;p_fin)),"Hors horizon (info)",IF(AND($G26="À migrer",$E26="PRD",COUNTIFS(TblApplications[ID],$C26,TblApplications[Environnement],"NPRD",TblApplications[Action],"À migrer")&gt;0,$AA26&lt;_xlfn.MINIFS(TblApplications[Mois prov (calc)],TblApplications[ID],$C26,TblApplications[Environnement],"NPRD")),"PRD avant NPRD (info)","OK")))))))))))))))))))))</f>
        <v/>
      </c>
      <c r="AH26" s="62"/>
      <c r="AI26" s="62"/>
      <c r="AJ26" s="27" t="str">
        <f>IF(OR($C26="",NOT(OR($G26="À migrer",$G26="À décommissionner")),NOT(ISNUMBER($S26)),NOT(ISNUMBER($T26)),$AB26=""),"",($S26+p_poidsram*$T26)*SUMIFS(TblCalculs[Coût par unité],TblCalculs[Cluster],$I26,TblCalculs[Mois],"&lt;"&amp;$AB26))</f>
        <v/>
      </c>
      <c r="AK26" s="27" t="str">
        <f>IF($C26="","",IF(AND($G26="À migrer",$H26="Non",$Y26&lt;&gt;"",$AA26&lt;&gt;""),($Y26+p_poidsram*$Z26)*SUMIFS(TblCalculs[Coût par unité],TblCalculs[Cluster],$O26,TblCalculs[Mois],"&gt;="&amp;$AA26),IF(AND($G26="Migré",$Y26&lt;&gt;""),($Y26+p_poidsram*$Z26)*SUMIFS(TblCalculs[Coût par unité],TblCalculs[Cluster],$O26),"")))</f>
        <v/>
      </c>
      <c r="AL26" s="27" t="str">
        <f t="shared" si="6"/>
        <v/>
      </c>
      <c r="AM26" s="26" t="str">
        <f t="shared" si="7"/>
        <v/>
      </c>
      <c r="AN26" s="26" t="str">
        <f>IF(OR($C26="",$AM26&lt;&gt;1,COUNTIFS($E26,ex_envc,$A26,ex_domc,$B26,ex_tric)=0),"",COUNTIFS($AM$6:$AM26,1,$E$6:$E26,ex_envc,$A$6:$A26,ex_domc,$B$6:$B26,ex_tric))</f>
        <v/>
      </c>
      <c r="AO26" s="63"/>
      <c r="AP26" s="63"/>
      <c r="AQ26" s="63"/>
      <c r="AR26" s="63"/>
    </row>
    <row r="27" spans="1:44" x14ac:dyDescent="0.2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26" t="str">
        <f t="shared" si="0"/>
        <v/>
      </c>
      <c r="O27" s="59"/>
      <c r="P27" s="60" t="str">
        <f>IF($C27="","",IF($AQ27&lt;&gt;"",$AQ27,SUMIFS(TblDynatrace[CPU P95 (vCPU)],TblDynatrace[ID],$C27,TblDynatrace[Environnement],$E27,TblDynatrace[Couloir],$F27)))</f>
        <v/>
      </c>
      <c r="Q27" s="60" t="str">
        <f>IF($C27="","",IF($AR27&lt;&gt;"",$AR27,SUMIFS(TblDynatrace[RAM P95 (Go)],TblDynatrace[ID],$C27,TblDynatrace[Environnement],$E27,TblDynatrace[Couloir],$F27)))</f>
        <v/>
      </c>
      <c r="R27" s="26" t="str">
        <f>IF($C27="","",IFERROR(INDEX(TblDynatrace[Métrique / période],MATCH($C27&amp;"|"&amp;$E27&amp;"|"&amp;$F27,TblDynatrace[Clé],0)),""))</f>
        <v/>
      </c>
      <c r="S27" s="60" t="str">
        <f>IF(OR($C27="",NOT(OR($G27="À migrer",$G27="À décommissionner")),$I27="",NOT(ISNUMBER($P27))),"",IF($AO27&lt;&gt;"",$AO27,IFERROR(SUMIFS(TblClusters[CPU initial (vCPU)],TblClusters[Cluster],$I27)*$P27/(SUMIFS(TblApplications[CPU Dynatrace (vCPU)],TblApplications[Cluster IKS source],$I27,TblApplications[Action],"À migrer")+SUMIFS(TblApplications[CPU Dynatrace (vCPU)],TblApplications[Cluster IKS source],$I27,TblApplications[Action],"À décommissionner")),0)))</f>
        <v/>
      </c>
      <c r="T27" s="60" t="str">
        <f>IF(OR($C27="",NOT(OR($G27="À migrer",$G27="À décommissionner")),$I27="",NOT(ISNUMBER($Q27))),"",IF($AP27&lt;&gt;"",$AP27,IFERROR(SUMIFS(TblClusters[RAM initiale (Go)],TblClusters[Cluster],$I27)*$Q27/(SUMIFS(TblApplications[RAM Dynatrace (Go)],TblApplications[Cluster IKS source],$I27,TblApplications[Action],"À migrer")+SUMIFS(TblApplications[RAM Dynatrace (Go)],TblApplications[Cluster IKS source],$I27,TblApplications[Action],"À décommissionner")),0)))</f>
        <v/>
      </c>
      <c r="U27" s="61"/>
      <c r="V27" s="61"/>
      <c r="W27" s="61"/>
      <c r="X27" s="59"/>
      <c r="Y27" s="26" t="str">
        <f t="shared" si="1"/>
        <v/>
      </c>
      <c r="Z27" s="26" t="str">
        <f t="shared" si="2"/>
        <v/>
      </c>
      <c r="AA27" s="33" t="str">
        <f t="shared" si="3"/>
        <v/>
      </c>
      <c r="AB27" s="33" t="str">
        <f t="shared" si="4"/>
        <v/>
      </c>
      <c r="AC27" s="26" t="str">
        <f t="shared" si="5"/>
        <v/>
      </c>
      <c r="AD27" s="26" t="str">
        <f>IF($C27="","",COUNTIF(TblApplications[ID],$C27))</f>
        <v/>
      </c>
      <c r="AE27" s="33" t="str">
        <f>IF($C27="","",IFERROR(1/(1/_xlfn.MINIFS(TblApplications[Mois prov (calc)],TblApplications[ID],$C27)),""))</f>
        <v/>
      </c>
      <c r="AF27" s="33" t="str">
        <f>IF($C27="","",IFERROR(1/(1/_xlfn.MAXIFS(TblApplications[Mois lib (calc)],TblApplications[ID],$C27)),""))</f>
        <v/>
      </c>
      <c r="AG27" s="26" t="str">
        <f>IF($C27="","",IF(OR(OR($A27="",$B27="",$D27="",$E27="",$F27="",$G27=""),AND($G27="À migrer",OR($H27="",$I27="",$O27="",$U27="",$V27="",$W27="")),AND($G27="Migré",OR($O27="")),AND($G27="À décommissionner",OR($I27="",$W27=""))),"Données manquantes (selon l’action)",IF(AND($G27&lt;&gt;"Migré",$G27&lt;&gt;"À migrer",$G27&lt;&gt;"À décommissionner",$G27&lt;&gt;"Décommissionné"),"Action invalide",IF(COUNTIF(TblDomaines[Domaine],$A27)=0,"Domaine inconnu (référentiel)",IF(COUNTIFS(TblTribes[Tribe],$B27,TblTribes[Domaine de la tribe],$A27)=0,"Tribe inconnue ou hors domaine",IF(AND($G27="À migrer",$H27&lt;&gt;"Oui",$H27&lt;&gt;"Non"),"Valeur Oui/Non invalide (Déjà incluse ROKS)",IF(AND($E27&lt;&gt;"PRD",$E27&lt;&gt;"NPRD"),"Environnement invalide",IF(COUNTIFS(TblApplications[ID],$C27,TblApplications[Environnement],$E27,TblApplications[Couloir],$F27)&gt;1,"Déploiement en doublon (ID + env + couloir)",IF(AND(OR(OR($G27="À migrer",$G27="Migré"),OR($G27="À migrer",$G27="À décommissionner")),N($P27)&lt;=0),"Conso Dynatrace absente (onglet Dynatrace)",IF(OR(AND($P27&lt;&gt;"",NOT(ISNUMBER($P27))),AND($Q27&lt;&gt;"",NOT(ISNUMBER($Q27)))),"Ressource non numérique",IF(MIN(N($P27),N($Q27))&lt;0,"Ressource négative",IF(OR(AND($AH27&lt;&gt;"",OR(NOT(ISNUMBER($AH27)),$AH27&lt;0,$AH27&gt;1)),AND($AI27&lt;&gt;"",OR(NOT(ISNUMBER($AI27)),$AI27&lt;0,$AI27&gt;1))),"Marge spécifique invalide (0–100 %)",IF(OR(AND($U27&lt;&gt;"",NOT(ISNUMBER($U27))),AND($V27&lt;&gt;"",NOT(ISNUMBER($V27))),AND($W27&lt;&gt;"",NOT(ISNUMBER($W27)))),"Mois invalide",IF(AND(OR($G27="À migrer",$G27="À décommissionner"),COUNTIFS(TblClusters[Cluster],$I27,TblClusters[Plateforme],"IKS")=0),"Cluster IKS inconnu",IF(AND(OR($G27="À migrer",$G27="Migré"),COUNTIFS(TblClusters[Cluster],$O27,TblClusters[Plateforme],"ROKS")=0),"Cluster ROKS inconnu",IF(AND(OR($G27="À migrer",$G27="À décommissionner"),COUNTIFS(TblClusters[Cluster],$I27,TblClusters[Environnement],$E27)=0),"Environnement ≠ cluster IKS",IF(AND(OR($G27="À migrer",$G27="Migré"),COUNTIFS(TblClusters[Cluster],$O27,TblClusters[Environnement],$E27)=0),"Environnement ≠ cluster ROKS",IF(AND($G27="À migrer",OR($U27&gt;$V27,$V27&gt;$W27)),"Dates incohérentes (prov ≤ bascule ≤ libération)",IF(AND(OR($G27="À migrer",$G27="À décommissionner"),OR(N($AO27)&gt;SUMIFS(TblClusters[CPU initial (vCPU)],TblClusters[Cluster],$I27),N($AP27)&gt;SUMIFS(TblClusters[RAM initiale (Go)],TblClusters[Cluster],$I27))),"Forçage &gt; capacité du cluster source",IF(OR(AND($AA27&lt;&gt;"",$AA27&lt;p_debut),AND($AB27&lt;&gt;"",$AB27&gt;p_fin)),"Hors horizon (info)",IF(AND($G27="À migrer",$E27="PRD",COUNTIFS(TblApplications[ID],$C27,TblApplications[Environnement],"NPRD",TblApplications[Action],"À migrer")&gt;0,$AA27&lt;_xlfn.MINIFS(TblApplications[Mois prov (calc)],TblApplications[ID],$C27,TblApplications[Environnement],"NPRD")),"PRD avant NPRD (info)","OK")))))))))))))))))))))</f>
        <v/>
      </c>
      <c r="AH27" s="62"/>
      <c r="AI27" s="62"/>
      <c r="AJ27" s="27" t="str">
        <f>IF(OR($C27="",NOT(OR($G27="À migrer",$G27="À décommissionner")),NOT(ISNUMBER($S27)),NOT(ISNUMBER($T27)),$AB27=""),"",($S27+p_poidsram*$T27)*SUMIFS(TblCalculs[Coût par unité],TblCalculs[Cluster],$I27,TblCalculs[Mois],"&lt;"&amp;$AB27))</f>
        <v/>
      </c>
      <c r="AK27" s="27" t="str">
        <f>IF($C27="","",IF(AND($G27="À migrer",$H27="Non",$Y27&lt;&gt;"",$AA27&lt;&gt;""),($Y27+p_poidsram*$Z27)*SUMIFS(TblCalculs[Coût par unité],TblCalculs[Cluster],$O27,TblCalculs[Mois],"&gt;="&amp;$AA27),IF(AND($G27="Migré",$Y27&lt;&gt;""),($Y27+p_poidsram*$Z27)*SUMIFS(TblCalculs[Coût par unité],TblCalculs[Cluster],$O27),"")))</f>
        <v/>
      </c>
      <c r="AL27" s="27" t="str">
        <f t="shared" si="6"/>
        <v/>
      </c>
      <c r="AM27" s="26" t="str">
        <f t="shared" si="7"/>
        <v/>
      </c>
      <c r="AN27" s="26" t="str">
        <f>IF(OR($C27="",$AM27&lt;&gt;1,COUNTIFS($E27,ex_envc,$A27,ex_domc,$B27,ex_tric)=0),"",COUNTIFS($AM$6:$AM27,1,$E$6:$E27,ex_envc,$A$6:$A27,ex_domc,$B$6:$B27,ex_tric))</f>
        <v/>
      </c>
      <c r="AO27" s="63"/>
      <c r="AP27" s="63"/>
      <c r="AQ27" s="63"/>
      <c r="AR27" s="63"/>
    </row>
    <row r="28" spans="1:44" x14ac:dyDescent="0.2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26" t="str">
        <f t="shared" si="0"/>
        <v/>
      </c>
      <c r="O28" s="59"/>
      <c r="P28" s="60" t="str">
        <f>IF($C28="","",IF($AQ28&lt;&gt;"",$AQ28,SUMIFS(TblDynatrace[CPU P95 (vCPU)],TblDynatrace[ID],$C28,TblDynatrace[Environnement],$E28,TblDynatrace[Couloir],$F28)))</f>
        <v/>
      </c>
      <c r="Q28" s="60" t="str">
        <f>IF($C28="","",IF($AR28&lt;&gt;"",$AR28,SUMIFS(TblDynatrace[RAM P95 (Go)],TblDynatrace[ID],$C28,TblDynatrace[Environnement],$E28,TblDynatrace[Couloir],$F28)))</f>
        <v/>
      </c>
      <c r="R28" s="26" t="str">
        <f>IF($C28="","",IFERROR(INDEX(TblDynatrace[Métrique / période],MATCH($C28&amp;"|"&amp;$E28&amp;"|"&amp;$F28,TblDynatrace[Clé],0)),""))</f>
        <v/>
      </c>
      <c r="S28" s="60" t="str">
        <f>IF(OR($C28="",NOT(OR($G28="À migrer",$G28="À décommissionner")),$I28="",NOT(ISNUMBER($P28))),"",IF($AO28&lt;&gt;"",$AO28,IFERROR(SUMIFS(TblClusters[CPU initial (vCPU)],TblClusters[Cluster],$I28)*$P28/(SUMIFS(TblApplications[CPU Dynatrace (vCPU)],TblApplications[Cluster IKS source],$I28,TblApplications[Action],"À migrer")+SUMIFS(TblApplications[CPU Dynatrace (vCPU)],TblApplications[Cluster IKS source],$I28,TblApplications[Action],"À décommissionner")),0)))</f>
        <v/>
      </c>
      <c r="T28" s="60" t="str">
        <f>IF(OR($C28="",NOT(OR($G28="À migrer",$G28="À décommissionner")),$I28="",NOT(ISNUMBER($Q28))),"",IF($AP28&lt;&gt;"",$AP28,IFERROR(SUMIFS(TblClusters[RAM initiale (Go)],TblClusters[Cluster],$I28)*$Q28/(SUMIFS(TblApplications[RAM Dynatrace (Go)],TblApplications[Cluster IKS source],$I28,TblApplications[Action],"À migrer")+SUMIFS(TblApplications[RAM Dynatrace (Go)],TblApplications[Cluster IKS source],$I28,TblApplications[Action],"À décommissionner")),0)))</f>
        <v/>
      </c>
      <c r="U28" s="61"/>
      <c r="V28" s="61"/>
      <c r="W28" s="61"/>
      <c r="X28" s="59"/>
      <c r="Y28" s="26" t="str">
        <f t="shared" si="1"/>
        <v/>
      </c>
      <c r="Z28" s="26" t="str">
        <f t="shared" si="2"/>
        <v/>
      </c>
      <c r="AA28" s="33" t="str">
        <f t="shared" si="3"/>
        <v/>
      </c>
      <c r="AB28" s="33" t="str">
        <f t="shared" si="4"/>
        <v/>
      </c>
      <c r="AC28" s="26" t="str">
        <f t="shared" si="5"/>
        <v/>
      </c>
      <c r="AD28" s="26" t="str">
        <f>IF($C28="","",COUNTIF(TblApplications[ID],$C28))</f>
        <v/>
      </c>
      <c r="AE28" s="33" t="str">
        <f>IF($C28="","",IFERROR(1/(1/_xlfn.MINIFS(TblApplications[Mois prov (calc)],TblApplications[ID],$C28)),""))</f>
        <v/>
      </c>
      <c r="AF28" s="33" t="str">
        <f>IF($C28="","",IFERROR(1/(1/_xlfn.MAXIFS(TblApplications[Mois lib (calc)],TblApplications[ID],$C28)),""))</f>
        <v/>
      </c>
      <c r="AG28" s="26" t="str">
        <f>IF($C28="","",IF(OR(OR($A28="",$B28="",$D28="",$E28="",$F28="",$G28=""),AND($G28="À migrer",OR($H28="",$I28="",$O28="",$U28="",$V28="",$W28="")),AND($G28="Migré",OR($O28="")),AND($G28="À décommissionner",OR($I28="",$W28=""))),"Données manquantes (selon l’action)",IF(AND($G28&lt;&gt;"Migré",$G28&lt;&gt;"À migrer",$G28&lt;&gt;"À décommissionner",$G28&lt;&gt;"Décommissionné"),"Action invalide",IF(COUNTIF(TblDomaines[Domaine],$A28)=0,"Domaine inconnu (référentiel)",IF(COUNTIFS(TblTribes[Tribe],$B28,TblTribes[Domaine de la tribe],$A28)=0,"Tribe inconnue ou hors domaine",IF(AND($G28="À migrer",$H28&lt;&gt;"Oui",$H28&lt;&gt;"Non"),"Valeur Oui/Non invalide (Déjà incluse ROKS)",IF(AND($E28&lt;&gt;"PRD",$E28&lt;&gt;"NPRD"),"Environnement invalide",IF(COUNTIFS(TblApplications[ID],$C28,TblApplications[Environnement],$E28,TblApplications[Couloir],$F28)&gt;1,"Déploiement en doublon (ID + env + couloir)",IF(AND(OR(OR($G28="À migrer",$G28="Migré"),OR($G28="À migrer",$G28="À décommissionner")),N($P28)&lt;=0),"Conso Dynatrace absente (onglet Dynatrace)",IF(OR(AND($P28&lt;&gt;"",NOT(ISNUMBER($P28))),AND($Q28&lt;&gt;"",NOT(ISNUMBER($Q28)))),"Ressource non numérique",IF(MIN(N($P28),N($Q28))&lt;0,"Ressource négative",IF(OR(AND($AH28&lt;&gt;"",OR(NOT(ISNUMBER($AH28)),$AH28&lt;0,$AH28&gt;1)),AND($AI28&lt;&gt;"",OR(NOT(ISNUMBER($AI28)),$AI28&lt;0,$AI28&gt;1))),"Marge spécifique invalide (0–100 %)",IF(OR(AND($U28&lt;&gt;"",NOT(ISNUMBER($U28))),AND($V28&lt;&gt;"",NOT(ISNUMBER($V28))),AND($W28&lt;&gt;"",NOT(ISNUMBER($W28)))),"Mois invalide",IF(AND(OR($G28="À migrer",$G28="À décommissionner"),COUNTIFS(TblClusters[Cluster],$I28,TblClusters[Plateforme],"IKS")=0),"Cluster IKS inconnu",IF(AND(OR($G28="À migrer",$G28="Migré"),COUNTIFS(TblClusters[Cluster],$O28,TblClusters[Plateforme],"ROKS")=0),"Cluster ROKS inconnu",IF(AND(OR($G28="À migrer",$G28="À décommissionner"),COUNTIFS(TblClusters[Cluster],$I28,TblClusters[Environnement],$E28)=0),"Environnement ≠ cluster IKS",IF(AND(OR($G28="À migrer",$G28="Migré"),COUNTIFS(TblClusters[Cluster],$O28,TblClusters[Environnement],$E28)=0),"Environnement ≠ cluster ROKS",IF(AND($G28="À migrer",OR($U28&gt;$V28,$V28&gt;$W28)),"Dates incohérentes (prov ≤ bascule ≤ libération)",IF(AND(OR($G28="À migrer",$G28="À décommissionner"),OR(N($AO28)&gt;SUMIFS(TblClusters[CPU initial (vCPU)],TblClusters[Cluster],$I28),N($AP28)&gt;SUMIFS(TblClusters[RAM initiale (Go)],TblClusters[Cluster],$I28))),"Forçage &gt; capacité du cluster source",IF(OR(AND($AA28&lt;&gt;"",$AA28&lt;p_debut),AND($AB28&lt;&gt;"",$AB28&gt;p_fin)),"Hors horizon (info)",IF(AND($G28="À migrer",$E28="PRD",COUNTIFS(TblApplications[ID],$C28,TblApplications[Environnement],"NPRD",TblApplications[Action],"À migrer")&gt;0,$AA28&lt;_xlfn.MINIFS(TblApplications[Mois prov (calc)],TblApplications[ID],$C28,TblApplications[Environnement],"NPRD")),"PRD avant NPRD (info)","OK")))))))))))))))))))))</f>
        <v/>
      </c>
      <c r="AH28" s="62"/>
      <c r="AI28" s="62"/>
      <c r="AJ28" s="27" t="str">
        <f>IF(OR($C28="",NOT(OR($G28="À migrer",$G28="À décommissionner")),NOT(ISNUMBER($S28)),NOT(ISNUMBER($T28)),$AB28=""),"",($S28+p_poidsram*$T28)*SUMIFS(TblCalculs[Coût par unité],TblCalculs[Cluster],$I28,TblCalculs[Mois],"&lt;"&amp;$AB28))</f>
        <v/>
      </c>
      <c r="AK28" s="27" t="str">
        <f>IF($C28="","",IF(AND($G28="À migrer",$H28="Non",$Y28&lt;&gt;"",$AA28&lt;&gt;""),($Y28+p_poidsram*$Z28)*SUMIFS(TblCalculs[Coût par unité],TblCalculs[Cluster],$O28,TblCalculs[Mois],"&gt;="&amp;$AA28),IF(AND($G28="Migré",$Y28&lt;&gt;""),($Y28+p_poidsram*$Z28)*SUMIFS(TblCalculs[Coût par unité],TblCalculs[Cluster],$O28),"")))</f>
        <v/>
      </c>
      <c r="AL28" s="27" t="str">
        <f t="shared" si="6"/>
        <v/>
      </c>
      <c r="AM28" s="26" t="str">
        <f t="shared" si="7"/>
        <v/>
      </c>
      <c r="AN28" s="26" t="str">
        <f>IF(OR($C28="",$AM28&lt;&gt;1,COUNTIFS($E28,ex_envc,$A28,ex_domc,$B28,ex_tric)=0),"",COUNTIFS($AM$6:$AM28,1,$E$6:$E28,ex_envc,$A$6:$A28,ex_domc,$B$6:$B28,ex_tric))</f>
        <v/>
      </c>
      <c r="AO28" s="63"/>
      <c r="AP28" s="63"/>
      <c r="AQ28" s="63"/>
      <c r="AR28" s="63"/>
    </row>
    <row r="29" spans="1:44" x14ac:dyDescent="0.2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26" t="str">
        <f t="shared" si="0"/>
        <v/>
      </c>
      <c r="O29" s="59"/>
      <c r="P29" s="60" t="str">
        <f>IF($C29="","",IF($AQ29&lt;&gt;"",$AQ29,SUMIFS(TblDynatrace[CPU P95 (vCPU)],TblDynatrace[ID],$C29,TblDynatrace[Environnement],$E29,TblDynatrace[Couloir],$F29)))</f>
        <v/>
      </c>
      <c r="Q29" s="60" t="str">
        <f>IF($C29="","",IF($AR29&lt;&gt;"",$AR29,SUMIFS(TblDynatrace[RAM P95 (Go)],TblDynatrace[ID],$C29,TblDynatrace[Environnement],$E29,TblDynatrace[Couloir],$F29)))</f>
        <v/>
      </c>
      <c r="R29" s="26" t="str">
        <f>IF($C29="","",IFERROR(INDEX(TblDynatrace[Métrique / période],MATCH($C29&amp;"|"&amp;$E29&amp;"|"&amp;$F29,TblDynatrace[Clé],0)),""))</f>
        <v/>
      </c>
      <c r="S29" s="60" t="str">
        <f>IF(OR($C29="",NOT(OR($G29="À migrer",$G29="À décommissionner")),$I29="",NOT(ISNUMBER($P29))),"",IF($AO29&lt;&gt;"",$AO29,IFERROR(SUMIFS(TblClusters[CPU initial (vCPU)],TblClusters[Cluster],$I29)*$P29/(SUMIFS(TblApplications[CPU Dynatrace (vCPU)],TblApplications[Cluster IKS source],$I29,TblApplications[Action],"À migrer")+SUMIFS(TblApplications[CPU Dynatrace (vCPU)],TblApplications[Cluster IKS source],$I29,TblApplications[Action],"À décommissionner")),0)))</f>
        <v/>
      </c>
      <c r="T29" s="60" t="str">
        <f>IF(OR($C29="",NOT(OR($G29="À migrer",$G29="À décommissionner")),$I29="",NOT(ISNUMBER($Q29))),"",IF($AP29&lt;&gt;"",$AP29,IFERROR(SUMIFS(TblClusters[RAM initiale (Go)],TblClusters[Cluster],$I29)*$Q29/(SUMIFS(TblApplications[RAM Dynatrace (Go)],TblApplications[Cluster IKS source],$I29,TblApplications[Action],"À migrer")+SUMIFS(TblApplications[RAM Dynatrace (Go)],TblApplications[Cluster IKS source],$I29,TblApplications[Action],"À décommissionner")),0)))</f>
        <v/>
      </c>
      <c r="U29" s="61"/>
      <c r="V29" s="61"/>
      <c r="W29" s="61"/>
      <c r="X29" s="59"/>
      <c r="Y29" s="26" t="str">
        <f t="shared" si="1"/>
        <v/>
      </c>
      <c r="Z29" s="26" t="str">
        <f t="shared" si="2"/>
        <v/>
      </c>
      <c r="AA29" s="33" t="str">
        <f t="shared" si="3"/>
        <v/>
      </c>
      <c r="AB29" s="33" t="str">
        <f t="shared" si="4"/>
        <v/>
      </c>
      <c r="AC29" s="26" t="str">
        <f t="shared" si="5"/>
        <v/>
      </c>
      <c r="AD29" s="26" t="str">
        <f>IF($C29="","",COUNTIF(TblApplications[ID],$C29))</f>
        <v/>
      </c>
      <c r="AE29" s="33" t="str">
        <f>IF($C29="","",IFERROR(1/(1/_xlfn.MINIFS(TblApplications[Mois prov (calc)],TblApplications[ID],$C29)),""))</f>
        <v/>
      </c>
      <c r="AF29" s="33" t="str">
        <f>IF($C29="","",IFERROR(1/(1/_xlfn.MAXIFS(TblApplications[Mois lib (calc)],TblApplications[ID],$C29)),""))</f>
        <v/>
      </c>
      <c r="AG29" s="26" t="str">
        <f>IF($C29="","",IF(OR(OR($A29="",$B29="",$D29="",$E29="",$F29="",$G29=""),AND($G29="À migrer",OR($H29="",$I29="",$O29="",$U29="",$V29="",$W29="")),AND($G29="Migré",OR($O29="")),AND($G29="À décommissionner",OR($I29="",$W29=""))),"Données manquantes (selon l’action)",IF(AND($G29&lt;&gt;"Migré",$G29&lt;&gt;"À migrer",$G29&lt;&gt;"À décommissionner",$G29&lt;&gt;"Décommissionné"),"Action invalide",IF(COUNTIF(TblDomaines[Domaine],$A29)=0,"Domaine inconnu (référentiel)",IF(COUNTIFS(TblTribes[Tribe],$B29,TblTribes[Domaine de la tribe],$A29)=0,"Tribe inconnue ou hors domaine",IF(AND($G29="À migrer",$H29&lt;&gt;"Oui",$H29&lt;&gt;"Non"),"Valeur Oui/Non invalide (Déjà incluse ROKS)",IF(AND($E29&lt;&gt;"PRD",$E29&lt;&gt;"NPRD"),"Environnement invalide",IF(COUNTIFS(TblApplications[ID],$C29,TblApplications[Environnement],$E29,TblApplications[Couloir],$F29)&gt;1,"Déploiement en doublon (ID + env + couloir)",IF(AND(OR(OR($G29="À migrer",$G29="Migré"),OR($G29="À migrer",$G29="À décommissionner")),N($P29)&lt;=0),"Conso Dynatrace absente (onglet Dynatrace)",IF(OR(AND($P29&lt;&gt;"",NOT(ISNUMBER($P29))),AND($Q29&lt;&gt;"",NOT(ISNUMBER($Q29)))),"Ressource non numérique",IF(MIN(N($P29),N($Q29))&lt;0,"Ressource négative",IF(OR(AND($AH29&lt;&gt;"",OR(NOT(ISNUMBER($AH29)),$AH29&lt;0,$AH29&gt;1)),AND($AI29&lt;&gt;"",OR(NOT(ISNUMBER($AI29)),$AI29&lt;0,$AI29&gt;1))),"Marge spécifique invalide (0–100 %)",IF(OR(AND($U29&lt;&gt;"",NOT(ISNUMBER($U29))),AND($V29&lt;&gt;"",NOT(ISNUMBER($V29))),AND($W29&lt;&gt;"",NOT(ISNUMBER($W29)))),"Mois invalide",IF(AND(OR($G29="À migrer",$G29="À décommissionner"),COUNTIFS(TblClusters[Cluster],$I29,TblClusters[Plateforme],"IKS")=0),"Cluster IKS inconnu",IF(AND(OR($G29="À migrer",$G29="Migré"),COUNTIFS(TblClusters[Cluster],$O29,TblClusters[Plateforme],"ROKS")=0),"Cluster ROKS inconnu",IF(AND(OR($G29="À migrer",$G29="À décommissionner"),COUNTIFS(TblClusters[Cluster],$I29,TblClusters[Environnement],$E29)=0),"Environnement ≠ cluster IKS",IF(AND(OR($G29="À migrer",$G29="Migré"),COUNTIFS(TblClusters[Cluster],$O29,TblClusters[Environnement],$E29)=0),"Environnement ≠ cluster ROKS",IF(AND($G29="À migrer",OR($U29&gt;$V29,$V29&gt;$W29)),"Dates incohérentes (prov ≤ bascule ≤ libération)",IF(AND(OR($G29="À migrer",$G29="À décommissionner"),OR(N($AO29)&gt;SUMIFS(TblClusters[CPU initial (vCPU)],TblClusters[Cluster],$I29),N($AP29)&gt;SUMIFS(TblClusters[RAM initiale (Go)],TblClusters[Cluster],$I29))),"Forçage &gt; capacité du cluster source",IF(OR(AND($AA29&lt;&gt;"",$AA29&lt;p_debut),AND($AB29&lt;&gt;"",$AB29&gt;p_fin)),"Hors horizon (info)",IF(AND($G29="À migrer",$E29="PRD",COUNTIFS(TblApplications[ID],$C29,TblApplications[Environnement],"NPRD",TblApplications[Action],"À migrer")&gt;0,$AA29&lt;_xlfn.MINIFS(TblApplications[Mois prov (calc)],TblApplications[ID],$C29,TblApplications[Environnement],"NPRD")),"PRD avant NPRD (info)","OK")))))))))))))))))))))</f>
        <v/>
      </c>
      <c r="AH29" s="62"/>
      <c r="AI29" s="62"/>
      <c r="AJ29" s="27" t="str">
        <f>IF(OR($C29="",NOT(OR($G29="À migrer",$G29="À décommissionner")),NOT(ISNUMBER($S29)),NOT(ISNUMBER($T29)),$AB29=""),"",($S29+p_poidsram*$T29)*SUMIFS(TblCalculs[Coût par unité],TblCalculs[Cluster],$I29,TblCalculs[Mois],"&lt;"&amp;$AB29))</f>
        <v/>
      </c>
      <c r="AK29" s="27" t="str">
        <f>IF($C29="","",IF(AND($G29="À migrer",$H29="Non",$Y29&lt;&gt;"",$AA29&lt;&gt;""),($Y29+p_poidsram*$Z29)*SUMIFS(TblCalculs[Coût par unité],TblCalculs[Cluster],$O29,TblCalculs[Mois],"&gt;="&amp;$AA29),IF(AND($G29="Migré",$Y29&lt;&gt;""),($Y29+p_poidsram*$Z29)*SUMIFS(TblCalculs[Coût par unité],TblCalculs[Cluster],$O29),"")))</f>
        <v/>
      </c>
      <c r="AL29" s="27" t="str">
        <f t="shared" si="6"/>
        <v/>
      </c>
      <c r="AM29" s="26" t="str">
        <f t="shared" si="7"/>
        <v/>
      </c>
      <c r="AN29" s="26" t="str">
        <f>IF(OR($C29="",$AM29&lt;&gt;1,COUNTIFS($E29,ex_envc,$A29,ex_domc,$B29,ex_tric)=0),"",COUNTIFS($AM$6:$AM29,1,$E$6:$E29,ex_envc,$A$6:$A29,ex_domc,$B$6:$B29,ex_tric))</f>
        <v/>
      </c>
      <c r="AO29" s="63"/>
      <c r="AP29" s="63"/>
      <c r="AQ29" s="63"/>
      <c r="AR29" s="63"/>
    </row>
    <row r="30" spans="1:44" x14ac:dyDescent="0.2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26" t="str">
        <f t="shared" si="0"/>
        <v/>
      </c>
      <c r="O30" s="59"/>
      <c r="P30" s="60" t="str">
        <f>IF($C30="","",IF($AQ30&lt;&gt;"",$AQ30,SUMIFS(TblDynatrace[CPU P95 (vCPU)],TblDynatrace[ID],$C30,TblDynatrace[Environnement],$E30,TblDynatrace[Couloir],$F30)))</f>
        <v/>
      </c>
      <c r="Q30" s="60" t="str">
        <f>IF($C30="","",IF($AR30&lt;&gt;"",$AR30,SUMIFS(TblDynatrace[RAM P95 (Go)],TblDynatrace[ID],$C30,TblDynatrace[Environnement],$E30,TblDynatrace[Couloir],$F30)))</f>
        <v/>
      </c>
      <c r="R30" s="26" t="str">
        <f>IF($C30="","",IFERROR(INDEX(TblDynatrace[Métrique / période],MATCH($C30&amp;"|"&amp;$E30&amp;"|"&amp;$F30,TblDynatrace[Clé],0)),""))</f>
        <v/>
      </c>
      <c r="S30" s="60" t="str">
        <f>IF(OR($C30="",NOT(OR($G30="À migrer",$G30="À décommissionner")),$I30="",NOT(ISNUMBER($P30))),"",IF($AO30&lt;&gt;"",$AO30,IFERROR(SUMIFS(TblClusters[CPU initial (vCPU)],TblClusters[Cluster],$I30)*$P30/(SUMIFS(TblApplications[CPU Dynatrace (vCPU)],TblApplications[Cluster IKS source],$I30,TblApplications[Action],"À migrer")+SUMIFS(TblApplications[CPU Dynatrace (vCPU)],TblApplications[Cluster IKS source],$I30,TblApplications[Action],"À décommissionner")),0)))</f>
        <v/>
      </c>
      <c r="T30" s="60" t="str">
        <f>IF(OR($C30="",NOT(OR($G30="À migrer",$G30="À décommissionner")),$I30="",NOT(ISNUMBER($Q30))),"",IF($AP30&lt;&gt;"",$AP30,IFERROR(SUMIFS(TblClusters[RAM initiale (Go)],TblClusters[Cluster],$I30)*$Q30/(SUMIFS(TblApplications[RAM Dynatrace (Go)],TblApplications[Cluster IKS source],$I30,TblApplications[Action],"À migrer")+SUMIFS(TblApplications[RAM Dynatrace (Go)],TblApplications[Cluster IKS source],$I30,TblApplications[Action],"À décommissionner")),0)))</f>
        <v/>
      </c>
      <c r="U30" s="61"/>
      <c r="V30" s="61"/>
      <c r="W30" s="61"/>
      <c r="X30" s="59"/>
      <c r="Y30" s="26" t="str">
        <f t="shared" si="1"/>
        <v/>
      </c>
      <c r="Z30" s="26" t="str">
        <f t="shared" si="2"/>
        <v/>
      </c>
      <c r="AA30" s="33" t="str">
        <f t="shared" si="3"/>
        <v/>
      </c>
      <c r="AB30" s="33" t="str">
        <f t="shared" si="4"/>
        <v/>
      </c>
      <c r="AC30" s="26" t="str">
        <f t="shared" si="5"/>
        <v/>
      </c>
      <c r="AD30" s="26" t="str">
        <f>IF($C30="","",COUNTIF(TblApplications[ID],$C30))</f>
        <v/>
      </c>
      <c r="AE30" s="33" t="str">
        <f>IF($C30="","",IFERROR(1/(1/_xlfn.MINIFS(TblApplications[Mois prov (calc)],TblApplications[ID],$C30)),""))</f>
        <v/>
      </c>
      <c r="AF30" s="33" t="str">
        <f>IF($C30="","",IFERROR(1/(1/_xlfn.MAXIFS(TblApplications[Mois lib (calc)],TblApplications[ID],$C30)),""))</f>
        <v/>
      </c>
      <c r="AG30" s="26" t="str">
        <f>IF($C30="","",IF(OR(OR($A30="",$B30="",$D30="",$E30="",$F30="",$G30=""),AND($G30="À migrer",OR($H30="",$I30="",$O30="",$U30="",$V30="",$W30="")),AND($G30="Migré",OR($O30="")),AND($G30="À décommissionner",OR($I30="",$W30=""))),"Données manquantes (selon l’action)",IF(AND($G30&lt;&gt;"Migré",$G30&lt;&gt;"À migrer",$G30&lt;&gt;"À décommissionner",$G30&lt;&gt;"Décommissionné"),"Action invalide",IF(COUNTIF(TblDomaines[Domaine],$A30)=0,"Domaine inconnu (référentiel)",IF(COUNTIFS(TblTribes[Tribe],$B30,TblTribes[Domaine de la tribe],$A30)=0,"Tribe inconnue ou hors domaine",IF(AND($G30="À migrer",$H30&lt;&gt;"Oui",$H30&lt;&gt;"Non"),"Valeur Oui/Non invalide (Déjà incluse ROKS)",IF(AND($E30&lt;&gt;"PRD",$E30&lt;&gt;"NPRD"),"Environnement invalide",IF(COUNTIFS(TblApplications[ID],$C30,TblApplications[Environnement],$E30,TblApplications[Couloir],$F30)&gt;1,"Déploiement en doublon (ID + env + couloir)",IF(AND(OR(OR($G30="À migrer",$G30="Migré"),OR($G30="À migrer",$G30="À décommissionner")),N($P30)&lt;=0),"Conso Dynatrace absente (onglet Dynatrace)",IF(OR(AND($P30&lt;&gt;"",NOT(ISNUMBER($P30))),AND($Q30&lt;&gt;"",NOT(ISNUMBER($Q30)))),"Ressource non numérique",IF(MIN(N($P30),N($Q30))&lt;0,"Ressource négative",IF(OR(AND($AH30&lt;&gt;"",OR(NOT(ISNUMBER($AH30)),$AH30&lt;0,$AH30&gt;1)),AND($AI30&lt;&gt;"",OR(NOT(ISNUMBER($AI30)),$AI30&lt;0,$AI30&gt;1))),"Marge spécifique invalide (0–100 %)",IF(OR(AND($U30&lt;&gt;"",NOT(ISNUMBER($U30))),AND($V30&lt;&gt;"",NOT(ISNUMBER($V30))),AND($W30&lt;&gt;"",NOT(ISNUMBER($W30)))),"Mois invalide",IF(AND(OR($G30="À migrer",$G30="À décommissionner"),COUNTIFS(TblClusters[Cluster],$I30,TblClusters[Plateforme],"IKS")=0),"Cluster IKS inconnu",IF(AND(OR($G30="À migrer",$G30="Migré"),COUNTIFS(TblClusters[Cluster],$O30,TblClusters[Plateforme],"ROKS")=0),"Cluster ROKS inconnu",IF(AND(OR($G30="À migrer",$G30="À décommissionner"),COUNTIFS(TblClusters[Cluster],$I30,TblClusters[Environnement],$E30)=0),"Environnement ≠ cluster IKS",IF(AND(OR($G30="À migrer",$G30="Migré"),COUNTIFS(TblClusters[Cluster],$O30,TblClusters[Environnement],$E30)=0),"Environnement ≠ cluster ROKS",IF(AND($G30="À migrer",OR($U30&gt;$V30,$V30&gt;$W30)),"Dates incohérentes (prov ≤ bascule ≤ libération)",IF(AND(OR($G30="À migrer",$G30="À décommissionner"),OR(N($AO30)&gt;SUMIFS(TblClusters[CPU initial (vCPU)],TblClusters[Cluster],$I30),N($AP30)&gt;SUMIFS(TblClusters[RAM initiale (Go)],TblClusters[Cluster],$I30))),"Forçage &gt; capacité du cluster source",IF(OR(AND($AA30&lt;&gt;"",$AA30&lt;p_debut),AND($AB30&lt;&gt;"",$AB30&gt;p_fin)),"Hors horizon (info)",IF(AND($G30="À migrer",$E30="PRD",COUNTIFS(TblApplications[ID],$C30,TblApplications[Environnement],"NPRD",TblApplications[Action],"À migrer")&gt;0,$AA30&lt;_xlfn.MINIFS(TblApplications[Mois prov (calc)],TblApplications[ID],$C30,TblApplications[Environnement],"NPRD")),"PRD avant NPRD (info)","OK")))))))))))))))))))))</f>
        <v/>
      </c>
      <c r="AH30" s="62"/>
      <c r="AI30" s="62"/>
      <c r="AJ30" s="27" t="str">
        <f>IF(OR($C30="",NOT(OR($G30="À migrer",$G30="À décommissionner")),NOT(ISNUMBER($S30)),NOT(ISNUMBER($T30)),$AB30=""),"",($S30+p_poidsram*$T30)*SUMIFS(TblCalculs[Coût par unité],TblCalculs[Cluster],$I30,TblCalculs[Mois],"&lt;"&amp;$AB30))</f>
        <v/>
      </c>
      <c r="AK30" s="27" t="str">
        <f>IF($C30="","",IF(AND($G30="À migrer",$H30="Non",$Y30&lt;&gt;"",$AA30&lt;&gt;""),($Y30+p_poidsram*$Z30)*SUMIFS(TblCalculs[Coût par unité],TblCalculs[Cluster],$O30,TblCalculs[Mois],"&gt;="&amp;$AA30),IF(AND($G30="Migré",$Y30&lt;&gt;""),($Y30+p_poidsram*$Z30)*SUMIFS(TblCalculs[Coût par unité],TblCalculs[Cluster],$O30),"")))</f>
        <v/>
      </c>
      <c r="AL30" s="27" t="str">
        <f t="shared" si="6"/>
        <v/>
      </c>
      <c r="AM30" s="26" t="str">
        <f t="shared" si="7"/>
        <v/>
      </c>
      <c r="AN30" s="26" t="str">
        <f>IF(OR($C30="",$AM30&lt;&gt;1,COUNTIFS($E30,ex_envc,$A30,ex_domc,$B30,ex_tric)=0),"",COUNTIFS($AM$6:$AM30,1,$E$6:$E30,ex_envc,$A$6:$A30,ex_domc,$B$6:$B30,ex_tric))</f>
        <v/>
      </c>
      <c r="AO30" s="63"/>
      <c r="AP30" s="63"/>
      <c r="AQ30" s="63"/>
      <c r="AR30" s="63"/>
    </row>
    <row r="31" spans="1:44" x14ac:dyDescent="0.2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26" t="str">
        <f t="shared" si="0"/>
        <v/>
      </c>
      <c r="O31" s="59"/>
      <c r="P31" s="60" t="str">
        <f>IF($C31="","",IF($AQ31&lt;&gt;"",$AQ31,SUMIFS(TblDynatrace[CPU P95 (vCPU)],TblDynatrace[ID],$C31,TblDynatrace[Environnement],$E31,TblDynatrace[Couloir],$F31)))</f>
        <v/>
      </c>
      <c r="Q31" s="60" t="str">
        <f>IF($C31="","",IF($AR31&lt;&gt;"",$AR31,SUMIFS(TblDynatrace[RAM P95 (Go)],TblDynatrace[ID],$C31,TblDynatrace[Environnement],$E31,TblDynatrace[Couloir],$F31)))</f>
        <v/>
      </c>
      <c r="R31" s="26" t="str">
        <f>IF($C31="","",IFERROR(INDEX(TblDynatrace[Métrique / période],MATCH($C31&amp;"|"&amp;$E31&amp;"|"&amp;$F31,TblDynatrace[Clé],0)),""))</f>
        <v/>
      </c>
      <c r="S31" s="60" t="str">
        <f>IF(OR($C31="",NOT(OR($G31="À migrer",$G31="À décommissionner")),$I31="",NOT(ISNUMBER($P31))),"",IF($AO31&lt;&gt;"",$AO31,IFERROR(SUMIFS(TblClusters[CPU initial (vCPU)],TblClusters[Cluster],$I31)*$P31/(SUMIFS(TblApplications[CPU Dynatrace (vCPU)],TblApplications[Cluster IKS source],$I31,TblApplications[Action],"À migrer")+SUMIFS(TblApplications[CPU Dynatrace (vCPU)],TblApplications[Cluster IKS source],$I31,TblApplications[Action],"À décommissionner")),0)))</f>
        <v/>
      </c>
      <c r="T31" s="60" t="str">
        <f>IF(OR($C31="",NOT(OR($G31="À migrer",$G31="À décommissionner")),$I31="",NOT(ISNUMBER($Q31))),"",IF($AP31&lt;&gt;"",$AP31,IFERROR(SUMIFS(TblClusters[RAM initiale (Go)],TblClusters[Cluster],$I31)*$Q31/(SUMIFS(TblApplications[RAM Dynatrace (Go)],TblApplications[Cluster IKS source],$I31,TblApplications[Action],"À migrer")+SUMIFS(TblApplications[RAM Dynatrace (Go)],TblApplications[Cluster IKS source],$I31,TblApplications[Action],"À décommissionner")),0)))</f>
        <v/>
      </c>
      <c r="U31" s="61"/>
      <c r="V31" s="61"/>
      <c r="W31" s="61"/>
      <c r="X31" s="59"/>
      <c r="Y31" s="26" t="str">
        <f t="shared" si="1"/>
        <v/>
      </c>
      <c r="Z31" s="26" t="str">
        <f t="shared" si="2"/>
        <v/>
      </c>
      <c r="AA31" s="33" t="str">
        <f t="shared" si="3"/>
        <v/>
      </c>
      <c r="AB31" s="33" t="str">
        <f t="shared" si="4"/>
        <v/>
      </c>
      <c r="AC31" s="26" t="str">
        <f t="shared" si="5"/>
        <v/>
      </c>
      <c r="AD31" s="26" t="str">
        <f>IF($C31="","",COUNTIF(TblApplications[ID],$C31))</f>
        <v/>
      </c>
      <c r="AE31" s="33" t="str">
        <f>IF($C31="","",IFERROR(1/(1/_xlfn.MINIFS(TblApplications[Mois prov (calc)],TblApplications[ID],$C31)),""))</f>
        <v/>
      </c>
      <c r="AF31" s="33" t="str">
        <f>IF($C31="","",IFERROR(1/(1/_xlfn.MAXIFS(TblApplications[Mois lib (calc)],TblApplications[ID],$C31)),""))</f>
        <v/>
      </c>
      <c r="AG31" s="26" t="str">
        <f>IF($C31="","",IF(OR(OR($A31="",$B31="",$D31="",$E31="",$F31="",$G31=""),AND($G31="À migrer",OR($H31="",$I31="",$O31="",$U31="",$V31="",$W31="")),AND($G31="Migré",OR($O31="")),AND($G31="À décommissionner",OR($I31="",$W31=""))),"Données manquantes (selon l’action)",IF(AND($G31&lt;&gt;"Migré",$G31&lt;&gt;"À migrer",$G31&lt;&gt;"À décommissionner",$G31&lt;&gt;"Décommissionné"),"Action invalide",IF(COUNTIF(TblDomaines[Domaine],$A31)=0,"Domaine inconnu (référentiel)",IF(COUNTIFS(TblTribes[Tribe],$B31,TblTribes[Domaine de la tribe],$A31)=0,"Tribe inconnue ou hors domaine",IF(AND($G31="À migrer",$H31&lt;&gt;"Oui",$H31&lt;&gt;"Non"),"Valeur Oui/Non invalide (Déjà incluse ROKS)",IF(AND($E31&lt;&gt;"PRD",$E31&lt;&gt;"NPRD"),"Environnement invalide",IF(COUNTIFS(TblApplications[ID],$C31,TblApplications[Environnement],$E31,TblApplications[Couloir],$F31)&gt;1,"Déploiement en doublon (ID + env + couloir)",IF(AND(OR(OR($G31="À migrer",$G31="Migré"),OR($G31="À migrer",$G31="À décommissionner")),N($P31)&lt;=0),"Conso Dynatrace absente (onglet Dynatrace)",IF(OR(AND($P31&lt;&gt;"",NOT(ISNUMBER($P31))),AND($Q31&lt;&gt;"",NOT(ISNUMBER($Q31)))),"Ressource non numérique",IF(MIN(N($P31),N($Q31))&lt;0,"Ressource négative",IF(OR(AND($AH31&lt;&gt;"",OR(NOT(ISNUMBER($AH31)),$AH31&lt;0,$AH31&gt;1)),AND($AI31&lt;&gt;"",OR(NOT(ISNUMBER($AI31)),$AI31&lt;0,$AI31&gt;1))),"Marge spécifique invalide (0–100 %)",IF(OR(AND($U31&lt;&gt;"",NOT(ISNUMBER($U31))),AND($V31&lt;&gt;"",NOT(ISNUMBER($V31))),AND($W31&lt;&gt;"",NOT(ISNUMBER($W31)))),"Mois invalide",IF(AND(OR($G31="À migrer",$G31="À décommissionner"),COUNTIFS(TblClusters[Cluster],$I31,TblClusters[Plateforme],"IKS")=0),"Cluster IKS inconnu",IF(AND(OR($G31="À migrer",$G31="Migré"),COUNTIFS(TblClusters[Cluster],$O31,TblClusters[Plateforme],"ROKS")=0),"Cluster ROKS inconnu",IF(AND(OR($G31="À migrer",$G31="À décommissionner"),COUNTIFS(TblClusters[Cluster],$I31,TblClusters[Environnement],$E31)=0),"Environnement ≠ cluster IKS",IF(AND(OR($G31="À migrer",$G31="Migré"),COUNTIFS(TblClusters[Cluster],$O31,TblClusters[Environnement],$E31)=0),"Environnement ≠ cluster ROKS",IF(AND($G31="À migrer",OR($U31&gt;$V31,$V31&gt;$W31)),"Dates incohérentes (prov ≤ bascule ≤ libération)",IF(AND(OR($G31="À migrer",$G31="À décommissionner"),OR(N($AO31)&gt;SUMIFS(TblClusters[CPU initial (vCPU)],TblClusters[Cluster],$I31),N($AP31)&gt;SUMIFS(TblClusters[RAM initiale (Go)],TblClusters[Cluster],$I31))),"Forçage &gt; capacité du cluster source",IF(OR(AND($AA31&lt;&gt;"",$AA31&lt;p_debut),AND($AB31&lt;&gt;"",$AB31&gt;p_fin)),"Hors horizon (info)",IF(AND($G31="À migrer",$E31="PRD",COUNTIFS(TblApplications[ID],$C31,TblApplications[Environnement],"NPRD",TblApplications[Action],"À migrer")&gt;0,$AA31&lt;_xlfn.MINIFS(TblApplications[Mois prov (calc)],TblApplications[ID],$C31,TblApplications[Environnement],"NPRD")),"PRD avant NPRD (info)","OK")))))))))))))))))))))</f>
        <v/>
      </c>
      <c r="AH31" s="62"/>
      <c r="AI31" s="62"/>
      <c r="AJ31" s="27" t="str">
        <f>IF(OR($C31="",NOT(OR($G31="À migrer",$G31="À décommissionner")),NOT(ISNUMBER($S31)),NOT(ISNUMBER($T31)),$AB31=""),"",($S31+p_poidsram*$T31)*SUMIFS(TblCalculs[Coût par unité],TblCalculs[Cluster],$I31,TblCalculs[Mois],"&lt;"&amp;$AB31))</f>
        <v/>
      </c>
      <c r="AK31" s="27" t="str">
        <f>IF($C31="","",IF(AND($G31="À migrer",$H31="Non",$Y31&lt;&gt;"",$AA31&lt;&gt;""),($Y31+p_poidsram*$Z31)*SUMIFS(TblCalculs[Coût par unité],TblCalculs[Cluster],$O31,TblCalculs[Mois],"&gt;="&amp;$AA31),IF(AND($G31="Migré",$Y31&lt;&gt;""),($Y31+p_poidsram*$Z31)*SUMIFS(TblCalculs[Coût par unité],TblCalculs[Cluster],$O31),"")))</f>
        <v/>
      </c>
      <c r="AL31" s="27" t="str">
        <f t="shared" si="6"/>
        <v/>
      </c>
      <c r="AM31" s="26" t="str">
        <f t="shared" si="7"/>
        <v/>
      </c>
      <c r="AN31" s="26" t="str">
        <f>IF(OR($C31="",$AM31&lt;&gt;1,COUNTIFS($E31,ex_envc,$A31,ex_domc,$B31,ex_tric)=0),"",COUNTIFS($AM$6:$AM31,1,$E$6:$E31,ex_envc,$A$6:$A31,ex_domc,$B$6:$B31,ex_tric))</f>
        <v/>
      </c>
      <c r="AO31" s="63"/>
      <c r="AP31" s="63"/>
      <c r="AQ31" s="63"/>
      <c r="AR31" s="63"/>
    </row>
    <row r="32" spans="1:44" x14ac:dyDescent="0.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26" t="str">
        <f t="shared" si="0"/>
        <v/>
      </c>
      <c r="O32" s="59"/>
      <c r="P32" s="60" t="str">
        <f>IF($C32="","",IF($AQ32&lt;&gt;"",$AQ32,SUMIFS(TblDynatrace[CPU P95 (vCPU)],TblDynatrace[ID],$C32,TblDynatrace[Environnement],$E32,TblDynatrace[Couloir],$F32)))</f>
        <v/>
      </c>
      <c r="Q32" s="60" t="str">
        <f>IF($C32="","",IF($AR32&lt;&gt;"",$AR32,SUMIFS(TblDynatrace[RAM P95 (Go)],TblDynatrace[ID],$C32,TblDynatrace[Environnement],$E32,TblDynatrace[Couloir],$F32)))</f>
        <v/>
      </c>
      <c r="R32" s="26" t="str">
        <f>IF($C32="","",IFERROR(INDEX(TblDynatrace[Métrique / période],MATCH($C32&amp;"|"&amp;$E32&amp;"|"&amp;$F32,TblDynatrace[Clé],0)),""))</f>
        <v/>
      </c>
      <c r="S32" s="60" t="str">
        <f>IF(OR($C32="",NOT(OR($G32="À migrer",$G32="À décommissionner")),$I32="",NOT(ISNUMBER($P32))),"",IF($AO32&lt;&gt;"",$AO32,IFERROR(SUMIFS(TblClusters[CPU initial (vCPU)],TblClusters[Cluster],$I32)*$P32/(SUMIFS(TblApplications[CPU Dynatrace (vCPU)],TblApplications[Cluster IKS source],$I32,TblApplications[Action],"À migrer")+SUMIFS(TblApplications[CPU Dynatrace (vCPU)],TblApplications[Cluster IKS source],$I32,TblApplications[Action],"À décommissionner")),0)))</f>
        <v/>
      </c>
      <c r="T32" s="60" t="str">
        <f>IF(OR($C32="",NOT(OR($G32="À migrer",$G32="À décommissionner")),$I32="",NOT(ISNUMBER($Q32))),"",IF($AP32&lt;&gt;"",$AP32,IFERROR(SUMIFS(TblClusters[RAM initiale (Go)],TblClusters[Cluster],$I32)*$Q32/(SUMIFS(TblApplications[RAM Dynatrace (Go)],TblApplications[Cluster IKS source],$I32,TblApplications[Action],"À migrer")+SUMIFS(TblApplications[RAM Dynatrace (Go)],TblApplications[Cluster IKS source],$I32,TblApplications[Action],"À décommissionner")),0)))</f>
        <v/>
      </c>
      <c r="U32" s="61"/>
      <c r="V32" s="61"/>
      <c r="W32" s="61"/>
      <c r="X32" s="59"/>
      <c r="Y32" s="26" t="str">
        <f t="shared" si="1"/>
        <v/>
      </c>
      <c r="Z32" s="26" t="str">
        <f t="shared" si="2"/>
        <v/>
      </c>
      <c r="AA32" s="33" t="str">
        <f t="shared" si="3"/>
        <v/>
      </c>
      <c r="AB32" s="33" t="str">
        <f t="shared" si="4"/>
        <v/>
      </c>
      <c r="AC32" s="26" t="str">
        <f t="shared" si="5"/>
        <v/>
      </c>
      <c r="AD32" s="26" t="str">
        <f>IF($C32="","",COUNTIF(TblApplications[ID],$C32))</f>
        <v/>
      </c>
      <c r="AE32" s="33" t="str">
        <f>IF($C32="","",IFERROR(1/(1/_xlfn.MINIFS(TblApplications[Mois prov (calc)],TblApplications[ID],$C32)),""))</f>
        <v/>
      </c>
      <c r="AF32" s="33" t="str">
        <f>IF($C32="","",IFERROR(1/(1/_xlfn.MAXIFS(TblApplications[Mois lib (calc)],TblApplications[ID],$C32)),""))</f>
        <v/>
      </c>
      <c r="AG32" s="26" t="str">
        <f>IF($C32="","",IF(OR(OR($A32="",$B32="",$D32="",$E32="",$F32="",$G32=""),AND($G32="À migrer",OR($H32="",$I32="",$O32="",$U32="",$V32="",$W32="")),AND($G32="Migré",OR($O32="")),AND($G32="À décommissionner",OR($I32="",$W32=""))),"Données manquantes (selon l’action)",IF(AND($G32&lt;&gt;"Migré",$G32&lt;&gt;"À migrer",$G32&lt;&gt;"À décommissionner",$G32&lt;&gt;"Décommissionné"),"Action invalide",IF(COUNTIF(TblDomaines[Domaine],$A32)=0,"Domaine inconnu (référentiel)",IF(COUNTIFS(TblTribes[Tribe],$B32,TblTribes[Domaine de la tribe],$A32)=0,"Tribe inconnue ou hors domaine",IF(AND($G32="À migrer",$H32&lt;&gt;"Oui",$H32&lt;&gt;"Non"),"Valeur Oui/Non invalide (Déjà incluse ROKS)",IF(AND($E32&lt;&gt;"PRD",$E32&lt;&gt;"NPRD"),"Environnement invalide",IF(COUNTIFS(TblApplications[ID],$C32,TblApplications[Environnement],$E32,TblApplications[Couloir],$F32)&gt;1,"Déploiement en doublon (ID + env + couloir)",IF(AND(OR(OR($G32="À migrer",$G32="Migré"),OR($G32="À migrer",$G32="À décommissionner")),N($P32)&lt;=0),"Conso Dynatrace absente (onglet Dynatrace)",IF(OR(AND($P32&lt;&gt;"",NOT(ISNUMBER($P32))),AND($Q32&lt;&gt;"",NOT(ISNUMBER($Q32)))),"Ressource non numérique",IF(MIN(N($P32),N($Q32))&lt;0,"Ressource négative",IF(OR(AND($AH32&lt;&gt;"",OR(NOT(ISNUMBER($AH32)),$AH32&lt;0,$AH32&gt;1)),AND($AI32&lt;&gt;"",OR(NOT(ISNUMBER($AI32)),$AI32&lt;0,$AI32&gt;1))),"Marge spécifique invalide (0–100 %)",IF(OR(AND($U32&lt;&gt;"",NOT(ISNUMBER($U32))),AND($V32&lt;&gt;"",NOT(ISNUMBER($V32))),AND($W32&lt;&gt;"",NOT(ISNUMBER($W32)))),"Mois invalide",IF(AND(OR($G32="À migrer",$G32="À décommissionner"),COUNTIFS(TblClusters[Cluster],$I32,TblClusters[Plateforme],"IKS")=0),"Cluster IKS inconnu",IF(AND(OR($G32="À migrer",$G32="Migré"),COUNTIFS(TblClusters[Cluster],$O32,TblClusters[Plateforme],"ROKS")=0),"Cluster ROKS inconnu",IF(AND(OR($G32="À migrer",$G32="À décommissionner"),COUNTIFS(TblClusters[Cluster],$I32,TblClusters[Environnement],$E32)=0),"Environnement ≠ cluster IKS",IF(AND(OR($G32="À migrer",$G32="Migré"),COUNTIFS(TblClusters[Cluster],$O32,TblClusters[Environnement],$E32)=0),"Environnement ≠ cluster ROKS",IF(AND($G32="À migrer",OR($U32&gt;$V32,$V32&gt;$W32)),"Dates incohérentes (prov ≤ bascule ≤ libération)",IF(AND(OR($G32="À migrer",$G32="À décommissionner"),OR(N($AO32)&gt;SUMIFS(TblClusters[CPU initial (vCPU)],TblClusters[Cluster],$I32),N($AP32)&gt;SUMIFS(TblClusters[RAM initiale (Go)],TblClusters[Cluster],$I32))),"Forçage &gt; capacité du cluster source",IF(OR(AND($AA32&lt;&gt;"",$AA32&lt;p_debut),AND($AB32&lt;&gt;"",$AB32&gt;p_fin)),"Hors horizon (info)",IF(AND($G32="À migrer",$E32="PRD",COUNTIFS(TblApplications[ID],$C32,TblApplications[Environnement],"NPRD",TblApplications[Action],"À migrer")&gt;0,$AA32&lt;_xlfn.MINIFS(TblApplications[Mois prov (calc)],TblApplications[ID],$C32,TblApplications[Environnement],"NPRD")),"PRD avant NPRD (info)","OK")))))))))))))))))))))</f>
        <v/>
      </c>
      <c r="AH32" s="62"/>
      <c r="AI32" s="62"/>
      <c r="AJ32" s="27" t="str">
        <f>IF(OR($C32="",NOT(OR($G32="À migrer",$G32="À décommissionner")),NOT(ISNUMBER($S32)),NOT(ISNUMBER($T32)),$AB32=""),"",($S32+p_poidsram*$T32)*SUMIFS(TblCalculs[Coût par unité],TblCalculs[Cluster],$I32,TblCalculs[Mois],"&lt;"&amp;$AB32))</f>
        <v/>
      </c>
      <c r="AK32" s="27" t="str">
        <f>IF($C32="","",IF(AND($G32="À migrer",$H32="Non",$Y32&lt;&gt;"",$AA32&lt;&gt;""),($Y32+p_poidsram*$Z32)*SUMIFS(TblCalculs[Coût par unité],TblCalculs[Cluster],$O32,TblCalculs[Mois],"&gt;="&amp;$AA32),IF(AND($G32="Migré",$Y32&lt;&gt;""),($Y32+p_poidsram*$Z32)*SUMIFS(TblCalculs[Coût par unité],TblCalculs[Cluster],$O32),"")))</f>
        <v/>
      </c>
      <c r="AL32" s="27" t="str">
        <f t="shared" si="6"/>
        <v/>
      </c>
      <c r="AM32" s="26" t="str">
        <f t="shared" si="7"/>
        <v/>
      </c>
      <c r="AN32" s="26" t="str">
        <f>IF(OR($C32="",$AM32&lt;&gt;1,COUNTIFS($E32,ex_envc,$A32,ex_domc,$B32,ex_tric)=0),"",COUNTIFS($AM$6:$AM32,1,$E$6:$E32,ex_envc,$A$6:$A32,ex_domc,$B$6:$B32,ex_tric))</f>
        <v/>
      </c>
      <c r="AO32" s="63"/>
      <c r="AP32" s="63"/>
      <c r="AQ32" s="63"/>
      <c r="AR32" s="63"/>
    </row>
    <row r="33" spans="1:44" x14ac:dyDescent="0.2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26" t="str">
        <f t="shared" si="0"/>
        <v/>
      </c>
      <c r="O33" s="59"/>
      <c r="P33" s="60" t="str">
        <f>IF($C33="","",IF($AQ33&lt;&gt;"",$AQ33,SUMIFS(TblDynatrace[CPU P95 (vCPU)],TblDynatrace[ID],$C33,TblDynatrace[Environnement],$E33,TblDynatrace[Couloir],$F33)))</f>
        <v/>
      </c>
      <c r="Q33" s="60" t="str">
        <f>IF($C33="","",IF($AR33&lt;&gt;"",$AR33,SUMIFS(TblDynatrace[RAM P95 (Go)],TblDynatrace[ID],$C33,TblDynatrace[Environnement],$E33,TblDynatrace[Couloir],$F33)))</f>
        <v/>
      </c>
      <c r="R33" s="26" t="str">
        <f>IF($C33="","",IFERROR(INDEX(TblDynatrace[Métrique / période],MATCH($C33&amp;"|"&amp;$E33&amp;"|"&amp;$F33,TblDynatrace[Clé],0)),""))</f>
        <v/>
      </c>
      <c r="S33" s="60" t="str">
        <f>IF(OR($C33="",NOT(OR($G33="À migrer",$G33="À décommissionner")),$I33="",NOT(ISNUMBER($P33))),"",IF($AO33&lt;&gt;"",$AO33,IFERROR(SUMIFS(TblClusters[CPU initial (vCPU)],TblClusters[Cluster],$I33)*$P33/(SUMIFS(TblApplications[CPU Dynatrace (vCPU)],TblApplications[Cluster IKS source],$I33,TblApplications[Action],"À migrer")+SUMIFS(TblApplications[CPU Dynatrace (vCPU)],TblApplications[Cluster IKS source],$I33,TblApplications[Action],"À décommissionner")),0)))</f>
        <v/>
      </c>
      <c r="T33" s="60" t="str">
        <f>IF(OR($C33="",NOT(OR($G33="À migrer",$G33="À décommissionner")),$I33="",NOT(ISNUMBER($Q33))),"",IF($AP33&lt;&gt;"",$AP33,IFERROR(SUMIFS(TblClusters[RAM initiale (Go)],TblClusters[Cluster],$I33)*$Q33/(SUMIFS(TblApplications[RAM Dynatrace (Go)],TblApplications[Cluster IKS source],$I33,TblApplications[Action],"À migrer")+SUMIFS(TblApplications[RAM Dynatrace (Go)],TblApplications[Cluster IKS source],$I33,TblApplications[Action],"À décommissionner")),0)))</f>
        <v/>
      </c>
      <c r="U33" s="61"/>
      <c r="V33" s="61"/>
      <c r="W33" s="61"/>
      <c r="X33" s="59"/>
      <c r="Y33" s="26" t="str">
        <f t="shared" si="1"/>
        <v/>
      </c>
      <c r="Z33" s="26" t="str">
        <f t="shared" si="2"/>
        <v/>
      </c>
      <c r="AA33" s="33" t="str">
        <f t="shared" si="3"/>
        <v/>
      </c>
      <c r="AB33" s="33" t="str">
        <f t="shared" si="4"/>
        <v/>
      </c>
      <c r="AC33" s="26" t="str">
        <f t="shared" si="5"/>
        <v/>
      </c>
      <c r="AD33" s="26" t="str">
        <f>IF($C33="","",COUNTIF(TblApplications[ID],$C33))</f>
        <v/>
      </c>
      <c r="AE33" s="33" t="str">
        <f>IF($C33="","",IFERROR(1/(1/_xlfn.MINIFS(TblApplications[Mois prov (calc)],TblApplications[ID],$C33)),""))</f>
        <v/>
      </c>
      <c r="AF33" s="33" t="str">
        <f>IF($C33="","",IFERROR(1/(1/_xlfn.MAXIFS(TblApplications[Mois lib (calc)],TblApplications[ID],$C33)),""))</f>
        <v/>
      </c>
      <c r="AG33" s="26" t="str">
        <f>IF($C33="","",IF(OR(OR($A33="",$B33="",$D33="",$E33="",$F33="",$G33=""),AND($G33="À migrer",OR($H33="",$I33="",$O33="",$U33="",$V33="",$W33="")),AND($G33="Migré",OR($O33="")),AND($G33="À décommissionner",OR($I33="",$W33=""))),"Données manquantes (selon l’action)",IF(AND($G33&lt;&gt;"Migré",$G33&lt;&gt;"À migrer",$G33&lt;&gt;"À décommissionner",$G33&lt;&gt;"Décommissionné"),"Action invalide",IF(COUNTIF(TblDomaines[Domaine],$A33)=0,"Domaine inconnu (référentiel)",IF(COUNTIFS(TblTribes[Tribe],$B33,TblTribes[Domaine de la tribe],$A33)=0,"Tribe inconnue ou hors domaine",IF(AND($G33="À migrer",$H33&lt;&gt;"Oui",$H33&lt;&gt;"Non"),"Valeur Oui/Non invalide (Déjà incluse ROKS)",IF(AND($E33&lt;&gt;"PRD",$E33&lt;&gt;"NPRD"),"Environnement invalide",IF(COUNTIFS(TblApplications[ID],$C33,TblApplications[Environnement],$E33,TblApplications[Couloir],$F33)&gt;1,"Déploiement en doublon (ID + env + couloir)",IF(AND(OR(OR($G33="À migrer",$G33="Migré"),OR($G33="À migrer",$G33="À décommissionner")),N($P33)&lt;=0),"Conso Dynatrace absente (onglet Dynatrace)",IF(OR(AND($P33&lt;&gt;"",NOT(ISNUMBER($P33))),AND($Q33&lt;&gt;"",NOT(ISNUMBER($Q33)))),"Ressource non numérique",IF(MIN(N($P33),N($Q33))&lt;0,"Ressource négative",IF(OR(AND($AH33&lt;&gt;"",OR(NOT(ISNUMBER($AH33)),$AH33&lt;0,$AH33&gt;1)),AND($AI33&lt;&gt;"",OR(NOT(ISNUMBER($AI33)),$AI33&lt;0,$AI33&gt;1))),"Marge spécifique invalide (0–100 %)",IF(OR(AND($U33&lt;&gt;"",NOT(ISNUMBER($U33))),AND($V33&lt;&gt;"",NOT(ISNUMBER($V33))),AND($W33&lt;&gt;"",NOT(ISNUMBER($W33)))),"Mois invalide",IF(AND(OR($G33="À migrer",$G33="À décommissionner"),COUNTIFS(TblClusters[Cluster],$I33,TblClusters[Plateforme],"IKS")=0),"Cluster IKS inconnu",IF(AND(OR($G33="À migrer",$G33="Migré"),COUNTIFS(TblClusters[Cluster],$O33,TblClusters[Plateforme],"ROKS")=0),"Cluster ROKS inconnu",IF(AND(OR($G33="À migrer",$G33="À décommissionner"),COUNTIFS(TblClusters[Cluster],$I33,TblClusters[Environnement],$E33)=0),"Environnement ≠ cluster IKS",IF(AND(OR($G33="À migrer",$G33="Migré"),COUNTIFS(TblClusters[Cluster],$O33,TblClusters[Environnement],$E33)=0),"Environnement ≠ cluster ROKS",IF(AND($G33="À migrer",OR($U33&gt;$V33,$V33&gt;$W33)),"Dates incohérentes (prov ≤ bascule ≤ libération)",IF(AND(OR($G33="À migrer",$G33="À décommissionner"),OR(N($AO33)&gt;SUMIFS(TblClusters[CPU initial (vCPU)],TblClusters[Cluster],$I33),N($AP33)&gt;SUMIFS(TblClusters[RAM initiale (Go)],TblClusters[Cluster],$I33))),"Forçage &gt; capacité du cluster source",IF(OR(AND($AA33&lt;&gt;"",$AA33&lt;p_debut),AND($AB33&lt;&gt;"",$AB33&gt;p_fin)),"Hors horizon (info)",IF(AND($G33="À migrer",$E33="PRD",COUNTIFS(TblApplications[ID],$C33,TblApplications[Environnement],"NPRD",TblApplications[Action],"À migrer")&gt;0,$AA33&lt;_xlfn.MINIFS(TblApplications[Mois prov (calc)],TblApplications[ID],$C33,TblApplications[Environnement],"NPRD")),"PRD avant NPRD (info)","OK")))))))))))))))))))))</f>
        <v/>
      </c>
      <c r="AH33" s="62"/>
      <c r="AI33" s="62"/>
      <c r="AJ33" s="27" t="str">
        <f>IF(OR($C33="",NOT(OR($G33="À migrer",$G33="À décommissionner")),NOT(ISNUMBER($S33)),NOT(ISNUMBER($T33)),$AB33=""),"",($S33+p_poidsram*$T33)*SUMIFS(TblCalculs[Coût par unité],TblCalculs[Cluster],$I33,TblCalculs[Mois],"&lt;"&amp;$AB33))</f>
        <v/>
      </c>
      <c r="AK33" s="27" t="str">
        <f>IF($C33="","",IF(AND($G33="À migrer",$H33="Non",$Y33&lt;&gt;"",$AA33&lt;&gt;""),($Y33+p_poidsram*$Z33)*SUMIFS(TblCalculs[Coût par unité],TblCalculs[Cluster],$O33,TblCalculs[Mois],"&gt;="&amp;$AA33),IF(AND($G33="Migré",$Y33&lt;&gt;""),($Y33+p_poidsram*$Z33)*SUMIFS(TblCalculs[Coût par unité],TblCalculs[Cluster],$O33),"")))</f>
        <v/>
      </c>
      <c r="AL33" s="27" t="str">
        <f t="shared" si="6"/>
        <v/>
      </c>
      <c r="AM33" s="26" t="str">
        <f t="shared" si="7"/>
        <v/>
      </c>
      <c r="AN33" s="26" t="str">
        <f>IF(OR($C33="",$AM33&lt;&gt;1,COUNTIFS($E33,ex_envc,$A33,ex_domc,$B33,ex_tric)=0),"",COUNTIFS($AM$6:$AM33,1,$E$6:$E33,ex_envc,$A$6:$A33,ex_domc,$B$6:$B33,ex_tric))</f>
        <v/>
      </c>
      <c r="AO33" s="63"/>
      <c r="AP33" s="63"/>
      <c r="AQ33" s="63"/>
      <c r="AR33" s="63"/>
    </row>
    <row r="34" spans="1:44" x14ac:dyDescent="0.2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26" t="str">
        <f t="shared" si="0"/>
        <v/>
      </c>
      <c r="O34" s="59"/>
      <c r="P34" s="60" t="str">
        <f>IF($C34="","",IF($AQ34&lt;&gt;"",$AQ34,SUMIFS(TblDynatrace[CPU P95 (vCPU)],TblDynatrace[ID],$C34,TblDynatrace[Environnement],$E34,TblDynatrace[Couloir],$F34)))</f>
        <v/>
      </c>
      <c r="Q34" s="60" t="str">
        <f>IF($C34="","",IF($AR34&lt;&gt;"",$AR34,SUMIFS(TblDynatrace[RAM P95 (Go)],TblDynatrace[ID],$C34,TblDynatrace[Environnement],$E34,TblDynatrace[Couloir],$F34)))</f>
        <v/>
      </c>
      <c r="R34" s="26" t="str">
        <f>IF($C34="","",IFERROR(INDEX(TblDynatrace[Métrique / période],MATCH($C34&amp;"|"&amp;$E34&amp;"|"&amp;$F34,TblDynatrace[Clé],0)),""))</f>
        <v/>
      </c>
      <c r="S34" s="60" t="str">
        <f>IF(OR($C34="",NOT(OR($G34="À migrer",$G34="À décommissionner")),$I34="",NOT(ISNUMBER($P34))),"",IF($AO34&lt;&gt;"",$AO34,IFERROR(SUMIFS(TblClusters[CPU initial (vCPU)],TblClusters[Cluster],$I34)*$P34/(SUMIFS(TblApplications[CPU Dynatrace (vCPU)],TblApplications[Cluster IKS source],$I34,TblApplications[Action],"À migrer")+SUMIFS(TblApplications[CPU Dynatrace (vCPU)],TblApplications[Cluster IKS source],$I34,TblApplications[Action],"À décommissionner")),0)))</f>
        <v/>
      </c>
      <c r="T34" s="60" t="str">
        <f>IF(OR($C34="",NOT(OR($G34="À migrer",$G34="À décommissionner")),$I34="",NOT(ISNUMBER($Q34))),"",IF($AP34&lt;&gt;"",$AP34,IFERROR(SUMIFS(TblClusters[RAM initiale (Go)],TblClusters[Cluster],$I34)*$Q34/(SUMIFS(TblApplications[RAM Dynatrace (Go)],TblApplications[Cluster IKS source],$I34,TblApplications[Action],"À migrer")+SUMIFS(TblApplications[RAM Dynatrace (Go)],TblApplications[Cluster IKS source],$I34,TblApplications[Action],"À décommissionner")),0)))</f>
        <v/>
      </c>
      <c r="U34" s="61"/>
      <c r="V34" s="61"/>
      <c r="W34" s="61"/>
      <c r="X34" s="59"/>
      <c r="Y34" s="26" t="str">
        <f t="shared" si="1"/>
        <v/>
      </c>
      <c r="Z34" s="26" t="str">
        <f t="shared" si="2"/>
        <v/>
      </c>
      <c r="AA34" s="33" t="str">
        <f t="shared" si="3"/>
        <v/>
      </c>
      <c r="AB34" s="33" t="str">
        <f t="shared" si="4"/>
        <v/>
      </c>
      <c r="AC34" s="26" t="str">
        <f t="shared" si="5"/>
        <v/>
      </c>
      <c r="AD34" s="26" t="str">
        <f>IF($C34="","",COUNTIF(TblApplications[ID],$C34))</f>
        <v/>
      </c>
      <c r="AE34" s="33" t="str">
        <f>IF($C34="","",IFERROR(1/(1/_xlfn.MINIFS(TblApplications[Mois prov (calc)],TblApplications[ID],$C34)),""))</f>
        <v/>
      </c>
      <c r="AF34" s="33" t="str">
        <f>IF($C34="","",IFERROR(1/(1/_xlfn.MAXIFS(TblApplications[Mois lib (calc)],TblApplications[ID],$C34)),""))</f>
        <v/>
      </c>
      <c r="AG34" s="26" t="str">
        <f>IF($C34="","",IF(OR(OR($A34="",$B34="",$D34="",$E34="",$F34="",$G34=""),AND($G34="À migrer",OR($H34="",$I34="",$O34="",$U34="",$V34="",$W34="")),AND($G34="Migré",OR($O34="")),AND($G34="À décommissionner",OR($I34="",$W34=""))),"Données manquantes (selon l’action)",IF(AND($G34&lt;&gt;"Migré",$G34&lt;&gt;"À migrer",$G34&lt;&gt;"À décommissionner",$G34&lt;&gt;"Décommissionné"),"Action invalide",IF(COUNTIF(TblDomaines[Domaine],$A34)=0,"Domaine inconnu (référentiel)",IF(COUNTIFS(TblTribes[Tribe],$B34,TblTribes[Domaine de la tribe],$A34)=0,"Tribe inconnue ou hors domaine",IF(AND($G34="À migrer",$H34&lt;&gt;"Oui",$H34&lt;&gt;"Non"),"Valeur Oui/Non invalide (Déjà incluse ROKS)",IF(AND($E34&lt;&gt;"PRD",$E34&lt;&gt;"NPRD"),"Environnement invalide",IF(COUNTIFS(TblApplications[ID],$C34,TblApplications[Environnement],$E34,TblApplications[Couloir],$F34)&gt;1,"Déploiement en doublon (ID + env + couloir)",IF(AND(OR(OR($G34="À migrer",$G34="Migré"),OR($G34="À migrer",$G34="À décommissionner")),N($P34)&lt;=0),"Conso Dynatrace absente (onglet Dynatrace)",IF(OR(AND($P34&lt;&gt;"",NOT(ISNUMBER($P34))),AND($Q34&lt;&gt;"",NOT(ISNUMBER($Q34)))),"Ressource non numérique",IF(MIN(N($P34),N($Q34))&lt;0,"Ressource négative",IF(OR(AND($AH34&lt;&gt;"",OR(NOT(ISNUMBER($AH34)),$AH34&lt;0,$AH34&gt;1)),AND($AI34&lt;&gt;"",OR(NOT(ISNUMBER($AI34)),$AI34&lt;0,$AI34&gt;1))),"Marge spécifique invalide (0–100 %)",IF(OR(AND($U34&lt;&gt;"",NOT(ISNUMBER($U34))),AND($V34&lt;&gt;"",NOT(ISNUMBER($V34))),AND($W34&lt;&gt;"",NOT(ISNUMBER($W34)))),"Mois invalide",IF(AND(OR($G34="À migrer",$G34="À décommissionner"),COUNTIFS(TblClusters[Cluster],$I34,TblClusters[Plateforme],"IKS")=0),"Cluster IKS inconnu",IF(AND(OR($G34="À migrer",$G34="Migré"),COUNTIFS(TblClusters[Cluster],$O34,TblClusters[Plateforme],"ROKS")=0),"Cluster ROKS inconnu",IF(AND(OR($G34="À migrer",$G34="À décommissionner"),COUNTIFS(TblClusters[Cluster],$I34,TblClusters[Environnement],$E34)=0),"Environnement ≠ cluster IKS",IF(AND(OR($G34="À migrer",$G34="Migré"),COUNTIFS(TblClusters[Cluster],$O34,TblClusters[Environnement],$E34)=0),"Environnement ≠ cluster ROKS",IF(AND($G34="À migrer",OR($U34&gt;$V34,$V34&gt;$W34)),"Dates incohérentes (prov ≤ bascule ≤ libération)",IF(AND(OR($G34="À migrer",$G34="À décommissionner"),OR(N($AO34)&gt;SUMIFS(TblClusters[CPU initial (vCPU)],TblClusters[Cluster],$I34),N($AP34)&gt;SUMIFS(TblClusters[RAM initiale (Go)],TblClusters[Cluster],$I34))),"Forçage &gt; capacité du cluster source",IF(OR(AND($AA34&lt;&gt;"",$AA34&lt;p_debut),AND($AB34&lt;&gt;"",$AB34&gt;p_fin)),"Hors horizon (info)",IF(AND($G34="À migrer",$E34="PRD",COUNTIFS(TblApplications[ID],$C34,TblApplications[Environnement],"NPRD",TblApplications[Action],"À migrer")&gt;0,$AA34&lt;_xlfn.MINIFS(TblApplications[Mois prov (calc)],TblApplications[ID],$C34,TblApplications[Environnement],"NPRD")),"PRD avant NPRD (info)","OK")))))))))))))))))))))</f>
        <v/>
      </c>
      <c r="AH34" s="62"/>
      <c r="AI34" s="62"/>
      <c r="AJ34" s="27" t="str">
        <f>IF(OR($C34="",NOT(OR($G34="À migrer",$G34="À décommissionner")),NOT(ISNUMBER($S34)),NOT(ISNUMBER($T34)),$AB34=""),"",($S34+p_poidsram*$T34)*SUMIFS(TblCalculs[Coût par unité],TblCalculs[Cluster],$I34,TblCalculs[Mois],"&lt;"&amp;$AB34))</f>
        <v/>
      </c>
      <c r="AK34" s="27" t="str">
        <f>IF($C34="","",IF(AND($G34="À migrer",$H34="Non",$Y34&lt;&gt;"",$AA34&lt;&gt;""),($Y34+p_poidsram*$Z34)*SUMIFS(TblCalculs[Coût par unité],TblCalculs[Cluster],$O34,TblCalculs[Mois],"&gt;="&amp;$AA34),IF(AND($G34="Migré",$Y34&lt;&gt;""),($Y34+p_poidsram*$Z34)*SUMIFS(TblCalculs[Coût par unité],TblCalculs[Cluster],$O34),"")))</f>
        <v/>
      </c>
      <c r="AL34" s="27" t="str">
        <f t="shared" si="6"/>
        <v/>
      </c>
      <c r="AM34" s="26" t="str">
        <f t="shared" si="7"/>
        <v/>
      </c>
      <c r="AN34" s="26" t="str">
        <f>IF(OR($C34="",$AM34&lt;&gt;1,COUNTIFS($E34,ex_envc,$A34,ex_domc,$B34,ex_tric)=0),"",COUNTIFS($AM$6:$AM34,1,$E$6:$E34,ex_envc,$A$6:$A34,ex_domc,$B$6:$B34,ex_tric))</f>
        <v/>
      </c>
      <c r="AO34" s="63"/>
      <c r="AP34" s="63"/>
      <c r="AQ34" s="63"/>
      <c r="AR34" s="63"/>
    </row>
    <row r="35" spans="1:44" x14ac:dyDescent="0.2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26" t="str">
        <f t="shared" si="0"/>
        <v/>
      </c>
      <c r="O35" s="59"/>
      <c r="P35" s="60" t="str">
        <f>IF($C35="","",IF($AQ35&lt;&gt;"",$AQ35,SUMIFS(TblDynatrace[CPU P95 (vCPU)],TblDynatrace[ID],$C35,TblDynatrace[Environnement],$E35,TblDynatrace[Couloir],$F35)))</f>
        <v/>
      </c>
      <c r="Q35" s="60" t="str">
        <f>IF($C35="","",IF($AR35&lt;&gt;"",$AR35,SUMIFS(TblDynatrace[RAM P95 (Go)],TblDynatrace[ID],$C35,TblDynatrace[Environnement],$E35,TblDynatrace[Couloir],$F35)))</f>
        <v/>
      </c>
      <c r="R35" s="26" t="str">
        <f>IF($C35="","",IFERROR(INDEX(TblDynatrace[Métrique / période],MATCH($C35&amp;"|"&amp;$E35&amp;"|"&amp;$F35,TblDynatrace[Clé],0)),""))</f>
        <v/>
      </c>
      <c r="S35" s="60" t="str">
        <f>IF(OR($C35="",NOT(OR($G35="À migrer",$G35="À décommissionner")),$I35="",NOT(ISNUMBER($P35))),"",IF($AO35&lt;&gt;"",$AO35,IFERROR(SUMIFS(TblClusters[CPU initial (vCPU)],TblClusters[Cluster],$I35)*$P35/(SUMIFS(TblApplications[CPU Dynatrace (vCPU)],TblApplications[Cluster IKS source],$I35,TblApplications[Action],"À migrer")+SUMIFS(TblApplications[CPU Dynatrace (vCPU)],TblApplications[Cluster IKS source],$I35,TblApplications[Action],"À décommissionner")),0)))</f>
        <v/>
      </c>
      <c r="T35" s="60" t="str">
        <f>IF(OR($C35="",NOT(OR($G35="À migrer",$G35="À décommissionner")),$I35="",NOT(ISNUMBER($Q35))),"",IF($AP35&lt;&gt;"",$AP35,IFERROR(SUMIFS(TblClusters[RAM initiale (Go)],TblClusters[Cluster],$I35)*$Q35/(SUMIFS(TblApplications[RAM Dynatrace (Go)],TblApplications[Cluster IKS source],$I35,TblApplications[Action],"À migrer")+SUMIFS(TblApplications[RAM Dynatrace (Go)],TblApplications[Cluster IKS source],$I35,TblApplications[Action],"À décommissionner")),0)))</f>
        <v/>
      </c>
      <c r="U35" s="61"/>
      <c r="V35" s="61"/>
      <c r="W35" s="61"/>
      <c r="X35" s="59"/>
      <c r="Y35" s="26" t="str">
        <f t="shared" si="1"/>
        <v/>
      </c>
      <c r="Z35" s="26" t="str">
        <f t="shared" si="2"/>
        <v/>
      </c>
      <c r="AA35" s="33" t="str">
        <f t="shared" si="3"/>
        <v/>
      </c>
      <c r="AB35" s="33" t="str">
        <f t="shared" si="4"/>
        <v/>
      </c>
      <c r="AC35" s="26" t="str">
        <f t="shared" si="5"/>
        <v/>
      </c>
      <c r="AD35" s="26" t="str">
        <f>IF($C35="","",COUNTIF(TblApplications[ID],$C35))</f>
        <v/>
      </c>
      <c r="AE35" s="33" t="str">
        <f>IF($C35="","",IFERROR(1/(1/_xlfn.MINIFS(TblApplications[Mois prov (calc)],TblApplications[ID],$C35)),""))</f>
        <v/>
      </c>
      <c r="AF35" s="33" t="str">
        <f>IF($C35="","",IFERROR(1/(1/_xlfn.MAXIFS(TblApplications[Mois lib (calc)],TblApplications[ID],$C35)),""))</f>
        <v/>
      </c>
      <c r="AG35" s="26" t="str">
        <f>IF($C35="","",IF(OR(OR($A35="",$B35="",$D35="",$E35="",$F35="",$G35=""),AND($G35="À migrer",OR($H35="",$I35="",$O35="",$U35="",$V35="",$W35="")),AND($G35="Migré",OR($O35="")),AND($G35="À décommissionner",OR($I35="",$W35=""))),"Données manquantes (selon l’action)",IF(AND($G35&lt;&gt;"Migré",$G35&lt;&gt;"À migrer",$G35&lt;&gt;"À décommissionner",$G35&lt;&gt;"Décommissionné"),"Action invalide",IF(COUNTIF(TblDomaines[Domaine],$A35)=0,"Domaine inconnu (référentiel)",IF(COUNTIFS(TblTribes[Tribe],$B35,TblTribes[Domaine de la tribe],$A35)=0,"Tribe inconnue ou hors domaine",IF(AND($G35="À migrer",$H35&lt;&gt;"Oui",$H35&lt;&gt;"Non"),"Valeur Oui/Non invalide (Déjà incluse ROKS)",IF(AND($E35&lt;&gt;"PRD",$E35&lt;&gt;"NPRD"),"Environnement invalide",IF(COUNTIFS(TblApplications[ID],$C35,TblApplications[Environnement],$E35,TblApplications[Couloir],$F35)&gt;1,"Déploiement en doublon (ID + env + couloir)",IF(AND(OR(OR($G35="À migrer",$G35="Migré"),OR($G35="À migrer",$G35="À décommissionner")),N($P35)&lt;=0),"Conso Dynatrace absente (onglet Dynatrace)",IF(OR(AND($P35&lt;&gt;"",NOT(ISNUMBER($P35))),AND($Q35&lt;&gt;"",NOT(ISNUMBER($Q35)))),"Ressource non numérique",IF(MIN(N($P35),N($Q35))&lt;0,"Ressource négative",IF(OR(AND($AH35&lt;&gt;"",OR(NOT(ISNUMBER($AH35)),$AH35&lt;0,$AH35&gt;1)),AND($AI35&lt;&gt;"",OR(NOT(ISNUMBER($AI35)),$AI35&lt;0,$AI35&gt;1))),"Marge spécifique invalide (0–100 %)",IF(OR(AND($U35&lt;&gt;"",NOT(ISNUMBER($U35))),AND($V35&lt;&gt;"",NOT(ISNUMBER($V35))),AND($W35&lt;&gt;"",NOT(ISNUMBER($W35)))),"Mois invalide",IF(AND(OR($G35="À migrer",$G35="À décommissionner"),COUNTIFS(TblClusters[Cluster],$I35,TblClusters[Plateforme],"IKS")=0),"Cluster IKS inconnu",IF(AND(OR($G35="À migrer",$G35="Migré"),COUNTIFS(TblClusters[Cluster],$O35,TblClusters[Plateforme],"ROKS")=0),"Cluster ROKS inconnu",IF(AND(OR($G35="À migrer",$G35="À décommissionner"),COUNTIFS(TblClusters[Cluster],$I35,TblClusters[Environnement],$E35)=0),"Environnement ≠ cluster IKS",IF(AND(OR($G35="À migrer",$G35="Migré"),COUNTIFS(TblClusters[Cluster],$O35,TblClusters[Environnement],$E35)=0),"Environnement ≠ cluster ROKS",IF(AND($G35="À migrer",OR($U35&gt;$V35,$V35&gt;$W35)),"Dates incohérentes (prov ≤ bascule ≤ libération)",IF(AND(OR($G35="À migrer",$G35="À décommissionner"),OR(N($AO35)&gt;SUMIFS(TblClusters[CPU initial (vCPU)],TblClusters[Cluster],$I35),N($AP35)&gt;SUMIFS(TblClusters[RAM initiale (Go)],TblClusters[Cluster],$I35))),"Forçage &gt; capacité du cluster source",IF(OR(AND($AA35&lt;&gt;"",$AA35&lt;p_debut),AND($AB35&lt;&gt;"",$AB35&gt;p_fin)),"Hors horizon (info)",IF(AND($G35="À migrer",$E35="PRD",COUNTIFS(TblApplications[ID],$C35,TblApplications[Environnement],"NPRD",TblApplications[Action],"À migrer")&gt;0,$AA35&lt;_xlfn.MINIFS(TblApplications[Mois prov (calc)],TblApplications[ID],$C35,TblApplications[Environnement],"NPRD")),"PRD avant NPRD (info)","OK")))))))))))))))))))))</f>
        <v/>
      </c>
      <c r="AH35" s="62"/>
      <c r="AI35" s="62"/>
      <c r="AJ35" s="27" t="str">
        <f>IF(OR($C35="",NOT(OR($G35="À migrer",$G35="À décommissionner")),NOT(ISNUMBER($S35)),NOT(ISNUMBER($T35)),$AB35=""),"",($S35+p_poidsram*$T35)*SUMIFS(TblCalculs[Coût par unité],TblCalculs[Cluster],$I35,TblCalculs[Mois],"&lt;"&amp;$AB35))</f>
        <v/>
      </c>
      <c r="AK35" s="27" t="str">
        <f>IF($C35="","",IF(AND($G35="À migrer",$H35="Non",$Y35&lt;&gt;"",$AA35&lt;&gt;""),($Y35+p_poidsram*$Z35)*SUMIFS(TblCalculs[Coût par unité],TblCalculs[Cluster],$O35,TblCalculs[Mois],"&gt;="&amp;$AA35),IF(AND($G35="Migré",$Y35&lt;&gt;""),($Y35+p_poidsram*$Z35)*SUMIFS(TblCalculs[Coût par unité],TblCalculs[Cluster],$O35),"")))</f>
        <v/>
      </c>
      <c r="AL35" s="27" t="str">
        <f t="shared" si="6"/>
        <v/>
      </c>
      <c r="AM35" s="26" t="str">
        <f t="shared" si="7"/>
        <v/>
      </c>
      <c r="AN35" s="26" t="str">
        <f>IF(OR($C35="",$AM35&lt;&gt;1,COUNTIFS($E35,ex_envc,$A35,ex_domc,$B35,ex_tric)=0),"",COUNTIFS($AM$6:$AM35,1,$E$6:$E35,ex_envc,$A$6:$A35,ex_domc,$B$6:$B35,ex_tric))</f>
        <v/>
      </c>
      <c r="AO35" s="63"/>
      <c r="AP35" s="63"/>
      <c r="AQ35" s="63"/>
      <c r="AR35" s="63"/>
    </row>
    <row r="36" spans="1:44" x14ac:dyDescent="0.2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26" t="str">
        <f t="shared" si="0"/>
        <v/>
      </c>
      <c r="O36" s="59"/>
      <c r="P36" s="60" t="str">
        <f>IF($C36="","",IF($AQ36&lt;&gt;"",$AQ36,SUMIFS(TblDynatrace[CPU P95 (vCPU)],TblDynatrace[ID],$C36,TblDynatrace[Environnement],$E36,TblDynatrace[Couloir],$F36)))</f>
        <v/>
      </c>
      <c r="Q36" s="60" t="str">
        <f>IF($C36="","",IF($AR36&lt;&gt;"",$AR36,SUMIFS(TblDynatrace[RAM P95 (Go)],TblDynatrace[ID],$C36,TblDynatrace[Environnement],$E36,TblDynatrace[Couloir],$F36)))</f>
        <v/>
      </c>
      <c r="R36" s="26" t="str">
        <f>IF($C36="","",IFERROR(INDEX(TblDynatrace[Métrique / période],MATCH($C36&amp;"|"&amp;$E36&amp;"|"&amp;$F36,TblDynatrace[Clé],0)),""))</f>
        <v/>
      </c>
      <c r="S36" s="60" t="str">
        <f>IF(OR($C36="",NOT(OR($G36="À migrer",$G36="À décommissionner")),$I36="",NOT(ISNUMBER($P36))),"",IF($AO36&lt;&gt;"",$AO36,IFERROR(SUMIFS(TblClusters[CPU initial (vCPU)],TblClusters[Cluster],$I36)*$P36/(SUMIFS(TblApplications[CPU Dynatrace (vCPU)],TblApplications[Cluster IKS source],$I36,TblApplications[Action],"À migrer")+SUMIFS(TblApplications[CPU Dynatrace (vCPU)],TblApplications[Cluster IKS source],$I36,TblApplications[Action],"À décommissionner")),0)))</f>
        <v/>
      </c>
      <c r="T36" s="60" t="str">
        <f>IF(OR($C36="",NOT(OR($G36="À migrer",$G36="À décommissionner")),$I36="",NOT(ISNUMBER($Q36))),"",IF($AP36&lt;&gt;"",$AP36,IFERROR(SUMIFS(TblClusters[RAM initiale (Go)],TblClusters[Cluster],$I36)*$Q36/(SUMIFS(TblApplications[RAM Dynatrace (Go)],TblApplications[Cluster IKS source],$I36,TblApplications[Action],"À migrer")+SUMIFS(TblApplications[RAM Dynatrace (Go)],TblApplications[Cluster IKS source],$I36,TblApplications[Action],"À décommissionner")),0)))</f>
        <v/>
      </c>
      <c r="U36" s="61"/>
      <c r="V36" s="61"/>
      <c r="W36" s="61"/>
      <c r="X36" s="59"/>
      <c r="Y36" s="26" t="str">
        <f t="shared" si="1"/>
        <v/>
      </c>
      <c r="Z36" s="26" t="str">
        <f t="shared" si="2"/>
        <v/>
      </c>
      <c r="AA36" s="33" t="str">
        <f t="shared" si="3"/>
        <v/>
      </c>
      <c r="AB36" s="33" t="str">
        <f t="shared" si="4"/>
        <v/>
      </c>
      <c r="AC36" s="26" t="str">
        <f t="shared" si="5"/>
        <v/>
      </c>
      <c r="AD36" s="26" t="str">
        <f>IF($C36="","",COUNTIF(TblApplications[ID],$C36))</f>
        <v/>
      </c>
      <c r="AE36" s="33" t="str">
        <f>IF($C36="","",IFERROR(1/(1/_xlfn.MINIFS(TblApplications[Mois prov (calc)],TblApplications[ID],$C36)),""))</f>
        <v/>
      </c>
      <c r="AF36" s="33" t="str">
        <f>IF($C36="","",IFERROR(1/(1/_xlfn.MAXIFS(TblApplications[Mois lib (calc)],TblApplications[ID],$C36)),""))</f>
        <v/>
      </c>
      <c r="AG36" s="26" t="str">
        <f>IF($C36="","",IF(OR(OR($A36="",$B36="",$D36="",$E36="",$F36="",$G36=""),AND($G36="À migrer",OR($H36="",$I36="",$O36="",$U36="",$V36="",$W36="")),AND($G36="Migré",OR($O36="")),AND($G36="À décommissionner",OR($I36="",$W36=""))),"Données manquantes (selon l’action)",IF(AND($G36&lt;&gt;"Migré",$G36&lt;&gt;"À migrer",$G36&lt;&gt;"À décommissionner",$G36&lt;&gt;"Décommissionné"),"Action invalide",IF(COUNTIF(TblDomaines[Domaine],$A36)=0,"Domaine inconnu (référentiel)",IF(COUNTIFS(TblTribes[Tribe],$B36,TblTribes[Domaine de la tribe],$A36)=0,"Tribe inconnue ou hors domaine",IF(AND($G36="À migrer",$H36&lt;&gt;"Oui",$H36&lt;&gt;"Non"),"Valeur Oui/Non invalide (Déjà incluse ROKS)",IF(AND($E36&lt;&gt;"PRD",$E36&lt;&gt;"NPRD"),"Environnement invalide",IF(COUNTIFS(TblApplications[ID],$C36,TblApplications[Environnement],$E36,TblApplications[Couloir],$F36)&gt;1,"Déploiement en doublon (ID + env + couloir)",IF(AND(OR(OR($G36="À migrer",$G36="Migré"),OR($G36="À migrer",$G36="À décommissionner")),N($P36)&lt;=0),"Conso Dynatrace absente (onglet Dynatrace)",IF(OR(AND($P36&lt;&gt;"",NOT(ISNUMBER($P36))),AND($Q36&lt;&gt;"",NOT(ISNUMBER($Q36)))),"Ressource non numérique",IF(MIN(N($P36),N($Q36))&lt;0,"Ressource négative",IF(OR(AND($AH36&lt;&gt;"",OR(NOT(ISNUMBER($AH36)),$AH36&lt;0,$AH36&gt;1)),AND($AI36&lt;&gt;"",OR(NOT(ISNUMBER($AI36)),$AI36&lt;0,$AI36&gt;1))),"Marge spécifique invalide (0–100 %)",IF(OR(AND($U36&lt;&gt;"",NOT(ISNUMBER($U36))),AND($V36&lt;&gt;"",NOT(ISNUMBER($V36))),AND($W36&lt;&gt;"",NOT(ISNUMBER($W36)))),"Mois invalide",IF(AND(OR($G36="À migrer",$G36="À décommissionner"),COUNTIFS(TblClusters[Cluster],$I36,TblClusters[Plateforme],"IKS")=0),"Cluster IKS inconnu",IF(AND(OR($G36="À migrer",$G36="Migré"),COUNTIFS(TblClusters[Cluster],$O36,TblClusters[Plateforme],"ROKS")=0),"Cluster ROKS inconnu",IF(AND(OR($G36="À migrer",$G36="À décommissionner"),COUNTIFS(TblClusters[Cluster],$I36,TblClusters[Environnement],$E36)=0),"Environnement ≠ cluster IKS",IF(AND(OR($G36="À migrer",$G36="Migré"),COUNTIFS(TblClusters[Cluster],$O36,TblClusters[Environnement],$E36)=0),"Environnement ≠ cluster ROKS",IF(AND($G36="À migrer",OR($U36&gt;$V36,$V36&gt;$W36)),"Dates incohérentes (prov ≤ bascule ≤ libération)",IF(AND(OR($G36="À migrer",$G36="À décommissionner"),OR(N($AO36)&gt;SUMIFS(TblClusters[CPU initial (vCPU)],TblClusters[Cluster],$I36),N($AP36)&gt;SUMIFS(TblClusters[RAM initiale (Go)],TblClusters[Cluster],$I36))),"Forçage &gt; capacité du cluster source",IF(OR(AND($AA36&lt;&gt;"",$AA36&lt;p_debut),AND($AB36&lt;&gt;"",$AB36&gt;p_fin)),"Hors horizon (info)",IF(AND($G36="À migrer",$E36="PRD",COUNTIFS(TblApplications[ID],$C36,TblApplications[Environnement],"NPRD",TblApplications[Action],"À migrer")&gt;0,$AA36&lt;_xlfn.MINIFS(TblApplications[Mois prov (calc)],TblApplications[ID],$C36,TblApplications[Environnement],"NPRD")),"PRD avant NPRD (info)","OK")))))))))))))))))))))</f>
        <v/>
      </c>
      <c r="AH36" s="62"/>
      <c r="AI36" s="62"/>
      <c r="AJ36" s="27" t="str">
        <f>IF(OR($C36="",NOT(OR($G36="À migrer",$G36="À décommissionner")),NOT(ISNUMBER($S36)),NOT(ISNUMBER($T36)),$AB36=""),"",($S36+p_poidsram*$T36)*SUMIFS(TblCalculs[Coût par unité],TblCalculs[Cluster],$I36,TblCalculs[Mois],"&lt;"&amp;$AB36))</f>
        <v/>
      </c>
      <c r="AK36" s="27" t="str">
        <f>IF($C36="","",IF(AND($G36="À migrer",$H36="Non",$Y36&lt;&gt;"",$AA36&lt;&gt;""),($Y36+p_poidsram*$Z36)*SUMIFS(TblCalculs[Coût par unité],TblCalculs[Cluster],$O36,TblCalculs[Mois],"&gt;="&amp;$AA36),IF(AND($G36="Migré",$Y36&lt;&gt;""),($Y36+p_poidsram*$Z36)*SUMIFS(TblCalculs[Coût par unité],TblCalculs[Cluster],$O36),"")))</f>
        <v/>
      </c>
      <c r="AL36" s="27" t="str">
        <f t="shared" si="6"/>
        <v/>
      </c>
      <c r="AM36" s="26" t="str">
        <f t="shared" si="7"/>
        <v/>
      </c>
      <c r="AN36" s="26" t="str">
        <f>IF(OR($C36="",$AM36&lt;&gt;1,COUNTIFS($E36,ex_envc,$A36,ex_domc,$B36,ex_tric)=0),"",COUNTIFS($AM$6:$AM36,1,$E$6:$E36,ex_envc,$A$6:$A36,ex_domc,$B$6:$B36,ex_tric))</f>
        <v/>
      </c>
      <c r="AO36" s="63"/>
      <c r="AP36" s="63"/>
      <c r="AQ36" s="63"/>
      <c r="AR36" s="63"/>
    </row>
    <row r="37" spans="1:44" x14ac:dyDescent="0.2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26" t="str">
        <f t="shared" si="0"/>
        <v/>
      </c>
      <c r="O37" s="59"/>
      <c r="P37" s="60" t="str">
        <f>IF($C37="","",IF($AQ37&lt;&gt;"",$AQ37,SUMIFS(TblDynatrace[CPU P95 (vCPU)],TblDynatrace[ID],$C37,TblDynatrace[Environnement],$E37,TblDynatrace[Couloir],$F37)))</f>
        <v/>
      </c>
      <c r="Q37" s="60" t="str">
        <f>IF($C37="","",IF($AR37&lt;&gt;"",$AR37,SUMIFS(TblDynatrace[RAM P95 (Go)],TblDynatrace[ID],$C37,TblDynatrace[Environnement],$E37,TblDynatrace[Couloir],$F37)))</f>
        <v/>
      </c>
      <c r="R37" s="26" t="str">
        <f>IF($C37="","",IFERROR(INDEX(TblDynatrace[Métrique / période],MATCH($C37&amp;"|"&amp;$E37&amp;"|"&amp;$F37,TblDynatrace[Clé],0)),""))</f>
        <v/>
      </c>
      <c r="S37" s="60" t="str">
        <f>IF(OR($C37="",NOT(OR($G37="À migrer",$G37="À décommissionner")),$I37="",NOT(ISNUMBER($P37))),"",IF($AO37&lt;&gt;"",$AO37,IFERROR(SUMIFS(TblClusters[CPU initial (vCPU)],TblClusters[Cluster],$I37)*$P37/(SUMIFS(TblApplications[CPU Dynatrace (vCPU)],TblApplications[Cluster IKS source],$I37,TblApplications[Action],"À migrer")+SUMIFS(TblApplications[CPU Dynatrace (vCPU)],TblApplications[Cluster IKS source],$I37,TblApplications[Action],"À décommissionner")),0)))</f>
        <v/>
      </c>
      <c r="T37" s="60" t="str">
        <f>IF(OR($C37="",NOT(OR($G37="À migrer",$G37="À décommissionner")),$I37="",NOT(ISNUMBER($Q37))),"",IF($AP37&lt;&gt;"",$AP37,IFERROR(SUMIFS(TblClusters[RAM initiale (Go)],TblClusters[Cluster],$I37)*$Q37/(SUMIFS(TblApplications[RAM Dynatrace (Go)],TblApplications[Cluster IKS source],$I37,TblApplications[Action],"À migrer")+SUMIFS(TblApplications[RAM Dynatrace (Go)],TblApplications[Cluster IKS source],$I37,TblApplications[Action],"À décommissionner")),0)))</f>
        <v/>
      </c>
      <c r="U37" s="61"/>
      <c r="V37" s="61"/>
      <c r="W37" s="61"/>
      <c r="X37" s="59"/>
      <c r="Y37" s="26" t="str">
        <f t="shared" si="1"/>
        <v/>
      </c>
      <c r="Z37" s="26" t="str">
        <f t="shared" si="2"/>
        <v/>
      </c>
      <c r="AA37" s="33" t="str">
        <f t="shared" si="3"/>
        <v/>
      </c>
      <c r="AB37" s="33" t="str">
        <f t="shared" si="4"/>
        <v/>
      </c>
      <c r="AC37" s="26" t="str">
        <f t="shared" si="5"/>
        <v/>
      </c>
      <c r="AD37" s="26" t="str">
        <f>IF($C37="","",COUNTIF(TblApplications[ID],$C37))</f>
        <v/>
      </c>
      <c r="AE37" s="33" t="str">
        <f>IF($C37="","",IFERROR(1/(1/_xlfn.MINIFS(TblApplications[Mois prov (calc)],TblApplications[ID],$C37)),""))</f>
        <v/>
      </c>
      <c r="AF37" s="33" t="str">
        <f>IF($C37="","",IFERROR(1/(1/_xlfn.MAXIFS(TblApplications[Mois lib (calc)],TblApplications[ID],$C37)),""))</f>
        <v/>
      </c>
      <c r="AG37" s="26" t="str">
        <f>IF($C37="","",IF(OR(OR($A37="",$B37="",$D37="",$E37="",$F37="",$G37=""),AND($G37="À migrer",OR($H37="",$I37="",$O37="",$U37="",$V37="",$W37="")),AND($G37="Migré",OR($O37="")),AND($G37="À décommissionner",OR($I37="",$W37=""))),"Données manquantes (selon l’action)",IF(AND($G37&lt;&gt;"Migré",$G37&lt;&gt;"À migrer",$G37&lt;&gt;"À décommissionner",$G37&lt;&gt;"Décommissionné"),"Action invalide",IF(COUNTIF(TblDomaines[Domaine],$A37)=0,"Domaine inconnu (référentiel)",IF(COUNTIFS(TblTribes[Tribe],$B37,TblTribes[Domaine de la tribe],$A37)=0,"Tribe inconnue ou hors domaine",IF(AND($G37="À migrer",$H37&lt;&gt;"Oui",$H37&lt;&gt;"Non"),"Valeur Oui/Non invalide (Déjà incluse ROKS)",IF(AND($E37&lt;&gt;"PRD",$E37&lt;&gt;"NPRD"),"Environnement invalide",IF(COUNTIFS(TblApplications[ID],$C37,TblApplications[Environnement],$E37,TblApplications[Couloir],$F37)&gt;1,"Déploiement en doublon (ID + env + couloir)",IF(AND(OR(OR($G37="À migrer",$G37="Migré"),OR($G37="À migrer",$G37="À décommissionner")),N($P37)&lt;=0),"Conso Dynatrace absente (onglet Dynatrace)",IF(OR(AND($P37&lt;&gt;"",NOT(ISNUMBER($P37))),AND($Q37&lt;&gt;"",NOT(ISNUMBER($Q37)))),"Ressource non numérique",IF(MIN(N($P37),N($Q37))&lt;0,"Ressource négative",IF(OR(AND($AH37&lt;&gt;"",OR(NOT(ISNUMBER($AH37)),$AH37&lt;0,$AH37&gt;1)),AND($AI37&lt;&gt;"",OR(NOT(ISNUMBER($AI37)),$AI37&lt;0,$AI37&gt;1))),"Marge spécifique invalide (0–100 %)",IF(OR(AND($U37&lt;&gt;"",NOT(ISNUMBER($U37))),AND($V37&lt;&gt;"",NOT(ISNUMBER($V37))),AND($W37&lt;&gt;"",NOT(ISNUMBER($W37)))),"Mois invalide",IF(AND(OR($G37="À migrer",$G37="À décommissionner"),COUNTIFS(TblClusters[Cluster],$I37,TblClusters[Plateforme],"IKS")=0),"Cluster IKS inconnu",IF(AND(OR($G37="À migrer",$G37="Migré"),COUNTIFS(TblClusters[Cluster],$O37,TblClusters[Plateforme],"ROKS")=0),"Cluster ROKS inconnu",IF(AND(OR($G37="À migrer",$G37="À décommissionner"),COUNTIFS(TblClusters[Cluster],$I37,TblClusters[Environnement],$E37)=0),"Environnement ≠ cluster IKS",IF(AND(OR($G37="À migrer",$G37="Migré"),COUNTIFS(TblClusters[Cluster],$O37,TblClusters[Environnement],$E37)=0),"Environnement ≠ cluster ROKS",IF(AND($G37="À migrer",OR($U37&gt;$V37,$V37&gt;$W37)),"Dates incohérentes (prov ≤ bascule ≤ libération)",IF(AND(OR($G37="À migrer",$G37="À décommissionner"),OR(N($AO37)&gt;SUMIFS(TblClusters[CPU initial (vCPU)],TblClusters[Cluster],$I37),N($AP37)&gt;SUMIFS(TblClusters[RAM initiale (Go)],TblClusters[Cluster],$I37))),"Forçage &gt; capacité du cluster source",IF(OR(AND($AA37&lt;&gt;"",$AA37&lt;p_debut),AND($AB37&lt;&gt;"",$AB37&gt;p_fin)),"Hors horizon (info)",IF(AND($G37="À migrer",$E37="PRD",COUNTIFS(TblApplications[ID],$C37,TblApplications[Environnement],"NPRD",TblApplications[Action],"À migrer")&gt;0,$AA37&lt;_xlfn.MINIFS(TblApplications[Mois prov (calc)],TblApplications[ID],$C37,TblApplications[Environnement],"NPRD")),"PRD avant NPRD (info)","OK")))))))))))))))))))))</f>
        <v/>
      </c>
      <c r="AH37" s="62"/>
      <c r="AI37" s="62"/>
      <c r="AJ37" s="27" t="str">
        <f>IF(OR($C37="",NOT(OR($G37="À migrer",$G37="À décommissionner")),NOT(ISNUMBER($S37)),NOT(ISNUMBER($T37)),$AB37=""),"",($S37+p_poidsram*$T37)*SUMIFS(TblCalculs[Coût par unité],TblCalculs[Cluster],$I37,TblCalculs[Mois],"&lt;"&amp;$AB37))</f>
        <v/>
      </c>
      <c r="AK37" s="27" t="str">
        <f>IF($C37="","",IF(AND($G37="À migrer",$H37="Non",$Y37&lt;&gt;"",$AA37&lt;&gt;""),($Y37+p_poidsram*$Z37)*SUMIFS(TblCalculs[Coût par unité],TblCalculs[Cluster],$O37,TblCalculs[Mois],"&gt;="&amp;$AA37),IF(AND($G37="Migré",$Y37&lt;&gt;""),($Y37+p_poidsram*$Z37)*SUMIFS(TblCalculs[Coût par unité],TblCalculs[Cluster],$O37),"")))</f>
        <v/>
      </c>
      <c r="AL37" s="27" t="str">
        <f t="shared" si="6"/>
        <v/>
      </c>
      <c r="AM37" s="26" t="str">
        <f t="shared" si="7"/>
        <v/>
      </c>
      <c r="AN37" s="26" t="str">
        <f>IF(OR($C37="",$AM37&lt;&gt;1,COUNTIFS($E37,ex_envc,$A37,ex_domc,$B37,ex_tric)=0),"",COUNTIFS($AM$6:$AM37,1,$E$6:$E37,ex_envc,$A$6:$A37,ex_domc,$B$6:$B37,ex_tric))</f>
        <v/>
      </c>
      <c r="AO37" s="63"/>
      <c r="AP37" s="63"/>
      <c r="AQ37" s="63"/>
      <c r="AR37" s="63"/>
    </row>
    <row r="38" spans="1:44" x14ac:dyDescent="0.2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26" t="str">
        <f t="shared" si="0"/>
        <v/>
      </c>
      <c r="O38" s="59"/>
      <c r="P38" s="60" t="str">
        <f>IF($C38="","",IF($AQ38&lt;&gt;"",$AQ38,SUMIFS(TblDynatrace[CPU P95 (vCPU)],TblDynatrace[ID],$C38,TblDynatrace[Environnement],$E38,TblDynatrace[Couloir],$F38)))</f>
        <v/>
      </c>
      <c r="Q38" s="60" t="str">
        <f>IF($C38="","",IF($AR38&lt;&gt;"",$AR38,SUMIFS(TblDynatrace[RAM P95 (Go)],TblDynatrace[ID],$C38,TblDynatrace[Environnement],$E38,TblDynatrace[Couloir],$F38)))</f>
        <v/>
      </c>
      <c r="R38" s="26" t="str">
        <f>IF($C38="","",IFERROR(INDEX(TblDynatrace[Métrique / période],MATCH($C38&amp;"|"&amp;$E38&amp;"|"&amp;$F38,TblDynatrace[Clé],0)),""))</f>
        <v/>
      </c>
      <c r="S38" s="60" t="str">
        <f>IF(OR($C38="",NOT(OR($G38="À migrer",$G38="À décommissionner")),$I38="",NOT(ISNUMBER($P38))),"",IF($AO38&lt;&gt;"",$AO38,IFERROR(SUMIFS(TblClusters[CPU initial (vCPU)],TblClusters[Cluster],$I38)*$P38/(SUMIFS(TblApplications[CPU Dynatrace (vCPU)],TblApplications[Cluster IKS source],$I38,TblApplications[Action],"À migrer")+SUMIFS(TblApplications[CPU Dynatrace (vCPU)],TblApplications[Cluster IKS source],$I38,TblApplications[Action],"À décommissionner")),0)))</f>
        <v/>
      </c>
      <c r="T38" s="60" t="str">
        <f>IF(OR($C38="",NOT(OR($G38="À migrer",$G38="À décommissionner")),$I38="",NOT(ISNUMBER($Q38))),"",IF($AP38&lt;&gt;"",$AP38,IFERROR(SUMIFS(TblClusters[RAM initiale (Go)],TblClusters[Cluster],$I38)*$Q38/(SUMIFS(TblApplications[RAM Dynatrace (Go)],TblApplications[Cluster IKS source],$I38,TblApplications[Action],"À migrer")+SUMIFS(TblApplications[RAM Dynatrace (Go)],TblApplications[Cluster IKS source],$I38,TblApplications[Action],"À décommissionner")),0)))</f>
        <v/>
      </c>
      <c r="U38" s="61"/>
      <c r="V38" s="61"/>
      <c r="W38" s="61"/>
      <c r="X38" s="59"/>
      <c r="Y38" s="26" t="str">
        <f t="shared" si="1"/>
        <v/>
      </c>
      <c r="Z38" s="26" t="str">
        <f t="shared" si="2"/>
        <v/>
      </c>
      <c r="AA38" s="33" t="str">
        <f t="shared" si="3"/>
        <v/>
      </c>
      <c r="AB38" s="33" t="str">
        <f t="shared" si="4"/>
        <v/>
      </c>
      <c r="AC38" s="26" t="str">
        <f t="shared" si="5"/>
        <v/>
      </c>
      <c r="AD38" s="26" t="str">
        <f>IF($C38="","",COUNTIF(TblApplications[ID],$C38))</f>
        <v/>
      </c>
      <c r="AE38" s="33" t="str">
        <f>IF($C38="","",IFERROR(1/(1/_xlfn.MINIFS(TblApplications[Mois prov (calc)],TblApplications[ID],$C38)),""))</f>
        <v/>
      </c>
      <c r="AF38" s="33" t="str">
        <f>IF($C38="","",IFERROR(1/(1/_xlfn.MAXIFS(TblApplications[Mois lib (calc)],TblApplications[ID],$C38)),""))</f>
        <v/>
      </c>
      <c r="AG38" s="26" t="str">
        <f>IF($C38="","",IF(OR(OR($A38="",$B38="",$D38="",$E38="",$F38="",$G38=""),AND($G38="À migrer",OR($H38="",$I38="",$O38="",$U38="",$V38="",$W38="")),AND($G38="Migré",OR($O38="")),AND($G38="À décommissionner",OR($I38="",$W38=""))),"Données manquantes (selon l’action)",IF(AND($G38&lt;&gt;"Migré",$G38&lt;&gt;"À migrer",$G38&lt;&gt;"À décommissionner",$G38&lt;&gt;"Décommissionné"),"Action invalide",IF(COUNTIF(TblDomaines[Domaine],$A38)=0,"Domaine inconnu (référentiel)",IF(COUNTIFS(TblTribes[Tribe],$B38,TblTribes[Domaine de la tribe],$A38)=0,"Tribe inconnue ou hors domaine",IF(AND($G38="À migrer",$H38&lt;&gt;"Oui",$H38&lt;&gt;"Non"),"Valeur Oui/Non invalide (Déjà incluse ROKS)",IF(AND($E38&lt;&gt;"PRD",$E38&lt;&gt;"NPRD"),"Environnement invalide",IF(COUNTIFS(TblApplications[ID],$C38,TblApplications[Environnement],$E38,TblApplications[Couloir],$F38)&gt;1,"Déploiement en doublon (ID + env + couloir)",IF(AND(OR(OR($G38="À migrer",$G38="Migré"),OR($G38="À migrer",$G38="À décommissionner")),N($P38)&lt;=0),"Conso Dynatrace absente (onglet Dynatrace)",IF(OR(AND($P38&lt;&gt;"",NOT(ISNUMBER($P38))),AND($Q38&lt;&gt;"",NOT(ISNUMBER($Q38)))),"Ressource non numérique",IF(MIN(N($P38),N($Q38))&lt;0,"Ressource négative",IF(OR(AND($AH38&lt;&gt;"",OR(NOT(ISNUMBER($AH38)),$AH38&lt;0,$AH38&gt;1)),AND($AI38&lt;&gt;"",OR(NOT(ISNUMBER($AI38)),$AI38&lt;0,$AI38&gt;1))),"Marge spécifique invalide (0–100 %)",IF(OR(AND($U38&lt;&gt;"",NOT(ISNUMBER($U38))),AND($V38&lt;&gt;"",NOT(ISNUMBER($V38))),AND($W38&lt;&gt;"",NOT(ISNUMBER($W38)))),"Mois invalide",IF(AND(OR($G38="À migrer",$G38="À décommissionner"),COUNTIFS(TblClusters[Cluster],$I38,TblClusters[Plateforme],"IKS")=0),"Cluster IKS inconnu",IF(AND(OR($G38="À migrer",$G38="Migré"),COUNTIFS(TblClusters[Cluster],$O38,TblClusters[Plateforme],"ROKS")=0),"Cluster ROKS inconnu",IF(AND(OR($G38="À migrer",$G38="À décommissionner"),COUNTIFS(TblClusters[Cluster],$I38,TblClusters[Environnement],$E38)=0),"Environnement ≠ cluster IKS",IF(AND(OR($G38="À migrer",$G38="Migré"),COUNTIFS(TblClusters[Cluster],$O38,TblClusters[Environnement],$E38)=0),"Environnement ≠ cluster ROKS",IF(AND($G38="À migrer",OR($U38&gt;$V38,$V38&gt;$W38)),"Dates incohérentes (prov ≤ bascule ≤ libération)",IF(AND(OR($G38="À migrer",$G38="À décommissionner"),OR(N($AO38)&gt;SUMIFS(TblClusters[CPU initial (vCPU)],TblClusters[Cluster],$I38),N($AP38)&gt;SUMIFS(TblClusters[RAM initiale (Go)],TblClusters[Cluster],$I38))),"Forçage &gt; capacité du cluster source",IF(OR(AND($AA38&lt;&gt;"",$AA38&lt;p_debut),AND($AB38&lt;&gt;"",$AB38&gt;p_fin)),"Hors horizon (info)",IF(AND($G38="À migrer",$E38="PRD",COUNTIFS(TblApplications[ID],$C38,TblApplications[Environnement],"NPRD",TblApplications[Action],"À migrer")&gt;0,$AA38&lt;_xlfn.MINIFS(TblApplications[Mois prov (calc)],TblApplications[ID],$C38,TblApplications[Environnement],"NPRD")),"PRD avant NPRD (info)","OK")))))))))))))))))))))</f>
        <v/>
      </c>
      <c r="AH38" s="62"/>
      <c r="AI38" s="62"/>
      <c r="AJ38" s="27" t="str">
        <f>IF(OR($C38="",NOT(OR($G38="À migrer",$G38="À décommissionner")),NOT(ISNUMBER($S38)),NOT(ISNUMBER($T38)),$AB38=""),"",($S38+p_poidsram*$T38)*SUMIFS(TblCalculs[Coût par unité],TblCalculs[Cluster],$I38,TblCalculs[Mois],"&lt;"&amp;$AB38))</f>
        <v/>
      </c>
      <c r="AK38" s="27" t="str">
        <f>IF($C38="","",IF(AND($G38="À migrer",$H38="Non",$Y38&lt;&gt;"",$AA38&lt;&gt;""),($Y38+p_poidsram*$Z38)*SUMIFS(TblCalculs[Coût par unité],TblCalculs[Cluster],$O38,TblCalculs[Mois],"&gt;="&amp;$AA38),IF(AND($G38="Migré",$Y38&lt;&gt;""),($Y38+p_poidsram*$Z38)*SUMIFS(TblCalculs[Coût par unité],TblCalculs[Cluster],$O38),"")))</f>
        <v/>
      </c>
      <c r="AL38" s="27" t="str">
        <f t="shared" si="6"/>
        <v/>
      </c>
      <c r="AM38" s="26" t="str">
        <f t="shared" si="7"/>
        <v/>
      </c>
      <c r="AN38" s="26" t="str">
        <f>IF(OR($C38="",$AM38&lt;&gt;1,COUNTIFS($E38,ex_envc,$A38,ex_domc,$B38,ex_tric)=0),"",COUNTIFS($AM$6:$AM38,1,$E$6:$E38,ex_envc,$A$6:$A38,ex_domc,$B$6:$B38,ex_tric))</f>
        <v/>
      </c>
      <c r="AO38" s="63"/>
      <c r="AP38" s="63"/>
      <c r="AQ38" s="63"/>
      <c r="AR38" s="63"/>
    </row>
    <row r="39" spans="1:44" x14ac:dyDescent="0.2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26" t="str">
        <f t="shared" si="0"/>
        <v/>
      </c>
      <c r="O39" s="59"/>
      <c r="P39" s="60" t="str">
        <f>IF($C39="","",IF($AQ39&lt;&gt;"",$AQ39,SUMIFS(TblDynatrace[CPU P95 (vCPU)],TblDynatrace[ID],$C39,TblDynatrace[Environnement],$E39,TblDynatrace[Couloir],$F39)))</f>
        <v/>
      </c>
      <c r="Q39" s="60" t="str">
        <f>IF($C39="","",IF($AR39&lt;&gt;"",$AR39,SUMIFS(TblDynatrace[RAM P95 (Go)],TblDynatrace[ID],$C39,TblDynatrace[Environnement],$E39,TblDynatrace[Couloir],$F39)))</f>
        <v/>
      </c>
      <c r="R39" s="26" t="str">
        <f>IF($C39="","",IFERROR(INDEX(TblDynatrace[Métrique / période],MATCH($C39&amp;"|"&amp;$E39&amp;"|"&amp;$F39,TblDynatrace[Clé],0)),""))</f>
        <v/>
      </c>
      <c r="S39" s="60" t="str">
        <f>IF(OR($C39="",NOT(OR($G39="À migrer",$G39="À décommissionner")),$I39="",NOT(ISNUMBER($P39))),"",IF($AO39&lt;&gt;"",$AO39,IFERROR(SUMIFS(TblClusters[CPU initial (vCPU)],TblClusters[Cluster],$I39)*$P39/(SUMIFS(TblApplications[CPU Dynatrace (vCPU)],TblApplications[Cluster IKS source],$I39,TblApplications[Action],"À migrer")+SUMIFS(TblApplications[CPU Dynatrace (vCPU)],TblApplications[Cluster IKS source],$I39,TblApplications[Action],"À décommissionner")),0)))</f>
        <v/>
      </c>
      <c r="T39" s="60" t="str">
        <f>IF(OR($C39="",NOT(OR($G39="À migrer",$G39="À décommissionner")),$I39="",NOT(ISNUMBER($Q39))),"",IF($AP39&lt;&gt;"",$AP39,IFERROR(SUMIFS(TblClusters[RAM initiale (Go)],TblClusters[Cluster],$I39)*$Q39/(SUMIFS(TblApplications[RAM Dynatrace (Go)],TblApplications[Cluster IKS source],$I39,TblApplications[Action],"À migrer")+SUMIFS(TblApplications[RAM Dynatrace (Go)],TblApplications[Cluster IKS source],$I39,TblApplications[Action],"À décommissionner")),0)))</f>
        <v/>
      </c>
      <c r="U39" s="61"/>
      <c r="V39" s="61"/>
      <c r="W39" s="61"/>
      <c r="X39" s="59"/>
      <c r="Y39" s="26" t="str">
        <f t="shared" si="1"/>
        <v/>
      </c>
      <c r="Z39" s="26" t="str">
        <f t="shared" si="2"/>
        <v/>
      </c>
      <c r="AA39" s="33" t="str">
        <f t="shared" si="3"/>
        <v/>
      </c>
      <c r="AB39" s="33" t="str">
        <f t="shared" si="4"/>
        <v/>
      </c>
      <c r="AC39" s="26" t="str">
        <f t="shared" si="5"/>
        <v/>
      </c>
      <c r="AD39" s="26" t="str">
        <f>IF($C39="","",COUNTIF(TblApplications[ID],$C39))</f>
        <v/>
      </c>
      <c r="AE39" s="33" t="str">
        <f>IF($C39="","",IFERROR(1/(1/_xlfn.MINIFS(TblApplications[Mois prov (calc)],TblApplications[ID],$C39)),""))</f>
        <v/>
      </c>
      <c r="AF39" s="33" t="str">
        <f>IF($C39="","",IFERROR(1/(1/_xlfn.MAXIFS(TblApplications[Mois lib (calc)],TblApplications[ID],$C39)),""))</f>
        <v/>
      </c>
      <c r="AG39" s="26" t="str">
        <f>IF($C39="","",IF(OR(OR($A39="",$B39="",$D39="",$E39="",$F39="",$G39=""),AND($G39="À migrer",OR($H39="",$I39="",$O39="",$U39="",$V39="",$W39="")),AND($G39="Migré",OR($O39="")),AND($G39="À décommissionner",OR($I39="",$W39=""))),"Données manquantes (selon l’action)",IF(AND($G39&lt;&gt;"Migré",$G39&lt;&gt;"À migrer",$G39&lt;&gt;"À décommissionner",$G39&lt;&gt;"Décommissionné"),"Action invalide",IF(COUNTIF(TblDomaines[Domaine],$A39)=0,"Domaine inconnu (référentiel)",IF(COUNTIFS(TblTribes[Tribe],$B39,TblTribes[Domaine de la tribe],$A39)=0,"Tribe inconnue ou hors domaine",IF(AND($G39="À migrer",$H39&lt;&gt;"Oui",$H39&lt;&gt;"Non"),"Valeur Oui/Non invalide (Déjà incluse ROKS)",IF(AND($E39&lt;&gt;"PRD",$E39&lt;&gt;"NPRD"),"Environnement invalide",IF(COUNTIFS(TblApplications[ID],$C39,TblApplications[Environnement],$E39,TblApplications[Couloir],$F39)&gt;1,"Déploiement en doublon (ID + env + couloir)",IF(AND(OR(OR($G39="À migrer",$G39="Migré"),OR($G39="À migrer",$G39="À décommissionner")),N($P39)&lt;=0),"Conso Dynatrace absente (onglet Dynatrace)",IF(OR(AND($P39&lt;&gt;"",NOT(ISNUMBER($P39))),AND($Q39&lt;&gt;"",NOT(ISNUMBER($Q39)))),"Ressource non numérique",IF(MIN(N($P39),N($Q39))&lt;0,"Ressource négative",IF(OR(AND($AH39&lt;&gt;"",OR(NOT(ISNUMBER($AH39)),$AH39&lt;0,$AH39&gt;1)),AND($AI39&lt;&gt;"",OR(NOT(ISNUMBER($AI39)),$AI39&lt;0,$AI39&gt;1))),"Marge spécifique invalide (0–100 %)",IF(OR(AND($U39&lt;&gt;"",NOT(ISNUMBER($U39))),AND($V39&lt;&gt;"",NOT(ISNUMBER($V39))),AND($W39&lt;&gt;"",NOT(ISNUMBER($W39)))),"Mois invalide",IF(AND(OR($G39="À migrer",$G39="À décommissionner"),COUNTIFS(TblClusters[Cluster],$I39,TblClusters[Plateforme],"IKS")=0),"Cluster IKS inconnu",IF(AND(OR($G39="À migrer",$G39="Migré"),COUNTIFS(TblClusters[Cluster],$O39,TblClusters[Plateforme],"ROKS")=0),"Cluster ROKS inconnu",IF(AND(OR($G39="À migrer",$G39="À décommissionner"),COUNTIFS(TblClusters[Cluster],$I39,TblClusters[Environnement],$E39)=0),"Environnement ≠ cluster IKS",IF(AND(OR($G39="À migrer",$G39="Migré"),COUNTIFS(TblClusters[Cluster],$O39,TblClusters[Environnement],$E39)=0),"Environnement ≠ cluster ROKS",IF(AND($G39="À migrer",OR($U39&gt;$V39,$V39&gt;$W39)),"Dates incohérentes (prov ≤ bascule ≤ libération)",IF(AND(OR($G39="À migrer",$G39="À décommissionner"),OR(N($AO39)&gt;SUMIFS(TblClusters[CPU initial (vCPU)],TblClusters[Cluster],$I39),N($AP39)&gt;SUMIFS(TblClusters[RAM initiale (Go)],TblClusters[Cluster],$I39))),"Forçage &gt; capacité du cluster source",IF(OR(AND($AA39&lt;&gt;"",$AA39&lt;p_debut),AND($AB39&lt;&gt;"",$AB39&gt;p_fin)),"Hors horizon (info)",IF(AND($G39="À migrer",$E39="PRD",COUNTIFS(TblApplications[ID],$C39,TblApplications[Environnement],"NPRD",TblApplications[Action],"À migrer")&gt;0,$AA39&lt;_xlfn.MINIFS(TblApplications[Mois prov (calc)],TblApplications[ID],$C39,TblApplications[Environnement],"NPRD")),"PRD avant NPRD (info)","OK")))))))))))))))))))))</f>
        <v/>
      </c>
      <c r="AH39" s="62"/>
      <c r="AI39" s="62"/>
      <c r="AJ39" s="27" t="str">
        <f>IF(OR($C39="",NOT(OR($G39="À migrer",$G39="À décommissionner")),NOT(ISNUMBER($S39)),NOT(ISNUMBER($T39)),$AB39=""),"",($S39+p_poidsram*$T39)*SUMIFS(TblCalculs[Coût par unité],TblCalculs[Cluster],$I39,TblCalculs[Mois],"&lt;"&amp;$AB39))</f>
        <v/>
      </c>
      <c r="AK39" s="27" t="str">
        <f>IF($C39="","",IF(AND($G39="À migrer",$H39="Non",$Y39&lt;&gt;"",$AA39&lt;&gt;""),($Y39+p_poidsram*$Z39)*SUMIFS(TblCalculs[Coût par unité],TblCalculs[Cluster],$O39,TblCalculs[Mois],"&gt;="&amp;$AA39),IF(AND($G39="Migré",$Y39&lt;&gt;""),($Y39+p_poidsram*$Z39)*SUMIFS(TblCalculs[Coût par unité],TblCalculs[Cluster],$O39),"")))</f>
        <v/>
      </c>
      <c r="AL39" s="27" t="str">
        <f t="shared" si="6"/>
        <v/>
      </c>
      <c r="AM39" s="26" t="str">
        <f t="shared" si="7"/>
        <v/>
      </c>
      <c r="AN39" s="26" t="str">
        <f>IF(OR($C39="",$AM39&lt;&gt;1,COUNTIFS($E39,ex_envc,$A39,ex_domc,$B39,ex_tric)=0),"",COUNTIFS($AM$6:$AM39,1,$E$6:$E39,ex_envc,$A$6:$A39,ex_domc,$B$6:$B39,ex_tric))</f>
        <v/>
      </c>
      <c r="AO39" s="63"/>
      <c r="AP39" s="63"/>
      <c r="AQ39" s="63"/>
      <c r="AR39" s="63"/>
    </row>
    <row r="40" spans="1:44" x14ac:dyDescent="0.2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26" t="str">
        <f t="shared" si="0"/>
        <v/>
      </c>
      <c r="O40" s="59"/>
      <c r="P40" s="60" t="str">
        <f>IF($C40="","",IF($AQ40&lt;&gt;"",$AQ40,SUMIFS(TblDynatrace[CPU P95 (vCPU)],TblDynatrace[ID],$C40,TblDynatrace[Environnement],$E40,TblDynatrace[Couloir],$F40)))</f>
        <v/>
      </c>
      <c r="Q40" s="60" t="str">
        <f>IF($C40="","",IF($AR40&lt;&gt;"",$AR40,SUMIFS(TblDynatrace[RAM P95 (Go)],TblDynatrace[ID],$C40,TblDynatrace[Environnement],$E40,TblDynatrace[Couloir],$F40)))</f>
        <v/>
      </c>
      <c r="R40" s="26" t="str">
        <f>IF($C40="","",IFERROR(INDEX(TblDynatrace[Métrique / période],MATCH($C40&amp;"|"&amp;$E40&amp;"|"&amp;$F40,TblDynatrace[Clé],0)),""))</f>
        <v/>
      </c>
      <c r="S40" s="60" t="str">
        <f>IF(OR($C40="",NOT(OR($G40="À migrer",$G40="À décommissionner")),$I40="",NOT(ISNUMBER($P40))),"",IF($AO40&lt;&gt;"",$AO40,IFERROR(SUMIFS(TblClusters[CPU initial (vCPU)],TblClusters[Cluster],$I40)*$P40/(SUMIFS(TblApplications[CPU Dynatrace (vCPU)],TblApplications[Cluster IKS source],$I40,TblApplications[Action],"À migrer")+SUMIFS(TblApplications[CPU Dynatrace (vCPU)],TblApplications[Cluster IKS source],$I40,TblApplications[Action],"À décommissionner")),0)))</f>
        <v/>
      </c>
      <c r="T40" s="60" t="str">
        <f>IF(OR($C40="",NOT(OR($G40="À migrer",$G40="À décommissionner")),$I40="",NOT(ISNUMBER($Q40))),"",IF($AP40&lt;&gt;"",$AP40,IFERROR(SUMIFS(TblClusters[RAM initiale (Go)],TblClusters[Cluster],$I40)*$Q40/(SUMIFS(TblApplications[RAM Dynatrace (Go)],TblApplications[Cluster IKS source],$I40,TblApplications[Action],"À migrer")+SUMIFS(TblApplications[RAM Dynatrace (Go)],TblApplications[Cluster IKS source],$I40,TblApplications[Action],"À décommissionner")),0)))</f>
        <v/>
      </c>
      <c r="U40" s="61"/>
      <c r="V40" s="61"/>
      <c r="W40" s="61"/>
      <c r="X40" s="59"/>
      <c r="Y40" s="26" t="str">
        <f t="shared" si="1"/>
        <v/>
      </c>
      <c r="Z40" s="26" t="str">
        <f t="shared" si="2"/>
        <v/>
      </c>
      <c r="AA40" s="33" t="str">
        <f t="shared" si="3"/>
        <v/>
      </c>
      <c r="AB40" s="33" t="str">
        <f t="shared" si="4"/>
        <v/>
      </c>
      <c r="AC40" s="26" t="str">
        <f t="shared" si="5"/>
        <v/>
      </c>
      <c r="AD40" s="26" t="str">
        <f>IF($C40="","",COUNTIF(TblApplications[ID],$C40))</f>
        <v/>
      </c>
      <c r="AE40" s="33" t="str">
        <f>IF($C40="","",IFERROR(1/(1/_xlfn.MINIFS(TblApplications[Mois prov (calc)],TblApplications[ID],$C40)),""))</f>
        <v/>
      </c>
      <c r="AF40" s="33" t="str">
        <f>IF($C40="","",IFERROR(1/(1/_xlfn.MAXIFS(TblApplications[Mois lib (calc)],TblApplications[ID],$C40)),""))</f>
        <v/>
      </c>
      <c r="AG40" s="26" t="str">
        <f>IF($C40="","",IF(OR(OR($A40="",$B40="",$D40="",$E40="",$F40="",$G40=""),AND($G40="À migrer",OR($H40="",$I40="",$O40="",$U40="",$V40="",$W40="")),AND($G40="Migré",OR($O40="")),AND($G40="À décommissionner",OR($I40="",$W40=""))),"Données manquantes (selon l’action)",IF(AND($G40&lt;&gt;"Migré",$G40&lt;&gt;"À migrer",$G40&lt;&gt;"À décommissionner",$G40&lt;&gt;"Décommissionné"),"Action invalide",IF(COUNTIF(TblDomaines[Domaine],$A40)=0,"Domaine inconnu (référentiel)",IF(COUNTIFS(TblTribes[Tribe],$B40,TblTribes[Domaine de la tribe],$A40)=0,"Tribe inconnue ou hors domaine",IF(AND($G40="À migrer",$H40&lt;&gt;"Oui",$H40&lt;&gt;"Non"),"Valeur Oui/Non invalide (Déjà incluse ROKS)",IF(AND($E40&lt;&gt;"PRD",$E40&lt;&gt;"NPRD"),"Environnement invalide",IF(COUNTIFS(TblApplications[ID],$C40,TblApplications[Environnement],$E40,TblApplications[Couloir],$F40)&gt;1,"Déploiement en doublon (ID + env + couloir)",IF(AND(OR(OR($G40="À migrer",$G40="Migré"),OR($G40="À migrer",$G40="À décommissionner")),N($P40)&lt;=0),"Conso Dynatrace absente (onglet Dynatrace)",IF(OR(AND($P40&lt;&gt;"",NOT(ISNUMBER($P40))),AND($Q40&lt;&gt;"",NOT(ISNUMBER($Q40)))),"Ressource non numérique",IF(MIN(N($P40),N($Q40))&lt;0,"Ressource négative",IF(OR(AND($AH40&lt;&gt;"",OR(NOT(ISNUMBER($AH40)),$AH40&lt;0,$AH40&gt;1)),AND($AI40&lt;&gt;"",OR(NOT(ISNUMBER($AI40)),$AI40&lt;0,$AI40&gt;1))),"Marge spécifique invalide (0–100 %)",IF(OR(AND($U40&lt;&gt;"",NOT(ISNUMBER($U40))),AND($V40&lt;&gt;"",NOT(ISNUMBER($V40))),AND($W40&lt;&gt;"",NOT(ISNUMBER($W40)))),"Mois invalide",IF(AND(OR($G40="À migrer",$G40="À décommissionner"),COUNTIFS(TblClusters[Cluster],$I40,TblClusters[Plateforme],"IKS")=0),"Cluster IKS inconnu",IF(AND(OR($G40="À migrer",$G40="Migré"),COUNTIFS(TblClusters[Cluster],$O40,TblClusters[Plateforme],"ROKS")=0),"Cluster ROKS inconnu",IF(AND(OR($G40="À migrer",$G40="À décommissionner"),COUNTIFS(TblClusters[Cluster],$I40,TblClusters[Environnement],$E40)=0),"Environnement ≠ cluster IKS",IF(AND(OR($G40="À migrer",$G40="Migré"),COUNTIFS(TblClusters[Cluster],$O40,TblClusters[Environnement],$E40)=0),"Environnement ≠ cluster ROKS",IF(AND($G40="À migrer",OR($U40&gt;$V40,$V40&gt;$W40)),"Dates incohérentes (prov ≤ bascule ≤ libération)",IF(AND(OR($G40="À migrer",$G40="À décommissionner"),OR(N($AO40)&gt;SUMIFS(TblClusters[CPU initial (vCPU)],TblClusters[Cluster],$I40),N($AP40)&gt;SUMIFS(TblClusters[RAM initiale (Go)],TblClusters[Cluster],$I40))),"Forçage &gt; capacité du cluster source",IF(OR(AND($AA40&lt;&gt;"",$AA40&lt;p_debut),AND($AB40&lt;&gt;"",$AB40&gt;p_fin)),"Hors horizon (info)",IF(AND($G40="À migrer",$E40="PRD",COUNTIFS(TblApplications[ID],$C40,TblApplications[Environnement],"NPRD",TblApplications[Action],"À migrer")&gt;0,$AA40&lt;_xlfn.MINIFS(TblApplications[Mois prov (calc)],TblApplications[ID],$C40,TblApplications[Environnement],"NPRD")),"PRD avant NPRD (info)","OK")))))))))))))))))))))</f>
        <v/>
      </c>
      <c r="AH40" s="62"/>
      <c r="AI40" s="62"/>
      <c r="AJ40" s="27" t="str">
        <f>IF(OR($C40="",NOT(OR($G40="À migrer",$G40="À décommissionner")),NOT(ISNUMBER($S40)),NOT(ISNUMBER($T40)),$AB40=""),"",($S40+p_poidsram*$T40)*SUMIFS(TblCalculs[Coût par unité],TblCalculs[Cluster],$I40,TblCalculs[Mois],"&lt;"&amp;$AB40))</f>
        <v/>
      </c>
      <c r="AK40" s="27" t="str">
        <f>IF($C40="","",IF(AND($G40="À migrer",$H40="Non",$Y40&lt;&gt;"",$AA40&lt;&gt;""),($Y40+p_poidsram*$Z40)*SUMIFS(TblCalculs[Coût par unité],TblCalculs[Cluster],$O40,TblCalculs[Mois],"&gt;="&amp;$AA40),IF(AND($G40="Migré",$Y40&lt;&gt;""),($Y40+p_poidsram*$Z40)*SUMIFS(TblCalculs[Coût par unité],TblCalculs[Cluster],$O40),"")))</f>
        <v/>
      </c>
      <c r="AL40" s="27" t="str">
        <f t="shared" si="6"/>
        <v/>
      </c>
      <c r="AM40" s="26" t="str">
        <f t="shared" si="7"/>
        <v/>
      </c>
      <c r="AN40" s="26" t="str">
        <f>IF(OR($C40="",$AM40&lt;&gt;1,COUNTIFS($E40,ex_envc,$A40,ex_domc,$B40,ex_tric)=0),"",COUNTIFS($AM$6:$AM40,1,$E$6:$E40,ex_envc,$A$6:$A40,ex_domc,$B$6:$B40,ex_tric))</f>
        <v/>
      </c>
      <c r="AO40" s="63"/>
      <c r="AP40" s="63"/>
      <c r="AQ40" s="63"/>
      <c r="AR40" s="63"/>
    </row>
    <row r="41" spans="1:44" x14ac:dyDescent="0.2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26" t="str">
        <f t="shared" si="0"/>
        <v/>
      </c>
      <c r="O41" s="59"/>
      <c r="P41" s="60" t="str">
        <f>IF($C41="","",IF($AQ41&lt;&gt;"",$AQ41,SUMIFS(TblDynatrace[CPU P95 (vCPU)],TblDynatrace[ID],$C41,TblDynatrace[Environnement],$E41,TblDynatrace[Couloir],$F41)))</f>
        <v/>
      </c>
      <c r="Q41" s="60" t="str">
        <f>IF($C41="","",IF($AR41&lt;&gt;"",$AR41,SUMIFS(TblDynatrace[RAM P95 (Go)],TblDynatrace[ID],$C41,TblDynatrace[Environnement],$E41,TblDynatrace[Couloir],$F41)))</f>
        <v/>
      </c>
      <c r="R41" s="26" t="str">
        <f>IF($C41="","",IFERROR(INDEX(TblDynatrace[Métrique / période],MATCH($C41&amp;"|"&amp;$E41&amp;"|"&amp;$F41,TblDynatrace[Clé],0)),""))</f>
        <v/>
      </c>
      <c r="S41" s="60" t="str">
        <f>IF(OR($C41="",NOT(OR($G41="À migrer",$G41="À décommissionner")),$I41="",NOT(ISNUMBER($P41))),"",IF($AO41&lt;&gt;"",$AO41,IFERROR(SUMIFS(TblClusters[CPU initial (vCPU)],TblClusters[Cluster],$I41)*$P41/(SUMIFS(TblApplications[CPU Dynatrace (vCPU)],TblApplications[Cluster IKS source],$I41,TblApplications[Action],"À migrer")+SUMIFS(TblApplications[CPU Dynatrace (vCPU)],TblApplications[Cluster IKS source],$I41,TblApplications[Action],"À décommissionner")),0)))</f>
        <v/>
      </c>
      <c r="T41" s="60" t="str">
        <f>IF(OR($C41="",NOT(OR($G41="À migrer",$G41="À décommissionner")),$I41="",NOT(ISNUMBER($Q41))),"",IF($AP41&lt;&gt;"",$AP41,IFERROR(SUMIFS(TblClusters[RAM initiale (Go)],TblClusters[Cluster],$I41)*$Q41/(SUMIFS(TblApplications[RAM Dynatrace (Go)],TblApplications[Cluster IKS source],$I41,TblApplications[Action],"À migrer")+SUMIFS(TblApplications[RAM Dynatrace (Go)],TblApplications[Cluster IKS source],$I41,TblApplications[Action],"À décommissionner")),0)))</f>
        <v/>
      </c>
      <c r="U41" s="61"/>
      <c r="V41" s="61"/>
      <c r="W41" s="61"/>
      <c r="X41" s="59"/>
      <c r="Y41" s="26" t="str">
        <f t="shared" si="1"/>
        <v/>
      </c>
      <c r="Z41" s="26" t="str">
        <f t="shared" si="2"/>
        <v/>
      </c>
      <c r="AA41" s="33" t="str">
        <f t="shared" si="3"/>
        <v/>
      </c>
      <c r="AB41" s="33" t="str">
        <f t="shared" si="4"/>
        <v/>
      </c>
      <c r="AC41" s="26" t="str">
        <f t="shared" si="5"/>
        <v/>
      </c>
      <c r="AD41" s="26" t="str">
        <f>IF($C41="","",COUNTIF(TblApplications[ID],$C41))</f>
        <v/>
      </c>
      <c r="AE41" s="33" t="str">
        <f>IF($C41="","",IFERROR(1/(1/_xlfn.MINIFS(TblApplications[Mois prov (calc)],TblApplications[ID],$C41)),""))</f>
        <v/>
      </c>
      <c r="AF41" s="33" t="str">
        <f>IF($C41="","",IFERROR(1/(1/_xlfn.MAXIFS(TblApplications[Mois lib (calc)],TblApplications[ID],$C41)),""))</f>
        <v/>
      </c>
      <c r="AG41" s="26" t="str">
        <f>IF($C41="","",IF(OR(OR($A41="",$B41="",$D41="",$E41="",$F41="",$G41=""),AND($G41="À migrer",OR($H41="",$I41="",$O41="",$U41="",$V41="",$W41="")),AND($G41="Migré",OR($O41="")),AND($G41="À décommissionner",OR($I41="",$W41=""))),"Données manquantes (selon l’action)",IF(AND($G41&lt;&gt;"Migré",$G41&lt;&gt;"À migrer",$G41&lt;&gt;"À décommissionner",$G41&lt;&gt;"Décommissionné"),"Action invalide",IF(COUNTIF(TblDomaines[Domaine],$A41)=0,"Domaine inconnu (référentiel)",IF(COUNTIFS(TblTribes[Tribe],$B41,TblTribes[Domaine de la tribe],$A41)=0,"Tribe inconnue ou hors domaine",IF(AND($G41="À migrer",$H41&lt;&gt;"Oui",$H41&lt;&gt;"Non"),"Valeur Oui/Non invalide (Déjà incluse ROKS)",IF(AND($E41&lt;&gt;"PRD",$E41&lt;&gt;"NPRD"),"Environnement invalide",IF(COUNTIFS(TblApplications[ID],$C41,TblApplications[Environnement],$E41,TblApplications[Couloir],$F41)&gt;1,"Déploiement en doublon (ID + env + couloir)",IF(AND(OR(OR($G41="À migrer",$G41="Migré"),OR($G41="À migrer",$G41="À décommissionner")),N($P41)&lt;=0),"Conso Dynatrace absente (onglet Dynatrace)",IF(OR(AND($P41&lt;&gt;"",NOT(ISNUMBER($P41))),AND($Q41&lt;&gt;"",NOT(ISNUMBER($Q41)))),"Ressource non numérique",IF(MIN(N($P41),N($Q41))&lt;0,"Ressource négative",IF(OR(AND($AH41&lt;&gt;"",OR(NOT(ISNUMBER($AH41)),$AH41&lt;0,$AH41&gt;1)),AND($AI41&lt;&gt;"",OR(NOT(ISNUMBER($AI41)),$AI41&lt;0,$AI41&gt;1))),"Marge spécifique invalide (0–100 %)",IF(OR(AND($U41&lt;&gt;"",NOT(ISNUMBER($U41))),AND($V41&lt;&gt;"",NOT(ISNUMBER($V41))),AND($W41&lt;&gt;"",NOT(ISNUMBER($W41)))),"Mois invalide",IF(AND(OR($G41="À migrer",$G41="À décommissionner"),COUNTIFS(TblClusters[Cluster],$I41,TblClusters[Plateforme],"IKS")=0),"Cluster IKS inconnu",IF(AND(OR($G41="À migrer",$G41="Migré"),COUNTIFS(TblClusters[Cluster],$O41,TblClusters[Plateforme],"ROKS")=0),"Cluster ROKS inconnu",IF(AND(OR($G41="À migrer",$G41="À décommissionner"),COUNTIFS(TblClusters[Cluster],$I41,TblClusters[Environnement],$E41)=0),"Environnement ≠ cluster IKS",IF(AND(OR($G41="À migrer",$G41="Migré"),COUNTIFS(TblClusters[Cluster],$O41,TblClusters[Environnement],$E41)=0),"Environnement ≠ cluster ROKS",IF(AND($G41="À migrer",OR($U41&gt;$V41,$V41&gt;$W41)),"Dates incohérentes (prov ≤ bascule ≤ libération)",IF(AND(OR($G41="À migrer",$G41="À décommissionner"),OR(N($AO41)&gt;SUMIFS(TblClusters[CPU initial (vCPU)],TblClusters[Cluster],$I41),N($AP41)&gt;SUMIFS(TblClusters[RAM initiale (Go)],TblClusters[Cluster],$I41))),"Forçage &gt; capacité du cluster source",IF(OR(AND($AA41&lt;&gt;"",$AA41&lt;p_debut),AND($AB41&lt;&gt;"",$AB41&gt;p_fin)),"Hors horizon (info)",IF(AND($G41="À migrer",$E41="PRD",COUNTIFS(TblApplications[ID],$C41,TblApplications[Environnement],"NPRD",TblApplications[Action],"À migrer")&gt;0,$AA41&lt;_xlfn.MINIFS(TblApplications[Mois prov (calc)],TblApplications[ID],$C41,TblApplications[Environnement],"NPRD")),"PRD avant NPRD (info)","OK")))))))))))))))))))))</f>
        <v/>
      </c>
      <c r="AH41" s="62"/>
      <c r="AI41" s="62"/>
      <c r="AJ41" s="27" t="str">
        <f>IF(OR($C41="",NOT(OR($G41="À migrer",$G41="À décommissionner")),NOT(ISNUMBER($S41)),NOT(ISNUMBER($T41)),$AB41=""),"",($S41+p_poidsram*$T41)*SUMIFS(TblCalculs[Coût par unité],TblCalculs[Cluster],$I41,TblCalculs[Mois],"&lt;"&amp;$AB41))</f>
        <v/>
      </c>
      <c r="AK41" s="27" t="str">
        <f>IF($C41="","",IF(AND($G41="À migrer",$H41="Non",$Y41&lt;&gt;"",$AA41&lt;&gt;""),($Y41+p_poidsram*$Z41)*SUMIFS(TblCalculs[Coût par unité],TblCalculs[Cluster],$O41,TblCalculs[Mois],"&gt;="&amp;$AA41),IF(AND($G41="Migré",$Y41&lt;&gt;""),($Y41+p_poidsram*$Z41)*SUMIFS(TblCalculs[Coût par unité],TblCalculs[Cluster],$O41),"")))</f>
        <v/>
      </c>
      <c r="AL41" s="27" t="str">
        <f t="shared" si="6"/>
        <v/>
      </c>
      <c r="AM41" s="26" t="str">
        <f t="shared" si="7"/>
        <v/>
      </c>
      <c r="AN41" s="26" t="str">
        <f>IF(OR($C41="",$AM41&lt;&gt;1,COUNTIFS($E41,ex_envc,$A41,ex_domc,$B41,ex_tric)=0),"",COUNTIFS($AM$6:$AM41,1,$E$6:$E41,ex_envc,$A$6:$A41,ex_domc,$B$6:$B41,ex_tric))</f>
        <v/>
      </c>
      <c r="AO41" s="63"/>
      <c r="AP41" s="63"/>
      <c r="AQ41" s="63"/>
      <c r="AR41" s="63"/>
    </row>
    <row r="42" spans="1:44" x14ac:dyDescent="0.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26" t="str">
        <f t="shared" si="0"/>
        <v/>
      </c>
      <c r="O42" s="59"/>
      <c r="P42" s="60" t="str">
        <f>IF($C42="","",IF($AQ42&lt;&gt;"",$AQ42,SUMIFS(TblDynatrace[CPU P95 (vCPU)],TblDynatrace[ID],$C42,TblDynatrace[Environnement],$E42,TblDynatrace[Couloir],$F42)))</f>
        <v/>
      </c>
      <c r="Q42" s="60" t="str">
        <f>IF($C42="","",IF($AR42&lt;&gt;"",$AR42,SUMIFS(TblDynatrace[RAM P95 (Go)],TblDynatrace[ID],$C42,TblDynatrace[Environnement],$E42,TblDynatrace[Couloir],$F42)))</f>
        <v/>
      </c>
      <c r="R42" s="26" t="str">
        <f>IF($C42="","",IFERROR(INDEX(TblDynatrace[Métrique / période],MATCH($C42&amp;"|"&amp;$E42&amp;"|"&amp;$F42,TblDynatrace[Clé],0)),""))</f>
        <v/>
      </c>
      <c r="S42" s="60" t="str">
        <f>IF(OR($C42="",NOT(OR($G42="À migrer",$G42="À décommissionner")),$I42="",NOT(ISNUMBER($P42))),"",IF($AO42&lt;&gt;"",$AO42,IFERROR(SUMIFS(TblClusters[CPU initial (vCPU)],TblClusters[Cluster],$I42)*$P42/(SUMIFS(TblApplications[CPU Dynatrace (vCPU)],TblApplications[Cluster IKS source],$I42,TblApplications[Action],"À migrer")+SUMIFS(TblApplications[CPU Dynatrace (vCPU)],TblApplications[Cluster IKS source],$I42,TblApplications[Action],"À décommissionner")),0)))</f>
        <v/>
      </c>
      <c r="T42" s="60" t="str">
        <f>IF(OR($C42="",NOT(OR($G42="À migrer",$G42="À décommissionner")),$I42="",NOT(ISNUMBER($Q42))),"",IF($AP42&lt;&gt;"",$AP42,IFERROR(SUMIFS(TblClusters[RAM initiale (Go)],TblClusters[Cluster],$I42)*$Q42/(SUMIFS(TblApplications[RAM Dynatrace (Go)],TblApplications[Cluster IKS source],$I42,TblApplications[Action],"À migrer")+SUMIFS(TblApplications[RAM Dynatrace (Go)],TblApplications[Cluster IKS source],$I42,TblApplications[Action],"À décommissionner")),0)))</f>
        <v/>
      </c>
      <c r="U42" s="61"/>
      <c r="V42" s="61"/>
      <c r="W42" s="61"/>
      <c r="X42" s="59"/>
      <c r="Y42" s="26" t="str">
        <f t="shared" si="1"/>
        <v/>
      </c>
      <c r="Z42" s="26" t="str">
        <f t="shared" si="2"/>
        <v/>
      </c>
      <c r="AA42" s="33" t="str">
        <f t="shared" si="3"/>
        <v/>
      </c>
      <c r="AB42" s="33" t="str">
        <f t="shared" si="4"/>
        <v/>
      </c>
      <c r="AC42" s="26" t="str">
        <f t="shared" si="5"/>
        <v/>
      </c>
      <c r="AD42" s="26" t="str">
        <f>IF($C42="","",COUNTIF(TblApplications[ID],$C42))</f>
        <v/>
      </c>
      <c r="AE42" s="33" t="str">
        <f>IF($C42="","",IFERROR(1/(1/_xlfn.MINIFS(TblApplications[Mois prov (calc)],TblApplications[ID],$C42)),""))</f>
        <v/>
      </c>
      <c r="AF42" s="33" t="str">
        <f>IF($C42="","",IFERROR(1/(1/_xlfn.MAXIFS(TblApplications[Mois lib (calc)],TblApplications[ID],$C42)),""))</f>
        <v/>
      </c>
      <c r="AG42" s="26" t="str">
        <f>IF($C42="","",IF(OR(OR($A42="",$B42="",$D42="",$E42="",$F42="",$G42=""),AND($G42="À migrer",OR($H42="",$I42="",$O42="",$U42="",$V42="",$W42="")),AND($G42="Migré",OR($O42="")),AND($G42="À décommissionner",OR($I42="",$W42=""))),"Données manquantes (selon l’action)",IF(AND($G42&lt;&gt;"Migré",$G42&lt;&gt;"À migrer",$G42&lt;&gt;"À décommissionner",$G42&lt;&gt;"Décommissionné"),"Action invalide",IF(COUNTIF(TblDomaines[Domaine],$A42)=0,"Domaine inconnu (référentiel)",IF(COUNTIFS(TblTribes[Tribe],$B42,TblTribes[Domaine de la tribe],$A42)=0,"Tribe inconnue ou hors domaine",IF(AND($G42="À migrer",$H42&lt;&gt;"Oui",$H42&lt;&gt;"Non"),"Valeur Oui/Non invalide (Déjà incluse ROKS)",IF(AND($E42&lt;&gt;"PRD",$E42&lt;&gt;"NPRD"),"Environnement invalide",IF(COUNTIFS(TblApplications[ID],$C42,TblApplications[Environnement],$E42,TblApplications[Couloir],$F42)&gt;1,"Déploiement en doublon (ID + env + couloir)",IF(AND(OR(OR($G42="À migrer",$G42="Migré"),OR($G42="À migrer",$G42="À décommissionner")),N($P42)&lt;=0),"Conso Dynatrace absente (onglet Dynatrace)",IF(OR(AND($P42&lt;&gt;"",NOT(ISNUMBER($P42))),AND($Q42&lt;&gt;"",NOT(ISNUMBER($Q42)))),"Ressource non numérique",IF(MIN(N($P42),N($Q42))&lt;0,"Ressource négative",IF(OR(AND($AH42&lt;&gt;"",OR(NOT(ISNUMBER($AH42)),$AH42&lt;0,$AH42&gt;1)),AND($AI42&lt;&gt;"",OR(NOT(ISNUMBER($AI42)),$AI42&lt;0,$AI42&gt;1))),"Marge spécifique invalide (0–100 %)",IF(OR(AND($U42&lt;&gt;"",NOT(ISNUMBER($U42))),AND($V42&lt;&gt;"",NOT(ISNUMBER($V42))),AND($W42&lt;&gt;"",NOT(ISNUMBER($W42)))),"Mois invalide",IF(AND(OR($G42="À migrer",$G42="À décommissionner"),COUNTIFS(TblClusters[Cluster],$I42,TblClusters[Plateforme],"IKS")=0),"Cluster IKS inconnu",IF(AND(OR($G42="À migrer",$G42="Migré"),COUNTIFS(TblClusters[Cluster],$O42,TblClusters[Plateforme],"ROKS")=0),"Cluster ROKS inconnu",IF(AND(OR($G42="À migrer",$G42="À décommissionner"),COUNTIFS(TblClusters[Cluster],$I42,TblClusters[Environnement],$E42)=0),"Environnement ≠ cluster IKS",IF(AND(OR($G42="À migrer",$G42="Migré"),COUNTIFS(TblClusters[Cluster],$O42,TblClusters[Environnement],$E42)=0),"Environnement ≠ cluster ROKS",IF(AND($G42="À migrer",OR($U42&gt;$V42,$V42&gt;$W42)),"Dates incohérentes (prov ≤ bascule ≤ libération)",IF(AND(OR($G42="À migrer",$G42="À décommissionner"),OR(N($AO42)&gt;SUMIFS(TblClusters[CPU initial (vCPU)],TblClusters[Cluster],$I42),N($AP42)&gt;SUMIFS(TblClusters[RAM initiale (Go)],TblClusters[Cluster],$I42))),"Forçage &gt; capacité du cluster source",IF(OR(AND($AA42&lt;&gt;"",$AA42&lt;p_debut),AND($AB42&lt;&gt;"",$AB42&gt;p_fin)),"Hors horizon (info)",IF(AND($G42="À migrer",$E42="PRD",COUNTIFS(TblApplications[ID],$C42,TblApplications[Environnement],"NPRD",TblApplications[Action],"À migrer")&gt;0,$AA42&lt;_xlfn.MINIFS(TblApplications[Mois prov (calc)],TblApplications[ID],$C42,TblApplications[Environnement],"NPRD")),"PRD avant NPRD (info)","OK")))))))))))))))))))))</f>
        <v/>
      </c>
      <c r="AH42" s="62"/>
      <c r="AI42" s="62"/>
      <c r="AJ42" s="27" t="str">
        <f>IF(OR($C42="",NOT(OR($G42="À migrer",$G42="À décommissionner")),NOT(ISNUMBER($S42)),NOT(ISNUMBER($T42)),$AB42=""),"",($S42+p_poidsram*$T42)*SUMIFS(TblCalculs[Coût par unité],TblCalculs[Cluster],$I42,TblCalculs[Mois],"&lt;"&amp;$AB42))</f>
        <v/>
      </c>
      <c r="AK42" s="27" t="str">
        <f>IF($C42="","",IF(AND($G42="À migrer",$H42="Non",$Y42&lt;&gt;"",$AA42&lt;&gt;""),($Y42+p_poidsram*$Z42)*SUMIFS(TblCalculs[Coût par unité],TblCalculs[Cluster],$O42,TblCalculs[Mois],"&gt;="&amp;$AA42),IF(AND($G42="Migré",$Y42&lt;&gt;""),($Y42+p_poidsram*$Z42)*SUMIFS(TblCalculs[Coût par unité],TblCalculs[Cluster],$O42),"")))</f>
        <v/>
      </c>
      <c r="AL42" s="27" t="str">
        <f t="shared" si="6"/>
        <v/>
      </c>
      <c r="AM42" s="26" t="str">
        <f t="shared" si="7"/>
        <v/>
      </c>
      <c r="AN42" s="26" t="str">
        <f>IF(OR($C42="",$AM42&lt;&gt;1,COUNTIFS($E42,ex_envc,$A42,ex_domc,$B42,ex_tric)=0),"",COUNTIFS($AM$6:$AM42,1,$E$6:$E42,ex_envc,$A$6:$A42,ex_domc,$B$6:$B42,ex_tric))</f>
        <v/>
      </c>
      <c r="AO42" s="63"/>
      <c r="AP42" s="63"/>
      <c r="AQ42" s="63"/>
      <c r="AR42" s="63"/>
    </row>
    <row r="43" spans="1:44" x14ac:dyDescent="0.2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26" t="str">
        <f t="shared" si="0"/>
        <v/>
      </c>
      <c r="O43" s="59"/>
      <c r="P43" s="60" t="str">
        <f>IF($C43="","",IF($AQ43&lt;&gt;"",$AQ43,SUMIFS(TblDynatrace[CPU P95 (vCPU)],TblDynatrace[ID],$C43,TblDynatrace[Environnement],$E43,TblDynatrace[Couloir],$F43)))</f>
        <v/>
      </c>
      <c r="Q43" s="60" t="str">
        <f>IF($C43="","",IF($AR43&lt;&gt;"",$AR43,SUMIFS(TblDynatrace[RAM P95 (Go)],TblDynatrace[ID],$C43,TblDynatrace[Environnement],$E43,TblDynatrace[Couloir],$F43)))</f>
        <v/>
      </c>
      <c r="R43" s="26" t="str">
        <f>IF($C43="","",IFERROR(INDEX(TblDynatrace[Métrique / période],MATCH($C43&amp;"|"&amp;$E43&amp;"|"&amp;$F43,TblDynatrace[Clé],0)),""))</f>
        <v/>
      </c>
      <c r="S43" s="60" t="str">
        <f>IF(OR($C43="",NOT(OR($G43="À migrer",$G43="À décommissionner")),$I43="",NOT(ISNUMBER($P43))),"",IF($AO43&lt;&gt;"",$AO43,IFERROR(SUMIFS(TblClusters[CPU initial (vCPU)],TblClusters[Cluster],$I43)*$P43/(SUMIFS(TblApplications[CPU Dynatrace (vCPU)],TblApplications[Cluster IKS source],$I43,TblApplications[Action],"À migrer")+SUMIFS(TblApplications[CPU Dynatrace (vCPU)],TblApplications[Cluster IKS source],$I43,TblApplications[Action],"À décommissionner")),0)))</f>
        <v/>
      </c>
      <c r="T43" s="60" t="str">
        <f>IF(OR($C43="",NOT(OR($G43="À migrer",$G43="À décommissionner")),$I43="",NOT(ISNUMBER($Q43))),"",IF($AP43&lt;&gt;"",$AP43,IFERROR(SUMIFS(TblClusters[RAM initiale (Go)],TblClusters[Cluster],$I43)*$Q43/(SUMIFS(TblApplications[RAM Dynatrace (Go)],TblApplications[Cluster IKS source],$I43,TblApplications[Action],"À migrer")+SUMIFS(TblApplications[RAM Dynatrace (Go)],TblApplications[Cluster IKS source],$I43,TblApplications[Action],"À décommissionner")),0)))</f>
        <v/>
      </c>
      <c r="U43" s="61"/>
      <c r="V43" s="61"/>
      <c r="W43" s="61"/>
      <c r="X43" s="59"/>
      <c r="Y43" s="26" t="str">
        <f t="shared" si="1"/>
        <v/>
      </c>
      <c r="Z43" s="26" t="str">
        <f t="shared" si="2"/>
        <v/>
      </c>
      <c r="AA43" s="33" t="str">
        <f t="shared" si="3"/>
        <v/>
      </c>
      <c r="AB43" s="33" t="str">
        <f t="shared" si="4"/>
        <v/>
      </c>
      <c r="AC43" s="26" t="str">
        <f t="shared" si="5"/>
        <v/>
      </c>
      <c r="AD43" s="26" t="str">
        <f>IF($C43="","",COUNTIF(TblApplications[ID],$C43))</f>
        <v/>
      </c>
      <c r="AE43" s="33" t="str">
        <f>IF($C43="","",IFERROR(1/(1/_xlfn.MINIFS(TblApplications[Mois prov (calc)],TblApplications[ID],$C43)),""))</f>
        <v/>
      </c>
      <c r="AF43" s="33" t="str">
        <f>IF($C43="","",IFERROR(1/(1/_xlfn.MAXIFS(TblApplications[Mois lib (calc)],TblApplications[ID],$C43)),""))</f>
        <v/>
      </c>
      <c r="AG43" s="26" t="str">
        <f>IF($C43="","",IF(OR(OR($A43="",$B43="",$D43="",$E43="",$F43="",$G43=""),AND($G43="À migrer",OR($H43="",$I43="",$O43="",$U43="",$V43="",$W43="")),AND($G43="Migré",OR($O43="")),AND($G43="À décommissionner",OR($I43="",$W43=""))),"Données manquantes (selon l’action)",IF(AND($G43&lt;&gt;"Migré",$G43&lt;&gt;"À migrer",$G43&lt;&gt;"À décommissionner",$G43&lt;&gt;"Décommissionné"),"Action invalide",IF(COUNTIF(TblDomaines[Domaine],$A43)=0,"Domaine inconnu (référentiel)",IF(COUNTIFS(TblTribes[Tribe],$B43,TblTribes[Domaine de la tribe],$A43)=0,"Tribe inconnue ou hors domaine",IF(AND($G43="À migrer",$H43&lt;&gt;"Oui",$H43&lt;&gt;"Non"),"Valeur Oui/Non invalide (Déjà incluse ROKS)",IF(AND($E43&lt;&gt;"PRD",$E43&lt;&gt;"NPRD"),"Environnement invalide",IF(COUNTIFS(TblApplications[ID],$C43,TblApplications[Environnement],$E43,TblApplications[Couloir],$F43)&gt;1,"Déploiement en doublon (ID + env + couloir)",IF(AND(OR(OR($G43="À migrer",$G43="Migré"),OR($G43="À migrer",$G43="À décommissionner")),N($P43)&lt;=0),"Conso Dynatrace absente (onglet Dynatrace)",IF(OR(AND($P43&lt;&gt;"",NOT(ISNUMBER($P43))),AND($Q43&lt;&gt;"",NOT(ISNUMBER($Q43)))),"Ressource non numérique",IF(MIN(N($P43),N($Q43))&lt;0,"Ressource négative",IF(OR(AND($AH43&lt;&gt;"",OR(NOT(ISNUMBER($AH43)),$AH43&lt;0,$AH43&gt;1)),AND($AI43&lt;&gt;"",OR(NOT(ISNUMBER($AI43)),$AI43&lt;0,$AI43&gt;1))),"Marge spécifique invalide (0–100 %)",IF(OR(AND($U43&lt;&gt;"",NOT(ISNUMBER($U43))),AND($V43&lt;&gt;"",NOT(ISNUMBER($V43))),AND($W43&lt;&gt;"",NOT(ISNUMBER($W43)))),"Mois invalide",IF(AND(OR($G43="À migrer",$G43="À décommissionner"),COUNTIFS(TblClusters[Cluster],$I43,TblClusters[Plateforme],"IKS")=0),"Cluster IKS inconnu",IF(AND(OR($G43="À migrer",$G43="Migré"),COUNTIFS(TblClusters[Cluster],$O43,TblClusters[Plateforme],"ROKS")=0),"Cluster ROKS inconnu",IF(AND(OR($G43="À migrer",$G43="À décommissionner"),COUNTIFS(TblClusters[Cluster],$I43,TblClusters[Environnement],$E43)=0),"Environnement ≠ cluster IKS",IF(AND(OR($G43="À migrer",$G43="Migré"),COUNTIFS(TblClusters[Cluster],$O43,TblClusters[Environnement],$E43)=0),"Environnement ≠ cluster ROKS",IF(AND($G43="À migrer",OR($U43&gt;$V43,$V43&gt;$W43)),"Dates incohérentes (prov ≤ bascule ≤ libération)",IF(AND(OR($G43="À migrer",$G43="À décommissionner"),OR(N($AO43)&gt;SUMIFS(TblClusters[CPU initial (vCPU)],TblClusters[Cluster],$I43),N($AP43)&gt;SUMIFS(TblClusters[RAM initiale (Go)],TblClusters[Cluster],$I43))),"Forçage &gt; capacité du cluster source",IF(OR(AND($AA43&lt;&gt;"",$AA43&lt;p_debut),AND($AB43&lt;&gt;"",$AB43&gt;p_fin)),"Hors horizon (info)",IF(AND($G43="À migrer",$E43="PRD",COUNTIFS(TblApplications[ID],$C43,TblApplications[Environnement],"NPRD",TblApplications[Action],"À migrer")&gt;0,$AA43&lt;_xlfn.MINIFS(TblApplications[Mois prov (calc)],TblApplications[ID],$C43,TblApplications[Environnement],"NPRD")),"PRD avant NPRD (info)","OK")))))))))))))))))))))</f>
        <v/>
      </c>
      <c r="AH43" s="62"/>
      <c r="AI43" s="62"/>
      <c r="AJ43" s="27" t="str">
        <f>IF(OR($C43="",NOT(OR($G43="À migrer",$G43="À décommissionner")),NOT(ISNUMBER($S43)),NOT(ISNUMBER($T43)),$AB43=""),"",($S43+p_poidsram*$T43)*SUMIFS(TblCalculs[Coût par unité],TblCalculs[Cluster],$I43,TblCalculs[Mois],"&lt;"&amp;$AB43))</f>
        <v/>
      </c>
      <c r="AK43" s="27" t="str">
        <f>IF($C43="","",IF(AND($G43="À migrer",$H43="Non",$Y43&lt;&gt;"",$AA43&lt;&gt;""),($Y43+p_poidsram*$Z43)*SUMIFS(TblCalculs[Coût par unité],TblCalculs[Cluster],$O43,TblCalculs[Mois],"&gt;="&amp;$AA43),IF(AND($G43="Migré",$Y43&lt;&gt;""),($Y43+p_poidsram*$Z43)*SUMIFS(TblCalculs[Coût par unité],TblCalculs[Cluster],$O43),"")))</f>
        <v/>
      </c>
      <c r="AL43" s="27" t="str">
        <f t="shared" si="6"/>
        <v/>
      </c>
      <c r="AM43" s="26" t="str">
        <f t="shared" si="7"/>
        <v/>
      </c>
      <c r="AN43" s="26" t="str">
        <f>IF(OR($C43="",$AM43&lt;&gt;1,COUNTIFS($E43,ex_envc,$A43,ex_domc,$B43,ex_tric)=0),"",COUNTIFS($AM$6:$AM43,1,$E$6:$E43,ex_envc,$A$6:$A43,ex_domc,$B$6:$B43,ex_tric))</f>
        <v/>
      </c>
      <c r="AO43" s="63"/>
      <c r="AP43" s="63"/>
      <c r="AQ43" s="63"/>
      <c r="AR43" s="63"/>
    </row>
    <row r="44" spans="1:44" x14ac:dyDescent="0.2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26" t="str">
        <f t="shared" si="0"/>
        <v/>
      </c>
      <c r="O44" s="59"/>
      <c r="P44" s="60" t="str">
        <f>IF($C44="","",IF($AQ44&lt;&gt;"",$AQ44,SUMIFS(TblDynatrace[CPU P95 (vCPU)],TblDynatrace[ID],$C44,TblDynatrace[Environnement],$E44,TblDynatrace[Couloir],$F44)))</f>
        <v/>
      </c>
      <c r="Q44" s="60" t="str">
        <f>IF($C44="","",IF($AR44&lt;&gt;"",$AR44,SUMIFS(TblDynatrace[RAM P95 (Go)],TblDynatrace[ID],$C44,TblDynatrace[Environnement],$E44,TblDynatrace[Couloir],$F44)))</f>
        <v/>
      </c>
      <c r="R44" s="26" t="str">
        <f>IF($C44="","",IFERROR(INDEX(TblDynatrace[Métrique / période],MATCH($C44&amp;"|"&amp;$E44&amp;"|"&amp;$F44,TblDynatrace[Clé],0)),""))</f>
        <v/>
      </c>
      <c r="S44" s="60" t="str">
        <f>IF(OR($C44="",NOT(OR($G44="À migrer",$G44="À décommissionner")),$I44="",NOT(ISNUMBER($P44))),"",IF($AO44&lt;&gt;"",$AO44,IFERROR(SUMIFS(TblClusters[CPU initial (vCPU)],TblClusters[Cluster],$I44)*$P44/(SUMIFS(TblApplications[CPU Dynatrace (vCPU)],TblApplications[Cluster IKS source],$I44,TblApplications[Action],"À migrer")+SUMIFS(TblApplications[CPU Dynatrace (vCPU)],TblApplications[Cluster IKS source],$I44,TblApplications[Action],"À décommissionner")),0)))</f>
        <v/>
      </c>
      <c r="T44" s="60" t="str">
        <f>IF(OR($C44="",NOT(OR($G44="À migrer",$G44="À décommissionner")),$I44="",NOT(ISNUMBER($Q44))),"",IF($AP44&lt;&gt;"",$AP44,IFERROR(SUMIFS(TblClusters[RAM initiale (Go)],TblClusters[Cluster],$I44)*$Q44/(SUMIFS(TblApplications[RAM Dynatrace (Go)],TblApplications[Cluster IKS source],$I44,TblApplications[Action],"À migrer")+SUMIFS(TblApplications[RAM Dynatrace (Go)],TblApplications[Cluster IKS source],$I44,TblApplications[Action],"À décommissionner")),0)))</f>
        <v/>
      </c>
      <c r="U44" s="61"/>
      <c r="V44" s="61"/>
      <c r="W44" s="61"/>
      <c r="X44" s="59"/>
      <c r="Y44" s="26" t="str">
        <f t="shared" si="1"/>
        <v/>
      </c>
      <c r="Z44" s="26" t="str">
        <f t="shared" si="2"/>
        <v/>
      </c>
      <c r="AA44" s="33" t="str">
        <f t="shared" si="3"/>
        <v/>
      </c>
      <c r="AB44" s="33" t="str">
        <f t="shared" si="4"/>
        <v/>
      </c>
      <c r="AC44" s="26" t="str">
        <f t="shared" si="5"/>
        <v/>
      </c>
      <c r="AD44" s="26" t="str">
        <f>IF($C44="","",COUNTIF(TblApplications[ID],$C44))</f>
        <v/>
      </c>
      <c r="AE44" s="33" t="str">
        <f>IF($C44="","",IFERROR(1/(1/_xlfn.MINIFS(TblApplications[Mois prov (calc)],TblApplications[ID],$C44)),""))</f>
        <v/>
      </c>
      <c r="AF44" s="33" t="str">
        <f>IF($C44="","",IFERROR(1/(1/_xlfn.MAXIFS(TblApplications[Mois lib (calc)],TblApplications[ID],$C44)),""))</f>
        <v/>
      </c>
      <c r="AG44" s="26" t="str">
        <f>IF($C44="","",IF(OR(OR($A44="",$B44="",$D44="",$E44="",$F44="",$G44=""),AND($G44="À migrer",OR($H44="",$I44="",$O44="",$U44="",$V44="",$W44="")),AND($G44="Migré",OR($O44="")),AND($G44="À décommissionner",OR($I44="",$W44=""))),"Données manquantes (selon l’action)",IF(AND($G44&lt;&gt;"Migré",$G44&lt;&gt;"À migrer",$G44&lt;&gt;"À décommissionner",$G44&lt;&gt;"Décommissionné"),"Action invalide",IF(COUNTIF(TblDomaines[Domaine],$A44)=0,"Domaine inconnu (référentiel)",IF(COUNTIFS(TblTribes[Tribe],$B44,TblTribes[Domaine de la tribe],$A44)=0,"Tribe inconnue ou hors domaine",IF(AND($G44="À migrer",$H44&lt;&gt;"Oui",$H44&lt;&gt;"Non"),"Valeur Oui/Non invalide (Déjà incluse ROKS)",IF(AND($E44&lt;&gt;"PRD",$E44&lt;&gt;"NPRD"),"Environnement invalide",IF(COUNTIFS(TblApplications[ID],$C44,TblApplications[Environnement],$E44,TblApplications[Couloir],$F44)&gt;1,"Déploiement en doublon (ID + env + couloir)",IF(AND(OR(OR($G44="À migrer",$G44="Migré"),OR($G44="À migrer",$G44="À décommissionner")),N($P44)&lt;=0),"Conso Dynatrace absente (onglet Dynatrace)",IF(OR(AND($P44&lt;&gt;"",NOT(ISNUMBER($P44))),AND($Q44&lt;&gt;"",NOT(ISNUMBER($Q44)))),"Ressource non numérique",IF(MIN(N($P44),N($Q44))&lt;0,"Ressource négative",IF(OR(AND($AH44&lt;&gt;"",OR(NOT(ISNUMBER($AH44)),$AH44&lt;0,$AH44&gt;1)),AND($AI44&lt;&gt;"",OR(NOT(ISNUMBER($AI44)),$AI44&lt;0,$AI44&gt;1))),"Marge spécifique invalide (0–100 %)",IF(OR(AND($U44&lt;&gt;"",NOT(ISNUMBER($U44))),AND($V44&lt;&gt;"",NOT(ISNUMBER($V44))),AND($W44&lt;&gt;"",NOT(ISNUMBER($W44)))),"Mois invalide",IF(AND(OR($G44="À migrer",$G44="À décommissionner"),COUNTIFS(TblClusters[Cluster],$I44,TblClusters[Plateforme],"IKS")=0),"Cluster IKS inconnu",IF(AND(OR($G44="À migrer",$G44="Migré"),COUNTIFS(TblClusters[Cluster],$O44,TblClusters[Plateforme],"ROKS")=0),"Cluster ROKS inconnu",IF(AND(OR($G44="À migrer",$G44="À décommissionner"),COUNTIFS(TblClusters[Cluster],$I44,TblClusters[Environnement],$E44)=0),"Environnement ≠ cluster IKS",IF(AND(OR($G44="À migrer",$G44="Migré"),COUNTIFS(TblClusters[Cluster],$O44,TblClusters[Environnement],$E44)=0),"Environnement ≠ cluster ROKS",IF(AND($G44="À migrer",OR($U44&gt;$V44,$V44&gt;$W44)),"Dates incohérentes (prov ≤ bascule ≤ libération)",IF(AND(OR($G44="À migrer",$G44="À décommissionner"),OR(N($AO44)&gt;SUMIFS(TblClusters[CPU initial (vCPU)],TblClusters[Cluster],$I44),N($AP44)&gt;SUMIFS(TblClusters[RAM initiale (Go)],TblClusters[Cluster],$I44))),"Forçage &gt; capacité du cluster source",IF(OR(AND($AA44&lt;&gt;"",$AA44&lt;p_debut),AND($AB44&lt;&gt;"",$AB44&gt;p_fin)),"Hors horizon (info)",IF(AND($G44="À migrer",$E44="PRD",COUNTIFS(TblApplications[ID],$C44,TblApplications[Environnement],"NPRD",TblApplications[Action],"À migrer")&gt;0,$AA44&lt;_xlfn.MINIFS(TblApplications[Mois prov (calc)],TblApplications[ID],$C44,TblApplications[Environnement],"NPRD")),"PRD avant NPRD (info)","OK")))))))))))))))))))))</f>
        <v/>
      </c>
      <c r="AH44" s="62"/>
      <c r="AI44" s="62"/>
      <c r="AJ44" s="27" t="str">
        <f>IF(OR($C44="",NOT(OR($G44="À migrer",$G44="À décommissionner")),NOT(ISNUMBER($S44)),NOT(ISNUMBER($T44)),$AB44=""),"",($S44+p_poidsram*$T44)*SUMIFS(TblCalculs[Coût par unité],TblCalculs[Cluster],$I44,TblCalculs[Mois],"&lt;"&amp;$AB44))</f>
        <v/>
      </c>
      <c r="AK44" s="27" t="str">
        <f>IF($C44="","",IF(AND($G44="À migrer",$H44="Non",$Y44&lt;&gt;"",$AA44&lt;&gt;""),($Y44+p_poidsram*$Z44)*SUMIFS(TblCalculs[Coût par unité],TblCalculs[Cluster],$O44,TblCalculs[Mois],"&gt;="&amp;$AA44),IF(AND($G44="Migré",$Y44&lt;&gt;""),($Y44+p_poidsram*$Z44)*SUMIFS(TblCalculs[Coût par unité],TblCalculs[Cluster],$O44),"")))</f>
        <v/>
      </c>
      <c r="AL44" s="27" t="str">
        <f t="shared" si="6"/>
        <v/>
      </c>
      <c r="AM44" s="26" t="str">
        <f t="shared" si="7"/>
        <v/>
      </c>
      <c r="AN44" s="26" t="str">
        <f>IF(OR($C44="",$AM44&lt;&gt;1,COUNTIFS($E44,ex_envc,$A44,ex_domc,$B44,ex_tric)=0),"",COUNTIFS($AM$6:$AM44,1,$E$6:$E44,ex_envc,$A$6:$A44,ex_domc,$B$6:$B44,ex_tric))</f>
        <v/>
      </c>
      <c r="AO44" s="63"/>
      <c r="AP44" s="63"/>
      <c r="AQ44" s="63"/>
      <c r="AR44" s="63"/>
    </row>
    <row r="45" spans="1:44" x14ac:dyDescent="0.2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26" t="str">
        <f t="shared" si="0"/>
        <v/>
      </c>
      <c r="O45" s="59"/>
      <c r="P45" s="60" t="str">
        <f>IF($C45="","",IF($AQ45&lt;&gt;"",$AQ45,SUMIFS(TblDynatrace[CPU P95 (vCPU)],TblDynatrace[ID],$C45,TblDynatrace[Environnement],$E45,TblDynatrace[Couloir],$F45)))</f>
        <v/>
      </c>
      <c r="Q45" s="60" t="str">
        <f>IF($C45="","",IF($AR45&lt;&gt;"",$AR45,SUMIFS(TblDynatrace[RAM P95 (Go)],TblDynatrace[ID],$C45,TblDynatrace[Environnement],$E45,TblDynatrace[Couloir],$F45)))</f>
        <v/>
      </c>
      <c r="R45" s="26" t="str">
        <f>IF($C45="","",IFERROR(INDEX(TblDynatrace[Métrique / période],MATCH($C45&amp;"|"&amp;$E45&amp;"|"&amp;$F45,TblDynatrace[Clé],0)),""))</f>
        <v/>
      </c>
      <c r="S45" s="60" t="str">
        <f>IF(OR($C45="",NOT(OR($G45="À migrer",$G45="À décommissionner")),$I45="",NOT(ISNUMBER($P45))),"",IF($AO45&lt;&gt;"",$AO45,IFERROR(SUMIFS(TblClusters[CPU initial (vCPU)],TblClusters[Cluster],$I45)*$P45/(SUMIFS(TblApplications[CPU Dynatrace (vCPU)],TblApplications[Cluster IKS source],$I45,TblApplications[Action],"À migrer")+SUMIFS(TblApplications[CPU Dynatrace (vCPU)],TblApplications[Cluster IKS source],$I45,TblApplications[Action],"À décommissionner")),0)))</f>
        <v/>
      </c>
      <c r="T45" s="60" t="str">
        <f>IF(OR($C45="",NOT(OR($G45="À migrer",$G45="À décommissionner")),$I45="",NOT(ISNUMBER($Q45))),"",IF($AP45&lt;&gt;"",$AP45,IFERROR(SUMIFS(TblClusters[RAM initiale (Go)],TblClusters[Cluster],$I45)*$Q45/(SUMIFS(TblApplications[RAM Dynatrace (Go)],TblApplications[Cluster IKS source],$I45,TblApplications[Action],"À migrer")+SUMIFS(TblApplications[RAM Dynatrace (Go)],TblApplications[Cluster IKS source],$I45,TblApplications[Action],"À décommissionner")),0)))</f>
        <v/>
      </c>
      <c r="U45" s="61"/>
      <c r="V45" s="61"/>
      <c r="W45" s="61"/>
      <c r="X45" s="59"/>
      <c r="Y45" s="26" t="str">
        <f t="shared" si="1"/>
        <v/>
      </c>
      <c r="Z45" s="26" t="str">
        <f t="shared" si="2"/>
        <v/>
      </c>
      <c r="AA45" s="33" t="str">
        <f t="shared" si="3"/>
        <v/>
      </c>
      <c r="AB45" s="33" t="str">
        <f t="shared" si="4"/>
        <v/>
      </c>
      <c r="AC45" s="26" t="str">
        <f t="shared" si="5"/>
        <v/>
      </c>
      <c r="AD45" s="26" t="str">
        <f>IF($C45="","",COUNTIF(TblApplications[ID],$C45))</f>
        <v/>
      </c>
      <c r="AE45" s="33" t="str">
        <f>IF($C45="","",IFERROR(1/(1/_xlfn.MINIFS(TblApplications[Mois prov (calc)],TblApplications[ID],$C45)),""))</f>
        <v/>
      </c>
      <c r="AF45" s="33" t="str">
        <f>IF($C45="","",IFERROR(1/(1/_xlfn.MAXIFS(TblApplications[Mois lib (calc)],TblApplications[ID],$C45)),""))</f>
        <v/>
      </c>
      <c r="AG45" s="26" t="str">
        <f>IF($C45="","",IF(OR(OR($A45="",$B45="",$D45="",$E45="",$F45="",$G45=""),AND($G45="À migrer",OR($H45="",$I45="",$O45="",$U45="",$V45="",$W45="")),AND($G45="Migré",OR($O45="")),AND($G45="À décommissionner",OR($I45="",$W45=""))),"Données manquantes (selon l’action)",IF(AND($G45&lt;&gt;"Migré",$G45&lt;&gt;"À migrer",$G45&lt;&gt;"À décommissionner",$G45&lt;&gt;"Décommissionné"),"Action invalide",IF(COUNTIF(TblDomaines[Domaine],$A45)=0,"Domaine inconnu (référentiel)",IF(COUNTIFS(TblTribes[Tribe],$B45,TblTribes[Domaine de la tribe],$A45)=0,"Tribe inconnue ou hors domaine",IF(AND($G45="À migrer",$H45&lt;&gt;"Oui",$H45&lt;&gt;"Non"),"Valeur Oui/Non invalide (Déjà incluse ROKS)",IF(AND($E45&lt;&gt;"PRD",$E45&lt;&gt;"NPRD"),"Environnement invalide",IF(COUNTIFS(TblApplications[ID],$C45,TblApplications[Environnement],$E45,TblApplications[Couloir],$F45)&gt;1,"Déploiement en doublon (ID + env + couloir)",IF(AND(OR(OR($G45="À migrer",$G45="Migré"),OR($G45="À migrer",$G45="À décommissionner")),N($P45)&lt;=0),"Conso Dynatrace absente (onglet Dynatrace)",IF(OR(AND($P45&lt;&gt;"",NOT(ISNUMBER($P45))),AND($Q45&lt;&gt;"",NOT(ISNUMBER($Q45)))),"Ressource non numérique",IF(MIN(N($P45),N($Q45))&lt;0,"Ressource négative",IF(OR(AND($AH45&lt;&gt;"",OR(NOT(ISNUMBER($AH45)),$AH45&lt;0,$AH45&gt;1)),AND($AI45&lt;&gt;"",OR(NOT(ISNUMBER($AI45)),$AI45&lt;0,$AI45&gt;1))),"Marge spécifique invalide (0–100 %)",IF(OR(AND($U45&lt;&gt;"",NOT(ISNUMBER($U45))),AND($V45&lt;&gt;"",NOT(ISNUMBER($V45))),AND($W45&lt;&gt;"",NOT(ISNUMBER($W45)))),"Mois invalide",IF(AND(OR($G45="À migrer",$G45="À décommissionner"),COUNTIFS(TblClusters[Cluster],$I45,TblClusters[Plateforme],"IKS")=0),"Cluster IKS inconnu",IF(AND(OR($G45="À migrer",$G45="Migré"),COUNTIFS(TblClusters[Cluster],$O45,TblClusters[Plateforme],"ROKS")=0),"Cluster ROKS inconnu",IF(AND(OR($G45="À migrer",$G45="À décommissionner"),COUNTIFS(TblClusters[Cluster],$I45,TblClusters[Environnement],$E45)=0),"Environnement ≠ cluster IKS",IF(AND(OR($G45="À migrer",$G45="Migré"),COUNTIFS(TblClusters[Cluster],$O45,TblClusters[Environnement],$E45)=0),"Environnement ≠ cluster ROKS",IF(AND($G45="À migrer",OR($U45&gt;$V45,$V45&gt;$W45)),"Dates incohérentes (prov ≤ bascule ≤ libération)",IF(AND(OR($G45="À migrer",$G45="À décommissionner"),OR(N($AO45)&gt;SUMIFS(TblClusters[CPU initial (vCPU)],TblClusters[Cluster],$I45),N($AP45)&gt;SUMIFS(TblClusters[RAM initiale (Go)],TblClusters[Cluster],$I45))),"Forçage &gt; capacité du cluster source",IF(OR(AND($AA45&lt;&gt;"",$AA45&lt;p_debut),AND($AB45&lt;&gt;"",$AB45&gt;p_fin)),"Hors horizon (info)",IF(AND($G45="À migrer",$E45="PRD",COUNTIFS(TblApplications[ID],$C45,TblApplications[Environnement],"NPRD",TblApplications[Action],"À migrer")&gt;0,$AA45&lt;_xlfn.MINIFS(TblApplications[Mois prov (calc)],TblApplications[ID],$C45,TblApplications[Environnement],"NPRD")),"PRD avant NPRD (info)","OK")))))))))))))))))))))</f>
        <v/>
      </c>
      <c r="AH45" s="62"/>
      <c r="AI45" s="62"/>
      <c r="AJ45" s="27" t="str">
        <f>IF(OR($C45="",NOT(OR($G45="À migrer",$G45="À décommissionner")),NOT(ISNUMBER($S45)),NOT(ISNUMBER($T45)),$AB45=""),"",($S45+p_poidsram*$T45)*SUMIFS(TblCalculs[Coût par unité],TblCalculs[Cluster],$I45,TblCalculs[Mois],"&lt;"&amp;$AB45))</f>
        <v/>
      </c>
      <c r="AK45" s="27" t="str">
        <f>IF($C45="","",IF(AND($G45="À migrer",$H45="Non",$Y45&lt;&gt;"",$AA45&lt;&gt;""),($Y45+p_poidsram*$Z45)*SUMIFS(TblCalculs[Coût par unité],TblCalculs[Cluster],$O45,TblCalculs[Mois],"&gt;="&amp;$AA45),IF(AND($G45="Migré",$Y45&lt;&gt;""),($Y45+p_poidsram*$Z45)*SUMIFS(TblCalculs[Coût par unité],TblCalculs[Cluster],$O45),"")))</f>
        <v/>
      </c>
      <c r="AL45" s="27" t="str">
        <f t="shared" si="6"/>
        <v/>
      </c>
      <c r="AM45" s="26" t="str">
        <f t="shared" si="7"/>
        <v/>
      </c>
      <c r="AN45" s="26" t="str">
        <f>IF(OR($C45="",$AM45&lt;&gt;1,COUNTIFS($E45,ex_envc,$A45,ex_domc,$B45,ex_tric)=0),"",COUNTIFS($AM$6:$AM45,1,$E$6:$E45,ex_envc,$A$6:$A45,ex_domc,$B$6:$B45,ex_tric))</f>
        <v/>
      </c>
      <c r="AO45" s="63"/>
      <c r="AP45" s="63"/>
      <c r="AQ45" s="63"/>
      <c r="AR45" s="63"/>
    </row>
    <row r="46" spans="1:44" x14ac:dyDescent="0.2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26" t="str">
        <f t="shared" si="0"/>
        <v/>
      </c>
      <c r="O46" s="59"/>
      <c r="P46" s="60" t="str">
        <f>IF($C46="","",IF($AQ46&lt;&gt;"",$AQ46,SUMIFS(TblDynatrace[CPU P95 (vCPU)],TblDynatrace[ID],$C46,TblDynatrace[Environnement],$E46,TblDynatrace[Couloir],$F46)))</f>
        <v/>
      </c>
      <c r="Q46" s="60" t="str">
        <f>IF($C46="","",IF($AR46&lt;&gt;"",$AR46,SUMIFS(TblDynatrace[RAM P95 (Go)],TblDynatrace[ID],$C46,TblDynatrace[Environnement],$E46,TblDynatrace[Couloir],$F46)))</f>
        <v/>
      </c>
      <c r="R46" s="26" t="str">
        <f>IF($C46="","",IFERROR(INDEX(TblDynatrace[Métrique / période],MATCH($C46&amp;"|"&amp;$E46&amp;"|"&amp;$F46,TblDynatrace[Clé],0)),""))</f>
        <v/>
      </c>
      <c r="S46" s="60" t="str">
        <f>IF(OR($C46="",NOT(OR($G46="À migrer",$G46="À décommissionner")),$I46="",NOT(ISNUMBER($P46))),"",IF($AO46&lt;&gt;"",$AO46,IFERROR(SUMIFS(TblClusters[CPU initial (vCPU)],TblClusters[Cluster],$I46)*$P46/(SUMIFS(TblApplications[CPU Dynatrace (vCPU)],TblApplications[Cluster IKS source],$I46,TblApplications[Action],"À migrer")+SUMIFS(TblApplications[CPU Dynatrace (vCPU)],TblApplications[Cluster IKS source],$I46,TblApplications[Action],"À décommissionner")),0)))</f>
        <v/>
      </c>
      <c r="T46" s="60" t="str">
        <f>IF(OR($C46="",NOT(OR($G46="À migrer",$G46="À décommissionner")),$I46="",NOT(ISNUMBER($Q46))),"",IF($AP46&lt;&gt;"",$AP46,IFERROR(SUMIFS(TblClusters[RAM initiale (Go)],TblClusters[Cluster],$I46)*$Q46/(SUMIFS(TblApplications[RAM Dynatrace (Go)],TblApplications[Cluster IKS source],$I46,TblApplications[Action],"À migrer")+SUMIFS(TblApplications[RAM Dynatrace (Go)],TblApplications[Cluster IKS source],$I46,TblApplications[Action],"À décommissionner")),0)))</f>
        <v/>
      </c>
      <c r="U46" s="61"/>
      <c r="V46" s="61"/>
      <c r="W46" s="61"/>
      <c r="X46" s="59"/>
      <c r="Y46" s="26" t="str">
        <f t="shared" si="1"/>
        <v/>
      </c>
      <c r="Z46" s="26" t="str">
        <f t="shared" si="2"/>
        <v/>
      </c>
      <c r="AA46" s="33" t="str">
        <f t="shared" si="3"/>
        <v/>
      </c>
      <c r="AB46" s="33" t="str">
        <f t="shared" si="4"/>
        <v/>
      </c>
      <c r="AC46" s="26" t="str">
        <f t="shared" si="5"/>
        <v/>
      </c>
      <c r="AD46" s="26" t="str">
        <f>IF($C46="","",COUNTIF(TblApplications[ID],$C46))</f>
        <v/>
      </c>
      <c r="AE46" s="33" t="str">
        <f>IF($C46="","",IFERROR(1/(1/_xlfn.MINIFS(TblApplications[Mois prov (calc)],TblApplications[ID],$C46)),""))</f>
        <v/>
      </c>
      <c r="AF46" s="33" t="str">
        <f>IF($C46="","",IFERROR(1/(1/_xlfn.MAXIFS(TblApplications[Mois lib (calc)],TblApplications[ID],$C46)),""))</f>
        <v/>
      </c>
      <c r="AG46" s="26" t="str">
        <f>IF($C46="","",IF(OR(OR($A46="",$B46="",$D46="",$E46="",$F46="",$G46=""),AND($G46="À migrer",OR($H46="",$I46="",$O46="",$U46="",$V46="",$W46="")),AND($G46="Migré",OR($O46="")),AND($G46="À décommissionner",OR($I46="",$W46=""))),"Données manquantes (selon l’action)",IF(AND($G46&lt;&gt;"Migré",$G46&lt;&gt;"À migrer",$G46&lt;&gt;"À décommissionner",$G46&lt;&gt;"Décommissionné"),"Action invalide",IF(COUNTIF(TblDomaines[Domaine],$A46)=0,"Domaine inconnu (référentiel)",IF(COUNTIFS(TblTribes[Tribe],$B46,TblTribes[Domaine de la tribe],$A46)=0,"Tribe inconnue ou hors domaine",IF(AND($G46="À migrer",$H46&lt;&gt;"Oui",$H46&lt;&gt;"Non"),"Valeur Oui/Non invalide (Déjà incluse ROKS)",IF(AND($E46&lt;&gt;"PRD",$E46&lt;&gt;"NPRD"),"Environnement invalide",IF(COUNTIFS(TblApplications[ID],$C46,TblApplications[Environnement],$E46,TblApplications[Couloir],$F46)&gt;1,"Déploiement en doublon (ID + env + couloir)",IF(AND(OR(OR($G46="À migrer",$G46="Migré"),OR($G46="À migrer",$G46="À décommissionner")),N($P46)&lt;=0),"Conso Dynatrace absente (onglet Dynatrace)",IF(OR(AND($P46&lt;&gt;"",NOT(ISNUMBER($P46))),AND($Q46&lt;&gt;"",NOT(ISNUMBER($Q46)))),"Ressource non numérique",IF(MIN(N($P46),N($Q46))&lt;0,"Ressource négative",IF(OR(AND($AH46&lt;&gt;"",OR(NOT(ISNUMBER($AH46)),$AH46&lt;0,$AH46&gt;1)),AND($AI46&lt;&gt;"",OR(NOT(ISNUMBER($AI46)),$AI46&lt;0,$AI46&gt;1))),"Marge spécifique invalide (0–100 %)",IF(OR(AND($U46&lt;&gt;"",NOT(ISNUMBER($U46))),AND($V46&lt;&gt;"",NOT(ISNUMBER($V46))),AND($W46&lt;&gt;"",NOT(ISNUMBER($W46)))),"Mois invalide",IF(AND(OR($G46="À migrer",$G46="À décommissionner"),COUNTIFS(TblClusters[Cluster],$I46,TblClusters[Plateforme],"IKS")=0),"Cluster IKS inconnu",IF(AND(OR($G46="À migrer",$G46="Migré"),COUNTIFS(TblClusters[Cluster],$O46,TblClusters[Plateforme],"ROKS")=0),"Cluster ROKS inconnu",IF(AND(OR($G46="À migrer",$G46="À décommissionner"),COUNTIFS(TblClusters[Cluster],$I46,TblClusters[Environnement],$E46)=0),"Environnement ≠ cluster IKS",IF(AND(OR($G46="À migrer",$G46="Migré"),COUNTIFS(TblClusters[Cluster],$O46,TblClusters[Environnement],$E46)=0),"Environnement ≠ cluster ROKS",IF(AND($G46="À migrer",OR($U46&gt;$V46,$V46&gt;$W46)),"Dates incohérentes (prov ≤ bascule ≤ libération)",IF(AND(OR($G46="À migrer",$G46="À décommissionner"),OR(N($AO46)&gt;SUMIFS(TblClusters[CPU initial (vCPU)],TblClusters[Cluster],$I46),N($AP46)&gt;SUMIFS(TblClusters[RAM initiale (Go)],TblClusters[Cluster],$I46))),"Forçage &gt; capacité du cluster source",IF(OR(AND($AA46&lt;&gt;"",$AA46&lt;p_debut),AND($AB46&lt;&gt;"",$AB46&gt;p_fin)),"Hors horizon (info)",IF(AND($G46="À migrer",$E46="PRD",COUNTIFS(TblApplications[ID],$C46,TblApplications[Environnement],"NPRD",TblApplications[Action],"À migrer")&gt;0,$AA46&lt;_xlfn.MINIFS(TblApplications[Mois prov (calc)],TblApplications[ID],$C46,TblApplications[Environnement],"NPRD")),"PRD avant NPRD (info)","OK")))))))))))))))))))))</f>
        <v/>
      </c>
      <c r="AH46" s="62"/>
      <c r="AI46" s="62"/>
      <c r="AJ46" s="27" t="str">
        <f>IF(OR($C46="",NOT(OR($G46="À migrer",$G46="À décommissionner")),NOT(ISNUMBER($S46)),NOT(ISNUMBER($T46)),$AB46=""),"",($S46+p_poidsram*$T46)*SUMIFS(TblCalculs[Coût par unité],TblCalculs[Cluster],$I46,TblCalculs[Mois],"&lt;"&amp;$AB46))</f>
        <v/>
      </c>
      <c r="AK46" s="27" t="str">
        <f>IF($C46="","",IF(AND($G46="À migrer",$H46="Non",$Y46&lt;&gt;"",$AA46&lt;&gt;""),($Y46+p_poidsram*$Z46)*SUMIFS(TblCalculs[Coût par unité],TblCalculs[Cluster],$O46,TblCalculs[Mois],"&gt;="&amp;$AA46),IF(AND($G46="Migré",$Y46&lt;&gt;""),($Y46+p_poidsram*$Z46)*SUMIFS(TblCalculs[Coût par unité],TblCalculs[Cluster],$O46),"")))</f>
        <v/>
      </c>
      <c r="AL46" s="27" t="str">
        <f t="shared" si="6"/>
        <v/>
      </c>
      <c r="AM46" s="26" t="str">
        <f t="shared" si="7"/>
        <v/>
      </c>
      <c r="AN46" s="26" t="str">
        <f>IF(OR($C46="",$AM46&lt;&gt;1,COUNTIFS($E46,ex_envc,$A46,ex_domc,$B46,ex_tric)=0),"",COUNTIFS($AM$6:$AM46,1,$E$6:$E46,ex_envc,$A$6:$A46,ex_domc,$B$6:$B46,ex_tric))</f>
        <v/>
      </c>
      <c r="AO46" s="63"/>
      <c r="AP46" s="63"/>
      <c r="AQ46" s="63"/>
      <c r="AR46" s="63"/>
    </row>
    <row r="47" spans="1:44" x14ac:dyDescent="0.2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26" t="str">
        <f t="shared" si="0"/>
        <v/>
      </c>
      <c r="O47" s="59"/>
      <c r="P47" s="60" t="str">
        <f>IF($C47="","",IF($AQ47&lt;&gt;"",$AQ47,SUMIFS(TblDynatrace[CPU P95 (vCPU)],TblDynatrace[ID],$C47,TblDynatrace[Environnement],$E47,TblDynatrace[Couloir],$F47)))</f>
        <v/>
      </c>
      <c r="Q47" s="60" t="str">
        <f>IF($C47="","",IF($AR47&lt;&gt;"",$AR47,SUMIFS(TblDynatrace[RAM P95 (Go)],TblDynatrace[ID],$C47,TblDynatrace[Environnement],$E47,TblDynatrace[Couloir],$F47)))</f>
        <v/>
      </c>
      <c r="R47" s="26" t="str">
        <f>IF($C47="","",IFERROR(INDEX(TblDynatrace[Métrique / période],MATCH($C47&amp;"|"&amp;$E47&amp;"|"&amp;$F47,TblDynatrace[Clé],0)),""))</f>
        <v/>
      </c>
      <c r="S47" s="60" t="str">
        <f>IF(OR($C47="",NOT(OR($G47="À migrer",$G47="À décommissionner")),$I47="",NOT(ISNUMBER($P47))),"",IF($AO47&lt;&gt;"",$AO47,IFERROR(SUMIFS(TblClusters[CPU initial (vCPU)],TblClusters[Cluster],$I47)*$P47/(SUMIFS(TblApplications[CPU Dynatrace (vCPU)],TblApplications[Cluster IKS source],$I47,TblApplications[Action],"À migrer")+SUMIFS(TblApplications[CPU Dynatrace (vCPU)],TblApplications[Cluster IKS source],$I47,TblApplications[Action],"À décommissionner")),0)))</f>
        <v/>
      </c>
      <c r="T47" s="60" t="str">
        <f>IF(OR($C47="",NOT(OR($G47="À migrer",$G47="À décommissionner")),$I47="",NOT(ISNUMBER($Q47))),"",IF($AP47&lt;&gt;"",$AP47,IFERROR(SUMIFS(TblClusters[RAM initiale (Go)],TblClusters[Cluster],$I47)*$Q47/(SUMIFS(TblApplications[RAM Dynatrace (Go)],TblApplications[Cluster IKS source],$I47,TblApplications[Action],"À migrer")+SUMIFS(TblApplications[RAM Dynatrace (Go)],TblApplications[Cluster IKS source],$I47,TblApplications[Action],"À décommissionner")),0)))</f>
        <v/>
      </c>
      <c r="U47" s="61"/>
      <c r="V47" s="61"/>
      <c r="W47" s="61"/>
      <c r="X47" s="59"/>
      <c r="Y47" s="26" t="str">
        <f t="shared" si="1"/>
        <v/>
      </c>
      <c r="Z47" s="26" t="str">
        <f t="shared" si="2"/>
        <v/>
      </c>
      <c r="AA47" s="33" t="str">
        <f t="shared" si="3"/>
        <v/>
      </c>
      <c r="AB47" s="33" t="str">
        <f t="shared" si="4"/>
        <v/>
      </c>
      <c r="AC47" s="26" t="str">
        <f t="shared" si="5"/>
        <v/>
      </c>
      <c r="AD47" s="26" t="str">
        <f>IF($C47="","",COUNTIF(TblApplications[ID],$C47))</f>
        <v/>
      </c>
      <c r="AE47" s="33" t="str">
        <f>IF($C47="","",IFERROR(1/(1/_xlfn.MINIFS(TblApplications[Mois prov (calc)],TblApplications[ID],$C47)),""))</f>
        <v/>
      </c>
      <c r="AF47" s="33" t="str">
        <f>IF($C47="","",IFERROR(1/(1/_xlfn.MAXIFS(TblApplications[Mois lib (calc)],TblApplications[ID],$C47)),""))</f>
        <v/>
      </c>
      <c r="AG47" s="26" t="str">
        <f>IF($C47="","",IF(OR(OR($A47="",$B47="",$D47="",$E47="",$F47="",$G47=""),AND($G47="À migrer",OR($H47="",$I47="",$O47="",$U47="",$V47="",$W47="")),AND($G47="Migré",OR($O47="")),AND($G47="À décommissionner",OR($I47="",$W47=""))),"Données manquantes (selon l’action)",IF(AND($G47&lt;&gt;"Migré",$G47&lt;&gt;"À migrer",$G47&lt;&gt;"À décommissionner",$G47&lt;&gt;"Décommissionné"),"Action invalide",IF(COUNTIF(TblDomaines[Domaine],$A47)=0,"Domaine inconnu (référentiel)",IF(COUNTIFS(TblTribes[Tribe],$B47,TblTribes[Domaine de la tribe],$A47)=0,"Tribe inconnue ou hors domaine",IF(AND($G47="À migrer",$H47&lt;&gt;"Oui",$H47&lt;&gt;"Non"),"Valeur Oui/Non invalide (Déjà incluse ROKS)",IF(AND($E47&lt;&gt;"PRD",$E47&lt;&gt;"NPRD"),"Environnement invalide",IF(COUNTIFS(TblApplications[ID],$C47,TblApplications[Environnement],$E47,TblApplications[Couloir],$F47)&gt;1,"Déploiement en doublon (ID + env + couloir)",IF(AND(OR(OR($G47="À migrer",$G47="Migré"),OR($G47="À migrer",$G47="À décommissionner")),N($P47)&lt;=0),"Conso Dynatrace absente (onglet Dynatrace)",IF(OR(AND($P47&lt;&gt;"",NOT(ISNUMBER($P47))),AND($Q47&lt;&gt;"",NOT(ISNUMBER($Q47)))),"Ressource non numérique",IF(MIN(N($P47),N($Q47))&lt;0,"Ressource négative",IF(OR(AND($AH47&lt;&gt;"",OR(NOT(ISNUMBER($AH47)),$AH47&lt;0,$AH47&gt;1)),AND($AI47&lt;&gt;"",OR(NOT(ISNUMBER($AI47)),$AI47&lt;0,$AI47&gt;1))),"Marge spécifique invalide (0–100 %)",IF(OR(AND($U47&lt;&gt;"",NOT(ISNUMBER($U47))),AND($V47&lt;&gt;"",NOT(ISNUMBER($V47))),AND($W47&lt;&gt;"",NOT(ISNUMBER($W47)))),"Mois invalide",IF(AND(OR($G47="À migrer",$G47="À décommissionner"),COUNTIFS(TblClusters[Cluster],$I47,TblClusters[Plateforme],"IKS")=0),"Cluster IKS inconnu",IF(AND(OR($G47="À migrer",$G47="Migré"),COUNTIFS(TblClusters[Cluster],$O47,TblClusters[Plateforme],"ROKS")=0),"Cluster ROKS inconnu",IF(AND(OR($G47="À migrer",$G47="À décommissionner"),COUNTIFS(TblClusters[Cluster],$I47,TblClusters[Environnement],$E47)=0),"Environnement ≠ cluster IKS",IF(AND(OR($G47="À migrer",$G47="Migré"),COUNTIFS(TblClusters[Cluster],$O47,TblClusters[Environnement],$E47)=0),"Environnement ≠ cluster ROKS",IF(AND($G47="À migrer",OR($U47&gt;$V47,$V47&gt;$W47)),"Dates incohérentes (prov ≤ bascule ≤ libération)",IF(AND(OR($G47="À migrer",$G47="À décommissionner"),OR(N($AO47)&gt;SUMIFS(TblClusters[CPU initial (vCPU)],TblClusters[Cluster],$I47),N($AP47)&gt;SUMIFS(TblClusters[RAM initiale (Go)],TblClusters[Cluster],$I47))),"Forçage &gt; capacité du cluster source",IF(OR(AND($AA47&lt;&gt;"",$AA47&lt;p_debut),AND($AB47&lt;&gt;"",$AB47&gt;p_fin)),"Hors horizon (info)",IF(AND($G47="À migrer",$E47="PRD",COUNTIFS(TblApplications[ID],$C47,TblApplications[Environnement],"NPRD",TblApplications[Action],"À migrer")&gt;0,$AA47&lt;_xlfn.MINIFS(TblApplications[Mois prov (calc)],TblApplications[ID],$C47,TblApplications[Environnement],"NPRD")),"PRD avant NPRD (info)","OK")))))))))))))))))))))</f>
        <v/>
      </c>
      <c r="AH47" s="62"/>
      <c r="AI47" s="62"/>
      <c r="AJ47" s="27" t="str">
        <f>IF(OR($C47="",NOT(OR($G47="À migrer",$G47="À décommissionner")),NOT(ISNUMBER($S47)),NOT(ISNUMBER($T47)),$AB47=""),"",($S47+p_poidsram*$T47)*SUMIFS(TblCalculs[Coût par unité],TblCalculs[Cluster],$I47,TblCalculs[Mois],"&lt;"&amp;$AB47))</f>
        <v/>
      </c>
      <c r="AK47" s="27" t="str">
        <f>IF($C47="","",IF(AND($G47="À migrer",$H47="Non",$Y47&lt;&gt;"",$AA47&lt;&gt;""),($Y47+p_poidsram*$Z47)*SUMIFS(TblCalculs[Coût par unité],TblCalculs[Cluster],$O47,TblCalculs[Mois],"&gt;="&amp;$AA47),IF(AND($G47="Migré",$Y47&lt;&gt;""),($Y47+p_poidsram*$Z47)*SUMIFS(TblCalculs[Coût par unité],TblCalculs[Cluster],$O47),"")))</f>
        <v/>
      </c>
      <c r="AL47" s="27" t="str">
        <f t="shared" si="6"/>
        <v/>
      </c>
      <c r="AM47" s="26" t="str">
        <f t="shared" si="7"/>
        <v/>
      </c>
      <c r="AN47" s="26" t="str">
        <f>IF(OR($C47="",$AM47&lt;&gt;1,COUNTIFS($E47,ex_envc,$A47,ex_domc,$B47,ex_tric)=0),"",COUNTIFS($AM$6:$AM47,1,$E$6:$E47,ex_envc,$A$6:$A47,ex_domc,$B$6:$B47,ex_tric))</f>
        <v/>
      </c>
      <c r="AO47" s="63"/>
      <c r="AP47" s="63"/>
      <c r="AQ47" s="63"/>
      <c r="AR47" s="63"/>
    </row>
    <row r="48" spans="1:44" x14ac:dyDescent="0.2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26" t="str">
        <f t="shared" si="0"/>
        <v/>
      </c>
      <c r="O48" s="59"/>
      <c r="P48" s="60" t="str">
        <f>IF($C48="","",IF($AQ48&lt;&gt;"",$AQ48,SUMIFS(TblDynatrace[CPU P95 (vCPU)],TblDynatrace[ID],$C48,TblDynatrace[Environnement],$E48,TblDynatrace[Couloir],$F48)))</f>
        <v/>
      </c>
      <c r="Q48" s="60" t="str">
        <f>IF($C48="","",IF($AR48&lt;&gt;"",$AR48,SUMIFS(TblDynatrace[RAM P95 (Go)],TblDynatrace[ID],$C48,TblDynatrace[Environnement],$E48,TblDynatrace[Couloir],$F48)))</f>
        <v/>
      </c>
      <c r="R48" s="26" t="str">
        <f>IF($C48="","",IFERROR(INDEX(TblDynatrace[Métrique / période],MATCH($C48&amp;"|"&amp;$E48&amp;"|"&amp;$F48,TblDynatrace[Clé],0)),""))</f>
        <v/>
      </c>
      <c r="S48" s="60" t="str">
        <f>IF(OR($C48="",NOT(OR($G48="À migrer",$G48="À décommissionner")),$I48="",NOT(ISNUMBER($P48))),"",IF($AO48&lt;&gt;"",$AO48,IFERROR(SUMIFS(TblClusters[CPU initial (vCPU)],TblClusters[Cluster],$I48)*$P48/(SUMIFS(TblApplications[CPU Dynatrace (vCPU)],TblApplications[Cluster IKS source],$I48,TblApplications[Action],"À migrer")+SUMIFS(TblApplications[CPU Dynatrace (vCPU)],TblApplications[Cluster IKS source],$I48,TblApplications[Action],"À décommissionner")),0)))</f>
        <v/>
      </c>
      <c r="T48" s="60" t="str">
        <f>IF(OR($C48="",NOT(OR($G48="À migrer",$G48="À décommissionner")),$I48="",NOT(ISNUMBER($Q48))),"",IF($AP48&lt;&gt;"",$AP48,IFERROR(SUMIFS(TblClusters[RAM initiale (Go)],TblClusters[Cluster],$I48)*$Q48/(SUMIFS(TblApplications[RAM Dynatrace (Go)],TblApplications[Cluster IKS source],$I48,TblApplications[Action],"À migrer")+SUMIFS(TblApplications[RAM Dynatrace (Go)],TblApplications[Cluster IKS source],$I48,TblApplications[Action],"À décommissionner")),0)))</f>
        <v/>
      </c>
      <c r="U48" s="61"/>
      <c r="V48" s="61"/>
      <c r="W48" s="61"/>
      <c r="X48" s="59"/>
      <c r="Y48" s="26" t="str">
        <f t="shared" si="1"/>
        <v/>
      </c>
      <c r="Z48" s="26" t="str">
        <f t="shared" si="2"/>
        <v/>
      </c>
      <c r="AA48" s="33" t="str">
        <f t="shared" si="3"/>
        <v/>
      </c>
      <c r="AB48" s="33" t="str">
        <f t="shared" si="4"/>
        <v/>
      </c>
      <c r="AC48" s="26" t="str">
        <f t="shared" si="5"/>
        <v/>
      </c>
      <c r="AD48" s="26" t="str">
        <f>IF($C48="","",COUNTIF(TblApplications[ID],$C48))</f>
        <v/>
      </c>
      <c r="AE48" s="33" t="str">
        <f>IF($C48="","",IFERROR(1/(1/_xlfn.MINIFS(TblApplications[Mois prov (calc)],TblApplications[ID],$C48)),""))</f>
        <v/>
      </c>
      <c r="AF48" s="33" t="str">
        <f>IF($C48="","",IFERROR(1/(1/_xlfn.MAXIFS(TblApplications[Mois lib (calc)],TblApplications[ID],$C48)),""))</f>
        <v/>
      </c>
      <c r="AG48" s="26" t="str">
        <f>IF($C48="","",IF(OR(OR($A48="",$B48="",$D48="",$E48="",$F48="",$G48=""),AND($G48="À migrer",OR($H48="",$I48="",$O48="",$U48="",$V48="",$W48="")),AND($G48="Migré",OR($O48="")),AND($G48="À décommissionner",OR($I48="",$W48=""))),"Données manquantes (selon l’action)",IF(AND($G48&lt;&gt;"Migré",$G48&lt;&gt;"À migrer",$G48&lt;&gt;"À décommissionner",$G48&lt;&gt;"Décommissionné"),"Action invalide",IF(COUNTIF(TblDomaines[Domaine],$A48)=0,"Domaine inconnu (référentiel)",IF(COUNTIFS(TblTribes[Tribe],$B48,TblTribes[Domaine de la tribe],$A48)=0,"Tribe inconnue ou hors domaine",IF(AND($G48="À migrer",$H48&lt;&gt;"Oui",$H48&lt;&gt;"Non"),"Valeur Oui/Non invalide (Déjà incluse ROKS)",IF(AND($E48&lt;&gt;"PRD",$E48&lt;&gt;"NPRD"),"Environnement invalide",IF(COUNTIFS(TblApplications[ID],$C48,TblApplications[Environnement],$E48,TblApplications[Couloir],$F48)&gt;1,"Déploiement en doublon (ID + env + couloir)",IF(AND(OR(OR($G48="À migrer",$G48="Migré"),OR($G48="À migrer",$G48="À décommissionner")),N($P48)&lt;=0),"Conso Dynatrace absente (onglet Dynatrace)",IF(OR(AND($P48&lt;&gt;"",NOT(ISNUMBER($P48))),AND($Q48&lt;&gt;"",NOT(ISNUMBER($Q48)))),"Ressource non numérique",IF(MIN(N($P48),N($Q48))&lt;0,"Ressource négative",IF(OR(AND($AH48&lt;&gt;"",OR(NOT(ISNUMBER($AH48)),$AH48&lt;0,$AH48&gt;1)),AND($AI48&lt;&gt;"",OR(NOT(ISNUMBER($AI48)),$AI48&lt;0,$AI48&gt;1))),"Marge spécifique invalide (0–100 %)",IF(OR(AND($U48&lt;&gt;"",NOT(ISNUMBER($U48))),AND($V48&lt;&gt;"",NOT(ISNUMBER($V48))),AND($W48&lt;&gt;"",NOT(ISNUMBER($W48)))),"Mois invalide",IF(AND(OR($G48="À migrer",$G48="À décommissionner"),COUNTIFS(TblClusters[Cluster],$I48,TblClusters[Plateforme],"IKS")=0),"Cluster IKS inconnu",IF(AND(OR($G48="À migrer",$G48="Migré"),COUNTIFS(TblClusters[Cluster],$O48,TblClusters[Plateforme],"ROKS")=0),"Cluster ROKS inconnu",IF(AND(OR($G48="À migrer",$G48="À décommissionner"),COUNTIFS(TblClusters[Cluster],$I48,TblClusters[Environnement],$E48)=0),"Environnement ≠ cluster IKS",IF(AND(OR($G48="À migrer",$G48="Migré"),COUNTIFS(TblClusters[Cluster],$O48,TblClusters[Environnement],$E48)=0),"Environnement ≠ cluster ROKS",IF(AND($G48="À migrer",OR($U48&gt;$V48,$V48&gt;$W48)),"Dates incohérentes (prov ≤ bascule ≤ libération)",IF(AND(OR($G48="À migrer",$G48="À décommissionner"),OR(N($AO48)&gt;SUMIFS(TblClusters[CPU initial (vCPU)],TblClusters[Cluster],$I48),N($AP48)&gt;SUMIFS(TblClusters[RAM initiale (Go)],TblClusters[Cluster],$I48))),"Forçage &gt; capacité du cluster source",IF(OR(AND($AA48&lt;&gt;"",$AA48&lt;p_debut),AND($AB48&lt;&gt;"",$AB48&gt;p_fin)),"Hors horizon (info)",IF(AND($G48="À migrer",$E48="PRD",COUNTIFS(TblApplications[ID],$C48,TblApplications[Environnement],"NPRD",TblApplications[Action],"À migrer")&gt;0,$AA48&lt;_xlfn.MINIFS(TblApplications[Mois prov (calc)],TblApplications[ID],$C48,TblApplications[Environnement],"NPRD")),"PRD avant NPRD (info)","OK")))))))))))))))))))))</f>
        <v/>
      </c>
      <c r="AH48" s="62"/>
      <c r="AI48" s="62"/>
      <c r="AJ48" s="27" t="str">
        <f>IF(OR($C48="",NOT(OR($G48="À migrer",$G48="À décommissionner")),NOT(ISNUMBER($S48)),NOT(ISNUMBER($T48)),$AB48=""),"",($S48+p_poidsram*$T48)*SUMIFS(TblCalculs[Coût par unité],TblCalculs[Cluster],$I48,TblCalculs[Mois],"&lt;"&amp;$AB48))</f>
        <v/>
      </c>
      <c r="AK48" s="27" t="str">
        <f>IF($C48="","",IF(AND($G48="À migrer",$H48="Non",$Y48&lt;&gt;"",$AA48&lt;&gt;""),($Y48+p_poidsram*$Z48)*SUMIFS(TblCalculs[Coût par unité],TblCalculs[Cluster],$O48,TblCalculs[Mois],"&gt;="&amp;$AA48),IF(AND($G48="Migré",$Y48&lt;&gt;""),($Y48+p_poidsram*$Z48)*SUMIFS(TblCalculs[Coût par unité],TblCalculs[Cluster],$O48),"")))</f>
        <v/>
      </c>
      <c r="AL48" s="27" t="str">
        <f t="shared" si="6"/>
        <v/>
      </c>
      <c r="AM48" s="26" t="str">
        <f t="shared" si="7"/>
        <v/>
      </c>
      <c r="AN48" s="26" t="str">
        <f>IF(OR($C48="",$AM48&lt;&gt;1,COUNTIFS($E48,ex_envc,$A48,ex_domc,$B48,ex_tric)=0),"",COUNTIFS($AM$6:$AM48,1,$E$6:$E48,ex_envc,$A$6:$A48,ex_domc,$B$6:$B48,ex_tric))</f>
        <v/>
      </c>
      <c r="AO48" s="63"/>
      <c r="AP48" s="63"/>
      <c r="AQ48" s="63"/>
      <c r="AR48" s="63"/>
    </row>
    <row r="49" spans="1:44" x14ac:dyDescent="0.2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26" t="str">
        <f t="shared" si="0"/>
        <v/>
      </c>
      <c r="O49" s="59"/>
      <c r="P49" s="60" t="str">
        <f>IF($C49="","",IF($AQ49&lt;&gt;"",$AQ49,SUMIFS(TblDynatrace[CPU P95 (vCPU)],TblDynatrace[ID],$C49,TblDynatrace[Environnement],$E49,TblDynatrace[Couloir],$F49)))</f>
        <v/>
      </c>
      <c r="Q49" s="60" t="str">
        <f>IF($C49="","",IF($AR49&lt;&gt;"",$AR49,SUMIFS(TblDynatrace[RAM P95 (Go)],TblDynatrace[ID],$C49,TblDynatrace[Environnement],$E49,TblDynatrace[Couloir],$F49)))</f>
        <v/>
      </c>
      <c r="R49" s="26" t="str">
        <f>IF($C49="","",IFERROR(INDEX(TblDynatrace[Métrique / période],MATCH($C49&amp;"|"&amp;$E49&amp;"|"&amp;$F49,TblDynatrace[Clé],0)),""))</f>
        <v/>
      </c>
      <c r="S49" s="60" t="str">
        <f>IF(OR($C49="",NOT(OR($G49="À migrer",$G49="À décommissionner")),$I49="",NOT(ISNUMBER($P49))),"",IF($AO49&lt;&gt;"",$AO49,IFERROR(SUMIFS(TblClusters[CPU initial (vCPU)],TblClusters[Cluster],$I49)*$P49/(SUMIFS(TblApplications[CPU Dynatrace (vCPU)],TblApplications[Cluster IKS source],$I49,TblApplications[Action],"À migrer")+SUMIFS(TblApplications[CPU Dynatrace (vCPU)],TblApplications[Cluster IKS source],$I49,TblApplications[Action],"À décommissionner")),0)))</f>
        <v/>
      </c>
      <c r="T49" s="60" t="str">
        <f>IF(OR($C49="",NOT(OR($G49="À migrer",$G49="À décommissionner")),$I49="",NOT(ISNUMBER($Q49))),"",IF($AP49&lt;&gt;"",$AP49,IFERROR(SUMIFS(TblClusters[RAM initiale (Go)],TblClusters[Cluster],$I49)*$Q49/(SUMIFS(TblApplications[RAM Dynatrace (Go)],TblApplications[Cluster IKS source],$I49,TblApplications[Action],"À migrer")+SUMIFS(TblApplications[RAM Dynatrace (Go)],TblApplications[Cluster IKS source],$I49,TblApplications[Action],"À décommissionner")),0)))</f>
        <v/>
      </c>
      <c r="U49" s="61"/>
      <c r="V49" s="61"/>
      <c r="W49" s="61"/>
      <c r="X49" s="59"/>
      <c r="Y49" s="26" t="str">
        <f t="shared" si="1"/>
        <v/>
      </c>
      <c r="Z49" s="26" t="str">
        <f t="shared" si="2"/>
        <v/>
      </c>
      <c r="AA49" s="33" t="str">
        <f t="shared" si="3"/>
        <v/>
      </c>
      <c r="AB49" s="33" t="str">
        <f t="shared" si="4"/>
        <v/>
      </c>
      <c r="AC49" s="26" t="str">
        <f t="shared" si="5"/>
        <v/>
      </c>
      <c r="AD49" s="26" t="str">
        <f>IF($C49="","",COUNTIF(TblApplications[ID],$C49))</f>
        <v/>
      </c>
      <c r="AE49" s="33" t="str">
        <f>IF($C49="","",IFERROR(1/(1/_xlfn.MINIFS(TblApplications[Mois prov (calc)],TblApplications[ID],$C49)),""))</f>
        <v/>
      </c>
      <c r="AF49" s="33" t="str">
        <f>IF($C49="","",IFERROR(1/(1/_xlfn.MAXIFS(TblApplications[Mois lib (calc)],TblApplications[ID],$C49)),""))</f>
        <v/>
      </c>
      <c r="AG49" s="26" t="str">
        <f>IF($C49="","",IF(OR(OR($A49="",$B49="",$D49="",$E49="",$F49="",$G49=""),AND($G49="À migrer",OR($H49="",$I49="",$O49="",$U49="",$V49="",$W49="")),AND($G49="Migré",OR($O49="")),AND($G49="À décommissionner",OR($I49="",$W49=""))),"Données manquantes (selon l’action)",IF(AND($G49&lt;&gt;"Migré",$G49&lt;&gt;"À migrer",$G49&lt;&gt;"À décommissionner",$G49&lt;&gt;"Décommissionné"),"Action invalide",IF(COUNTIF(TblDomaines[Domaine],$A49)=0,"Domaine inconnu (référentiel)",IF(COUNTIFS(TblTribes[Tribe],$B49,TblTribes[Domaine de la tribe],$A49)=0,"Tribe inconnue ou hors domaine",IF(AND($G49="À migrer",$H49&lt;&gt;"Oui",$H49&lt;&gt;"Non"),"Valeur Oui/Non invalide (Déjà incluse ROKS)",IF(AND($E49&lt;&gt;"PRD",$E49&lt;&gt;"NPRD"),"Environnement invalide",IF(COUNTIFS(TblApplications[ID],$C49,TblApplications[Environnement],$E49,TblApplications[Couloir],$F49)&gt;1,"Déploiement en doublon (ID + env + couloir)",IF(AND(OR(OR($G49="À migrer",$G49="Migré"),OR($G49="À migrer",$G49="À décommissionner")),N($P49)&lt;=0),"Conso Dynatrace absente (onglet Dynatrace)",IF(OR(AND($P49&lt;&gt;"",NOT(ISNUMBER($P49))),AND($Q49&lt;&gt;"",NOT(ISNUMBER($Q49)))),"Ressource non numérique",IF(MIN(N($P49),N($Q49))&lt;0,"Ressource négative",IF(OR(AND($AH49&lt;&gt;"",OR(NOT(ISNUMBER($AH49)),$AH49&lt;0,$AH49&gt;1)),AND($AI49&lt;&gt;"",OR(NOT(ISNUMBER($AI49)),$AI49&lt;0,$AI49&gt;1))),"Marge spécifique invalide (0–100 %)",IF(OR(AND($U49&lt;&gt;"",NOT(ISNUMBER($U49))),AND($V49&lt;&gt;"",NOT(ISNUMBER($V49))),AND($W49&lt;&gt;"",NOT(ISNUMBER($W49)))),"Mois invalide",IF(AND(OR($G49="À migrer",$G49="À décommissionner"),COUNTIFS(TblClusters[Cluster],$I49,TblClusters[Plateforme],"IKS")=0),"Cluster IKS inconnu",IF(AND(OR($G49="À migrer",$G49="Migré"),COUNTIFS(TblClusters[Cluster],$O49,TblClusters[Plateforme],"ROKS")=0),"Cluster ROKS inconnu",IF(AND(OR($G49="À migrer",$G49="À décommissionner"),COUNTIFS(TblClusters[Cluster],$I49,TblClusters[Environnement],$E49)=0),"Environnement ≠ cluster IKS",IF(AND(OR($G49="À migrer",$G49="Migré"),COUNTIFS(TblClusters[Cluster],$O49,TblClusters[Environnement],$E49)=0),"Environnement ≠ cluster ROKS",IF(AND($G49="À migrer",OR($U49&gt;$V49,$V49&gt;$W49)),"Dates incohérentes (prov ≤ bascule ≤ libération)",IF(AND(OR($G49="À migrer",$G49="À décommissionner"),OR(N($AO49)&gt;SUMIFS(TblClusters[CPU initial (vCPU)],TblClusters[Cluster],$I49),N($AP49)&gt;SUMIFS(TblClusters[RAM initiale (Go)],TblClusters[Cluster],$I49))),"Forçage &gt; capacité du cluster source",IF(OR(AND($AA49&lt;&gt;"",$AA49&lt;p_debut),AND($AB49&lt;&gt;"",$AB49&gt;p_fin)),"Hors horizon (info)",IF(AND($G49="À migrer",$E49="PRD",COUNTIFS(TblApplications[ID],$C49,TblApplications[Environnement],"NPRD",TblApplications[Action],"À migrer")&gt;0,$AA49&lt;_xlfn.MINIFS(TblApplications[Mois prov (calc)],TblApplications[ID],$C49,TblApplications[Environnement],"NPRD")),"PRD avant NPRD (info)","OK")))))))))))))))))))))</f>
        <v/>
      </c>
      <c r="AH49" s="62"/>
      <c r="AI49" s="62"/>
      <c r="AJ49" s="27" t="str">
        <f>IF(OR($C49="",NOT(OR($G49="À migrer",$G49="À décommissionner")),NOT(ISNUMBER($S49)),NOT(ISNUMBER($T49)),$AB49=""),"",($S49+p_poidsram*$T49)*SUMIFS(TblCalculs[Coût par unité],TblCalculs[Cluster],$I49,TblCalculs[Mois],"&lt;"&amp;$AB49))</f>
        <v/>
      </c>
      <c r="AK49" s="27" t="str">
        <f>IF($C49="","",IF(AND($G49="À migrer",$H49="Non",$Y49&lt;&gt;"",$AA49&lt;&gt;""),($Y49+p_poidsram*$Z49)*SUMIFS(TblCalculs[Coût par unité],TblCalculs[Cluster],$O49,TblCalculs[Mois],"&gt;="&amp;$AA49),IF(AND($G49="Migré",$Y49&lt;&gt;""),($Y49+p_poidsram*$Z49)*SUMIFS(TblCalculs[Coût par unité],TblCalculs[Cluster],$O49),"")))</f>
        <v/>
      </c>
      <c r="AL49" s="27" t="str">
        <f t="shared" si="6"/>
        <v/>
      </c>
      <c r="AM49" s="26" t="str">
        <f t="shared" si="7"/>
        <v/>
      </c>
      <c r="AN49" s="26" t="str">
        <f>IF(OR($C49="",$AM49&lt;&gt;1,COUNTIFS($E49,ex_envc,$A49,ex_domc,$B49,ex_tric)=0),"",COUNTIFS($AM$6:$AM49,1,$E$6:$E49,ex_envc,$A$6:$A49,ex_domc,$B$6:$B49,ex_tric))</f>
        <v/>
      </c>
      <c r="AO49" s="63"/>
      <c r="AP49" s="63"/>
      <c r="AQ49" s="63"/>
      <c r="AR49" s="63"/>
    </row>
    <row r="50" spans="1:44" x14ac:dyDescent="0.2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26" t="str">
        <f t="shared" si="0"/>
        <v/>
      </c>
      <c r="O50" s="59"/>
      <c r="P50" s="60" t="str">
        <f>IF($C50="","",IF($AQ50&lt;&gt;"",$AQ50,SUMIFS(TblDynatrace[CPU P95 (vCPU)],TblDynatrace[ID],$C50,TblDynatrace[Environnement],$E50,TblDynatrace[Couloir],$F50)))</f>
        <v/>
      </c>
      <c r="Q50" s="60" t="str">
        <f>IF($C50="","",IF($AR50&lt;&gt;"",$AR50,SUMIFS(TblDynatrace[RAM P95 (Go)],TblDynatrace[ID],$C50,TblDynatrace[Environnement],$E50,TblDynatrace[Couloir],$F50)))</f>
        <v/>
      </c>
      <c r="R50" s="26" t="str">
        <f>IF($C50="","",IFERROR(INDEX(TblDynatrace[Métrique / période],MATCH($C50&amp;"|"&amp;$E50&amp;"|"&amp;$F50,TblDynatrace[Clé],0)),""))</f>
        <v/>
      </c>
      <c r="S50" s="60" t="str">
        <f>IF(OR($C50="",NOT(OR($G50="À migrer",$G50="À décommissionner")),$I50="",NOT(ISNUMBER($P50))),"",IF($AO50&lt;&gt;"",$AO50,IFERROR(SUMIFS(TblClusters[CPU initial (vCPU)],TblClusters[Cluster],$I50)*$P50/(SUMIFS(TblApplications[CPU Dynatrace (vCPU)],TblApplications[Cluster IKS source],$I50,TblApplications[Action],"À migrer")+SUMIFS(TblApplications[CPU Dynatrace (vCPU)],TblApplications[Cluster IKS source],$I50,TblApplications[Action],"À décommissionner")),0)))</f>
        <v/>
      </c>
      <c r="T50" s="60" t="str">
        <f>IF(OR($C50="",NOT(OR($G50="À migrer",$G50="À décommissionner")),$I50="",NOT(ISNUMBER($Q50))),"",IF($AP50&lt;&gt;"",$AP50,IFERROR(SUMIFS(TblClusters[RAM initiale (Go)],TblClusters[Cluster],$I50)*$Q50/(SUMIFS(TblApplications[RAM Dynatrace (Go)],TblApplications[Cluster IKS source],$I50,TblApplications[Action],"À migrer")+SUMIFS(TblApplications[RAM Dynatrace (Go)],TblApplications[Cluster IKS source],$I50,TblApplications[Action],"À décommissionner")),0)))</f>
        <v/>
      </c>
      <c r="U50" s="61"/>
      <c r="V50" s="61"/>
      <c r="W50" s="61"/>
      <c r="X50" s="59"/>
      <c r="Y50" s="26" t="str">
        <f t="shared" si="1"/>
        <v/>
      </c>
      <c r="Z50" s="26" t="str">
        <f t="shared" si="2"/>
        <v/>
      </c>
      <c r="AA50" s="33" t="str">
        <f t="shared" si="3"/>
        <v/>
      </c>
      <c r="AB50" s="33" t="str">
        <f t="shared" si="4"/>
        <v/>
      </c>
      <c r="AC50" s="26" t="str">
        <f t="shared" si="5"/>
        <v/>
      </c>
      <c r="AD50" s="26" t="str">
        <f>IF($C50="","",COUNTIF(TblApplications[ID],$C50))</f>
        <v/>
      </c>
      <c r="AE50" s="33" t="str">
        <f>IF($C50="","",IFERROR(1/(1/_xlfn.MINIFS(TblApplications[Mois prov (calc)],TblApplications[ID],$C50)),""))</f>
        <v/>
      </c>
      <c r="AF50" s="33" t="str">
        <f>IF($C50="","",IFERROR(1/(1/_xlfn.MAXIFS(TblApplications[Mois lib (calc)],TblApplications[ID],$C50)),""))</f>
        <v/>
      </c>
      <c r="AG50" s="26" t="str">
        <f>IF($C50="","",IF(OR(OR($A50="",$B50="",$D50="",$E50="",$F50="",$G50=""),AND($G50="À migrer",OR($H50="",$I50="",$O50="",$U50="",$V50="",$W50="")),AND($G50="Migré",OR($O50="")),AND($G50="À décommissionner",OR($I50="",$W50=""))),"Données manquantes (selon l’action)",IF(AND($G50&lt;&gt;"Migré",$G50&lt;&gt;"À migrer",$G50&lt;&gt;"À décommissionner",$G50&lt;&gt;"Décommissionné"),"Action invalide",IF(COUNTIF(TblDomaines[Domaine],$A50)=0,"Domaine inconnu (référentiel)",IF(COUNTIFS(TblTribes[Tribe],$B50,TblTribes[Domaine de la tribe],$A50)=0,"Tribe inconnue ou hors domaine",IF(AND($G50="À migrer",$H50&lt;&gt;"Oui",$H50&lt;&gt;"Non"),"Valeur Oui/Non invalide (Déjà incluse ROKS)",IF(AND($E50&lt;&gt;"PRD",$E50&lt;&gt;"NPRD"),"Environnement invalide",IF(COUNTIFS(TblApplications[ID],$C50,TblApplications[Environnement],$E50,TblApplications[Couloir],$F50)&gt;1,"Déploiement en doublon (ID + env + couloir)",IF(AND(OR(OR($G50="À migrer",$G50="Migré"),OR($G50="À migrer",$G50="À décommissionner")),N($P50)&lt;=0),"Conso Dynatrace absente (onglet Dynatrace)",IF(OR(AND($P50&lt;&gt;"",NOT(ISNUMBER($P50))),AND($Q50&lt;&gt;"",NOT(ISNUMBER($Q50)))),"Ressource non numérique",IF(MIN(N($P50),N($Q50))&lt;0,"Ressource négative",IF(OR(AND($AH50&lt;&gt;"",OR(NOT(ISNUMBER($AH50)),$AH50&lt;0,$AH50&gt;1)),AND($AI50&lt;&gt;"",OR(NOT(ISNUMBER($AI50)),$AI50&lt;0,$AI50&gt;1))),"Marge spécifique invalide (0–100 %)",IF(OR(AND($U50&lt;&gt;"",NOT(ISNUMBER($U50))),AND($V50&lt;&gt;"",NOT(ISNUMBER($V50))),AND($W50&lt;&gt;"",NOT(ISNUMBER($W50)))),"Mois invalide",IF(AND(OR($G50="À migrer",$G50="À décommissionner"),COUNTIFS(TblClusters[Cluster],$I50,TblClusters[Plateforme],"IKS")=0),"Cluster IKS inconnu",IF(AND(OR($G50="À migrer",$G50="Migré"),COUNTIFS(TblClusters[Cluster],$O50,TblClusters[Plateforme],"ROKS")=0),"Cluster ROKS inconnu",IF(AND(OR($G50="À migrer",$G50="À décommissionner"),COUNTIFS(TblClusters[Cluster],$I50,TblClusters[Environnement],$E50)=0),"Environnement ≠ cluster IKS",IF(AND(OR($G50="À migrer",$G50="Migré"),COUNTIFS(TblClusters[Cluster],$O50,TblClusters[Environnement],$E50)=0),"Environnement ≠ cluster ROKS",IF(AND($G50="À migrer",OR($U50&gt;$V50,$V50&gt;$W50)),"Dates incohérentes (prov ≤ bascule ≤ libération)",IF(AND(OR($G50="À migrer",$G50="À décommissionner"),OR(N($AO50)&gt;SUMIFS(TblClusters[CPU initial (vCPU)],TblClusters[Cluster],$I50),N($AP50)&gt;SUMIFS(TblClusters[RAM initiale (Go)],TblClusters[Cluster],$I50))),"Forçage &gt; capacité du cluster source",IF(OR(AND($AA50&lt;&gt;"",$AA50&lt;p_debut),AND($AB50&lt;&gt;"",$AB50&gt;p_fin)),"Hors horizon (info)",IF(AND($G50="À migrer",$E50="PRD",COUNTIFS(TblApplications[ID],$C50,TblApplications[Environnement],"NPRD",TblApplications[Action],"À migrer")&gt;0,$AA50&lt;_xlfn.MINIFS(TblApplications[Mois prov (calc)],TblApplications[ID],$C50,TblApplications[Environnement],"NPRD")),"PRD avant NPRD (info)","OK")))))))))))))))))))))</f>
        <v/>
      </c>
      <c r="AH50" s="62"/>
      <c r="AI50" s="62"/>
      <c r="AJ50" s="27" t="str">
        <f>IF(OR($C50="",NOT(OR($G50="À migrer",$G50="À décommissionner")),NOT(ISNUMBER($S50)),NOT(ISNUMBER($T50)),$AB50=""),"",($S50+p_poidsram*$T50)*SUMIFS(TblCalculs[Coût par unité],TblCalculs[Cluster],$I50,TblCalculs[Mois],"&lt;"&amp;$AB50))</f>
        <v/>
      </c>
      <c r="AK50" s="27" t="str">
        <f>IF($C50="","",IF(AND($G50="À migrer",$H50="Non",$Y50&lt;&gt;"",$AA50&lt;&gt;""),($Y50+p_poidsram*$Z50)*SUMIFS(TblCalculs[Coût par unité],TblCalculs[Cluster],$O50,TblCalculs[Mois],"&gt;="&amp;$AA50),IF(AND($G50="Migré",$Y50&lt;&gt;""),($Y50+p_poidsram*$Z50)*SUMIFS(TblCalculs[Coût par unité],TblCalculs[Cluster],$O50),"")))</f>
        <v/>
      </c>
      <c r="AL50" s="27" t="str">
        <f t="shared" si="6"/>
        <v/>
      </c>
      <c r="AM50" s="26" t="str">
        <f t="shared" si="7"/>
        <v/>
      </c>
      <c r="AN50" s="26" t="str">
        <f>IF(OR($C50="",$AM50&lt;&gt;1,COUNTIFS($E50,ex_envc,$A50,ex_domc,$B50,ex_tric)=0),"",COUNTIFS($AM$6:$AM50,1,$E$6:$E50,ex_envc,$A$6:$A50,ex_domc,$B$6:$B50,ex_tric))</f>
        <v/>
      </c>
      <c r="AO50" s="63"/>
      <c r="AP50" s="63"/>
      <c r="AQ50" s="63"/>
      <c r="AR50" s="63"/>
    </row>
    <row r="51" spans="1:44" x14ac:dyDescent="0.2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26" t="str">
        <f t="shared" si="0"/>
        <v/>
      </c>
      <c r="O51" s="59"/>
      <c r="P51" s="60" t="str">
        <f>IF($C51="","",IF($AQ51&lt;&gt;"",$AQ51,SUMIFS(TblDynatrace[CPU P95 (vCPU)],TblDynatrace[ID],$C51,TblDynatrace[Environnement],$E51,TblDynatrace[Couloir],$F51)))</f>
        <v/>
      </c>
      <c r="Q51" s="60" t="str">
        <f>IF($C51="","",IF($AR51&lt;&gt;"",$AR51,SUMIFS(TblDynatrace[RAM P95 (Go)],TblDynatrace[ID],$C51,TblDynatrace[Environnement],$E51,TblDynatrace[Couloir],$F51)))</f>
        <v/>
      </c>
      <c r="R51" s="26" t="str">
        <f>IF($C51="","",IFERROR(INDEX(TblDynatrace[Métrique / période],MATCH($C51&amp;"|"&amp;$E51&amp;"|"&amp;$F51,TblDynatrace[Clé],0)),""))</f>
        <v/>
      </c>
      <c r="S51" s="60" t="str">
        <f>IF(OR($C51="",NOT(OR($G51="À migrer",$G51="À décommissionner")),$I51="",NOT(ISNUMBER($P51))),"",IF($AO51&lt;&gt;"",$AO51,IFERROR(SUMIFS(TblClusters[CPU initial (vCPU)],TblClusters[Cluster],$I51)*$P51/(SUMIFS(TblApplications[CPU Dynatrace (vCPU)],TblApplications[Cluster IKS source],$I51,TblApplications[Action],"À migrer")+SUMIFS(TblApplications[CPU Dynatrace (vCPU)],TblApplications[Cluster IKS source],$I51,TblApplications[Action],"À décommissionner")),0)))</f>
        <v/>
      </c>
      <c r="T51" s="60" t="str">
        <f>IF(OR($C51="",NOT(OR($G51="À migrer",$G51="À décommissionner")),$I51="",NOT(ISNUMBER($Q51))),"",IF($AP51&lt;&gt;"",$AP51,IFERROR(SUMIFS(TblClusters[RAM initiale (Go)],TblClusters[Cluster],$I51)*$Q51/(SUMIFS(TblApplications[RAM Dynatrace (Go)],TblApplications[Cluster IKS source],$I51,TblApplications[Action],"À migrer")+SUMIFS(TblApplications[RAM Dynatrace (Go)],TblApplications[Cluster IKS source],$I51,TblApplications[Action],"À décommissionner")),0)))</f>
        <v/>
      </c>
      <c r="U51" s="61"/>
      <c r="V51" s="61"/>
      <c r="W51" s="61"/>
      <c r="X51" s="59"/>
      <c r="Y51" s="26" t="str">
        <f t="shared" si="1"/>
        <v/>
      </c>
      <c r="Z51" s="26" t="str">
        <f t="shared" si="2"/>
        <v/>
      </c>
      <c r="AA51" s="33" t="str">
        <f t="shared" si="3"/>
        <v/>
      </c>
      <c r="AB51" s="33" t="str">
        <f t="shared" si="4"/>
        <v/>
      </c>
      <c r="AC51" s="26" t="str">
        <f t="shared" si="5"/>
        <v/>
      </c>
      <c r="AD51" s="26" t="str">
        <f>IF($C51="","",COUNTIF(TblApplications[ID],$C51))</f>
        <v/>
      </c>
      <c r="AE51" s="33" t="str">
        <f>IF($C51="","",IFERROR(1/(1/_xlfn.MINIFS(TblApplications[Mois prov (calc)],TblApplications[ID],$C51)),""))</f>
        <v/>
      </c>
      <c r="AF51" s="33" t="str">
        <f>IF($C51="","",IFERROR(1/(1/_xlfn.MAXIFS(TblApplications[Mois lib (calc)],TblApplications[ID],$C51)),""))</f>
        <v/>
      </c>
      <c r="AG51" s="26" t="str">
        <f>IF($C51="","",IF(OR(OR($A51="",$B51="",$D51="",$E51="",$F51="",$G51=""),AND($G51="À migrer",OR($H51="",$I51="",$O51="",$U51="",$V51="",$W51="")),AND($G51="Migré",OR($O51="")),AND($G51="À décommissionner",OR($I51="",$W51=""))),"Données manquantes (selon l’action)",IF(AND($G51&lt;&gt;"Migré",$G51&lt;&gt;"À migrer",$G51&lt;&gt;"À décommissionner",$G51&lt;&gt;"Décommissionné"),"Action invalide",IF(COUNTIF(TblDomaines[Domaine],$A51)=0,"Domaine inconnu (référentiel)",IF(COUNTIFS(TblTribes[Tribe],$B51,TblTribes[Domaine de la tribe],$A51)=0,"Tribe inconnue ou hors domaine",IF(AND($G51="À migrer",$H51&lt;&gt;"Oui",$H51&lt;&gt;"Non"),"Valeur Oui/Non invalide (Déjà incluse ROKS)",IF(AND($E51&lt;&gt;"PRD",$E51&lt;&gt;"NPRD"),"Environnement invalide",IF(COUNTIFS(TblApplications[ID],$C51,TblApplications[Environnement],$E51,TblApplications[Couloir],$F51)&gt;1,"Déploiement en doublon (ID + env + couloir)",IF(AND(OR(OR($G51="À migrer",$G51="Migré"),OR($G51="À migrer",$G51="À décommissionner")),N($P51)&lt;=0),"Conso Dynatrace absente (onglet Dynatrace)",IF(OR(AND($P51&lt;&gt;"",NOT(ISNUMBER($P51))),AND($Q51&lt;&gt;"",NOT(ISNUMBER($Q51)))),"Ressource non numérique",IF(MIN(N($P51),N($Q51))&lt;0,"Ressource négative",IF(OR(AND($AH51&lt;&gt;"",OR(NOT(ISNUMBER($AH51)),$AH51&lt;0,$AH51&gt;1)),AND($AI51&lt;&gt;"",OR(NOT(ISNUMBER($AI51)),$AI51&lt;0,$AI51&gt;1))),"Marge spécifique invalide (0–100 %)",IF(OR(AND($U51&lt;&gt;"",NOT(ISNUMBER($U51))),AND($V51&lt;&gt;"",NOT(ISNUMBER($V51))),AND($W51&lt;&gt;"",NOT(ISNUMBER($W51)))),"Mois invalide",IF(AND(OR($G51="À migrer",$G51="À décommissionner"),COUNTIFS(TblClusters[Cluster],$I51,TblClusters[Plateforme],"IKS")=0),"Cluster IKS inconnu",IF(AND(OR($G51="À migrer",$G51="Migré"),COUNTIFS(TblClusters[Cluster],$O51,TblClusters[Plateforme],"ROKS")=0),"Cluster ROKS inconnu",IF(AND(OR($G51="À migrer",$G51="À décommissionner"),COUNTIFS(TblClusters[Cluster],$I51,TblClusters[Environnement],$E51)=0),"Environnement ≠ cluster IKS",IF(AND(OR($G51="À migrer",$G51="Migré"),COUNTIFS(TblClusters[Cluster],$O51,TblClusters[Environnement],$E51)=0),"Environnement ≠ cluster ROKS",IF(AND($G51="À migrer",OR($U51&gt;$V51,$V51&gt;$W51)),"Dates incohérentes (prov ≤ bascule ≤ libération)",IF(AND(OR($G51="À migrer",$G51="À décommissionner"),OR(N($AO51)&gt;SUMIFS(TblClusters[CPU initial (vCPU)],TblClusters[Cluster],$I51),N($AP51)&gt;SUMIFS(TblClusters[RAM initiale (Go)],TblClusters[Cluster],$I51))),"Forçage &gt; capacité du cluster source",IF(OR(AND($AA51&lt;&gt;"",$AA51&lt;p_debut),AND($AB51&lt;&gt;"",$AB51&gt;p_fin)),"Hors horizon (info)",IF(AND($G51="À migrer",$E51="PRD",COUNTIFS(TblApplications[ID],$C51,TblApplications[Environnement],"NPRD",TblApplications[Action],"À migrer")&gt;0,$AA51&lt;_xlfn.MINIFS(TblApplications[Mois prov (calc)],TblApplications[ID],$C51,TblApplications[Environnement],"NPRD")),"PRD avant NPRD (info)","OK")))))))))))))))))))))</f>
        <v/>
      </c>
      <c r="AH51" s="62"/>
      <c r="AI51" s="62"/>
      <c r="AJ51" s="27" t="str">
        <f>IF(OR($C51="",NOT(OR($G51="À migrer",$G51="À décommissionner")),NOT(ISNUMBER($S51)),NOT(ISNUMBER($T51)),$AB51=""),"",($S51+p_poidsram*$T51)*SUMIFS(TblCalculs[Coût par unité],TblCalculs[Cluster],$I51,TblCalculs[Mois],"&lt;"&amp;$AB51))</f>
        <v/>
      </c>
      <c r="AK51" s="27" t="str">
        <f>IF($C51="","",IF(AND($G51="À migrer",$H51="Non",$Y51&lt;&gt;"",$AA51&lt;&gt;""),($Y51+p_poidsram*$Z51)*SUMIFS(TblCalculs[Coût par unité],TblCalculs[Cluster],$O51,TblCalculs[Mois],"&gt;="&amp;$AA51),IF(AND($G51="Migré",$Y51&lt;&gt;""),($Y51+p_poidsram*$Z51)*SUMIFS(TblCalculs[Coût par unité],TblCalculs[Cluster],$O51),"")))</f>
        <v/>
      </c>
      <c r="AL51" s="27" t="str">
        <f t="shared" si="6"/>
        <v/>
      </c>
      <c r="AM51" s="26" t="str">
        <f t="shared" si="7"/>
        <v/>
      </c>
      <c r="AN51" s="26" t="str">
        <f>IF(OR($C51="",$AM51&lt;&gt;1,COUNTIFS($E51,ex_envc,$A51,ex_domc,$B51,ex_tric)=0),"",COUNTIFS($AM$6:$AM51,1,$E$6:$E51,ex_envc,$A$6:$A51,ex_domc,$B$6:$B51,ex_tric))</f>
        <v/>
      </c>
      <c r="AO51" s="63"/>
      <c r="AP51" s="63"/>
      <c r="AQ51" s="63"/>
      <c r="AR51" s="63"/>
    </row>
    <row r="52" spans="1:44" x14ac:dyDescent="0.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26" t="str">
        <f t="shared" si="0"/>
        <v/>
      </c>
      <c r="O52" s="59"/>
      <c r="P52" s="60" t="str">
        <f>IF($C52="","",IF($AQ52&lt;&gt;"",$AQ52,SUMIFS(TblDynatrace[CPU P95 (vCPU)],TblDynatrace[ID],$C52,TblDynatrace[Environnement],$E52,TblDynatrace[Couloir],$F52)))</f>
        <v/>
      </c>
      <c r="Q52" s="60" t="str">
        <f>IF($C52="","",IF($AR52&lt;&gt;"",$AR52,SUMIFS(TblDynatrace[RAM P95 (Go)],TblDynatrace[ID],$C52,TblDynatrace[Environnement],$E52,TblDynatrace[Couloir],$F52)))</f>
        <v/>
      </c>
      <c r="R52" s="26" t="str">
        <f>IF($C52="","",IFERROR(INDEX(TblDynatrace[Métrique / période],MATCH($C52&amp;"|"&amp;$E52&amp;"|"&amp;$F52,TblDynatrace[Clé],0)),""))</f>
        <v/>
      </c>
      <c r="S52" s="60" t="str">
        <f>IF(OR($C52="",NOT(OR($G52="À migrer",$G52="À décommissionner")),$I52="",NOT(ISNUMBER($P52))),"",IF($AO52&lt;&gt;"",$AO52,IFERROR(SUMIFS(TblClusters[CPU initial (vCPU)],TblClusters[Cluster],$I52)*$P52/(SUMIFS(TblApplications[CPU Dynatrace (vCPU)],TblApplications[Cluster IKS source],$I52,TblApplications[Action],"À migrer")+SUMIFS(TblApplications[CPU Dynatrace (vCPU)],TblApplications[Cluster IKS source],$I52,TblApplications[Action],"À décommissionner")),0)))</f>
        <v/>
      </c>
      <c r="T52" s="60" t="str">
        <f>IF(OR($C52="",NOT(OR($G52="À migrer",$G52="À décommissionner")),$I52="",NOT(ISNUMBER($Q52))),"",IF($AP52&lt;&gt;"",$AP52,IFERROR(SUMIFS(TblClusters[RAM initiale (Go)],TblClusters[Cluster],$I52)*$Q52/(SUMIFS(TblApplications[RAM Dynatrace (Go)],TblApplications[Cluster IKS source],$I52,TblApplications[Action],"À migrer")+SUMIFS(TblApplications[RAM Dynatrace (Go)],TblApplications[Cluster IKS source],$I52,TblApplications[Action],"À décommissionner")),0)))</f>
        <v/>
      </c>
      <c r="U52" s="61"/>
      <c r="V52" s="61"/>
      <c r="W52" s="61"/>
      <c r="X52" s="59"/>
      <c r="Y52" s="26" t="str">
        <f t="shared" si="1"/>
        <v/>
      </c>
      <c r="Z52" s="26" t="str">
        <f t="shared" si="2"/>
        <v/>
      </c>
      <c r="AA52" s="33" t="str">
        <f t="shared" si="3"/>
        <v/>
      </c>
      <c r="AB52" s="33" t="str">
        <f t="shared" si="4"/>
        <v/>
      </c>
      <c r="AC52" s="26" t="str">
        <f t="shared" si="5"/>
        <v/>
      </c>
      <c r="AD52" s="26" t="str">
        <f>IF($C52="","",COUNTIF(TblApplications[ID],$C52))</f>
        <v/>
      </c>
      <c r="AE52" s="33" t="str">
        <f>IF($C52="","",IFERROR(1/(1/_xlfn.MINIFS(TblApplications[Mois prov (calc)],TblApplications[ID],$C52)),""))</f>
        <v/>
      </c>
      <c r="AF52" s="33" t="str">
        <f>IF($C52="","",IFERROR(1/(1/_xlfn.MAXIFS(TblApplications[Mois lib (calc)],TblApplications[ID],$C52)),""))</f>
        <v/>
      </c>
      <c r="AG52" s="26" t="str">
        <f>IF($C52="","",IF(OR(OR($A52="",$B52="",$D52="",$E52="",$F52="",$G52=""),AND($G52="À migrer",OR($H52="",$I52="",$O52="",$U52="",$V52="",$W52="")),AND($G52="Migré",OR($O52="")),AND($G52="À décommissionner",OR($I52="",$W52=""))),"Données manquantes (selon l’action)",IF(AND($G52&lt;&gt;"Migré",$G52&lt;&gt;"À migrer",$G52&lt;&gt;"À décommissionner",$G52&lt;&gt;"Décommissionné"),"Action invalide",IF(COUNTIF(TblDomaines[Domaine],$A52)=0,"Domaine inconnu (référentiel)",IF(COUNTIFS(TblTribes[Tribe],$B52,TblTribes[Domaine de la tribe],$A52)=0,"Tribe inconnue ou hors domaine",IF(AND($G52="À migrer",$H52&lt;&gt;"Oui",$H52&lt;&gt;"Non"),"Valeur Oui/Non invalide (Déjà incluse ROKS)",IF(AND($E52&lt;&gt;"PRD",$E52&lt;&gt;"NPRD"),"Environnement invalide",IF(COUNTIFS(TblApplications[ID],$C52,TblApplications[Environnement],$E52,TblApplications[Couloir],$F52)&gt;1,"Déploiement en doublon (ID + env + couloir)",IF(AND(OR(OR($G52="À migrer",$G52="Migré"),OR($G52="À migrer",$G52="À décommissionner")),N($P52)&lt;=0),"Conso Dynatrace absente (onglet Dynatrace)",IF(OR(AND($P52&lt;&gt;"",NOT(ISNUMBER($P52))),AND($Q52&lt;&gt;"",NOT(ISNUMBER($Q52)))),"Ressource non numérique",IF(MIN(N($P52),N($Q52))&lt;0,"Ressource négative",IF(OR(AND($AH52&lt;&gt;"",OR(NOT(ISNUMBER($AH52)),$AH52&lt;0,$AH52&gt;1)),AND($AI52&lt;&gt;"",OR(NOT(ISNUMBER($AI52)),$AI52&lt;0,$AI52&gt;1))),"Marge spécifique invalide (0–100 %)",IF(OR(AND($U52&lt;&gt;"",NOT(ISNUMBER($U52))),AND($V52&lt;&gt;"",NOT(ISNUMBER($V52))),AND($W52&lt;&gt;"",NOT(ISNUMBER($W52)))),"Mois invalide",IF(AND(OR($G52="À migrer",$G52="À décommissionner"),COUNTIFS(TblClusters[Cluster],$I52,TblClusters[Plateforme],"IKS")=0),"Cluster IKS inconnu",IF(AND(OR($G52="À migrer",$G52="Migré"),COUNTIFS(TblClusters[Cluster],$O52,TblClusters[Plateforme],"ROKS")=0),"Cluster ROKS inconnu",IF(AND(OR($G52="À migrer",$G52="À décommissionner"),COUNTIFS(TblClusters[Cluster],$I52,TblClusters[Environnement],$E52)=0),"Environnement ≠ cluster IKS",IF(AND(OR($G52="À migrer",$G52="Migré"),COUNTIFS(TblClusters[Cluster],$O52,TblClusters[Environnement],$E52)=0),"Environnement ≠ cluster ROKS",IF(AND($G52="À migrer",OR($U52&gt;$V52,$V52&gt;$W52)),"Dates incohérentes (prov ≤ bascule ≤ libération)",IF(AND(OR($G52="À migrer",$G52="À décommissionner"),OR(N($AO52)&gt;SUMIFS(TblClusters[CPU initial (vCPU)],TblClusters[Cluster],$I52),N($AP52)&gt;SUMIFS(TblClusters[RAM initiale (Go)],TblClusters[Cluster],$I52))),"Forçage &gt; capacité du cluster source",IF(OR(AND($AA52&lt;&gt;"",$AA52&lt;p_debut),AND($AB52&lt;&gt;"",$AB52&gt;p_fin)),"Hors horizon (info)",IF(AND($G52="À migrer",$E52="PRD",COUNTIFS(TblApplications[ID],$C52,TblApplications[Environnement],"NPRD",TblApplications[Action],"À migrer")&gt;0,$AA52&lt;_xlfn.MINIFS(TblApplications[Mois prov (calc)],TblApplications[ID],$C52,TblApplications[Environnement],"NPRD")),"PRD avant NPRD (info)","OK")))))))))))))))))))))</f>
        <v/>
      </c>
      <c r="AH52" s="62"/>
      <c r="AI52" s="62"/>
      <c r="AJ52" s="27" t="str">
        <f>IF(OR($C52="",NOT(OR($G52="À migrer",$G52="À décommissionner")),NOT(ISNUMBER($S52)),NOT(ISNUMBER($T52)),$AB52=""),"",($S52+p_poidsram*$T52)*SUMIFS(TblCalculs[Coût par unité],TblCalculs[Cluster],$I52,TblCalculs[Mois],"&lt;"&amp;$AB52))</f>
        <v/>
      </c>
      <c r="AK52" s="27" t="str">
        <f>IF($C52="","",IF(AND($G52="À migrer",$H52="Non",$Y52&lt;&gt;"",$AA52&lt;&gt;""),($Y52+p_poidsram*$Z52)*SUMIFS(TblCalculs[Coût par unité],TblCalculs[Cluster],$O52,TblCalculs[Mois],"&gt;="&amp;$AA52),IF(AND($G52="Migré",$Y52&lt;&gt;""),($Y52+p_poidsram*$Z52)*SUMIFS(TblCalculs[Coût par unité],TblCalculs[Cluster],$O52),"")))</f>
        <v/>
      </c>
      <c r="AL52" s="27" t="str">
        <f t="shared" si="6"/>
        <v/>
      </c>
      <c r="AM52" s="26" t="str">
        <f t="shared" si="7"/>
        <v/>
      </c>
      <c r="AN52" s="26" t="str">
        <f>IF(OR($C52="",$AM52&lt;&gt;1,COUNTIFS($E52,ex_envc,$A52,ex_domc,$B52,ex_tric)=0),"",COUNTIFS($AM$6:$AM52,1,$E$6:$E52,ex_envc,$A$6:$A52,ex_domc,$B$6:$B52,ex_tric))</f>
        <v/>
      </c>
      <c r="AO52" s="63"/>
      <c r="AP52" s="63"/>
      <c r="AQ52" s="63"/>
      <c r="AR52" s="63"/>
    </row>
    <row r="53" spans="1:44" x14ac:dyDescent="0.2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26" t="str">
        <f t="shared" si="0"/>
        <v/>
      </c>
      <c r="O53" s="59"/>
      <c r="P53" s="60" t="str">
        <f>IF($C53="","",IF($AQ53&lt;&gt;"",$AQ53,SUMIFS(TblDynatrace[CPU P95 (vCPU)],TblDynatrace[ID],$C53,TblDynatrace[Environnement],$E53,TblDynatrace[Couloir],$F53)))</f>
        <v/>
      </c>
      <c r="Q53" s="60" t="str">
        <f>IF($C53="","",IF($AR53&lt;&gt;"",$AR53,SUMIFS(TblDynatrace[RAM P95 (Go)],TblDynatrace[ID],$C53,TblDynatrace[Environnement],$E53,TblDynatrace[Couloir],$F53)))</f>
        <v/>
      </c>
      <c r="R53" s="26" t="str">
        <f>IF($C53="","",IFERROR(INDEX(TblDynatrace[Métrique / période],MATCH($C53&amp;"|"&amp;$E53&amp;"|"&amp;$F53,TblDynatrace[Clé],0)),""))</f>
        <v/>
      </c>
      <c r="S53" s="60" t="str">
        <f>IF(OR($C53="",NOT(OR($G53="À migrer",$G53="À décommissionner")),$I53="",NOT(ISNUMBER($P53))),"",IF($AO53&lt;&gt;"",$AO53,IFERROR(SUMIFS(TblClusters[CPU initial (vCPU)],TblClusters[Cluster],$I53)*$P53/(SUMIFS(TblApplications[CPU Dynatrace (vCPU)],TblApplications[Cluster IKS source],$I53,TblApplications[Action],"À migrer")+SUMIFS(TblApplications[CPU Dynatrace (vCPU)],TblApplications[Cluster IKS source],$I53,TblApplications[Action],"À décommissionner")),0)))</f>
        <v/>
      </c>
      <c r="T53" s="60" t="str">
        <f>IF(OR($C53="",NOT(OR($G53="À migrer",$G53="À décommissionner")),$I53="",NOT(ISNUMBER($Q53))),"",IF($AP53&lt;&gt;"",$AP53,IFERROR(SUMIFS(TblClusters[RAM initiale (Go)],TblClusters[Cluster],$I53)*$Q53/(SUMIFS(TblApplications[RAM Dynatrace (Go)],TblApplications[Cluster IKS source],$I53,TblApplications[Action],"À migrer")+SUMIFS(TblApplications[RAM Dynatrace (Go)],TblApplications[Cluster IKS source],$I53,TblApplications[Action],"À décommissionner")),0)))</f>
        <v/>
      </c>
      <c r="U53" s="61"/>
      <c r="V53" s="61"/>
      <c r="W53" s="61"/>
      <c r="X53" s="59"/>
      <c r="Y53" s="26" t="str">
        <f t="shared" si="1"/>
        <v/>
      </c>
      <c r="Z53" s="26" t="str">
        <f t="shared" si="2"/>
        <v/>
      </c>
      <c r="AA53" s="33" t="str">
        <f t="shared" si="3"/>
        <v/>
      </c>
      <c r="AB53" s="33" t="str">
        <f t="shared" si="4"/>
        <v/>
      </c>
      <c r="AC53" s="26" t="str">
        <f t="shared" si="5"/>
        <v/>
      </c>
      <c r="AD53" s="26" t="str">
        <f>IF($C53="","",COUNTIF(TblApplications[ID],$C53))</f>
        <v/>
      </c>
      <c r="AE53" s="33" t="str">
        <f>IF($C53="","",IFERROR(1/(1/_xlfn.MINIFS(TblApplications[Mois prov (calc)],TblApplications[ID],$C53)),""))</f>
        <v/>
      </c>
      <c r="AF53" s="33" t="str">
        <f>IF($C53="","",IFERROR(1/(1/_xlfn.MAXIFS(TblApplications[Mois lib (calc)],TblApplications[ID],$C53)),""))</f>
        <v/>
      </c>
      <c r="AG53" s="26" t="str">
        <f>IF($C53="","",IF(OR(OR($A53="",$B53="",$D53="",$E53="",$F53="",$G53=""),AND($G53="À migrer",OR($H53="",$I53="",$O53="",$U53="",$V53="",$W53="")),AND($G53="Migré",OR($O53="")),AND($G53="À décommissionner",OR($I53="",$W53=""))),"Données manquantes (selon l’action)",IF(AND($G53&lt;&gt;"Migré",$G53&lt;&gt;"À migrer",$G53&lt;&gt;"À décommissionner",$G53&lt;&gt;"Décommissionné"),"Action invalide",IF(COUNTIF(TblDomaines[Domaine],$A53)=0,"Domaine inconnu (référentiel)",IF(COUNTIFS(TblTribes[Tribe],$B53,TblTribes[Domaine de la tribe],$A53)=0,"Tribe inconnue ou hors domaine",IF(AND($G53="À migrer",$H53&lt;&gt;"Oui",$H53&lt;&gt;"Non"),"Valeur Oui/Non invalide (Déjà incluse ROKS)",IF(AND($E53&lt;&gt;"PRD",$E53&lt;&gt;"NPRD"),"Environnement invalide",IF(COUNTIFS(TblApplications[ID],$C53,TblApplications[Environnement],$E53,TblApplications[Couloir],$F53)&gt;1,"Déploiement en doublon (ID + env + couloir)",IF(AND(OR(OR($G53="À migrer",$G53="Migré"),OR($G53="À migrer",$G53="À décommissionner")),N($P53)&lt;=0),"Conso Dynatrace absente (onglet Dynatrace)",IF(OR(AND($P53&lt;&gt;"",NOT(ISNUMBER($P53))),AND($Q53&lt;&gt;"",NOT(ISNUMBER($Q53)))),"Ressource non numérique",IF(MIN(N($P53),N($Q53))&lt;0,"Ressource négative",IF(OR(AND($AH53&lt;&gt;"",OR(NOT(ISNUMBER($AH53)),$AH53&lt;0,$AH53&gt;1)),AND($AI53&lt;&gt;"",OR(NOT(ISNUMBER($AI53)),$AI53&lt;0,$AI53&gt;1))),"Marge spécifique invalide (0–100 %)",IF(OR(AND($U53&lt;&gt;"",NOT(ISNUMBER($U53))),AND($V53&lt;&gt;"",NOT(ISNUMBER($V53))),AND($W53&lt;&gt;"",NOT(ISNUMBER($W53)))),"Mois invalide",IF(AND(OR($G53="À migrer",$G53="À décommissionner"),COUNTIFS(TblClusters[Cluster],$I53,TblClusters[Plateforme],"IKS")=0),"Cluster IKS inconnu",IF(AND(OR($G53="À migrer",$G53="Migré"),COUNTIFS(TblClusters[Cluster],$O53,TblClusters[Plateforme],"ROKS")=0),"Cluster ROKS inconnu",IF(AND(OR($G53="À migrer",$G53="À décommissionner"),COUNTIFS(TblClusters[Cluster],$I53,TblClusters[Environnement],$E53)=0),"Environnement ≠ cluster IKS",IF(AND(OR($G53="À migrer",$G53="Migré"),COUNTIFS(TblClusters[Cluster],$O53,TblClusters[Environnement],$E53)=0),"Environnement ≠ cluster ROKS",IF(AND($G53="À migrer",OR($U53&gt;$V53,$V53&gt;$W53)),"Dates incohérentes (prov ≤ bascule ≤ libération)",IF(AND(OR($G53="À migrer",$G53="À décommissionner"),OR(N($AO53)&gt;SUMIFS(TblClusters[CPU initial (vCPU)],TblClusters[Cluster],$I53),N($AP53)&gt;SUMIFS(TblClusters[RAM initiale (Go)],TblClusters[Cluster],$I53))),"Forçage &gt; capacité du cluster source",IF(OR(AND($AA53&lt;&gt;"",$AA53&lt;p_debut),AND($AB53&lt;&gt;"",$AB53&gt;p_fin)),"Hors horizon (info)",IF(AND($G53="À migrer",$E53="PRD",COUNTIFS(TblApplications[ID],$C53,TblApplications[Environnement],"NPRD",TblApplications[Action],"À migrer")&gt;0,$AA53&lt;_xlfn.MINIFS(TblApplications[Mois prov (calc)],TblApplications[ID],$C53,TblApplications[Environnement],"NPRD")),"PRD avant NPRD (info)","OK")))))))))))))))))))))</f>
        <v/>
      </c>
      <c r="AH53" s="62"/>
      <c r="AI53" s="62"/>
      <c r="AJ53" s="27" t="str">
        <f>IF(OR($C53="",NOT(OR($G53="À migrer",$G53="À décommissionner")),NOT(ISNUMBER($S53)),NOT(ISNUMBER($T53)),$AB53=""),"",($S53+p_poidsram*$T53)*SUMIFS(TblCalculs[Coût par unité],TblCalculs[Cluster],$I53,TblCalculs[Mois],"&lt;"&amp;$AB53))</f>
        <v/>
      </c>
      <c r="AK53" s="27" t="str">
        <f>IF($C53="","",IF(AND($G53="À migrer",$H53="Non",$Y53&lt;&gt;"",$AA53&lt;&gt;""),($Y53+p_poidsram*$Z53)*SUMIFS(TblCalculs[Coût par unité],TblCalculs[Cluster],$O53,TblCalculs[Mois],"&gt;="&amp;$AA53),IF(AND($G53="Migré",$Y53&lt;&gt;""),($Y53+p_poidsram*$Z53)*SUMIFS(TblCalculs[Coût par unité],TblCalculs[Cluster],$O53),"")))</f>
        <v/>
      </c>
      <c r="AL53" s="27" t="str">
        <f t="shared" si="6"/>
        <v/>
      </c>
      <c r="AM53" s="26" t="str">
        <f t="shared" si="7"/>
        <v/>
      </c>
      <c r="AN53" s="26" t="str">
        <f>IF(OR($C53="",$AM53&lt;&gt;1,COUNTIFS($E53,ex_envc,$A53,ex_domc,$B53,ex_tric)=0),"",COUNTIFS($AM$6:$AM53,1,$E$6:$E53,ex_envc,$A$6:$A53,ex_domc,$B$6:$B53,ex_tric))</f>
        <v/>
      </c>
      <c r="AO53" s="63"/>
      <c r="AP53" s="63"/>
      <c r="AQ53" s="63"/>
      <c r="AR53" s="63"/>
    </row>
    <row r="54" spans="1:44" x14ac:dyDescent="0.2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26" t="str">
        <f t="shared" si="0"/>
        <v/>
      </c>
      <c r="O54" s="59"/>
      <c r="P54" s="60" t="str">
        <f>IF($C54="","",IF($AQ54&lt;&gt;"",$AQ54,SUMIFS(TblDynatrace[CPU P95 (vCPU)],TblDynatrace[ID],$C54,TblDynatrace[Environnement],$E54,TblDynatrace[Couloir],$F54)))</f>
        <v/>
      </c>
      <c r="Q54" s="60" t="str">
        <f>IF($C54="","",IF($AR54&lt;&gt;"",$AR54,SUMIFS(TblDynatrace[RAM P95 (Go)],TblDynatrace[ID],$C54,TblDynatrace[Environnement],$E54,TblDynatrace[Couloir],$F54)))</f>
        <v/>
      </c>
      <c r="R54" s="26" t="str">
        <f>IF($C54="","",IFERROR(INDEX(TblDynatrace[Métrique / période],MATCH($C54&amp;"|"&amp;$E54&amp;"|"&amp;$F54,TblDynatrace[Clé],0)),""))</f>
        <v/>
      </c>
      <c r="S54" s="60" t="str">
        <f>IF(OR($C54="",NOT(OR($G54="À migrer",$G54="À décommissionner")),$I54="",NOT(ISNUMBER($P54))),"",IF($AO54&lt;&gt;"",$AO54,IFERROR(SUMIFS(TblClusters[CPU initial (vCPU)],TblClusters[Cluster],$I54)*$P54/(SUMIFS(TblApplications[CPU Dynatrace (vCPU)],TblApplications[Cluster IKS source],$I54,TblApplications[Action],"À migrer")+SUMIFS(TblApplications[CPU Dynatrace (vCPU)],TblApplications[Cluster IKS source],$I54,TblApplications[Action],"À décommissionner")),0)))</f>
        <v/>
      </c>
      <c r="T54" s="60" t="str">
        <f>IF(OR($C54="",NOT(OR($G54="À migrer",$G54="À décommissionner")),$I54="",NOT(ISNUMBER($Q54))),"",IF($AP54&lt;&gt;"",$AP54,IFERROR(SUMIFS(TblClusters[RAM initiale (Go)],TblClusters[Cluster],$I54)*$Q54/(SUMIFS(TblApplications[RAM Dynatrace (Go)],TblApplications[Cluster IKS source],$I54,TblApplications[Action],"À migrer")+SUMIFS(TblApplications[RAM Dynatrace (Go)],TblApplications[Cluster IKS source],$I54,TblApplications[Action],"À décommissionner")),0)))</f>
        <v/>
      </c>
      <c r="U54" s="61"/>
      <c r="V54" s="61"/>
      <c r="W54" s="61"/>
      <c r="X54" s="59"/>
      <c r="Y54" s="26" t="str">
        <f t="shared" si="1"/>
        <v/>
      </c>
      <c r="Z54" s="26" t="str">
        <f t="shared" si="2"/>
        <v/>
      </c>
      <c r="AA54" s="33" t="str">
        <f t="shared" si="3"/>
        <v/>
      </c>
      <c r="AB54" s="33" t="str">
        <f t="shared" si="4"/>
        <v/>
      </c>
      <c r="AC54" s="26" t="str">
        <f t="shared" si="5"/>
        <v/>
      </c>
      <c r="AD54" s="26" t="str">
        <f>IF($C54="","",COUNTIF(TblApplications[ID],$C54))</f>
        <v/>
      </c>
      <c r="AE54" s="33" t="str">
        <f>IF($C54="","",IFERROR(1/(1/_xlfn.MINIFS(TblApplications[Mois prov (calc)],TblApplications[ID],$C54)),""))</f>
        <v/>
      </c>
      <c r="AF54" s="33" t="str">
        <f>IF($C54="","",IFERROR(1/(1/_xlfn.MAXIFS(TblApplications[Mois lib (calc)],TblApplications[ID],$C54)),""))</f>
        <v/>
      </c>
      <c r="AG54" s="26" t="str">
        <f>IF($C54="","",IF(OR(OR($A54="",$B54="",$D54="",$E54="",$F54="",$G54=""),AND($G54="À migrer",OR($H54="",$I54="",$O54="",$U54="",$V54="",$W54="")),AND($G54="Migré",OR($O54="")),AND($G54="À décommissionner",OR($I54="",$W54=""))),"Données manquantes (selon l’action)",IF(AND($G54&lt;&gt;"Migré",$G54&lt;&gt;"À migrer",$G54&lt;&gt;"À décommissionner",$G54&lt;&gt;"Décommissionné"),"Action invalide",IF(COUNTIF(TblDomaines[Domaine],$A54)=0,"Domaine inconnu (référentiel)",IF(COUNTIFS(TblTribes[Tribe],$B54,TblTribes[Domaine de la tribe],$A54)=0,"Tribe inconnue ou hors domaine",IF(AND($G54="À migrer",$H54&lt;&gt;"Oui",$H54&lt;&gt;"Non"),"Valeur Oui/Non invalide (Déjà incluse ROKS)",IF(AND($E54&lt;&gt;"PRD",$E54&lt;&gt;"NPRD"),"Environnement invalide",IF(COUNTIFS(TblApplications[ID],$C54,TblApplications[Environnement],$E54,TblApplications[Couloir],$F54)&gt;1,"Déploiement en doublon (ID + env + couloir)",IF(AND(OR(OR($G54="À migrer",$G54="Migré"),OR($G54="À migrer",$G54="À décommissionner")),N($P54)&lt;=0),"Conso Dynatrace absente (onglet Dynatrace)",IF(OR(AND($P54&lt;&gt;"",NOT(ISNUMBER($P54))),AND($Q54&lt;&gt;"",NOT(ISNUMBER($Q54)))),"Ressource non numérique",IF(MIN(N($P54),N($Q54))&lt;0,"Ressource négative",IF(OR(AND($AH54&lt;&gt;"",OR(NOT(ISNUMBER($AH54)),$AH54&lt;0,$AH54&gt;1)),AND($AI54&lt;&gt;"",OR(NOT(ISNUMBER($AI54)),$AI54&lt;0,$AI54&gt;1))),"Marge spécifique invalide (0–100 %)",IF(OR(AND($U54&lt;&gt;"",NOT(ISNUMBER($U54))),AND($V54&lt;&gt;"",NOT(ISNUMBER($V54))),AND($W54&lt;&gt;"",NOT(ISNUMBER($W54)))),"Mois invalide",IF(AND(OR($G54="À migrer",$G54="À décommissionner"),COUNTIFS(TblClusters[Cluster],$I54,TblClusters[Plateforme],"IKS")=0),"Cluster IKS inconnu",IF(AND(OR($G54="À migrer",$G54="Migré"),COUNTIFS(TblClusters[Cluster],$O54,TblClusters[Plateforme],"ROKS")=0),"Cluster ROKS inconnu",IF(AND(OR($G54="À migrer",$G54="À décommissionner"),COUNTIFS(TblClusters[Cluster],$I54,TblClusters[Environnement],$E54)=0),"Environnement ≠ cluster IKS",IF(AND(OR($G54="À migrer",$G54="Migré"),COUNTIFS(TblClusters[Cluster],$O54,TblClusters[Environnement],$E54)=0),"Environnement ≠ cluster ROKS",IF(AND($G54="À migrer",OR($U54&gt;$V54,$V54&gt;$W54)),"Dates incohérentes (prov ≤ bascule ≤ libération)",IF(AND(OR($G54="À migrer",$G54="À décommissionner"),OR(N($AO54)&gt;SUMIFS(TblClusters[CPU initial (vCPU)],TblClusters[Cluster],$I54),N($AP54)&gt;SUMIFS(TblClusters[RAM initiale (Go)],TblClusters[Cluster],$I54))),"Forçage &gt; capacité du cluster source",IF(OR(AND($AA54&lt;&gt;"",$AA54&lt;p_debut),AND($AB54&lt;&gt;"",$AB54&gt;p_fin)),"Hors horizon (info)",IF(AND($G54="À migrer",$E54="PRD",COUNTIFS(TblApplications[ID],$C54,TblApplications[Environnement],"NPRD",TblApplications[Action],"À migrer")&gt;0,$AA54&lt;_xlfn.MINIFS(TblApplications[Mois prov (calc)],TblApplications[ID],$C54,TblApplications[Environnement],"NPRD")),"PRD avant NPRD (info)","OK")))))))))))))))))))))</f>
        <v/>
      </c>
      <c r="AH54" s="62"/>
      <c r="AI54" s="62"/>
      <c r="AJ54" s="27" t="str">
        <f>IF(OR($C54="",NOT(OR($G54="À migrer",$G54="À décommissionner")),NOT(ISNUMBER($S54)),NOT(ISNUMBER($T54)),$AB54=""),"",($S54+p_poidsram*$T54)*SUMIFS(TblCalculs[Coût par unité],TblCalculs[Cluster],$I54,TblCalculs[Mois],"&lt;"&amp;$AB54))</f>
        <v/>
      </c>
      <c r="AK54" s="27" t="str">
        <f>IF($C54="","",IF(AND($G54="À migrer",$H54="Non",$Y54&lt;&gt;"",$AA54&lt;&gt;""),($Y54+p_poidsram*$Z54)*SUMIFS(TblCalculs[Coût par unité],TblCalculs[Cluster],$O54,TblCalculs[Mois],"&gt;="&amp;$AA54),IF(AND($G54="Migré",$Y54&lt;&gt;""),($Y54+p_poidsram*$Z54)*SUMIFS(TblCalculs[Coût par unité],TblCalculs[Cluster],$O54),"")))</f>
        <v/>
      </c>
      <c r="AL54" s="27" t="str">
        <f t="shared" si="6"/>
        <v/>
      </c>
      <c r="AM54" s="26" t="str">
        <f t="shared" si="7"/>
        <v/>
      </c>
      <c r="AN54" s="26" t="str">
        <f>IF(OR($C54="",$AM54&lt;&gt;1,COUNTIFS($E54,ex_envc,$A54,ex_domc,$B54,ex_tric)=0),"",COUNTIFS($AM$6:$AM54,1,$E$6:$E54,ex_envc,$A$6:$A54,ex_domc,$B$6:$B54,ex_tric))</f>
        <v/>
      </c>
      <c r="AO54" s="63"/>
      <c r="AP54" s="63"/>
      <c r="AQ54" s="63"/>
      <c r="AR54" s="63"/>
    </row>
    <row r="55" spans="1:44" x14ac:dyDescent="0.2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26" t="str">
        <f t="shared" si="0"/>
        <v/>
      </c>
      <c r="O55" s="59"/>
      <c r="P55" s="60" t="str">
        <f>IF($C55="","",IF($AQ55&lt;&gt;"",$AQ55,SUMIFS(TblDynatrace[CPU P95 (vCPU)],TblDynatrace[ID],$C55,TblDynatrace[Environnement],$E55,TblDynatrace[Couloir],$F55)))</f>
        <v/>
      </c>
      <c r="Q55" s="60" t="str">
        <f>IF($C55="","",IF($AR55&lt;&gt;"",$AR55,SUMIFS(TblDynatrace[RAM P95 (Go)],TblDynatrace[ID],$C55,TblDynatrace[Environnement],$E55,TblDynatrace[Couloir],$F55)))</f>
        <v/>
      </c>
      <c r="R55" s="26" t="str">
        <f>IF($C55="","",IFERROR(INDEX(TblDynatrace[Métrique / période],MATCH($C55&amp;"|"&amp;$E55&amp;"|"&amp;$F55,TblDynatrace[Clé],0)),""))</f>
        <v/>
      </c>
      <c r="S55" s="60" t="str">
        <f>IF(OR($C55="",NOT(OR($G55="À migrer",$G55="À décommissionner")),$I55="",NOT(ISNUMBER($P55))),"",IF($AO55&lt;&gt;"",$AO55,IFERROR(SUMIFS(TblClusters[CPU initial (vCPU)],TblClusters[Cluster],$I55)*$P55/(SUMIFS(TblApplications[CPU Dynatrace (vCPU)],TblApplications[Cluster IKS source],$I55,TblApplications[Action],"À migrer")+SUMIFS(TblApplications[CPU Dynatrace (vCPU)],TblApplications[Cluster IKS source],$I55,TblApplications[Action],"À décommissionner")),0)))</f>
        <v/>
      </c>
      <c r="T55" s="60" t="str">
        <f>IF(OR($C55="",NOT(OR($G55="À migrer",$G55="À décommissionner")),$I55="",NOT(ISNUMBER($Q55))),"",IF($AP55&lt;&gt;"",$AP55,IFERROR(SUMIFS(TblClusters[RAM initiale (Go)],TblClusters[Cluster],$I55)*$Q55/(SUMIFS(TblApplications[RAM Dynatrace (Go)],TblApplications[Cluster IKS source],$I55,TblApplications[Action],"À migrer")+SUMIFS(TblApplications[RAM Dynatrace (Go)],TblApplications[Cluster IKS source],$I55,TblApplications[Action],"À décommissionner")),0)))</f>
        <v/>
      </c>
      <c r="U55" s="61"/>
      <c r="V55" s="61"/>
      <c r="W55" s="61"/>
      <c r="X55" s="59"/>
      <c r="Y55" s="26" t="str">
        <f t="shared" si="1"/>
        <v/>
      </c>
      <c r="Z55" s="26" t="str">
        <f t="shared" si="2"/>
        <v/>
      </c>
      <c r="AA55" s="33" t="str">
        <f t="shared" si="3"/>
        <v/>
      </c>
      <c r="AB55" s="33" t="str">
        <f t="shared" si="4"/>
        <v/>
      </c>
      <c r="AC55" s="26" t="str">
        <f t="shared" si="5"/>
        <v/>
      </c>
      <c r="AD55" s="26" t="str">
        <f>IF($C55="","",COUNTIF(TblApplications[ID],$C55))</f>
        <v/>
      </c>
      <c r="AE55" s="33" t="str">
        <f>IF($C55="","",IFERROR(1/(1/_xlfn.MINIFS(TblApplications[Mois prov (calc)],TblApplications[ID],$C55)),""))</f>
        <v/>
      </c>
      <c r="AF55" s="33" t="str">
        <f>IF($C55="","",IFERROR(1/(1/_xlfn.MAXIFS(TblApplications[Mois lib (calc)],TblApplications[ID],$C55)),""))</f>
        <v/>
      </c>
      <c r="AG55" s="26" t="str">
        <f>IF($C55="","",IF(OR(OR($A55="",$B55="",$D55="",$E55="",$F55="",$G55=""),AND($G55="À migrer",OR($H55="",$I55="",$O55="",$U55="",$V55="",$W55="")),AND($G55="Migré",OR($O55="")),AND($G55="À décommissionner",OR($I55="",$W55=""))),"Données manquantes (selon l’action)",IF(AND($G55&lt;&gt;"Migré",$G55&lt;&gt;"À migrer",$G55&lt;&gt;"À décommissionner",$G55&lt;&gt;"Décommissionné"),"Action invalide",IF(COUNTIF(TblDomaines[Domaine],$A55)=0,"Domaine inconnu (référentiel)",IF(COUNTIFS(TblTribes[Tribe],$B55,TblTribes[Domaine de la tribe],$A55)=0,"Tribe inconnue ou hors domaine",IF(AND($G55="À migrer",$H55&lt;&gt;"Oui",$H55&lt;&gt;"Non"),"Valeur Oui/Non invalide (Déjà incluse ROKS)",IF(AND($E55&lt;&gt;"PRD",$E55&lt;&gt;"NPRD"),"Environnement invalide",IF(COUNTIFS(TblApplications[ID],$C55,TblApplications[Environnement],$E55,TblApplications[Couloir],$F55)&gt;1,"Déploiement en doublon (ID + env + couloir)",IF(AND(OR(OR($G55="À migrer",$G55="Migré"),OR($G55="À migrer",$G55="À décommissionner")),N($P55)&lt;=0),"Conso Dynatrace absente (onglet Dynatrace)",IF(OR(AND($P55&lt;&gt;"",NOT(ISNUMBER($P55))),AND($Q55&lt;&gt;"",NOT(ISNUMBER($Q55)))),"Ressource non numérique",IF(MIN(N($P55),N($Q55))&lt;0,"Ressource négative",IF(OR(AND($AH55&lt;&gt;"",OR(NOT(ISNUMBER($AH55)),$AH55&lt;0,$AH55&gt;1)),AND($AI55&lt;&gt;"",OR(NOT(ISNUMBER($AI55)),$AI55&lt;0,$AI55&gt;1))),"Marge spécifique invalide (0–100 %)",IF(OR(AND($U55&lt;&gt;"",NOT(ISNUMBER($U55))),AND($V55&lt;&gt;"",NOT(ISNUMBER($V55))),AND($W55&lt;&gt;"",NOT(ISNUMBER($W55)))),"Mois invalide",IF(AND(OR($G55="À migrer",$G55="À décommissionner"),COUNTIFS(TblClusters[Cluster],$I55,TblClusters[Plateforme],"IKS")=0),"Cluster IKS inconnu",IF(AND(OR($G55="À migrer",$G55="Migré"),COUNTIFS(TblClusters[Cluster],$O55,TblClusters[Plateforme],"ROKS")=0),"Cluster ROKS inconnu",IF(AND(OR($G55="À migrer",$G55="À décommissionner"),COUNTIFS(TblClusters[Cluster],$I55,TblClusters[Environnement],$E55)=0),"Environnement ≠ cluster IKS",IF(AND(OR($G55="À migrer",$G55="Migré"),COUNTIFS(TblClusters[Cluster],$O55,TblClusters[Environnement],$E55)=0),"Environnement ≠ cluster ROKS",IF(AND($G55="À migrer",OR($U55&gt;$V55,$V55&gt;$W55)),"Dates incohérentes (prov ≤ bascule ≤ libération)",IF(AND(OR($G55="À migrer",$G55="À décommissionner"),OR(N($AO55)&gt;SUMIFS(TblClusters[CPU initial (vCPU)],TblClusters[Cluster],$I55),N($AP55)&gt;SUMIFS(TblClusters[RAM initiale (Go)],TblClusters[Cluster],$I55))),"Forçage &gt; capacité du cluster source",IF(OR(AND($AA55&lt;&gt;"",$AA55&lt;p_debut),AND($AB55&lt;&gt;"",$AB55&gt;p_fin)),"Hors horizon (info)",IF(AND($G55="À migrer",$E55="PRD",COUNTIFS(TblApplications[ID],$C55,TblApplications[Environnement],"NPRD",TblApplications[Action],"À migrer")&gt;0,$AA55&lt;_xlfn.MINIFS(TblApplications[Mois prov (calc)],TblApplications[ID],$C55,TblApplications[Environnement],"NPRD")),"PRD avant NPRD (info)","OK")))))))))))))))))))))</f>
        <v/>
      </c>
      <c r="AH55" s="62"/>
      <c r="AI55" s="62"/>
      <c r="AJ55" s="27" t="str">
        <f>IF(OR($C55="",NOT(OR($G55="À migrer",$G55="À décommissionner")),NOT(ISNUMBER($S55)),NOT(ISNUMBER($T55)),$AB55=""),"",($S55+p_poidsram*$T55)*SUMIFS(TblCalculs[Coût par unité],TblCalculs[Cluster],$I55,TblCalculs[Mois],"&lt;"&amp;$AB55))</f>
        <v/>
      </c>
      <c r="AK55" s="27" t="str">
        <f>IF($C55="","",IF(AND($G55="À migrer",$H55="Non",$Y55&lt;&gt;"",$AA55&lt;&gt;""),($Y55+p_poidsram*$Z55)*SUMIFS(TblCalculs[Coût par unité],TblCalculs[Cluster],$O55,TblCalculs[Mois],"&gt;="&amp;$AA55),IF(AND($G55="Migré",$Y55&lt;&gt;""),($Y55+p_poidsram*$Z55)*SUMIFS(TblCalculs[Coût par unité],TblCalculs[Cluster],$O55),"")))</f>
        <v/>
      </c>
      <c r="AL55" s="27" t="str">
        <f t="shared" si="6"/>
        <v/>
      </c>
      <c r="AM55" s="26" t="str">
        <f t="shared" si="7"/>
        <v/>
      </c>
      <c r="AN55" s="26" t="str">
        <f>IF(OR($C55="",$AM55&lt;&gt;1,COUNTIFS($E55,ex_envc,$A55,ex_domc,$B55,ex_tric)=0),"",COUNTIFS($AM$6:$AM55,1,$E$6:$E55,ex_envc,$A$6:$A55,ex_domc,$B$6:$B55,ex_tric))</f>
        <v/>
      </c>
      <c r="AO55" s="63"/>
      <c r="AP55" s="63"/>
      <c r="AQ55" s="63"/>
      <c r="AR55" s="63"/>
    </row>
    <row r="56" spans="1:44" x14ac:dyDescent="0.2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26" t="str">
        <f t="shared" si="0"/>
        <v/>
      </c>
      <c r="O56" s="59"/>
      <c r="P56" s="60" t="str">
        <f>IF($C56="","",IF($AQ56&lt;&gt;"",$AQ56,SUMIFS(TblDynatrace[CPU P95 (vCPU)],TblDynatrace[ID],$C56,TblDynatrace[Environnement],$E56,TblDynatrace[Couloir],$F56)))</f>
        <v/>
      </c>
      <c r="Q56" s="60" t="str">
        <f>IF($C56="","",IF($AR56&lt;&gt;"",$AR56,SUMIFS(TblDynatrace[RAM P95 (Go)],TblDynatrace[ID],$C56,TblDynatrace[Environnement],$E56,TblDynatrace[Couloir],$F56)))</f>
        <v/>
      </c>
      <c r="R56" s="26" t="str">
        <f>IF($C56="","",IFERROR(INDEX(TblDynatrace[Métrique / période],MATCH($C56&amp;"|"&amp;$E56&amp;"|"&amp;$F56,TblDynatrace[Clé],0)),""))</f>
        <v/>
      </c>
      <c r="S56" s="60" t="str">
        <f>IF(OR($C56="",NOT(OR($G56="À migrer",$G56="À décommissionner")),$I56="",NOT(ISNUMBER($P56))),"",IF($AO56&lt;&gt;"",$AO56,IFERROR(SUMIFS(TblClusters[CPU initial (vCPU)],TblClusters[Cluster],$I56)*$P56/(SUMIFS(TblApplications[CPU Dynatrace (vCPU)],TblApplications[Cluster IKS source],$I56,TblApplications[Action],"À migrer")+SUMIFS(TblApplications[CPU Dynatrace (vCPU)],TblApplications[Cluster IKS source],$I56,TblApplications[Action],"À décommissionner")),0)))</f>
        <v/>
      </c>
      <c r="T56" s="60" t="str">
        <f>IF(OR($C56="",NOT(OR($G56="À migrer",$G56="À décommissionner")),$I56="",NOT(ISNUMBER($Q56))),"",IF($AP56&lt;&gt;"",$AP56,IFERROR(SUMIFS(TblClusters[RAM initiale (Go)],TblClusters[Cluster],$I56)*$Q56/(SUMIFS(TblApplications[RAM Dynatrace (Go)],TblApplications[Cluster IKS source],$I56,TblApplications[Action],"À migrer")+SUMIFS(TblApplications[RAM Dynatrace (Go)],TblApplications[Cluster IKS source],$I56,TblApplications[Action],"À décommissionner")),0)))</f>
        <v/>
      </c>
      <c r="U56" s="61"/>
      <c r="V56" s="61"/>
      <c r="W56" s="61"/>
      <c r="X56" s="59"/>
      <c r="Y56" s="26" t="str">
        <f t="shared" si="1"/>
        <v/>
      </c>
      <c r="Z56" s="26" t="str">
        <f t="shared" si="2"/>
        <v/>
      </c>
      <c r="AA56" s="33" t="str">
        <f t="shared" si="3"/>
        <v/>
      </c>
      <c r="AB56" s="33" t="str">
        <f t="shared" si="4"/>
        <v/>
      </c>
      <c r="AC56" s="26" t="str">
        <f t="shared" si="5"/>
        <v/>
      </c>
      <c r="AD56" s="26" t="str">
        <f>IF($C56="","",COUNTIF(TblApplications[ID],$C56))</f>
        <v/>
      </c>
      <c r="AE56" s="33" t="str">
        <f>IF($C56="","",IFERROR(1/(1/_xlfn.MINIFS(TblApplications[Mois prov (calc)],TblApplications[ID],$C56)),""))</f>
        <v/>
      </c>
      <c r="AF56" s="33" t="str">
        <f>IF($C56="","",IFERROR(1/(1/_xlfn.MAXIFS(TblApplications[Mois lib (calc)],TblApplications[ID],$C56)),""))</f>
        <v/>
      </c>
      <c r="AG56" s="26" t="str">
        <f>IF($C56="","",IF(OR(OR($A56="",$B56="",$D56="",$E56="",$F56="",$G56=""),AND($G56="À migrer",OR($H56="",$I56="",$O56="",$U56="",$V56="",$W56="")),AND($G56="Migré",OR($O56="")),AND($G56="À décommissionner",OR($I56="",$W56=""))),"Données manquantes (selon l’action)",IF(AND($G56&lt;&gt;"Migré",$G56&lt;&gt;"À migrer",$G56&lt;&gt;"À décommissionner",$G56&lt;&gt;"Décommissionné"),"Action invalide",IF(COUNTIF(TblDomaines[Domaine],$A56)=0,"Domaine inconnu (référentiel)",IF(COUNTIFS(TblTribes[Tribe],$B56,TblTribes[Domaine de la tribe],$A56)=0,"Tribe inconnue ou hors domaine",IF(AND($G56="À migrer",$H56&lt;&gt;"Oui",$H56&lt;&gt;"Non"),"Valeur Oui/Non invalide (Déjà incluse ROKS)",IF(AND($E56&lt;&gt;"PRD",$E56&lt;&gt;"NPRD"),"Environnement invalide",IF(COUNTIFS(TblApplications[ID],$C56,TblApplications[Environnement],$E56,TblApplications[Couloir],$F56)&gt;1,"Déploiement en doublon (ID + env + couloir)",IF(AND(OR(OR($G56="À migrer",$G56="Migré"),OR($G56="À migrer",$G56="À décommissionner")),N($P56)&lt;=0),"Conso Dynatrace absente (onglet Dynatrace)",IF(OR(AND($P56&lt;&gt;"",NOT(ISNUMBER($P56))),AND($Q56&lt;&gt;"",NOT(ISNUMBER($Q56)))),"Ressource non numérique",IF(MIN(N($P56),N($Q56))&lt;0,"Ressource négative",IF(OR(AND($AH56&lt;&gt;"",OR(NOT(ISNUMBER($AH56)),$AH56&lt;0,$AH56&gt;1)),AND($AI56&lt;&gt;"",OR(NOT(ISNUMBER($AI56)),$AI56&lt;0,$AI56&gt;1))),"Marge spécifique invalide (0–100 %)",IF(OR(AND($U56&lt;&gt;"",NOT(ISNUMBER($U56))),AND($V56&lt;&gt;"",NOT(ISNUMBER($V56))),AND($W56&lt;&gt;"",NOT(ISNUMBER($W56)))),"Mois invalide",IF(AND(OR($G56="À migrer",$G56="À décommissionner"),COUNTIFS(TblClusters[Cluster],$I56,TblClusters[Plateforme],"IKS")=0),"Cluster IKS inconnu",IF(AND(OR($G56="À migrer",$G56="Migré"),COUNTIFS(TblClusters[Cluster],$O56,TblClusters[Plateforme],"ROKS")=0),"Cluster ROKS inconnu",IF(AND(OR($G56="À migrer",$G56="À décommissionner"),COUNTIFS(TblClusters[Cluster],$I56,TblClusters[Environnement],$E56)=0),"Environnement ≠ cluster IKS",IF(AND(OR($G56="À migrer",$G56="Migré"),COUNTIFS(TblClusters[Cluster],$O56,TblClusters[Environnement],$E56)=0),"Environnement ≠ cluster ROKS",IF(AND($G56="À migrer",OR($U56&gt;$V56,$V56&gt;$W56)),"Dates incohérentes (prov ≤ bascule ≤ libération)",IF(AND(OR($G56="À migrer",$G56="À décommissionner"),OR(N($AO56)&gt;SUMIFS(TblClusters[CPU initial (vCPU)],TblClusters[Cluster],$I56),N($AP56)&gt;SUMIFS(TblClusters[RAM initiale (Go)],TblClusters[Cluster],$I56))),"Forçage &gt; capacité du cluster source",IF(OR(AND($AA56&lt;&gt;"",$AA56&lt;p_debut),AND($AB56&lt;&gt;"",$AB56&gt;p_fin)),"Hors horizon (info)",IF(AND($G56="À migrer",$E56="PRD",COUNTIFS(TblApplications[ID],$C56,TblApplications[Environnement],"NPRD",TblApplications[Action],"À migrer")&gt;0,$AA56&lt;_xlfn.MINIFS(TblApplications[Mois prov (calc)],TblApplications[ID],$C56,TblApplications[Environnement],"NPRD")),"PRD avant NPRD (info)","OK")))))))))))))))))))))</f>
        <v/>
      </c>
      <c r="AH56" s="62"/>
      <c r="AI56" s="62"/>
      <c r="AJ56" s="27" t="str">
        <f>IF(OR($C56="",NOT(OR($G56="À migrer",$G56="À décommissionner")),NOT(ISNUMBER($S56)),NOT(ISNUMBER($T56)),$AB56=""),"",($S56+p_poidsram*$T56)*SUMIFS(TblCalculs[Coût par unité],TblCalculs[Cluster],$I56,TblCalculs[Mois],"&lt;"&amp;$AB56))</f>
        <v/>
      </c>
      <c r="AK56" s="27" t="str">
        <f>IF($C56="","",IF(AND($G56="À migrer",$H56="Non",$Y56&lt;&gt;"",$AA56&lt;&gt;""),($Y56+p_poidsram*$Z56)*SUMIFS(TblCalculs[Coût par unité],TblCalculs[Cluster],$O56,TblCalculs[Mois],"&gt;="&amp;$AA56),IF(AND($G56="Migré",$Y56&lt;&gt;""),($Y56+p_poidsram*$Z56)*SUMIFS(TblCalculs[Coût par unité],TblCalculs[Cluster],$O56),"")))</f>
        <v/>
      </c>
      <c r="AL56" s="27" t="str">
        <f t="shared" si="6"/>
        <v/>
      </c>
      <c r="AM56" s="26" t="str">
        <f t="shared" si="7"/>
        <v/>
      </c>
      <c r="AN56" s="26" t="str">
        <f>IF(OR($C56="",$AM56&lt;&gt;1,COUNTIFS($E56,ex_envc,$A56,ex_domc,$B56,ex_tric)=0),"",COUNTIFS($AM$6:$AM56,1,$E$6:$E56,ex_envc,$A$6:$A56,ex_domc,$B$6:$B56,ex_tric))</f>
        <v/>
      </c>
      <c r="AO56" s="63"/>
      <c r="AP56" s="63"/>
      <c r="AQ56" s="63"/>
      <c r="AR56" s="63"/>
    </row>
    <row r="57" spans="1:44" x14ac:dyDescent="0.2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26" t="str">
        <f t="shared" si="0"/>
        <v/>
      </c>
      <c r="O57" s="59"/>
      <c r="P57" s="60" t="str">
        <f>IF($C57="","",IF($AQ57&lt;&gt;"",$AQ57,SUMIFS(TblDynatrace[CPU P95 (vCPU)],TblDynatrace[ID],$C57,TblDynatrace[Environnement],$E57,TblDynatrace[Couloir],$F57)))</f>
        <v/>
      </c>
      <c r="Q57" s="60" t="str">
        <f>IF($C57="","",IF($AR57&lt;&gt;"",$AR57,SUMIFS(TblDynatrace[RAM P95 (Go)],TblDynatrace[ID],$C57,TblDynatrace[Environnement],$E57,TblDynatrace[Couloir],$F57)))</f>
        <v/>
      </c>
      <c r="R57" s="26" t="str">
        <f>IF($C57="","",IFERROR(INDEX(TblDynatrace[Métrique / période],MATCH($C57&amp;"|"&amp;$E57&amp;"|"&amp;$F57,TblDynatrace[Clé],0)),""))</f>
        <v/>
      </c>
      <c r="S57" s="60" t="str">
        <f>IF(OR($C57="",NOT(OR($G57="À migrer",$G57="À décommissionner")),$I57="",NOT(ISNUMBER($P57))),"",IF($AO57&lt;&gt;"",$AO57,IFERROR(SUMIFS(TblClusters[CPU initial (vCPU)],TblClusters[Cluster],$I57)*$P57/(SUMIFS(TblApplications[CPU Dynatrace (vCPU)],TblApplications[Cluster IKS source],$I57,TblApplications[Action],"À migrer")+SUMIFS(TblApplications[CPU Dynatrace (vCPU)],TblApplications[Cluster IKS source],$I57,TblApplications[Action],"À décommissionner")),0)))</f>
        <v/>
      </c>
      <c r="T57" s="60" t="str">
        <f>IF(OR($C57="",NOT(OR($G57="À migrer",$G57="À décommissionner")),$I57="",NOT(ISNUMBER($Q57))),"",IF($AP57&lt;&gt;"",$AP57,IFERROR(SUMIFS(TblClusters[RAM initiale (Go)],TblClusters[Cluster],$I57)*$Q57/(SUMIFS(TblApplications[RAM Dynatrace (Go)],TblApplications[Cluster IKS source],$I57,TblApplications[Action],"À migrer")+SUMIFS(TblApplications[RAM Dynatrace (Go)],TblApplications[Cluster IKS source],$I57,TblApplications[Action],"À décommissionner")),0)))</f>
        <v/>
      </c>
      <c r="U57" s="61"/>
      <c r="V57" s="61"/>
      <c r="W57" s="61"/>
      <c r="X57" s="59"/>
      <c r="Y57" s="26" t="str">
        <f t="shared" si="1"/>
        <v/>
      </c>
      <c r="Z57" s="26" t="str">
        <f t="shared" si="2"/>
        <v/>
      </c>
      <c r="AA57" s="33" t="str">
        <f t="shared" si="3"/>
        <v/>
      </c>
      <c r="AB57" s="33" t="str">
        <f t="shared" si="4"/>
        <v/>
      </c>
      <c r="AC57" s="26" t="str">
        <f t="shared" si="5"/>
        <v/>
      </c>
      <c r="AD57" s="26" t="str">
        <f>IF($C57="","",COUNTIF(TblApplications[ID],$C57))</f>
        <v/>
      </c>
      <c r="AE57" s="33" t="str">
        <f>IF($C57="","",IFERROR(1/(1/_xlfn.MINIFS(TblApplications[Mois prov (calc)],TblApplications[ID],$C57)),""))</f>
        <v/>
      </c>
      <c r="AF57" s="33" t="str">
        <f>IF($C57="","",IFERROR(1/(1/_xlfn.MAXIFS(TblApplications[Mois lib (calc)],TblApplications[ID],$C57)),""))</f>
        <v/>
      </c>
      <c r="AG57" s="26" t="str">
        <f>IF($C57="","",IF(OR(OR($A57="",$B57="",$D57="",$E57="",$F57="",$G57=""),AND($G57="À migrer",OR($H57="",$I57="",$O57="",$U57="",$V57="",$W57="")),AND($G57="Migré",OR($O57="")),AND($G57="À décommissionner",OR($I57="",$W57=""))),"Données manquantes (selon l’action)",IF(AND($G57&lt;&gt;"Migré",$G57&lt;&gt;"À migrer",$G57&lt;&gt;"À décommissionner",$G57&lt;&gt;"Décommissionné"),"Action invalide",IF(COUNTIF(TblDomaines[Domaine],$A57)=0,"Domaine inconnu (référentiel)",IF(COUNTIFS(TblTribes[Tribe],$B57,TblTribes[Domaine de la tribe],$A57)=0,"Tribe inconnue ou hors domaine",IF(AND($G57="À migrer",$H57&lt;&gt;"Oui",$H57&lt;&gt;"Non"),"Valeur Oui/Non invalide (Déjà incluse ROKS)",IF(AND($E57&lt;&gt;"PRD",$E57&lt;&gt;"NPRD"),"Environnement invalide",IF(COUNTIFS(TblApplications[ID],$C57,TblApplications[Environnement],$E57,TblApplications[Couloir],$F57)&gt;1,"Déploiement en doublon (ID + env + couloir)",IF(AND(OR(OR($G57="À migrer",$G57="Migré"),OR($G57="À migrer",$G57="À décommissionner")),N($P57)&lt;=0),"Conso Dynatrace absente (onglet Dynatrace)",IF(OR(AND($P57&lt;&gt;"",NOT(ISNUMBER($P57))),AND($Q57&lt;&gt;"",NOT(ISNUMBER($Q57)))),"Ressource non numérique",IF(MIN(N($P57),N($Q57))&lt;0,"Ressource négative",IF(OR(AND($AH57&lt;&gt;"",OR(NOT(ISNUMBER($AH57)),$AH57&lt;0,$AH57&gt;1)),AND($AI57&lt;&gt;"",OR(NOT(ISNUMBER($AI57)),$AI57&lt;0,$AI57&gt;1))),"Marge spécifique invalide (0–100 %)",IF(OR(AND($U57&lt;&gt;"",NOT(ISNUMBER($U57))),AND($V57&lt;&gt;"",NOT(ISNUMBER($V57))),AND($W57&lt;&gt;"",NOT(ISNUMBER($W57)))),"Mois invalide",IF(AND(OR($G57="À migrer",$G57="À décommissionner"),COUNTIFS(TblClusters[Cluster],$I57,TblClusters[Plateforme],"IKS")=0),"Cluster IKS inconnu",IF(AND(OR($G57="À migrer",$G57="Migré"),COUNTIFS(TblClusters[Cluster],$O57,TblClusters[Plateforme],"ROKS")=0),"Cluster ROKS inconnu",IF(AND(OR($G57="À migrer",$G57="À décommissionner"),COUNTIFS(TblClusters[Cluster],$I57,TblClusters[Environnement],$E57)=0),"Environnement ≠ cluster IKS",IF(AND(OR($G57="À migrer",$G57="Migré"),COUNTIFS(TblClusters[Cluster],$O57,TblClusters[Environnement],$E57)=0),"Environnement ≠ cluster ROKS",IF(AND($G57="À migrer",OR($U57&gt;$V57,$V57&gt;$W57)),"Dates incohérentes (prov ≤ bascule ≤ libération)",IF(AND(OR($G57="À migrer",$G57="À décommissionner"),OR(N($AO57)&gt;SUMIFS(TblClusters[CPU initial (vCPU)],TblClusters[Cluster],$I57),N($AP57)&gt;SUMIFS(TblClusters[RAM initiale (Go)],TblClusters[Cluster],$I57))),"Forçage &gt; capacité du cluster source",IF(OR(AND($AA57&lt;&gt;"",$AA57&lt;p_debut),AND($AB57&lt;&gt;"",$AB57&gt;p_fin)),"Hors horizon (info)",IF(AND($G57="À migrer",$E57="PRD",COUNTIFS(TblApplications[ID],$C57,TblApplications[Environnement],"NPRD",TblApplications[Action],"À migrer")&gt;0,$AA57&lt;_xlfn.MINIFS(TblApplications[Mois prov (calc)],TblApplications[ID],$C57,TblApplications[Environnement],"NPRD")),"PRD avant NPRD (info)","OK")))))))))))))))))))))</f>
        <v/>
      </c>
      <c r="AH57" s="62"/>
      <c r="AI57" s="62"/>
      <c r="AJ57" s="27" t="str">
        <f>IF(OR($C57="",NOT(OR($G57="À migrer",$G57="À décommissionner")),NOT(ISNUMBER($S57)),NOT(ISNUMBER($T57)),$AB57=""),"",($S57+p_poidsram*$T57)*SUMIFS(TblCalculs[Coût par unité],TblCalculs[Cluster],$I57,TblCalculs[Mois],"&lt;"&amp;$AB57))</f>
        <v/>
      </c>
      <c r="AK57" s="27" t="str">
        <f>IF($C57="","",IF(AND($G57="À migrer",$H57="Non",$Y57&lt;&gt;"",$AA57&lt;&gt;""),($Y57+p_poidsram*$Z57)*SUMIFS(TblCalculs[Coût par unité],TblCalculs[Cluster],$O57,TblCalculs[Mois],"&gt;="&amp;$AA57),IF(AND($G57="Migré",$Y57&lt;&gt;""),($Y57+p_poidsram*$Z57)*SUMIFS(TblCalculs[Coût par unité],TblCalculs[Cluster],$O57),"")))</f>
        <v/>
      </c>
      <c r="AL57" s="27" t="str">
        <f t="shared" si="6"/>
        <v/>
      </c>
      <c r="AM57" s="26" t="str">
        <f t="shared" si="7"/>
        <v/>
      </c>
      <c r="AN57" s="26" t="str">
        <f>IF(OR($C57="",$AM57&lt;&gt;1,COUNTIFS($E57,ex_envc,$A57,ex_domc,$B57,ex_tric)=0),"",COUNTIFS($AM$6:$AM57,1,$E$6:$E57,ex_envc,$A$6:$A57,ex_domc,$B$6:$B57,ex_tric))</f>
        <v/>
      </c>
      <c r="AO57" s="63"/>
      <c r="AP57" s="63"/>
      <c r="AQ57" s="63"/>
      <c r="AR57" s="63"/>
    </row>
    <row r="58" spans="1:44" x14ac:dyDescent="0.2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26" t="str">
        <f t="shared" si="0"/>
        <v/>
      </c>
      <c r="O58" s="59"/>
      <c r="P58" s="60" t="str">
        <f>IF($C58="","",IF($AQ58&lt;&gt;"",$AQ58,SUMIFS(TblDynatrace[CPU P95 (vCPU)],TblDynatrace[ID],$C58,TblDynatrace[Environnement],$E58,TblDynatrace[Couloir],$F58)))</f>
        <v/>
      </c>
      <c r="Q58" s="60" t="str">
        <f>IF($C58="","",IF($AR58&lt;&gt;"",$AR58,SUMIFS(TblDynatrace[RAM P95 (Go)],TblDynatrace[ID],$C58,TblDynatrace[Environnement],$E58,TblDynatrace[Couloir],$F58)))</f>
        <v/>
      </c>
      <c r="R58" s="26" t="str">
        <f>IF($C58="","",IFERROR(INDEX(TblDynatrace[Métrique / période],MATCH($C58&amp;"|"&amp;$E58&amp;"|"&amp;$F58,TblDynatrace[Clé],0)),""))</f>
        <v/>
      </c>
      <c r="S58" s="60" t="str">
        <f>IF(OR($C58="",NOT(OR($G58="À migrer",$G58="À décommissionner")),$I58="",NOT(ISNUMBER($P58))),"",IF($AO58&lt;&gt;"",$AO58,IFERROR(SUMIFS(TblClusters[CPU initial (vCPU)],TblClusters[Cluster],$I58)*$P58/(SUMIFS(TblApplications[CPU Dynatrace (vCPU)],TblApplications[Cluster IKS source],$I58,TblApplications[Action],"À migrer")+SUMIFS(TblApplications[CPU Dynatrace (vCPU)],TblApplications[Cluster IKS source],$I58,TblApplications[Action],"À décommissionner")),0)))</f>
        <v/>
      </c>
      <c r="T58" s="60" t="str">
        <f>IF(OR($C58="",NOT(OR($G58="À migrer",$G58="À décommissionner")),$I58="",NOT(ISNUMBER($Q58))),"",IF($AP58&lt;&gt;"",$AP58,IFERROR(SUMIFS(TblClusters[RAM initiale (Go)],TblClusters[Cluster],$I58)*$Q58/(SUMIFS(TblApplications[RAM Dynatrace (Go)],TblApplications[Cluster IKS source],$I58,TblApplications[Action],"À migrer")+SUMIFS(TblApplications[RAM Dynatrace (Go)],TblApplications[Cluster IKS source],$I58,TblApplications[Action],"À décommissionner")),0)))</f>
        <v/>
      </c>
      <c r="U58" s="61"/>
      <c r="V58" s="61"/>
      <c r="W58" s="61"/>
      <c r="X58" s="59"/>
      <c r="Y58" s="26" t="str">
        <f t="shared" si="1"/>
        <v/>
      </c>
      <c r="Z58" s="26" t="str">
        <f t="shared" si="2"/>
        <v/>
      </c>
      <c r="AA58" s="33" t="str">
        <f t="shared" si="3"/>
        <v/>
      </c>
      <c r="AB58" s="33" t="str">
        <f t="shared" si="4"/>
        <v/>
      </c>
      <c r="AC58" s="26" t="str">
        <f t="shared" si="5"/>
        <v/>
      </c>
      <c r="AD58" s="26" t="str">
        <f>IF($C58="","",COUNTIF(TblApplications[ID],$C58))</f>
        <v/>
      </c>
      <c r="AE58" s="33" t="str">
        <f>IF($C58="","",IFERROR(1/(1/_xlfn.MINIFS(TblApplications[Mois prov (calc)],TblApplications[ID],$C58)),""))</f>
        <v/>
      </c>
      <c r="AF58" s="33" t="str">
        <f>IF($C58="","",IFERROR(1/(1/_xlfn.MAXIFS(TblApplications[Mois lib (calc)],TblApplications[ID],$C58)),""))</f>
        <v/>
      </c>
      <c r="AG58" s="26" t="str">
        <f>IF($C58="","",IF(OR(OR($A58="",$B58="",$D58="",$E58="",$F58="",$G58=""),AND($G58="À migrer",OR($H58="",$I58="",$O58="",$U58="",$V58="",$W58="")),AND($G58="Migré",OR($O58="")),AND($G58="À décommissionner",OR($I58="",$W58=""))),"Données manquantes (selon l’action)",IF(AND($G58&lt;&gt;"Migré",$G58&lt;&gt;"À migrer",$G58&lt;&gt;"À décommissionner",$G58&lt;&gt;"Décommissionné"),"Action invalide",IF(COUNTIF(TblDomaines[Domaine],$A58)=0,"Domaine inconnu (référentiel)",IF(COUNTIFS(TblTribes[Tribe],$B58,TblTribes[Domaine de la tribe],$A58)=0,"Tribe inconnue ou hors domaine",IF(AND($G58="À migrer",$H58&lt;&gt;"Oui",$H58&lt;&gt;"Non"),"Valeur Oui/Non invalide (Déjà incluse ROKS)",IF(AND($E58&lt;&gt;"PRD",$E58&lt;&gt;"NPRD"),"Environnement invalide",IF(COUNTIFS(TblApplications[ID],$C58,TblApplications[Environnement],$E58,TblApplications[Couloir],$F58)&gt;1,"Déploiement en doublon (ID + env + couloir)",IF(AND(OR(OR($G58="À migrer",$G58="Migré"),OR($G58="À migrer",$G58="À décommissionner")),N($P58)&lt;=0),"Conso Dynatrace absente (onglet Dynatrace)",IF(OR(AND($P58&lt;&gt;"",NOT(ISNUMBER($P58))),AND($Q58&lt;&gt;"",NOT(ISNUMBER($Q58)))),"Ressource non numérique",IF(MIN(N($P58),N($Q58))&lt;0,"Ressource négative",IF(OR(AND($AH58&lt;&gt;"",OR(NOT(ISNUMBER($AH58)),$AH58&lt;0,$AH58&gt;1)),AND($AI58&lt;&gt;"",OR(NOT(ISNUMBER($AI58)),$AI58&lt;0,$AI58&gt;1))),"Marge spécifique invalide (0–100 %)",IF(OR(AND($U58&lt;&gt;"",NOT(ISNUMBER($U58))),AND($V58&lt;&gt;"",NOT(ISNUMBER($V58))),AND($W58&lt;&gt;"",NOT(ISNUMBER($W58)))),"Mois invalide",IF(AND(OR($G58="À migrer",$G58="À décommissionner"),COUNTIFS(TblClusters[Cluster],$I58,TblClusters[Plateforme],"IKS")=0),"Cluster IKS inconnu",IF(AND(OR($G58="À migrer",$G58="Migré"),COUNTIFS(TblClusters[Cluster],$O58,TblClusters[Plateforme],"ROKS")=0),"Cluster ROKS inconnu",IF(AND(OR($G58="À migrer",$G58="À décommissionner"),COUNTIFS(TblClusters[Cluster],$I58,TblClusters[Environnement],$E58)=0),"Environnement ≠ cluster IKS",IF(AND(OR($G58="À migrer",$G58="Migré"),COUNTIFS(TblClusters[Cluster],$O58,TblClusters[Environnement],$E58)=0),"Environnement ≠ cluster ROKS",IF(AND($G58="À migrer",OR($U58&gt;$V58,$V58&gt;$W58)),"Dates incohérentes (prov ≤ bascule ≤ libération)",IF(AND(OR($G58="À migrer",$G58="À décommissionner"),OR(N($AO58)&gt;SUMIFS(TblClusters[CPU initial (vCPU)],TblClusters[Cluster],$I58),N($AP58)&gt;SUMIFS(TblClusters[RAM initiale (Go)],TblClusters[Cluster],$I58))),"Forçage &gt; capacité du cluster source",IF(OR(AND($AA58&lt;&gt;"",$AA58&lt;p_debut),AND($AB58&lt;&gt;"",$AB58&gt;p_fin)),"Hors horizon (info)",IF(AND($G58="À migrer",$E58="PRD",COUNTIFS(TblApplications[ID],$C58,TblApplications[Environnement],"NPRD",TblApplications[Action],"À migrer")&gt;0,$AA58&lt;_xlfn.MINIFS(TblApplications[Mois prov (calc)],TblApplications[ID],$C58,TblApplications[Environnement],"NPRD")),"PRD avant NPRD (info)","OK")))))))))))))))))))))</f>
        <v/>
      </c>
      <c r="AH58" s="62"/>
      <c r="AI58" s="62"/>
      <c r="AJ58" s="27" t="str">
        <f>IF(OR($C58="",NOT(OR($G58="À migrer",$G58="À décommissionner")),NOT(ISNUMBER($S58)),NOT(ISNUMBER($T58)),$AB58=""),"",($S58+p_poidsram*$T58)*SUMIFS(TblCalculs[Coût par unité],TblCalculs[Cluster],$I58,TblCalculs[Mois],"&lt;"&amp;$AB58))</f>
        <v/>
      </c>
      <c r="AK58" s="27" t="str">
        <f>IF($C58="","",IF(AND($G58="À migrer",$H58="Non",$Y58&lt;&gt;"",$AA58&lt;&gt;""),($Y58+p_poidsram*$Z58)*SUMIFS(TblCalculs[Coût par unité],TblCalculs[Cluster],$O58,TblCalculs[Mois],"&gt;="&amp;$AA58),IF(AND($G58="Migré",$Y58&lt;&gt;""),($Y58+p_poidsram*$Z58)*SUMIFS(TblCalculs[Coût par unité],TblCalculs[Cluster],$O58),"")))</f>
        <v/>
      </c>
      <c r="AL58" s="27" t="str">
        <f t="shared" si="6"/>
        <v/>
      </c>
      <c r="AM58" s="26" t="str">
        <f t="shared" si="7"/>
        <v/>
      </c>
      <c r="AN58" s="26" t="str">
        <f>IF(OR($C58="",$AM58&lt;&gt;1,COUNTIFS($E58,ex_envc,$A58,ex_domc,$B58,ex_tric)=0),"",COUNTIFS($AM$6:$AM58,1,$E$6:$E58,ex_envc,$A$6:$A58,ex_domc,$B$6:$B58,ex_tric))</f>
        <v/>
      </c>
      <c r="AO58" s="63"/>
      <c r="AP58" s="63"/>
      <c r="AQ58" s="63"/>
      <c r="AR58" s="63"/>
    </row>
    <row r="59" spans="1:44" x14ac:dyDescent="0.2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26" t="str">
        <f t="shared" si="0"/>
        <v/>
      </c>
      <c r="O59" s="59"/>
      <c r="P59" s="60" t="str">
        <f>IF($C59="","",IF($AQ59&lt;&gt;"",$AQ59,SUMIFS(TblDynatrace[CPU P95 (vCPU)],TblDynatrace[ID],$C59,TblDynatrace[Environnement],$E59,TblDynatrace[Couloir],$F59)))</f>
        <v/>
      </c>
      <c r="Q59" s="60" t="str">
        <f>IF($C59="","",IF($AR59&lt;&gt;"",$AR59,SUMIFS(TblDynatrace[RAM P95 (Go)],TblDynatrace[ID],$C59,TblDynatrace[Environnement],$E59,TblDynatrace[Couloir],$F59)))</f>
        <v/>
      </c>
      <c r="R59" s="26" t="str">
        <f>IF($C59="","",IFERROR(INDEX(TblDynatrace[Métrique / période],MATCH($C59&amp;"|"&amp;$E59&amp;"|"&amp;$F59,TblDynatrace[Clé],0)),""))</f>
        <v/>
      </c>
      <c r="S59" s="60" t="str">
        <f>IF(OR($C59="",NOT(OR($G59="À migrer",$G59="À décommissionner")),$I59="",NOT(ISNUMBER($P59))),"",IF($AO59&lt;&gt;"",$AO59,IFERROR(SUMIFS(TblClusters[CPU initial (vCPU)],TblClusters[Cluster],$I59)*$P59/(SUMIFS(TblApplications[CPU Dynatrace (vCPU)],TblApplications[Cluster IKS source],$I59,TblApplications[Action],"À migrer")+SUMIFS(TblApplications[CPU Dynatrace (vCPU)],TblApplications[Cluster IKS source],$I59,TblApplications[Action],"À décommissionner")),0)))</f>
        <v/>
      </c>
      <c r="T59" s="60" t="str">
        <f>IF(OR($C59="",NOT(OR($G59="À migrer",$G59="À décommissionner")),$I59="",NOT(ISNUMBER($Q59))),"",IF($AP59&lt;&gt;"",$AP59,IFERROR(SUMIFS(TblClusters[RAM initiale (Go)],TblClusters[Cluster],$I59)*$Q59/(SUMIFS(TblApplications[RAM Dynatrace (Go)],TblApplications[Cluster IKS source],$I59,TblApplications[Action],"À migrer")+SUMIFS(TblApplications[RAM Dynatrace (Go)],TblApplications[Cluster IKS source],$I59,TblApplications[Action],"À décommissionner")),0)))</f>
        <v/>
      </c>
      <c r="U59" s="61"/>
      <c r="V59" s="61"/>
      <c r="W59" s="61"/>
      <c r="X59" s="59"/>
      <c r="Y59" s="26" t="str">
        <f t="shared" si="1"/>
        <v/>
      </c>
      <c r="Z59" s="26" t="str">
        <f t="shared" si="2"/>
        <v/>
      </c>
      <c r="AA59" s="33" t="str">
        <f t="shared" si="3"/>
        <v/>
      </c>
      <c r="AB59" s="33" t="str">
        <f t="shared" si="4"/>
        <v/>
      </c>
      <c r="AC59" s="26" t="str">
        <f t="shared" si="5"/>
        <v/>
      </c>
      <c r="AD59" s="26" t="str">
        <f>IF($C59="","",COUNTIF(TblApplications[ID],$C59))</f>
        <v/>
      </c>
      <c r="AE59" s="33" t="str">
        <f>IF($C59="","",IFERROR(1/(1/_xlfn.MINIFS(TblApplications[Mois prov (calc)],TblApplications[ID],$C59)),""))</f>
        <v/>
      </c>
      <c r="AF59" s="33" t="str">
        <f>IF($C59="","",IFERROR(1/(1/_xlfn.MAXIFS(TblApplications[Mois lib (calc)],TblApplications[ID],$C59)),""))</f>
        <v/>
      </c>
      <c r="AG59" s="26" t="str">
        <f>IF($C59="","",IF(OR(OR($A59="",$B59="",$D59="",$E59="",$F59="",$G59=""),AND($G59="À migrer",OR($H59="",$I59="",$O59="",$U59="",$V59="",$W59="")),AND($G59="Migré",OR($O59="")),AND($G59="À décommissionner",OR($I59="",$W59=""))),"Données manquantes (selon l’action)",IF(AND($G59&lt;&gt;"Migré",$G59&lt;&gt;"À migrer",$G59&lt;&gt;"À décommissionner",$G59&lt;&gt;"Décommissionné"),"Action invalide",IF(COUNTIF(TblDomaines[Domaine],$A59)=0,"Domaine inconnu (référentiel)",IF(COUNTIFS(TblTribes[Tribe],$B59,TblTribes[Domaine de la tribe],$A59)=0,"Tribe inconnue ou hors domaine",IF(AND($G59="À migrer",$H59&lt;&gt;"Oui",$H59&lt;&gt;"Non"),"Valeur Oui/Non invalide (Déjà incluse ROKS)",IF(AND($E59&lt;&gt;"PRD",$E59&lt;&gt;"NPRD"),"Environnement invalide",IF(COUNTIFS(TblApplications[ID],$C59,TblApplications[Environnement],$E59,TblApplications[Couloir],$F59)&gt;1,"Déploiement en doublon (ID + env + couloir)",IF(AND(OR(OR($G59="À migrer",$G59="Migré"),OR($G59="À migrer",$G59="À décommissionner")),N($P59)&lt;=0),"Conso Dynatrace absente (onglet Dynatrace)",IF(OR(AND($P59&lt;&gt;"",NOT(ISNUMBER($P59))),AND($Q59&lt;&gt;"",NOT(ISNUMBER($Q59)))),"Ressource non numérique",IF(MIN(N($P59),N($Q59))&lt;0,"Ressource négative",IF(OR(AND($AH59&lt;&gt;"",OR(NOT(ISNUMBER($AH59)),$AH59&lt;0,$AH59&gt;1)),AND($AI59&lt;&gt;"",OR(NOT(ISNUMBER($AI59)),$AI59&lt;0,$AI59&gt;1))),"Marge spécifique invalide (0–100 %)",IF(OR(AND($U59&lt;&gt;"",NOT(ISNUMBER($U59))),AND($V59&lt;&gt;"",NOT(ISNUMBER($V59))),AND($W59&lt;&gt;"",NOT(ISNUMBER($W59)))),"Mois invalide",IF(AND(OR($G59="À migrer",$G59="À décommissionner"),COUNTIFS(TblClusters[Cluster],$I59,TblClusters[Plateforme],"IKS")=0),"Cluster IKS inconnu",IF(AND(OR($G59="À migrer",$G59="Migré"),COUNTIFS(TblClusters[Cluster],$O59,TblClusters[Plateforme],"ROKS")=0),"Cluster ROKS inconnu",IF(AND(OR($G59="À migrer",$G59="À décommissionner"),COUNTIFS(TblClusters[Cluster],$I59,TblClusters[Environnement],$E59)=0),"Environnement ≠ cluster IKS",IF(AND(OR($G59="À migrer",$G59="Migré"),COUNTIFS(TblClusters[Cluster],$O59,TblClusters[Environnement],$E59)=0),"Environnement ≠ cluster ROKS",IF(AND($G59="À migrer",OR($U59&gt;$V59,$V59&gt;$W59)),"Dates incohérentes (prov ≤ bascule ≤ libération)",IF(AND(OR($G59="À migrer",$G59="À décommissionner"),OR(N($AO59)&gt;SUMIFS(TblClusters[CPU initial (vCPU)],TblClusters[Cluster],$I59),N($AP59)&gt;SUMIFS(TblClusters[RAM initiale (Go)],TblClusters[Cluster],$I59))),"Forçage &gt; capacité du cluster source",IF(OR(AND($AA59&lt;&gt;"",$AA59&lt;p_debut),AND($AB59&lt;&gt;"",$AB59&gt;p_fin)),"Hors horizon (info)",IF(AND($G59="À migrer",$E59="PRD",COUNTIFS(TblApplications[ID],$C59,TblApplications[Environnement],"NPRD",TblApplications[Action],"À migrer")&gt;0,$AA59&lt;_xlfn.MINIFS(TblApplications[Mois prov (calc)],TblApplications[ID],$C59,TblApplications[Environnement],"NPRD")),"PRD avant NPRD (info)","OK")))))))))))))))))))))</f>
        <v/>
      </c>
      <c r="AH59" s="62"/>
      <c r="AI59" s="62"/>
      <c r="AJ59" s="27" t="str">
        <f>IF(OR($C59="",NOT(OR($G59="À migrer",$G59="À décommissionner")),NOT(ISNUMBER($S59)),NOT(ISNUMBER($T59)),$AB59=""),"",($S59+p_poidsram*$T59)*SUMIFS(TblCalculs[Coût par unité],TblCalculs[Cluster],$I59,TblCalculs[Mois],"&lt;"&amp;$AB59))</f>
        <v/>
      </c>
      <c r="AK59" s="27" t="str">
        <f>IF($C59="","",IF(AND($G59="À migrer",$H59="Non",$Y59&lt;&gt;"",$AA59&lt;&gt;""),($Y59+p_poidsram*$Z59)*SUMIFS(TblCalculs[Coût par unité],TblCalculs[Cluster],$O59,TblCalculs[Mois],"&gt;="&amp;$AA59),IF(AND($G59="Migré",$Y59&lt;&gt;""),($Y59+p_poidsram*$Z59)*SUMIFS(TblCalculs[Coût par unité],TblCalculs[Cluster],$O59),"")))</f>
        <v/>
      </c>
      <c r="AL59" s="27" t="str">
        <f t="shared" si="6"/>
        <v/>
      </c>
      <c r="AM59" s="26" t="str">
        <f t="shared" si="7"/>
        <v/>
      </c>
      <c r="AN59" s="26" t="str">
        <f>IF(OR($C59="",$AM59&lt;&gt;1,COUNTIFS($E59,ex_envc,$A59,ex_domc,$B59,ex_tric)=0),"",COUNTIFS($AM$6:$AM59,1,$E$6:$E59,ex_envc,$A$6:$A59,ex_domc,$B$6:$B59,ex_tric))</f>
        <v/>
      </c>
      <c r="AO59" s="63"/>
      <c r="AP59" s="63"/>
      <c r="AQ59" s="63"/>
      <c r="AR59" s="63"/>
    </row>
    <row r="60" spans="1:44" x14ac:dyDescent="0.2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26" t="str">
        <f t="shared" si="0"/>
        <v/>
      </c>
      <c r="O60" s="59"/>
      <c r="P60" s="60" t="str">
        <f>IF($C60="","",IF($AQ60&lt;&gt;"",$AQ60,SUMIFS(TblDynatrace[CPU P95 (vCPU)],TblDynatrace[ID],$C60,TblDynatrace[Environnement],$E60,TblDynatrace[Couloir],$F60)))</f>
        <v/>
      </c>
      <c r="Q60" s="60" t="str">
        <f>IF($C60="","",IF($AR60&lt;&gt;"",$AR60,SUMIFS(TblDynatrace[RAM P95 (Go)],TblDynatrace[ID],$C60,TblDynatrace[Environnement],$E60,TblDynatrace[Couloir],$F60)))</f>
        <v/>
      </c>
      <c r="R60" s="26" t="str">
        <f>IF($C60="","",IFERROR(INDEX(TblDynatrace[Métrique / période],MATCH($C60&amp;"|"&amp;$E60&amp;"|"&amp;$F60,TblDynatrace[Clé],0)),""))</f>
        <v/>
      </c>
      <c r="S60" s="60" t="str">
        <f>IF(OR($C60="",NOT(OR($G60="À migrer",$G60="À décommissionner")),$I60="",NOT(ISNUMBER($P60))),"",IF($AO60&lt;&gt;"",$AO60,IFERROR(SUMIFS(TblClusters[CPU initial (vCPU)],TblClusters[Cluster],$I60)*$P60/(SUMIFS(TblApplications[CPU Dynatrace (vCPU)],TblApplications[Cluster IKS source],$I60,TblApplications[Action],"À migrer")+SUMIFS(TblApplications[CPU Dynatrace (vCPU)],TblApplications[Cluster IKS source],$I60,TblApplications[Action],"À décommissionner")),0)))</f>
        <v/>
      </c>
      <c r="T60" s="60" t="str">
        <f>IF(OR($C60="",NOT(OR($G60="À migrer",$G60="À décommissionner")),$I60="",NOT(ISNUMBER($Q60))),"",IF($AP60&lt;&gt;"",$AP60,IFERROR(SUMIFS(TblClusters[RAM initiale (Go)],TblClusters[Cluster],$I60)*$Q60/(SUMIFS(TblApplications[RAM Dynatrace (Go)],TblApplications[Cluster IKS source],$I60,TblApplications[Action],"À migrer")+SUMIFS(TblApplications[RAM Dynatrace (Go)],TblApplications[Cluster IKS source],$I60,TblApplications[Action],"À décommissionner")),0)))</f>
        <v/>
      </c>
      <c r="U60" s="61"/>
      <c r="V60" s="61"/>
      <c r="W60" s="61"/>
      <c r="X60" s="59"/>
      <c r="Y60" s="26" t="str">
        <f t="shared" si="1"/>
        <v/>
      </c>
      <c r="Z60" s="26" t="str">
        <f t="shared" si="2"/>
        <v/>
      </c>
      <c r="AA60" s="33" t="str">
        <f t="shared" si="3"/>
        <v/>
      </c>
      <c r="AB60" s="33" t="str">
        <f t="shared" si="4"/>
        <v/>
      </c>
      <c r="AC60" s="26" t="str">
        <f t="shared" si="5"/>
        <v/>
      </c>
      <c r="AD60" s="26" t="str">
        <f>IF($C60="","",COUNTIF(TblApplications[ID],$C60))</f>
        <v/>
      </c>
      <c r="AE60" s="33" t="str">
        <f>IF($C60="","",IFERROR(1/(1/_xlfn.MINIFS(TblApplications[Mois prov (calc)],TblApplications[ID],$C60)),""))</f>
        <v/>
      </c>
      <c r="AF60" s="33" t="str">
        <f>IF($C60="","",IFERROR(1/(1/_xlfn.MAXIFS(TblApplications[Mois lib (calc)],TblApplications[ID],$C60)),""))</f>
        <v/>
      </c>
      <c r="AG60" s="26" t="str">
        <f>IF($C60="","",IF(OR(OR($A60="",$B60="",$D60="",$E60="",$F60="",$G60=""),AND($G60="À migrer",OR($H60="",$I60="",$O60="",$U60="",$V60="",$W60="")),AND($G60="Migré",OR($O60="")),AND($G60="À décommissionner",OR($I60="",$W60=""))),"Données manquantes (selon l’action)",IF(AND($G60&lt;&gt;"Migré",$G60&lt;&gt;"À migrer",$G60&lt;&gt;"À décommissionner",$G60&lt;&gt;"Décommissionné"),"Action invalide",IF(COUNTIF(TblDomaines[Domaine],$A60)=0,"Domaine inconnu (référentiel)",IF(COUNTIFS(TblTribes[Tribe],$B60,TblTribes[Domaine de la tribe],$A60)=0,"Tribe inconnue ou hors domaine",IF(AND($G60="À migrer",$H60&lt;&gt;"Oui",$H60&lt;&gt;"Non"),"Valeur Oui/Non invalide (Déjà incluse ROKS)",IF(AND($E60&lt;&gt;"PRD",$E60&lt;&gt;"NPRD"),"Environnement invalide",IF(COUNTIFS(TblApplications[ID],$C60,TblApplications[Environnement],$E60,TblApplications[Couloir],$F60)&gt;1,"Déploiement en doublon (ID + env + couloir)",IF(AND(OR(OR($G60="À migrer",$G60="Migré"),OR($G60="À migrer",$G60="À décommissionner")),N($P60)&lt;=0),"Conso Dynatrace absente (onglet Dynatrace)",IF(OR(AND($P60&lt;&gt;"",NOT(ISNUMBER($P60))),AND($Q60&lt;&gt;"",NOT(ISNUMBER($Q60)))),"Ressource non numérique",IF(MIN(N($P60),N($Q60))&lt;0,"Ressource négative",IF(OR(AND($AH60&lt;&gt;"",OR(NOT(ISNUMBER($AH60)),$AH60&lt;0,$AH60&gt;1)),AND($AI60&lt;&gt;"",OR(NOT(ISNUMBER($AI60)),$AI60&lt;0,$AI60&gt;1))),"Marge spécifique invalide (0–100 %)",IF(OR(AND($U60&lt;&gt;"",NOT(ISNUMBER($U60))),AND($V60&lt;&gt;"",NOT(ISNUMBER($V60))),AND($W60&lt;&gt;"",NOT(ISNUMBER($W60)))),"Mois invalide",IF(AND(OR($G60="À migrer",$G60="À décommissionner"),COUNTIFS(TblClusters[Cluster],$I60,TblClusters[Plateforme],"IKS")=0),"Cluster IKS inconnu",IF(AND(OR($G60="À migrer",$G60="Migré"),COUNTIFS(TblClusters[Cluster],$O60,TblClusters[Plateforme],"ROKS")=0),"Cluster ROKS inconnu",IF(AND(OR($G60="À migrer",$G60="À décommissionner"),COUNTIFS(TblClusters[Cluster],$I60,TblClusters[Environnement],$E60)=0),"Environnement ≠ cluster IKS",IF(AND(OR($G60="À migrer",$G60="Migré"),COUNTIFS(TblClusters[Cluster],$O60,TblClusters[Environnement],$E60)=0),"Environnement ≠ cluster ROKS",IF(AND($G60="À migrer",OR($U60&gt;$V60,$V60&gt;$W60)),"Dates incohérentes (prov ≤ bascule ≤ libération)",IF(AND(OR($G60="À migrer",$G60="À décommissionner"),OR(N($AO60)&gt;SUMIFS(TblClusters[CPU initial (vCPU)],TblClusters[Cluster],$I60),N($AP60)&gt;SUMIFS(TblClusters[RAM initiale (Go)],TblClusters[Cluster],$I60))),"Forçage &gt; capacité du cluster source",IF(OR(AND($AA60&lt;&gt;"",$AA60&lt;p_debut),AND($AB60&lt;&gt;"",$AB60&gt;p_fin)),"Hors horizon (info)",IF(AND($G60="À migrer",$E60="PRD",COUNTIFS(TblApplications[ID],$C60,TblApplications[Environnement],"NPRD",TblApplications[Action],"À migrer")&gt;0,$AA60&lt;_xlfn.MINIFS(TblApplications[Mois prov (calc)],TblApplications[ID],$C60,TblApplications[Environnement],"NPRD")),"PRD avant NPRD (info)","OK")))))))))))))))))))))</f>
        <v/>
      </c>
      <c r="AH60" s="62"/>
      <c r="AI60" s="62"/>
      <c r="AJ60" s="27" t="str">
        <f>IF(OR($C60="",NOT(OR($G60="À migrer",$G60="À décommissionner")),NOT(ISNUMBER($S60)),NOT(ISNUMBER($T60)),$AB60=""),"",($S60+p_poidsram*$T60)*SUMIFS(TblCalculs[Coût par unité],TblCalculs[Cluster],$I60,TblCalculs[Mois],"&lt;"&amp;$AB60))</f>
        <v/>
      </c>
      <c r="AK60" s="27" t="str">
        <f>IF($C60="","",IF(AND($G60="À migrer",$H60="Non",$Y60&lt;&gt;"",$AA60&lt;&gt;""),($Y60+p_poidsram*$Z60)*SUMIFS(TblCalculs[Coût par unité],TblCalculs[Cluster],$O60,TblCalculs[Mois],"&gt;="&amp;$AA60),IF(AND($G60="Migré",$Y60&lt;&gt;""),($Y60+p_poidsram*$Z60)*SUMIFS(TblCalculs[Coût par unité],TblCalculs[Cluster],$O60),"")))</f>
        <v/>
      </c>
      <c r="AL60" s="27" t="str">
        <f t="shared" si="6"/>
        <v/>
      </c>
      <c r="AM60" s="26" t="str">
        <f t="shared" si="7"/>
        <v/>
      </c>
      <c r="AN60" s="26" t="str">
        <f>IF(OR($C60="",$AM60&lt;&gt;1,COUNTIFS($E60,ex_envc,$A60,ex_domc,$B60,ex_tric)=0),"",COUNTIFS($AM$6:$AM60,1,$E$6:$E60,ex_envc,$A$6:$A60,ex_domc,$B$6:$B60,ex_tric))</f>
        <v/>
      </c>
      <c r="AO60" s="63"/>
      <c r="AP60" s="63"/>
      <c r="AQ60" s="63"/>
      <c r="AR60" s="63"/>
    </row>
    <row r="61" spans="1:44" x14ac:dyDescent="0.2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26" t="str">
        <f t="shared" si="0"/>
        <v/>
      </c>
      <c r="O61" s="59"/>
      <c r="P61" s="60" t="str">
        <f>IF($C61="","",IF($AQ61&lt;&gt;"",$AQ61,SUMIFS(TblDynatrace[CPU P95 (vCPU)],TblDynatrace[ID],$C61,TblDynatrace[Environnement],$E61,TblDynatrace[Couloir],$F61)))</f>
        <v/>
      </c>
      <c r="Q61" s="60" t="str">
        <f>IF($C61="","",IF($AR61&lt;&gt;"",$AR61,SUMIFS(TblDynatrace[RAM P95 (Go)],TblDynatrace[ID],$C61,TblDynatrace[Environnement],$E61,TblDynatrace[Couloir],$F61)))</f>
        <v/>
      </c>
      <c r="R61" s="26" t="str">
        <f>IF($C61="","",IFERROR(INDEX(TblDynatrace[Métrique / période],MATCH($C61&amp;"|"&amp;$E61&amp;"|"&amp;$F61,TblDynatrace[Clé],0)),""))</f>
        <v/>
      </c>
      <c r="S61" s="60" t="str">
        <f>IF(OR($C61="",NOT(OR($G61="À migrer",$G61="À décommissionner")),$I61="",NOT(ISNUMBER($P61))),"",IF($AO61&lt;&gt;"",$AO61,IFERROR(SUMIFS(TblClusters[CPU initial (vCPU)],TblClusters[Cluster],$I61)*$P61/(SUMIFS(TblApplications[CPU Dynatrace (vCPU)],TblApplications[Cluster IKS source],$I61,TblApplications[Action],"À migrer")+SUMIFS(TblApplications[CPU Dynatrace (vCPU)],TblApplications[Cluster IKS source],$I61,TblApplications[Action],"À décommissionner")),0)))</f>
        <v/>
      </c>
      <c r="T61" s="60" t="str">
        <f>IF(OR($C61="",NOT(OR($G61="À migrer",$G61="À décommissionner")),$I61="",NOT(ISNUMBER($Q61))),"",IF($AP61&lt;&gt;"",$AP61,IFERROR(SUMIFS(TblClusters[RAM initiale (Go)],TblClusters[Cluster],$I61)*$Q61/(SUMIFS(TblApplications[RAM Dynatrace (Go)],TblApplications[Cluster IKS source],$I61,TblApplications[Action],"À migrer")+SUMIFS(TblApplications[RAM Dynatrace (Go)],TblApplications[Cluster IKS source],$I61,TblApplications[Action],"À décommissionner")),0)))</f>
        <v/>
      </c>
      <c r="U61" s="61"/>
      <c r="V61" s="61"/>
      <c r="W61" s="61"/>
      <c r="X61" s="59"/>
      <c r="Y61" s="26" t="str">
        <f t="shared" si="1"/>
        <v/>
      </c>
      <c r="Z61" s="26" t="str">
        <f t="shared" si="2"/>
        <v/>
      </c>
      <c r="AA61" s="33" t="str">
        <f t="shared" si="3"/>
        <v/>
      </c>
      <c r="AB61" s="33" t="str">
        <f t="shared" si="4"/>
        <v/>
      </c>
      <c r="AC61" s="26" t="str">
        <f t="shared" si="5"/>
        <v/>
      </c>
      <c r="AD61" s="26" t="str">
        <f>IF($C61="","",COUNTIF(TblApplications[ID],$C61))</f>
        <v/>
      </c>
      <c r="AE61" s="33" t="str">
        <f>IF($C61="","",IFERROR(1/(1/_xlfn.MINIFS(TblApplications[Mois prov (calc)],TblApplications[ID],$C61)),""))</f>
        <v/>
      </c>
      <c r="AF61" s="33" t="str">
        <f>IF($C61="","",IFERROR(1/(1/_xlfn.MAXIFS(TblApplications[Mois lib (calc)],TblApplications[ID],$C61)),""))</f>
        <v/>
      </c>
      <c r="AG61" s="26" t="str">
        <f>IF($C61="","",IF(OR(OR($A61="",$B61="",$D61="",$E61="",$F61="",$G61=""),AND($G61="À migrer",OR($H61="",$I61="",$O61="",$U61="",$V61="",$W61="")),AND($G61="Migré",OR($O61="")),AND($G61="À décommissionner",OR($I61="",$W61=""))),"Données manquantes (selon l’action)",IF(AND($G61&lt;&gt;"Migré",$G61&lt;&gt;"À migrer",$G61&lt;&gt;"À décommissionner",$G61&lt;&gt;"Décommissionné"),"Action invalide",IF(COUNTIF(TblDomaines[Domaine],$A61)=0,"Domaine inconnu (référentiel)",IF(COUNTIFS(TblTribes[Tribe],$B61,TblTribes[Domaine de la tribe],$A61)=0,"Tribe inconnue ou hors domaine",IF(AND($G61="À migrer",$H61&lt;&gt;"Oui",$H61&lt;&gt;"Non"),"Valeur Oui/Non invalide (Déjà incluse ROKS)",IF(AND($E61&lt;&gt;"PRD",$E61&lt;&gt;"NPRD"),"Environnement invalide",IF(COUNTIFS(TblApplications[ID],$C61,TblApplications[Environnement],$E61,TblApplications[Couloir],$F61)&gt;1,"Déploiement en doublon (ID + env + couloir)",IF(AND(OR(OR($G61="À migrer",$G61="Migré"),OR($G61="À migrer",$G61="À décommissionner")),N($P61)&lt;=0),"Conso Dynatrace absente (onglet Dynatrace)",IF(OR(AND($P61&lt;&gt;"",NOT(ISNUMBER($P61))),AND($Q61&lt;&gt;"",NOT(ISNUMBER($Q61)))),"Ressource non numérique",IF(MIN(N($P61),N($Q61))&lt;0,"Ressource négative",IF(OR(AND($AH61&lt;&gt;"",OR(NOT(ISNUMBER($AH61)),$AH61&lt;0,$AH61&gt;1)),AND($AI61&lt;&gt;"",OR(NOT(ISNUMBER($AI61)),$AI61&lt;0,$AI61&gt;1))),"Marge spécifique invalide (0–100 %)",IF(OR(AND($U61&lt;&gt;"",NOT(ISNUMBER($U61))),AND($V61&lt;&gt;"",NOT(ISNUMBER($V61))),AND($W61&lt;&gt;"",NOT(ISNUMBER($W61)))),"Mois invalide",IF(AND(OR($G61="À migrer",$G61="À décommissionner"),COUNTIFS(TblClusters[Cluster],$I61,TblClusters[Plateforme],"IKS")=0),"Cluster IKS inconnu",IF(AND(OR($G61="À migrer",$G61="Migré"),COUNTIFS(TblClusters[Cluster],$O61,TblClusters[Plateforme],"ROKS")=0),"Cluster ROKS inconnu",IF(AND(OR($G61="À migrer",$G61="À décommissionner"),COUNTIFS(TblClusters[Cluster],$I61,TblClusters[Environnement],$E61)=0),"Environnement ≠ cluster IKS",IF(AND(OR($G61="À migrer",$G61="Migré"),COUNTIFS(TblClusters[Cluster],$O61,TblClusters[Environnement],$E61)=0),"Environnement ≠ cluster ROKS",IF(AND($G61="À migrer",OR($U61&gt;$V61,$V61&gt;$W61)),"Dates incohérentes (prov ≤ bascule ≤ libération)",IF(AND(OR($G61="À migrer",$G61="À décommissionner"),OR(N($AO61)&gt;SUMIFS(TblClusters[CPU initial (vCPU)],TblClusters[Cluster],$I61),N($AP61)&gt;SUMIFS(TblClusters[RAM initiale (Go)],TblClusters[Cluster],$I61))),"Forçage &gt; capacité du cluster source",IF(OR(AND($AA61&lt;&gt;"",$AA61&lt;p_debut),AND($AB61&lt;&gt;"",$AB61&gt;p_fin)),"Hors horizon (info)",IF(AND($G61="À migrer",$E61="PRD",COUNTIFS(TblApplications[ID],$C61,TblApplications[Environnement],"NPRD",TblApplications[Action],"À migrer")&gt;0,$AA61&lt;_xlfn.MINIFS(TblApplications[Mois prov (calc)],TblApplications[ID],$C61,TblApplications[Environnement],"NPRD")),"PRD avant NPRD (info)","OK")))))))))))))))))))))</f>
        <v/>
      </c>
      <c r="AH61" s="62"/>
      <c r="AI61" s="62"/>
      <c r="AJ61" s="27" t="str">
        <f>IF(OR($C61="",NOT(OR($G61="À migrer",$G61="À décommissionner")),NOT(ISNUMBER($S61)),NOT(ISNUMBER($T61)),$AB61=""),"",($S61+p_poidsram*$T61)*SUMIFS(TblCalculs[Coût par unité],TblCalculs[Cluster],$I61,TblCalculs[Mois],"&lt;"&amp;$AB61))</f>
        <v/>
      </c>
      <c r="AK61" s="27" t="str">
        <f>IF($C61="","",IF(AND($G61="À migrer",$H61="Non",$Y61&lt;&gt;"",$AA61&lt;&gt;""),($Y61+p_poidsram*$Z61)*SUMIFS(TblCalculs[Coût par unité],TblCalculs[Cluster],$O61,TblCalculs[Mois],"&gt;="&amp;$AA61),IF(AND($G61="Migré",$Y61&lt;&gt;""),($Y61+p_poidsram*$Z61)*SUMIFS(TblCalculs[Coût par unité],TblCalculs[Cluster],$O61),"")))</f>
        <v/>
      </c>
      <c r="AL61" s="27" t="str">
        <f t="shared" si="6"/>
        <v/>
      </c>
      <c r="AM61" s="26" t="str">
        <f t="shared" si="7"/>
        <v/>
      </c>
      <c r="AN61" s="26" t="str">
        <f>IF(OR($C61="",$AM61&lt;&gt;1,COUNTIFS($E61,ex_envc,$A61,ex_domc,$B61,ex_tric)=0),"",COUNTIFS($AM$6:$AM61,1,$E$6:$E61,ex_envc,$A$6:$A61,ex_domc,$B$6:$B61,ex_tric))</f>
        <v/>
      </c>
      <c r="AO61" s="63"/>
      <c r="AP61" s="63"/>
      <c r="AQ61" s="63"/>
      <c r="AR61" s="63"/>
    </row>
    <row r="62" spans="1:44" x14ac:dyDescent="0.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26" t="str">
        <f t="shared" si="0"/>
        <v/>
      </c>
      <c r="O62" s="59"/>
      <c r="P62" s="60" t="str">
        <f>IF($C62="","",IF($AQ62&lt;&gt;"",$AQ62,SUMIFS(TblDynatrace[CPU P95 (vCPU)],TblDynatrace[ID],$C62,TblDynatrace[Environnement],$E62,TblDynatrace[Couloir],$F62)))</f>
        <v/>
      </c>
      <c r="Q62" s="60" t="str">
        <f>IF($C62="","",IF($AR62&lt;&gt;"",$AR62,SUMIFS(TblDynatrace[RAM P95 (Go)],TblDynatrace[ID],$C62,TblDynatrace[Environnement],$E62,TblDynatrace[Couloir],$F62)))</f>
        <v/>
      </c>
      <c r="R62" s="26" t="str">
        <f>IF($C62="","",IFERROR(INDEX(TblDynatrace[Métrique / période],MATCH($C62&amp;"|"&amp;$E62&amp;"|"&amp;$F62,TblDynatrace[Clé],0)),""))</f>
        <v/>
      </c>
      <c r="S62" s="60" t="str">
        <f>IF(OR($C62="",NOT(OR($G62="À migrer",$G62="À décommissionner")),$I62="",NOT(ISNUMBER($P62))),"",IF($AO62&lt;&gt;"",$AO62,IFERROR(SUMIFS(TblClusters[CPU initial (vCPU)],TblClusters[Cluster],$I62)*$P62/(SUMIFS(TblApplications[CPU Dynatrace (vCPU)],TblApplications[Cluster IKS source],$I62,TblApplications[Action],"À migrer")+SUMIFS(TblApplications[CPU Dynatrace (vCPU)],TblApplications[Cluster IKS source],$I62,TblApplications[Action],"À décommissionner")),0)))</f>
        <v/>
      </c>
      <c r="T62" s="60" t="str">
        <f>IF(OR($C62="",NOT(OR($G62="À migrer",$G62="À décommissionner")),$I62="",NOT(ISNUMBER($Q62))),"",IF($AP62&lt;&gt;"",$AP62,IFERROR(SUMIFS(TblClusters[RAM initiale (Go)],TblClusters[Cluster],$I62)*$Q62/(SUMIFS(TblApplications[RAM Dynatrace (Go)],TblApplications[Cluster IKS source],$I62,TblApplications[Action],"À migrer")+SUMIFS(TblApplications[RAM Dynatrace (Go)],TblApplications[Cluster IKS source],$I62,TblApplications[Action],"À décommissionner")),0)))</f>
        <v/>
      </c>
      <c r="U62" s="61"/>
      <c r="V62" s="61"/>
      <c r="W62" s="61"/>
      <c r="X62" s="59"/>
      <c r="Y62" s="26" t="str">
        <f t="shared" si="1"/>
        <v/>
      </c>
      <c r="Z62" s="26" t="str">
        <f t="shared" si="2"/>
        <v/>
      </c>
      <c r="AA62" s="33" t="str">
        <f t="shared" si="3"/>
        <v/>
      </c>
      <c r="AB62" s="33" t="str">
        <f t="shared" si="4"/>
        <v/>
      </c>
      <c r="AC62" s="26" t="str">
        <f t="shared" si="5"/>
        <v/>
      </c>
      <c r="AD62" s="26" t="str">
        <f>IF($C62="","",COUNTIF(TblApplications[ID],$C62))</f>
        <v/>
      </c>
      <c r="AE62" s="33" t="str">
        <f>IF($C62="","",IFERROR(1/(1/_xlfn.MINIFS(TblApplications[Mois prov (calc)],TblApplications[ID],$C62)),""))</f>
        <v/>
      </c>
      <c r="AF62" s="33" t="str">
        <f>IF($C62="","",IFERROR(1/(1/_xlfn.MAXIFS(TblApplications[Mois lib (calc)],TblApplications[ID],$C62)),""))</f>
        <v/>
      </c>
      <c r="AG62" s="26" t="str">
        <f>IF($C62="","",IF(OR(OR($A62="",$B62="",$D62="",$E62="",$F62="",$G62=""),AND($G62="À migrer",OR($H62="",$I62="",$O62="",$U62="",$V62="",$W62="")),AND($G62="Migré",OR($O62="")),AND($G62="À décommissionner",OR($I62="",$W62=""))),"Données manquantes (selon l’action)",IF(AND($G62&lt;&gt;"Migré",$G62&lt;&gt;"À migrer",$G62&lt;&gt;"À décommissionner",$G62&lt;&gt;"Décommissionné"),"Action invalide",IF(COUNTIF(TblDomaines[Domaine],$A62)=0,"Domaine inconnu (référentiel)",IF(COUNTIFS(TblTribes[Tribe],$B62,TblTribes[Domaine de la tribe],$A62)=0,"Tribe inconnue ou hors domaine",IF(AND($G62="À migrer",$H62&lt;&gt;"Oui",$H62&lt;&gt;"Non"),"Valeur Oui/Non invalide (Déjà incluse ROKS)",IF(AND($E62&lt;&gt;"PRD",$E62&lt;&gt;"NPRD"),"Environnement invalide",IF(COUNTIFS(TblApplications[ID],$C62,TblApplications[Environnement],$E62,TblApplications[Couloir],$F62)&gt;1,"Déploiement en doublon (ID + env + couloir)",IF(AND(OR(OR($G62="À migrer",$G62="Migré"),OR($G62="À migrer",$G62="À décommissionner")),N($P62)&lt;=0),"Conso Dynatrace absente (onglet Dynatrace)",IF(OR(AND($P62&lt;&gt;"",NOT(ISNUMBER($P62))),AND($Q62&lt;&gt;"",NOT(ISNUMBER($Q62)))),"Ressource non numérique",IF(MIN(N($P62),N($Q62))&lt;0,"Ressource négative",IF(OR(AND($AH62&lt;&gt;"",OR(NOT(ISNUMBER($AH62)),$AH62&lt;0,$AH62&gt;1)),AND($AI62&lt;&gt;"",OR(NOT(ISNUMBER($AI62)),$AI62&lt;0,$AI62&gt;1))),"Marge spécifique invalide (0–100 %)",IF(OR(AND($U62&lt;&gt;"",NOT(ISNUMBER($U62))),AND($V62&lt;&gt;"",NOT(ISNUMBER($V62))),AND($W62&lt;&gt;"",NOT(ISNUMBER($W62)))),"Mois invalide",IF(AND(OR($G62="À migrer",$G62="À décommissionner"),COUNTIFS(TblClusters[Cluster],$I62,TblClusters[Plateforme],"IKS")=0),"Cluster IKS inconnu",IF(AND(OR($G62="À migrer",$G62="Migré"),COUNTIFS(TblClusters[Cluster],$O62,TblClusters[Plateforme],"ROKS")=0),"Cluster ROKS inconnu",IF(AND(OR($G62="À migrer",$G62="À décommissionner"),COUNTIFS(TblClusters[Cluster],$I62,TblClusters[Environnement],$E62)=0),"Environnement ≠ cluster IKS",IF(AND(OR($G62="À migrer",$G62="Migré"),COUNTIFS(TblClusters[Cluster],$O62,TblClusters[Environnement],$E62)=0),"Environnement ≠ cluster ROKS",IF(AND($G62="À migrer",OR($U62&gt;$V62,$V62&gt;$W62)),"Dates incohérentes (prov ≤ bascule ≤ libération)",IF(AND(OR($G62="À migrer",$G62="À décommissionner"),OR(N($AO62)&gt;SUMIFS(TblClusters[CPU initial (vCPU)],TblClusters[Cluster],$I62),N($AP62)&gt;SUMIFS(TblClusters[RAM initiale (Go)],TblClusters[Cluster],$I62))),"Forçage &gt; capacité du cluster source",IF(OR(AND($AA62&lt;&gt;"",$AA62&lt;p_debut),AND($AB62&lt;&gt;"",$AB62&gt;p_fin)),"Hors horizon (info)",IF(AND($G62="À migrer",$E62="PRD",COUNTIFS(TblApplications[ID],$C62,TblApplications[Environnement],"NPRD",TblApplications[Action],"À migrer")&gt;0,$AA62&lt;_xlfn.MINIFS(TblApplications[Mois prov (calc)],TblApplications[ID],$C62,TblApplications[Environnement],"NPRD")),"PRD avant NPRD (info)","OK")))))))))))))))))))))</f>
        <v/>
      </c>
      <c r="AH62" s="62"/>
      <c r="AI62" s="62"/>
      <c r="AJ62" s="27" t="str">
        <f>IF(OR($C62="",NOT(OR($G62="À migrer",$G62="À décommissionner")),NOT(ISNUMBER($S62)),NOT(ISNUMBER($T62)),$AB62=""),"",($S62+p_poidsram*$T62)*SUMIFS(TblCalculs[Coût par unité],TblCalculs[Cluster],$I62,TblCalculs[Mois],"&lt;"&amp;$AB62))</f>
        <v/>
      </c>
      <c r="AK62" s="27" t="str">
        <f>IF($C62="","",IF(AND($G62="À migrer",$H62="Non",$Y62&lt;&gt;"",$AA62&lt;&gt;""),($Y62+p_poidsram*$Z62)*SUMIFS(TblCalculs[Coût par unité],TblCalculs[Cluster],$O62,TblCalculs[Mois],"&gt;="&amp;$AA62),IF(AND($G62="Migré",$Y62&lt;&gt;""),($Y62+p_poidsram*$Z62)*SUMIFS(TblCalculs[Coût par unité],TblCalculs[Cluster],$O62),"")))</f>
        <v/>
      </c>
      <c r="AL62" s="27" t="str">
        <f t="shared" si="6"/>
        <v/>
      </c>
      <c r="AM62" s="26" t="str">
        <f t="shared" si="7"/>
        <v/>
      </c>
      <c r="AN62" s="26" t="str">
        <f>IF(OR($C62="",$AM62&lt;&gt;1,COUNTIFS($E62,ex_envc,$A62,ex_domc,$B62,ex_tric)=0),"",COUNTIFS($AM$6:$AM62,1,$E$6:$E62,ex_envc,$A$6:$A62,ex_domc,$B$6:$B62,ex_tric))</f>
        <v/>
      </c>
      <c r="AO62" s="63"/>
      <c r="AP62" s="63"/>
      <c r="AQ62" s="63"/>
      <c r="AR62" s="63"/>
    </row>
    <row r="63" spans="1:44" x14ac:dyDescent="0.2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26" t="str">
        <f t="shared" si="0"/>
        <v/>
      </c>
      <c r="O63" s="59"/>
      <c r="P63" s="60" t="str">
        <f>IF($C63="","",IF($AQ63&lt;&gt;"",$AQ63,SUMIFS(TblDynatrace[CPU P95 (vCPU)],TblDynatrace[ID],$C63,TblDynatrace[Environnement],$E63,TblDynatrace[Couloir],$F63)))</f>
        <v/>
      </c>
      <c r="Q63" s="60" t="str">
        <f>IF($C63="","",IF($AR63&lt;&gt;"",$AR63,SUMIFS(TblDynatrace[RAM P95 (Go)],TblDynatrace[ID],$C63,TblDynatrace[Environnement],$E63,TblDynatrace[Couloir],$F63)))</f>
        <v/>
      </c>
      <c r="R63" s="26" t="str">
        <f>IF($C63="","",IFERROR(INDEX(TblDynatrace[Métrique / période],MATCH($C63&amp;"|"&amp;$E63&amp;"|"&amp;$F63,TblDynatrace[Clé],0)),""))</f>
        <v/>
      </c>
      <c r="S63" s="60" t="str">
        <f>IF(OR($C63="",NOT(OR($G63="À migrer",$G63="À décommissionner")),$I63="",NOT(ISNUMBER($P63))),"",IF($AO63&lt;&gt;"",$AO63,IFERROR(SUMIFS(TblClusters[CPU initial (vCPU)],TblClusters[Cluster],$I63)*$P63/(SUMIFS(TblApplications[CPU Dynatrace (vCPU)],TblApplications[Cluster IKS source],$I63,TblApplications[Action],"À migrer")+SUMIFS(TblApplications[CPU Dynatrace (vCPU)],TblApplications[Cluster IKS source],$I63,TblApplications[Action],"À décommissionner")),0)))</f>
        <v/>
      </c>
      <c r="T63" s="60" t="str">
        <f>IF(OR($C63="",NOT(OR($G63="À migrer",$G63="À décommissionner")),$I63="",NOT(ISNUMBER($Q63))),"",IF($AP63&lt;&gt;"",$AP63,IFERROR(SUMIFS(TblClusters[RAM initiale (Go)],TblClusters[Cluster],$I63)*$Q63/(SUMIFS(TblApplications[RAM Dynatrace (Go)],TblApplications[Cluster IKS source],$I63,TblApplications[Action],"À migrer")+SUMIFS(TblApplications[RAM Dynatrace (Go)],TblApplications[Cluster IKS source],$I63,TblApplications[Action],"À décommissionner")),0)))</f>
        <v/>
      </c>
      <c r="U63" s="61"/>
      <c r="V63" s="61"/>
      <c r="W63" s="61"/>
      <c r="X63" s="59"/>
      <c r="Y63" s="26" t="str">
        <f t="shared" si="1"/>
        <v/>
      </c>
      <c r="Z63" s="26" t="str">
        <f t="shared" si="2"/>
        <v/>
      </c>
      <c r="AA63" s="33" t="str">
        <f t="shared" si="3"/>
        <v/>
      </c>
      <c r="AB63" s="33" t="str">
        <f t="shared" si="4"/>
        <v/>
      </c>
      <c r="AC63" s="26" t="str">
        <f t="shared" si="5"/>
        <v/>
      </c>
      <c r="AD63" s="26" t="str">
        <f>IF($C63="","",COUNTIF(TblApplications[ID],$C63))</f>
        <v/>
      </c>
      <c r="AE63" s="33" t="str">
        <f>IF($C63="","",IFERROR(1/(1/_xlfn.MINIFS(TblApplications[Mois prov (calc)],TblApplications[ID],$C63)),""))</f>
        <v/>
      </c>
      <c r="AF63" s="33" t="str">
        <f>IF($C63="","",IFERROR(1/(1/_xlfn.MAXIFS(TblApplications[Mois lib (calc)],TblApplications[ID],$C63)),""))</f>
        <v/>
      </c>
      <c r="AG63" s="26" t="str">
        <f>IF($C63="","",IF(OR(OR($A63="",$B63="",$D63="",$E63="",$F63="",$G63=""),AND($G63="À migrer",OR($H63="",$I63="",$O63="",$U63="",$V63="",$W63="")),AND($G63="Migré",OR($O63="")),AND($G63="À décommissionner",OR($I63="",$W63=""))),"Données manquantes (selon l’action)",IF(AND($G63&lt;&gt;"Migré",$G63&lt;&gt;"À migrer",$G63&lt;&gt;"À décommissionner",$G63&lt;&gt;"Décommissionné"),"Action invalide",IF(COUNTIF(TblDomaines[Domaine],$A63)=0,"Domaine inconnu (référentiel)",IF(COUNTIFS(TblTribes[Tribe],$B63,TblTribes[Domaine de la tribe],$A63)=0,"Tribe inconnue ou hors domaine",IF(AND($G63="À migrer",$H63&lt;&gt;"Oui",$H63&lt;&gt;"Non"),"Valeur Oui/Non invalide (Déjà incluse ROKS)",IF(AND($E63&lt;&gt;"PRD",$E63&lt;&gt;"NPRD"),"Environnement invalide",IF(COUNTIFS(TblApplications[ID],$C63,TblApplications[Environnement],$E63,TblApplications[Couloir],$F63)&gt;1,"Déploiement en doublon (ID + env + couloir)",IF(AND(OR(OR($G63="À migrer",$G63="Migré"),OR($G63="À migrer",$G63="À décommissionner")),N($P63)&lt;=0),"Conso Dynatrace absente (onglet Dynatrace)",IF(OR(AND($P63&lt;&gt;"",NOT(ISNUMBER($P63))),AND($Q63&lt;&gt;"",NOT(ISNUMBER($Q63)))),"Ressource non numérique",IF(MIN(N($P63),N($Q63))&lt;0,"Ressource négative",IF(OR(AND($AH63&lt;&gt;"",OR(NOT(ISNUMBER($AH63)),$AH63&lt;0,$AH63&gt;1)),AND($AI63&lt;&gt;"",OR(NOT(ISNUMBER($AI63)),$AI63&lt;0,$AI63&gt;1))),"Marge spécifique invalide (0–100 %)",IF(OR(AND($U63&lt;&gt;"",NOT(ISNUMBER($U63))),AND($V63&lt;&gt;"",NOT(ISNUMBER($V63))),AND($W63&lt;&gt;"",NOT(ISNUMBER($W63)))),"Mois invalide",IF(AND(OR($G63="À migrer",$G63="À décommissionner"),COUNTIFS(TblClusters[Cluster],$I63,TblClusters[Plateforme],"IKS")=0),"Cluster IKS inconnu",IF(AND(OR($G63="À migrer",$G63="Migré"),COUNTIFS(TblClusters[Cluster],$O63,TblClusters[Plateforme],"ROKS")=0),"Cluster ROKS inconnu",IF(AND(OR($G63="À migrer",$G63="À décommissionner"),COUNTIFS(TblClusters[Cluster],$I63,TblClusters[Environnement],$E63)=0),"Environnement ≠ cluster IKS",IF(AND(OR($G63="À migrer",$G63="Migré"),COUNTIFS(TblClusters[Cluster],$O63,TblClusters[Environnement],$E63)=0),"Environnement ≠ cluster ROKS",IF(AND($G63="À migrer",OR($U63&gt;$V63,$V63&gt;$W63)),"Dates incohérentes (prov ≤ bascule ≤ libération)",IF(AND(OR($G63="À migrer",$G63="À décommissionner"),OR(N($AO63)&gt;SUMIFS(TblClusters[CPU initial (vCPU)],TblClusters[Cluster],$I63),N($AP63)&gt;SUMIFS(TblClusters[RAM initiale (Go)],TblClusters[Cluster],$I63))),"Forçage &gt; capacité du cluster source",IF(OR(AND($AA63&lt;&gt;"",$AA63&lt;p_debut),AND($AB63&lt;&gt;"",$AB63&gt;p_fin)),"Hors horizon (info)",IF(AND($G63="À migrer",$E63="PRD",COUNTIFS(TblApplications[ID],$C63,TblApplications[Environnement],"NPRD",TblApplications[Action],"À migrer")&gt;0,$AA63&lt;_xlfn.MINIFS(TblApplications[Mois prov (calc)],TblApplications[ID],$C63,TblApplications[Environnement],"NPRD")),"PRD avant NPRD (info)","OK")))))))))))))))))))))</f>
        <v/>
      </c>
      <c r="AH63" s="62"/>
      <c r="AI63" s="62"/>
      <c r="AJ63" s="27" t="str">
        <f>IF(OR($C63="",NOT(OR($G63="À migrer",$G63="À décommissionner")),NOT(ISNUMBER($S63)),NOT(ISNUMBER($T63)),$AB63=""),"",($S63+p_poidsram*$T63)*SUMIFS(TblCalculs[Coût par unité],TblCalculs[Cluster],$I63,TblCalculs[Mois],"&lt;"&amp;$AB63))</f>
        <v/>
      </c>
      <c r="AK63" s="27" t="str">
        <f>IF($C63="","",IF(AND($G63="À migrer",$H63="Non",$Y63&lt;&gt;"",$AA63&lt;&gt;""),($Y63+p_poidsram*$Z63)*SUMIFS(TblCalculs[Coût par unité],TblCalculs[Cluster],$O63,TblCalculs[Mois],"&gt;="&amp;$AA63),IF(AND($G63="Migré",$Y63&lt;&gt;""),($Y63+p_poidsram*$Z63)*SUMIFS(TblCalculs[Coût par unité],TblCalculs[Cluster],$O63),"")))</f>
        <v/>
      </c>
      <c r="AL63" s="27" t="str">
        <f t="shared" si="6"/>
        <v/>
      </c>
      <c r="AM63" s="26" t="str">
        <f t="shared" si="7"/>
        <v/>
      </c>
      <c r="AN63" s="26" t="str">
        <f>IF(OR($C63="",$AM63&lt;&gt;1,COUNTIFS($E63,ex_envc,$A63,ex_domc,$B63,ex_tric)=0),"",COUNTIFS($AM$6:$AM63,1,$E$6:$E63,ex_envc,$A$6:$A63,ex_domc,$B$6:$B63,ex_tric))</f>
        <v/>
      </c>
      <c r="AO63" s="63"/>
      <c r="AP63" s="63"/>
      <c r="AQ63" s="63"/>
      <c r="AR63" s="63"/>
    </row>
    <row r="64" spans="1:44" x14ac:dyDescent="0.2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26" t="str">
        <f t="shared" si="0"/>
        <v/>
      </c>
      <c r="O64" s="59"/>
      <c r="P64" s="60" t="str">
        <f>IF($C64="","",IF($AQ64&lt;&gt;"",$AQ64,SUMIFS(TblDynatrace[CPU P95 (vCPU)],TblDynatrace[ID],$C64,TblDynatrace[Environnement],$E64,TblDynatrace[Couloir],$F64)))</f>
        <v/>
      </c>
      <c r="Q64" s="60" t="str">
        <f>IF($C64="","",IF($AR64&lt;&gt;"",$AR64,SUMIFS(TblDynatrace[RAM P95 (Go)],TblDynatrace[ID],$C64,TblDynatrace[Environnement],$E64,TblDynatrace[Couloir],$F64)))</f>
        <v/>
      </c>
      <c r="R64" s="26" t="str">
        <f>IF($C64="","",IFERROR(INDEX(TblDynatrace[Métrique / période],MATCH($C64&amp;"|"&amp;$E64&amp;"|"&amp;$F64,TblDynatrace[Clé],0)),""))</f>
        <v/>
      </c>
      <c r="S64" s="60" t="str">
        <f>IF(OR($C64="",NOT(OR($G64="À migrer",$G64="À décommissionner")),$I64="",NOT(ISNUMBER($P64))),"",IF($AO64&lt;&gt;"",$AO64,IFERROR(SUMIFS(TblClusters[CPU initial (vCPU)],TblClusters[Cluster],$I64)*$P64/(SUMIFS(TblApplications[CPU Dynatrace (vCPU)],TblApplications[Cluster IKS source],$I64,TblApplications[Action],"À migrer")+SUMIFS(TblApplications[CPU Dynatrace (vCPU)],TblApplications[Cluster IKS source],$I64,TblApplications[Action],"À décommissionner")),0)))</f>
        <v/>
      </c>
      <c r="T64" s="60" t="str">
        <f>IF(OR($C64="",NOT(OR($G64="À migrer",$G64="À décommissionner")),$I64="",NOT(ISNUMBER($Q64))),"",IF($AP64&lt;&gt;"",$AP64,IFERROR(SUMIFS(TblClusters[RAM initiale (Go)],TblClusters[Cluster],$I64)*$Q64/(SUMIFS(TblApplications[RAM Dynatrace (Go)],TblApplications[Cluster IKS source],$I64,TblApplications[Action],"À migrer")+SUMIFS(TblApplications[RAM Dynatrace (Go)],TblApplications[Cluster IKS source],$I64,TblApplications[Action],"À décommissionner")),0)))</f>
        <v/>
      </c>
      <c r="U64" s="61"/>
      <c r="V64" s="61"/>
      <c r="W64" s="61"/>
      <c r="X64" s="59"/>
      <c r="Y64" s="26" t="str">
        <f t="shared" si="1"/>
        <v/>
      </c>
      <c r="Z64" s="26" t="str">
        <f t="shared" si="2"/>
        <v/>
      </c>
      <c r="AA64" s="33" t="str">
        <f t="shared" si="3"/>
        <v/>
      </c>
      <c r="AB64" s="33" t="str">
        <f t="shared" si="4"/>
        <v/>
      </c>
      <c r="AC64" s="26" t="str">
        <f t="shared" si="5"/>
        <v/>
      </c>
      <c r="AD64" s="26" t="str">
        <f>IF($C64="","",COUNTIF(TblApplications[ID],$C64))</f>
        <v/>
      </c>
      <c r="AE64" s="33" t="str">
        <f>IF($C64="","",IFERROR(1/(1/_xlfn.MINIFS(TblApplications[Mois prov (calc)],TblApplications[ID],$C64)),""))</f>
        <v/>
      </c>
      <c r="AF64" s="33" t="str">
        <f>IF($C64="","",IFERROR(1/(1/_xlfn.MAXIFS(TblApplications[Mois lib (calc)],TblApplications[ID],$C64)),""))</f>
        <v/>
      </c>
      <c r="AG64" s="26" t="str">
        <f>IF($C64="","",IF(OR(OR($A64="",$B64="",$D64="",$E64="",$F64="",$G64=""),AND($G64="À migrer",OR($H64="",$I64="",$O64="",$U64="",$V64="",$W64="")),AND($G64="Migré",OR($O64="")),AND($G64="À décommissionner",OR($I64="",$W64=""))),"Données manquantes (selon l’action)",IF(AND($G64&lt;&gt;"Migré",$G64&lt;&gt;"À migrer",$G64&lt;&gt;"À décommissionner",$G64&lt;&gt;"Décommissionné"),"Action invalide",IF(COUNTIF(TblDomaines[Domaine],$A64)=0,"Domaine inconnu (référentiel)",IF(COUNTIFS(TblTribes[Tribe],$B64,TblTribes[Domaine de la tribe],$A64)=0,"Tribe inconnue ou hors domaine",IF(AND($G64="À migrer",$H64&lt;&gt;"Oui",$H64&lt;&gt;"Non"),"Valeur Oui/Non invalide (Déjà incluse ROKS)",IF(AND($E64&lt;&gt;"PRD",$E64&lt;&gt;"NPRD"),"Environnement invalide",IF(COUNTIFS(TblApplications[ID],$C64,TblApplications[Environnement],$E64,TblApplications[Couloir],$F64)&gt;1,"Déploiement en doublon (ID + env + couloir)",IF(AND(OR(OR($G64="À migrer",$G64="Migré"),OR($G64="À migrer",$G64="À décommissionner")),N($P64)&lt;=0),"Conso Dynatrace absente (onglet Dynatrace)",IF(OR(AND($P64&lt;&gt;"",NOT(ISNUMBER($P64))),AND($Q64&lt;&gt;"",NOT(ISNUMBER($Q64)))),"Ressource non numérique",IF(MIN(N($P64),N($Q64))&lt;0,"Ressource négative",IF(OR(AND($AH64&lt;&gt;"",OR(NOT(ISNUMBER($AH64)),$AH64&lt;0,$AH64&gt;1)),AND($AI64&lt;&gt;"",OR(NOT(ISNUMBER($AI64)),$AI64&lt;0,$AI64&gt;1))),"Marge spécifique invalide (0–100 %)",IF(OR(AND($U64&lt;&gt;"",NOT(ISNUMBER($U64))),AND($V64&lt;&gt;"",NOT(ISNUMBER($V64))),AND($W64&lt;&gt;"",NOT(ISNUMBER($W64)))),"Mois invalide",IF(AND(OR($G64="À migrer",$G64="À décommissionner"),COUNTIFS(TblClusters[Cluster],$I64,TblClusters[Plateforme],"IKS")=0),"Cluster IKS inconnu",IF(AND(OR($G64="À migrer",$G64="Migré"),COUNTIFS(TblClusters[Cluster],$O64,TblClusters[Plateforme],"ROKS")=0),"Cluster ROKS inconnu",IF(AND(OR($G64="À migrer",$G64="À décommissionner"),COUNTIFS(TblClusters[Cluster],$I64,TblClusters[Environnement],$E64)=0),"Environnement ≠ cluster IKS",IF(AND(OR($G64="À migrer",$G64="Migré"),COUNTIFS(TblClusters[Cluster],$O64,TblClusters[Environnement],$E64)=0),"Environnement ≠ cluster ROKS",IF(AND($G64="À migrer",OR($U64&gt;$V64,$V64&gt;$W64)),"Dates incohérentes (prov ≤ bascule ≤ libération)",IF(AND(OR($G64="À migrer",$G64="À décommissionner"),OR(N($AO64)&gt;SUMIFS(TblClusters[CPU initial (vCPU)],TblClusters[Cluster],$I64),N($AP64)&gt;SUMIFS(TblClusters[RAM initiale (Go)],TblClusters[Cluster],$I64))),"Forçage &gt; capacité du cluster source",IF(OR(AND($AA64&lt;&gt;"",$AA64&lt;p_debut),AND($AB64&lt;&gt;"",$AB64&gt;p_fin)),"Hors horizon (info)",IF(AND($G64="À migrer",$E64="PRD",COUNTIFS(TblApplications[ID],$C64,TblApplications[Environnement],"NPRD",TblApplications[Action],"À migrer")&gt;0,$AA64&lt;_xlfn.MINIFS(TblApplications[Mois prov (calc)],TblApplications[ID],$C64,TblApplications[Environnement],"NPRD")),"PRD avant NPRD (info)","OK")))))))))))))))))))))</f>
        <v/>
      </c>
      <c r="AH64" s="62"/>
      <c r="AI64" s="62"/>
      <c r="AJ64" s="27" t="str">
        <f>IF(OR($C64="",NOT(OR($G64="À migrer",$G64="À décommissionner")),NOT(ISNUMBER($S64)),NOT(ISNUMBER($T64)),$AB64=""),"",($S64+p_poidsram*$T64)*SUMIFS(TblCalculs[Coût par unité],TblCalculs[Cluster],$I64,TblCalculs[Mois],"&lt;"&amp;$AB64))</f>
        <v/>
      </c>
      <c r="AK64" s="27" t="str">
        <f>IF($C64="","",IF(AND($G64="À migrer",$H64="Non",$Y64&lt;&gt;"",$AA64&lt;&gt;""),($Y64+p_poidsram*$Z64)*SUMIFS(TblCalculs[Coût par unité],TblCalculs[Cluster],$O64,TblCalculs[Mois],"&gt;="&amp;$AA64),IF(AND($G64="Migré",$Y64&lt;&gt;""),($Y64+p_poidsram*$Z64)*SUMIFS(TblCalculs[Coût par unité],TblCalculs[Cluster],$O64),"")))</f>
        <v/>
      </c>
      <c r="AL64" s="27" t="str">
        <f t="shared" si="6"/>
        <v/>
      </c>
      <c r="AM64" s="26" t="str">
        <f t="shared" si="7"/>
        <v/>
      </c>
      <c r="AN64" s="26" t="str">
        <f>IF(OR($C64="",$AM64&lt;&gt;1,COUNTIFS($E64,ex_envc,$A64,ex_domc,$B64,ex_tric)=0),"",COUNTIFS($AM$6:$AM64,1,$E$6:$E64,ex_envc,$A$6:$A64,ex_domc,$B$6:$B64,ex_tric))</f>
        <v/>
      </c>
      <c r="AO64" s="63"/>
      <c r="AP64" s="63"/>
      <c r="AQ64" s="63"/>
      <c r="AR64" s="63"/>
    </row>
    <row r="65" spans="1:44" x14ac:dyDescent="0.2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26" t="str">
        <f t="shared" si="0"/>
        <v/>
      </c>
      <c r="O65" s="59"/>
      <c r="P65" s="60" t="str">
        <f>IF($C65="","",IF($AQ65&lt;&gt;"",$AQ65,SUMIFS(TblDynatrace[CPU P95 (vCPU)],TblDynatrace[ID],$C65,TblDynatrace[Environnement],$E65,TblDynatrace[Couloir],$F65)))</f>
        <v/>
      </c>
      <c r="Q65" s="60" t="str">
        <f>IF($C65="","",IF($AR65&lt;&gt;"",$AR65,SUMIFS(TblDynatrace[RAM P95 (Go)],TblDynatrace[ID],$C65,TblDynatrace[Environnement],$E65,TblDynatrace[Couloir],$F65)))</f>
        <v/>
      </c>
      <c r="R65" s="26" t="str">
        <f>IF($C65="","",IFERROR(INDEX(TblDynatrace[Métrique / période],MATCH($C65&amp;"|"&amp;$E65&amp;"|"&amp;$F65,TblDynatrace[Clé],0)),""))</f>
        <v/>
      </c>
      <c r="S65" s="60" t="str">
        <f>IF(OR($C65="",NOT(OR($G65="À migrer",$G65="À décommissionner")),$I65="",NOT(ISNUMBER($P65))),"",IF($AO65&lt;&gt;"",$AO65,IFERROR(SUMIFS(TblClusters[CPU initial (vCPU)],TblClusters[Cluster],$I65)*$P65/(SUMIFS(TblApplications[CPU Dynatrace (vCPU)],TblApplications[Cluster IKS source],$I65,TblApplications[Action],"À migrer")+SUMIFS(TblApplications[CPU Dynatrace (vCPU)],TblApplications[Cluster IKS source],$I65,TblApplications[Action],"À décommissionner")),0)))</f>
        <v/>
      </c>
      <c r="T65" s="60" t="str">
        <f>IF(OR($C65="",NOT(OR($G65="À migrer",$G65="À décommissionner")),$I65="",NOT(ISNUMBER($Q65))),"",IF($AP65&lt;&gt;"",$AP65,IFERROR(SUMIFS(TblClusters[RAM initiale (Go)],TblClusters[Cluster],$I65)*$Q65/(SUMIFS(TblApplications[RAM Dynatrace (Go)],TblApplications[Cluster IKS source],$I65,TblApplications[Action],"À migrer")+SUMIFS(TblApplications[RAM Dynatrace (Go)],TblApplications[Cluster IKS source],$I65,TblApplications[Action],"À décommissionner")),0)))</f>
        <v/>
      </c>
      <c r="U65" s="61"/>
      <c r="V65" s="61"/>
      <c r="W65" s="61"/>
      <c r="X65" s="59"/>
      <c r="Y65" s="26" t="str">
        <f t="shared" si="1"/>
        <v/>
      </c>
      <c r="Z65" s="26" t="str">
        <f t="shared" si="2"/>
        <v/>
      </c>
      <c r="AA65" s="33" t="str">
        <f t="shared" si="3"/>
        <v/>
      </c>
      <c r="AB65" s="33" t="str">
        <f t="shared" si="4"/>
        <v/>
      </c>
      <c r="AC65" s="26" t="str">
        <f t="shared" si="5"/>
        <v/>
      </c>
      <c r="AD65" s="26" t="str">
        <f>IF($C65="","",COUNTIF(TblApplications[ID],$C65))</f>
        <v/>
      </c>
      <c r="AE65" s="33" t="str">
        <f>IF($C65="","",IFERROR(1/(1/_xlfn.MINIFS(TblApplications[Mois prov (calc)],TblApplications[ID],$C65)),""))</f>
        <v/>
      </c>
      <c r="AF65" s="33" t="str">
        <f>IF($C65="","",IFERROR(1/(1/_xlfn.MAXIFS(TblApplications[Mois lib (calc)],TblApplications[ID],$C65)),""))</f>
        <v/>
      </c>
      <c r="AG65" s="26" t="str">
        <f>IF($C65="","",IF(OR(OR($A65="",$B65="",$D65="",$E65="",$F65="",$G65=""),AND($G65="À migrer",OR($H65="",$I65="",$O65="",$U65="",$V65="",$W65="")),AND($G65="Migré",OR($O65="")),AND($G65="À décommissionner",OR($I65="",$W65=""))),"Données manquantes (selon l’action)",IF(AND($G65&lt;&gt;"Migré",$G65&lt;&gt;"À migrer",$G65&lt;&gt;"À décommissionner",$G65&lt;&gt;"Décommissionné"),"Action invalide",IF(COUNTIF(TblDomaines[Domaine],$A65)=0,"Domaine inconnu (référentiel)",IF(COUNTIFS(TblTribes[Tribe],$B65,TblTribes[Domaine de la tribe],$A65)=0,"Tribe inconnue ou hors domaine",IF(AND($G65="À migrer",$H65&lt;&gt;"Oui",$H65&lt;&gt;"Non"),"Valeur Oui/Non invalide (Déjà incluse ROKS)",IF(AND($E65&lt;&gt;"PRD",$E65&lt;&gt;"NPRD"),"Environnement invalide",IF(COUNTIFS(TblApplications[ID],$C65,TblApplications[Environnement],$E65,TblApplications[Couloir],$F65)&gt;1,"Déploiement en doublon (ID + env + couloir)",IF(AND(OR(OR($G65="À migrer",$G65="Migré"),OR($G65="À migrer",$G65="À décommissionner")),N($P65)&lt;=0),"Conso Dynatrace absente (onglet Dynatrace)",IF(OR(AND($P65&lt;&gt;"",NOT(ISNUMBER($P65))),AND($Q65&lt;&gt;"",NOT(ISNUMBER($Q65)))),"Ressource non numérique",IF(MIN(N($P65),N($Q65))&lt;0,"Ressource négative",IF(OR(AND($AH65&lt;&gt;"",OR(NOT(ISNUMBER($AH65)),$AH65&lt;0,$AH65&gt;1)),AND($AI65&lt;&gt;"",OR(NOT(ISNUMBER($AI65)),$AI65&lt;0,$AI65&gt;1))),"Marge spécifique invalide (0–100 %)",IF(OR(AND($U65&lt;&gt;"",NOT(ISNUMBER($U65))),AND($V65&lt;&gt;"",NOT(ISNUMBER($V65))),AND($W65&lt;&gt;"",NOT(ISNUMBER($W65)))),"Mois invalide",IF(AND(OR($G65="À migrer",$G65="À décommissionner"),COUNTIFS(TblClusters[Cluster],$I65,TblClusters[Plateforme],"IKS")=0),"Cluster IKS inconnu",IF(AND(OR($G65="À migrer",$G65="Migré"),COUNTIFS(TblClusters[Cluster],$O65,TblClusters[Plateforme],"ROKS")=0),"Cluster ROKS inconnu",IF(AND(OR($G65="À migrer",$G65="À décommissionner"),COUNTIFS(TblClusters[Cluster],$I65,TblClusters[Environnement],$E65)=0),"Environnement ≠ cluster IKS",IF(AND(OR($G65="À migrer",$G65="Migré"),COUNTIFS(TblClusters[Cluster],$O65,TblClusters[Environnement],$E65)=0),"Environnement ≠ cluster ROKS",IF(AND($G65="À migrer",OR($U65&gt;$V65,$V65&gt;$W65)),"Dates incohérentes (prov ≤ bascule ≤ libération)",IF(AND(OR($G65="À migrer",$G65="À décommissionner"),OR(N($AO65)&gt;SUMIFS(TblClusters[CPU initial (vCPU)],TblClusters[Cluster],$I65),N($AP65)&gt;SUMIFS(TblClusters[RAM initiale (Go)],TblClusters[Cluster],$I65))),"Forçage &gt; capacité du cluster source",IF(OR(AND($AA65&lt;&gt;"",$AA65&lt;p_debut),AND($AB65&lt;&gt;"",$AB65&gt;p_fin)),"Hors horizon (info)",IF(AND($G65="À migrer",$E65="PRD",COUNTIFS(TblApplications[ID],$C65,TblApplications[Environnement],"NPRD",TblApplications[Action],"À migrer")&gt;0,$AA65&lt;_xlfn.MINIFS(TblApplications[Mois prov (calc)],TblApplications[ID],$C65,TblApplications[Environnement],"NPRD")),"PRD avant NPRD (info)","OK")))))))))))))))))))))</f>
        <v/>
      </c>
      <c r="AH65" s="62"/>
      <c r="AI65" s="62"/>
      <c r="AJ65" s="27" t="str">
        <f>IF(OR($C65="",NOT(OR($G65="À migrer",$G65="À décommissionner")),NOT(ISNUMBER($S65)),NOT(ISNUMBER($T65)),$AB65=""),"",($S65+p_poidsram*$T65)*SUMIFS(TblCalculs[Coût par unité],TblCalculs[Cluster],$I65,TblCalculs[Mois],"&lt;"&amp;$AB65))</f>
        <v/>
      </c>
      <c r="AK65" s="27" t="str">
        <f>IF($C65="","",IF(AND($G65="À migrer",$H65="Non",$Y65&lt;&gt;"",$AA65&lt;&gt;""),($Y65+p_poidsram*$Z65)*SUMIFS(TblCalculs[Coût par unité],TblCalculs[Cluster],$O65,TblCalculs[Mois],"&gt;="&amp;$AA65),IF(AND($G65="Migré",$Y65&lt;&gt;""),($Y65+p_poidsram*$Z65)*SUMIFS(TblCalculs[Coût par unité],TblCalculs[Cluster],$O65),"")))</f>
        <v/>
      </c>
      <c r="AL65" s="27" t="str">
        <f t="shared" si="6"/>
        <v/>
      </c>
      <c r="AM65" s="26" t="str">
        <f t="shared" si="7"/>
        <v/>
      </c>
      <c r="AN65" s="26" t="str">
        <f>IF(OR($C65="",$AM65&lt;&gt;1,COUNTIFS($E65,ex_envc,$A65,ex_domc,$B65,ex_tric)=0),"",COUNTIFS($AM$6:$AM65,1,$E$6:$E65,ex_envc,$A$6:$A65,ex_domc,$B$6:$B65,ex_tric))</f>
        <v/>
      </c>
      <c r="AO65" s="63"/>
      <c r="AP65" s="63"/>
      <c r="AQ65" s="63"/>
      <c r="AR65" s="63"/>
    </row>
    <row r="66" spans="1:44" x14ac:dyDescent="0.2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26" t="str">
        <f t="shared" si="0"/>
        <v/>
      </c>
      <c r="O66" s="59"/>
      <c r="P66" s="60" t="str">
        <f>IF($C66="","",IF($AQ66&lt;&gt;"",$AQ66,SUMIFS(TblDynatrace[CPU P95 (vCPU)],TblDynatrace[ID],$C66,TblDynatrace[Environnement],$E66,TblDynatrace[Couloir],$F66)))</f>
        <v/>
      </c>
      <c r="Q66" s="60" t="str">
        <f>IF($C66="","",IF($AR66&lt;&gt;"",$AR66,SUMIFS(TblDynatrace[RAM P95 (Go)],TblDynatrace[ID],$C66,TblDynatrace[Environnement],$E66,TblDynatrace[Couloir],$F66)))</f>
        <v/>
      </c>
      <c r="R66" s="26" t="str">
        <f>IF($C66="","",IFERROR(INDEX(TblDynatrace[Métrique / période],MATCH($C66&amp;"|"&amp;$E66&amp;"|"&amp;$F66,TblDynatrace[Clé],0)),""))</f>
        <v/>
      </c>
      <c r="S66" s="60" t="str">
        <f>IF(OR($C66="",NOT(OR($G66="À migrer",$G66="À décommissionner")),$I66="",NOT(ISNUMBER($P66))),"",IF($AO66&lt;&gt;"",$AO66,IFERROR(SUMIFS(TblClusters[CPU initial (vCPU)],TblClusters[Cluster],$I66)*$P66/(SUMIFS(TblApplications[CPU Dynatrace (vCPU)],TblApplications[Cluster IKS source],$I66,TblApplications[Action],"À migrer")+SUMIFS(TblApplications[CPU Dynatrace (vCPU)],TblApplications[Cluster IKS source],$I66,TblApplications[Action],"À décommissionner")),0)))</f>
        <v/>
      </c>
      <c r="T66" s="60" t="str">
        <f>IF(OR($C66="",NOT(OR($G66="À migrer",$G66="À décommissionner")),$I66="",NOT(ISNUMBER($Q66))),"",IF($AP66&lt;&gt;"",$AP66,IFERROR(SUMIFS(TblClusters[RAM initiale (Go)],TblClusters[Cluster],$I66)*$Q66/(SUMIFS(TblApplications[RAM Dynatrace (Go)],TblApplications[Cluster IKS source],$I66,TblApplications[Action],"À migrer")+SUMIFS(TblApplications[RAM Dynatrace (Go)],TblApplications[Cluster IKS source],$I66,TblApplications[Action],"À décommissionner")),0)))</f>
        <v/>
      </c>
      <c r="U66" s="61"/>
      <c r="V66" s="61"/>
      <c r="W66" s="61"/>
      <c r="X66" s="59"/>
      <c r="Y66" s="26" t="str">
        <f t="shared" si="1"/>
        <v/>
      </c>
      <c r="Z66" s="26" t="str">
        <f t="shared" si="2"/>
        <v/>
      </c>
      <c r="AA66" s="33" t="str">
        <f t="shared" si="3"/>
        <v/>
      </c>
      <c r="AB66" s="33" t="str">
        <f t="shared" si="4"/>
        <v/>
      </c>
      <c r="AC66" s="26" t="str">
        <f t="shared" si="5"/>
        <v/>
      </c>
      <c r="AD66" s="26" t="str">
        <f>IF($C66="","",COUNTIF(TblApplications[ID],$C66))</f>
        <v/>
      </c>
      <c r="AE66" s="33" t="str">
        <f>IF($C66="","",IFERROR(1/(1/_xlfn.MINIFS(TblApplications[Mois prov (calc)],TblApplications[ID],$C66)),""))</f>
        <v/>
      </c>
      <c r="AF66" s="33" t="str">
        <f>IF($C66="","",IFERROR(1/(1/_xlfn.MAXIFS(TblApplications[Mois lib (calc)],TblApplications[ID],$C66)),""))</f>
        <v/>
      </c>
      <c r="AG66" s="26" t="str">
        <f>IF($C66="","",IF(OR(OR($A66="",$B66="",$D66="",$E66="",$F66="",$G66=""),AND($G66="À migrer",OR($H66="",$I66="",$O66="",$U66="",$V66="",$W66="")),AND($G66="Migré",OR($O66="")),AND($G66="À décommissionner",OR($I66="",$W66=""))),"Données manquantes (selon l’action)",IF(AND($G66&lt;&gt;"Migré",$G66&lt;&gt;"À migrer",$G66&lt;&gt;"À décommissionner",$G66&lt;&gt;"Décommissionné"),"Action invalide",IF(COUNTIF(TblDomaines[Domaine],$A66)=0,"Domaine inconnu (référentiel)",IF(COUNTIFS(TblTribes[Tribe],$B66,TblTribes[Domaine de la tribe],$A66)=0,"Tribe inconnue ou hors domaine",IF(AND($G66="À migrer",$H66&lt;&gt;"Oui",$H66&lt;&gt;"Non"),"Valeur Oui/Non invalide (Déjà incluse ROKS)",IF(AND($E66&lt;&gt;"PRD",$E66&lt;&gt;"NPRD"),"Environnement invalide",IF(COUNTIFS(TblApplications[ID],$C66,TblApplications[Environnement],$E66,TblApplications[Couloir],$F66)&gt;1,"Déploiement en doublon (ID + env + couloir)",IF(AND(OR(OR($G66="À migrer",$G66="Migré"),OR($G66="À migrer",$G66="À décommissionner")),N($P66)&lt;=0),"Conso Dynatrace absente (onglet Dynatrace)",IF(OR(AND($P66&lt;&gt;"",NOT(ISNUMBER($P66))),AND($Q66&lt;&gt;"",NOT(ISNUMBER($Q66)))),"Ressource non numérique",IF(MIN(N($P66),N($Q66))&lt;0,"Ressource négative",IF(OR(AND($AH66&lt;&gt;"",OR(NOT(ISNUMBER($AH66)),$AH66&lt;0,$AH66&gt;1)),AND($AI66&lt;&gt;"",OR(NOT(ISNUMBER($AI66)),$AI66&lt;0,$AI66&gt;1))),"Marge spécifique invalide (0–100 %)",IF(OR(AND($U66&lt;&gt;"",NOT(ISNUMBER($U66))),AND($V66&lt;&gt;"",NOT(ISNUMBER($V66))),AND($W66&lt;&gt;"",NOT(ISNUMBER($W66)))),"Mois invalide",IF(AND(OR($G66="À migrer",$G66="À décommissionner"),COUNTIFS(TblClusters[Cluster],$I66,TblClusters[Plateforme],"IKS")=0),"Cluster IKS inconnu",IF(AND(OR($G66="À migrer",$G66="Migré"),COUNTIFS(TblClusters[Cluster],$O66,TblClusters[Plateforme],"ROKS")=0),"Cluster ROKS inconnu",IF(AND(OR($G66="À migrer",$G66="À décommissionner"),COUNTIFS(TblClusters[Cluster],$I66,TblClusters[Environnement],$E66)=0),"Environnement ≠ cluster IKS",IF(AND(OR($G66="À migrer",$G66="Migré"),COUNTIFS(TblClusters[Cluster],$O66,TblClusters[Environnement],$E66)=0),"Environnement ≠ cluster ROKS",IF(AND($G66="À migrer",OR($U66&gt;$V66,$V66&gt;$W66)),"Dates incohérentes (prov ≤ bascule ≤ libération)",IF(AND(OR($G66="À migrer",$G66="À décommissionner"),OR(N($AO66)&gt;SUMIFS(TblClusters[CPU initial (vCPU)],TblClusters[Cluster],$I66),N($AP66)&gt;SUMIFS(TblClusters[RAM initiale (Go)],TblClusters[Cluster],$I66))),"Forçage &gt; capacité du cluster source",IF(OR(AND($AA66&lt;&gt;"",$AA66&lt;p_debut),AND($AB66&lt;&gt;"",$AB66&gt;p_fin)),"Hors horizon (info)",IF(AND($G66="À migrer",$E66="PRD",COUNTIFS(TblApplications[ID],$C66,TblApplications[Environnement],"NPRD",TblApplications[Action],"À migrer")&gt;0,$AA66&lt;_xlfn.MINIFS(TblApplications[Mois prov (calc)],TblApplications[ID],$C66,TblApplications[Environnement],"NPRD")),"PRD avant NPRD (info)","OK")))))))))))))))))))))</f>
        <v/>
      </c>
      <c r="AH66" s="62"/>
      <c r="AI66" s="62"/>
      <c r="AJ66" s="27" t="str">
        <f>IF(OR($C66="",NOT(OR($G66="À migrer",$G66="À décommissionner")),NOT(ISNUMBER($S66)),NOT(ISNUMBER($T66)),$AB66=""),"",($S66+p_poidsram*$T66)*SUMIFS(TblCalculs[Coût par unité],TblCalculs[Cluster],$I66,TblCalculs[Mois],"&lt;"&amp;$AB66))</f>
        <v/>
      </c>
      <c r="AK66" s="27" t="str">
        <f>IF($C66="","",IF(AND($G66="À migrer",$H66="Non",$Y66&lt;&gt;"",$AA66&lt;&gt;""),($Y66+p_poidsram*$Z66)*SUMIFS(TblCalculs[Coût par unité],TblCalculs[Cluster],$O66,TblCalculs[Mois],"&gt;="&amp;$AA66),IF(AND($G66="Migré",$Y66&lt;&gt;""),($Y66+p_poidsram*$Z66)*SUMIFS(TblCalculs[Coût par unité],TblCalculs[Cluster],$O66),"")))</f>
        <v/>
      </c>
      <c r="AL66" s="27" t="str">
        <f t="shared" si="6"/>
        <v/>
      </c>
      <c r="AM66" s="26" t="str">
        <f t="shared" si="7"/>
        <v/>
      </c>
      <c r="AN66" s="26" t="str">
        <f>IF(OR($C66="",$AM66&lt;&gt;1,COUNTIFS($E66,ex_envc,$A66,ex_domc,$B66,ex_tric)=0),"",COUNTIFS($AM$6:$AM66,1,$E$6:$E66,ex_envc,$A$6:$A66,ex_domc,$B$6:$B66,ex_tric))</f>
        <v/>
      </c>
      <c r="AO66" s="63"/>
      <c r="AP66" s="63"/>
      <c r="AQ66" s="63"/>
      <c r="AR66" s="63"/>
    </row>
    <row r="67" spans="1:44" x14ac:dyDescent="0.2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26" t="str">
        <f t="shared" si="0"/>
        <v/>
      </c>
      <c r="O67" s="59"/>
      <c r="P67" s="60" t="str">
        <f>IF($C67="","",IF($AQ67&lt;&gt;"",$AQ67,SUMIFS(TblDynatrace[CPU P95 (vCPU)],TblDynatrace[ID],$C67,TblDynatrace[Environnement],$E67,TblDynatrace[Couloir],$F67)))</f>
        <v/>
      </c>
      <c r="Q67" s="60" t="str">
        <f>IF($C67="","",IF($AR67&lt;&gt;"",$AR67,SUMIFS(TblDynatrace[RAM P95 (Go)],TblDynatrace[ID],$C67,TblDynatrace[Environnement],$E67,TblDynatrace[Couloir],$F67)))</f>
        <v/>
      </c>
      <c r="R67" s="26" t="str">
        <f>IF($C67="","",IFERROR(INDEX(TblDynatrace[Métrique / période],MATCH($C67&amp;"|"&amp;$E67&amp;"|"&amp;$F67,TblDynatrace[Clé],0)),""))</f>
        <v/>
      </c>
      <c r="S67" s="60" t="str">
        <f>IF(OR($C67="",NOT(OR($G67="À migrer",$G67="À décommissionner")),$I67="",NOT(ISNUMBER($P67))),"",IF($AO67&lt;&gt;"",$AO67,IFERROR(SUMIFS(TblClusters[CPU initial (vCPU)],TblClusters[Cluster],$I67)*$P67/(SUMIFS(TblApplications[CPU Dynatrace (vCPU)],TblApplications[Cluster IKS source],$I67,TblApplications[Action],"À migrer")+SUMIFS(TblApplications[CPU Dynatrace (vCPU)],TblApplications[Cluster IKS source],$I67,TblApplications[Action],"À décommissionner")),0)))</f>
        <v/>
      </c>
      <c r="T67" s="60" t="str">
        <f>IF(OR($C67="",NOT(OR($G67="À migrer",$G67="À décommissionner")),$I67="",NOT(ISNUMBER($Q67))),"",IF($AP67&lt;&gt;"",$AP67,IFERROR(SUMIFS(TblClusters[RAM initiale (Go)],TblClusters[Cluster],$I67)*$Q67/(SUMIFS(TblApplications[RAM Dynatrace (Go)],TblApplications[Cluster IKS source],$I67,TblApplications[Action],"À migrer")+SUMIFS(TblApplications[RAM Dynatrace (Go)],TblApplications[Cluster IKS source],$I67,TblApplications[Action],"À décommissionner")),0)))</f>
        <v/>
      </c>
      <c r="U67" s="61"/>
      <c r="V67" s="61"/>
      <c r="W67" s="61"/>
      <c r="X67" s="59"/>
      <c r="Y67" s="26" t="str">
        <f t="shared" si="1"/>
        <v/>
      </c>
      <c r="Z67" s="26" t="str">
        <f t="shared" si="2"/>
        <v/>
      </c>
      <c r="AA67" s="33" t="str">
        <f t="shared" si="3"/>
        <v/>
      </c>
      <c r="AB67" s="33" t="str">
        <f t="shared" si="4"/>
        <v/>
      </c>
      <c r="AC67" s="26" t="str">
        <f t="shared" si="5"/>
        <v/>
      </c>
      <c r="AD67" s="26" t="str">
        <f>IF($C67="","",COUNTIF(TblApplications[ID],$C67))</f>
        <v/>
      </c>
      <c r="AE67" s="33" t="str">
        <f>IF($C67="","",IFERROR(1/(1/_xlfn.MINIFS(TblApplications[Mois prov (calc)],TblApplications[ID],$C67)),""))</f>
        <v/>
      </c>
      <c r="AF67" s="33" t="str">
        <f>IF($C67="","",IFERROR(1/(1/_xlfn.MAXIFS(TblApplications[Mois lib (calc)],TblApplications[ID],$C67)),""))</f>
        <v/>
      </c>
      <c r="AG67" s="26" t="str">
        <f>IF($C67="","",IF(OR(OR($A67="",$B67="",$D67="",$E67="",$F67="",$G67=""),AND($G67="À migrer",OR($H67="",$I67="",$O67="",$U67="",$V67="",$W67="")),AND($G67="Migré",OR($O67="")),AND($G67="À décommissionner",OR($I67="",$W67=""))),"Données manquantes (selon l’action)",IF(AND($G67&lt;&gt;"Migré",$G67&lt;&gt;"À migrer",$G67&lt;&gt;"À décommissionner",$G67&lt;&gt;"Décommissionné"),"Action invalide",IF(COUNTIF(TblDomaines[Domaine],$A67)=0,"Domaine inconnu (référentiel)",IF(COUNTIFS(TblTribes[Tribe],$B67,TblTribes[Domaine de la tribe],$A67)=0,"Tribe inconnue ou hors domaine",IF(AND($G67="À migrer",$H67&lt;&gt;"Oui",$H67&lt;&gt;"Non"),"Valeur Oui/Non invalide (Déjà incluse ROKS)",IF(AND($E67&lt;&gt;"PRD",$E67&lt;&gt;"NPRD"),"Environnement invalide",IF(COUNTIFS(TblApplications[ID],$C67,TblApplications[Environnement],$E67,TblApplications[Couloir],$F67)&gt;1,"Déploiement en doublon (ID + env + couloir)",IF(AND(OR(OR($G67="À migrer",$G67="Migré"),OR($G67="À migrer",$G67="À décommissionner")),N($P67)&lt;=0),"Conso Dynatrace absente (onglet Dynatrace)",IF(OR(AND($P67&lt;&gt;"",NOT(ISNUMBER($P67))),AND($Q67&lt;&gt;"",NOT(ISNUMBER($Q67)))),"Ressource non numérique",IF(MIN(N($P67),N($Q67))&lt;0,"Ressource négative",IF(OR(AND($AH67&lt;&gt;"",OR(NOT(ISNUMBER($AH67)),$AH67&lt;0,$AH67&gt;1)),AND($AI67&lt;&gt;"",OR(NOT(ISNUMBER($AI67)),$AI67&lt;0,$AI67&gt;1))),"Marge spécifique invalide (0–100 %)",IF(OR(AND($U67&lt;&gt;"",NOT(ISNUMBER($U67))),AND($V67&lt;&gt;"",NOT(ISNUMBER($V67))),AND($W67&lt;&gt;"",NOT(ISNUMBER($W67)))),"Mois invalide",IF(AND(OR($G67="À migrer",$G67="À décommissionner"),COUNTIFS(TblClusters[Cluster],$I67,TblClusters[Plateforme],"IKS")=0),"Cluster IKS inconnu",IF(AND(OR($G67="À migrer",$G67="Migré"),COUNTIFS(TblClusters[Cluster],$O67,TblClusters[Plateforme],"ROKS")=0),"Cluster ROKS inconnu",IF(AND(OR($G67="À migrer",$G67="À décommissionner"),COUNTIFS(TblClusters[Cluster],$I67,TblClusters[Environnement],$E67)=0),"Environnement ≠ cluster IKS",IF(AND(OR($G67="À migrer",$G67="Migré"),COUNTIFS(TblClusters[Cluster],$O67,TblClusters[Environnement],$E67)=0),"Environnement ≠ cluster ROKS",IF(AND($G67="À migrer",OR($U67&gt;$V67,$V67&gt;$W67)),"Dates incohérentes (prov ≤ bascule ≤ libération)",IF(AND(OR($G67="À migrer",$G67="À décommissionner"),OR(N($AO67)&gt;SUMIFS(TblClusters[CPU initial (vCPU)],TblClusters[Cluster],$I67),N($AP67)&gt;SUMIFS(TblClusters[RAM initiale (Go)],TblClusters[Cluster],$I67))),"Forçage &gt; capacité du cluster source",IF(OR(AND($AA67&lt;&gt;"",$AA67&lt;p_debut),AND($AB67&lt;&gt;"",$AB67&gt;p_fin)),"Hors horizon (info)",IF(AND($G67="À migrer",$E67="PRD",COUNTIFS(TblApplications[ID],$C67,TblApplications[Environnement],"NPRD",TblApplications[Action],"À migrer")&gt;0,$AA67&lt;_xlfn.MINIFS(TblApplications[Mois prov (calc)],TblApplications[ID],$C67,TblApplications[Environnement],"NPRD")),"PRD avant NPRD (info)","OK")))))))))))))))))))))</f>
        <v/>
      </c>
      <c r="AH67" s="62"/>
      <c r="AI67" s="62"/>
      <c r="AJ67" s="27" t="str">
        <f>IF(OR($C67="",NOT(OR($G67="À migrer",$G67="À décommissionner")),NOT(ISNUMBER($S67)),NOT(ISNUMBER($T67)),$AB67=""),"",($S67+p_poidsram*$T67)*SUMIFS(TblCalculs[Coût par unité],TblCalculs[Cluster],$I67,TblCalculs[Mois],"&lt;"&amp;$AB67))</f>
        <v/>
      </c>
      <c r="AK67" s="27" t="str">
        <f>IF($C67="","",IF(AND($G67="À migrer",$H67="Non",$Y67&lt;&gt;"",$AA67&lt;&gt;""),($Y67+p_poidsram*$Z67)*SUMIFS(TblCalculs[Coût par unité],TblCalculs[Cluster],$O67,TblCalculs[Mois],"&gt;="&amp;$AA67),IF(AND($G67="Migré",$Y67&lt;&gt;""),($Y67+p_poidsram*$Z67)*SUMIFS(TblCalculs[Coût par unité],TblCalculs[Cluster],$O67),"")))</f>
        <v/>
      </c>
      <c r="AL67" s="27" t="str">
        <f t="shared" si="6"/>
        <v/>
      </c>
      <c r="AM67" s="26" t="str">
        <f t="shared" si="7"/>
        <v/>
      </c>
      <c r="AN67" s="26" t="str">
        <f>IF(OR($C67="",$AM67&lt;&gt;1,COUNTIFS($E67,ex_envc,$A67,ex_domc,$B67,ex_tric)=0),"",COUNTIFS($AM$6:$AM67,1,$E$6:$E67,ex_envc,$A$6:$A67,ex_domc,$B$6:$B67,ex_tric))</f>
        <v/>
      </c>
      <c r="AO67" s="63"/>
      <c r="AP67" s="63"/>
      <c r="AQ67" s="63"/>
      <c r="AR67" s="63"/>
    </row>
    <row r="68" spans="1:44" x14ac:dyDescent="0.2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26" t="str">
        <f t="shared" si="0"/>
        <v/>
      </c>
      <c r="O68" s="59"/>
      <c r="P68" s="60" t="str">
        <f>IF($C68="","",IF($AQ68&lt;&gt;"",$AQ68,SUMIFS(TblDynatrace[CPU P95 (vCPU)],TblDynatrace[ID],$C68,TblDynatrace[Environnement],$E68,TblDynatrace[Couloir],$F68)))</f>
        <v/>
      </c>
      <c r="Q68" s="60" t="str">
        <f>IF($C68="","",IF($AR68&lt;&gt;"",$AR68,SUMIFS(TblDynatrace[RAM P95 (Go)],TblDynatrace[ID],$C68,TblDynatrace[Environnement],$E68,TblDynatrace[Couloir],$F68)))</f>
        <v/>
      </c>
      <c r="R68" s="26" t="str">
        <f>IF($C68="","",IFERROR(INDEX(TblDynatrace[Métrique / période],MATCH($C68&amp;"|"&amp;$E68&amp;"|"&amp;$F68,TblDynatrace[Clé],0)),""))</f>
        <v/>
      </c>
      <c r="S68" s="60" t="str">
        <f>IF(OR($C68="",NOT(OR($G68="À migrer",$G68="À décommissionner")),$I68="",NOT(ISNUMBER($P68))),"",IF($AO68&lt;&gt;"",$AO68,IFERROR(SUMIFS(TblClusters[CPU initial (vCPU)],TblClusters[Cluster],$I68)*$P68/(SUMIFS(TblApplications[CPU Dynatrace (vCPU)],TblApplications[Cluster IKS source],$I68,TblApplications[Action],"À migrer")+SUMIFS(TblApplications[CPU Dynatrace (vCPU)],TblApplications[Cluster IKS source],$I68,TblApplications[Action],"À décommissionner")),0)))</f>
        <v/>
      </c>
      <c r="T68" s="60" t="str">
        <f>IF(OR($C68="",NOT(OR($G68="À migrer",$G68="À décommissionner")),$I68="",NOT(ISNUMBER($Q68))),"",IF($AP68&lt;&gt;"",$AP68,IFERROR(SUMIFS(TblClusters[RAM initiale (Go)],TblClusters[Cluster],$I68)*$Q68/(SUMIFS(TblApplications[RAM Dynatrace (Go)],TblApplications[Cluster IKS source],$I68,TblApplications[Action],"À migrer")+SUMIFS(TblApplications[RAM Dynatrace (Go)],TblApplications[Cluster IKS source],$I68,TblApplications[Action],"À décommissionner")),0)))</f>
        <v/>
      </c>
      <c r="U68" s="61"/>
      <c r="V68" s="61"/>
      <c r="W68" s="61"/>
      <c r="X68" s="59"/>
      <c r="Y68" s="26" t="str">
        <f t="shared" si="1"/>
        <v/>
      </c>
      <c r="Z68" s="26" t="str">
        <f t="shared" si="2"/>
        <v/>
      </c>
      <c r="AA68" s="33" t="str">
        <f t="shared" si="3"/>
        <v/>
      </c>
      <c r="AB68" s="33" t="str">
        <f t="shared" si="4"/>
        <v/>
      </c>
      <c r="AC68" s="26" t="str">
        <f t="shared" si="5"/>
        <v/>
      </c>
      <c r="AD68" s="26" t="str">
        <f>IF($C68="","",COUNTIF(TblApplications[ID],$C68))</f>
        <v/>
      </c>
      <c r="AE68" s="33" t="str">
        <f>IF($C68="","",IFERROR(1/(1/_xlfn.MINIFS(TblApplications[Mois prov (calc)],TblApplications[ID],$C68)),""))</f>
        <v/>
      </c>
      <c r="AF68" s="33" t="str">
        <f>IF($C68="","",IFERROR(1/(1/_xlfn.MAXIFS(TblApplications[Mois lib (calc)],TblApplications[ID],$C68)),""))</f>
        <v/>
      </c>
      <c r="AG68" s="26" t="str">
        <f>IF($C68="","",IF(OR(OR($A68="",$B68="",$D68="",$E68="",$F68="",$G68=""),AND($G68="À migrer",OR($H68="",$I68="",$O68="",$U68="",$V68="",$W68="")),AND($G68="Migré",OR($O68="")),AND($G68="À décommissionner",OR($I68="",$W68=""))),"Données manquantes (selon l’action)",IF(AND($G68&lt;&gt;"Migré",$G68&lt;&gt;"À migrer",$G68&lt;&gt;"À décommissionner",$G68&lt;&gt;"Décommissionné"),"Action invalide",IF(COUNTIF(TblDomaines[Domaine],$A68)=0,"Domaine inconnu (référentiel)",IF(COUNTIFS(TblTribes[Tribe],$B68,TblTribes[Domaine de la tribe],$A68)=0,"Tribe inconnue ou hors domaine",IF(AND($G68="À migrer",$H68&lt;&gt;"Oui",$H68&lt;&gt;"Non"),"Valeur Oui/Non invalide (Déjà incluse ROKS)",IF(AND($E68&lt;&gt;"PRD",$E68&lt;&gt;"NPRD"),"Environnement invalide",IF(COUNTIFS(TblApplications[ID],$C68,TblApplications[Environnement],$E68,TblApplications[Couloir],$F68)&gt;1,"Déploiement en doublon (ID + env + couloir)",IF(AND(OR(OR($G68="À migrer",$G68="Migré"),OR($G68="À migrer",$G68="À décommissionner")),N($P68)&lt;=0),"Conso Dynatrace absente (onglet Dynatrace)",IF(OR(AND($P68&lt;&gt;"",NOT(ISNUMBER($P68))),AND($Q68&lt;&gt;"",NOT(ISNUMBER($Q68)))),"Ressource non numérique",IF(MIN(N($P68),N($Q68))&lt;0,"Ressource négative",IF(OR(AND($AH68&lt;&gt;"",OR(NOT(ISNUMBER($AH68)),$AH68&lt;0,$AH68&gt;1)),AND($AI68&lt;&gt;"",OR(NOT(ISNUMBER($AI68)),$AI68&lt;0,$AI68&gt;1))),"Marge spécifique invalide (0–100 %)",IF(OR(AND($U68&lt;&gt;"",NOT(ISNUMBER($U68))),AND($V68&lt;&gt;"",NOT(ISNUMBER($V68))),AND($W68&lt;&gt;"",NOT(ISNUMBER($W68)))),"Mois invalide",IF(AND(OR($G68="À migrer",$G68="À décommissionner"),COUNTIFS(TblClusters[Cluster],$I68,TblClusters[Plateforme],"IKS")=0),"Cluster IKS inconnu",IF(AND(OR($G68="À migrer",$G68="Migré"),COUNTIFS(TblClusters[Cluster],$O68,TblClusters[Plateforme],"ROKS")=0),"Cluster ROKS inconnu",IF(AND(OR($G68="À migrer",$G68="À décommissionner"),COUNTIFS(TblClusters[Cluster],$I68,TblClusters[Environnement],$E68)=0),"Environnement ≠ cluster IKS",IF(AND(OR($G68="À migrer",$G68="Migré"),COUNTIFS(TblClusters[Cluster],$O68,TblClusters[Environnement],$E68)=0),"Environnement ≠ cluster ROKS",IF(AND($G68="À migrer",OR($U68&gt;$V68,$V68&gt;$W68)),"Dates incohérentes (prov ≤ bascule ≤ libération)",IF(AND(OR($G68="À migrer",$G68="À décommissionner"),OR(N($AO68)&gt;SUMIFS(TblClusters[CPU initial (vCPU)],TblClusters[Cluster],$I68),N($AP68)&gt;SUMIFS(TblClusters[RAM initiale (Go)],TblClusters[Cluster],$I68))),"Forçage &gt; capacité du cluster source",IF(OR(AND($AA68&lt;&gt;"",$AA68&lt;p_debut),AND($AB68&lt;&gt;"",$AB68&gt;p_fin)),"Hors horizon (info)",IF(AND($G68="À migrer",$E68="PRD",COUNTIFS(TblApplications[ID],$C68,TblApplications[Environnement],"NPRD",TblApplications[Action],"À migrer")&gt;0,$AA68&lt;_xlfn.MINIFS(TblApplications[Mois prov (calc)],TblApplications[ID],$C68,TblApplications[Environnement],"NPRD")),"PRD avant NPRD (info)","OK")))))))))))))))))))))</f>
        <v/>
      </c>
      <c r="AH68" s="62"/>
      <c r="AI68" s="62"/>
      <c r="AJ68" s="27" t="str">
        <f>IF(OR($C68="",NOT(OR($G68="À migrer",$G68="À décommissionner")),NOT(ISNUMBER($S68)),NOT(ISNUMBER($T68)),$AB68=""),"",($S68+p_poidsram*$T68)*SUMIFS(TblCalculs[Coût par unité],TblCalculs[Cluster],$I68,TblCalculs[Mois],"&lt;"&amp;$AB68))</f>
        <v/>
      </c>
      <c r="AK68" s="27" t="str">
        <f>IF($C68="","",IF(AND($G68="À migrer",$H68="Non",$Y68&lt;&gt;"",$AA68&lt;&gt;""),($Y68+p_poidsram*$Z68)*SUMIFS(TblCalculs[Coût par unité],TblCalculs[Cluster],$O68,TblCalculs[Mois],"&gt;="&amp;$AA68),IF(AND($G68="Migré",$Y68&lt;&gt;""),($Y68+p_poidsram*$Z68)*SUMIFS(TblCalculs[Coût par unité],TblCalculs[Cluster],$O68),"")))</f>
        <v/>
      </c>
      <c r="AL68" s="27" t="str">
        <f t="shared" si="6"/>
        <v/>
      </c>
      <c r="AM68" s="26" t="str">
        <f t="shared" si="7"/>
        <v/>
      </c>
      <c r="AN68" s="26" t="str">
        <f>IF(OR($C68="",$AM68&lt;&gt;1,COUNTIFS($E68,ex_envc,$A68,ex_domc,$B68,ex_tric)=0),"",COUNTIFS($AM$6:$AM68,1,$E$6:$E68,ex_envc,$A$6:$A68,ex_domc,$B$6:$B68,ex_tric))</f>
        <v/>
      </c>
      <c r="AO68" s="63"/>
      <c r="AP68" s="63"/>
      <c r="AQ68" s="63"/>
      <c r="AR68" s="63"/>
    </row>
    <row r="69" spans="1:44" x14ac:dyDescent="0.2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26" t="str">
        <f t="shared" si="0"/>
        <v/>
      </c>
      <c r="O69" s="59"/>
      <c r="P69" s="60" t="str">
        <f>IF($C69="","",IF($AQ69&lt;&gt;"",$AQ69,SUMIFS(TblDynatrace[CPU P95 (vCPU)],TblDynatrace[ID],$C69,TblDynatrace[Environnement],$E69,TblDynatrace[Couloir],$F69)))</f>
        <v/>
      </c>
      <c r="Q69" s="60" t="str">
        <f>IF($C69="","",IF($AR69&lt;&gt;"",$AR69,SUMIFS(TblDynatrace[RAM P95 (Go)],TblDynatrace[ID],$C69,TblDynatrace[Environnement],$E69,TblDynatrace[Couloir],$F69)))</f>
        <v/>
      </c>
      <c r="R69" s="26" t="str">
        <f>IF($C69="","",IFERROR(INDEX(TblDynatrace[Métrique / période],MATCH($C69&amp;"|"&amp;$E69&amp;"|"&amp;$F69,TblDynatrace[Clé],0)),""))</f>
        <v/>
      </c>
      <c r="S69" s="60" t="str">
        <f>IF(OR($C69="",NOT(OR($G69="À migrer",$G69="À décommissionner")),$I69="",NOT(ISNUMBER($P69))),"",IF($AO69&lt;&gt;"",$AO69,IFERROR(SUMIFS(TblClusters[CPU initial (vCPU)],TblClusters[Cluster],$I69)*$P69/(SUMIFS(TblApplications[CPU Dynatrace (vCPU)],TblApplications[Cluster IKS source],$I69,TblApplications[Action],"À migrer")+SUMIFS(TblApplications[CPU Dynatrace (vCPU)],TblApplications[Cluster IKS source],$I69,TblApplications[Action],"À décommissionner")),0)))</f>
        <v/>
      </c>
      <c r="T69" s="60" t="str">
        <f>IF(OR($C69="",NOT(OR($G69="À migrer",$G69="À décommissionner")),$I69="",NOT(ISNUMBER($Q69))),"",IF($AP69&lt;&gt;"",$AP69,IFERROR(SUMIFS(TblClusters[RAM initiale (Go)],TblClusters[Cluster],$I69)*$Q69/(SUMIFS(TblApplications[RAM Dynatrace (Go)],TblApplications[Cluster IKS source],$I69,TblApplications[Action],"À migrer")+SUMIFS(TblApplications[RAM Dynatrace (Go)],TblApplications[Cluster IKS source],$I69,TblApplications[Action],"À décommissionner")),0)))</f>
        <v/>
      </c>
      <c r="U69" s="61"/>
      <c r="V69" s="61"/>
      <c r="W69" s="61"/>
      <c r="X69" s="59"/>
      <c r="Y69" s="26" t="str">
        <f t="shared" si="1"/>
        <v/>
      </c>
      <c r="Z69" s="26" t="str">
        <f t="shared" si="2"/>
        <v/>
      </c>
      <c r="AA69" s="33" t="str">
        <f t="shared" si="3"/>
        <v/>
      </c>
      <c r="AB69" s="33" t="str">
        <f t="shared" si="4"/>
        <v/>
      </c>
      <c r="AC69" s="26" t="str">
        <f t="shared" si="5"/>
        <v/>
      </c>
      <c r="AD69" s="26" t="str">
        <f>IF($C69="","",COUNTIF(TblApplications[ID],$C69))</f>
        <v/>
      </c>
      <c r="AE69" s="33" t="str">
        <f>IF($C69="","",IFERROR(1/(1/_xlfn.MINIFS(TblApplications[Mois prov (calc)],TblApplications[ID],$C69)),""))</f>
        <v/>
      </c>
      <c r="AF69" s="33" t="str">
        <f>IF($C69="","",IFERROR(1/(1/_xlfn.MAXIFS(TblApplications[Mois lib (calc)],TblApplications[ID],$C69)),""))</f>
        <v/>
      </c>
      <c r="AG69" s="26" t="str">
        <f>IF($C69="","",IF(OR(OR($A69="",$B69="",$D69="",$E69="",$F69="",$G69=""),AND($G69="À migrer",OR($H69="",$I69="",$O69="",$U69="",$V69="",$W69="")),AND($G69="Migré",OR($O69="")),AND($G69="À décommissionner",OR($I69="",$W69=""))),"Données manquantes (selon l’action)",IF(AND($G69&lt;&gt;"Migré",$G69&lt;&gt;"À migrer",$G69&lt;&gt;"À décommissionner",$G69&lt;&gt;"Décommissionné"),"Action invalide",IF(COUNTIF(TblDomaines[Domaine],$A69)=0,"Domaine inconnu (référentiel)",IF(COUNTIFS(TblTribes[Tribe],$B69,TblTribes[Domaine de la tribe],$A69)=0,"Tribe inconnue ou hors domaine",IF(AND($G69="À migrer",$H69&lt;&gt;"Oui",$H69&lt;&gt;"Non"),"Valeur Oui/Non invalide (Déjà incluse ROKS)",IF(AND($E69&lt;&gt;"PRD",$E69&lt;&gt;"NPRD"),"Environnement invalide",IF(COUNTIFS(TblApplications[ID],$C69,TblApplications[Environnement],$E69,TblApplications[Couloir],$F69)&gt;1,"Déploiement en doublon (ID + env + couloir)",IF(AND(OR(OR($G69="À migrer",$G69="Migré"),OR($G69="À migrer",$G69="À décommissionner")),N($P69)&lt;=0),"Conso Dynatrace absente (onglet Dynatrace)",IF(OR(AND($P69&lt;&gt;"",NOT(ISNUMBER($P69))),AND($Q69&lt;&gt;"",NOT(ISNUMBER($Q69)))),"Ressource non numérique",IF(MIN(N($P69),N($Q69))&lt;0,"Ressource négative",IF(OR(AND($AH69&lt;&gt;"",OR(NOT(ISNUMBER($AH69)),$AH69&lt;0,$AH69&gt;1)),AND($AI69&lt;&gt;"",OR(NOT(ISNUMBER($AI69)),$AI69&lt;0,$AI69&gt;1))),"Marge spécifique invalide (0–100 %)",IF(OR(AND($U69&lt;&gt;"",NOT(ISNUMBER($U69))),AND($V69&lt;&gt;"",NOT(ISNUMBER($V69))),AND($W69&lt;&gt;"",NOT(ISNUMBER($W69)))),"Mois invalide",IF(AND(OR($G69="À migrer",$G69="À décommissionner"),COUNTIFS(TblClusters[Cluster],$I69,TblClusters[Plateforme],"IKS")=0),"Cluster IKS inconnu",IF(AND(OR($G69="À migrer",$G69="Migré"),COUNTIFS(TblClusters[Cluster],$O69,TblClusters[Plateforme],"ROKS")=0),"Cluster ROKS inconnu",IF(AND(OR($G69="À migrer",$G69="À décommissionner"),COUNTIFS(TblClusters[Cluster],$I69,TblClusters[Environnement],$E69)=0),"Environnement ≠ cluster IKS",IF(AND(OR($G69="À migrer",$G69="Migré"),COUNTIFS(TblClusters[Cluster],$O69,TblClusters[Environnement],$E69)=0),"Environnement ≠ cluster ROKS",IF(AND($G69="À migrer",OR($U69&gt;$V69,$V69&gt;$W69)),"Dates incohérentes (prov ≤ bascule ≤ libération)",IF(AND(OR($G69="À migrer",$G69="À décommissionner"),OR(N($AO69)&gt;SUMIFS(TblClusters[CPU initial (vCPU)],TblClusters[Cluster],$I69),N($AP69)&gt;SUMIFS(TblClusters[RAM initiale (Go)],TblClusters[Cluster],$I69))),"Forçage &gt; capacité du cluster source",IF(OR(AND($AA69&lt;&gt;"",$AA69&lt;p_debut),AND($AB69&lt;&gt;"",$AB69&gt;p_fin)),"Hors horizon (info)",IF(AND($G69="À migrer",$E69="PRD",COUNTIFS(TblApplications[ID],$C69,TblApplications[Environnement],"NPRD",TblApplications[Action],"À migrer")&gt;0,$AA69&lt;_xlfn.MINIFS(TblApplications[Mois prov (calc)],TblApplications[ID],$C69,TblApplications[Environnement],"NPRD")),"PRD avant NPRD (info)","OK")))))))))))))))))))))</f>
        <v/>
      </c>
      <c r="AH69" s="62"/>
      <c r="AI69" s="62"/>
      <c r="AJ69" s="27" t="str">
        <f>IF(OR($C69="",NOT(OR($G69="À migrer",$G69="À décommissionner")),NOT(ISNUMBER($S69)),NOT(ISNUMBER($T69)),$AB69=""),"",($S69+p_poidsram*$T69)*SUMIFS(TblCalculs[Coût par unité],TblCalculs[Cluster],$I69,TblCalculs[Mois],"&lt;"&amp;$AB69))</f>
        <v/>
      </c>
      <c r="AK69" s="27" t="str">
        <f>IF($C69="","",IF(AND($G69="À migrer",$H69="Non",$Y69&lt;&gt;"",$AA69&lt;&gt;""),($Y69+p_poidsram*$Z69)*SUMIFS(TblCalculs[Coût par unité],TblCalculs[Cluster],$O69,TblCalculs[Mois],"&gt;="&amp;$AA69),IF(AND($G69="Migré",$Y69&lt;&gt;""),($Y69+p_poidsram*$Z69)*SUMIFS(TblCalculs[Coût par unité],TblCalculs[Cluster],$O69),"")))</f>
        <v/>
      </c>
      <c r="AL69" s="27" t="str">
        <f t="shared" si="6"/>
        <v/>
      </c>
      <c r="AM69" s="26" t="str">
        <f t="shared" si="7"/>
        <v/>
      </c>
      <c r="AN69" s="26" t="str">
        <f>IF(OR($C69="",$AM69&lt;&gt;1,COUNTIFS($E69,ex_envc,$A69,ex_domc,$B69,ex_tric)=0),"",COUNTIFS($AM$6:$AM69,1,$E$6:$E69,ex_envc,$A$6:$A69,ex_domc,$B$6:$B69,ex_tric))</f>
        <v/>
      </c>
      <c r="AO69" s="63"/>
      <c r="AP69" s="63"/>
      <c r="AQ69" s="63"/>
      <c r="AR69" s="63"/>
    </row>
    <row r="70" spans="1:44" x14ac:dyDescent="0.2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26" t="str">
        <f t="shared" ref="N70:N133" si="8">IF($C70="","",IF($J70="Oui","Dédié (données secrètes)",IF($K70="Oui","Dédié (RGPD / sécurité)",IF($L70="Oui","Dédié (isolement fort)",IF(OR($M70="Oui",AND(ISNUMBER($P70),$P70&gt;=p_seuil_cpu_dedie),AND(ISNUMBER($Q70),$Q70&gt;=p_seuil_ram_dedie)),"Dédié (volume / atypique)","Mutualisé")))))</f>
        <v/>
      </c>
      <c r="O70" s="59"/>
      <c r="P70" s="60" t="str">
        <f>IF($C70="","",IF($AQ70&lt;&gt;"",$AQ70,SUMIFS(TblDynatrace[CPU P95 (vCPU)],TblDynatrace[ID],$C70,TblDynatrace[Environnement],$E70,TblDynatrace[Couloir],$F70)))</f>
        <v/>
      </c>
      <c r="Q70" s="60" t="str">
        <f>IF($C70="","",IF($AR70&lt;&gt;"",$AR70,SUMIFS(TblDynatrace[RAM P95 (Go)],TblDynatrace[ID],$C70,TblDynatrace[Environnement],$E70,TblDynatrace[Couloir],$F70)))</f>
        <v/>
      </c>
      <c r="R70" s="26" t="str">
        <f>IF($C70="","",IFERROR(INDEX(TblDynatrace[Métrique / période],MATCH($C70&amp;"|"&amp;$E70&amp;"|"&amp;$F70,TblDynatrace[Clé],0)),""))</f>
        <v/>
      </c>
      <c r="S70" s="60" t="str">
        <f>IF(OR($C70="",NOT(OR($G70="À migrer",$G70="À décommissionner")),$I70="",NOT(ISNUMBER($P70))),"",IF($AO70&lt;&gt;"",$AO70,IFERROR(SUMIFS(TblClusters[CPU initial (vCPU)],TblClusters[Cluster],$I70)*$P70/(SUMIFS(TblApplications[CPU Dynatrace (vCPU)],TblApplications[Cluster IKS source],$I70,TblApplications[Action],"À migrer")+SUMIFS(TblApplications[CPU Dynatrace (vCPU)],TblApplications[Cluster IKS source],$I70,TblApplications[Action],"À décommissionner")),0)))</f>
        <v/>
      </c>
      <c r="T70" s="60" t="str">
        <f>IF(OR($C70="",NOT(OR($G70="À migrer",$G70="À décommissionner")),$I70="",NOT(ISNUMBER($Q70))),"",IF($AP70&lt;&gt;"",$AP70,IFERROR(SUMIFS(TblClusters[RAM initiale (Go)],TblClusters[Cluster],$I70)*$Q70/(SUMIFS(TblApplications[RAM Dynatrace (Go)],TblApplications[Cluster IKS source],$I70,TblApplications[Action],"À migrer")+SUMIFS(TblApplications[RAM Dynatrace (Go)],TblApplications[Cluster IKS source],$I70,TblApplications[Action],"À décommissionner")),0)))</f>
        <v/>
      </c>
      <c r="U70" s="61"/>
      <c r="V70" s="61"/>
      <c r="W70" s="61"/>
      <c r="X70" s="59"/>
      <c r="Y70" s="26" t="str">
        <f t="shared" ref="Y70:Y133" si="9">IF(OR($C70="",NOT(OR($G70="À migrer",$G70="Migré")),NOT(ISNUMBER($P70))),"",ROUNDUP($P70*(1+IF($AH70="",p_margeCPU,$AH70)),0))</f>
        <v/>
      </c>
      <c r="Z70" s="26" t="str">
        <f t="shared" ref="Z70:Z133" si="10">IF(OR($C70="",NOT(OR($G70="À migrer",$G70="Migré")),NOT(ISNUMBER($Q70))),"",ROUNDUP($Q70*(1+IF($AI70="",p_margeRAM,$AI70)),0))</f>
        <v/>
      </c>
      <c r="AA70" s="33" t="str">
        <f t="shared" ref="AA70:AA133" si="11">IF(OR(NOT($G70="À migrer"),$U70=""),"",IFERROR(DATE(YEAR($U70),MONTH($U70),1),""))</f>
        <v/>
      </c>
      <c r="AB70" s="33" t="str">
        <f t="shared" ref="AB70:AB133" si="12">IF(OR(NOT(OR($G70="À migrer",$G70="À décommissionner")),$W70=""),"",IFERROR(DATE(YEAR($W70),MONTH($W70),1),""))</f>
        <v/>
      </c>
      <c r="AC70" s="26" t="str">
        <f t="shared" ref="AC70:AC133" si="13">IF(OR($AA70="",$AB70=""),"",MAX(0,(YEAR($AB70)-YEAR($AA70))*12+MONTH($AB70)-MONTH($AA70)))</f>
        <v/>
      </c>
      <c r="AD70" s="26" t="str">
        <f>IF($C70="","",COUNTIF(TblApplications[ID],$C70))</f>
        <v/>
      </c>
      <c r="AE70" s="33" t="str">
        <f>IF($C70="","",IFERROR(1/(1/_xlfn.MINIFS(TblApplications[Mois prov (calc)],TblApplications[ID],$C70)),""))</f>
        <v/>
      </c>
      <c r="AF70" s="33" t="str">
        <f>IF($C70="","",IFERROR(1/(1/_xlfn.MAXIFS(TblApplications[Mois lib (calc)],TblApplications[ID],$C70)),""))</f>
        <v/>
      </c>
      <c r="AG70" s="26" t="str">
        <f>IF($C70="","",IF(OR(OR($A70="",$B70="",$D70="",$E70="",$F70="",$G70=""),AND($G70="À migrer",OR($H70="",$I70="",$O70="",$U70="",$V70="",$W70="")),AND($G70="Migré",OR($O70="")),AND($G70="À décommissionner",OR($I70="",$W70=""))),"Données manquantes (selon l’action)",IF(AND($G70&lt;&gt;"Migré",$G70&lt;&gt;"À migrer",$G70&lt;&gt;"À décommissionner",$G70&lt;&gt;"Décommissionné"),"Action invalide",IF(COUNTIF(TblDomaines[Domaine],$A70)=0,"Domaine inconnu (référentiel)",IF(COUNTIFS(TblTribes[Tribe],$B70,TblTribes[Domaine de la tribe],$A70)=0,"Tribe inconnue ou hors domaine",IF(AND($G70="À migrer",$H70&lt;&gt;"Oui",$H70&lt;&gt;"Non"),"Valeur Oui/Non invalide (Déjà incluse ROKS)",IF(AND($E70&lt;&gt;"PRD",$E70&lt;&gt;"NPRD"),"Environnement invalide",IF(COUNTIFS(TblApplications[ID],$C70,TblApplications[Environnement],$E70,TblApplications[Couloir],$F70)&gt;1,"Déploiement en doublon (ID + env + couloir)",IF(AND(OR(OR($G70="À migrer",$G70="Migré"),OR($G70="À migrer",$G70="À décommissionner")),N($P70)&lt;=0),"Conso Dynatrace absente (onglet Dynatrace)",IF(OR(AND($P70&lt;&gt;"",NOT(ISNUMBER($P70))),AND($Q70&lt;&gt;"",NOT(ISNUMBER($Q70)))),"Ressource non numérique",IF(MIN(N($P70),N($Q70))&lt;0,"Ressource négative",IF(OR(AND($AH70&lt;&gt;"",OR(NOT(ISNUMBER($AH70)),$AH70&lt;0,$AH70&gt;1)),AND($AI70&lt;&gt;"",OR(NOT(ISNUMBER($AI70)),$AI70&lt;0,$AI70&gt;1))),"Marge spécifique invalide (0–100 %)",IF(OR(AND($U70&lt;&gt;"",NOT(ISNUMBER($U70))),AND($V70&lt;&gt;"",NOT(ISNUMBER($V70))),AND($W70&lt;&gt;"",NOT(ISNUMBER($W70)))),"Mois invalide",IF(AND(OR($G70="À migrer",$G70="À décommissionner"),COUNTIFS(TblClusters[Cluster],$I70,TblClusters[Plateforme],"IKS")=0),"Cluster IKS inconnu",IF(AND(OR($G70="À migrer",$G70="Migré"),COUNTIFS(TblClusters[Cluster],$O70,TblClusters[Plateforme],"ROKS")=0),"Cluster ROKS inconnu",IF(AND(OR($G70="À migrer",$G70="À décommissionner"),COUNTIFS(TblClusters[Cluster],$I70,TblClusters[Environnement],$E70)=0),"Environnement ≠ cluster IKS",IF(AND(OR($G70="À migrer",$G70="Migré"),COUNTIFS(TblClusters[Cluster],$O70,TblClusters[Environnement],$E70)=0),"Environnement ≠ cluster ROKS",IF(AND($G70="À migrer",OR($U70&gt;$V70,$V70&gt;$W70)),"Dates incohérentes (prov ≤ bascule ≤ libération)",IF(AND(OR($G70="À migrer",$G70="À décommissionner"),OR(N($AO70)&gt;SUMIFS(TblClusters[CPU initial (vCPU)],TblClusters[Cluster],$I70),N($AP70)&gt;SUMIFS(TblClusters[RAM initiale (Go)],TblClusters[Cluster],$I70))),"Forçage &gt; capacité du cluster source",IF(OR(AND($AA70&lt;&gt;"",$AA70&lt;p_debut),AND($AB70&lt;&gt;"",$AB70&gt;p_fin)),"Hors horizon (info)",IF(AND($G70="À migrer",$E70="PRD",COUNTIFS(TblApplications[ID],$C70,TblApplications[Environnement],"NPRD",TblApplications[Action],"À migrer")&gt;0,$AA70&lt;_xlfn.MINIFS(TblApplications[Mois prov (calc)],TblApplications[ID],$C70,TblApplications[Environnement],"NPRD")),"PRD avant NPRD (info)","OK")))))))))))))))))))))</f>
        <v/>
      </c>
      <c r="AH70" s="62"/>
      <c r="AI70" s="62"/>
      <c r="AJ70" s="27" t="str">
        <f>IF(OR($C70="",NOT(OR($G70="À migrer",$G70="À décommissionner")),NOT(ISNUMBER($S70)),NOT(ISNUMBER($T70)),$AB70=""),"",($S70+p_poidsram*$T70)*SUMIFS(TblCalculs[Coût par unité],TblCalculs[Cluster],$I70,TblCalculs[Mois],"&lt;"&amp;$AB70))</f>
        <v/>
      </c>
      <c r="AK70" s="27" t="str">
        <f>IF($C70="","",IF(AND($G70="À migrer",$H70="Non",$Y70&lt;&gt;"",$AA70&lt;&gt;""),($Y70+p_poidsram*$Z70)*SUMIFS(TblCalculs[Coût par unité],TblCalculs[Cluster],$O70,TblCalculs[Mois],"&gt;="&amp;$AA70),IF(AND($G70="Migré",$Y70&lt;&gt;""),($Y70+p_poidsram*$Z70)*SUMIFS(TblCalculs[Coût par unité],TblCalculs[Cluster],$O70),"")))</f>
        <v/>
      </c>
      <c r="AL70" s="27" t="str">
        <f t="shared" ref="AL70:AL133" si="14">IF($C70="","",N($AJ70)+N($AK70))</f>
        <v/>
      </c>
      <c r="AM70" s="26" t="str">
        <f t="shared" ref="AM70:AM133" si="15">IF($C70="","",IF(AND(OR($G70="À migrer",$G70="À décommissionner"),$AB70&lt;&gt;"",$AB70&gt;ex_mois),1,0))</f>
        <v/>
      </c>
      <c r="AN70" s="26" t="str">
        <f>IF(OR($C70="",$AM70&lt;&gt;1,COUNTIFS($E70,ex_envc,$A70,ex_domc,$B70,ex_tric)=0),"",COUNTIFS($AM$6:$AM70,1,$E$6:$E70,ex_envc,$A$6:$A70,ex_domc,$B$6:$B70,ex_tric))</f>
        <v/>
      </c>
      <c r="AO70" s="63"/>
      <c r="AP70" s="63"/>
      <c r="AQ70" s="63"/>
      <c r="AR70" s="63"/>
    </row>
    <row r="71" spans="1:44" x14ac:dyDescent="0.2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26" t="str">
        <f t="shared" si="8"/>
        <v/>
      </c>
      <c r="O71" s="59"/>
      <c r="P71" s="60" t="str">
        <f>IF($C71="","",IF($AQ71&lt;&gt;"",$AQ71,SUMIFS(TblDynatrace[CPU P95 (vCPU)],TblDynatrace[ID],$C71,TblDynatrace[Environnement],$E71,TblDynatrace[Couloir],$F71)))</f>
        <v/>
      </c>
      <c r="Q71" s="60" t="str">
        <f>IF($C71="","",IF($AR71&lt;&gt;"",$AR71,SUMIFS(TblDynatrace[RAM P95 (Go)],TblDynatrace[ID],$C71,TblDynatrace[Environnement],$E71,TblDynatrace[Couloir],$F71)))</f>
        <v/>
      </c>
      <c r="R71" s="26" t="str">
        <f>IF($C71="","",IFERROR(INDEX(TblDynatrace[Métrique / période],MATCH($C71&amp;"|"&amp;$E71&amp;"|"&amp;$F71,TblDynatrace[Clé],0)),""))</f>
        <v/>
      </c>
      <c r="S71" s="60" t="str">
        <f>IF(OR($C71="",NOT(OR($G71="À migrer",$G71="À décommissionner")),$I71="",NOT(ISNUMBER($P71))),"",IF($AO71&lt;&gt;"",$AO71,IFERROR(SUMIFS(TblClusters[CPU initial (vCPU)],TblClusters[Cluster],$I71)*$P71/(SUMIFS(TblApplications[CPU Dynatrace (vCPU)],TblApplications[Cluster IKS source],$I71,TblApplications[Action],"À migrer")+SUMIFS(TblApplications[CPU Dynatrace (vCPU)],TblApplications[Cluster IKS source],$I71,TblApplications[Action],"À décommissionner")),0)))</f>
        <v/>
      </c>
      <c r="T71" s="60" t="str">
        <f>IF(OR($C71="",NOT(OR($G71="À migrer",$G71="À décommissionner")),$I71="",NOT(ISNUMBER($Q71))),"",IF($AP71&lt;&gt;"",$AP71,IFERROR(SUMIFS(TblClusters[RAM initiale (Go)],TblClusters[Cluster],$I71)*$Q71/(SUMIFS(TblApplications[RAM Dynatrace (Go)],TblApplications[Cluster IKS source],$I71,TblApplications[Action],"À migrer")+SUMIFS(TblApplications[RAM Dynatrace (Go)],TblApplications[Cluster IKS source],$I71,TblApplications[Action],"À décommissionner")),0)))</f>
        <v/>
      </c>
      <c r="U71" s="61"/>
      <c r="V71" s="61"/>
      <c r="W71" s="61"/>
      <c r="X71" s="59"/>
      <c r="Y71" s="26" t="str">
        <f t="shared" si="9"/>
        <v/>
      </c>
      <c r="Z71" s="26" t="str">
        <f t="shared" si="10"/>
        <v/>
      </c>
      <c r="AA71" s="33" t="str">
        <f t="shared" si="11"/>
        <v/>
      </c>
      <c r="AB71" s="33" t="str">
        <f t="shared" si="12"/>
        <v/>
      </c>
      <c r="AC71" s="26" t="str">
        <f t="shared" si="13"/>
        <v/>
      </c>
      <c r="AD71" s="26" t="str">
        <f>IF($C71="","",COUNTIF(TblApplications[ID],$C71))</f>
        <v/>
      </c>
      <c r="AE71" s="33" t="str">
        <f>IF($C71="","",IFERROR(1/(1/_xlfn.MINIFS(TblApplications[Mois prov (calc)],TblApplications[ID],$C71)),""))</f>
        <v/>
      </c>
      <c r="AF71" s="33" t="str">
        <f>IF($C71="","",IFERROR(1/(1/_xlfn.MAXIFS(TblApplications[Mois lib (calc)],TblApplications[ID],$C71)),""))</f>
        <v/>
      </c>
      <c r="AG71" s="26" t="str">
        <f>IF($C71="","",IF(OR(OR($A71="",$B71="",$D71="",$E71="",$F71="",$G71=""),AND($G71="À migrer",OR($H71="",$I71="",$O71="",$U71="",$V71="",$W71="")),AND($G71="Migré",OR($O71="")),AND($G71="À décommissionner",OR($I71="",$W71=""))),"Données manquantes (selon l’action)",IF(AND($G71&lt;&gt;"Migré",$G71&lt;&gt;"À migrer",$G71&lt;&gt;"À décommissionner",$G71&lt;&gt;"Décommissionné"),"Action invalide",IF(COUNTIF(TblDomaines[Domaine],$A71)=0,"Domaine inconnu (référentiel)",IF(COUNTIFS(TblTribes[Tribe],$B71,TblTribes[Domaine de la tribe],$A71)=0,"Tribe inconnue ou hors domaine",IF(AND($G71="À migrer",$H71&lt;&gt;"Oui",$H71&lt;&gt;"Non"),"Valeur Oui/Non invalide (Déjà incluse ROKS)",IF(AND($E71&lt;&gt;"PRD",$E71&lt;&gt;"NPRD"),"Environnement invalide",IF(COUNTIFS(TblApplications[ID],$C71,TblApplications[Environnement],$E71,TblApplications[Couloir],$F71)&gt;1,"Déploiement en doublon (ID + env + couloir)",IF(AND(OR(OR($G71="À migrer",$G71="Migré"),OR($G71="À migrer",$G71="À décommissionner")),N($P71)&lt;=0),"Conso Dynatrace absente (onglet Dynatrace)",IF(OR(AND($P71&lt;&gt;"",NOT(ISNUMBER($P71))),AND($Q71&lt;&gt;"",NOT(ISNUMBER($Q71)))),"Ressource non numérique",IF(MIN(N($P71),N($Q71))&lt;0,"Ressource négative",IF(OR(AND($AH71&lt;&gt;"",OR(NOT(ISNUMBER($AH71)),$AH71&lt;0,$AH71&gt;1)),AND($AI71&lt;&gt;"",OR(NOT(ISNUMBER($AI71)),$AI71&lt;0,$AI71&gt;1))),"Marge spécifique invalide (0–100 %)",IF(OR(AND($U71&lt;&gt;"",NOT(ISNUMBER($U71))),AND($V71&lt;&gt;"",NOT(ISNUMBER($V71))),AND($W71&lt;&gt;"",NOT(ISNUMBER($W71)))),"Mois invalide",IF(AND(OR($G71="À migrer",$G71="À décommissionner"),COUNTIFS(TblClusters[Cluster],$I71,TblClusters[Plateforme],"IKS")=0),"Cluster IKS inconnu",IF(AND(OR($G71="À migrer",$G71="Migré"),COUNTIFS(TblClusters[Cluster],$O71,TblClusters[Plateforme],"ROKS")=0),"Cluster ROKS inconnu",IF(AND(OR($G71="À migrer",$G71="À décommissionner"),COUNTIFS(TblClusters[Cluster],$I71,TblClusters[Environnement],$E71)=0),"Environnement ≠ cluster IKS",IF(AND(OR($G71="À migrer",$G71="Migré"),COUNTIFS(TblClusters[Cluster],$O71,TblClusters[Environnement],$E71)=0),"Environnement ≠ cluster ROKS",IF(AND($G71="À migrer",OR($U71&gt;$V71,$V71&gt;$W71)),"Dates incohérentes (prov ≤ bascule ≤ libération)",IF(AND(OR($G71="À migrer",$G71="À décommissionner"),OR(N($AO71)&gt;SUMIFS(TblClusters[CPU initial (vCPU)],TblClusters[Cluster],$I71),N($AP71)&gt;SUMIFS(TblClusters[RAM initiale (Go)],TblClusters[Cluster],$I71))),"Forçage &gt; capacité du cluster source",IF(OR(AND($AA71&lt;&gt;"",$AA71&lt;p_debut),AND($AB71&lt;&gt;"",$AB71&gt;p_fin)),"Hors horizon (info)",IF(AND($G71="À migrer",$E71="PRD",COUNTIFS(TblApplications[ID],$C71,TblApplications[Environnement],"NPRD",TblApplications[Action],"À migrer")&gt;0,$AA71&lt;_xlfn.MINIFS(TblApplications[Mois prov (calc)],TblApplications[ID],$C71,TblApplications[Environnement],"NPRD")),"PRD avant NPRD (info)","OK")))))))))))))))))))))</f>
        <v/>
      </c>
      <c r="AH71" s="62"/>
      <c r="AI71" s="62"/>
      <c r="AJ71" s="27" t="str">
        <f>IF(OR($C71="",NOT(OR($G71="À migrer",$G71="À décommissionner")),NOT(ISNUMBER($S71)),NOT(ISNUMBER($T71)),$AB71=""),"",($S71+p_poidsram*$T71)*SUMIFS(TblCalculs[Coût par unité],TblCalculs[Cluster],$I71,TblCalculs[Mois],"&lt;"&amp;$AB71))</f>
        <v/>
      </c>
      <c r="AK71" s="27" t="str">
        <f>IF($C71="","",IF(AND($G71="À migrer",$H71="Non",$Y71&lt;&gt;"",$AA71&lt;&gt;""),($Y71+p_poidsram*$Z71)*SUMIFS(TblCalculs[Coût par unité],TblCalculs[Cluster],$O71,TblCalculs[Mois],"&gt;="&amp;$AA71),IF(AND($G71="Migré",$Y71&lt;&gt;""),($Y71+p_poidsram*$Z71)*SUMIFS(TblCalculs[Coût par unité],TblCalculs[Cluster],$O71),"")))</f>
        <v/>
      </c>
      <c r="AL71" s="27" t="str">
        <f t="shared" si="14"/>
        <v/>
      </c>
      <c r="AM71" s="26" t="str">
        <f t="shared" si="15"/>
        <v/>
      </c>
      <c r="AN71" s="26" t="str">
        <f>IF(OR($C71="",$AM71&lt;&gt;1,COUNTIFS($E71,ex_envc,$A71,ex_domc,$B71,ex_tric)=0),"",COUNTIFS($AM$6:$AM71,1,$E$6:$E71,ex_envc,$A$6:$A71,ex_domc,$B$6:$B71,ex_tric))</f>
        <v/>
      </c>
      <c r="AO71" s="63"/>
      <c r="AP71" s="63"/>
      <c r="AQ71" s="63"/>
      <c r="AR71" s="63"/>
    </row>
    <row r="72" spans="1:44" x14ac:dyDescent="0.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26" t="str">
        <f t="shared" si="8"/>
        <v/>
      </c>
      <c r="O72" s="59"/>
      <c r="P72" s="60" t="str">
        <f>IF($C72="","",IF($AQ72&lt;&gt;"",$AQ72,SUMIFS(TblDynatrace[CPU P95 (vCPU)],TblDynatrace[ID],$C72,TblDynatrace[Environnement],$E72,TblDynatrace[Couloir],$F72)))</f>
        <v/>
      </c>
      <c r="Q72" s="60" t="str">
        <f>IF($C72="","",IF($AR72&lt;&gt;"",$AR72,SUMIFS(TblDynatrace[RAM P95 (Go)],TblDynatrace[ID],$C72,TblDynatrace[Environnement],$E72,TblDynatrace[Couloir],$F72)))</f>
        <v/>
      </c>
      <c r="R72" s="26" t="str">
        <f>IF($C72="","",IFERROR(INDEX(TblDynatrace[Métrique / période],MATCH($C72&amp;"|"&amp;$E72&amp;"|"&amp;$F72,TblDynatrace[Clé],0)),""))</f>
        <v/>
      </c>
      <c r="S72" s="60" t="str">
        <f>IF(OR($C72="",NOT(OR($G72="À migrer",$G72="À décommissionner")),$I72="",NOT(ISNUMBER($P72))),"",IF($AO72&lt;&gt;"",$AO72,IFERROR(SUMIFS(TblClusters[CPU initial (vCPU)],TblClusters[Cluster],$I72)*$P72/(SUMIFS(TblApplications[CPU Dynatrace (vCPU)],TblApplications[Cluster IKS source],$I72,TblApplications[Action],"À migrer")+SUMIFS(TblApplications[CPU Dynatrace (vCPU)],TblApplications[Cluster IKS source],$I72,TblApplications[Action],"À décommissionner")),0)))</f>
        <v/>
      </c>
      <c r="T72" s="60" t="str">
        <f>IF(OR($C72="",NOT(OR($G72="À migrer",$G72="À décommissionner")),$I72="",NOT(ISNUMBER($Q72))),"",IF($AP72&lt;&gt;"",$AP72,IFERROR(SUMIFS(TblClusters[RAM initiale (Go)],TblClusters[Cluster],$I72)*$Q72/(SUMIFS(TblApplications[RAM Dynatrace (Go)],TblApplications[Cluster IKS source],$I72,TblApplications[Action],"À migrer")+SUMIFS(TblApplications[RAM Dynatrace (Go)],TblApplications[Cluster IKS source],$I72,TblApplications[Action],"À décommissionner")),0)))</f>
        <v/>
      </c>
      <c r="U72" s="61"/>
      <c r="V72" s="61"/>
      <c r="W72" s="61"/>
      <c r="X72" s="59"/>
      <c r="Y72" s="26" t="str">
        <f t="shared" si="9"/>
        <v/>
      </c>
      <c r="Z72" s="26" t="str">
        <f t="shared" si="10"/>
        <v/>
      </c>
      <c r="AA72" s="33" t="str">
        <f t="shared" si="11"/>
        <v/>
      </c>
      <c r="AB72" s="33" t="str">
        <f t="shared" si="12"/>
        <v/>
      </c>
      <c r="AC72" s="26" t="str">
        <f t="shared" si="13"/>
        <v/>
      </c>
      <c r="AD72" s="26" t="str">
        <f>IF($C72="","",COUNTIF(TblApplications[ID],$C72))</f>
        <v/>
      </c>
      <c r="AE72" s="33" t="str">
        <f>IF($C72="","",IFERROR(1/(1/_xlfn.MINIFS(TblApplications[Mois prov (calc)],TblApplications[ID],$C72)),""))</f>
        <v/>
      </c>
      <c r="AF72" s="33" t="str">
        <f>IF($C72="","",IFERROR(1/(1/_xlfn.MAXIFS(TblApplications[Mois lib (calc)],TblApplications[ID],$C72)),""))</f>
        <v/>
      </c>
      <c r="AG72" s="26" t="str">
        <f>IF($C72="","",IF(OR(OR($A72="",$B72="",$D72="",$E72="",$F72="",$G72=""),AND($G72="À migrer",OR($H72="",$I72="",$O72="",$U72="",$V72="",$W72="")),AND($G72="Migré",OR($O72="")),AND($G72="À décommissionner",OR($I72="",$W72=""))),"Données manquantes (selon l’action)",IF(AND($G72&lt;&gt;"Migré",$G72&lt;&gt;"À migrer",$G72&lt;&gt;"À décommissionner",$G72&lt;&gt;"Décommissionné"),"Action invalide",IF(COUNTIF(TblDomaines[Domaine],$A72)=0,"Domaine inconnu (référentiel)",IF(COUNTIFS(TblTribes[Tribe],$B72,TblTribes[Domaine de la tribe],$A72)=0,"Tribe inconnue ou hors domaine",IF(AND($G72="À migrer",$H72&lt;&gt;"Oui",$H72&lt;&gt;"Non"),"Valeur Oui/Non invalide (Déjà incluse ROKS)",IF(AND($E72&lt;&gt;"PRD",$E72&lt;&gt;"NPRD"),"Environnement invalide",IF(COUNTIFS(TblApplications[ID],$C72,TblApplications[Environnement],$E72,TblApplications[Couloir],$F72)&gt;1,"Déploiement en doublon (ID + env + couloir)",IF(AND(OR(OR($G72="À migrer",$G72="Migré"),OR($G72="À migrer",$G72="À décommissionner")),N($P72)&lt;=0),"Conso Dynatrace absente (onglet Dynatrace)",IF(OR(AND($P72&lt;&gt;"",NOT(ISNUMBER($P72))),AND($Q72&lt;&gt;"",NOT(ISNUMBER($Q72)))),"Ressource non numérique",IF(MIN(N($P72),N($Q72))&lt;0,"Ressource négative",IF(OR(AND($AH72&lt;&gt;"",OR(NOT(ISNUMBER($AH72)),$AH72&lt;0,$AH72&gt;1)),AND($AI72&lt;&gt;"",OR(NOT(ISNUMBER($AI72)),$AI72&lt;0,$AI72&gt;1))),"Marge spécifique invalide (0–100 %)",IF(OR(AND($U72&lt;&gt;"",NOT(ISNUMBER($U72))),AND($V72&lt;&gt;"",NOT(ISNUMBER($V72))),AND($W72&lt;&gt;"",NOT(ISNUMBER($W72)))),"Mois invalide",IF(AND(OR($G72="À migrer",$G72="À décommissionner"),COUNTIFS(TblClusters[Cluster],$I72,TblClusters[Plateforme],"IKS")=0),"Cluster IKS inconnu",IF(AND(OR($G72="À migrer",$G72="Migré"),COUNTIFS(TblClusters[Cluster],$O72,TblClusters[Plateforme],"ROKS")=0),"Cluster ROKS inconnu",IF(AND(OR($G72="À migrer",$G72="À décommissionner"),COUNTIFS(TblClusters[Cluster],$I72,TblClusters[Environnement],$E72)=0),"Environnement ≠ cluster IKS",IF(AND(OR($G72="À migrer",$G72="Migré"),COUNTIFS(TblClusters[Cluster],$O72,TblClusters[Environnement],$E72)=0),"Environnement ≠ cluster ROKS",IF(AND($G72="À migrer",OR($U72&gt;$V72,$V72&gt;$W72)),"Dates incohérentes (prov ≤ bascule ≤ libération)",IF(AND(OR($G72="À migrer",$G72="À décommissionner"),OR(N($AO72)&gt;SUMIFS(TblClusters[CPU initial (vCPU)],TblClusters[Cluster],$I72),N($AP72)&gt;SUMIFS(TblClusters[RAM initiale (Go)],TblClusters[Cluster],$I72))),"Forçage &gt; capacité du cluster source",IF(OR(AND($AA72&lt;&gt;"",$AA72&lt;p_debut),AND($AB72&lt;&gt;"",$AB72&gt;p_fin)),"Hors horizon (info)",IF(AND($G72="À migrer",$E72="PRD",COUNTIFS(TblApplications[ID],$C72,TblApplications[Environnement],"NPRD",TblApplications[Action],"À migrer")&gt;0,$AA72&lt;_xlfn.MINIFS(TblApplications[Mois prov (calc)],TblApplications[ID],$C72,TblApplications[Environnement],"NPRD")),"PRD avant NPRD (info)","OK")))))))))))))))))))))</f>
        <v/>
      </c>
      <c r="AH72" s="62"/>
      <c r="AI72" s="62"/>
      <c r="AJ72" s="27" t="str">
        <f>IF(OR($C72="",NOT(OR($G72="À migrer",$G72="À décommissionner")),NOT(ISNUMBER($S72)),NOT(ISNUMBER($T72)),$AB72=""),"",($S72+p_poidsram*$T72)*SUMIFS(TblCalculs[Coût par unité],TblCalculs[Cluster],$I72,TblCalculs[Mois],"&lt;"&amp;$AB72))</f>
        <v/>
      </c>
      <c r="AK72" s="27" t="str">
        <f>IF($C72="","",IF(AND($G72="À migrer",$H72="Non",$Y72&lt;&gt;"",$AA72&lt;&gt;""),($Y72+p_poidsram*$Z72)*SUMIFS(TblCalculs[Coût par unité],TblCalculs[Cluster],$O72,TblCalculs[Mois],"&gt;="&amp;$AA72),IF(AND($G72="Migré",$Y72&lt;&gt;""),($Y72+p_poidsram*$Z72)*SUMIFS(TblCalculs[Coût par unité],TblCalculs[Cluster],$O72),"")))</f>
        <v/>
      </c>
      <c r="AL72" s="27" t="str">
        <f t="shared" si="14"/>
        <v/>
      </c>
      <c r="AM72" s="26" t="str">
        <f t="shared" si="15"/>
        <v/>
      </c>
      <c r="AN72" s="26" t="str">
        <f>IF(OR($C72="",$AM72&lt;&gt;1,COUNTIFS($E72,ex_envc,$A72,ex_domc,$B72,ex_tric)=0),"",COUNTIFS($AM$6:$AM72,1,$E$6:$E72,ex_envc,$A$6:$A72,ex_domc,$B$6:$B72,ex_tric))</f>
        <v/>
      </c>
      <c r="AO72" s="63"/>
      <c r="AP72" s="63"/>
      <c r="AQ72" s="63"/>
      <c r="AR72" s="63"/>
    </row>
    <row r="73" spans="1:44" x14ac:dyDescent="0.2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26" t="str">
        <f t="shared" si="8"/>
        <v/>
      </c>
      <c r="O73" s="59"/>
      <c r="P73" s="60" t="str">
        <f>IF($C73="","",IF($AQ73&lt;&gt;"",$AQ73,SUMIFS(TblDynatrace[CPU P95 (vCPU)],TblDynatrace[ID],$C73,TblDynatrace[Environnement],$E73,TblDynatrace[Couloir],$F73)))</f>
        <v/>
      </c>
      <c r="Q73" s="60" t="str">
        <f>IF($C73="","",IF($AR73&lt;&gt;"",$AR73,SUMIFS(TblDynatrace[RAM P95 (Go)],TblDynatrace[ID],$C73,TblDynatrace[Environnement],$E73,TblDynatrace[Couloir],$F73)))</f>
        <v/>
      </c>
      <c r="R73" s="26" t="str">
        <f>IF($C73="","",IFERROR(INDEX(TblDynatrace[Métrique / période],MATCH($C73&amp;"|"&amp;$E73&amp;"|"&amp;$F73,TblDynatrace[Clé],0)),""))</f>
        <v/>
      </c>
      <c r="S73" s="60" t="str">
        <f>IF(OR($C73="",NOT(OR($G73="À migrer",$G73="À décommissionner")),$I73="",NOT(ISNUMBER($P73))),"",IF($AO73&lt;&gt;"",$AO73,IFERROR(SUMIFS(TblClusters[CPU initial (vCPU)],TblClusters[Cluster],$I73)*$P73/(SUMIFS(TblApplications[CPU Dynatrace (vCPU)],TblApplications[Cluster IKS source],$I73,TblApplications[Action],"À migrer")+SUMIFS(TblApplications[CPU Dynatrace (vCPU)],TblApplications[Cluster IKS source],$I73,TblApplications[Action],"À décommissionner")),0)))</f>
        <v/>
      </c>
      <c r="T73" s="60" t="str">
        <f>IF(OR($C73="",NOT(OR($G73="À migrer",$G73="À décommissionner")),$I73="",NOT(ISNUMBER($Q73))),"",IF($AP73&lt;&gt;"",$AP73,IFERROR(SUMIFS(TblClusters[RAM initiale (Go)],TblClusters[Cluster],$I73)*$Q73/(SUMIFS(TblApplications[RAM Dynatrace (Go)],TblApplications[Cluster IKS source],$I73,TblApplications[Action],"À migrer")+SUMIFS(TblApplications[RAM Dynatrace (Go)],TblApplications[Cluster IKS source],$I73,TblApplications[Action],"À décommissionner")),0)))</f>
        <v/>
      </c>
      <c r="U73" s="61"/>
      <c r="V73" s="61"/>
      <c r="W73" s="61"/>
      <c r="X73" s="59"/>
      <c r="Y73" s="26" t="str">
        <f t="shared" si="9"/>
        <v/>
      </c>
      <c r="Z73" s="26" t="str">
        <f t="shared" si="10"/>
        <v/>
      </c>
      <c r="AA73" s="33" t="str">
        <f t="shared" si="11"/>
        <v/>
      </c>
      <c r="AB73" s="33" t="str">
        <f t="shared" si="12"/>
        <v/>
      </c>
      <c r="AC73" s="26" t="str">
        <f t="shared" si="13"/>
        <v/>
      </c>
      <c r="AD73" s="26" t="str">
        <f>IF($C73="","",COUNTIF(TblApplications[ID],$C73))</f>
        <v/>
      </c>
      <c r="AE73" s="33" t="str">
        <f>IF($C73="","",IFERROR(1/(1/_xlfn.MINIFS(TblApplications[Mois prov (calc)],TblApplications[ID],$C73)),""))</f>
        <v/>
      </c>
      <c r="AF73" s="33" t="str">
        <f>IF($C73="","",IFERROR(1/(1/_xlfn.MAXIFS(TblApplications[Mois lib (calc)],TblApplications[ID],$C73)),""))</f>
        <v/>
      </c>
      <c r="AG73" s="26" t="str">
        <f>IF($C73="","",IF(OR(OR($A73="",$B73="",$D73="",$E73="",$F73="",$G73=""),AND($G73="À migrer",OR($H73="",$I73="",$O73="",$U73="",$V73="",$W73="")),AND($G73="Migré",OR($O73="")),AND($G73="À décommissionner",OR($I73="",$W73=""))),"Données manquantes (selon l’action)",IF(AND($G73&lt;&gt;"Migré",$G73&lt;&gt;"À migrer",$G73&lt;&gt;"À décommissionner",$G73&lt;&gt;"Décommissionné"),"Action invalide",IF(COUNTIF(TblDomaines[Domaine],$A73)=0,"Domaine inconnu (référentiel)",IF(COUNTIFS(TblTribes[Tribe],$B73,TblTribes[Domaine de la tribe],$A73)=0,"Tribe inconnue ou hors domaine",IF(AND($G73="À migrer",$H73&lt;&gt;"Oui",$H73&lt;&gt;"Non"),"Valeur Oui/Non invalide (Déjà incluse ROKS)",IF(AND($E73&lt;&gt;"PRD",$E73&lt;&gt;"NPRD"),"Environnement invalide",IF(COUNTIFS(TblApplications[ID],$C73,TblApplications[Environnement],$E73,TblApplications[Couloir],$F73)&gt;1,"Déploiement en doublon (ID + env + couloir)",IF(AND(OR(OR($G73="À migrer",$G73="Migré"),OR($G73="À migrer",$G73="À décommissionner")),N($P73)&lt;=0),"Conso Dynatrace absente (onglet Dynatrace)",IF(OR(AND($P73&lt;&gt;"",NOT(ISNUMBER($P73))),AND($Q73&lt;&gt;"",NOT(ISNUMBER($Q73)))),"Ressource non numérique",IF(MIN(N($P73),N($Q73))&lt;0,"Ressource négative",IF(OR(AND($AH73&lt;&gt;"",OR(NOT(ISNUMBER($AH73)),$AH73&lt;0,$AH73&gt;1)),AND($AI73&lt;&gt;"",OR(NOT(ISNUMBER($AI73)),$AI73&lt;0,$AI73&gt;1))),"Marge spécifique invalide (0–100 %)",IF(OR(AND($U73&lt;&gt;"",NOT(ISNUMBER($U73))),AND($V73&lt;&gt;"",NOT(ISNUMBER($V73))),AND($W73&lt;&gt;"",NOT(ISNUMBER($W73)))),"Mois invalide",IF(AND(OR($G73="À migrer",$G73="À décommissionner"),COUNTIFS(TblClusters[Cluster],$I73,TblClusters[Plateforme],"IKS")=0),"Cluster IKS inconnu",IF(AND(OR($G73="À migrer",$G73="Migré"),COUNTIFS(TblClusters[Cluster],$O73,TblClusters[Plateforme],"ROKS")=0),"Cluster ROKS inconnu",IF(AND(OR($G73="À migrer",$G73="À décommissionner"),COUNTIFS(TblClusters[Cluster],$I73,TblClusters[Environnement],$E73)=0),"Environnement ≠ cluster IKS",IF(AND(OR($G73="À migrer",$G73="Migré"),COUNTIFS(TblClusters[Cluster],$O73,TblClusters[Environnement],$E73)=0),"Environnement ≠ cluster ROKS",IF(AND($G73="À migrer",OR($U73&gt;$V73,$V73&gt;$W73)),"Dates incohérentes (prov ≤ bascule ≤ libération)",IF(AND(OR($G73="À migrer",$G73="À décommissionner"),OR(N($AO73)&gt;SUMIFS(TblClusters[CPU initial (vCPU)],TblClusters[Cluster],$I73),N($AP73)&gt;SUMIFS(TblClusters[RAM initiale (Go)],TblClusters[Cluster],$I73))),"Forçage &gt; capacité du cluster source",IF(OR(AND($AA73&lt;&gt;"",$AA73&lt;p_debut),AND($AB73&lt;&gt;"",$AB73&gt;p_fin)),"Hors horizon (info)",IF(AND($G73="À migrer",$E73="PRD",COUNTIFS(TblApplications[ID],$C73,TblApplications[Environnement],"NPRD",TblApplications[Action],"À migrer")&gt;0,$AA73&lt;_xlfn.MINIFS(TblApplications[Mois prov (calc)],TblApplications[ID],$C73,TblApplications[Environnement],"NPRD")),"PRD avant NPRD (info)","OK")))))))))))))))))))))</f>
        <v/>
      </c>
      <c r="AH73" s="62"/>
      <c r="AI73" s="62"/>
      <c r="AJ73" s="27" t="str">
        <f>IF(OR($C73="",NOT(OR($G73="À migrer",$G73="À décommissionner")),NOT(ISNUMBER($S73)),NOT(ISNUMBER($T73)),$AB73=""),"",($S73+p_poidsram*$T73)*SUMIFS(TblCalculs[Coût par unité],TblCalculs[Cluster],$I73,TblCalculs[Mois],"&lt;"&amp;$AB73))</f>
        <v/>
      </c>
      <c r="AK73" s="27" t="str">
        <f>IF($C73="","",IF(AND($G73="À migrer",$H73="Non",$Y73&lt;&gt;"",$AA73&lt;&gt;""),($Y73+p_poidsram*$Z73)*SUMIFS(TblCalculs[Coût par unité],TblCalculs[Cluster],$O73,TblCalculs[Mois],"&gt;="&amp;$AA73),IF(AND($G73="Migré",$Y73&lt;&gt;""),($Y73+p_poidsram*$Z73)*SUMIFS(TblCalculs[Coût par unité],TblCalculs[Cluster],$O73),"")))</f>
        <v/>
      </c>
      <c r="AL73" s="27" t="str">
        <f t="shared" si="14"/>
        <v/>
      </c>
      <c r="AM73" s="26" t="str">
        <f t="shared" si="15"/>
        <v/>
      </c>
      <c r="AN73" s="26" t="str">
        <f>IF(OR($C73="",$AM73&lt;&gt;1,COUNTIFS($E73,ex_envc,$A73,ex_domc,$B73,ex_tric)=0),"",COUNTIFS($AM$6:$AM73,1,$E$6:$E73,ex_envc,$A$6:$A73,ex_domc,$B$6:$B73,ex_tric))</f>
        <v/>
      </c>
      <c r="AO73" s="63"/>
      <c r="AP73" s="63"/>
      <c r="AQ73" s="63"/>
      <c r="AR73" s="63"/>
    </row>
    <row r="74" spans="1:44" x14ac:dyDescent="0.2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26" t="str">
        <f t="shared" si="8"/>
        <v/>
      </c>
      <c r="O74" s="59"/>
      <c r="P74" s="60" t="str">
        <f>IF($C74="","",IF($AQ74&lt;&gt;"",$AQ74,SUMIFS(TblDynatrace[CPU P95 (vCPU)],TblDynatrace[ID],$C74,TblDynatrace[Environnement],$E74,TblDynatrace[Couloir],$F74)))</f>
        <v/>
      </c>
      <c r="Q74" s="60" t="str">
        <f>IF($C74="","",IF($AR74&lt;&gt;"",$AR74,SUMIFS(TblDynatrace[RAM P95 (Go)],TblDynatrace[ID],$C74,TblDynatrace[Environnement],$E74,TblDynatrace[Couloir],$F74)))</f>
        <v/>
      </c>
      <c r="R74" s="26" t="str">
        <f>IF($C74="","",IFERROR(INDEX(TblDynatrace[Métrique / période],MATCH($C74&amp;"|"&amp;$E74&amp;"|"&amp;$F74,TblDynatrace[Clé],0)),""))</f>
        <v/>
      </c>
      <c r="S74" s="60" t="str">
        <f>IF(OR($C74="",NOT(OR($G74="À migrer",$G74="À décommissionner")),$I74="",NOT(ISNUMBER($P74))),"",IF($AO74&lt;&gt;"",$AO74,IFERROR(SUMIFS(TblClusters[CPU initial (vCPU)],TblClusters[Cluster],$I74)*$P74/(SUMIFS(TblApplications[CPU Dynatrace (vCPU)],TblApplications[Cluster IKS source],$I74,TblApplications[Action],"À migrer")+SUMIFS(TblApplications[CPU Dynatrace (vCPU)],TblApplications[Cluster IKS source],$I74,TblApplications[Action],"À décommissionner")),0)))</f>
        <v/>
      </c>
      <c r="T74" s="60" t="str">
        <f>IF(OR($C74="",NOT(OR($G74="À migrer",$G74="À décommissionner")),$I74="",NOT(ISNUMBER($Q74))),"",IF($AP74&lt;&gt;"",$AP74,IFERROR(SUMIFS(TblClusters[RAM initiale (Go)],TblClusters[Cluster],$I74)*$Q74/(SUMIFS(TblApplications[RAM Dynatrace (Go)],TblApplications[Cluster IKS source],$I74,TblApplications[Action],"À migrer")+SUMIFS(TblApplications[RAM Dynatrace (Go)],TblApplications[Cluster IKS source],$I74,TblApplications[Action],"À décommissionner")),0)))</f>
        <v/>
      </c>
      <c r="U74" s="61"/>
      <c r="V74" s="61"/>
      <c r="W74" s="61"/>
      <c r="X74" s="59"/>
      <c r="Y74" s="26" t="str">
        <f t="shared" si="9"/>
        <v/>
      </c>
      <c r="Z74" s="26" t="str">
        <f t="shared" si="10"/>
        <v/>
      </c>
      <c r="AA74" s="33" t="str">
        <f t="shared" si="11"/>
        <v/>
      </c>
      <c r="AB74" s="33" t="str">
        <f t="shared" si="12"/>
        <v/>
      </c>
      <c r="AC74" s="26" t="str">
        <f t="shared" si="13"/>
        <v/>
      </c>
      <c r="AD74" s="26" t="str">
        <f>IF($C74="","",COUNTIF(TblApplications[ID],$C74))</f>
        <v/>
      </c>
      <c r="AE74" s="33" t="str">
        <f>IF($C74="","",IFERROR(1/(1/_xlfn.MINIFS(TblApplications[Mois prov (calc)],TblApplications[ID],$C74)),""))</f>
        <v/>
      </c>
      <c r="AF74" s="33" t="str">
        <f>IF($C74="","",IFERROR(1/(1/_xlfn.MAXIFS(TblApplications[Mois lib (calc)],TblApplications[ID],$C74)),""))</f>
        <v/>
      </c>
      <c r="AG74" s="26" t="str">
        <f>IF($C74="","",IF(OR(OR($A74="",$B74="",$D74="",$E74="",$F74="",$G74=""),AND($G74="À migrer",OR($H74="",$I74="",$O74="",$U74="",$V74="",$W74="")),AND($G74="Migré",OR($O74="")),AND($G74="À décommissionner",OR($I74="",$W74=""))),"Données manquantes (selon l’action)",IF(AND($G74&lt;&gt;"Migré",$G74&lt;&gt;"À migrer",$G74&lt;&gt;"À décommissionner",$G74&lt;&gt;"Décommissionné"),"Action invalide",IF(COUNTIF(TblDomaines[Domaine],$A74)=0,"Domaine inconnu (référentiel)",IF(COUNTIFS(TblTribes[Tribe],$B74,TblTribes[Domaine de la tribe],$A74)=0,"Tribe inconnue ou hors domaine",IF(AND($G74="À migrer",$H74&lt;&gt;"Oui",$H74&lt;&gt;"Non"),"Valeur Oui/Non invalide (Déjà incluse ROKS)",IF(AND($E74&lt;&gt;"PRD",$E74&lt;&gt;"NPRD"),"Environnement invalide",IF(COUNTIFS(TblApplications[ID],$C74,TblApplications[Environnement],$E74,TblApplications[Couloir],$F74)&gt;1,"Déploiement en doublon (ID + env + couloir)",IF(AND(OR(OR($G74="À migrer",$G74="Migré"),OR($G74="À migrer",$G74="À décommissionner")),N($P74)&lt;=0),"Conso Dynatrace absente (onglet Dynatrace)",IF(OR(AND($P74&lt;&gt;"",NOT(ISNUMBER($P74))),AND($Q74&lt;&gt;"",NOT(ISNUMBER($Q74)))),"Ressource non numérique",IF(MIN(N($P74),N($Q74))&lt;0,"Ressource négative",IF(OR(AND($AH74&lt;&gt;"",OR(NOT(ISNUMBER($AH74)),$AH74&lt;0,$AH74&gt;1)),AND($AI74&lt;&gt;"",OR(NOT(ISNUMBER($AI74)),$AI74&lt;0,$AI74&gt;1))),"Marge spécifique invalide (0–100 %)",IF(OR(AND($U74&lt;&gt;"",NOT(ISNUMBER($U74))),AND($V74&lt;&gt;"",NOT(ISNUMBER($V74))),AND($W74&lt;&gt;"",NOT(ISNUMBER($W74)))),"Mois invalide",IF(AND(OR($G74="À migrer",$G74="À décommissionner"),COUNTIFS(TblClusters[Cluster],$I74,TblClusters[Plateforme],"IKS")=0),"Cluster IKS inconnu",IF(AND(OR($G74="À migrer",$G74="Migré"),COUNTIFS(TblClusters[Cluster],$O74,TblClusters[Plateforme],"ROKS")=0),"Cluster ROKS inconnu",IF(AND(OR($G74="À migrer",$G74="À décommissionner"),COUNTIFS(TblClusters[Cluster],$I74,TblClusters[Environnement],$E74)=0),"Environnement ≠ cluster IKS",IF(AND(OR($G74="À migrer",$G74="Migré"),COUNTIFS(TblClusters[Cluster],$O74,TblClusters[Environnement],$E74)=0),"Environnement ≠ cluster ROKS",IF(AND($G74="À migrer",OR($U74&gt;$V74,$V74&gt;$W74)),"Dates incohérentes (prov ≤ bascule ≤ libération)",IF(AND(OR($G74="À migrer",$G74="À décommissionner"),OR(N($AO74)&gt;SUMIFS(TblClusters[CPU initial (vCPU)],TblClusters[Cluster],$I74),N($AP74)&gt;SUMIFS(TblClusters[RAM initiale (Go)],TblClusters[Cluster],$I74))),"Forçage &gt; capacité du cluster source",IF(OR(AND($AA74&lt;&gt;"",$AA74&lt;p_debut),AND($AB74&lt;&gt;"",$AB74&gt;p_fin)),"Hors horizon (info)",IF(AND($G74="À migrer",$E74="PRD",COUNTIFS(TblApplications[ID],$C74,TblApplications[Environnement],"NPRD",TblApplications[Action],"À migrer")&gt;0,$AA74&lt;_xlfn.MINIFS(TblApplications[Mois prov (calc)],TblApplications[ID],$C74,TblApplications[Environnement],"NPRD")),"PRD avant NPRD (info)","OK")))))))))))))))))))))</f>
        <v/>
      </c>
      <c r="AH74" s="62"/>
      <c r="AI74" s="62"/>
      <c r="AJ74" s="27" t="str">
        <f>IF(OR($C74="",NOT(OR($G74="À migrer",$G74="À décommissionner")),NOT(ISNUMBER($S74)),NOT(ISNUMBER($T74)),$AB74=""),"",($S74+p_poidsram*$T74)*SUMIFS(TblCalculs[Coût par unité],TblCalculs[Cluster],$I74,TblCalculs[Mois],"&lt;"&amp;$AB74))</f>
        <v/>
      </c>
      <c r="AK74" s="27" t="str">
        <f>IF($C74="","",IF(AND($G74="À migrer",$H74="Non",$Y74&lt;&gt;"",$AA74&lt;&gt;""),($Y74+p_poidsram*$Z74)*SUMIFS(TblCalculs[Coût par unité],TblCalculs[Cluster],$O74,TblCalculs[Mois],"&gt;="&amp;$AA74),IF(AND($G74="Migré",$Y74&lt;&gt;""),($Y74+p_poidsram*$Z74)*SUMIFS(TblCalculs[Coût par unité],TblCalculs[Cluster],$O74),"")))</f>
        <v/>
      </c>
      <c r="AL74" s="27" t="str">
        <f t="shared" si="14"/>
        <v/>
      </c>
      <c r="AM74" s="26" t="str">
        <f t="shared" si="15"/>
        <v/>
      </c>
      <c r="AN74" s="26" t="str">
        <f>IF(OR($C74="",$AM74&lt;&gt;1,COUNTIFS($E74,ex_envc,$A74,ex_domc,$B74,ex_tric)=0),"",COUNTIFS($AM$6:$AM74,1,$E$6:$E74,ex_envc,$A$6:$A74,ex_domc,$B$6:$B74,ex_tric))</f>
        <v/>
      </c>
      <c r="AO74" s="63"/>
      <c r="AP74" s="63"/>
      <c r="AQ74" s="63"/>
      <c r="AR74" s="63"/>
    </row>
    <row r="75" spans="1:44" x14ac:dyDescent="0.2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26" t="str">
        <f t="shared" si="8"/>
        <v/>
      </c>
      <c r="O75" s="59"/>
      <c r="P75" s="60" t="str">
        <f>IF($C75="","",IF($AQ75&lt;&gt;"",$AQ75,SUMIFS(TblDynatrace[CPU P95 (vCPU)],TblDynatrace[ID],$C75,TblDynatrace[Environnement],$E75,TblDynatrace[Couloir],$F75)))</f>
        <v/>
      </c>
      <c r="Q75" s="60" t="str">
        <f>IF($C75="","",IF($AR75&lt;&gt;"",$AR75,SUMIFS(TblDynatrace[RAM P95 (Go)],TblDynatrace[ID],$C75,TblDynatrace[Environnement],$E75,TblDynatrace[Couloir],$F75)))</f>
        <v/>
      </c>
      <c r="R75" s="26" t="str">
        <f>IF($C75="","",IFERROR(INDEX(TblDynatrace[Métrique / période],MATCH($C75&amp;"|"&amp;$E75&amp;"|"&amp;$F75,TblDynatrace[Clé],0)),""))</f>
        <v/>
      </c>
      <c r="S75" s="60" t="str">
        <f>IF(OR($C75="",NOT(OR($G75="À migrer",$G75="À décommissionner")),$I75="",NOT(ISNUMBER($P75))),"",IF($AO75&lt;&gt;"",$AO75,IFERROR(SUMIFS(TblClusters[CPU initial (vCPU)],TblClusters[Cluster],$I75)*$P75/(SUMIFS(TblApplications[CPU Dynatrace (vCPU)],TblApplications[Cluster IKS source],$I75,TblApplications[Action],"À migrer")+SUMIFS(TblApplications[CPU Dynatrace (vCPU)],TblApplications[Cluster IKS source],$I75,TblApplications[Action],"À décommissionner")),0)))</f>
        <v/>
      </c>
      <c r="T75" s="60" t="str">
        <f>IF(OR($C75="",NOT(OR($G75="À migrer",$G75="À décommissionner")),$I75="",NOT(ISNUMBER($Q75))),"",IF($AP75&lt;&gt;"",$AP75,IFERROR(SUMIFS(TblClusters[RAM initiale (Go)],TblClusters[Cluster],$I75)*$Q75/(SUMIFS(TblApplications[RAM Dynatrace (Go)],TblApplications[Cluster IKS source],$I75,TblApplications[Action],"À migrer")+SUMIFS(TblApplications[RAM Dynatrace (Go)],TblApplications[Cluster IKS source],$I75,TblApplications[Action],"À décommissionner")),0)))</f>
        <v/>
      </c>
      <c r="U75" s="61"/>
      <c r="V75" s="61"/>
      <c r="W75" s="61"/>
      <c r="X75" s="59"/>
      <c r="Y75" s="26" t="str">
        <f t="shared" si="9"/>
        <v/>
      </c>
      <c r="Z75" s="26" t="str">
        <f t="shared" si="10"/>
        <v/>
      </c>
      <c r="AA75" s="33" t="str">
        <f t="shared" si="11"/>
        <v/>
      </c>
      <c r="AB75" s="33" t="str">
        <f t="shared" si="12"/>
        <v/>
      </c>
      <c r="AC75" s="26" t="str">
        <f t="shared" si="13"/>
        <v/>
      </c>
      <c r="AD75" s="26" t="str">
        <f>IF($C75="","",COUNTIF(TblApplications[ID],$C75))</f>
        <v/>
      </c>
      <c r="AE75" s="33" t="str">
        <f>IF($C75="","",IFERROR(1/(1/_xlfn.MINIFS(TblApplications[Mois prov (calc)],TblApplications[ID],$C75)),""))</f>
        <v/>
      </c>
      <c r="AF75" s="33" t="str">
        <f>IF($C75="","",IFERROR(1/(1/_xlfn.MAXIFS(TblApplications[Mois lib (calc)],TblApplications[ID],$C75)),""))</f>
        <v/>
      </c>
      <c r="AG75" s="26" t="str">
        <f>IF($C75="","",IF(OR(OR($A75="",$B75="",$D75="",$E75="",$F75="",$G75=""),AND($G75="À migrer",OR($H75="",$I75="",$O75="",$U75="",$V75="",$W75="")),AND($G75="Migré",OR($O75="")),AND($G75="À décommissionner",OR($I75="",$W75=""))),"Données manquantes (selon l’action)",IF(AND($G75&lt;&gt;"Migré",$G75&lt;&gt;"À migrer",$G75&lt;&gt;"À décommissionner",$G75&lt;&gt;"Décommissionné"),"Action invalide",IF(COUNTIF(TblDomaines[Domaine],$A75)=0,"Domaine inconnu (référentiel)",IF(COUNTIFS(TblTribes[Tribe],$B75,TblTribes[Domaine de la tribe],$A75)=0,"Tribe inconnue ou hors domaine",IF(AND($G75="À migrer",$H75&lt;&gt;"Oui",$H75&lt;&gt;"Non"),"Valeur Oui/Non invalide (Déjà incluse ROKS)",IF(AND($E75&lt;&gt;"PRD",$E75&lt;&gt;"NPRD"),"Environnement invalide",IF(COUNTIFS(TblApplications[ID],$C75,TblApplications[Environnement],$E75,TblApplications[Couloir],$F75)&gt;1,"Déploiement en doublon (ID + env + couloir)",IF(AND(OR(OR($G75="À migrer",$G75="Migré"),OR($G75="À migrer",$G75="À décommissionner")),N($P75)&lt;=0),"Conso Dynatrace absente (onglet Dynatrace)",IF(OR(AND($P75&lt;&gt;"",NOT(ISNUMBER($P75))),AND($Q75&lt;&gt;"",NOT(ISNUMBER($Q75)))),"Ressource non numérique",IF(MIN(N($P75),N($Q75))&lt;0,"Ressource négative",IF(OR(AND($AH75&lt;&gt;"",OR(NOT(ISNUMBER($AH75)),$AH75&lt;0,$AH75&gt;1)),AND($AI75&lt;&gt;"",OR(NOT(ISNUMBER($AI75)),$AI75&lt;0,$AI75&gt;1))),"Marge spécifique invalide (0–100 %)",IF(OR(AND($U75&lt;&gt;"",NOT(ISNUMBER($U75))),AND($V75&lt;&gt;"",NOT(ISNUMBER($V75))),AND($W75&lt;&gt;"",NOT(ISNUMBER($W75)))),"Mois invalide",IF(AND(OR($G75="À migrer",$G75="À décommissionner"),COUNTIFS(TblClusters[Cluster],$I75,TblClusters[Plateforme],"IKS")=0),"Cluster IKS inconnu",IF(AND(OR($G75="À migrer",$G75="Migré"),COUNTIFS(TblClusters[Cluster],$O75,TblClusters[Plateforme],"ROKS")=0),"Cluster ROKS inconnu",IF(AND(OR($G75="À migrer",$G75="À décommissionner"),COUNTIFS(TblClusters[Cluster],$I75,TblClusters[Environnement],$E75)=0),"Environnement ≠ cluster IKS",IF(AND(OR($G75="À migrer",$G75="Migré"),COUNTIFS(TblClusters[Cluster],$O75,TblClusters[Environnement],$E75)=0),"Environnement ≠ cluster ROKS",IF(AND($G75="À migrer",OR($U75&gt;$V75,$V75&gt;$W75)),"Dates incohérentes (prov ≤ bascule ≤ libération)",IF(AND(OR($G75="À migrer",$G75="À décommissionner"),OR(N($AO75)&gt;SUMIFS(TblClusters[CPU initial (vCPU)],TblClusters[Cluster],$I75),N($AP75)&gt;SUMIFS(TblClusters[RAM initiale (Go)],TblClusters[Cluster],$I75))),"Forçage &gt; capacité du cluster source",IF(OR(AND($AA75&lt;&gt;"",$AA75&lt;p_debut),AND($AB75&lt;&gt;"",$AB75&gt;p_fin)),"Hors horizon (info)",IF(AND($G75="À migrer",$E75="PRD",COUNTIFS(TblApplications[ID],$C75,TblApplications[Environnement],"NPRD",TblApplications[Action],"À migrer")&gt;0,$AA75&lt;_xlfn.MINIFS(TblApplications[Mois prov (calc)],TblApplications[ID],$C75,TblApplications[Environnement],"NPRD")),"PRD avant NPRD (info)","OK")))))))))))))))))))))</f>
        <v/>
      </c>
      <c r="AH75" s="62"/>
      <c r="AI75" s="62"/>
      <c r="AJ75" s="27" t="str">
        <f>IF(OR($C75="",NOT(OR($G75="À migrer",$G75="À décommissionner")),NOT(ISNUMBER($S75)),NOT(ISNUMBER($T75)),$AB75=""),"",($S75+p_poidsram*$T75)*SUMIFS(TblCalculs[Coût par unité],TblCalculs[Cluster],$I75,TblCalculs[Mois],"&lt;"&amp;$AB75))</f>
        <v/>
      </c>
      <c r="AK75" s="27" t="str">
        <f>IF($C75="","",IF(AND($G75="À migrer",$H75="Non",$Y75&lt;&gt;"",$AA75&lt;&gt;""),($Y75+p_poidsram*$Z75)*SUMIFS(TblCalculs[Coût par unité],TblCalculs[Cluster],$O75,TblCalculs[Mois],"&gt;="&amp;$AA75),IF(AND($G75="Migré",$Y75&lt;&gt;""),($Y75+p_poidsram*$Z75)*SUMIFS(TblCalculs[Coût par unité],TblCalculs[Cluster],$O75),"")))</f>
        <v/>
      </c>
      <c r="AL75" s="27" t="str">
        <f t="shared" si="14"/>
        <v/>
      </c>
      <c r="AM75" s="26" t="str">
        <f t="shared" si="15"/>
        <v/>
      </c>
      <c r="AN75" s="26" t="str">
        <f>IF(OR($C75="",$AM75&lt;&gt;1,COUNTIFS($E75,ex_envc,$A75,ex_domc,$B75,ex_tric)=0),"",COUNTIFS($AM$6:$AM75,1,$E$6:$E75,ex_envc,$A$6:$A75,ex_domc,$B$6:$B75,ex_tric))</f>
        <v/>
      </c>
      <c r="AO75" s="63"/>
      <c r="AP75" s="63"/>
      <c r="AQ75" s="63"/>
      <c r="AR75" s="63"/>
    </row>
    <row r="76" spans="1:44" x14ac:dyDescent="0.2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26" t="str">
        <f t="shared" si="8"/>
        <v/>
      </c>
      <c r="O76" s="59"/>
      <c r="P76" s="60" t="str">
        <f>IF($C76="","",IF($AQ76&lt;&gt;"",$AQ76,SUMIFS(TblDynatrace[CPU P95 (vCPU)],TblDynatrace[ID],$C76,TblDynatrace[Environnement],$E76,TblDynatrace[Couloir],$F76)))</f>
        <v/>
      </c>
      <c r="Q76" s="60" t="str">
        <f>IF($C76="","",IF($AR76&lt;&gt;"",$AR76,SUMIFS(TblDynatrace[RAM P95 (Go)],TblDynatrace[ID],$C76,TblDynatrace[Environnement],$E76,TblDynatrace[Couloir],$F76)))</f>
        <v/>
      </c>
      <c r="R76" s="26" t="str">
        <f>IF($C76="","",IFERROR(INDEX(TblDynatrace[Métrique / période],MATCH($C76&amp;"|"&amp;$E76&amp;"|"&amp;$F76,TblDynatrace[Clé],0)),""))</f>
        <v/>
      </c>
      <c r="S76" s="60" t="str">
        <f>IF(OR($C76="",NOT(OR($G76="À migrer",$G76="À décommissionner")),$I76="",NOT(ISNUMBER($P76))),"",IF($AO76&lt;&gt;"",$AO76,IFERROR(SUMIFS(TblClusters[CPU initial (vCPU)],TblClusters[Cluster],$I76)*$P76/(SUMIFS(TblApplications[CPU Dynatrace (vCPU)],TblApplications[Cluster IKS source],$I76,TblApplications[Action],"À migrer")+SUMIFS(TblApplications[CPU Dynatrace (vCPU)],TblApplications[Cluster IKS source],$I76,TblApplications[Action],"À décommissionner")),0)))</f>
        <v/>
      </c>
      <c r="T76" s="60" t="str">
        <f>IF(OR($C76="",NOT(OR($G76="À migrer",$G76="À décommissionner")),$I76="",NOT(ISNUMBER($Q76))),"",IF($AP76&lt;&gt;"",$AP76,IFERROR(SUMIFS(TblClusters[RAM initiale (Go)],TblClusters[Cluster],$I76)*$Q76/(SUMIFS(TblApplications[RAM Dynatrace (Go)],TblApplications[Cluster IKS source],$I76,TblApplications[Action],"À migrer")+SUMIFS(TblApplications[RAM Dynatrace (Go)],TblApplications[Cluster IKS source],$I76,TblApplications[Action],"À décommissionner")),0)))</f>
        <v/>
      </c>
      <c r="U76" s="61"/>
      <c r="V76" s="61"/>
      <c r="W76" s="61"/>
      <c r="X76" s="59"/>
      <c r="Y76" s="26" t="str">
        <f t="shared" si="9"/>
        <v/>
      </c>
      <c r="Z76" s="26" t="str">
        <f t="shared" si="10"/>
        <v/>
      </c>
      <c r="AA76" s="33" t="str">
        <f t="shared" si="11"/>
        <v/>
      </c>
      <c r="AB76" s="33" t="str">
        <f t="shared" si="12"/>
        <v/>
      </c>
      <c r="AC76" s="26" t="str">
        <f t="shared" si="13"/>
        <v/>
      </c>
      <c r="AD76" s="26" t="str">
        <f>IF($C76="","",COUNTIF(TblApplications[ID],$C76))</f>
        <v/>
      </c>
      <c r="AE76" s="33" t="str">
        <f>IF($C76="","",IFERROR(1/(1/_xlfn.MINIFS(TblApplications[Mois prov (calc)],TblApplications[ID],$C76)),""))</f>
        <v/>
      </c>
      <c r="AF76" s="33" t="str">
        <f>IF($C76="","",IFERROR(1/(1/_xlfn.MAXIFS(TblApplications[Mois lib (calc)],TblApplications[ID],$C76)),""))</f>
        <v/>
      </c>
      <c r="AG76" s="26" t="str">
        <f>IF($C76="","",IF(OR(OR($A76="",$B76="",$D76="",$E76="",$F76="",$G76=""),AND($G76="À migrer",OR($H76="",$I76="",$O76="",$U76="",$V76="",$W76="")),AND($G76="Migré",OR($O76="")),AND($G76="À décommissionner",OR($I76="",$W76=""))),"Données manquantes (selon l’action)",IF(AND($G76&lt;&gt;"Migré",$G76&lt;&gt;"À migrer",$G76&lt;&gt;"À décommissionner",$G76&lt;&gt;"Décommissionné"),"Action invalide",IF(COUNTIF(TblDomaines[Domaine],$A76)=0,"Domaine inconnu (référentiel)",IF(COUNTIFS(TblTribes[Tribe],$B76,TblTribes[Domaine de la tribe],$A76)=0,"Tribe inconnue ou hors domaine",IF(AND($G76="À migrer",$H76&lt;&gt;"Oui",$H76&lt;&gt;"Non"),"Valeur Oui/Non invalide (Déjà incluse ROKS)",IF(AND($E76&lt;&gt;"PRD",$E76&lt;&gt;"NPRD"),"Environnement invalide",IF(COUNTIFS(TblApplications[ID],$C76,TblApplications[Environnement],$E76,TblApplications[Couloir],$F76)&gt;1,"Déploiement en doublon (ID + env + couloir)",IF(AND(OR(OR($G76="À migrer",$G76="Migré"),OR($G76="À migrer",$G76="À décommissionner")),N($P76)&lt;=0),"Conso Dynatrace absente (onglet Dynatrace)",IF(OR(AND($P76&lt;&gt;"",NOT(ISNUMBER($P76))),AND($Q76&lt;&gt;"",NOT(ISNUMBER($Q76)))),"Ressource non numérique",IF(MIN(N($P76),N($Q76))&lt;0,"Ressource négative",IF(OR(AND($AH76&lt;&gt;"",OR(NOT(ISNUMBER($AH76)),$AH76&lt;0,$AH76&gt;1)),AND($AI76&lt;&gt;"",OR(NOT(ISNUMBER($AI76)),$AI76&lt;0,$AI76&gt;1))),"Marge spécifique invalide (0–100 %)",IF(OR(AND($U76&lt;&gt;"",NOT(ISNUMBER($U76))),AND($V76&lt;&gt;"",NOT(ISNUMBER($V76))),AND($W76&lt;&gt;"",NOT(ISNUMBER($W76)))),"Mois invalide",IF(AND(OR($G76="À migrer",$G76="À décommissionner"),COUNTIFS(TblClusters[Cluster],$I76,TblClusters[Plateforme],"IKS")=0),"Cluster IKS inconnu",IF(AND(OR($G76="À migrer",$G76="Migré"),COUNTIFS(TblClusters[Cluster],$O76,TblClusters[Plateforme],"ROKS")=0),"Cluster ROKS inconnu",IF(AND(OR($G76="À migrer",$G76="À décommissionner"),COUNTIFS(TblClusters[Cluster],$I76,TblClusters[Environnement],$E76)=0),"Environnement ≠ cluster IKS",IF(AND(OR($G76="À migrer",$G76="Migré"),COUNTIFS(TblClusters[Cluster],$O76,TblClusters[Environnement],$E76)=0),"Environnement ≠ cluster ROKS",IF(AND($G76="À migrer",OR($U76&gt;$V76,$V76&gt;$W76)),"Dates incohérentes (prov ≤ bascule ≤ libération)",IF(AND(OR($G76="À migrer",$G76="À décommissionner"),OR(N($AO76)&gt;SUMIFS(TblClusters[CPU initial (vCPU)],TblClusters[Cluster],$I76),N($AP76)&gt;SUMIFS(TblClusters[RAM initiale (Go)],TblClusters[Cluster],$I76))),"Forçage &gt; capacité du cluster source",IF(OR(AND($AA76&lt;&gt;"",$AA76&lt;p_debut),AND($AB76&lt;&gt;"",$AB76&gt;p_fin)),"Hors horizon (info)",IF(AND($G76="À migrer",$E76="PRD",COUNTIFS(TblApplications[ID],$C76,TblApplications[Environnement],"NPRD",TblApplications[Action],"À migrer")&gt;0,$AA76&lt;_xlfn.MINIFS(TblApplications[Mois prov (calc)],TblApplications[ID],$C76,TblApplications[Environnement],"NPRD")),"PRD avant NPRD (info)","OK")))))))))))))))))))))</f>
        <v/>
      </c>
      <c r="AH76" s="62"/>
      <c r="AI76" s="62"/>
      <c r="AJ76" s="27" t="str">
        <f>IF(OR($C76="",NOT(OR($G76="À migrer",$G76="À décommissionner")),NOT(ISNUMBER($S76)),NOT(ISNUMBER($T76)),$AB76=""),"",($S76+p_poidsram*$T76)*SUMIFS(TblCalculs[Coût par unité],TblCalculs[Cluster],$I76,TblCalculs[Mois],"&lt;"&amp;$AB76))</f>
        <v/>
      </c>
      <c r="AK76" s="27" t="str">
        <f>IF($C76="","",IF(AND($G76="À migrer",$H76="Non",$Y76&lt;&gt;"",$AA76&lt;&gt;""),($Y76+p_poidsram*$Z76)*SUMIFS(TblCalculs[Coût par unité],TblCalculs[Cluster],$O76,TblCalculs[Mois],"&gt;="&amp;$AA76),IF(AND($G76="Migré",$Y76&lt;&gt;""),($Y76+p_poidsram*$Z76)*SUMIFS(TblCalculs[Coût par unité],TblCalculs[Cluster],$O76),"")))</f>
        <v/>
      </c>
      <c r="AL76" s="27" t="str">
        <f t="shared" si="14"/>
        <v/>
      </c>
      <c r="AM76" s="26" t="str">
        <f t="shared" si="15"/>
        <v/>
      </c>
      <c r="AN76" s="26" t="str">
        <f>IF(OR($C76="",$AM76&lt;&gt;1,COUNTIFS($E76,ex_envc,$A76,ex_domc,$B76,ex_tric)=0),"",COUNTIFS($AM$6:$AM76,1,$E$6:$E76,ex_envc,$A$6:$A76,ex_domc,$B$6:$B76,ex_tric))</f>
        <v/>
      </c>
      <c r="AO76" s="63"/>
      <c r="AP76" s="63"/>
      <c r="AQ76" s="63"/>
      <c r="AR76" s="63"/>
    </row>
    <row r="77" spans="1:44" x14ac:dyDescent="0.2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26" t="str">
        <f t="shared" si="8"/>
        <v/>
      </c>
      <c r="O77" s="59"/>
      <c r="P77" s="60" t="str">
        <f>IF($C77="","",IF($AQ77&lt;&gt;"",$AQ77,SUMIFS(TblDynatrace[CPU P95 (vCPU)],TblDynatrace[ID],$C77,TblDynatrace[Environnement],$E77,TblDynatrace[Couloir],$F77)))</f>
        <v/>
      </c>
      <c r="Q77" s="60" t="str">
        <f>IF($C77="","",IF($AR77&lt;&gt;"",$AR77,SUMIFS(TblDynatrace[RAM P95 (Go)],TblDynatrace[ID],$C77,TblDynatrace[Environnement],$E77,TblDynatrace[Couloir],$F77)))</f>
        <v/>
      </c>
      <c r="R77" s="26" t="str">
        <f>IF($C77="","",IFERROR(INDEX(TblDynatrace[Métrique / période],MATCH($C77&amp;"|"&amp;$E77&amp;"|"&amp;$F77,TblDynatrace[Clé],0)),""))</f>
        <v/>
      </c>
      <c r="S77" s="60" t="str">
        <f>IF(OR($C77="",NOT(OR($G77="À migrer",$G77="À décommissionner")),$I77="",NOT(ISNUMBER($P77))),"",IF($AO77&lt;&gt;"",$AO77,IFERROR(SUMIFS(TblClusters[CPU initial (vCPU)],TblClusters[Cluster],$I77)*$P77/(SUMIFS(TblApplications[CPU Dynatrace (vCPU)],TblApplications[Cluster IKS source],$I77,TblApplications[Action],"À migrer")+SUMIFS(TblApplications[CPU Dynatrace (vCPU)],TblApplications[Cluster IKS source],$I77,TblApplications[Action],"À décommissionner")),0)))</f>
        <v/>
      </c>
      <c r="T77" s="60" t="str">
        <f>IF(OR($C77="",NOT(OR($G77="À migrer",$G77="À décommissionner")),$I77="",NOT(ISNUMBER($Q77))),"",IF($AP77&lt;&gt;"",$AP77,IFERROR(SUMIFS(TblClusters[RAM initiale (Go)],TblClusters[Cluster],$I77)*$Q77/(SUMIFS(TblApplications[RAM Dynatrace (Go)],TblApplications[Cluster IKS source],$I77,TblApplications[Action],"À migrer")+SUMIFS(TblApplications[RAM Dynatrace (Go)],TblApplications[Cluster IKS source],$I77,TblApplications[Action],"À décommissionner")),0)))</f>
        <v/>
      </c>
      <c r="U77" s="61"/>
      <c r="V77" s="61"/>
      <c r="W77" s="61"/>
      <c r="X77" s="59"/>
      <c r="Y77" s="26" t="str">
        <f t="shared" si="9"/>
        <v/>
      </c>
      <c r="Z77" s="26" t="str">
        <f t="shared" si="10"/>
        <v/>
      </c>
      <c r="AA77" s="33" t="str">
        <f t="shared" si="11"/>
        <v/>
      </c>
      <c r="AB77" s="33" t="str">
        <f t="shared" si="12"/>
        <v/>
      </c>
      <c r="AC77" s="26" t="str">
        <f t="shared" si="13"/>
        <v/>
      </c>
      <c r="AD77" s="26" t="str">
        <f>IF($C77="","",COUNTIF(TblApplications[ID],$C77))</f>
        <v/>
      </c>
      <c r="AE77" s="33" t="str">
        <f>IF($C77="","",IFERROR(1/(1/_xlfn.MINIFS(TblApplications[Mois prov (calc)],TblApplications[ID],$C77)),""))</f>
        <v/>
      </c>
      <c r="AF77" s="33" t="str">
        <f>IF($C77="","",IFERROR(1/(1/_xlfn.MAXIFS(TblApplications[Mois lib (calc)],TblApplications[ID],$C77)),""))</f>
        <v/>
      </c>
      <c r="AG77" s="26" t="str">
        <f>IF($C77="","",IF(OR(OR($A77="",$B77="",$D77="",$E77="",$F77="",$G77=""),AND($G77="À migrer",OR($H77="",$I77="",$O77="",$U77="",$V77="",$W77="")),AND($G77="Migré",OR($O77="")),AND($G77="À décommissionner",OR($I77="",$W77=""))),"Données manquantes (selon l’action)",IF(AND($G77&lt;&gt;"Migré",$G77&lt;&gt;"À migrer",$G77&lt;&gt;"À décommissionner",$G77&lt;&gt;"Décommissionné"),"Action invalide",IF(COUNTIF(TblDomaines[Domaine],$A77)=0,"Domaine inconnu (référentiel)",IF(COUNTIFS(TblTribes[Tribe],$B77,TblTribes[Domaine de la tribe],$A77)=0,"Tribe inconnue ou hors domaine",IF(AND($G77="À migrer",$H77&lt;&gt;"Oui",$H77&lt;&gt;"Non"),"Valeur Oui/Non invalide (Déjà incluse ROKS)",IF(AND($E77&lt;&gt;"PRD",$E77&lt;&gt;"NPRD"),"Environnement invalide",IF(COUNTIFS(TblApplications[ID],$C77,TblApplications[Environnement],$E77,TblApplications[Couloir],$F77)&gt;1,"Déploiement en doublon (ID + env + couloir)",IF(AND(OR(OR($G77="À migrer",$G77="Migré"),OR($G77="À migrer",$G77="À décommissionner")),N($P77)&lt;=0),"Conso Dynatrace absente (onglet Dynatrace)",IF(OR(AND($P77&lt;&gt;"",NOT(ISNUMBER($P77))),AND($Q77&lt;&gt;"",NOT(ISNUMBER($Q77)))),"Ressource non numérique",IF(MIN(N($P77),N($Q77))&lt;0,"Ressource négative",IF(OR(AND($AH77&lt;&gt;"",OR(NOT(ISNUMBER($AH77)),$AH77&lt;0,$AH77&gt;1)),AND($AI77&lt;&gt;"",OR(NOT(ISNUMBER($AI77)),$AI77&lt;0,$AI77&gt;1))),"Marge spécifique invalide (0–100 %)",IF(OR(AND($U77&lt;&gt;"",NOT(ISNUMBER($U77))),AND($V77&lt;&gt;"",NOT(ISNUMBER($V77))),AND($W77&lt;&gt;"",NOT(ISNUMBER($W77)))),"Mois invalide",IF(AND(OR($G77="À migrer",$G77="À décommissionner"),COUNTIFS(TblClusters[Cluster],$I77,TblClusters[Plateforme],"IKS")=0),"Cluster IKS inconnu",IF(AND(OR($G77="À migrer",$G77="Migré"),COUNTIFS(TblClusters[Cluster],$O77,TblClusters[Plateforme],"ROKS")=0),"Cluster ROKS inconnu",IF(AND(OR($G77="À migrer",$G77="À décommissionner"),COUNTIFS(TblClusters[Cluster],$I77,TblClusters[Environnement],$E77)=0),"Environnement ≠ cluster IKS",IF(AND(OR($G77="À migrer",$G77="Migré"),COUNTIFS(TblClusters[Cluster],$O77,TblClusters[Environnement],$E77)=0),"Environnement ≠ cluster ROKS",IF(AND($G77="À migrer",OR($U77&gt;$V77,$V77&gt;$W77)),"Dates incohérentes (prov ≤ bascule ≤ libération)",IF(AND(OR($G77="À migrer",$G77="À décommissionner"),OR(N($AO77)&gt;SUMIFS(TblClusters[CPU initial (vCPU)],TblClusters[Cluster],$I77),N($AP77)&gt;SUMIFS(TblClusters[RAM initiale (Go)],TblClusters[Cluster],$I77))),"Forçage &gt; capacité du cluster source",IF(OR(AND($AA77&lt;&gt;"",$AA77&lt;p_debut),AND($AB77&lt;&gt;"",$AB77&gt;p_fin)),"Hors horizon (info)",IF(AND($G77="À migrer",$E77="PRD",COUNTIFS(TblApplications[ID],$C77,TblApplications[Environnement],"NPRD",TblApplications[Action],"À migrer")&gt;0,$AA77&lt;_xlfn.MINIFS(TblApplications[Mois prov (calc)],TblApplications[ID],$C77,TblApplications[Environnement],"NPRD")),"PRD avant NPRD (info)","OK")))))))))))))))))))))</f>
        <v/>
      </c>
      <c r="AH77" s="62"/>
      <c r="AI77" s="62"/>
      <c r="AJ77" s="27" t="str">
        <f>IF(OR($C77="",NOT(OR($G77="À migrer",$G77="À décommissionner")),NOT(ISNUMBER($S77)),NOT(ISNUMBER($T77)),$AB77=""),"",($S77+p_poidsram*$T77)*SUMIFS(TblCalculs[Coût par unité],TblCalculs[Cluster],$I77,TblCalculs[Mois],"&lt;"&amp;$AB77))</f>
        <v/>
      </c>
      <c r="AK77" s="27" t="str">
        <f>IF($C77="","",IF(AND($G77="À migrer",$H77="Non",$Y77&lt;&gt;"",$AA77&lt;&gt;""),($Y77+p_poidsram*$Z77)*SUMIFS(TblCalculs[Coût par unité],TblCalculs[Cluster],$O77,TblCalculs[Mois],"&gt;="&amp;$AA77),IF(AND($G77="Migré",$Y77&lt;&gt;""),($Y77+p_poidsram*$Z77)*SUMIFS(TblCalculs[Coût par unité],TblCalculs[Cluster],$O77),"")))</f>
        <v/>
      </c>
      <c r="AL77" s="27" t="str">
        <f t="shared" si="14"/>
        <v/>
      </c>
      <c r="AM77" s="26" t="str">
        <f t="shared" si="15"/>
        <v/>
      </c>
      <c r="AN77" s="26" t="str">
        <f>IF(OR($C77="",$AM77&lt;&gt;1,COUNTIFS($E77,ex_envc,$A77,ex_domc,$B77,ex_tric)=0),"",COUNTIFS($AM$6:$AM77,1,$E$6:$E77,ex_envc,$A$6:$A77,ex_domc,$B$6:$B77,ex_tric))</f>
        <v/>
      </c>
      <c r="AO77" s="63"/>
      <c r="AP77" s="63"/>
      <c r="AQ77" s="63"/>
      <c r="AR77" s="63"/>
    </row>
    <row r="78" spans="1:44" x14ac:dyDescent="0.2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26" t="str">
        <f t="shared" si="8"/>
        <v/>
      </c>
      <c r="O78" s="59"/>
      <c r="P78" s="60" t="str">
        <f>IF($C78="","",IF($AQ78&lt;&gt;"",$AQ78,SUMIFS(TblDynatrace[CPU P95 (vCPU)],TblDynatrace[ID],$C78,TblDynatrace[Environnement],$E78,TblDynatrace[Couloir],$F78)))</f>
        <v/>
      </c>
      <c r="Q78" s="60" t="str">
        <f>IF($C78="","",IF($AR78&lt;&gt;"",$AR78,SUMIFS(TblDynatrace[RAM P95 (Go)],TblDynatrace[ID],$C78,TblDynatrace[Environnement],$E78,TblDynatrace[Couloir],$F78)))</f>
        <v/>
      </c>
      <c r="R78" s="26" t="str">
        <f>IF($C78="","",IFERROR(INDEX(TblDynatrace[Métrique / période],MATCH($C78&amp;"|"&amp;$E78&amp;"|"&amp;$F78,TblDynatrace[Clé],0)),""))</f>
        <v/>
      </c>
      <c r="S78" s="60" t="str">
        <f>IF(OR($C78="",NOT(OR($G78="À migrer",$G78="À décommissionner")),$I78="",NOT(ISNUMBER($P78))),"",IF($AO78&lt;&gt;"",$AO78,IFERROR(SUMIFS(TblClusters[CPU initial (vCPU)],TblClusters[Cluster],$I78)*$P78/(SUMIFS(TblApplications[CPU Dynatrace (vCPU)],TblApplications[Cluster IKS source],$I78,TblApplications[Action],"À migrer")+SUMIFS(TblApplications[CPU Dynatrace (vCPU)],TblApplications[Cluster IKS source],$I78,TblApplications[Action],"À décommissionner")),0)))</f>
        <v/>
      </c>
      <c r="T78" s="60" t="str">
        <f>IF(OR($C78="",NOT(OR($G78="À migrer",$G78="À décommissionner")),$I78="",NOT(ISNUMBER($Q78))),"",IF($AP78&lt;&gt;"",$AP78,IFERROR(SUMIFS(TblClusters[RAM initiale (Go)],TblClusters[Cluster],$I78)*$Q78/(SUMIFS(TblApplications[RAM Dynatrace (Go)],TblApplications[Cluster IKS source],$I78,TblApplications[Action],"À migrer")+SUMIFS(TblApplications[RAM Dynatrace (Go)],TblApplications[Cluster IKS source],$I78,TblApplications[Action],"À décommissionner")),0)))</f>
        <v/>
      </c>
      <c r="U78" s="61"/>
      <c r="V78" s="61"/>
      <c r="W78" s="61"/>
      <c r="X78" s="59"/>
      <c r="Y78" s="26" t="str">
        <f t="shared" si="9"/>
        <v/>
      </c>
      <c r="Z78" s="26" t="str">
        <f t="shared" si="10"/>
        <v/>
      </c>
      <c r="AA78" s="33" t="str">
        <f t="shared" si="11"/>
        <v/>
      </c>
      <c r="AB78" s="33" t="str">
        <f t="shared" si="12"/>
        <v/>
      </c>
      <c r="AC78" s="26" t="str">
        <f t="shared" si="13"/>
        <v/>
      </c>
      <c r="AD78" s="26" t="str">
        <f>IF($C78="","",COUNTIF(TblApplications[ID],$C78))</f>
        <v/>
      </c>
      <c r="AE78" s="33" t="str">
        <f>IF($C78="","",IFERROR(1/(1/_xlfn.MINIFS(TblApplications[Mois prov (calc)],TblApplications[ID],$C78)),""))</f>
        <v/>
      </c>
      <c r="AF78" s="33" t="str">
        <f>IF($C78="","",IFERROR(1/(1/_xlfn.MAXIFS(TblApplications[Mois lib (calc)],TblApplications[ID],$C78)),""))</f>
        <v/>
      </c>
      <c r="AG78" s="26" t="str">
        <f>IF($C78="","",IF(OR(OR($A78="",$B78="",$D78="",$E78="",$F78="",$G78=""),AND($G78="À migrer",OR($H78="",$I78="",$O78="",$U78="",$V78="",$W78="")),AND($G78="Migré",OR($O78="")),AND($G78="À décommissionner",OR($I78="",$W78=""))),"Données manquantes (selon l’action)",IF(AND($G78&lt;&gt;"Migré",$G78&lt;&gt;"À migrer",$G78&lt;&gt;"À décommissionner",$G78&lt;&gt;"Décommissionné"),"Action invalide",IF(COUNTIF(TblDomaines[Domaine],$A78)=0,"Domaine inconnu (référentiel)",IF(COUNTIFS(TblTribes[Tribe],$B78,TblTribes[Domaine de la tribe],$A78)=0,"Tribe inconnue ou hors domaine",IF(AND($G78="À migrer",$H78&lt;&gt;"Oui",$H78&lt;&gt;"Non"),"Valeur Oui/Non invalide (Déjà incluse ROKS)",IF(AND($E78&lt;&gt;"PRD",$E78&lt;&gt;"NPRD"),"Environnement invalide",IF(COUNTIFS(TblApplications[ID],$C78,TblApplications[Environnement],$E78,TblApplications[Couloir],$F78)&gt;1,"Déploiement en doublon (ID + env + couloir)",IF(AND(OR(OR($G78="À migrer",$G78="Migré"),OR($G78="À migrer",$G78="À décommissionner")),N($P78)&lt;=0),"Conso Dynatrace absente (onglet Dynatrace)",IF(OR(AND($P78&lt;&gt;"",NOT(ISNUMBER($P78))),AND($Q78&lt;&gt;"",NOT(ISNUMBER($Q78)))),"Ressource non numérique",IF(MIN(N($P78),N($Q78))&lt;0,"Ressource négative",IF(OR(AND($AH78&lt;&gt;"",OR(NOT(ISNUMBER($AH78)),$AH78&lt;0,$AH78&gt;1)),AND($AI78&lt;&gt;"",OR(NOT(ISNUMBER($AI78)),$AI78&lt;0,$AI78&gt;1))),"Marge spécifique invalide (0–100 %)",IF(OR(AND($U78&lt;&gt;"",NOT(ISNUMBER($U78))),AND($V78&lt;&gt;"",NOT(ISNUMBER($V78))),AND($W78&lt;&gt;"",NOT(ISNUMBER($W78)))),"Mois invalide",IF(AND(OR($G78="À migrer",$G78="À décommissionner"),COUNTIFS(TblClusters[Cluster],$I78,TblClusters[Plateforme],"IKS")=0),"Cluster IKS inconnu",IF(AND(OR($G78="À migrer",$G78="Migré"),COUNTIFS(TblClusters[Cluster],$O78,TblClusters[Plateforme],"ROKS")=0),"Cluster ROKS inconnu",IF(AND(OR($G78="À migrer",$G78="À décommissionner"),COUNTIFS(TblClusters[Cluster],$I78,TblClusters[Environnement],$E78)=0),"Environnement ≠ cluster IKS",IF(AND(OR($G78="À migrer",$G78="Migré"),COUNTIFS(TblClusters[Cluster],$O78,TblClusters[Environnement],$E78)=0),"Environnement ≠ cluster ROKS",IF(AND($G78="À migrer",OR($U78&gt;$V78,$V78&gt;$W78)),"Dates incohérentes (prov ≤ bascule ≤ libération)",IF(AND(OR($G78="À migrer",$G78="À décommissionner"),OR(N($AO78)&gt;SUMIFS(TblClusters[CPU initial (vCPU)],TblClusters[Cluster],$I78),N($AP78)&gt;SUMIFS(TblClusters[RAM initiale (Go)],TblClusters[Cluster],$I78))),"Forçage &gt; capacité du cluster source",IF(OR(AND($AA78&lt;&gt;"",$AA78&lt;p_debut),AND($AB78&lt;&gt;"",$AB78&gt;p_fin)),"Hors horizon (info)",IF(AND($G78="À migrer",$E78="PRD",COUNTIFS(TblApplications[ID],$C78,TblApplications[Environnement],"NPRD",TblApplications[Action],"À migrer")&gt;0,$AA78&lt;_xlfn.MINIFS(TblApplications[Mois prov (calc)],TblApplications[ID],$C78,TblApplications[Environnement],"NPRD")),"PRD avant NPRD (info)","OK")))))))))))))))))))))</f>
        <v/>
      </c>
      <c r="AH78" s="62"/>
      <c r="AI78" s="62"/>
      <c r="AJ78" s="27" t="str">
        <f>IF(OR($C78="",NOT(OR($G78="À migrer",$G78="À décommissionner")),NOT(ISNUMBER($S78)),NOT(ISNUMBER($T78)),$AB78=""),"",($S78+p_poidsram*$T78)*SUMIFS(TblCalculs[Coût par unité],TblCalculs[Cluster],$I78,TblCalculs[Mois],"&lt;"&amp;$AB78))</f>
        <v/>
      </c>
      <c r="AK78" s="27" t="str">
        <f>IF($C78="","",IF(AND($G78="À migrer",$H78="Non",$Y78&lt;&gt;"",$AA78&lt;&gt;""),($Y78+p_poidsram*$Z78)*SUMIFS(TblCalculs[Coût par unité],TblCalculs[Cluster],$O78,TblCalculs[Mois],"&gt;="&amp;$AA78),IF(AND($G78="Migré",$Y78&lt;&gt;""),($Y78+p_poidsram*$Z78)*SUMIFS(TblCalculs[Coût par unité],TblCalculs[Cluster],$O78),"")))</f>
        <v/>
      </c>
      <c r="AL78" s="27" t="str">
        <f t="shared" si="14"/>
        <v/>
      </c>
      <c r="AM78" s="26" t="str">
        <f t="shared" si="15"/>
        <v/>
      </c>
      <c r="AN78" s="26" t="str">
        <f>IF(OR($C78="",$AM78&lt;&gt;1,COUNTIFS($E78,ex_envc,$A78,ex_domc,$B78,ex_tric)=0),"",COUNTIFS($AM$6:$AM78,1,$E$6:$E78,ex_envc,$A$6:$A78,ex_domc,$B$6:$B78,ex_tric))</f>
        <v/>
      </c>
      <c r="AO78" s="63"/>
      <c r="AP78" s="63"/>
      <c r="AQ78" s="63"/>
      <c r="AR78" s="63"/>
    </row>
    <row r="79" spans="1:44" x14ac:dyDescent="0.2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26" t="str">
        <f t="shared" si="8"/>
        <v/>
      </c>
      <c r="O79" s="59"/>
      <c r="P79" s="60" t="str">
        <f>IF($C79="","",IF($AQ79&lt;&gt;"",$AQ79,SUMIFS(TblDynatrace[CPU P95 (vCPU)],TblDynatrace[ID],$C79,TblDynatrace[Environnement],$E79,TblDynatrace[Couloir],$F79)))</f>
        <v/>
      </c>
      <c r="Q79" s="60" t="str">
        <f>IF($C79="","",IF($AR79&lt;&gt;"",$AR79,SUMIFS(TblDynatrace[RAM P95 (Go)],TblDynatrace[ID],$C79,TblDynatrace[Environnement],$E79,TblDynatrace[Couloir],$F79)))</f>
        <v/>
      </c>
      <c r="R79" s="26" t="str">
        <f>IF($C79="","",IFERROR(INDEX(TblDynatrace[Métrique / période],MATCH($C79&amp;"|"&amp;$E79&amp;"|"&amp;$F79,TblDynatrace[Clé],0)),""))</f>
        <v/>
      </c>
      <c r="S79" s="60" t="str">
        <f>IF(OR($C79="",NOT(OR($G79="À migrer",$G79="À décommissionner")),$I79="",NOT(ISNUMBER($P79))),"",IF($AO79&lt;&gt;"",$AO79,IFERROR(SUMIFS(TblClusters[CPU initial (vCPU)],TblClusters[Cluster],$I79)*$P79/(SUMIFS(TblApplications[CPU Dynatrace (vCPU)],TblApplications[Cluster IKS source],$I79,TblApplications[Action],"À migrer")+SUMIFS(TblApplications[CPU Dynatrace (vCPU)],TblApplications[Cluster IKS source],$I79,TblApplications[Action],"À décommissionner")),0)))</f>
        <v/>
      </c>
      <c r="T79" s="60" t="str">
        <f>IF(OR($C79="",NOT(OR($G79="À migrer",$G79="À décommissionner")),$I79="",NOT(ISNUMBER($Q79))),"",IF($AP79&lt;&gt;"",$AP79,IFERROR(SUMIFS(TblClusters[RAM initiale (Go)],TblClusters[Cluster],$I79)*$Q79/(SUMIFS(TblApplications[RAM Dynatrace (Go)],TblApplications[Cluster IKS source],$I79,TblApplications[Action],"À migrer")+SUMIFS(TblApplications[RAM Dynatrace (Go)],TblApplications[Cluster IKS source],$I79,TblApplications[Action],"À décommissionner")),0)))</f>
        <v/>
      </c>
      <c r="U79" s="61"/>
      <c r="V79" s="61"/>
      <c r="W79" s="61"/>
      <c r="X79" s="59"/>
      <c r="Y79" s="26" t="str">
        <f t="shared" si="9"/>
        <v/>
      </c>
      <c r="Z79" s="26" t="str">
        <f t="shared" si="10"/>
        <v/>
      </c>
      <c r="AA79" s="33" t="str">
        <f t="shared" si="11"/>
        <v/>
      </c>
      <c r="AB79" s="33" t="str">
        <f t="shared" si="12"/>
        <v/>
      </c>
      <c r="AC79" s="26" t="str">
        <f t="shared" si="13"/>
        <v/>
      </c>
      <c r="AD79" s="26" t="str">
        <f>IF($C79="","",COUNTIF(TblApplications[ID],$C79))</f>
        <v/>
      </c>
      <c r="AE79" s="33" t="str">
        <f>IF($C79="","",IFERROR(1/(1/_xlfn.MINIFS(TblApplications[Mois prov (calc)],TblApplications[ID],$C79)),""))</f>
        <v/>
      </c>
      <c r="AF79" s="33" t="str">
        <f>IF($C79="","",IFERROR(1/(1/_xlfn.MAXIFS(TblApplications[Mois lib (calc)],TblApplications[ID],$C79)),""))</f>
        <v/>
      </c>
      <c r="AG79" s="26" t="str">
        <f>IF($C79="","",IF(OR(OR($A79="",$B79="",$D79="",$E79="",$F79="",$G79=""),AND($G79="À migrer",OR($H79="",$I79="",$O79="",$U79="",$V79="",$W79="")),AND($G79="Migré",OR($O79="")),AND($G79="À décommissionner",OR($I79="",$W79=""))),"Données manquantes (selon l’action)",IF(AND($G79&lt;&gt;"Migré",$G79&lt;&gt;"À migrer",$G79&lt;&gt;"À décommissionner",$G79&lt;&gt;"Décommissionné"),"Action invalide",IF(COUNTIF(TblDomaines[Domaine],$A79)=0,"Domaine inconnu (référentiel)",IF(COUNTIFS(TblTribes[Tribe],$B79,TblTribes[Domaine de la tribe],$A79)=0,"Tribe inconnue ou hors domaine",IF(AND($G79="À migrer",$H79&lt;&gt;"Oui",$H79&lt;&gt;"Non"),"Valeur Oui/Non invalide (Déjà incluse ROKS)",IF(AND($E79&lt;&gt;"PRD",$E79&lt;&gt;"NPRD"),"Environnement invalide",IF(COUNTIFS(TblApplications[ID],$C79,TblApplications[Environnement],$E79,TblApplications[Couloir],$F79)&gt;1,"Déploiement en doublon (ID + env + couloir)",IF(AND(OR(OR($G79="À migrer",$G79="Migré"),OR($G79="À migrer",$G79="À décommissionner")),N($P79)&lt;=0),"Conso Dynatrace absente (onglet Dynatrace)",IF(OR(AND($P79&lt;&gt;"",NOT(ISNUMBER($P79))),AND($Q79&lt;&gt;"",NOT(ISNUMBER($Q79)))),"Ressource non numérique",IF(MIN(N($P79),N($Q79))&lt;0,"Ressource négative",IF(OR(AND($AH79&lt;&gt;"",OR(NOT(ISNUMBER($AH79)),$AH79&lt;0,$AH79&gt;1)),AND($AI79&lt;&gt;"",OR(NOT(ISNUMBER($AI79)),$AI79&lt;0,$AI79&gt;1))),"Marge spécifique invalide (0–100 %)",IF(OR(AND($U79&lt;&gt;"",NOT(ISNUMBER($U79))),AND($V79&lt;&gt;"",NOT(ISNUMBER($V79))),AND($W79&lt;&gt;"",NOT(ISNUMBER($W79)))),"Mois invalide",IF(AND(OR($G79="À migrer",$G79="À décommissionner"),COUNTIFS(TblClusters[Cluster],$I79,TblClusters[Plateforme],"IKS")=0),"Cluster IKS inconnu",IF(AND(OR($G79="À migrer",$G79="Migré"),COUNTIFS(TblClusters[Cluster],$O79,TblClusters[Plateforme],"ROKS")=0),"Cluster ROKS inconnu",IF(AND(OR($G79="À migrer",$G79="À décommissionner"),COUNTIFS(TblClusters[Cluster],$I79,TblClusters[Environnement],$E79)=0),"Environnement ≠ cluster IKS",IF(AND(OR($G79="À migrer",$G79="Migré"),COUNTIFS(TblClusters[Cluster],$O79,TblClusters[Environnement],$E79)=0),"Environnement ≠ cluster ROKS",IF(AND($G79="À migrer",OR($U79&gt;$V79,$V79&gt;$W79)),"Dates incohérentes (prov ≤ bascule ≤ libération)",IF(AND(OR($G79="À migrer",$G79="À décommissionner"),OR(N($AO79)&gt;SUMIFS(TblClusters[CPU initial (vCPU)],TblClusters[Cluster],$I79),N($AP79)&gt;SUMIFS(TblClusters[RAM initiale (Go)],TblClusters[Cluster],$I79))),"Forçage &gt; capacité du cluster source",IF(OR(AND($AA79&lt;&gt;"",$AA79&lt;p_debut),AND($AB79&lt;&gt;"",$AB79&gt;p_fin)),"Hors horizon (info)",IF(AND($G79="À migrer",$E79="PRD",COUNTIFS(TblApplications[ID],$C79,TblApplications[Environnement],"NPRD",TblApplications[Action],"À migrer")&gt;0,$AA79&lt;_xlfn.MINIFS(TblApplications[Mois prov (calc)],TblApplications[ID],$C79,TblApplications[Environnement],"NPRD")),"PRD avant NPRD (info)","OK")))))))))))))))))))))</f>
        <v/>
      </c>
      <c r="AH79" s="62"/>
      <c r="AI79" s="62"/>
      <c r="AJ79" s="27" t="str">
        <f>IF(OR($C79="",NOT(OR($G79="À migrer",$G79="À décommissionner")),NOT(ISNUMBER($S79)),NOT(ISNUMBER($T79)),$AB79=""),"",($S79+p_poidsram*$T79)*SUMIFS(TblCalculs[Coût par unité],TblCalculs[Cluster],$I79,TblCalculs[Mois],"&lt;"&amp;$AB79))</f>
        <v/>
      </c>
      <c r="AK79" s="27" t="str">
        <f>IF($C79="","",IF(AND($G79="À migrer",$H79="Non",$Y79&lt;&gt;"",$AA79&lt;&gt;""),($Y79+p_poidsram*$Z79)*SUMIFS(TblCalculs[Coût par unité],TblCalculs[Cluster],$O79,TblCalculs[Mois],"&gt;="&amp;$AA79),IF(AND($G79="Migré",$Y79&lt;&gt;""),($Y79+p_poidsram*$Z79)*SUMIFS(TblCalculs[Coût par unité],TblCalculs[Cluster],$O79),"")))</f>
        <v/>
      </c>
      <c r="AL79" s="27" t="str">
        <f t="shared" si="14"/>
        <v/>
      </c>
      <c r="AM79" s="26" t="str">
        <f t="shared" si="15"/>
        <v/>
      </c>
      <c r="AN79" s="26" t="str">
        <f>IF(OR($C79="",$AM79&lt;&gt;1,COUNTIFS($E79,ex_envc,$A79,ex_domc,$B79,ex_tric)=0),"",COUNTIFS($AM$6:$AM79,1,$E$6:$E79,ex_envc,$A$6:$A79,ex_domc,$B$6:$B79,ex_tric))</f>
        <v/>
      </c>
      <c r="AO79" s="63"/>
      <c r="AP79" s="63"/>
      <c r="AQ79" s="63"/>
      <c r="AR79" s="63"/>
    </row>
    <row r="80" spans="1:44" x14ac:dyDescent="0.2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26" t="str">
        <f t="shared" si="8"/>
        <v/>
      </c>
      <c r="O80" s="59"/>
      <c r="P80" s="60" t="str">
        <f>IF($C80="","",IF($AQ80&lt;&gt;"",$AQ80,SUMIFS(TblDynatrace[CPU P95 (vCPU)],TblDynatrace[ID],$C80,TblDynatrace[Environnement],$E80,TblDynatrace[Couloir],$F80)))</f>
        <v/>
      </c>
      <c r="Q80" s="60" t="str">
        <f>IF($C80="","",IF($AR80&lt;&gt;"",$AR80,SUMIFS(TblDynatrace[RAM P95 (Go)],TblDynatrace[ID],$C80,TblDynatrace[Environnement],$E80,TblDynatrace[Couloir],$F80)))</f>
        <v/>
      </c>
      <c r="R80" s="26" t="str">
        <f>IF($C80="","",IFERROR(INDEX(TblDynatrace[Métrique / période],MATCH($C80&amp;"|"&amp;$E80&amp;"|"&amp;$F80,TblDynatrace[Clé],0)),""))</f>
        <v/>
      </c>
      <c r="S80" s="60" t="str">
        <f>IF(OR($C80="",NOT(OR($G80="À migrer",$G80="À décommissionner")),$I80="",NOT(ISNUMBER($P80))),"",IF($AO80&lt;&gt;"",$AO80,IFERROR(SUMIFS(TblClusters[CPU initial (vCPU)],TblClusters[Cluster],$I80)*$P80/(SUMIFS(TblApplications[CPU Dynatrace (vCPU)],TblApplications[Cluster IKS source],$I80,TblApplications[Action],"À migrer")+SUMIFS(TblApplications[CPU Dynatrace (vCPU)],TblApplications[Cluster IKS source],$I80,TblApplications[Action],"À décommissionner")),0)))</f>
        <v/>
      </c>
      <c r="T80" s="60" t="str">
        <f>IF(OR($C80="",NOT(OR($G80="À migrer",$G80="À décommissionner")),$I80="",NOT(ISNUMBER($Q80))),"",IF($AP80&lt;&gt;"",$AP80,IFERROR(SUMIFS(TblClusters[RAM initiale (Go)],TblClusters[Cluster],$I80)*$Q80/(SUMIFS(TblApplications[RAM Dynatrace (Go)],TblApplications[Cluster IKS source],$I80,TblApplications[Action],"À migrer")+SUMIFS(TblApplications[RAM Dynatrace (Go)],TblApplications[Cluster IKS source],$I80,TblApplications[Action],"À décommissionner")),0)))</f>
        <v/>
      </c>
      <c r="U80" s="61"/>
      <c r="V80" s="61"/>
      <c r="W80" s="61"/>
      <c r="X80" s="59"/>
      <c r="Y80" s="26" t="str">
        <f t="shared" si="9"/>
        <v/>
      </c>
      <c r="Z80" s="26" t="str">
        <f t="shared" si="10"/>
        <v/>
      </c>
      <c r="AA80" s="33" t="str">
        <f t="shared" si="11"/>
        <v/>
      </c>
      <c r="AB80" s="33" t="str">
        <f t="shared" si="12"/>
        <v/>
      </c>
      <c r="AC80" s="26" t="str">
        <f t="shared" si="13"/>
        <v/>
      </c>
      <c r="AD80" s="26" t="str">
        <f>IF($C80="","",COUNTIF(TblApplications[ID],$C80))</f>
        <v/>
      </c>
      <c r="AE80" s="33" t="str">
        <f>IF($C80="","",IFERROR(1/(1/_xlfn.MINIFS(TblApplications[Mois prov (calc)],TblApplications[ID],$C80)),""))</f>
        <v/>
      </c>
      <c r="AF80" s="33" t="str">
        <f>IF($C80="","",IFERROR(1/(1/_xlfn.MAXIFS(TblApplications[Mois lib (calc)],TblApplications[ID],$C80)),""))</f>
        <v/>
      </c>
      <c r="AG80" s="26" t="str">
        <f>IF($C80="","",IF(OR(OR($A80="",$B80="",$D80="",$E80="",$F80="",$G80=""),AND($G80="À migrer",OR($H80="",$I80="",$O80="",$U80="",$V80="",$W80="")),AND($G80="Migré",OR($O80="")),AND($G80="À décommissionner",OR($I80="",$W80=""))),"Données manquantes (selon l’action)",IF(AND($G80&lt;&gt;"Migré",$G80&lt;&gt;"À migrer",$G80&lt;&gt;"À décommissionner",$G80&lt;&gt;"Décommissionné"),"Action invalide",IF(COUNTIF(TblDomaines[Domaine],$A80)=0,"Domaine inconnu (référentiel)",IF(COUNTIFS(TblTribes[Tribe],$B80,TblTribes[Domaine de la tribe],$A80)=0,"Tribe inconnue ou hors domaine",IF(AND($G80="À migrer",$H80&lt;&gt;"Oui",$H80&lt;&gt;"Non"),"Valeur Oui/Non invalide (Déjà incluse ROKS)",IF(AND($E80&lt;&gt;"PRD",$E80&lt;&gt;"NPRD"),"Environnement invalide",IF(COUNTIFS(TblApplications[ID],$C80,TblApplications[Environnement],$E80,TblApplications[Couloir],$F80)&gt;1,"Déploiement en doublon (ID + env + couloir)",IF(AND(OR(OR($G80="À migrer",$G80="Migré"),OR($G80="À migrer",$G80="À décommissionner")),N($P80)&lt;=0),"Conso Dynatrace absente (onglet Dynatrace)",IF(OR(AND($P80&lt;&gt;"",NOT(ISNUMBER($P80))),AND($Q80&lt;&gt;"",NOT(ISNUMBER($Q80)))),"Ressource non numérique",IF(MIN(N($P80),N($Q80))&lt;0,"Ressource négative",IF(OR(AND($AH80&lt;&gt;"",OR(NOT(ISNUMBER($AH80)),$AH80&lt;0,$AH80&gt;1)),AND($AI80&lt;&gt;"",OR(NOT(ISNUMBER($AI80)),$AI80&lt;0,$AI80&gt;1))),"Marge spécifique invalide (0–100 %)",IF(OR(AND($U80&lt;&gt;"",NOT(ISNUMBER($U80))),AND($V80&lt;&gt;"",NOT(ISNUMBER($V80))),AND($W80&lt;&gt;"",NOT(ISNUMBER($W80)))),"Mois invalide",IF(AND(OR($G80="À migrer",$G80="À décommissionner"),COUNTIFS(TblClusters[Cluster],$I80,TblClusters[Plateforme],"IKS")=0),"Cluster IKS inconnu",IF(AND(OR($G80="À migrer",$G80="Migré"),COUNTIFS(TblClusters[Cluster],$O80,TblClusters[Plateforme],"ROKS")=0),"Cluster ROKS inconnu",IF(AND(OR($G80="À migrer",$G80="À décommissionner"),COUNTIFS(TblClusters[Cluster],$I80,TblClusters[Environnement],$E80)=0),"Environnement ≠ cluster IKS",IF(AND(OR($G80="À migrer",$G80="Migré"),COUNTIFS(TblClusters[Cluster],$O80,TblClusters[Environnement],$E80)=0),"Environnement ≠ cluster ROKS",IF(AND($G80="À migrer",OR($U80&gt;$V80,$V80&gt;$W80)),"Dates incohérentes (prov ≤ bascule ≤ libération)",IF(AND(OR($G80="À migrer",$G80="À décommissionner"),OR(N($AO80)&gt;SUMIFS(TblClusters[CPU initial (vCPU)],TblClusters[Cluster],$I80),N($AP80)&gt;SUMIFS(TblClusters[RAM initiale (Go)],TblClusters[Cluster],$I80))),"Forçage &gt; capacité du cluster source",IF(OR(AND($AA80&lt;&gt;"",$AA80&lt;p_debut),AND($AB80&lt;&gt;"",$AB80&gt;p_fin)),"Hors horizon (info)",IF(AND($G80="À migrer",$E80="PRD",COUNTIFS(TblApplications[ID],$C80,TblApplications[Environnement],"NPRD",TblApplications[Action],"À migrer")&gt;0,$AA80&lt;_xlfn.MINIFS(TblApplications[Mois prov (calc)],TblApplications[ID],$C80,TblApplications[Environnement],"NPRD")),"PRD avant NPRD (info)","OK")))))))))))))))))))))</f>
        <v/>
      </c>
      <c r="AH80" s="62"/>
      <c r="AI80" s="62"/>
      <c r="AJ80" s="27" t="str">
        <f>IF(OR($C80="",NOT(OR($G80="À migrer",$G80="À décommissionner")),NOT(ISNUMBER($S80)),NOT(ISNUMBER($T80)),$AB80=""),"",($S80+p_poidsram*$T80)*SUMIFS(TblCalculs[Coût par unité],TblCalculs[Cluster],$I80,TblCalculs[Mois],"&lt;"&amp;$AB80))</f>
        <v/>
      </c>
      <c r="AK80" s="27" t="str">
        <f>IF($C80="","",IF(AND($G80="À migrer",$H80="Non",$Y80&lt;&gt;"",$AA80&lt;&gt;""),($Y80+p_poidsram*$Z80)*SUMIFS(TblCalculs[Coût par unité],TblCalculs[Cluster],$O80,TblCalculs[Mois],"&gt;="&amp;$AA80),IF(AND($G80="Migré",$Y80&lt;&gt;""),($Y80+p_poidsram*$Z80)*SUMIFS(TblCalculs[Coût par unité],TblCalculs[Cluster],$O80),"")))</f>
        <v/>
      </c>
      <c r="AL80" s="27" t="str">
        <f t="shared" si="14"/>
        <v/>
      </c>
      <c r="AM80" s="26" t="str">
        <f t="shared" si="15"/>
        <v/>
      </c>
      <c r="AN80" s="26" t="str">
        <f>IF(OR($C80="",$AM80&lt;&gt;1,COUNTIFS($E80,ex_envc,$A80,ex_domc,$B80,ex_tric)=0),"",COUNTIFS($AM$6:$AM80,1,$E$6:$E80,ex_envc,$A$6:$A80,ex_domc,$B$6:$B80,ex_tric))</f>
        <v/>
      </c>
      <c r="AO80" s="63"/>
      <c r="AP80" s="63"/>
      <c r="AQ80" s="63"/>
      <c r="AR80" s="63"/>
    </row>
    <row r="81" spans="1:44" x14ac:dyDescent="0.2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26" t="str">
        <f t="shared" si="8"/>
        <v/>
      </c>
      <c r="O81" s="59"/>
      <c r="P81" s="60" t="str">
        <f>IF($C81="","",IF($AQ81&lt;&gt;"",$AQ81,SUMIFS(TblDynatrace[CPU P95 (vCPU)],TblDynatrace[ID],$C81,TblDynatrace[Environnement],$E81,TblDynatrace[Couloir],$F81)))</f>
        <v/>
      </c>
      <c r="Q81" s="60" t="str">
        <f>IF($C81="","",IF($AR81&lt;&gt;"",$AR81,SUMIFS(TblDynatrace[RAM P95 (Go)],TblDynatrace[ID],$C81,TblDynatrace[Environnement],$E81,TblDynatrace[Couloir],$F81)))</f>
        <v/>
      </c>
      <c r="R81" s="26" t="str">
        <f>IF($C81="","",IFERROR(INDEX(TblDynatrace[Métrique / période],MATCH($C81&amp;"|"&amp;$E81&amp;"|"&amp;$F81,TblDynatrace[Clé],0)),""))</f>
        <v/>
      </c>
      <c r="S81" s="60" t="str">
        <f>IF(OR($C81="",NOT(OR($G81="À migrer",$G81="À décommissionner")),$I81="",NOT(ISNUMBER($P81))),"",IF($AO81&lt;&gt;"",$AO81,IFERROR(SUMIFS(TblClusters[CPU initial (vCPU)],TblClusters[Cluster],$I81)*$P81/(SUMIFS(TblApplications[CPU Dynatrace (vCPU)],TblApplications[Cluster IKS source],$I81,TblApplications[Action],"À migrer")+SUMIFS(TblApplications[CPU Dynatrace (vCPU)],TblApplications[Cluster IKS source],$I81,TblApplications[Action],"À décommissionner")),0)))</f>
        <v/>
      </c>
      <c r="T81" s="60" t="str">
        <f>IF(OR($C81="",NOT(OR($G81="À migrer",$G81="À décommissionner")),$I81="",NOT(ISNUMBER($Q81))),"",IF($AP81&lt;&gt;"",$AP81,IFERROR(SUMIFS(TblClusters[RAM initiale (Go)],TblClusters[Cluster],$I81)*$Q81/(SUMIFS(TblApplications[RAM Dynatrace (Go)],TblApplications[Cluster IKS source],$I81,TblApplications[Action],"À migrer")+SUMIFS(TblApplications[RAM Dynatrace (Go)],TblApplications[Cluster IKS source],$I81,TblApplications[Action],"À décommissionner")),0)))</f>
        <v/>
      </c>
      <c r="U81" s="61"/>
      <c r="V81" s="61"/>
      <c r="W81" s="61"/>
      <c r="X81" s="59"/>
      <c r="Y81" s="26" t="str">
        <f t="shared" si="9"/>
        <v/>
      </c>
      <c r="Z81" s="26" t="str">
        <f t="shared" si="10"/>
        <v/>
      </c>
      <c r="AA81" s="33" t="str">
        <f t="shared" si="11"/>
        <v/>
      </c>
      <c r="AB81" s="33" t="str">
        <f t="shared" si="12"/>
        <v/>
      </c>
      <c r="AC81" s="26" t="str">
        <f t="shared" si="13"/>
        <v/>
      </c>
      <c r="AD81" s="26" t="str">
        <f>IF($C81="","",COUNTIF(TblApplications[ID],$C81))</f>
        <v/>
      </c>
      <c r="AE81" s="33" t="str">
        <f>IF($C81="","",IFERROR(1/(1/_xlfn.MINIFS(TblApplications[Mois prov (calc)],TblApplications[ID],$C81)),""))</f>
        <v/>
      </c>
      <c r="AF81" s="33" t="str">
        <f>IF($C81="","",IFERROR(1/(1/_xlfn.MAXIFS(TblApplications[Mois lib (calc)],TblApplications[ID],$C81)),""))</f>
        <v/>
      </c>
      <c r="AG81" s="26" t="str">
        <f>IF($C81="","",IF(OR(OR($A81="",$B81="",$D81="",$E81="",$F81="",$G81=""),AND($G81="À migrer",OR($H81="",$I81="",$O81="",$U81="",$V81="",$W81="")),AND($G81="Migré",OR($O81="")),AND($G81="À décommissionner",OR($I81="",$W81=""))),"Données manquantes (selon l’action)",IF(AND($G81&lt;&gt;"Migré",$G81&lt;&gt;"À migrer",$G81&lt;&gt;"À décommissionner",$G81&lt;&gt;"Décommissionné"),"Action invalide",IF(COUNTIF(TblDomaines[Domaine],$A81)=0,"Domaine inconnu (référentiel)",IF(COUNTIFS(TblTribes[Tribe],$B81,TblTribes[Domaine de la tribe],$A81)=0,"Tribe inconnue ou hors domaine",IF(AND($G81="À migrer",$H81&lt;&gt;"Oui",$H81&lt;&gt;"Non"),"Valeur Oui/Non invalide (Déjà incluse ROKS)",IF(AND($E81&lt;&gt;"PRD",$E81&lt;&gt;"NPRD"),"Environnement invalide",IF(COUNTIFS(TblApplications[ID],$C81,TblApplications[Environnement],$E81,TblApplications[Couloir],$F81)&gt;1,"Déploiement en doublon (ID + env + couloir)",IF(AND(OR(OR($G81="À migrer",$G81="Migré"),OR($G81="À migrer",$G81="À décommissionner")),N($P81)&lt;=0),"Conso Dynatrace absente (onglet Dynatrace)",IF(OR(AND($P81&lt;&gt;"",NOT(ISNUMBER($P81))),AND($Q81&lt;&gt;"",NOT(ISNUMBER($Q81)))),"Ressource non numérique",IF(MIN(N($P81),N($Q81))&lt;0,"Ressource négative",IF(OR(AND($AH81&lt;&gt;"",OR(NOT(ISNUMBER($AH81)),$AH81&lt;0,$AH81&gt;1)),AND($AI81&lt;&gt;"",OR(NOT(ISNUMBER($AI81)),$AI81&lt;0,$AI81&gt;1))),"Marge spécifique invalide (0–100 %)",IF(OR(AND($U81&lt;&gt;"",NOT(ISNUMBER($U81))),AND($V81&lt;&gt;"",NOT(ISNUMBER($V81))),AND($W81&lt;&gt;"",NOT(ISNUMBER($W81)))),"Mois invalide",IF(AND(OR($G81="À migrer",$G81="À décommissionner"),COUNTIFS(TblClusters[Cluster],$I81,TblClusters[Plateforme],"IKS")=0),"Cluster IKS inconnu",IF(AND(OR($G81="À migrer",$G81="Migré"),COUNTIFS(TblClusters[Cluster],$O81,TblClusters[Plateforme],"ROKS")=0),"Cluster ROKS inconnu",IF(AND(OR($G81="À migrer",$G81="À décommissionner"),COUNTIFS(TblClusters[Cluster],$I81,TblClusters[Environnement],$E81)=0),"Environnement ≠ cluster IKS",IF(AND(OR($G81="À migrer",$G81="Migré"),COUNTIFS(TblClusters[Cluster],$O81,TblClusters[Environnement],$E81)=0),"Environnement ≠ cluster ROKS",IF(AND($G81="À migrer",OR($U81&gt;$V81,$V81&gt;$W81)),"Dates incohérentes (prov ≤ bascule ≤ libération)",IF(AND(OR($G81="À migrer",$G81="À décommissionner"),OR(N($AO81)&gt;SUMIFS(TblClusters[CPU initial (vCPU)],TblClusters[Cluster],$I81),N($AP81)&gt;SUMIFS(TblClusters[RAM initiale (Go)],TblClusters[Cluster],$I81))),"Forçage &gt; capacité du cluster source",IF(OR(AND($AA81&lt;&gt;"",$AA81&lt;p_debut),AND($AB81&lt;&gt;"",$AB81&gt;p_fin)),"Hors horizon (info)",IF(AND($G81="À migrer",$E81="PRD",COUNTIFS(TblApplications[ID],$C81,TblApplications[Environnement],"NPRD",TblApplications[Action],"À migrer")&gt;0,$AA81&lt;_xlfn.MINIFS(TblApplications[Mois prov (calc)],TblApplications[ID],$C81,TblApplications[Environnement],"NPRD")),"PRD avant NPRD (info)","OK")))))))))))))))))))))</f>
        <v/>
      </c>
      <c r="AH81" s="62"/>
      <c r="AI81" s="62"/>
      <c r="AJ81" s="27" t="str">
        <f>IF(OR($C81="",NOT(OR($G81="À migrer",$G81="À décommissionner")),NOT(ISNUMBER($S81)),NOT(ISNUMBER($T81)),$AB81=""),"",($S81+p_poidsram*$T81)*SUMIFS(TblCalculs[Coût par unité],TblCalculs[Cluster],$I81,TblCalculs[Mois],"&lt;"&amp;$AB81))</f>
        <v/>
      </c>
      <c r="AK81" s="27" t="str">
        <f>IF($C81="","",IF(AND($G81="À migrer",$H81="Non",$Y81&lt;&gt;"",$AA81&lt;&gt;""),($Y81+p_poidsram*$Z81)*SUMIFS(TblCalculs[Coût par unité],TblCalculs[Cluster],$O81,TblCalculs[Mois],"&gt;="&amp;$AA81),IF(AND($G81="Migré",$Y81&lt;&gt;""),($Y81+p_poidsram*$Z81)*SUMIFS(TblCalculs[Coût par unité],TblCalculs[Cluster],$O81),"")))</f>
        <v/>
      </c>
      <c r="AL81" s="27" t="str">
        <f t="shared" si="14"/>
        <v/>
      </c>
      <c r="AM81" s="26" t="str">
        <f t="shared" si="15"/>
        <v/>
      </c>
      <c r="AN81" s="26" t="str">
        <f>IF(OR($C81="",$AM81&lt;&gt;1,COUNTIFS($E81,ex_envc,$A81,ex_domc,$B81,ex_tric)=0),"",COUNTIFS($AM$6:$AM81,1,$E$6:$E81,ex_envc,$A$6:$A81,ex_domc,$B$6:$B81,ex_tric))</f>
        <v/>
      </c>
      <c r="AO81" s="63"/>
      <c r="AP81" s="63"/>
      <c r="AQ81" s="63"/>
      <c r="AR81" s="63"/>
    </row>
    <row r="82" spans="1:44" x14ac:dyDescent="0.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26" t="str">
        <f t="shared" si="8"/>
        <v/>
      </c>
      <c r="O82" s="59"/>
      <c r="P82" s="60" t="str">
        <f>IF($C82="","",IF($AQ82&lt;&gt;"",$AQ82,SUMIFS(TblDynatrace[CPU P95 (vCPU)],TblDynatrace[ID],$C82,TblDynatrace[Environnement],$E82,TblDynatrace[Couloir],$F82)))</f>
        <v/>
      </c>
      <c r="Q82" s="60" t="str">
        <f>IF($C82="","",IF($AR82&lt;&gt;"",$AR82,SUMIFS(TblDynatrace[RAM P95 (Go)],TblDynatrace[ID],$C82,TblDynatrace[Environnement],$E82,TblDynatrace[Couloir],$F82)))</f>
        <v/>
      </c>
      <c r="R82" s="26" t="str">
        <f>IF($C82="","",IFERROR(INDEX(TblDynatrace[Métrique / période],MATCH($C82&amp;"|"&amp;$E82&amp;"|"&amp;$F82,TblDynatrace[Clé],0)),""))</f>
        <v/>
      </c>
      <c r="S82" s="60" t="str">
        <f>IF(OR($C82="",NOT(OR($G82="À migrer",$G82="À décommissionner")),$I82="",NOT(ISNUMBER($P82))),"",IF($AO82&lt;&gt;"",$AO82,IFERROR(SUMIFS(TblClusters[CPU initial (vCPU)],TblClusters[Cluster],$I82)*$P82/(SUMIFS(TblApplications[CPU Dynatrace (vCPU)],TblApplications[Cluster IKS source],$I82,TblApplications[Action],"À migrer")+SUMIFS(TblApplications[CPU Dynatrace (vCPU)],TblApplications[Cluster IKS source],$I82,TblApplications[Action],"À décommissionner")),0)))</f>
        <v/>
      </c>
      <c r="T82" s="60" t="str">
        <f>IF(OR($C82="",NOT(OR($G82="À migrer",$G82="À décommissionner")),$I82="",NOT(ISNUMBER($Q82))),"",IF($AP82&lt;&gt;"",$AP82,IFERROR(SUMIFS(TblClusters[RAM initiale (Go)],TblClusters[Cluster],$I82)*$Q82/(SUMIFS(TblApplications[RAM Dynatrace (Go)],TblApplications[Cluster IKS source],$I82,TblApplications[Action],"À migrer")+SUMIFS(TblApplications[RAM Dynatrace (Go)],TblApplications[Cluster IKS source],$I82,TblApplications[Action],"À décommissionner")),0)))</f>
        <v/>
      </c>
      <c r="U82" s="61"/>
      <c r="V82" s="61"/>
      <c r="W82" s="61"/>
      <c r="X82" s="59"/>
      <c r="Y82" s="26" t="str">
        <f t="shared" si="9"/>
        <v/>
      </c>
      <c r="Z82" s="26" t="str">
        <f t="shared" si="10"/>
        <v/>
      </c>
      <c r="AA82" s="33" t="str">
        <f t="shared" si="11"/>
        <v/>
      </c>
      <c r="AB82" s="33" t="str">
        <f t="shared" si="12"/>
        <v/>
      </c>
      <c r="AC82" s="26" t="str">
        <f t="shared" si="13"/>
        <v/>
      </c>
      <c r="AD82" s="26" t="str">
        <f>IF($C82="","",COUNTIF(TblApplications[ID],$C82))</f>
        <v/>
      </c>
      <c r="AE82" s="33" t="str">
        <f>IF($C82="","",IFERROR(1/(1/_xlfn.MINIFS(TblApplications[Mois prov (calc)],TblApplications[ID],$C82)),""))</f>
        <v/>
      </c>
      <c r="AF82" s="33" t="str">
        <f>IF($C82="","",IFERROR(1/(1/_xlfn.MAXIFS(TblApplications[Mois lib (calc)],TblApplications[ID],$C82)),""))</f>
        <v/>
      </c>
      <c r="AG82" s="26" t="str">
        <f>IF($C82="","",IF(OR(OR($A82="",$B82="",$D82="",$E82="",$F82="",$G82=""),AND($G82="À migrer",OR($H82="",$I82="",$O82="",$U82="",$V82="",$W82="")),AND($G82="Migré",OR($O82="")),AND($G82="À décommissionner",OR($I82="",$W82=""))),"Données manquantes (selon l’action)",IF(AND($G82&lt;&gt;"Migré",$G82&lt;&gt;"À migrer",$G82&lt;&gt;"À décommissionner",$G82&lt;&gt;"Décommissionné"),"Action invalide",IF(COUNTIF(TblDomaines[Domaine],$A82)=0,"Domaine inconnu (référentiel)",IF(COUNTIFS(TblTribes[Tribe],$B82,TblTribes[Domaine de la tribe],$A82)=0,"Tribe inconnue ou hors domaine",IF(AND($G82="À migrer",$H82&lt;&gt;"Oui",$H82&lt;&gt;"Non"),"Valeur Oui/Non invalide (Déjà incluse ROKS)",IF(AND($E82&lt;&gt;"PRD",$E82&lt;&gt;"NPRD"),"Environnement invalide",IF(COUNTIFS(TblApplications[ID],$C82,TblApplications[Environnement],$E82,TblApplications[Couloir],$F82)&gt;1,"Déploiement en doublon (ID + env + couloir)",IF(AND(OR(OR($G82="À migrer",$G82="Migré"),OR($G82="À migrer",$G82="À décommissionner")),N($P82)&lt;=0),"Conso Dynatrace absente (onglet Dynatrace)",IF(OR(AND($P82&lt;&gt;"",NOT(ISNUMBER($P82))),AND($Q82&lt;&gt;"",NOT(ISNUMBER($Q82)))),"Ressource non numérique",IF(MIN(N($P82),N($Q82))&lt;0,"Ressource négative",IF(OR(AND($AH82&lt;&gt;"",OR(NOT(ISNUMBER($AH82)),$AH82&lt;0,$AH82&gt;1)),AND($AI82&lt;&gt;"",OR(NOT(ISNUMBER($AI82)),$AI82&lt;0,$AI82&gt;1))),"Marge spécifique invalide (0–100 %)",IF(OR(AND($U82&lt;&gt;"",NOT(ISNUMBER($U82))),AND($V82&lt;&gt;"",NOT(ISNUMBER($V82))),AND($W82&lt;&gt;"",NOT(ISNUMBER($W82)))),"Mois invalide",IF(AND(OR($G82="À migrer",$G82="À décommissionner"),COUNTIFS(TblClusters[Cluster],$I82,TblClusters[Plateforme],"IKS")=0),"Cluster IKS inconnu",IF(AND(OR($G82="À migrer",$G82="Migré"),COUNTIFS(TblClusters[Cluster],$O82,TblClusters[Plateforme],"ROKS")=0),"Cluster ROKS inconnu",IF(AND(OR($G82="À migrer",$G82="À décommissionner"),COUNTIFS(TblClusters[Cluster],$I82,TblClusters[Environnement],$E82)=0),"Environnement ≠ cluster IKS",IF(AND(OR($G82="À migrer",$G82="Migré"),COUNTIFS(TblClusters[Cluster],$O82,TblClusters[Environnement],$E82)=0),"Environnement ≠ cluster ROKS",IF(AND($G82="À migrer",OR($U82&gt;$V82,$V82&gt;$W82)),"Dates incohérentes (prov ≤ bascule ≤ libération)",IF(AND(OR($G82="À migrer",$G82="À décommissionner"),OR(N($AO82)&gt;SUMIFS(TblClusters[CPU initial (vCPU)],TblClusters[Cluster],$I82),N($AP82)&gt;SUMIFS(TblClusters[RAM initiale (Go)],TblClusters[Cluster],$I82))),"Forçage &gt; capacité du cluster source",IF(OR(AND($AA82&lt;&gt;"",$AA82&lt;p_debut),AND($AB82&lt;&gt;"",$AB82&gt;p_fin)),"Hors horizon (info)",IF(AND($G82="À migrer",$E82="PRD",COUNTIFS(TblApplications[ID],$C82,TblApplications[Environnement],"NPRD",TblApplications[Action],"À migrer")&gt;0,$AA82&lt;_xlfn.MINIFS(TblApplications[Mois prov (calc)],TblApplications[ID],$C82,TblApplications[Environnement],"NPRD")),"PRD avant NPRD (info)","OK")))))))))))))))))))))</f>
        <v/>
      </c>
      <c r="AH82" s="62"/>
      <c r="AI82" s="62"/>
      <c r="AJ82" s="27" t="str">
        <f>IF(OR($C82="",NOT(OR($G82="À migrer",$G82="À décommissionner")),NOT(ISNUMBER($S82)),NOT(ISNUMBER($T82)),$AB82=""),"",($S82+p_poidsram*$T82)*SUMIFS(TblCalculs[Coût par unité],TblCalculs[Cluster],$I82,TblCalculs[Mois],"&lt;"&amp;$AB82))</f>
        <v/>
      </c>
      <c r="AK82" s="27" t="str">
        <f>IF($C82="","",IF(AND($G82="À migrer",$H82="Non",$Y82&lt;&gt;"",$AA82&lt;&gt;""),($Y82+p_poidsram*$Z82)*SUMIFS(TblCalculs[Coût par unité],TblCalculs[Cluster],$O82,TblCalculs[Mois],"&gt;="&amp;$AA82),IF(AND($G82="Migré",$Y82&lt;&gt;""),($Y82+p_poidsram*$Z82)*SUMIFS(TblCalculs[Coût par unité],TblCalculs[Cluster],$O82),"")))</f>
        <v/>
      </c>
      <c r="AL82" s="27" t="str">
        <f t="shared" si="14"/>
        <v/>
      </c>
      <c r="AM82" s="26" t="str">
        <f t="shared" si="15"/>
        <v/>
      </c>
      <c r="AN82" s="26" t="str">
        <f>IF(OR($C82="",$AM82&lt;&gt;1,COUNTIFS($E82,ex_envc,$A82,ex_domc,$B82,ex_tric)=0),"",COUNTIFS($AM$6:$AM82,1,$E$6:$E82,ex_envc,$A$6:$A82,ex_domc,$B$6:$B82,ex_tric))</f>
        <v/>
      </c>
      <c r="AO82" s="63"/>
      <c r="AP82" s="63"/>
      <c r="AQ82" s="63"/>
      <c r="AR82" s="63"/>
    </row>
    <row r="83" spans="1:44" x14ac:dyDescent="0.2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26" t="str">
        <f t="shared" si="8"/>
        <v/>
      </c>
      <c r="O83" s="59"/>
      <c r="P83" s="60" t="str">
        <f>IF($C83="","",IF($AQ83&lt;&gt;"",$AQ83,SUMIFS(TblDynatrace[CPU P95 (vCPU)],TblDynatrace[ID],$C83,TblDynatrace[Environnement],$E83,TblDynatrace[Couloir],$F83)))</f>
        <v/>
      </c>
      <c r="Q83" s="60" t="str">
        <f>IF($C83="","",IF($AR83&lt;&gt;"",$AR83,SUMIFS(TblDynatrace[RAM P95 (Go)],TblDynatrace[ID],$C83,TblDynatrace[Environnement],$E83,TblDynatrace[Couloir],$F83)))</f>
        <v/>
      </c>
      <c r="R83" s="26" t="str">
        <f>IF($C83="","",IFERROR(INDEX(TblDynatrace[Métrique / période],MATCH($C83&amp;"|"&amp;$E83&amp;"|"&amp;$F83,TblDynatrace[Clé],0)),""))</f>
        <v/>
      </c>
      <c r="S83" s="60" t="str">
        <f>IF(OR($C83="",NOT(OR($G83="À migrer",$G83="À décommissionner")),$I83="",NOT(ISNUMBER($P83))),"",IF($AO83&lt;&gt;"",$AO83,IFERROR(SUMIFS(TblClusters[CPU initial (vCPU)],TblClusters[Cluster],$I83)*$P83/(SUMIFS(TblApplications[CPU Dynatrace (vCPU)],TblApplications[Cluster IKS source],$I83,TblApplications[Action],"À migrer")+SUMIFS(TblApplications[CPU Dynatrace (vCPU)],TblApplications[Cluster IKS source],$I83,TblApplications[Action],"À décommissionner")),0)))</f>
        <v/>
      </c>
      <c r="T83" s="60" t="str">
        <f>IF(OR($C83="",NOT(OR($G83="À migrer",$G83="À décommissionner")),$I83="",NOT(ISNUMBER($Q83))),"",IF($AP83&lt;&gt;"",$AP83,IFERROR(SUMIFS(TblClusters[RAM initiale (Go)],TblClusters[Cluster],$I83)*$Q83/(SUMIFS(TblApplications[RAM Dynatrace (Go)],TblApplications[Cluster IKS source],$I83,TblApplications[Action],"À migrer")+SUMIFS(TblApplications[RAM Dynatrace (Go)],TblApplications[Cluster IKS source],$I83,TblApplications[Action],"À décommissionner")),0)))</f>
        <v/>
      </c>
      <c r="U83" s="61"/>
      <c r="V83" s="61"/>
      <c r="W83" s="61"/>
      <c r="X83" s="59"/>
      <c r="Y83" s="26" t="str">
        <f t="shared" si="9"/>
        <v/>
      </c>
      <c r="Z83" s="26" t="str">
        <f t="shared" si="10"/>
        <v/>
      </c>
      <c r="AA83" s="33" t="str">
        <f t="shared" si="11"/>
        <v/>
      </c>
      <c r="AB83" s="33" t="str">
        <f t="shared" si="12"/>
        <v/>
      </c>
      <c r="AC83" s="26" t="str">
        <f t="shared" si="13"/>
        <v/>
      </c>
      <c r="AD83" s="26" t="str">
        <f>IF($C83="","",COUNTIF(TblApplications[ID],$C83))</f>
        <v/>
      </c>
      <c r="AE83" s="33" t="str">
        <f>IF($C83="","",IFERROR(1/(1/_xlfn.MINIFS(TblApplications[Mois prov (calc)],TblApplications[ID],$C83)),""))</f>
        <v/>
      </c>
      <c r="AF83" s="33" t="str">
        <f>IF($C83="","",IFERROR(1/(1/_xlfn.MAXIFS(TblApplications[Mois lib (calc)],TblApplications[ID],$C83)),""))</f>
        <v/>
      </c>
      <c r="AG83" s="26" t="str">
        <f>IF($C83="","",IF(OR(OR($A83="",$B83="",$D83="",$E83="",$F83="",$G83=""),AND($G83="À migrer",OR($H83="",$I83="",$O83="",$U83="",$V83="",$W83="")),AND($G83="Migré",OR($O83="")),AND($G83="À décommissionner",OR($I83="",$W83=""))),"Données manquantes (selon l’action)",IF(AND($G83&lt;&gt;"Migré",$G83&lt;&gt;"À migrer",$G83&lt;&gt;"À décommissionner",$G83&lt;&gt;"Décommissionné"),"Action invalide",IF(COUNTIF(TblDomaines[Domaine],$A83)=0,"Domaine inconnu (référentiel)",IF(COUNTIFS(TblTribes[Tribe],$B83,TblTribes[Domaine de la tribe],$A83)=0,"Tribe inconnue ou hors domaine",IF(AND($G83="À migrer",$H83&lt;&gt;"Oui",$H83&lt;&gt;"Non"),"Valeur Oui/Non invalide (Déjà incluse ROKS)",IF(AND($E83&lt;&gt;"PRD",$E83&lt;&gt;"NPRD"),"Environnement invalide",IF(COUNTIFS(TblApplications[ID],$C83,TblApplications[Environnement],$E83,TblApplications[Couloir],$F83)&gt;1,"Déploiement en doublon (ID + env + couloir)",IF(AND(OR(OR($G83="À migrer",$G83="Migré"),OR($G83="À migrer",$G83="À décommissionner")),N($P83)&lt;=0),"Conso Dynatrace absente (onglet Dynatrace)",IF(OR(AND($P83&lt;&gt;"",NOT(ISNUMBER($P83))),AND($Q83&lt;&gt;"",NOT(ISNUMBER($Q83)))),"Ressource non numérique",IF(MIN(N($P83),N($Q83))&lt;0,"Ressource négative",IF(OR(AND($AH83&lt;&gt;"",OR(NOT(ISNUMBER($AH83)),$AH83&lt;0,$AH83&gt;1)),AND($AI83&lt;&gt;"",OR(NOT(ISNUMBER($AI83)),$AI83&lt;0,$AI83&gt;1))),"Marge spécifique invalide (0–100 %)",IF(OR(AND($U83&lt;&gt;"",NOT(ISNUMBER($U83))),AND($V83&lt;&gt;"",NOT(ISNUMBER($V83))),AND($W83&lt;&gt;"",NOT(ISNUMBER($W83)))),"Mois invalide",IF(AND(OR($G83="À migrer",$G83="À décommissionner"),COUNTIFS(TblClusters[Cluster],$I83,TblClusters[Plateforme],"IKS")=0),"Cluster IKS inconnu",IF(AND(OR($G83="À migrer",$G83="Migré"),COUNTIFS(TblClusters[Cluster],$O83,TblClusters[Plateforme],"ROKS")=0),"Cluster ROKS inconnu",IF(AND(OR($G83="À migrer",$G83="À décommissionner"),COUNTIFS(TblClusters[Cluster],$I83,TblClusters[Environnement],$E83)=0),"Environnement ≠ cluster IKS",IF(AND(OR($G83="À migrer",$G83="Migré"),COUNTIFS(TblClusters[Cluster],$O83,TblClusters[Environnement],$E83)=0),"Environnement ≠ cluster ROKS",IF(AND($G83="À migrer",OR($U83&gt;$V83,$V83&gt;$W83)),"Dates incohérentes (prov ≤ bascule ≤ libération)",IF(AND(OR($G83="À migrer",$G83="À décommissionner"),OR(N($AO83)&gt;SUMIFS(TblClusters[CPU initial (vCPU)],TblClusters[Cluster],$I83),N($AP83)&gt;SUMIFS(TblClusters[RAM initiale (Go)],TblClusters[Cluster],$I83))),"Forçage &gt; capacité du cluster source",IF(OR(AND($AA83&lt;&gt;"",$AA83&lt;p_debut),AND($AB83&lt;&gt;"",$AB83&gt;p_fin)),"Hors horizon (info)",IF(AND($G83="À migrer",$E83="PRD",COUNTIFS(TblApplications[ID],$C83,TblApplications[Environnement],"NPRD",TblApplications[Action],"À migrer")&gt;0,$AA83&lt;_xlfn.MINIFS(TblApplications[Mois prov (calc)],TblApplications[ID],$C83,TblApplications[Environnement],"NPRD")),"PRD avant NPRD (info)","OK")))))))))))))))))))))</f>
        <v/>
      </c>
      <c r="AH83" s="62"/>
      <c r="AI83" s="62"/>
      <c r="AJ83" s="27" t="str">
        <f>IF(OR($C83="",NOT(OR($G83="À migrer",$G83="À décommissionner")),NOT(ISNUMBER($S83)),NOT(ISNUMBER($T83)),$AB83=""),"",($S83+p_poidsram*$T83)*SUMIFS(TblCalculs[Coût par unité],TblCalculs[Cluster],$I83,TblCalculs[Mois],"&lt;"&amp;$AB83))</f>
        <v/>
      </c>
      <c r="AK83" s="27" t="str">
        <f>IF($C83="","",IF(AND($G83="À migrer",$H83="Non",$Y83&lt;&gt;"",$AA83&lt;&gt;""),($Y83+p_poidsram*$Z83)*SUMIFS(TblCalculs[Coût par unité],TblCalculs[Cluster],$O83,TblCalculs[Mois],"&gt;="&amp;$AA83),IF(AND($G83="Migré",$Y83&lt;&gt;""),($Y83+p_poidsram*$Z83)*SUMIFS(TblCalculs[Coût par unité],TblCalculs[Cluster],$O83),"")))</f>
        <v/>
      </c>
      <c r="AL83" s="27" t="str">
        <f t="shared" si="14"/>
        <v/>
      </c>
      <c r="AM83" s="26" t="str">
        <f t="shared" si="15"/>
        <v/>
      </c>
      <c r="AN83" s="26" t="str">
        <f>IF(OR($C83="",$AM83&lt;&gt;1,COUNTIFS($E83,ex_envc,$A83,ex_domc,$B83,ex_tric)=0),"",COUNTIFS($AM$6:$AM83,1,$E$6:$E83,ex_envc,$A$6:$A83,ex_domc,$B$6:$B83,ex_tric))</f>
        <v/>
      </c>
      <c r="AO83" s="63"/>
      <c r="AP83" s="63"/>
      <c r="AQ83" s="63"/>
      <c r="AR83" s="63"/>
    </row>
    <row r="84" spans="1:44" x14ac:dyDescent="0.2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26" t="str">
        <f t="shared" si="8"/>
        <v/>
      </c>
      <c r="O84" s="59"/>
      <c r="P84" s="60" t="str">
        <f>IF($C84="","",IF($AQ84&lt;&gt;"",$AQ84,SUMIFS(TblDynatrace[CPU P95 (vCPU)],TblDynatrace[ID],$C84,TblDynatrace[Environnement],$E84,TblDynatrace[Couloir],$F84)))</f>
        <v/>
      </c>
      <c r="Q84" s="60" t="str">
        <f>IF($C84="","",IF($AR84&lt;&gt;"",$AR84,SUMIFS(TblDynatrace[RAM P95 (Go)],TblDynatrace[ID],$C84,TblDynatrace[Environnement],$E84,TblDynatrace[Couloir],$F84)))</f>
        <v/>
      </c>
      <c r="R84" s="26" t="str">
        <f>IF($C84="","",IFERROR(INDEX(TblDynatrace[Métrique / période],MATCH($C84&amp;"|"&amp;$E84&amp;"|"&amp;$F84,TblDynatrace[Clé],0)),""))</f>
        <v/>
      </c>
      <c r="S84" s="60" t="str">
        <f>IF(OR($C84="",NOT(OR($G84="À migrer",$G84="À décommissionner")),$I84="",NOT(ISNUMBER($P84))),"",IF($AO84&lt;&gt;"",$AO84,IFERROR(SUMIFS(TblClusters[CPU initial (vCPU)],TblClusters[Cluster],$I84)*$P84/(SUMIFS(TblApplications[CPU Dynatrace (vCPU)],TblApplications[Cluster IKS source],$I84,TblApplications[Action],"À migrer")+SUMIFS(TblApplications[CPU Dynatrace (vCPU)],TblApplications[Cluster IKS source],$I84,TblApplications[Action],"À décommissionner")),0)))</f>
        <v/>
      </c>
      <c r="T84" s="60" t="str">
        <f>IF(OR($C84="",NOT(OR($G84="À migrer",$G84="À décommissionner")),$I84="",NOT(ISNUMBER($Q84))),"",IF($AP84&lt;&gt;"",$AP84,IFERROR(SUMIFS(TblClusters[RAM initiale (Go)],TblClusters[Cluster],$I84)*$Q84/(SUMIFS(TblApplications[RAM Dynatrace (Go)],TblApplications[Cluster IKS source],$I84,TblApplications[Action],"À migrer")+SUMIFS(TblApplications[RAM Dynatrace (Go)],TblApplications[Cluster IKS source],$I84,TblApplications[Action],"À décommissionner")),0)))</f>
        <v/>
      </c>
      <c r="U84" s="61"/>
      <c r="V84" s="61"/>
      <c r="W84" s="61"/>
      <c r="X84" s="59"/>
      <c r="Y84" s="26" t="str">
        <f t="shared" si="9"/>
        <v/>
      </c>
      <c r="Z84" s="26" t="str">
        <f t="shared" si="10"/>
        <v/>
      </c>
      <c r="AA84" s="33" t="str">
        <f t="shared" si="11"/>
        <v/>
      </c>
      <c r="AB84" s="33" t="str">
        <f t="shared" si="12"/>
        <v/>
      </c>
      <c r="AC84" s="26" t="str">
        <f t="shared" si="13"/>
        <v/>
      </c>
      <c r="AD84" s="26" t="str">
        <f>IF($C84="","",COUNTIF(TblApplications[ID],$C84))</f>
        <v/>
      </c>
      <c r="AE84" s="33" t="str">
        <f>IF($C84="","",IFERROR(1/(1/_xlfn.MINIFS(TblApplications[Mois prov (calc)],TblApplications[ID],$C84)),""))</f>
        <v/>
      </c>
      <c r="AF84" s="33" t="str">
        <f>IF($C84="","",IFERROR(1/(1/_xlfn.MAXIFS(TblApplications[Mois lib (calc)],TblApplications[ID],$C84)),""))</f>
        <v/>
      </c>
      <c r="AG84" s="26" t="str">
        <f>IF($C84="","",IF(OR(OR($A84="",$B84="",$D84="",$E84="",$F84="",$G84=""),AND($G84="À migrer",OR($H84="",$I84="",$O84="",$U84="",$V84="",$W84="")),AND($G84="Migré",OR($O84="")),AND($G84="À décommissionner",OR($I84="",$W84=""))),"Données manquantes (selon l’action)",IF(AND($G84&lt;&gt;"Migré",$G84&lt;&gt;"À migrer",$G84&lt;&gt;"À décommissionner",$G84&lt;&gt;"Décommissionné"),"Action invalide",IF(COUNTIF(TblDomaines[Domaine],$A84)=0,"Domaine inconnu (référentiel)",IF(COUNTIFS(TblTribes[Tribe],$B84,TblTribes[Domaine de la tribe],$A84)=0,"Tribe inconnue ou hors domaine",IF(AND($G84="À migrer",$H84&lt;&gt;"Oui",$H84&lt;&gt;"Non"),"Valeur Oui/Non invalide (Déjà incluse ROKS)",IF(AND($E84&lt;&gt;"PRD",$E84&lt;&gt;"NPRD"),"Environnement invalide",IF(COUNTIFS(TblApplications[ID],$C84,TblApplications[Environnement],$E84,TblApplications[Couloir],$F84)&gt;1,"Déploiement en doublon (ID + env + couloir)",IF(AND(OR(OR($G84="À migrer",$G84="Migré"),OR($G84="À migrer",$G84="À décommissionner")),N($P84)&lt;=0),"Conso Dynatrace absente (onglet Dynatrace)",IF(OR(AND($P84&lt;&gt;"",NOT(ISNUMBER($P84))),AND($Q84&lt;&gt;"",NOT(ISNUMBER($Q84)))),"Ressource non numérique",IF(MIN(N($P84),N($Q84))&lt;0,"Ressource négative",IF(OR(AND($AH84&lt;&gt;"",OR(NOT(ISNUMBER($AH84)),$AH84&lt;0,$AH84&gt;1)),AND($AI84&lt;&gt;"",OR(NOT(ISNUMBER($AI84)),$AI84&lt;0,$AI84&gt;1))),"Marge spécifique invalide (0–100 %)",IF(OR(AND($U84&lt;&gt;"",NOT(ISNUMBER($U84))),AND($V84&lt;&gt;"",NOT(ISNUMBER($V84))),AND($W84&lt;&gt;"",NOT(ISNUMBER($W84)))),"Mois invalide",IF(AND(OR($G84="À migrer",$G84="À décommissionner"),COUNTIFS(TblClusters[Cluster],$I84,TblClusters[Plateforme],"IKS")=0),"Cluster IKS inconnu",IF(AND(OR($G84="À migrer",$G84="Migré"),COUNTIFS(TblClusters[Cluster],$O84,TblClusters[Plateforme],"ROKS")=0),"Cluster ROKS inconnu",IF(AND(OR($G84="À migrer",$G84="À décommissionner"),COUNTIFS(TblClusters[Cluster],$I84,TblClusters[Environnement],$E84)=0),"Environnement ≠ cluster IKS",IF(AND(OR($G84="À migrer",$G84="Migré"),COUNTIFS(TblClusters[Cluster],$O84,TblClusters[Environnement],$E84)=0),"Environnement ≠ cluster ROKS",IF(AND($G84="À migrer",OR($U84&gt;$V84,$V84&gt;$W84)),"Dates incohérentes (prov ≤ bascule ≤ libération)",IF(AND(OR($G84="À migrer",$G84="À décommissionner"),OR(N($AO84)&gt;SUMIFS(TblClusters[CPU initial (vCPU)],TblClusters[Cluster],$I84),N($AP84)&gt;SUMIFS(TblClusters[RAM initiale (Go)],TblClusters[Cluster],$I84))),"Forçage &gt; capacité du cluster source",IF(OR(AND($AA84&lt;&gt;"",$AA84&lt;p_debut),AND($AB84&lt;&gt;"",$AB84&gt;p_fin)),"Hors horizon (info)",IF(AND($G84="À migrer",$E84="PRD",COUNTIFS(TblApplications[ID],$C84,TblApplications[Environnement],"NPRD",TblApplications[Action],"À migrer")&gt;0,$AA84&lt;_xlfn.MINIFS(TblApplications[Mois prov (calc)],TblApplications[ID],$C84,TblApplications[Environnement],"NPRD")),"PRD avant NPRD (info)","OK")))))))))))))))))))))</f>
        <v/>
      </c>
      <c r="AH84" s="62"/>
      <c r="AI84" s="62"/>
      <c r="AJ84" s="27" t="str">
        <f>IF(OR($C84="",NOT(OR($G84="À migrer",$G84="À décommissionner")),NOT(ISNUMBER($S84)),NOT(ISNUMBER($T84)),$AB84=""),"",($S84+p_poidsram*$T84)*SUMIFS(TblCalculs[Coût par unité],TblCalculs[Cluster],$I84,TblCalculs[Mois],"&lt;"&amp;$AB84))</f>
        <v/>
      </c>
      <c r="AK84" s="27" t="str">
        <f>IF($C84="","",IF(AND($G84="À migrer",$H84="Non",$Y84&lt;&gt;"",$AA84&lt;&gt;""),($Y84+p_poidsram*$Z84)*SUMIFS(TblCalculs[Coût par unité],TblCalculs[Cluster],$O84,TblCalculs[Mois],"&gt;="&amp;$AA84),IF(AND($G84="Migré",$Y84&lt;&gt;""),($Y84+p_poidsram*$Z84)*SUMIFS(TblCalculs[Coût par unité],TblCalculs[Cluster],$O84),"")))</f>
        <v/>
      </c>
      <c r="AL84" s="27" t="str">
        <f t="shared" si="14"/>
        <v/>
      </c>
      <c r="AM84" s="26" t="str">
        <f t="shared" si="15"/>
        <v/>
      </c>
      <c r="AN84" s="26" t="str">
        <f>IF(OR($C84="",$AM84&lt;&gt;1,COUNTIFS($E84,ex_envc,$A84,ex_domc,$B84,ex_tric)=0),"",COUNTIFS($AM$6:$AM84,1,$E$6:$E84,ex_envc,$A$6:$A84,ex_domc,$B$6:$B84,ex_tric))</f>
        <v/>
      </c>
      <c r="AO84" s="63"/>
      <c r="AP84" s="63"/>
      <c r="AQ84" s="63"/>
      <c r="AR84" s="63"/>
    </row>
    <row r="85" spans="1:44" x14ac:dyDescent="0.2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26" t="str">
        <f t="shared" si="8"/>
        <v/>
      </c>
      <c r="O85" s="59"/>
      <c r="P85" s="60" t="str">
        <f>IF($C85="","",IF($AQ85&lt;&gt;"",$AQ85,SUMIFS(TblDynatrace[CPU P95 (vCPU)],TblDynatrace[ID],$C85,TblDynatrace[Environnement],$E85,TblDynatrace[Couloir],$F85)))</f>
        <v/>
      </c>
      <c r="Q85" s="60" t="str">
        <f>IF($C85="","",IF($AR85&lt;&gt;"",$AR85,SUMIFS(TblDynatrace[RAM P95 (Go)],TblDynatrace[ID],$C85,TblDynatrace[Environnement],$E85,TblDynatrace[Couloir],$F85)))</f>
        <v/>
      </c>
      <c r="R85" s="26" t="str">
        <f>IF($C85="","",IFERROR(INDEX(TblDynatrace[Métrique / période],MATCH($C85&amp;"|"&amp;$E85&amp;"|"&amp;$F85,TblDynatrace[Clé],0)),""))</f>
        <v/>
      </c>
      <c r="S85" s="60" t="str">
        <f>IF(OR($C85="",NOT(OR($G85="À migrer",$G85="À décommissionner")),$I85="",NOT(ISNUMBER($P85))),"",IF($AO85&lt;&gt;"",$AO85,IFERROR(SUMIFS(TblClusters[CPU initial (vCPU)],TblClusters[Cluster],$I85)*$P85/(SUMIFS(TblApplications[CPU Dynatrace (vCPU)],TblApplications[Cluster IKS source],$I85,TblApplications[Action],"À migrer")+SUMIFS(TblApplications[CPU Dynatrace (vCPU)],TblApplications[Cluster IKS source],$I85,TblApplications[Action],"À décommissionner")),0)))</f>
        <v/>
      </c>
      <c r="T85" s="60" t="str">
        <f>IF(OR($C85="",NOT(OR($G85="À migrer",$G85="À décommissionner")),$I85="",NOT(ISNUMBER($Q85))),"",IF($AP85&lt;&gt;"",$AP85,IFERROR(SUMIFS(TblClusters[RAM initiale (Go)],TblClusters[Cluster],$I85)*$Q85/(SUMIFS(TblApplications[RAM Dynatrace (Go)],TblApplications[Cluster IKS source],$I85,TblApplications[Action],"À migrer")+SUMIFS(TblApplications[RAM Dynatrace (Go)],TblApplications[Cluster IKS source],$I85,TblApplications[Action],"À décommissionner")),0)))</f>
        <v/>
      </c>
      <c r="U85" s="61"/>
      <c r="V85" s="61"/>
      <c r="W85" s="61"/>
      <c r="X85" s="59"/>
      <c r="Y85" s="26" t="str">
        <f t="shared" si="9"/>
        <v/>
      </c>
      <c r="Z85" s="26" t="str">
        <f t="shared" si="10"/>
        <v/>
      </c>
      <c r="AA85" s="33" t="str">
        <f t="shared" si="11"/>
        <v/>
      </c>
      <c r="AB85" s="33" t="str">
        <f t="shared" si="12"/>
        <v/>
      </c>
      <c r="AC85" s="26" t="str">
        <f t="shared" si="13"/>
        <v/>
      </c>
      <c r="AD85" s="26" t="str">
        <f>IF($C85="","",COUNTIF(TblApplications[ID],$C85))</f>
        <v/>
      </c>
      <c r="AE85" s="33" t="str">
        <f>IF($C85="","",IFERROR(1/(1/_xlfn.MINIFS(TblApplications[Mois prov (calc)],TblApplications[ID],$C85)),""))</f>
        <v/>
      </c>
      <c r="AF85" s="33" t="str">
        <f>IF($C85="","",IFERROR(1/(1/_xlfn.MAXIFS(TblApplications[Mois lib (calc)],TblApplications[ID],$C85)),""))</f>
        <v/>
      </c>
      <c r="AG85" s="26" t="str">
        <f>IF($C85="","",IF(OR(OR($A85="",$B85="",$D85="",$E85="",$F85="",$G85=""),AND($G85="À migrer",OR($H85="",$I85="",$O85="",$U85="",$V85="",$W85="")),AND($G85="Migré",OR($O85="")),AND($G85="À décommissionner",OR($I85="",$W85=""))),"Données manquantes (selon l’action)",IF(AND($G85&lt;&gt;"Migré",$G85&lt;&gt;"À migrer",$G85&lt;&gt;"À décommissionner",$G85&lt;&gt;"Décommissionné"),"Action invalide",IF(COUNTIF(TblDomaines[Domaine],$A85)=0,"Domaine inconnu (référentiel)",IF(COUNTIFS(TblTribes[Tribe],$B85,TblTribes[Domaine de la tribe],$A85)=0,"Tribe inconnue ou hors domaine",IF(AND($G85="À migrer",$H85&lt;&gt;"Oui",$H85&lt;&gt;"Non"),"Valeur Oui/Non invalide (Déjà incluse ROKS)",IF(AND($E85&lt;&gt;"PRD",$E85&lt;&gt;"NPRD"),"Environnement invalide",IF(COUNTIFS(TblApplications[ID],$C85,TblApplications[Environnement],$E85,TblApplications[Couloir],$F85)&gt;1,"Déploiement en doublon (ID + env + couloir)",IF(AND(OR(OR($G85="À migrer",$G85="Migré"),OR($G85="À migrer",$G85="À décommissionner")),N($P85)&lt;=0),"Conso Dynatrace absente (onglet Dynatrace)",IF(OR(AND($P85&lt;&gt;"",NOT(ISNUMBER($P85))),AND($Q85&lt;&gt;"",NOT(ISNUMBER($Q85)))),"Ressource non numérique",IF(MIN(N($P85),N($Q85))&lt;0,"Ressource négative",IF(OR(AND($AH85&lt;&gt;"",OR(NOT(ISNUMBER($AH85)),$AH85&lt;0,$AH85&gt;1)),AND($AI85&lt;&gt;"",OR(NOT(ISNUMBER($AI85)),$AI85&lt;0,$AI85&gt;1))),"Marge spécifique invalide (0–100 %)",IF(OR(AND($U85&lt;&gt;"",NOT(ISNUMBER($U85))),AND($V85&lt;&gt;"",NOT(ISNUMBER($V85))),AND($W85&lt;&gt;"",NOT(ISNUMBER($W85)))),"Mois invalide",IF(AND(OR($G85="À migrer",$G85="À décommissionner"),COUNTIFS(TblClusters[Cluster],$I85,TblClusters[Plateforme],"IKS")=0),"Cluster IKS inconnu",IF(AND(OR($G85="À migrer",$G85="Migré"),COUNTIFS(TblClusters[Cluster],$O85,TblClusters[Plateforme],"ROKS")=0),"Cluster ROKS inconnu",IF(AND(OR($G85="À migrer",$G85="À décommissionner"),COUNTIFS(TblClusters[Cluster],$I85,TblClusters[Environnement],$E85)=0),"Environnement ≠ cluster IKS",IF(AND(OR($G85="À migrer",$G85="Migré"),COUNTIFS(TblClusters[Cluster],$O85,TblClusters[Environnement],$E85)=0),"Environnement ≠ cluster ROKS",IF(AND($G85="À migrer",OR($U85&gt;$V85,$V85&gt;$W85)),"Dates incohérentes (prov ≤ bascule ≤ libération)",IF(AND(OR($G85="À migrer",$G85="À décommissionner"),OR(N($AO85)&gt;SUMIFS(TblClusters[CPU initial (vCPU)],TblClusters[Cluster],$I85),N($AP85)&gt;SUMIFS(TblClusters[RAM initiale (Go)],TblClusters[Cluster],$I85))),"Forçage &gt; capacité du cluster source",IF(OR(AND($AA85&lt;&gt;"",$AA85&lt;p_debut),AND($AB85&lt;&gt;"",$AB85&gt;p_fin)),"Hors horizon (info)",IF(AND($G85="À migrer",$E85="PRD",COUNTIFS(TblApplications[ID],$C85,TblApplications[Environnement],"NPRD",TblApplications[Action],"À migrer")&gt;0,$AA85&lt;_xlfn.MINIFS(TblApplications[Mois prov (calc)],TblApplications[ID],$C85,TblApplications[Environnement],"NPRD")),"PRD avant NPRD (info)","OK")))))))))))))))))))))</f>
        <v/>
      </c>
      <c r="AH85" s="62"/>
      <c r="AI85" s="62"/>
      <c r="AJ85" s="27" t="str">
        <f>IF(OR($C85="",NOT(OR($G85="À migrer",$G85="À décommissionner")),NOT(ISNUMBER($S85)),NOT(ISNUMBER($T85)),$AB85=""),"",($S85+p_poidsram*$T85)*SUMIFS(TblCalculs[Coût par unité],TblCalculs[Cluster],$I85,TblCalculs[Mois],"&lt;"&amp;$AB85))</f>
        <v/>
      </c>
      <c r="AK85" s="27" t="str">
        <f>IF($C85="","",IF(AND($G85="À migrer",$H85="Non",$Y85&lt;&gt;"",$AA85&lt;&gt;""),($Y85+p_poidsram*$Z85)*SUMIFS(TblCalculs[Coût par unité],TblCalculs[Cluster],$O85,TblCalculs[Mois],"&gt;="&amp;$AA85),IF(AND($G85="Migré",$Y85&lt;&gt;""),($Y85+p_poidsram*$Z85)*SUMIFS(TblCalculs[Coût par unité],TblCalculs[Cluster],$O85),"")))</f>
        <v/>
      </c>
      <c r="AL85" s="27" t="str">
        <f t="shared" si="14"/>
        <v/>
      </c>
      <c r="AM85" s="26" t="str">
        <f t="shared" si="15"/>
        <v/>
      </c>
      <c r="AN85" s="26" t="str">
        <f>IF(OR($C85="",$AM85&lt;&gt;1,COUNTIFS($E85,ex_envc,$A85,ex_domc,$B85,ex_tric)=0),"",COUNTIFS($AM$6:$AM85,1,$E$6:$E85,ex_envc,$A$6:$A85,ex_domc,$B$6:$B85,ex_tric))</f>
        <v/>
      </c>
      <c r="AO85" s="63"/>
      <c r="AP85" s="63"/>
      <c r="AQ85" s="63"/>
      <c r="AR85" s="63"/>
    </row>
    <row r="86" spans="1:44" x14ac:dyDescent="0.2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26" t="str">
        <f t="shared" si="8"/>
        <v/>
      </c>
      <c r="O86" s="59"/>
      <c r="P86" s="60" t="str">
        <f>IF($C86="","",IF($AQ86&lt;&gt;"",$AQ86,SUMIFS(TblDynatrace[CPU P95 (vCPU)],TblDynatrace[ID],$C86,TblDynatrace[Environnement],$E86,TblDynatrace[Couloir],$F86)))</f>
        <v/>
      </c>
      <c r="Q86" s="60" t="str">
        <f>IF($C86="","",IF($AR86&lt;&gt;"",$AR86,SUMIFS(TblDynatrace[RAM P95 (Go)],TblDynatrace[ID],$C86,TblDynatrace[Environnement],$E86,TblDynatrace[Couloir],$F86)))</f>
        <v/>
      </c>
      <c r="R86" s="26" t="str">
        <f>IF($C86="","",IFERROR(INDEX(TblDynatrace[Métrique / période],MATCH($C86&amp;"|"&amp;$E86&amp;"|"&amp;$F86,TblDynatrace[Clé],0)),""))</f>
        <v/>
      </c>
      <c r="S86" s="60" t="str">
        <f>IF(OR($C86="",NOT(OR($G86="À migrer",$G86="À décommissionner")),$I86="",NOT(ISNUMBER($P86))),"",IF($AO86&lt;&gt;"",$AO86,IFERROR(SUMIFS(TblClusters[CPU initial (vCPU)],TblClusters[Cluster],$I86)*$P86/(SUMIFS(TblApplications[CPU Dynatrace (vCPU)],TblApplications[Cluster IKS source],$I86,TblApplications[Action],"À migrer")+SUMIFS(TblApplications[CPU Dynatrace (vCPU)],TblApplications[Cluster IKS source],$I86,TblApplications[Action],"À décommissionner")),0)))</f>
        <v/>
      </c>
      <c r="T86" s="60" t="str">
        <f>IF(OR($C86="",NOT(OR($G86="À migrer",$G86="À décommissionner")),$I86="",NOT(ISNUMBER($Q86))),"",IF($AP86&lt;&gt;"",$AP86,IFERROR(SUMIFS(TblClusters[RAM initiale (Go)],TblClusters[Cluster],$I86)*$Q86/(SUMIFS(TblApplications[RAM Dynatrace (Go)],TblApplications[Cluster IKS source],$I86,TblApplications[Action],"À migrer")+SUMIFS(TblApplications[RAM Dynatrace (Go)],TblApplications[Cluster IKS source],$I86,TblApplications[Action],"À décommissionner")),0)))</f>
        <v/>
      </c>
      <c r="U86" s="61"/>
      <c r="V86" s="61"/>
      <c r="W86" s="61"/>
      <c r="X86" s="59"/>
      <c r="Y86" s="26" t="str">
        <f t="shared" si="9"/>
        <v/>
      </c>
      <c r="Z86" s="26" t="str">
        <f t="shared" si="10"/>
        <v/>
      </c>
      <c r="AA86" s="33" t="str">
        <f t="shared" si="11"/>
        <v/>
      </c>
      <c r="AB86" s="33" t="str">
        <f t="shared" si="12"/>
        <v/>
      </c>
      <c r="AC86" s="26" t="str">
        <f t="shared" si="13"/>
        <v/>
      </c>
      <c r="AD86" s="26" t="str">
        <f>IF($C86="","",COUNTIF(TblApplications[ID],$C86))</f>
        <v/>
      </c>
      <c r="AE86" s="33" t="str">
        <f>IF($C86="","",IFERROR(1/(1/_xlfn.MINIFS(TblApplications[Mois prov (calc)],TblApplications[ID],$C86)),""))</f>
        <v/>
      </c>
      <c r="AF86" s="33" t="str">
        <f>IF($C86="","",IFERROR(1/(1/_xlfn.MAXIFS(TblApplications[Mois lib (calc)],TblApplications[ID],$C86)),""))</f>
        <v/>
      </c>
      <c r="AG86" s="26" t="str">
        <f>IF($C86="","",IF(OR(OR($A86="",$B86="",$D86="",$E86="",$F86="",$G86=""),AND($G86="À migrer",OR($H86="",$I86="",$O86="",$U86="",$V86="",$W86="")),AND($G86="Migré",OR($O86="")),AND($G86="À décommissionner",OR($I86="",$W86=""))),"Données manquantes (selon l’action)",IF(AND($G86&lt;&gt;"Migré",$G86&lt;&gt;"À migrer",$G86&lt;&gt;"À décommissionner",$G86&lt;&gt;"Décommissionné"),"Action invalide",IF(COUNTIF(TblDomaines[Domaine],$A86)=0,"Domaine inconnu (référentiel)",IF(COUNTIFS(TblTribes[Tribe],$B86,TblTribes[Domaine de la tribe],$A86)=0,"Tribe inconnue ou hors domaine",IF(AND($G86="À migrer",$H86&lt;&gt;"Oui",$H86&lt;&gt;"Non"),"Valeur Oui/Non invalide (Déjà incluse ROKS)",IF(AND($E86&lt;&gt;"PRD",$E86&lt;&gt;"NPRD"),"Environnement invalide",IF(COUNTIFS(TblApplications[ID],$C86,TblApplications[Environnement],$E86,TblApplications[Couloir],$F86)&gt;1,"Déploiement en doublon (ID + env + couloir)",IF(AND(OR(OR($G86="À migrer",$G86="Migré"),OR($G86="À migrer",$G86="À décommissionner")),N($P86)&lt;=0),"Conso Dynatrace absente (onglet Dynatrace)",IF(OR(AND($P86&lt;&gt;"",NOT(ISNUMBER($P86))),AND($Q86&lt;&gt;"",NOT(ISNUMBER($Q86)))),"Ressource non numérique",IF(MIN(N($P86),N($Q86))&lt;0,"Ressource négative",IF(OR(AND($AH86&lt;&gt;"",OR(NOT(ISNUMBER($AH86)),$AH86&lt;0,$AH86&gt;1)),AND($AI86&lt;&gt;"",OR(NOT(ISNUMBER($AI86)),$AI86&lt;0,$AI86&gt;1))),"Marge spécifique invalide (0–100 %)",IF(OR(AND($U86&lt;&gt;"",NOT(ISNUMBER($U86))),AND($V86&lt;&gt;"",NOT(ISNUMBER($V86))),AND($W86&lt;&gt;"",NOT(ISNUMBER($W86)))),"Mois invalide",IF(AND(OR($G86="À migrer",$G86="À décommissionner"),COUNTIFS(TblClusters[Cluster],$I86,TblClusters[Plateforme],"IKS")=0),"Cluster IKS inconnu",IF(AND(OR($G86="À migrer",$G86="Migré"),COUNTIFS(TblClusters[Cluster],$O86,TblClusters[Plateforme],"ROKS")=0),"Cluster ROKS inconnu",IF(AND(OR($G86="À migrer",$G86="À décommissionner"),COUNTIFS(TblClusters[Cluster],$I86,TblClusters[Environnement],$E86)=0),"Environnement ≠ cluster IKS",IF(AND(OR($G86="À migrer",$G86="Migré"),COUNTIFS(TblClusters[Cluster],$O86,TblClusters[Environnement],$E86)=0),"Environnement ≠ cluster ROKS",IF(AND($G86="À migrer",OR($U86&gt;$V86,$V86&gt;$W86)),"Dates incohérentes (prov ≤ bascule ≤ libération)",IF(AND(OR($G86="À migrer",$G86="À décommissionner"),OR(N($AO86)&gt;SUMIFS(TblClusters[CPU initial (vCPU)],TblClusters[Cluster],$I86),N($AP86)&gt;SUMIFS(TblClusters[RAM initiale (Go)],TblClusters[Cluster],$I86))),"Forçage &gt; capacité du cluster source",IF(OR(AND($AA86&lt;&gt;"",$AA86&lt;p_debut),AND($AB86&lt;&gt;"",$AB86&gt;p_fin)),"Hors horizon (info)",IF(AND($G86="À migrer",$E86="PRD",COUNTIFS(TblApplications[ID],$C86,TblApplications[Environnement],"NPRD",TblApplications[Action],"À migrer")&gt;0,$AA86&lt;_xlfn.MINIFS(TblApplications[Mois prov (calc)],TblApplications[ID],$C86,TblApplications[Environnement],"NPRD")),"PRD avant NPRD (info)","OK")))))))))))))))))))))</f>
        <v/>
      </c>
      <c r="AH86" s="62"/>
      <c r="AI86" s="62"/>
      <c r="AJ86" s="27" t="str">
        <f>IF(OR($C86="",NOT(OR($G86="À migrer",$G86="À décommissionner")),NOT(ISNUMBER($S86)),NOT(ISNUMBER($T86)),$AB86=""),"",($S86+p_poidsram*$T86)*SUMIFS(TblCalculs[Coût par unité],TblCalculs[Cluster],$I86,TblCalculs[Mois],"&lt;"&amp;$AB86))</f>
        <v/>
      </c>
      <c r="AK86" s="27" t="str">
        <f>IF($C86="","",IF(AND($G86="À migrer",$H86="Non",$Y86&lt;&gt;"",$AA86&lt;&gt;""),($Y86+p_poidsram*$Z86)*SUMIFS(TblCalculs[Coût par unité],TblCalculs[Cluster],$O86,TblCalculs[Mois],"&gt;="&amp;$AA86),IF(AND($G86="Migré",$Y86&lt;&gt;""),($Y86+p_poidsram*$Z86)*SUMIFS(TblCalculs[Coût par unité],TblCalculs[Cluster],$O86),"")))</f>
        <v/>
      </c>
      <c r="AL86" s="27" t="str">
        <f t="shared" si="14"/>
        <v/>
      </c>
      <c r="AM86" s="26" t="str">
        <f t="shared" si="15"/>
        <v/>
      </c>
      <c r="AN86" s="26" t="str">
        <f>IF(OR($C86="",$AM86&lt;&gt;1,COUNTIFS($E86,ex_envc,$A86,ex_domc,$B86,ex_tric)=0),"",COUNTIFS($AM$6:$AM86,1,$E$6:$E86,ex_envc,$A$6:$A86,ex_domc,$B$6:$B86,ex_tric))</f>
        <v/>
      </c>
      <c r="AO86" s="63"/>
      <c r="AP86" s="63"/>
      <c r="AQ86" s="63"/>
      <c r="AR86" s="63"/>
    </row>
    <row r="87" spans="1:44" x14ac:dyDescent="0.2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26" t="str">
        <f t="shared" si="8"/>
        <v/>
      </c>
      <c r="O87" s="59"/>
      <c r="P87" s="60" t="str">
        <f>IF($C87="","",IF($AQ87&lt;&gt;"",$AQ87,SUMIFS(TblDynatrace[CPU P95 (vCPU)],TblDynatrace[ID],$C87,TblDynatrace[Environnement],$E87,TblDynatrace[Couloir],$F87)))</f>
        <v/>
      </c>
      <c r="Q87" s="60" t="str">
        <f>IF($C87="","",IF($AR87&lt;&gt;"",$AR87,SUMIFS(TblDynatrace[RAM P95 (Go)],TblDynatrace[ID],$C87,TblDynatrace[Environnement],$E87,TblDynatrace[Couloir],$F87)))</f>
        <v/>
      </c>
      <c r="R87" s="26" t="str">
        <f>IF($C87="","",IFERROR(INDEX(TblDynatrace[Métrique / période],MATCH($C87&amp;"|"&amp;$E87&amp;"|"&amp;$F87,TblDynatrace[Clé],0)),""))</f>
        <v/>
      </c>
      <c r="S87" s="60" t="str">
        <f>IF(OR($C87="",NOT(OR($G87="À migrer",$G87="À décommissionner")),$I87="",NOT(ISNUMBER($P87))),"",IF($AO87&lt;&gt;"",$AO87,IFERROR(SUMIFS(TblClusters[CPU initial (vCPU)],TblClusters[Cluster],$I87)*$P87/(SUMIFS(TblApplications[CPU Dynatrace (vCPU)],TblApplications[Cluster IKS source],$I87,TblApplications[Action],"À migrer")+SUMIFS(TblApplications[CPU Dynatrace (vCPU)],TblApplications[Cluster IKS source],$I87,TblApplications[Action],"À décommissionner")),0)))</f>
        <v/>
      </c>
      <c r="T87" s="60" t="str">
        <f>IF(OR($C87="",NOT(OR($G87="À migrer",$G87="À décommissionner")),$I87="",NOT(ISNUMBER($Q87))),"",IF($AP87&lt;&gt;"",$AP87,IFERROR(SUMIFS(TblClusters[RAM initiale (Go)],TblClusters[Cluster],$I87)*$Q87/(SUMIFS(TblApplications[RAM Dynatrace (Go)],TblApplications[Cluster IKS source],$I87,TblApplications[Action],"À migrer")+SUMIFS(TblApplications[RAM Dynatrace (Go)],TblApplications[Cluster IKS source],$I87,TblApplications[Action],"À décommissionner")),0)))</f>
        <v/>
      </c>
      <c r="U87" s="61"/>
      <c r="V87" s="61"/>
      <c r="W87" s="61"/>
      <c r="X87" s="59"/>
      <c r="Y87" s="26" t="str">
        <f t="shared" si="9"/>
        <v/>
      </c>
      <c r="Z87" s="26" t="str">
        <f t="shared" si="10"/>
        <v/>
      </c>
      <c r="AA87" s="33" t="str">
        <f t="shared" si="11"/>
        <v/>
      </c>
      <c r="AB87" s="33" t="str">
        <f t="shared" si="12"/>
        <v/>
      </c>
      <c r="AC87" s="26" t="str">
        <f t="shared" si="13"/>
        <v/>
      </c>
      <c r="AD87" s="26" t="str">
        <f>IF($C87="","",COUNTIF(TblApplications[ID],$C87))</f>
        <v/>
      </c>
      <c r="AE87" s="33" t="str">
        <f>IF($C87="","",IFERROR(1/(1/_xlfn.MINIFS(TblApplications[Mois prov (calc)],TblApplications[ID],$C87)),""))</f>
        <v/>
      </c>
      <c r="AF87" s="33" t="str">
        <f>IF($C87="","",IFERROR(1/(1/_xlfn.MAXIFS(TblApplications[Mois lib (calc)],TblApplications[ID],$C87)),""))</f>
        <v/>
      </c>
      <c r="AG87" s="26" t="str">
        <f>IF($C87="","",IF(OR(OR($A87="",$B87="",$D87="",$E87="",$F87="",$G87=""),AND($G87="À migrer",OR($H87="",$I87="",$O87="",$U87="",$V87="",$W87="")),AND($G87="Migré",OR($O87="")),AND($G87="À décommissionner",OR($I87="",$W87=""))),"Données manquantes (selon l’action)",IF(AND($G87&lt;&gt;"Migré",$G87&lt;&gt;"À migrer",$G87&lt;&gt;"À décommissionner",$G87&lt;&gt;"Décommissionné"),"Action invalide",IF(COUNTIF(TblDomaines[Domaine],$A87)=0,"Domaine inconnu (référentiel)",IF(COUNTIFS(TblTribes[Tribe],$B87,TblTribes[Domaine de la tribe],$A87)=0,"Tribe inconnue ou hors domaine",IF(AND($G87="À migrer",$H87&lt;&gt;"Oui",$H87&lt;&gt;"Non"),"Valeur Oui/Non invalide (Déjà incluse ROKS)",IF(AND($E87&lt;&gt;"PRD",$E87&lt;&gt;"NPRD"),"Environnement invalide",IF(COUNTIFS(TblApplications[ID],$C87,TblApplications[Environnement],$E87,TblApplications[Couloir],$F87)&gt;1,"Déploiement en doublon (ID + env + couloir)",IF(AND(OR(OR($G87="À migrer",$G87="Migré"),OR($G87="À migrer",$G87="À décommissionner")),N($P87)&lt;=0),"Conso Dynatrace absente (onglet Dynatrace)",IF(OR(AND($P87&lt;&gt;"",NOT(ISNUMBER($P87))),AND($Q87&lt;&gt;"",NOT(ISNUMBER($Q87)))),"Ressource non numérique",IF(MIN(N($P87),N($Q87))&lt;0,"Ressource négative",IF(OR(AND($AH87&lt;&gt;"",OR(NOT(ISNUMBER($AH87)),$AH87&lt;0,$AH87&gt;1)),AND($AI87&lt;&gt;"",OR(NOT(ISNUMBER($AI87)),$AI87&lt;0,$AI87&gt;1))),"Marge spécifique invalide (0–100 %)",IF(OR(AND($U87&lt;&gt;"",NOT(ISNUMBER($U87))),AND($V87&lt;&gt;"",NOT(ISNUMBER($V87))),AND($W87&lt;&gt;"",NOT(ISNUMBER($W87)))),"Mois invalide",IF(AND(OR($G87="À migrer",$G87="À décommissionner"),COUNTIFS(TblClusters[Cluster],$I87,TblClusters[Plateforme],"IKS")=0),"Cluster IKS inconnu",IF(AND(OR($G87="À migrer",$G87="Migré"),COUNTIFS(TblClusters[Cluster],$O87,TblClusters[Plateforme],"ROKS")=0),"Cluster ROKS inconnu",IF(AND(OR($G87="À migrer",$G87="À décommissionner"),COUNTIFS(TblClusters[Cluster],$I87,TblClusters[Environnement],$E87)=0),"Environnement ≠ cluster IKS",IF(AND(OR($G87="À migrer",$G87="Migré"),COUNTIFS(TblClusters[Cluster],$O87,TblClusters[Environnement],$E87)=0),"Environnement ≠ cluster ROKS",IF(AND($G87="À migrer",OR($U87&gt;$V87,$V87&gt;$W87)),"Dates incohérentes (prov ≤ bascule ≤ libération)",IF(AND(OR($G87="À migrer",$G87="À décommissionner"),OR(N($AO87)&gt;SUMIFS(TblClusters[CPU initial (vCPU)],TblClusters[Cluster],$I87),N($AP87)&gt;SUMIFS(TblClusters[RAM initiale (Go)],TblClusters[Cluster],$I87))),"Forçage &gt; capacité du cluster source",IF(OR(AND($AA87&lt;&gt;"",$AA87&lt;p_debut),AND($AB87&lt;&gt;"",$AB87&gt;p_fin)),"Hors horizon (info)",IF(AND($G87="À migrer",$E87="PRD",COUNTIFS(TblApplications[ID],$C87,TblApplications[Environnement],"NPRD",TblApplications[Action],"À migrer")&gt;0,$AA87&lt;_xlfn.MINIFS(TblApplications[Mois prov (calc)],TblApplications[ID],$C87,TblApplications[Environnement],"NPRD")),"PRD avant NPRD (info)","OK")))))))))))))))))))))</f>
        <v/>
      </c>
      <c r="AH87" s="62"/>
      <c r="AI87" s="62"/>
      <c r="AJ87" s="27" t="str">
        <f>IF(OR($C87="",NOT(OR($G87="À migrer",$G87="À décommissionner")),NOT(ISNUMBER($S87)),NOT(ISNUMBER($T87)),$AB87=""),"",($S87+p_poidsram*$T87)*SUMIFS(TblCalculs[Coût par unité],TblCalculs[Cluster],$I87,TblCalculs[Mois],"&lt;"&amp;$AB87))</f>
        <v/>
      </c>
      <c r="AK87" s="27" t="str">
        <f>IF($C87="","",IF(AND($G87="À migrer",$H87="Non",$Y87&lt;&gt;"",$AA87&lt;&gt;""),($Y87+p_poidsram*$Z87)*SUMIFS(TblCalculs[Coût par unité],TblCalculs[Cluster],$O87,TblCalculs[Mois],"&gt;="&amp;$AA87),IF(AND($G87="Migré",$Y87&lt;&gt;""),($Y87+p_poidsram*$Z87)*SUMIFS(TblCalculs[Coût par unité],TblCalculs[Cluster],$O87),"")))</f>
        <v/>
      </c>
      <c r="AL87" s="27" t="str">
        <f t="shared" si="14"/>
        <v/>
      </c>
      <c r="AM87" s="26" t="str">
        <f t="shared" si="15"/>
        <v/>
      </c>
      <c r="AN87" s="26" t="str">
        <f>IF(OR($C87="",$AM87&lt;&gt;1,COUNTIFS($E87,ex_envc,$A87,ex_domc,$B87,ex_tric)=0),"",COUNTIFS($AM$6:$AM87,1,$E$6:$E87,ex_envc,$A$6:$A87,ex_domc,$B$6:$B87,ex_tric))</f>
        <v/>
      </c>
      <c r="AO87" s="63"/>
      <c r="AP87" s="63"/>
      <c r="AQ87" s="63"/>
      <c r="AR87" s="63"/>
    </row>
    <row r="88" spans="1:44" x14ac:dyDescent="0.2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26" t="str">
        <f t="shared" si="8"/>
        <v/>
      </c>
      <c r="O88" s="59"/>
      <c r="P88" s="60" t="str">
        <f>IF($C88="","",IF($AQ88&lt;&gt;"",$AQ88,SUMIFS(TblDynatrace[CPU P95 (vCPU)],TblDynatrace[ID],$C88,TblDynatrace[Environnement],$E88,TblDynatrace[Couloir],$F88)))</f>
        <v/>
      </c>
      <c r="Q88" s="60" t="str">
        <f>IF($C88="","",IF($AR88&lt;&gt;"",$AR88,SUMIFS(TblDynatrace[RAM P95 (Go)],TblDynatrace[ID],$C88,TblDynatrace[Environnement],$E88,TblDynatrace[Couloir],$F88)))</f>
        <v/>
      </c>
      <c r="R88" s="26" t="str">
        <f>IF($C88="","",IFERROR(INDEX(TblDynatrace[Métrique / période],MATCH($C88&amp;"|"&amp;$E88&amp;"|"&amp;$F88,TblDynatrace[Clé],0)),""))</f>
        <v/>
      </c>
      <c r="S88" s="60" t="str">
        <f>IF(OR($C88="",NOT(OR($G88="À migrer",$G88="À décommissionner")),$I88="",NOT(ISNUMBER($P88))),"",IF($AO88&lt;&gt;"",$AO88,IFERROR(SUMIFS(TblClusters[CPU initial (vCPU)],TblClusters[Cluster],$I88)*$P88/(SUMIFS(TblApplications[CPU Dynatrace (vCPU)],TblApplications[Cluster IKS source],$I88,TblApplications[Action],"À migrer")+SUMIFS(TblApplications[CPU Dynatrace (vCPU)],TblApplications[Cluster IKS source],$I88,TblApplications[Action],"À décommissionner")),0)))</f>
        <v/>
      </c>
      <c r="T88" s="60" t="str">
        <f>IF(OR($C88="",NOT(OR($G88="À migrer",$G88="À décommissionner")),$I88="",NOT(ISNUMBER($Q88))),"",IF($AP88&lt;&gt;"",$AP88,IFERROR(SUMIFS(TblClusters[RAM initiale (Go)],TblClusters[Cluster],$I88)*$Q88/(SUMIFS(TblApplications[RAM Dynatrace (Go)],TblApplications[Cluster IKS source],$I88,TblApplications[Action],"À migrer")+SUMIFS(TblApplications[RAM Dynatrace (Go)],TblApplications[Cluster IKS source],$I88,TblApplications[Action],"À décommissionner")),0)))</f>
        <v/>
      </c>
      <c r="U88" s="61"/>
      <c r="V88" s="61"/>
      <c r="W88" s="61"/>
      <c r="X88" s="59"/>
      <c r="Y88" s="26" t="str">
        <f t="shared" si="9"/>
        <v/>
      </c>
      <c r="Z88" s="26" t="str">
        <f t="shared" si="10"/>
        <v/>
      </c>
      <c r="AA88" s="33" t="str">
        <f t="shared" si="11"/>
        <v/>
      </c>
      <c r="AB88" s="33" t="str">
        <f t="shared" si="12"/>
        <v/>
      </c>
      <c r="AC88" s="26" t="str">
        <f t="shared" si="13"/>
        <v/>
      </c>
      <c r="AD88" s="26" t="str">
        <f>IF($C88="","",COUNTIF(TblApplications[ID],$C88))</f>
        <v/>
      </c>
      <c r="AE88" s="33" t="str">
        <f>IF($C88="","",IFERROR(1/(1/_xlfn.MINIFS(TblApplications[Mois prov (calc)],TblApplications[ID],$C88)),""))</f>
        <v/>
      </c>
      <c r="AF88" s="33" t="str">
        <f>IF($C88="","",IFERROR(1/(1/_xlfn.MAXIFS(TblApplications[Mois lib (calc)],TblApplications[ID],$C88)),""))</f>
        <v/>
      </c>
      <c r="AG88" s="26" t="str">
        <f>IF($C88="","",IF(OR(OR($A88="",$B88="",$D88="",$E88="",$F88="",$G88=""),AND($G88="À migrer",OR($H88="",$I88="",$O88="",$U88="",$V88="",$W88="")),AND($G88="Migré",OR($O88="")),AND($G88="À décommissionner",OR($I88="",$W88=""))),"Données manquantes (selon l’action)",IF(AND($G88&lt;&gt;"Migré",$G88&lt;&gt;"À migrer",$G88&lt;&gt;"À décommissionner",$G88&lt;&gt;"Décommissionné"),"Action invalide",IF(COUNTIF(TblDomaines[Domaine],$A88)=0,"Domaine inconnu (référentiel)",IF(COUNTIFS(TblTribes[Tribe],$B88,TblTribes[Domaine de la tribe],$A88)=0,"Tribe inconnue ou hors domaine",IF(AND($G88="À migrer",$H88&lt;&gt;"Oui",$H88&lt;&gt;"Non"),"Valeur Oui/Non invalide (Déjà incluse ROKS)",IF(AND($E88&lt;&gt;"PRD",$E88&lt;&gt;"NPRD"),"Environnement invalide",IF(COUNTIFS(TblApplications[ID],$C88,TblApplications[Environnement],$E88,TblApplications[Couloir],$F88)&gt;1,"Déploiement en doublon (ID + env + couloir)",IF(AND(OR(OR($G88="À migrer",$G88="Migré"),OR($G88="À migrer",$G88="À décommissionner")),N($P88)&lt;=0),"Conso Dynatrace absente (onglet Dynatrace)",IF(OR(AND($P88&lt;&gt;"",NOT(ISNUMBER($P88))),AND($Q88&lt;&gt;"",NOT(ISNUMBER($Q88)))),"Ressource non numérique",IF(MIN(N($P88),N($Q88))&lt;0,"Ressource négative",IF(OR(AND($AH88&lt;&gt;"",OR(NOT(ISNUMBER($AH88)),$AH88&lt;0,$AH88&gt;1)),AND($AI88&lt;&gt;"",OR(NOT(ISNUMBER($AI88)),$AI88&lt;0,$AI88&gt;1))),"Marge spécifique invalide (0–100 %)",IF(OR(AND($U88&lt;&gt;"",NOT(ISNUMBER($U88))),AND($V88&lt;&gt;"",NOT(ISNUMBER($V88))),AND($W88&lt;&gt;"",NOT(ISNUMBER($W88)))),"Mois invalide",IF(AND(OR($G88="À migrer",$G88="À décommissionner"),COUNTIFS(TblClusters[Cluster],$I88,TblClusters[Plateforme],"IKS")=0),"Cluster IKS inconnu",IF(AND(OR($G88="À migrer",$G88="Migré"),COUNTIFS(TblClusters[Cluster],$O88,TblClusters[Plateforme],"ROKS")=0),"Cluster ROKS inconnu",IF(AND(OR($G88="À migrer",$G88="À décommissionner"),COUNTIFS(TblClusters[Cluster],$I88,TblClusters[Environnement],$E88)=0),"Environnement ≠ cluster IKS",IF(AND(OR($G88="À migrer",$G88="Migré"),COUNTIFS(TblClusters[Cluster],$O88,TblClusters[Environnement],$E88)=0),"Environnement ≠ cluster ROKS",IF(AND($G88="À migrer",OR($U88&gt;$V88,$V88&gt;$W88)),"Dates incohérentes (prov ≤ bascule ≤ libération)",IF(AND(OR($G88="À migrer",$G88="À décommissionner"),OR(N($AO88)&gt;SUMIFS(TblClusters[CPU initial (vCPU)],TblClusters[Cluster],$I88),N($AP88)&gt;SUMIFS(TblClusters[RAM initiale (Go)],TblClusters[Cluster],$I88))),"Forçage &gt; capacité du cluster source",IF(OR(AND($AA88&lt;&gt;"",$AA88&lt;p_debut),AND($AB88&lt;&gt;"",$AB88&gt;p_fin)),"Hors horizon (info)",IF(AND($G88="À migrer",$E88="PRD",COUNTIFS(TblApplications[ID],$C88,TblApplications[Environnement],"NPRD",TblApplications[Action],"À migrer")&gt;0,$AA88&lt;_xlfn.MINIFS(TblApplications[Mois prov (calc)],TblApplications[ID],$C88,TblApplications[Environnement],"NPRD")),"PRD avant NPRD (info)","OK")))))))))))))))))))))</f>
        <v/>
      </c>
      <c r="AH88" s="62"/>
      <c r="AI88" s="62"/>
      <c r="AJ88" s="27" t="str">
        <f>IF(OR($C88="",NOT(OR($G88="À migrer",$G88="À décommissionner")),NOT(ISNUMBER($S88)),NOT(ISNUMBER($T88)),$AB88=""),"",($S88+p_poidsram*$T88)*SUMIFS(TblCalculs[Coût par unité],TblCalculs[Cluster],$I88,TblCalculs[Mois],"&lt;"&amp;$AB88))</f>
        <v/>
      </c>
      <c r="AK88" s="27" t="str">
        <f>IF($C88="","",IF(AND($G88="À migrer",$H88="Non",$Y88&lt;&gt;"",$AA88&lt;&gt;""),($Y88+p_poidsram*$Z88)*SUMIFS(TblCalculs[Coût par unité],TblCalculs[Cluster],$O88,TblCalculs[Mois],"&gt;="&amp;$AA88),IF(AND($G88="Migré",$Y88&lt;&gt;""),($Y88+p_poidsram*$Z88)*SUMIFS(TblCalculs[Coût par unité],TblCalculs[Cluster],$O88),"")))</f>
        <v/>
      </c>
      <c r="AL88" s="27" t="str">
        <f t="shared" si="14"/>
        <v/>
      </c>
      <c r="AM88" s="26" t="str">
        <f t="shared" si="15"/>
        <v/>
      </c>
      <c r="AN88" s="26" t="str">
        <f>IF(OR($C88="",$AM88&lt;&gt;1,COUNTIFS($E88,ex_envc,$A88,ex_domc,$B88,ex_tric)=0),"",COUNTIFS($AM$6:$AM88,1,$E$6:$E88,ex_envc,$A$6:$A88,ex_domc,$B$6:$B88,ex_tric))</f>
        <v/>
      </c>
      <c r="AO88" s="63"/>
      <c r="AP88" s="63"/>
      <c r="AQ88" s="63"/>
      <c r="AR88" s="63"/>
    </row>
    <row r="89" spans="1:44" x14ac:dyDescent="0.2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26" t="str">
        <f t="shared" si="8"/>
        <v/>
      </c>
      <c r="O89" s="59"/>
      <c r="P89" s="60" t="str">
        <f>IF($C89="","",IF($AQ89&lt;&gt;"",$AQ89,SUMIFS(TblDynatrace[CPU P95 (vCPU)],TblDynatrace[ID],$C89,TblDynatrace[Environnement],$E89,TblDynatrace[Couloir],$F89)))</f>
        <v/>
      </c>
      <c r="Q89" s="60" t="str">
        <f>IF($C89="","",IF($AR89&lt;&gt;"",$AR89,SUMIFS(TblDynatrace[RAM P95 (Go)],TblDynatrace[ID],$C89,TblDynatrace[Environnement],$E89,TblDynatrace[Couloir],$F89)))</f>
        <v/>
      </c>
      <c r="R89" s="26" t="str">
        <f>IF($C89="","",IFERROR(INDEX(TblDynatrace[Métrique / période],MATCH($C89&amp;"|"&amp;$E89&amp;"|"&amp;$F89,TblDynatrace[Clé],0)),""))</f>
        <v/>
      </c>
      <c r="S89" s="60" t="str">
        <f>IF(OR($C89="",NOT(OR($G89="À migrer",$G89="À décommissionner")),$I89="",NOT(ISNUMBER($P89))),"",IF($AO89&lt;&gt;"",$AO89,IFERROR(SUMIFS(TblClusters[CPU initial (vCPU)],TblClusters[Cluster],$I89)*$P89/(SUMIFS(TblApplications[CPU Dynatrace (vCPU)],TblApplications[Cluster IKS source],$I89,TblApplications[Action],"À migrer")+SUMIFS(TblApplications[CPU Dynatrace (vCPU)],TblApplications[Cluster IKS source],$I89,TblApplications[Action],"À décommissionner")),0)))</f>
        <v/>
      </c>
      <c r="T89" s="60" t="str">
        <f>IF(OR($C89="",NOT(OR($G89="À migrer",$G89="À décommissionner")),$I89="",NOT(ISNUMBER($Q89))),"",IF($AP89&lt;&gt;"",$AP89,IFERROR(SUMIFS(TblClusters[RAM initiale (Go)],TblClusters[Cluster],$I89)*$Q89/(SUMIFS(TblApplications[RAM Dynatrace (Go)],TblApplications[Cluster IKS source],$I89,TblApplications[Action],"À migrer")+SUMIFS(TblApplications[RAM Dynatrace (Go)],TblApplications[Cluster IKS source],$I89,TblApplications[Action],"À décommissionner")),0)))</f>
        <v/>
      </c>
      <c r="U89" s="61"/>
      <c r="V89" s="61"/>
      <c r="W89" s="61"/>
      <c r="X89" s="59"/>
      <c r="Y89" s="26" t="str">
        <f t="shared" si="9"/>
        <v/>
      </c>
      <c r="Z89" s="26" t="str">
        <f t="shared" si="10"/>
        <v/>
      </c>
      <c r="AA89" s="33" t="str">
        <f t="shared" si="11"/>
        <v/>
      </c>
      <c r="AB89" s="33" t="str">
        <f t="shared" si="12"/>
        <v/>
      </c>
      <c r="AC89" s="26" t="str">
        <f t="shared" si="13"/>
        <v/>
      </c>
      <c r="AD89" s="26" t="str">
        <f>IF($C89="","",COUNTIF(TblApplications[ID],$C89))</f>
        <v/>
      </c>
      <c r="AE89" s="33" t="str">
        <f>IF($C89="","",IFERROR(1/(1/_xlfn.MINIFS(TblApplications[Mois prov (calc)],TblApplications[ID],$C89)),""))</f>
        <v/>
      </c>
      <c r="AF89" s="33" t="str">
        <f>IF($C89="","",IFERROR(1/(1/_xlfn.MAXIFS(TblApplications[Mois lib (calc)],TblApplications[ID],$C89)),""))</f>
        <v/>
      </c>
      <c r="AG89" s="26" t="str">
        <f>IF($C89="","",IF(OR(OR($A89="",$B89="",$D89="",$E89="",$F89="",$G89=""),AND($G89="À migrer",OR($H89="",$I89="",$O89="",$U89="",$V89="",$W89="")),AND($G89="Migré",OR($O89="")),AND($G89="À décommissionner",OR($I89="",$W89=""))),"Données manquantes (selon l’action)",IF(AND($G89&lt;&gt;"Migré",$G89&lt;&gt;"À migrer",$G89&lt;&gt;"À décommissionner",$G89&lt;&gt;"Décommissionné"),"Action invalide",IF(COUNTIF(TblDomaines[Domaine],$A89)=0,"Domaine inconnu (référentiel)",IF(COUNTIFS(TblTribes[Tribe],$B89,TblTribes[Domaine de la tribe],$A89)=0,"Tribe inconnue ou hors domaine",IF(AND($G89="À migrer",$H89&lt;&gt;"Oui",$H89&lt;&gt;"Non"),"Valeur Oui/Non invalide (Déjà incluse ROKS)",IF(AND($E89&lt;&gt;"PRD",$E89&lt;&gt;"NPRD"),"Environnement invalide",IF(COUNTIFS(TblApplications[ID],$C89,TblApplications[Environnement],$E89,TblApplications[Couloir],$F89)&gt;1,"Déploiement en doublon (ID + env + couloir)",IF(AND(OR(OR($G89="À migrer",$G89="Migré"),OR($G89="À migrer",$G89="À décommissionner")),N($P89)&lt;=0),"Conso Dynatrace absente (onglet Dynatrace)",IF(OR(AND($P89&lt;&gt;"",NOT(ISNUMBER($P89))),AND($Q89&lt;&gt;"",NOT(ISNUMBER($Q89)))),"Ressource non numérique",IF(MIN(N($P89),N($Q89))&lt;0,"Ressource négative",IF(OR(AND($AH89&lt;&gt;"",OR(NOT(ISNUMBER($AH89)),$AH89&lt;0,$AH89&gt;1)),AND($AI89&lt;&gt;"",OR(NOT(ISNUMBER($AI89)),$AI89&lt;0,$AI89&gt;1))),"Marge spécifique invalide (0–100 %)",IF(OR(AND($U89&lt;&gt;"",NOT(ISNUMBER($U89))),AND($V89&lt;&gt;"",NOT(ISNUMBER($V89))),AND($W89&lt;&gt;"",NOT(ISNUMBER($W89)))),"Mois invalide",IF(AND(OR($G89="À migrer",$G89="À décommissionner"),COUNTIFS(TblClusters[Cluster],$I89,TblClusters[Plateforme],"IKS")=0),"Cluster IKS inconnu",IF(AND(OR($G89="À migrer",$G89="Migré"),COUNTIFS(TblClusters[Cluster],$O89,TblClusters[Plateforme],"ROKS")=0),"Cluster ROKS inconnu",IF(AND(OR($G89="À migrer",$G89="À décommissionner"),COUNTIFS(TblClusters[Cluster],$I89,TblClusters[Environnement],$E89)=0),"Environnement ≠ cluster IKS",IF(AND(OR($G89="À migrer",$G89="Migré"),COUNTIFS(TblClusters[Cluster],$O89,TblClusters[Environnement],$E89)=0),"Environnement ≠ cluster ROKS",IF(AND($G89="À migrer",OR($U89&gt;$V89,$V89&gt;$W89)),"Dates incohérentes (prov ≤ bascule ≤ libération)",IF(AND(OR($G89="À migrer",$G89="À décommissionner"),OR(N($AO89)&gt;SUMIFS(TblClusters[CPU initial (vCPU)],TblClusters[Cluster],$I89),N($AP89)&gt;SUMIFS(TblClusters[RAM initiale (Go)],TblClusters[Cluster],$I89))),"Forçage &gt; capacité du cluster source",IF(OR(AND($AA89&lt;&gt;"",$AA89&lt;p_debut),AND($AB89&lt;&gt;"",$AB89&gt;p_fin)),"Hors horizon (info)",IF(AND($G89="À migrer",$E89="PRD",COUNTIFS(TblApplications[ID],$C89,TblApplications[Environnement],"NPRD",TblApplications[Action],"À migrer")&gt;0,$AA89&lt;_xlfn.MINIFS(TblApplications[Mois prov (calc)],TblApplications[ID],$C89,TblApplications[Environnement],"NPRD")),"PRD avant NPRD (info)","OK")))))))))))))))))))))</f>
        <v/>
      </c>
      <c r="AH89" s="62"/>
      <c r="AI89" s="62"/>
      <c r="AJ89" s="27" t="str">
        <f>IF(OR($C89="",NOT(OR($G89="À migrer",$G89="À décommissionner")),NOT(ISNUMBER($S89)),NOT(ISNUMBER($T89)),$AB89=""),"",($S89+p_poidsram*$T89)*SUMIFS(TblCalculs[Coût par unité],TblCalculs[Cluster],$I89,TblCalculs[Mois],"&lt;"&amp;$AB89))</f>
        <v/>
      </c>
      <c r="AK89" s="27" t="str">
        <f>IF($C89="","",IF(AND($G89="À migrer",$H89="Non",$Y89&lt;&gt;"",$AA89&lt;&gt;""),($Y89+p_poidsram*$Z89)*SUMIFS(TblCalculs[Coût par unité],TblCalculs[Cluster],$O89,TblCalculs[Mois],"&gt;="&amp;$AA89),IF(AND($G89="Migré",$Y89&lt;&gt;""),($Y89+p_poidsram*$Z89)*SUMIFS(TblCalculs[Coût par unité],TblCalculs[Cluster],$O89),"")))</f>
        <v/>
      </c>
      <c r="AL89" s="27" t="str">
        <f t="shared" si="14"/>
        <v/>
      </c>
      <c r="AM89" s="26" t="str">
        <f t="shared" si="15"/>
        <v/>
      </c>
      <c r="AN89" s="26" t="str">
        <f>IF(OR($C89="",$AM89&lt;&gt;1,COUNTIFS($E89,ex_envc,$A89,ex_domc,$B89,ex_tric)=0),"",COUNTIFS($AM$6:$AM89,1,$E$6:$E89,ex_envc,$A$6:$A89,ex_domc,$B$6:$B89,ex_tric))</f>
        <v/>
      </c>
      <c r="AO89" s="63"/>
      <c r="AP89" s="63"/>
      <c r="AQ89" s="63"/>
      <c r="AR89" s="63"/>
    </row>
    <row r="90" spans="1:44" x14ac:dyDescent="0.2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26" t="str">
        <f t="shared" si="8"/>
        <v/>
      </c>
      <c r="O90" s="59"/>
      <c r="P90" s="60" t="str">
        <f>IF($C90="","",IF($AQ90&lt;&gt;"",$AQ90,SUMIFS(TblDynatrace[CPU P95 (vCPU)],TblDynatrace[ID],$C90,TblDynatrace[Environnement],$E90,TblDynatrace[Couloir],$F90)))</f>
        <v/>
      </c>
      <c r="Q90" s="60" t="str">
        <f>IF($C90="","",IF($AR90&lt;&gt;"",$AR90,SUMIFS(TblDynatrace[RAM P95 (Go)],TblDynatrace[ID],$C90,TblDynatrace[Environnement],$E90,TblDynatrace[Couloir],$F90)))</f>
        <v/>
      </c>
      <c r="R90" s="26" t="str">
        <f>IF($C90="","",IFERROR(INDEX(TblDynatrace[Métrique / période],MATCH($C90&amp;"|"&amp;$E90&amp;"|"&amp;$F90,TblDynatrace[Clé],0)),""))</f>
        <v/>
      </c>
      <c r="S90" s="60" t="str">
        <f>IF(OR($C90="",NOT(OR($G90="À migrer",$G90="À décommissionner")),$I90="",NOT(ISNUMBER($P90))),"",IF($AO90&lt;&gt;"",$AO90,IFERROR(SUMIFS(TblClusters[CPU initial (vCPU)],TblClusters[Cluster],$I90)*$P90/(SUMIFS(TblApplications[CPU Dynatrace (vCPU)],TblApplications[Cluster IKS source],$I90,TblApplications[Action],"À migrer")+SUMIFS(TblApplications[CPU Dynatrace (vCPU)],TblApplications[Cluster IKS source],$I90,TblApplications[Action],"À décommissionner")),0)))</f>
        <v/>
      </c>
      <c r="T90" s="60" t="str">
        <f>IF(OR($C90="",NOT(OR($G90="À migrer",$G90="À décommissionner")),$I90="",NOT(ISNUMBER($Q90))),"",IF($AP90&lt;&gt;"",$AP90,IFERROR(SUMIFS(TblClusters[RAM initiale (Go)],TblClusters[Cluster],$I90)*$Q90/(SUMIFS(TblApplications[RAM Dynatrace (Go)],TblApplications[Cluster IKS source],$I90,TblApplications[Action],"À migrer")+SUMIFS(TblApplications[RAM Dynatrace (Go)],TblApplications[Cluster IKS source],$I90,TblApplications[Action],"À décommissionner")),0)))</f>
        <v/>
      </c>
      <c r="U90" s="61"/>
      <c r="V90" s="61"/>
      <c r="W90" s="61"/>
      <c r="X90" s="59"/>
      <c r="Y90" s="26" t="str">
        <f t="shared" si="9"/>
        <v/>
      </c>
      <c r="Z90" s="26" t="str">
        <f t="shared" si="10"/>
        <v/>
      </c>
      <c r="AA90" s="33" t="str">
        <f t="shared" si="11"/>
        <v/>
      </c>
      <c r="AB90" s="33" t="str">
        <f t="shared" si="12"/>
        <v/>
      </c>
      <c r="AC90" s="26" t="str">
        <f t="shared" si="13"/>
        <v/>
      </c>
      <c r="AD90" s="26" t="str">
        <f>IF($C90="","",COUNTIF(TblApplications[ID],$C90))</f>
        <v/>
      </c>
      <c r="AE90" s="33" t="str">
        <f>IF($C90="","",IFERROR(1/(1/_xlfn.MINIFS(TblApplications[Mois prov (calc)],TblApplications[ID],$C90)),""))</f>
        <v/>
      </c>
      <c r="AF90" s="33" t="str">
        <f>IF($C90="","",IFERROR(1/(1/_xlfn.MAXIFS(TblApplications[Mois lib (calc)],TblApplications[ID],$C90)),""))</f>
        <v/>
      </c>
      <c r="AG90" s="26" t="str">
        <f>IF($C90="","",IF(OR(OR($A90="",$B90="",$D90="",$E90="",$F90="",$G90=""),AND($G90="À migrer",OR($H90="",$I90="",$O90="",$U90="",$V90="",$W90="")),AND($G90="Migré",OR($O90="")),AND($G90="À décommissionner",OR($I90="",$W90=""))),"Données manquantes (selon l’action)",IF(AND($G90&lt;&gt;"Migré",$G90&lt;&gt;"À migrer",$G90&lt;&gt;"À décommissionner",$G90&lt;&gt;"Décommissionné"),"Action invalide",IF(COUNTIF(TblDomaines[Domaine],$A90)=0,"Domaine inconnu (référentiel)",IF(COUNTIFS(TblTribes[Tribe],$B90,TblTribes[Domaine de la tribe],$A90)=0,"Tribe inconnue ou hors domaine",IF(AND($G90="À migrer",$H90&lt;&gt;"Oui",$H90&lt;&gt;"Non"),"Valeur Oui/Non invalide (Déjà incluse ROKS)",IF(AND($E90&lt;&gt;"PRD",$E90&lt;&gt;"NPRD"),"Environnement invalide",IF(COUNTIFS(TblApplications[ID],$C90,TblApplications[Environnement],$E90,TblApplications[Couloir],$F90)&gt;1,"Déploiement en doublon (ID + env + couloir)",IF(AND(OR(OR($G90="À migrer",$G90="Migré"),OR($G90="À migrer",$G90="À décommissionner")),N($P90)&lt;=0),"Conso Dynatrace absente (onglet Dynatrace)",IF(OR(AND($P90&lt;&gt;"",NOT(ISNUMBER($P90))),AND($Q90&lt;&gt;"",NOT(ISNUMBER($Q90)))),"Ressource non numérique",IF(MIN(N($P90),N($Q90))&lt;0,"Ressource négative",IF(OR(AND($AH90&lt;&gt;"",OR(NOT(ISNUMBER($AH90)),$AH90&lt;0,$AH90&gt;1)),AND($AI90&lt;&gt;"",OR(NOT(ISNUMBER($AI90)),$AI90&lt;0,$AI90&gt;1))),"Marge spécifique invalide (0–100 %)",IF(OR(AND($U90&lt;&gt;"",NOT(ISNUMBER($U90))),AND($V90&lt;&gt;"",NOT(ISNUMBER($V90))),AND($W90&lt;&gt;"",NOT(ISNUMBER($W90)))),"Mois invalide",IF(AND(OR($G90="À migrer",$G90="À décommissionner"),COUNTIFS(TblClusters[Cluster],$I90,TblClusters[Plateforme],"IKS")=0),"Cluster IKS inconnu",IF(AND(OR($G90="À migrer",$G90="Migré"),COUNTIFS(TblClusters[Cluster],$O90,TblClusters[Plateforme],"ROKS")=0),"Cluster ROKS inconnu",IF(AND(OR($G90="À migrer",$G90="À décommissionner"),COUNTIFS(TblClusters[Cluster],$I90,TblClusters[Environnement],$E90)=0),"Environnement ≠ cluster IKS",IF(AND(OR($G90="À migrer",$G90="Migré"),COUNTIFS(TblClusters[Cluster],$O90,TblClusters[Environnement],$E90)=0),"Environnement ≠ cluster ROKS",IF(AND($G90="À migrer",OR($U90&gt;$V90,$V90&gt;$W90)),"Dates incohérentes (prov ≤ bascule ≤ libération)",IF(AND(OR($G90="À migrer",$G90="À décommissionner"),OR(N($AO90)&gt;SUMIFS(TblClusters[CPU initial (vCPU)],TblClusters[Cluster],$I90),N($AP90)&gt;SUMIFS(TblClusters[RAM initiale (Go)],TblClusters[Cluster],$I90))),"Forçage &gt; capacité du cluster source",IF(OR(AND($AA90&lt;&gt;"",$AA90&lt;p_debut),AND($AB90&lt;&gt;"",$AB90&gt;p_fin)),"Hors horizon (info)",IF(AND($G90="À migrer",$E90="PRD",COUNTIFS(TblApplications[ID],$C90,TblApplications[Environnement],"NPRD",TblApplications[Action],"À migrer")&gt;0,$AA90&lt;_xlfn.MINIFS(TblApplications[Mois prov (calc)],TblApplications[ID],$C90,TblApplications[Environnement],"NPRD")),"PRD avant NPRD (info)","OK")))))))))))))))))))))</f>
        <v/>
      </c>
      <c r="AH90" s="62"/>
      <c r="AI90" s="62"/>
      <c r="AJ90" s="27" t="str">
        <f>IF(OR($C90="",NOT(OR($G90="À migrer",$G90="À décommissionner")),NOT(ISNUMBER($S90)),NOT(ISNUMBER($T90)),$AB90=""),"",($S90+p_poidsram*$T90)*SUMIFS(TblCalculs[Coût par unité],TblCalculs[Cluster],$I90,TblCalculs[Mois],"&lt;"&amp;$AB90))</f>
        <v/>
      </c>
      <c r="AK90" s="27" t="str">
        <f>IF($C90="","",IF(AND($G90="À migrer",$H90="Non",$Y90&lt;&gt;"",$AA90&lt;&gt;""),($Y90+p_poidsram*$Z90)*SUMIFS(TblCalculs[Coût par unité],TblCalculs[Cluster],$O90,TblCalculs[Mois],"&gt;="&amp;$AA90),IF(AND($G90="Migré",$Y90&lt;&gt;""),($Y90+p_poidsram*$Z90)*SUMIFS(TblCalculs[Coût par unité],TblCalculs[Cluster],$O90),"")))</f>
        <v/>
      </c>
      <c r="AL90" s="27" t="str">
        <f t="shared" si="14"/>
        <v/>
      </c>
      <c r="AM90" s="26" t="str">
        <f t="shared" si="15"/>
        <v/>
      </c>
      <c r="AN90" s="26" t="str">
        <f>IF(OR($C90="",$AM90&lt;&gt;1,COUNTIFS($E90,ex_envc,$A90,ex_domc,$B90,ex_tric)=0),"",COUNTIFS($AM$6:$AM90,1,$E$6:$E90,ex_envc,$A$6:$A90,ex_domc,$B$6:$B90,ex_tric))</f>
        <v/>
      </c>
      <c r="AO90" s="63"/>
      <c r="AP90" s="63"/>
      <c r="AQ90" s="63"/>
      <c r="AR90" s="63"/>
    </row>
    <row r="91" spans="1:44" x14ac:dyDescent="0.2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26" t="str">
        <f t="shared" si="8"/>
        <v/>
      </c>
      <c r="O91" s="59"/>
      <c r="P91" s="60" t="str">
        <f>IF($C91="","",IF($AQ91&lt;&gt;"",$AQ91,SUMIFS(TblDynatrace[CPU P95 (vCPU)],TblDynatrace[ID],$C91,TblDynatrace[Environnement],$E91,TblDynatrace[Couloir],$F91)))</f>
        <v/>
      </c>
      <c r="Q91" s="60" t="str">
        <f>IF($C91="","",IF($AR91&lt;&gt;"",$AR91,SUMIFS(TblDynatrace[RAM P95 (Go)],TblDynatrace[ID],$C91,TblDynatrace[Environnement],$E91,TblDynatrace[Couloir],$F91)))</f>
        <v/>
      </c>
      <c r="R91" s="26" t="str">
        <f>IF($C91="","",IFERROR(INDEX(TblDynatrace[Métrique / période],MATCH($C91&amp;"|"&amp;$E91&amp;"|"&amp;$F91,TblDynatrace[Clé],0)),""))</f>
        <v/>
      </c>
      <c r="S91" s="60" t="str">
        <f>IF(OR($C91="",NOT(OR($G91="À migrer",$G91="À décommissionner")),$I91="",NOT(ISNUMBER($P91))),"",IF($AO91&lt;&gt;"",$AO91,IFERROR(SUMIFS(TblClusters[CPU initial (vCPU)],TblClusters[Cluster],$I91)*$P91/(SUMIFS(TblApplications[CPU Dynatrace (vCPU)],TblApplications[Cluster IKS source],$I91,TblApplications[Action],"À migrer")+SUMIFS(TblApplications[CPU Dynatrace (vCPU)],TblApplications[Cluster IKS source],$I91,TblApplications[Action],"À décommissionner")),0)))</f>
        <v/>
      </c>
      <c r="T91" s="60" t="str">
        <f>IF(OR($C91="",NOT(OR($G91="À migrer",$G91="À décommissionner")),$I91="",NOT(ISNUMBER($Q91))),"",IF($AP91&lt;&gt;"",$AP91,IFERROR(SUMIFS(TblClusters[RAM initiale (Go)],TblClusters[Cluster],$I91)*$Q91/(SUMIFS(TblApplications[RAM Dynatrace (Go)],TblApplications[Cluster IKS source],$I91,TblApplications[Action],"À migrer")+SUMIFS(TblApplications[RAM Dynatrace (Go)],TblApplications[Cluster IKS source],$I91,TblApplications[Action],"À décommissionner")),0)))</f>
        <v/>
      </c>
      <c r="U91" s="61"/>
      <c r="V91" s="61"/>
      <c r="W91" s="61"/>
      <c r="X91" s="59"/>
      <c r="Y91" s="26" t="str">
        <f t="shared" si="9"/>
        <v/>
      </c>
      <c r="Z91" s="26" t="str">
        <f t="shared" si="10"/>
        <v/>
      </c>
      <c r="AA91" s="33" t="str">
        <f t="shared" si="11"/>
        <v/>
      </c>
      <c r="AB91" s="33" t="str">
        <f t="shared" si="12"/>
        <v/>
      </c>
      <c r="AC91" s="26" t="str">
        <f t="shared" si="13"/>
        <v/>
      </c>
      <c r="AD91" s="26" t="str">
        <f>IF($C91="","",COUNTIF(TblApplications[ID],$C91))</f>
        <v/>
      </c>
      <c r="AE91" s="33" t="str">
        <f>IF($C91="","",IFERROR(1/(1/_xlfn.MINIFS(TblApplications[Mois prov (calc)],TblApplications[ID],$C91)),""))</f>
        <v/>
      </c>
      <c r="AF91" s="33" t="str">
        <f>IF($C91="","",IFERROR(1/(1/_xlfn.MAXIFS(TblApplications[Mois lib (calc)],TblApplications[ID],$C91)),""))</f>
        <v/>
      </c>
      <c r="AG91" s="26" t="str">
        <f>IF($C91="","",IF(OR(OR($A91="",$B91="",$D91="",$E91="",$F91="",$G91=""),AND($G91="À migrer",OR($H91="",$I91="",$O91="",$U91="",$V91="",$W91="")),AND($G91="Migré",OR($O91="")),AND($G91="À décommissionner",OR($I91="",$W91=""))),"Données manquantes (selon l’action)",IF(AND($G91&lt;&gt;"Migré",$G91&lt;&gt;"À migrer",$G91&lt;&gt;"À décommissionner",$G91&lt;&gt;"Décommissionné"),"Action invalide",IF(COUNTIF(TblDomaines[Domaine],$A91)=0,"Domaine inconnu (référentiel)",IF(COUNTIFS(TblTribes[Tribe],$B91,TblTribes[Domaine de la tribe],$A91)=0,"Tribe inconnue ou hors domaine",IF(AND($G91="À migrer",$H91&lt;&gt;"Oui",$H91&lt;&gt;"Non"),"Valeur Oui/Non invalide (Déjà incluse ROKS)",IF(AND($E91&lt;&gt;"PRD",$E91&lt;&gt;"NPRD"),"Environnement invalide",IF(COUNTIFS(TblApplications[ID],$C91,TblApplications[Environnement],$E91,TblApplications[Couloir],$F91)&gt;1,"Déploiement en doublon (ID + env + couloir)",IF(AND(OR(OR($G91="À migrer",$G91="Migré"),OR($G91="À migrer",$G91="À décommissionner")),N($P91)&lt;=0),"Conso Dynatrace absente (onglet Dynatrace)",IF(OR(AND($P91&lt;&gt;"",NOT(ISNUMBER($P91))),AND($Q91&lt;&gt;"",NOT(ISNUMBER($Q91)))),"Ressource non numérique",IF(MIN(N($P91),N($Q91))&lt;0,"Ressource négative",IF(OR(AND($AH91&lt;&gt;"",OR(NOT(ISNUMBER($AH91)),$AH91&lt;0,$AH91&gt;1)),AND($AI91&lt;&gt;"",OR(NOT(ISNUMBER($AI91)),$AI91&lt;0,$AI91&gt;1))),"Marge spécifique invalide (0–100 %)",IF(OR(AND($U91&lt;&gt;"",NOT(ISNUMBER($U91))),AND($V91&lt;&gt;"",NOT(ISNUMBER($V91))),AND($W91&lt;&gt;"",NOT(ISNUMBER($W91)))),"Mois invalide",IF(AND(OR($G91="À migrer",$G91="À décommissionner"),COUNTIFS(TblClusters[Cluster],$I91,TblClusters[Plateforme],"IKS")=0),"Cluster IKS inconnu",IF(AND(OR($G91="À migrer",$G91="Migré"),COUNTIFS(TblClusters[Cluster],$O91,TblClusters[Plateforme],"ROKS")=0),"Cluster ROKS inconnu",IF(AND(OR($G91="À migrer",$G91="À décommissionner"),COUNTIFS(TblClusters[Cluster],$I91,TblClusters[Environnement],$E91)=0),"Environnement ≠ cluster IKS",IF(AND(OR($G91="À migrer",$G91="Migré"),COUNTIFS(TblClusters[Cluster],$O91,TblClusters[Environnement],$E91)=0),"Environnement ≠ cluster ROKS",IF(AND($G91="À migrer",OR($U91&gt;$V91,$V91&gt;$W91)),"Dates incohérentes (prov ≤ bascule ≤ libération)",IF(AND(OR($G91="À migrer",$G91="À décommissionner"),OR(N($AO91)&gt;SUMIFS(TblClusters[CPU initial (vCPU)],TblClusters[Cluster],$I91),N($AP91)&gt;SUMIFS(TblClusters[RAM initiale (Go)],TblClusters[Cluster],$I91))),"Forçage &gt; capacité du cluster source",IF(OR(AND($AA91&lt;&gt;"",$AA91&lt;p_debut),AND($AB91&lt;&gt;"",$AB91&gt;p_fin)),"Hors horizon (info)",IF(AND($G91="À migrer",$E91="PRD",COUNTIFS(TblApplications[ID],$C91,TblApplications[Environnement],"NPRD",TblApplications[Action],"À migrer")&gt;0,$AA91&lt;_xlfn.MINIFS(TblApplications[Mois prov (calc)],TblApplications[ID],$C91,TblApplications[Environnement],"NPRD")),"PRD avant NPRD (info)","OK")))))))))))))))))))))</f>
        <v/>
      </c>
      <c r="AH91" s="62"/>
      <c r="AI91" s="62"/>
      <c r="AJ91" s="27" t="str">
        <f>IF(OR($C91="",NOT(OR($G91="À migrer",$G91="À décommissionner")),NOT(ISNUMBER($S91)),NOT(ISNUMBER($T91)),$AB91=""),"",($S91+p_poidsram*$T91)*SUMIFS(TblCalculs[Coût par unité],TblCalculs[Cluster],$I91,TblCalculs[Mois],"&lt;"&amp;$AB91))</f>
        <v/>
      </c>
      <c r="AK91" s="27" t="str">
        <f>IF($C91="","",IF(AND($G91="À migrer",$H91="Non",$Y91&lt;&gt;"",$AA91&lt;&gt;""),($Y91+p_poidsram*$Z91)*SUMIFS(TblCalculs[Coût par unité],TblCalculs[Cluster],$O91,TblCalculs[Mois],"&gt;="&amp;$AA91),IF(AND($G91="Migré",$Y91&lt;&gt;""),($Y91+p_poidsram*$Z91)*SUMIFS(TblCalculs[Coût par unité],TblCalculs[Cluster],$O91),"")))</f>
        <v/>
      </c>
      <c r="AL91" s="27" t="str">
        <f t="shared" si="14"/>
        <v/>
      </c>
      <c r="AM91" s="26" t="str">
        <f t="shared" si="15"/>
        <v/>
      </c>
      <c r="AN91" s="26" t="str">
        <f>IF(OR($C91="",$AM91&lt;&gt;1,COUNTIFS($E91,ex_envc,$A91,ex_domc,$B91,ex_tric)=0),"",COUNTIFS($AM$6:$AM91,1,$E$6:$E91,ex_envc,$A$6:$A91,ex_domc,$B$6:$B91,ex_tric))</f>
        <v/>
      </c>
      <c r="AO91" s="63"/>
      <c r="AP91" s="63"/>
      <c r="AQ91" s="63"/>
      <c r="AR91" s="63"/>
    </row>
    <row r="92" spans="1:44" x14ac:dyDescent="0.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26" t="str">
        <f t="shared" si="8"/>
        <v/>
      </c>
      <c r="O92" s="59"/>
      <c r="P92" s="60" t="str">
        <f>IF($C92="","",IF($AQ92&lt;&gt;"",$AQ92,SUMIFS(TblDynatrace[CPU P95 (vCPU)],TblDynatrace[ID],$C92,TblDynatrace[Environnement],$E92,TblDynatrace[Couloir],$F92)))</f>
        <v/>
      </c>
      <c r="Q92" s="60" t="str">
        <f>IF($C92="","",IF($AR92&lt;&gt;"",$AR92,SUMIFS(TblDynatrace[RAM P95 (Go)],TblDynatrace[ID],$C92,TblDynatrace[Environnement],$E92,TblDynatrace[Couloir],$F92)))</f>
        <v/>
      </c>
      <c r="R92" s="26" t="str">
        <f>IF($C92="","",IFERROR(INDEX(TblDynatrace[Métrique / période],MATCH($C92&amp;"|"&amp;$E92&amp;"|"&amp;$F92,TblDynatrace[Clé],0)),""))</f>
        <v/>
      </c>
      <c r="S92" s="60" t="str">
        <f>IF(OR($C92="",NOT(OR($G92="À migrer",$G92="À décommissionner")),$I92="",NOT(ISNUMBER($P92))),"",IF($AO92&lt;&gt;"",$AO92,IFERROR(SUMIFS(TblClusters[CPU initial (vCPU)],TblClusters[Cluster],$I92)*$P92/(SUMIFS(TblApplications[CPU Dynatrace (vCPU)],TblApplications[Cluster IKS source],$I92,TblApplications[Action],"À migrer")+SUMIFS(TblApplications[CPU Dynatrace (vCPU)],TblApplications[Cluster IKS source],$I92,TblApplications[Action],"À décommissionner")),0)))</f>
        <v/>
      </c>
      <c r="T92" s="60" t="str">
        <f>IF(OR($C92="",NOT(OR($G92="À migrer",$G92="À décommissionner")),$I92="",NOT(ISNUMBER($Q92))),"",IF($AP92&lt;&gt;"",$AP92,IFERROR(SUMIFS(TblClusters[RAM initiale (Go)],TblClusters[Cluster],$I92)*$Q92/(SUMIFS(TblApplications[RAM Dynatrace (Go)],TblApplications[Cluster IKS source],$I92,TblApplications[Action],"À migrer")+SUMIFS(TblApplications[RAM Dynatrace (Go)],TblApplications[Cluster IKS source],$I92,TblApplications[Action],"À décommissionner")),0)))</f>
        <v/>
      </c>
      <c r="U92" s="61"/>
      <c r="V92" s="61"/>
      <c r="W92" s="61"/>
      <c r="X92" s="59"/>
      <c r="Y92" s="26" t="str">
        <f t="shared" si="9"/>
        <v/>
      </c>
      <c r="Z92" s="26" t="str">
        <f t="shared" si="10"/>
        <v/>
      </c>
      <c r="AA92" s="33" t="str">
        <f t="shared" si="11"/>
        <v/>
      </c>
      <c r="AB92" s="33" t="str">
        <f t="shared" si="12"/>
        <v/>
      </c>
      <c r="AC92" s="26" t="str">
        <f t="shared" si="13"/>
        <v/>
      </c>
      <c r="AD92" s="26" t="str">
        <f>IF($C92="","",COUNTIF(TblApplications[ID],$C92))</f>
        <v/>
      </c>
      <c r="AE92" s="33" t="str">
        <f>IF($C92="","",IFERROR(1/(1/_xlfn.MINIFS(TblApplications[Mois prov (calc)],TblApplications[ID],$C92)),""))</f>
        <v/>
      </c>
      <c r="AF92" s="33" t="str">
        <f>IF($C92="","",IFERROR(1/(1/_xlfn.MAXIFS(TblApplications[Mois lib (calc)],TblApplications[ID],$C92)),""))</f>
        <v/>
      </c>
      <c r="AG92" s="26" t="str">
        <f>IF($C92="","",IF(OR(OR($A92="",$B92="",$D92="",$E92="",$F92="",$G92=""),AND($G92="À migrer",OR($H92="",$I92="",$O92="",$U92="",$V92="",$W92="")),AND($G92="Migré",OR($O92="")),AND($G92="À décommissionner",OR($I92="",$W92=""))),"Données manquantes (selon l’action)",IF(AND($G92&lt;&gt;"Migré",$G92&lt;&gt;"À migrer",$G92&lt;&gt;"À décommissionner",$G92&lt;&gt;"Décommissionné"),"Action invalide",IF(COUNTIF(TblDomaines[Domaine],$A92)=0,"Domaine inconnu (référentiel)",IF(COUNTIFS(TblTribes[Tribe],$B92,TblTribes[Domaine de la tribe],$A92)=0,"Tribe inconnue ou hors domaine",IF(AND($G92="À migrer",$H92&lt;&gt;"Oui",$H92&lt;&gt;"Non"),"Valeur Oui/Non invalide (Déjà incluse ROKS)",IF(AND($E92&lt;&gt;"PRD",$E92&lt;&gt;"NPRD"),"Environnement invalide",IF(COUNTIFS(TblApplications[ID],$C92,TblApplications[Environnement],$E92,TblApplications[Couloir],$F92)&gt;1,"Déploiement en doublon (ID + env + couloir)",IF(AND(OR(OR($G92="À migrer",$G92="Migré"),OR($G92="À migrer",$G92="À décommissionner")),N($P92)&lt;=0),"Conso Dynatrace absente (onglet Dynatrace)",IF(OR(AND($P92&lt;&gt;"",NOT(ISNUMBER($P92))),AND($Q92&lt;&gt;"",NOT(ISNUMBER($Q92)))),"Ressource non numérique",IF(MIN(N($P92),N($Q92))&lt;0,"Ressource négative",IF(OR(AND($AH92&lt;&gt;"",OR(NOT(ISNUMBER($AH92)),$AH92&lt;0,$AH92&gt;1)),AND($AI92&lt;&gt;"",OR(NOT(ISNUMBER($AI92)),$AI92&lt;0,$AI92&gt;1))),"Marge spécifique invalide (0–100 %)",IF(OR(AND($U92&lt;&gt;"",NOT(ISNUMBER($U92))),AND($V92&lt;&gt;"",NOT(ISNUMBER($V92))),AND($W92&lt;&gt;"",NOT(ISNUMBER($W92)))),"Mois invalide",IF(AND(OR($G92="À migrer",$G92="À décommissionner"),COUNTIFS(TblClusters[Cluster],$I92,TblClusters[Plateforme],"IKS")=0),"Cluster IKS inconnu",IF(AND(OR($G92="À migrer",$G92="Migré"),COUNTIFS(TblClusters[Cluster],$O92,TblClusters[Plateforme],"ROKS")=0),"Cluster ROKS inconnu",IF(AND(OR($G92="À migrer",$G92="À décommissionner"),COUNTIFS(TblClusters[Cluster],$I92,TblClusters[Environnement],$E92)=0),"Environnement ≠ cluster IKS",IF(AND(OR($G92="À migrer",$G92="Migré"),COUNTIFS(TblClusters[Cluster],$O92,TblClusters[Environnement],$E92)=0),"Environnement ≠ cluster ROKS",IF(AND($G92="À migrer",OR($U92&gt;$V92,$V92&gt;$W92)),"Dates incohérentes (prov ≤ bascule ≤ libération)",IF(AND(OR($G92="À migrer",$G92="À décommissionner"),OR(N($AO92)&gt;SUMIFS(TblClusters[CPU initial (vCPU)],TblClusters[Cluster],$I92),N($AP92)&gt;SUMIFS(TblClusters[RAM initiale (Go)],TblClusters[Cluster],$I92))),"Forçage &gt; capacité du cluster source",IF(OR(AND($AA92&lt;&gt;"",$AA92&lt;p_debut),AND($AB92&lt;&gt;"",$AB92&gt;p_fin)),"Hors horizon (info)",IF(AND($G92="À migrer",$E92="PRD",COUNTIFS(TblApplications[ID],$C92,TblApplications[Environnement],"NPRD",TblApplications[Action],"À migrer")&gt;0,$AA92&lt;_xlfn.MINIFS(TblApplications[Mois prov (calc)],TblApplications[ID],$C92,TblApplications[Environnement],"NPRD")),"PRD avant NPRD (info)","OK")))))))))))))))))))))</f>
        <v/>
      </c>
      <c r="AH92" s="62"/>
      <c r="AI92" s="62"/>
      <c r="AJ92" s="27" t="str">
        <f>IF(OR($C92="",NOT(OR($G92="À migrer",$G92="À décommissionner")),NOT(ISNUMBER($S92)),NOT(ISNUMBER($T92)),$AB92=""),"",($S92+p_poidsram*$T92)*SUMIFS(TblCalculs[Coût par unité],TblCalculs[Cluster],$I92,TblCalculs[Mois],"&lt;"&amp;$AB92))</f>
        <v/>
      </c>
      <c r="AK92" s="27" t="str">
        <f>IF($C92="","",IF(AND($G92="À migrer",$H92="Non",$Y92&lt;&gt;"",$AA92&lt;&gt;""),($Y92+p_poidsram*$Z92)*SUMIFS(TblCalculs[Coût par unité],TblCalculs[Cluster],$O92,TblCalculs[Mois],"&gt;="&amp;$AA92),IF(AND($G92="Migré",$Y92&lt;&gt;""),($Y92+p_poidsram*$Z92)*SUMIFS(TblCalculs[Coût par unité],TblCalculs[Cluster],$O92),"")))</f>
        <v/>
      </c>
      <c r="AL92" s="27" t="str">
        <f t="shared" si="14"/>
        <v/>
      </c>
      <c r="AM92" s="26" t="str">
        <f t="shared" si="15"/>
        <v/>
      </c>
      <c r="AN92" s="26" t="str">
        <f>IF(OR($C92="",$AM92&lt;&gt;1,COUNTIFS($E92,ex_envc,$A92,ex_domc,$B92,ex_tric)=0),"",COUNTIFS($AM$6:$AM92,1,$E$6:$E92,ex_envc,$A$6:$A92,ex_domc,$B$6:$B92,ex_tric))</f>
        <v/>
      </c>
      <c r="AO92" s="63"/>
      <c r="AP92" s="63"/>
      <c r="AQ92" s="63"/>
      <c r="AR92" s="63"/>
    </row>
    <row r="93" spans="1:44" x14ac:dyDescent="0.2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26" t="str">
        <f t="shared" si="8"/>
        <v/>
      </c>
      <c r="O93" s="59"/>
      <c r="P93" s="60" t="str">
        <f>IF($C93="","",IF($AQ93&lt;&gt;"",$AQ93,SUMIFS(TblDynatrace[CPU P95 (vCPU)],TblDynatrace[ID],$C93,TblDynatrace[Environnement],$E93,TblDynatrace[Couloir],$F93)))</f>
        <v/>
      </c>
      <c r="Q93" s="60" t="str">
        <f>IF($C93="","",IF($AR93&lt;&gt;"",$AR93,SUMIFS(TblDynatrace[RAM P95 (Go)],TblDynatrace[ID],$C93,TblDynatrace[Environnement],$E93,TblDynatrace[Couloir],$F93)))</f>
        <v/>
      </c>
      <c r="R93" s="26" t="str">
        <f>IF($C93="","",IFERROR(INDEX(TblDynatrace[Métrique / période],MATCH($C93&amp;"|"&amp;$E93&amp;"|"&amp;$F93,TblDynatrace[Clé],0)),""))</f>
        <v/>
      </c>
      <c r="S93" s="60" t="str">
        <f>IF(OR($C93="",NOT(OR($G93="À migrer",$G93="À décommissionner")),$I93="",NOT(ISNUMBER($P93))),"",IF($AO93&lt;&gt;"",$AO93,IFERROR(SUMIFS(TblClusters[CPU initial (vCPU)],TblClusters[Cluster],$I93)*$P93/(SUMIFS(TblApplications[CPU Dynatrace (vCPU)],TblApplications[Cluster IKS source],$I93,TblApplications[Action],"À migrer")+SUMIFS(TblApplications[CPU Dynatrace (vCPU)],TblApplications[Cluster IKS source],$I93,TblApplications[Action],"À décommissionner")),0)))</f>
        <v/>
      </c>
      <c r="T93" s="60" t="str">
        <f>IF(OR($C93="",NOT(OR($G93="À migrer",$G93="À décommissionner")),$I93="",NOT(ISNUMBER($Q93))),"",IF($AP93&lt;&gt;"",$AP93,IFERROR(SUMIFS(TblClusters[RAM initiale (Go)],TblClusters[Cluster],$I93)*$Q93/(SUMIFS(TblApplications[RAM Dynatrace (Go)],TblApplications[Cluster IKS source],$I93,TblApplications[Action],"À migrer")+SUMIFS(TblApplications[RAM Dynatrace (Go)],TblApplications[Cluster IKS source],$I93,TblApplications[Action],"À décommissionner")),0)))</f>
        <v/>
      </c>
      <c r="U93" s="61"/>
      <c r="V93" s="61"/>
      <c r="W93" s="61"/>
      <c r="X93" s="59"/>
      <c r="Y93" s="26" t="str">
        <f t="shared" si="9"/>
        <v/>
      </c>
      <c r="Z93" s="26" t="str">
        <f t="shared" si="10"/>
        <v/>
      </c>
      <c r="AA93" s="33" t="str">
        <f t="shared" si="11"/>
        <v/>
      </c>
      <c r="AB93" s="33" t="str">
        <f t="shared" si="12"/>
        <v/>
      </c>
      <c r="AC93" s="26" t="str">
        <f t="shared" si="13"/>
        <v/>
      </c>
      <c r="AD93" s="26" t="str">
        <f>IF($C93="","",COUNTIF(TblApplications[ID],$C93))</f>
        <v/>
      </c>
      <c r="AE93" s="33" t="str">
        <f>IF($C93="","",IFERROR(1/(1/_xlfn.MINIFS(TblApplications[Mois prov (calc)],TblApplications[ID],$C93)),""))</f>
        <v/>
      </c>
      <c r="AF93" s="33" t="str">
        <f>IF($C93="","",IFERROR(1/(1/_xlfn.MAXIFS(TblApplications[Mois lib (calc)],TblApplications[ID],$C93)),""))</f>
        <v/>
      </c>
      <c r="AG93" s="26" t="str">
        <f>IF($C93="","",IF(OR(OR($A93="",$B93="",$D93="",$E93="",$F93="",$G93=""),AND($G93="À migrer",OR($H93="",$I93="",$O93="",$U93="",$V93="",$W93="")),AND($G93="Migré",OR($O93="")),AND($G93="À décommissionner",OR($I93="",$W93=""))),"Données manquantes (selon l’action)",IF(AND($G93&lt;&gt;"Migré",$G93&lt;&gt;"À migrer",$G93&lt;&gt;"À décommissionner",$G93&lt;&gt;"Décommissionné"),"Action invalide",IF(COUNTIF(TblDomaines[Domaine],$A93)=0,"Domaine inconnu (référentiel)",IF(COUNTIFS(TblTribes[Tribe],$B93,TblTribes[Domaine de la tribe],$A93)=0,"Tribe inconnue ou hors domaine",IF(AND($G93="À migrer",$H93&lt;&gt;"Oui",$H93&lt;&gt;"Non"),"Valeur Oui/Non invalide (Déjà incluse ROKS)",IF(AND($E93&lt;&gt;"PRD",$E93&lt;&gt;"NPRD"),"Environnement invalide",IF(COUNTIFS(TblApplications[ID],$C93,TblApplications[Environnement],$E93,TblApplications[Couloir],$F93)&gt;1,"Déploiement en doublon (ID + env + couloir)",IF(AND(OR(OR($G93="À migrer",$G93="Migré"),OR($G93="À migrer",$G93="À décommissionner")),N($P93)&lt;=0),"Conso Dynatrace absente (onglet Dynatrace)",IF(OR(AND($P93&lt;&gt;"",NOT(ISNUMBER($P93))),AND($Q93&lt;&gt;"",NOT(ISNUMBER($Q93)))),"Ressource non numérique",IF(MIN(N($P93),N($Q93))&lt;0,"Ressource négative",IF(OR(AND($AH93&lt;&gt;"",OR(NOT(ISNUMBER($AH93)),$AH93&lt;0,$AH93&gt;1)),AND($AI93&lt;&gt;"",OR(NOT(ISNUMBER($AI93)),$AI93&lt;0,$AI93&gt;1))),"Marge spécifique invalide (0–100 %)",IF(OR(AND($U93&lt;&gt;"",NOT(ISNUMBER($U93))),AND($V93&lt;&gt;"",NOT(ISNUMBER($V93))),AND($W93&lt;&gt;"",NOT(ISNUMBER($W93)))),"Mois invalide",IF(AND(OR($G93="À migrer",$G93="À décommissionner"),COUNTIFS(TblClusters[Cluster],$I93,TblClusters[Plateforme],"IKS")=0),"Cluster IKS inconnu",IF(AND(OR($G93="À migrer",$G93="Migré"),COUNTIFS(TblClusters[Cluster],$O93,TblClusters[Plateforme],"ROKS")=0),"Cluster ROKS inconnu",IF(AND(OR($G93="À migrer",$G93="À décommissionner"),COUNTIFS(TblClusters[Cluster],$I93,TblClusters[Environnement],$E93)=0),"Environnement ≠ cluster IKS",IF(AND(OR($G93="À migrer",$G93="Migré"),COUNTIFS(TblClusters[Cluster],$O93,TblClusters[Environnement],$E93)=0),"Environnement ≠ cluster ROKS",IF(AND($G93="À migrer",OR($U93&gt;$V93,$V93&gt;$W93)),"Dates incohérentes (prov ≤ bascule ≤ libération)",IF(AND(OR($G93="À migrer",$G93="À décommissionner"),OR(N($AO93)&gt;SUMIFS(TblClusters[CPU initial (vCPU)],TblClusters[Cluster],$I93),N($AP93)&gt;SUMIFS(TblClusters[RAM initiale (Go)],TblClusters[Cluster],$I93))),"Forçage &gt; capacité du cluster source",IF(OR(AND($AA93&lt;&gt;"",$AA93&lt;p_debut),AND($AB93&lt;&gt;"",$AB93&gt;p_fin)),"Hors horizon (info)",IF(AND($G93="À migrer",$E93="PRD",COUNTIFS(TblApplications[ID],$C93,TblApplications[Environnement],"NPRD",TblApplications[Action],"À migrer")&gt;0,$AA93&lt;_xlfn.MINIFS(TblApplications[Mois prov (calc)],TblApplications[ID],$C93,TblApplications[Environnement],"NPRD")),"PRD avant NPRD (info)","OK")))))))))))))))))))))</f>
        <v/>
      </c>
      <c r="AH93" s="62"/>
      <c r="AI93" s="62"/>
      <c r="AJ93" s="27" t="str">
        <f>IF(OR($C93="",NOT(OR($G93="À migrer",$G93="À décommissionner")),NOT(ISNUMBER($S93)),NOT(ISNUMBER($T93)),$AB93=""),"",($S93+p_poidsram*$T93)*SUMIFS(TblCalculs[Coût par unité],TblCalculs[Cluster],$I93,TblCalculs[Mois],"&lt;"&amp;$AB93))</f>
        <v/>
      </c>
      <c r="AK93" s="27" t="str">
        <f>IF($C93="","",IF(AND($G93="À migrer",$H93="Non",$Y93&lt;&gt;"",$AA93&lt;&gt;""),($Y93+p_poidsram*$Z93)*SUMIFS(TblCalculs[Coût par unité],TblCalculs[Cluster],$O93,TblCalculs[Mois],"&gt;="&amp;$AA93),IF(AND($G93="Migré",$Y93&lt;&gt;""),($Y93+p_poidsram*$Z93)*SUMIFS(TblCalculs[Coût par unité],TblCalculs[Cluster],$O93),"")))</f>
        <v/>
      </c>
      <c r="AL93" s="27" t="str">
        <f t="shared" si="14"/>
        <v/>
      </c>
      <c r="AM93" s="26" t="str">
        <f t="shared" si="15"/>
        <v/>
      </c>
      <c r="AN93" s="26" t="str">
        <f>IF(OR($C93="",$AM93&lt;&gt;1,COUNTIFS($E93,ex_envc,$A93,ex_domc,$B93,ex_tric)=0),"",COUNTIFS($AM$6:$AM93,1,$E$6:$E93,ex_envc,$A$6:$A93,ex_domc,$B$6:$B93,ex_tric))</f>
        <v/>
      </c>
      <c r="AO93" s="63"/>
      <c r="AP93" s="63"/>
      <c r="AQ93" s="63"/>
      <c r="AR93" s="63"/>
    </row>
    <row r="94" spans="1:44" x14ac:dyDescent="0.2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26" t="str">
        <f t="shared" si="8"/>
        <v/>
      </c>
      <c r="O94" s="59"/>
      <c r="P94" s="60" t="str">
        <f>IF($C94="","",IF($AQ94&lt;&gt;"",$AQ94,SUMIFS(TblDynatrace[CPU P95 (vCPU)],TblDynatrace[ID],$C94,TblDynatrace[Environnement],$E94,TblDynatrace[Couloir],$F94)))</f>
        <v/>
      </c>
      <c r="Q94" s="60" t="str">
        <f>IF($C94="","",IF($AR94&lt;&gt;"",$AR94,SUMIFS(TblDynatrace[RAM P95 (Go)],TblDynatrace[ID],$C94,TblDynatrace[Environnement],$E94,TblDynatrace[Couloir],$F94)))</f>
        <v/>
      </c>
      <c r="R94" s="26" t="str">
        <f>IF($C94="","",IFERROR(INDEX(TblDynatrace[Métrique / période],MATCH($C94&amp;"|"&amp;$E94&amp;"|"&amp;$F94,TblDynatrace[Clé],0)),""))</f>
        <v/>
      </c>
      <c r="S94" s="60" t="str">
        <f>IF(OR($C94="",NOT(OR($G94="À migrer",$G94="À décommissionner")),$I94="",NOT(ISNUMBER($P94))),"",IF($AO94&lt;&gt;"",$AO94,IFERROR(SUMIFS(TblClusters[CPU initial (vCPU)],TblClusters[Cluster],$I94)*$P94/(SUMIFS(TblApplications[CPU Dynatrace (vCPU)],TblApplications[Cluster IKS source],$I94,TblApplications[Action],"À migrer")+SUMIFS(TblApplications[CPU Dynatrace (vCPU)],TblApplications[Cluster IKS source],$I94,TblApplications[Action],"À décommissionner")),0)))</f>
        <v/>
      </c>
      <c r="T94" s="60" t="str">
        <f>IF(OR($C94="",NOT(OR($G94="À migrer",$G94="À décommissionner")),$I94="",NOT(ISNUMBER($Q94))),"",IF($AP94&lt;&gt;"",$AP94,IFERROR(SUMIFS(TblClusters[RAM initiale (Go)],TblClusters[Cluster],$I94)*$Q94/(SUMIFS(TblApplications[RAM Dynatrace (Go)],TblApplications[Cluster IKS source],$I94,TblApplications[Action],"À migrer")+SUMIFS(TblApplications[RAM Dynatrace (Go)],TblApplications[Cluster IKS source],$I94,TblApplications[Action],"À décommissionner")),0)))</f>
        <v/>
      </c>
      <c r="U94" s="61"/>
      <c r="V94" s="61"/>
      <c r="W94" s="61"/>
      <c r="X94" s="59"/>
      <c r="Y94" s="26" t="str">
        <f t="shared" si="9"/>
        <v/>
      </c>
      <c r="Z94" s="26" t="str">
        <f t="shared" si="10"/>
        <v/>
      </c>
      <c r="AA94" s="33" t="str">
        <f t="shared" si="11"/>
        <v/>
      </c>
      <c r="AB94" s="33" t="str">
        <f t="shared" si="12"/>
        <v/>
      </c>
      <c r="AC94" s="26" t="str">
        <f t="shared" si="13"/>
        <v/>
      </c>
      <c r="AD94" s="26" t="str">
        <f>IF($C94="","",COUNTIF(TblApplications[ID],$C94))</f>
        <v/>
      </c>
      <c r="AE94" s="33" t="str">
        <f>IF($C94="","",IFERROR(1/(1/_xlfn.MINIFS(TblApplications[Mois prov (calc)],TblApplications[ID],$C94)),""))</f>
        <v/>
      </c>
      <c r="AF94" s="33" t="str">
        <f>IF($C94="","",IFERROR(1/(1/_xlfn.MAXIFS(TblApplications[Mois lib (calc)],TblApplications[ID],$C94)),""))</f>
        <v/>
      </c>
      <c r="AG94" s="26" t="str">
        <f>IF($C94="","",IF(OR(OR($A94="",$B94="",$D94="",$E94="",$F94="",$G94=""),AND($G94="À migrer",OR($H94="",$I94="",$O94="",$U94="",$V94="",$W94="")),AND($G94="Migré",OR($O94="")),AND($G94="À décommissionner",OR($I94="",$W94=""))),"Données manquantes (selon l’action)",IF(AND($G94&lt;&gt;"Migré",$G94&lt;&gt;"À migrer",$G94&lt;&gt;"À décommissionner",$G94&lt;&gt;"Décommissionné"),"Action invalide",IF(COUNTIF(TblDomaines[Domaine],$A94)=0,"Domaine inconnu (référentiel)",IF(COUNTIFS(TblTribes[Tribe],$B94,TblTribes[Domaine de la tribe],$A94)=0,"Tribe inconnue ou hors domaine",IF(AND($G94="À migrer",$H94&lt;&gt;"Oui",$H94&lt;&gt;"Non"),"Valeur Oui/Non invalide (Déjà incluse ROKS)",IF(AND($E94&lt;&gt;"PRD",$E94&lt;&gt;"NPRD"),"Environnement invalide",IF(COUNTIFS(TblApplications[ID],$C94,TblApplications[Environnement],$E94,TblApplications[Couloir],$F94)&gt;1,"Déploiement en doublon (ID + env + couloir)",IF(AND(OR(OR($G94="À migrer",$G94="Migré"),OR($G94="À migrer",$G94="À décommissionner")),N($P94)&lt;=0),"Conso Dynatrace absente (onglet Dynatrace)",IF(OR(AND($P94&lt;&gt;"",NOT(ISNUMBER($P94))),AND($Q94&lt;&gt;"",NOT(ISNUMBER($Q94)))),"Ressource non numérique",IF(MIN(N($P94),N($Q94))&lt;0,"Ressource négative",IF(OR(AND($AH94&lt;&gt;"",OR(NOT(ISNUMBER($AH94)),$AH94&lt;0,$AH94&gt;1)),AND($AI94&lt;&gt;"",OR(NOT(ISNUMBER($AI94)),$AI94&lt;0,$AI94&gt;1))),"Marge spécifique invalide (0–100 %)",IF(OR(AND($U94&lt;&gt;"",NOT(ISNUMBER($U94))),AND($V94&lt;&gt;"",NOT(ISNUMBER($V94))),AND($W94&lt;&gt;"",NOT(ISNUMBER($W94)))),"Mois invalide",IF(AND(OR($G94="À migrer",$G94="À décommissionner"),COUNTIFS(TblClusters[Cluster],$I94,TblClusters[Plateforme],"IKS")=0),"Cluster IKS inconnu",IF(AND(OR($G94="À migrer",$G94="Migré"),COUNTIFS(TblClusters[Cluster],$O94,TblClusters[Plateforme],"ROKS")=0),"Cluster ROKS inconnu",IF(AND(OR($G94="À migrer",$G94="À décommissionner"),COUNTIFS(TblClusters[Cluster],$I94,TblClusters[Environnement],$E94)=0),"Environnement ≠ cluster IKS",IF(AND(OR($G94="À migrer",$G94="Migré"),COUNTIFS(TblClusters[Cluster],$O94,TblClusters[Environnement],$E94)=0),"Environnement ≠ cluster ROKS",IF(AND($G94="À migrer",OR($U94&gt;$V94,$V94&gt;$W94)),"Dates incohérentes (prov ≤ bascule ≤ libération)",IF(AND(OR($G94="À migrer",$G94="À décommissionner"),OR(N($AO94)&gt;SUMIFS(TblClusters[CPU initial (vCPU)],TblClusters[Cluster],$I94),N($AP94)&gt;SUMIFS(TblClusters[RAM initiale (Go)],TblClusters[Cluster],$I94))),"Forçage &gt; capacité du cluster source",IF(OR(AND($AA94&lt;&gt;"",$AA94&lt;p_debut),AND($AB94&lt;&gt;"",$AB94&gt;p_fin)),"Hors horizon (info)",IF(AND($G94="À migrer",$E94="PRD",COUNTIFS(TblApplications[ID],$C94,TblApplications[Environnement],"NPRD",TblApplications[Action],"À migrer")&gt;0,$AA94&lt;_xlfn.MINIFS(TblApplications[Mois prov (calc)],TblApplications[ID],$C94,TblApplications[Environnement],"NPRD")),"PRD avant NPRD (info)","OK")))))))))))))))))))))</f>
        <v/>
      </c>
      <c r="AH94" s="62"/>
      <c r="AI94" s="62"/>
      <c r="AJ94" s="27" t="str">
        <f>IF(OR($C94="",NOT(OR($G94="À migrer",$G94="À décommissionner")),NOT(ISNUMBER($S94)),NOT(ISNUMBER($T94)),$AB94=""),"",($S94+p_poidsram*$T94)*SUMIFS(TblCalculs[Coût par unité],TblCalculs[Cluster],$I94,TblCalculs[Mois],"&lt;"&amp;$AB94))</f>
        <v/>
      </c>
      <c r="AK94" s="27" t="str">
        <f>IF($C94="","",IF(AND($G94="À migrer",$H94="Non",$Y94&lt;&gt;"",$AA94&lt;&gt;""),($Y94+p_poidsram*$Z94)*SUMIFS(TblCalculs[Coût par unité],TblCalculs[Cluster],$O94,TblCalculs[Mois],"&gt;="&amp;$AA94),IF(AND($G94="Migré",$Y94&lt;&gt;""),($Y94+p_poidsram*$Z94)*SUMIFS(TblCalculs[Coût par unité],TblCalculs[Cluster],$O94),"")))</f>
        <v/>
      </c>
      <c r="AL94" s="27" t="str">
        <f t="shared" si="14"/>
        <v/>
      </c>
      <c r="AM94" s="26" t="str">
        <f t="shared" si="15"/>
        <v/>
      </c>
      <c r="AN94" s="26" t="str">
        <f>IF(OR($C94="",$AM94&lt;&gt;1,COUNTIFS($E94,ex_envc,$A94,ex_domc,$B94,ex_tric)=0),"",COUNTIFS($AM$6:$AM94,1,$E$6:$E94,ex_envc,$A$6:$A94,ex_domc,$B$6:$B94,ex_tric))</f>
        <v/>
      </c>
      <c r="AO94" s="63"/>
      <c r="AP94" s="63"/>
      <c r="AQ94" s="63"/>
      <c r="AR94" s="63"/>
    </row>
    <row r="95" spans="1:44" x14ac:dyDescent="0.2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26" t="str">
        <f t="shared" si="8"/>
        <v/>
      </c>
      <c r="O95" s="59"/>
      <c r="P95" s="60" t="str">
        <f>IF($C95="","",IF($AQ95&lt;&gt;"",$AQ95,SUMIFS(TblDynatrace[CPU P95 (vCPU)],TblDynatrace[ID],$C95,TblDynatrace[Environnement],$E95,TblDynatrace[Couloir],$F95)))</f>
        <v/>
      </c>
      <c r="Q95" s="60" t="str">
        <f>IF($C95="","",IF($AR95&lt;&gt;"",$AR95,SUMIFS(TblDynatrace[RAM P95 (Go)],TblDynatrace[ID],$C95,TblDynatrace[Environnement],$E95,TblDynatrace[Couloir],$F95)))</f>
        <v/>
      </c>
      <c r="R95" s="26" t="str">
        <f>IF($C95="","",IFERROR(INDEX(TblDynatrace[Métrique / période],MATCH($C95&amp;"|"&amp;$E95&amp;"|"&amp;$F95,TblDynatrace[Clé],0)),""))</f>
        <v/>
      </c>
      <c r="S95" s="60" t="str">
        <f>IF(OR($C95="",NOT(OR($G95="À migrer",$G95="À décommissionner")),$I95="",NOT(ISNUMBER($P95))),"",IF($AO95&lt;&gt;"",$AO95,IFERROR(SUMIFS(TblClusters[CPU initial (vCPU)],TblClusters[Cluster],$I95)*$P95/(SUMIFS(TblApplications[CPU Dynatrace (vCPU)],TblApplications[Cluster IKS source],$I95,TblApplications[Action],"À migrer")+SUMIFS(TblApplications[CPU Dynatrace (vCPU)],TblApplications[Cluster IKS source],$I95,TblApplications[Action],"À décommissionner")),0)))</f>
        <v/>
      </c>
      <c r="T95" s="60" t="str">
        <f>IF(OR($C95="",NOT(OR($G95="À migrer",$G95="À décommissionner")),$I95="",NOT(ISNUMBER($Q95))),"",IF($AP95&lt;&gt;"",$AP95,IFERROR(SUMIFS(TblClusters[RAM initiale (Go)],TblClusters[Cluster],$I95)*$Q95/(SUMIFS(TblApplications[RAM Dynatrace (Go)],TblApplications[Cluster IKS source],$I95,TblApplications[Action],"À migrer")+SUMIFS(TblApplications[RAM Dynatrace (Go)],TblApplications[Cluster IKS source],$I95,TblApplications[Action],"À décommissionner")),0)))</f>
        <v/>
      </c>
      <c r="U95" s="61"/>
      <c r="V95" s="61"/>
      <c r="W95" s="61"/>
      <c r="X95" s="59"/>
      <c r="Y95" s="26" t="str">
        <f t="shared" si="9"/>
        <v/>
      </c>
      <c r="Z95" s="26" t="str">
        <f t="shared" si="10"/>
        <v/>
      </c>
      <c r="AA95" s="33" t="str">
        <f t="shared" si="11"/>
        <v/>
      </c>
      <c r="AB95" s="33" t="str">
        <f t="shared" si="12"/>
        <v/>
      </c>
      <c r="AC95" s="26" t="str">
        <f t="shared" si="13"/>
        <v/>
      </c>
      <c r="AD95" s="26" t="str">
        <f>IF($C95="","",COUNTIF(TblApplications[ID],$C95))</f>
        <v/>
      </c>
      <c r="AE95" s="33" t="str">
        <f>IF($C95="","",IFERROR(1/(1/_xlfn.MINIFS(TblApplications[Mois prov (calc)],TblApplications[ID],$C95)),""))</f>
        <v/>
      </c>
      <c r="AF95" s="33" t="str">
        <f>IF($C95="","",IFERROR(1/(1/_xlfn.MAXIFS(TblApplications[Mois lib (calc)],TblApplications[ID],$C95)),""))</f>
        <v/>
      </c>
      <c r="AG95" s="26" t="str">
        <f>IF($C95="","",IF(OR(OR($A95="",$B95="",$D95="",$E95="",$F95="",$G95=""),AND($G95="À migrer",OR($H95="",$I95="",$O95="",$U95="",$V95="",$W95="")),AND($G95="Migré",OR($O95="")),AND($G95="À décommissionner",OR($I95="",$W95=""))),"Données manquantes (selon l’action)",IF(AND($G95&lt;&gt;"Migré",$G95&lt;&gt;"À migrer",$G95&lt;&gt;"À décommissionner",$G95&lt;&gt;"Décommissionné"),"Action invalide",IF(COUNTIF(TblDomaines[Domaine],$A95)=0,"Domaine inconnu (référentiel)",IF(COUNTIFS(TblTribes[Tribe],$B95,TblTribes[Domaine de la tribe],$A95)=0,"Tribe inconnue ou hors domaine",IF(AND($G95="À migrer",$H95&lt;&gt;"Oui",$H95&lt;&gt;"Non"),"Valeur Oui/Non invalide (Déjà incluse ROKS)",IF(AND($E95&lt;&gt;"PRD",$E95&lt;&gt;"NPRD"),"Environnement invalide",IF(COUNTIFS(TblApplications[ID],$C95,TblApplications[Environnement],$E95,TblApplications[Couloir],$F95)&gt;1,"Déploiement en doublon (ID + env + couloir)",IF(AND(OR(OR($G95="À migrer",$G95="Migré"),OR($G95="À migrer",$G95="À décommissionner")),N($P95)&lt;=0),"Conso Dynatrace absente (onglet Dynatrace)",IF(OR(AND($P95&lt;&gt;"",NOT(ISNUMBER($P95))),AND($Q95&lt;&gt;"",NOT(ISNUMBER($Q95)))),"Ressource non numérique",IF(MIN(N($P95),N($Q95))&lt;0,"Ressource négative",IF(OR(AND($AH95&lt;&gt;"",OR(NOT(ISNUMBER($AH95)),$AH95&lt;0,$AH95&gt;1)),AND($AI95&lt;&gt;"",OR(NOT(ISNUMBER($AI95)),$AI95&lt;0,$AI95&gt;1))),"Marge spécifique invalide (0–100 %)",IF(OR(AND($U95&lt;&gt;"",NOT(ISNUMBER($U95))),AND($V95&lt;&gt;"",NOT(ISNUMBER($V95))),AND($W95&lt;&gt;"",NOT(ISNUMBER($W95)))),"Mois invalide",IF(AND(OR($G95="À migrer",$G95="À décommissionner"),COUNTIFS(TblClusters[Cluster],$I95,TblClusters[Plateforme],"IKS")=0),"Cluster IKS inconnu",IF(AND(OR($G95="À migrer",$G95="Migré"),COUNTIFS(TblClusters[Cluster],$O95,TblClusters[Plateforme],"ROKS")=0),"Cluster ROKS inconnu",IF(AND(OR($G95="À migrer",$G95="À décommissionner"),COUNTIFS(TblClusters[Cluster],$I95,TblClusters[Environnement],$E95)=0),"Environnement ≠ cluster IKS",IF(AND(OR($G95="À migrer",$G95="Migré"),COUNTIFS(TblClusters[Cluster],$O95,TblClusters[Environnement],$E95)=0),"Environnement ≠ cluster ROKS",IF(AND($G95="À migrer",OR($U95&gt;$V95,$V95&gt;$W95)),"Dates incohérentes (prov ≤ bascule ≤ libération)",IF(AND(OR($G95="À migrer",$G95="À décommissionner"),OR(N($AO95)&gt;SUMIFS(TblClusters[CPU initial (vCPU)],TblClusters[Cluster],$I95),N($AP95)&gt;SUMIFS(TblClusters[RAM initiale (Go)],TblClusters[Cluster],$I95))),"Forçage &gt; capacité du cluster source",IF(OR(AND($AA95&lt;&gt;"",$AA95&lt;p_debut),AND($AB95&lt;&gt;"",$AB95&gt;p_fin)),"Hors horizon (info)",IF(AND($G95="À migrer",$E95="PRD",COUNTIFS(TblApplications[ID],$C95,TblApplications[Environnement],"NPRD",TblApplications[Action],"À migrer")&gt;0,$AA95&lt;_xlfn.MINIFS(TblApplications[Mois prov (calc)],TblApplications[ID],$C95,TblApplications[Environnement],"NPRD")),"PRD avant NPRD (info)","OK")))))))))))))))))))))</f>
        <v/>
      </c>
      <c r="AH95" s="62"/>
      <c r="AI95" s="62"/>
      <c r="AJ95" s="27" t="str">
        <f>IF(OR($C95="",NOT(OR($G95="À migrer",$G95="À décommissionner")),NOT(ISNUMBER($S95)),NOT(ISNUMBER($T95)),$AB95=""),"",($S95+p_poidsram*$T95)*SUMIFS(TblCalculs[Coût par unité],TblCalculs[Cluster],$I95,TblCalculs[Mois],"&lt;"&amp;$AB95))</f>
        <v/>
      </c>
      <c r="AK95" s="27" t="str">
        <f>IF($C95="","",IF(AND($G95="À migrer",$H95="Non",$Y95&lt;&gt;"",$AA95&lt;&gt;""),($Y95+p_poidsram*$Z95)*SUMIFS(TblCalculs[Coût par unité],TblCalculs[Cluster],$O95,TblCalculs[Mois],"&gt;="&amp;$AA95),IF(AND($G95="Migré",$Y95&lt;&gt;""),($Y95+p_poidsram*$Z95)*SUMIFS(TblCalculs[Coût par unité],TblCalculs[Cluster],$O95),"")))</f>
        <v/>
      </c>
      <c r="AL95" s="27" t="str">
        <f t="shared" si="14"/>
        <v/>
      </c>
      <c r="AM95" s="26" t="str">
        <f t="shared" si="15"/>
        <v/>
      </c>
      <c r="AN95" s="26" t="str">
        <f>IF(OR($C95="",$AM95&lt;&gt;1,COUNTIFS($E95,ex_envc,$A95,ex_domc,$B95,ex_tric)=0),"",COUNTIFS($AM$6:$AM95,1,$E$6:$E95,ex_envc,$A$6:$A95,ex_domc,$B$6:$B95,ex_tric))</f>
        <v/>
      </c>
      <c r="AO95" s="63"/>
      <c r="AP95" s="63"/>
      <c r="AQ95" s="63"/>
      <c r="AR95" s="63"/>
    </row>
    <row r="96" spans="1:44" x14ac:dyDescent="0.2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26" t="str">
        <f t="shared" si="8"/>
        <v/>
      </c>
      <c r="O96" s="59"/>
      <c r="P96" s="60" t="str">
        <f>IF($C96="","",IF($AQ96&lt;&gt;"",$AQ96,SUMIFS(TblDynatrace[CPU P95 (vCPU)],TblDynatrace[ID],$C96,TblDynatrace[Environnement],$E96,TblDynatrace[Couloir],$F96)))</f>
        <v/>
      </c>
      <c r="Q96" s="60" t="str">
        <f>IF($C96="","",IF($AR96&lt;&gt;"",$AR96,SUMIFS(TblDynatrace[RAM P95 (Go)],TblDynatrace[ID],$C96,TblDynatrace[Environnement],$E96,TblDynatrace[Couloir],$F96)))</f>
        <v/>
      </c>
      <c r="R96" s="26" t="str">
        <f>IF($C96="","",IFERROR(INDEX(TblDynatrace[Métrique / période],MATCH($C96&amp;"|"&amp;$E96&amp;"|"&amp;$F96,TblDynatrace[Clé],0)),""))</f>
        <v/>
      </c>
      <c r="S96" s="60" t="str">
        <f>IF(OR($C96="",NOT(OR($G96="À migrer",$G96="À décommissionner")),$I96="",NOT(ISNUMBER($P96))),"",IF($AO96&lt;&gt;"",$AO96,IFERROR(SUMIFS(TblClusters[CPU initial (vCPU)],TblClusters[Cluster],$I96)*$P96/(SUMIFS(TblApplications[CPU Dynatrace (vCPU)],TblApplications[Cluster IKS source],$I96,TblApplications[Action],"À migrer")+SUMIFS(TblApplications[CPU Dynatrace (vCPU)],TblApplications[Cluster IKS source],$I96,TblApplications[Action],"À décommissionner")),0)))</f>
        <v/>
      </c>
      <c r="T96" s="60" t="str">
        <f>IF(OR($C96="",NOT(OR($G96="À migrer",$G96="À décommissionner")),$I96="",NOT(ISNUMBER($Q96))),"",IF($AP96&lt;&gt;"",$AP96,IFERROR(SUMIFS(TblClusters[RAM initiale (Go)],TblClusters[Cluster],$I96)*$Q96/(SUMIFS(TblApplications[RAM Dynatrace (Go)],TblApplications[Cluster IKS source],$I96,TblApplications[Action],"À migrer")+SUMIFS(TblApplications[RAM Dynatrace (Go)],TblApplications[Cluster IKS source],$I96,TblApplications[Action],"À décommissionner")),0)))</f>
        <v/>
      </c>
      <c r="U96" s="61"/>
      <c r="V96" s="61"/>
      <c r="W96" s="61"/>
      <c r="X96" s="59"/>
      <c r="Y96" s="26" t="str">
        <f t="shared" si="9"/>
        <v/>
      </c>
      <c r="Z96" s="26" t="str">
        <f t="shared" si="10"/>
        <v/>
      </c>
      <c r="AA96" s="33" t="str">
        <f t="shared" si="11"/>
        <v/>
      </c>
      <c r="AB96" s="33" t="str">
        <f t="shared" si="12"/>
        <v/>
      </c>
      <c r="AC96" s="26" t="str">
        <f t="shared" si="13"/>
        <v/>
      </c>
      <c r="AD96" s="26" t="str">
        <f>IF($C96="","",COUNTIF(TblApplications[ID],$C96))</f>
        <v/>
      </c>
      <c r="AE96" s="33" t="str">
        <f>IF($C96="","",IFERROR(1/(1/_xlfn.MINIFS(TblApplications[Mois prov (calc)],TblApplications[ID],$C96)),""))</f>
        <v/>
      </c>
      <c r="AF96" s="33" t="str">
        <f>IF($C96="","",IFERROR(1/(1/_xlfn.MAXIFS(TblApplications[Mois lib (calc)],TblApplications[ID],$C96)),""))</f>
        <v/>
      </c>
      <c r="AG96" s="26" t="str">
        <f>IF($C96="","",IF(OR(OR($A96="",$B96="",$D96="",$E96="",$F96="",$G96=""),AND($G96="À migrer",OR($H96="",$I96="",$O96="",$U96="",$V96="",$W96="")),AND($G96="Migré",OR($O96="")),AND($G96="À décommissionner",OR($I96="",$W96=""))),"Données manquantes (selon l’action)",IF(AND($G96&lt;&gt;"Migré",$G96&lt;&gt;"À migrer",$G96&lt;&gt;"À décommissionner",$G96&lt;&gt;"Décommissionné"),"Action invalide",IF(COUNTIF(TblDomaines[Domaine],$A96)=0,"Domaine inconnu (référentiel)",IF(COUNTIFS(TblTribes[Tribe],$B96,TblTribes[Domaine de la tribe],$A96)=0,"Tribe inconnue ou hors domaine",IF(AND($G96="À migrer",$H96&lt;&gt;"Oui",$H96&lt;&gt;"Non"),"Valeur Oui/Non invalide (Déjà incluse ROKS)",IF(AND($E96&lt;&gt;"PRD",$E96&lt;&gt;"NPRD"),"Environnement invalide",IF(COUNTIFS(TblApplications[ID],$C96,TblApplications[Environnement],$E96,TblApplications[Couloir],$F96)&gt;1,"Déploiement en doublon (ID + env + couloir)",IF(AND(OR(OR($G96="À migrer",$G96="Migré"),OR($G96="À migrer",$G96="À décommissionner")),N($P96)&lt;=0),"Conso Dynatrace absente (onglet Dynatrace)",IF(OR(AND($P96&lt;&gt;"",NOT(ISNUMBER($P96))),AND($Q96&lt;&gt;"",NOT(ISNUMBER($Q96)))),"Ressource non numérique",IF(MIN(N($P96),N($Q96))&lt;0,"Ressource négative",IF(OR(AND($AH96&lt;&gt;"",OR(NOT(ISNUMBER($AH96)),$AH96&lt;0,$AH96&gt;1)),AND($AI96&lt;&gt;"",OR(NOT(ISNUMBER($AI96)),$AI96&lt;0,$AI96&gt;1))),"Marge spécifique invalide (0–100 %)",IF(OR(AND($U96&lt;&gt;"",NOT(ISNUMBER($U96))),AND($V96&lt;&gt;"",NOT(ISNUMBER($V96))),AND($W96&lt;&gt;"",NOT(ISNUMBER($W96)))),"Mois invalide",IF(AND(OR($G96="À migrer",$G96="À décommissionner"),COUNTIFS(TblClusters[Cluster],$I96,TblClusters[Plateforme],"IKS")=0),"Cluster IKS inconnu",IF(AND(OR($G96="À migrer",$G96="Migré"),COUNTIFS(TblClusters[Cluster],$O96,TblClusters[Plateforme],"ROKS")=0),"Cluster ROKS inconnu",IF(AND(OR($G96="À migrer",$G96="À décommissionner"),COUNTIFS(TblClusters[Cluster],$I96,TblClusters[Environnement],$E96)=0),"Environnement ≠ cluster IKS",IF(AND(OR($G96="À migrer",$G96="Migré"),COUNTIFS(TblClusters[Cluster],$O96,TblClusters[Environnement],$E96)=0),"Environnement ≠ cluster ROKS",IF(AND($G96="À migrer",OR($U96&gt;$V96,$V96&gt;$W96)),"Dates incohérentes (prov ≤ bascule ≤ libération)",IF(AND(OR($G96="À migrer",$G96="À décommissionner"),OR(N($AO96)&gt;SUMIFS(TblClusters[CPU initial (vCPU)],TblClusters[Cluster],$I96),N($AP96)&gt;SUMIFS(TblClusters[RAM initiale (Go)],TblClusters[Cluster],$I96))),"Forçage &gt; capacité du cluster source",IF(OR(AND($AA96&lt;&gt;"",$AA96&lt;p_debut),AND($AB96&lt;&gt;"",$AB96&gt;p_fin)),"Hors horizon (info)",IF(AND($G96="À migrer",$E96="PRD",COUNTIFS(TblApplications[ID],$C96,TblApplications[Environnement],"NPRD",TblApplications[Action],"À migrer")&gt;0,$AA96&lt;_xlfn.MINIFS(TblApplications[Mois prov (calc)],TblApplications[ID],$C96,TblApplications[Environnement],"NPRD")),"PRD avant NPRD (info)","OK")))))))))))))))))))))</f>
        <v/>
      </c>
      <c r="AH96" s="62"/>
      <c r="AI96" s="62"/>
      <c r="AJ96" s="27" t="str">
        <f>IF(OR($C96="",NOT(OR($G96="À migrer",$G96="À décommissionner")),NOT(ISNUMBER($S96)),NOT(ISNUMBER($T96)),$AB96=""),"",($S96+p_poidsram*$T96)*SUMIFS(TblCalculs[Coût par unité],TblCalculs[Cluster],$I96,TblCalculs[Mois],"&lt;"&amp;$AB96))</f>
        <v/>
      </c>
      <c r="AK96" s="27" t="str">
        <f>IF($C96="","",IF(AND($G96="À migrer",$H96="Non",$Y96&lt;&gt;"",$AA96&lt;&gt;""),($Y96+p_poidsram*$Z96)*SUMIFS(TblCalculs[Coût par unité],TblCalculs[Cluster],$O96,TblCalculs[Mois],"&gt;="&amp;$AA96),IF(AND($G96="Migré",$Y96&lt;&gt;""),($Y96+p_poidsram*$Z96)*SUMIFS(TblCalculs[Coût par unité],TblCalculs[Cluster],$O96),"")))</f>
        <v/>
      </c>
      <c r="AL96" s="27" t="str">
        <f t="shared" si="14"/>
        <v/>
      </c>
      <c r="AM96" s="26" t="str">
        <f t="shared" si="15"/>
        <v/>
      </c>
      <c r="AN96" s="26" t="str">
        <f>IF(OR($C96="",$AM96&lt;&gt;1,COUNTIFS($E96,ex_envc,$A96,ex_domc,$B96,ex_tric)=0),"",COUNTIFS($AM$6:$AM96,1,$E$6:$E96,ex_envc,$A$6:$A96,ex_domc,$B$6:$B96,ex_tric))</f>
        <v/>
      </c>
      <c r="AO96" s="63"/>
      <c r="AP96" s="63"/>
      <c r="AQ96" s="63"/>
      <c r="AR96" s="63"/>
    </row>
    <row r="97" spans="1:44" x14ac:dyDescent="0.2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26" t="str">
        <f t="shared" si="8"/>
        <v/>
      </c>
      <c r="O97" s="59"/>
      <c r="P97" s="60" t="str">
        <f>IF($C97="","",IF($AQ97&lt;&gt;"",$AQ97,SUMIFS(TblDynatrace[CPU P95 (vCPU)],TblDynatrace[ID],$C97,TblDynatrace[Environnement],$E97,TblDynatrace[Couloir],$F97)))</f>
        <v/>
      </c>
      <c r="Q97" s="60" t="str">
        <f>IF($C97="","",IF($AR97&lt;&gt;"",$AR97,SUMIFS(TblDynatrace[RAM P95 (Go)],TblDynatrace[ID],$C97,TblDynatrace[Environnement],$E97,TblDynatrace[Couloir],$F97)))</f>
        <v/>
      </c>
      <c r="R97" s="26" t="str">
        <f>IF($C97="","",IFERROR(INDEX(TblDynatrace[Métrique / période],MATCH($C97&amp;"|"&amp;$E97&amp;"|"&amp;$F97,TblDynatrace[Clé],0)),""))</f>
        <v/>
      </c>
      <c r="S97" s="60" t="str">
        <f>IF(OR($C97="",NOT(OR($G97="À migrer",$G97="À décommissionner")),$I97="",NOT(ISNUMBER($P97))),"",IF($AO97&lt;&gt;"",$AO97,IFERROR(SUMIFS(TblClusters[CPU initial (vCPU)],TblClusters[Cluster],$I97)*$P97/(SUMIFS(TblApplications[CPU Dynatrace (vCPU)],TblApplications[Cluster IKS source],$I97,TblApplications[Action],"À migrer")+SUMIFS(TblApplications[CPU Dynatrace (vCPU)],TblApplications[Cluster IKS source],$I97,TblApplications[Action],"À décommissionner")),0)))</f>
        <v/>
      </c>
      <c r="T97" s="60" t="str">
        <f>IF(OR($C97="",NOT(OR($G97="À migrer",$G97="À décommissionner")),$I97="",NOT(ISNUMBER($Q97))),"",IF($AP97&lt;&gt;"",$AP97,IFERROR(SUMIFS(TblClusters[RAM initiale (Go)],TblClusters[Cluster],$I97)*$Q97/(SUMIFS(TblApplications[RAM Dynatrace (Go)],TblApplications[Cluster IKS source],$I97,TblApplications[Action],"À migrer")+SUMIFS(TblApplications[RAM Dynatrace (Go)],TblApplications[Cluster IKS source],$I97,TblApplications[Action],"À décommissionner")),0)))</f>
        <v/>
      </c>
      <c r="U97" s="61"/>
      <c r="V97" s="61"/>
      <c r="W97" s="61"/>
      <c r="X97" s="59"/>
      <c r="Y97" s="26" t="str">
        <f t="shared" si="9"/>
        <v/>
      </c>
      <c r="Z97" s="26" t="str">
        <f t="shared" si="10"/>
        <v/>
      </c>
      <c r="AA97" s="33" t="str">
        <f t="shared" si="11"/>
        <v/>
      </c>
      <c r="AB97" s="33" t="str">
        <f t="shared" si="12"/>
        <v/>
      </c>
      <c r="AC97" s="26" t="str">
        <f t="shared" si="13"/>
        <v/>
      </c>
      <c r="AD97" s="26" t="str">
        <f>IF($C97="","",COUNTIF(TblApplications[ID],$C97))</f>
        <v/>
      </c>
      <c r="AE97" s="33" t="str">
        <f>IF($C97="","",IFERROR(1/(1/_xlfn.MINIFS(TblApplications[Mois prov (calc)],TblApplications[ID],$C97)),""))</f>
        <v/>
      </c>
      <c r="AF97" s="33" t="str">
        <f>IF($C97="","",IFERROR(1/(1/_xlfn.MAXIFS(TblApplications[Mois lib (calc)],TblApplications[ID],$C97)),""))</f>
        <v/>
      </c>
      <c r="AG97" s="26" t="str">
        <f>IF($C97="","",IF(OR(OR($A97="",$B97="",$D97="",$E97="",$F97="",$G97=""),AND($G97="À migrer",OR($H97="",$I97="",$O97="",$U97="",$V97="",$W97="")),AND($G97="Migré",OR($O97="")),AND($G97="À décommissionner",OR($I97="",$W97=""))),"Données manquantes (selon l’action)",IF(AND($G97&lt;&gt;"Migré",$G97&lt;&gt;"À migrer",$G97&lt;&gt;"À décommissionner",$G97&lt;&gt;"Décommissionné"),"Action invalide",IF(COUNTIF(TblDomaines[Domaine],$A97)=0,"Domaine inconnu (référentiel)",IF(COUNTIFS(TblTribes[Tribe],$B97,TblTribes[Domaine de la tribe],$A97)=0,"Tribe inconnue ou hors domaine",IF(AND($G97="À migrer",$H97&lt;&gt;"Oui",$H97&lt;&gt;"Non"),"Valeur Oui/Non invalide (Déjà incluse ROKS)",IF(AND($E97&lt;&gt;"PRD",$E97&lt;&gt;"NPRD"),"Environnement invalide",IF(COUNTIFS(TblApplications[ID],$C97,TblApplications[Environnement],$E97,TblApplications[Couloir],$F97)&gt;1,"Déploiement en doublon (ID + env + couloir)",IF(AND(OR(OR($G97="À migrer",$G97="Migré"),OR($G97="À migrer",$G97="À décommissionner")),N($P97)&lt;=0),"Conso Dynatrace absente (onglet Dynatrace)",IF(OR(AND($P97&lt;&gt;"",NOT(ISNUMBER($P97))),AND($Q97&lt;&gt;"",NOT(ISNUMBER($Q97)))),"Ressource non numérique",IF(MIN(N($P97),N($Q97))&lt;0,"Ressource négative",IF(OR(AND($AH97&lt;&gt;"",OR(NOT(ISNUMBER($AH97)),$AH97&lt;0,$AH97&gt;1)),AND($AI97&lt;&gt;"",OR(NOT(ISNUMBER($AI97)),$AI97&lt;0,$AI97&gt;1))),"Marge spécifique invalide (0–100 %)",IF(OR(AND($U97&lt;&gt;"",NOT(ISNUMBER($U97))),AND($V97&lt;&gt;"",NOT(ISNUMBER($V97))),AND($W97&lt;&gt;"",NOT(ISNUMBER($W97)))),"Mois invalide",IF(AND(OR($G97="À migrer",$G97="À décommissionner"),COUNTIFS(TblClusters[Cluster],$I97,TblClusters[Plateforme],"IKS")=0),"Cluster IKS inconnu",IF(AND(OR($G97="À migrer",$G97="Migré"),COUNTIFS(TblClusters[Cluster],$O97,TblClusters[Plateforme],"ROKS")=0),"Cluster ROKS inconnu",IF(AND(OR($G97="À migrer",$G97="À décommissionner"),COUNTIFS(TblClusters[Cluster],$I97,TblClusters[Environnement],$E97)=0),"Environnement ≠ cluster IKS",IF(AND(OR($G97="À migrer",$G97="Migré"),COUNTIFS(TblClusters[Cluster],$O97,TblClusters[Environnement],$E97)=0),"Environnement ≠ cluster ROKS",IF(AND($G97="À migrer",OR($U97&gt;$V97,$V97&gt;$W97)),"Dates incohérentes (prov ≤ bascule ≤ libération)",IF(AND(OR($G97="À migrer",$G97="À décommissionner"),OR(N($AO97)&gt;SUMIFS(TblClusters[CPU initial (vCPU)],TblClusters[Cluster],$I97),N($AP97)&gt;SUMIFS(TblClusters[RAM initiale (Go)],TblClusters[Cluster],$I97))),"Forçage &gt; capacité du cluster source",IF(OR(AND($AA97&lt;&gt;"",$AA97&lt;p_debut),AND($AB97&lt;&gt;"",$AB97&gt;p_fin)),"Hors horizon (info)",IF(AND($G97="À migrer",$E97="PRD",COUNTIFS(TblApplications[ID],$C97,TblApplications[Environnement],"NPRD",TblApplications[Action],"À migrer")&gt;0,$AA97&lt;_xlfn.MINIFS(TblApplications[Mois prov (calc)],TblApplications[ID],$C97,TblApplications[Environnement],"NPRD")),"PRD avant NPRD (info)","OK")))))))))))))))))))))</f>
        <v/>
      </c>
      <c r="AH97" s="62"/>
      <c r="AI97" s="62"/>
      <c r="AJ97" s="27" t="str">
        <f>IF(OR($C97="",NOT(OR($G97="À migrer",$G97="À décommissionner")),NOT(ISNUMBER($S97)),NOT(ISNUMBER($T97)),$AB97=""),"",($S97+p_poidsram*$T97)*SUMIFS(TblCalculs[Coût par unité],TblCalculs[Cluster],$I97,TblCalculs[Mois],"&lt;"&amp;$AB97))</f>
        <v/>
      </c>
      <c r="AK97" s="27" t="str">
        <f>IF($C97="","",IF(AND($G97="À migrer",$H97="Non",$Y97&lt;&gt;"",$AA97&lt;&gt;""),($Y97+p_poidsram*$Z97)*SUMIFS(TblCalculs[Coût par unité],TblCalculs[Cluster],$O97,TblCalculs[Mois],"&gt;="&amp;$AA97),IF(AND($G97="Migré",$Y97&lt;&gt;""),($Y97+p_poidsram*$Z97)*SUMIFS(TblCalculs[Coût par unité],TblCalculs[Cluster],$O97),"")))</f>
        <v/>
      </c>
      <c r="AL97" s="27" t="str">
        <f t="shared" si="14"/>
        <v/>
      </c>
      <c r="AM97" s="26" t="str">
        <f t="shared" si="15"/>
        <v/>
      </c>
      <c r="AN97" s="26" t="str">
        <f>IF(OR($C97="",$AM97&lt;&gt;1,COUNTIFS($E97,ex_envc,$A97,ex_domc,$B97,ex_tric)=0),"",COUNTIFS($AM$6:$AM97,1,$E$6:$E97,ex_envc,$A$6:$A97,ex_domc,$B$6:$B97,ex_tric))</f>
        <v/>
      </c>
      <c r="AO97" s="63"/>
      <c r="AP97" s="63"/>
      <c r="AQ97" s="63"/>
      <c r="AR97" s="63"/>
    </row>
    <row r="98" spans="1:44" x14ac:dyDescent="0.2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26" t="str">
        <f t="shared" si="8"/>
        <v/>
      </c>
      <c r="O98" s="59"/>
      <c r="P98" s="60" t="str">
        <f>IF($C98="","",IF($AQ98&lt;&gt;"",$AQ98,SUMIFS(TblDynatrace[CPU P95 (vCPU)],TblDynatrace[ID],$C98,TblDynatrace[Environnement],$E98,TblDynatrace[Couloir],$F98)))</f>
        <v/>
      </c>
      <c r="Q98" s="60" t="str">
        <f>IF($C98="","",IF($AR98&lt;&gt;"",$AR98,SUMIFS(TblDynatrace[RAM P95 (Go)],TblDynatrace[ID],$C98,TblDynatrace[Environnement],$E98,TblDynatrace[Couloir],$F98)))</f>
        <v/>
      </c>
      <c r="R98" s="26" t="str">
        <f>IF($C98="","",IFERROR(INDEX(TblDynatrace[Métrique / période],MATCH($C98&amp;"|"&amp;$E98&amp;"|"&amp;$F98,TblDynatrace[Clé],0)),""))</f>
        <v/>
      </c>
      <c r="S98" s="60" t="str">
        <f>IF(OR($C98="",NOT(OR($G98="À migrer",$G98="À décommissionner")),$I98="",NOT(ISNUMBER($P98))),"",IF($AO98&lt;&gt;"",$AO98,IFERROR(SUMIFS(TblClusters[CPU initial (vCPU)],TblClusters[Cluster],$I98)*$P98/(SUMIFS(TblApplications[CPU Dynatrace (vCPU)],TblApplications[Cluster IKS source],$I98,TblApplications[Action],"À migrer")+SUMIFS(TblApplications[CPU Dynatrace (vCPU)],TblApplications[Cluster IKS source],$I98,TblApplications[Action],"À décommissionner")),0)))</f>
        <v/>
      </c>
      <c r="T98" s="60" t="str">
        <f>IF(OR($C98="",NOT(OR($G98="À migrer",$G98="À décommissionner")),$I98="",NOT(ISNUMBER($Q98))),"",IF($AP98&lt;&gt;"",$AP98,IFERROR(SUMIFS(TblClusters[RAM initiale (Go)],TblClusters[Cluster],$I98)*$Q98/(SUMIFS(TblApplications[RAM Dynatrace (Go)],TblApplications[Cluster IKS source],$I98,TblApplications[Action],"À migrer")+SUMIFS(TblApplications[RAM Dynatrace (Go)],TblApplications[Cluster IKS source],$I98,TblApplications[Action],"À décommissionner")),0)))</f>
        <v/>
      </c>
      <c r="U98" s="61"/>
      <c r="V98" s="61"/>
      <c r="W98" s="61"/>
      <c r="X98" s="59"/>
      <c r="Y98" s="26" t="str">
        <f t="shared" si="9"/>
        <v/>
      </c>
      <c r="Z98" s="26" t="str">
        <f t="shared" si="10"/>
        <v/>
      </c>
      <c r="AA98" s="33" t="str">
        <f t="shared" si="11"/>
        <v/>
      </c>
      <c r="AB98" s="33" t="str">
        <f t="shared" si="12"/>
        <v/>
      </c>
      <c r="AC98" s="26" t="str">
        <f t="shared" si="13"/>
        <v/>
      </c>
      <c r="AD98" s="26" t="str">
        <f>IF($C98="","",COUNTIF(TblApplications[ID],$C98))</f>
        <v/>
      </c>
      <c r="AE98" s="33" t="str">
        <f>IF($C98="","",IFERROR(1/(1/_xlfn.MINIFS(TblApplications[Mois prov (calc)],TblApplications[ID],$C98)),""))</f>
        <v/>
      </c>
      <c r="AF98" s="33" t="str">
        <f>IF($C98="","",IFERROR(1/(1/_xlfn.MAXIFS(TblApplications[Mois lib (calc)],TblApplications[ID],$C98)),""))</f>
        <v/>
      </c>
      <c r="AG98" s="26" t="str">
        <f>IF($C98="","",IF(OR(OR($A98="",$B98="",$D98="",$E98="",$F98="",$G98=""),AND($G98="À migrer",OR($H98="",$I98="",$O98="",$U98="",$V98="",$W98="")),AND($G98="Migré",OR($O98="")),AND($G98="À décommissionner",OR($I98="",$W98=""))),"Données manquantes (selon l’action)",IF(AND($G98&lt;&gt;"Migré",$G98&lt;&gt;"À migrer",$G98&lt;&gt;"À décommissionner",$G98&lt;&gt;"Décommissionné"),"Action invalide",IF(COUNTIF(TblDomaines[Domaine],$A98)=0,"Domaine inconnu (référentiel)",IF(COUNTIFS(TblTribes[Tribe],$B98,TblTribes[Domaine de la tribe],$A98)=0,"Tribe inconnue ou hors domaine",IF(AND($G98="À migrer",$H98&lt;&gt;"Oui",$H98&lt;&gt;"Non"),"Valeur Oui/Non invalide (Déjà incluse ROKS)",IF(AND($E98&lt;&gt;"PRD",$E98&lt;&gt;"NPRD"),"Environnement invalide",IF(COUNTIFS(TblApplications[ID],$C98,TblApplications[Environnement],$E98,TblApplications[Couloir],$F98)&gt;1,"Déploiement en doublon (ID + env + couloir)",IF(AND(OR(OR($G98="À migrer",$G98="Migré"),OR($G98="À migrer",$G98="À décommissionner")),N($P98)&lt;=0),"Conso Dynatrace absente (onglet Dynatrace)",IF(OR(AND($P98&lt;&gt;"",NOT(ISNUMBER($P98))),AND($Q98&lt;&gt;"",NOT(ISNUMBER($Q98)))),"Ressource non numérique",IF(MIN(N($P98),N($Q98))&lt;0,"Ressource négative",IF(OR(AND($AH98&lt;&gt;"",OR(NOT(ISNUMBER($AH98)),$AH98&lt;0,$AH98&gt;1)),AND($AI98&lt;&gt;"",OR(NOT(ISNUMBER($AI98)),$AI98&lt;0,$AI98&gt;1))),"Marge spécifique invalide (0–100 %)",IF(OR(AND($U98&lt;&gt;"",NOT(ISNUMBER($U98))),AND($V98&lt;&gt;"",NOT(ISNUMBER($V98))),AND($W98&lt;&gt;"",NOT(ISNUMBER($W98)))),"Mois invalide",IF(AND(OR($G98="À migrer",$G98="À décommissionner"),COUNTIFS(TblClusters[Cluster],$I98,TblClusters[Plateforme],"IKS")=0),"Cluster IKS inconnu",IF(AND(OR($G98="À migrer",$G98="Migré"),COUNTIFS(TblClusters[Cluster],$O98,TblClusters[Plateforme],"ROKS")=0),"Cluster ROKS inconnu",IF(AND(OR($G98="À migrer",$G98="À décommissionner"),COUNTIFS(TblClusters[Cluster],$I98,TblClusters[Environnement],$E98)=0),"Environnement ≠ cluster IKS",IF(AND(OR($G98="À migrer",$G98="Migré"),COUNTIFS(TblClusters[Cluster],$O98,TblClusters[Environnement],$E98)=0),"Environnement ≠ cluster ROKS",IF(AND($G98="À migrer",OR($U98&gt;$V98,$V98&gt;$W98)),"Dates incohérentes (prov ≤ bascule ≤ libération)",IF(AND(OR($G98="À migrer",$G98="À décommissionner"),OR(N($AO98)&gt;SUMIFS(TblClusters[CPU initial (vCPU)],TblClusters[Cluster],$I98),N($AP98)&gt;SUMIFS(TblClusters[RAM initiale (Go)],TblClusters[Cluster],$I98))),"Forçage &gt; capacité du cluster source",IF(OR(AND($AA98&lt;&gt;"",$AA98&lt;p_debut),AND($AB98&lt;&gt;"",$AB98&gt;p_fin)),"Hors horizon (info)",IF(AND($G98="À migrer",$E98="PRD",COUNTIFS(TblApplications[ID],$C98,TblApplications[Environnement],"NPRD",TblApplications[Action],"À migrer")&gt;0,$AA98&lt;_xlfn.MINIFS(TblApplications[Mois prov (calc)],TblApplications[ID],$C98,TblApplications[Environnement],"NPRD")),"PRD avant NPRD (info)","OK")))))))))))))))))))))</f>
        <v/>
      </c>
      <c r="AH98" s="62"/>
      <c r="AI98" s="62"/>
      <c r="AJ98" s="27" t="str">
        <f>IF(OR($C98="",NOT(OR($G98="À migrer",$G98="À décommissionner")),NOT(ISNUMBER($S98)),NOT(ISNUMBER($T98)),$AB98=""),"",($S98+p_poidsram*$T98)*SUMIFS(TblCalculs[Coût par unité],TblCalculs[Cluster],$I98,TblCalculs[Mois],"&lt;"&amp;$AB98))</f>
        <v/>
      </c>
      <c r="AK98" s="27" t="str">
        <f>IF($C98="","",IF(AND($G98="À migrer",$H98="Non",$Y98&lt;&gt;"",$AA98&lt;&gt;""),($Y98+p_poidsram*$Z98)*SUMIFS(TblCalculs[Coût par unité],TblCalculs[Cluster],$O98,TblCalculs[Mois],"&gt;="&amp;$AA98),IF(AND($G98="Migré",$Y98&lt;&gt;""),($Y98+p_poidsram*$Z98)*SUMIFS(TblCalculs[Coût par unité],TblCalculs[Cluster],$O98),"")))</f>
        <v/>
      </c>
      <c r="AL98" s="27" t="str">
        <f t="shared" si="14"/>
        <v/>
      </c>
      <c r="AM98" s="26" t="str">
        <f t="shared" si="15"/>
        <v/>
      </c>
      <c r="AN98" s="26" t="str">
        <f>IF(OR($C98="",$AM98&lt;&gt;1,COUNTIFS($E98,ex_envc,$A98,ex_domc,$B98,ex_tric)=0),"",COUNTIFS($AM$6:$AM98,1,$E$6:$E98,ex_envc,$A$6:$A98,ex_domc,$B$6:$B98,ex_tric))</f>
        <v/>
      </c>
      <c r="AO98" s="63"/>
      <c r="AP98" s="63"/>
      <c r="AQ98" s="63"/>
      <c r="AR98" s="63"/>
    </row>
    <row r="99" spans="1:44" x14ac:dyDescent="0.2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26" t="str">
        <f t="shared" si="8"/>
        <v/>
      </c>
      <c r="O99" s="59"/>
      <c r="P99" s="60" t="str">
        <f>IF($C99="","",IF($AQ99&lt;&gt;"",$AQ99,SUMIFS(TblDynatrace[CPU P95 (vCPU)],TblDynatrace[ID],$C99,TblDynatrace[Environnement],$E99,TblDynatrace[Couloir],$F99)))</f>
        <v/>
      </c>
      <c r="Q99" s="60" t="str">
        <f>IF($C99="","",IF($AR99&lt;&gt;"",$AR99,SUMIFS(TblDynatrace[RAM P95 (Go)],TblDynatrace[ID],$C99,TblDynatrace[Environnement],$E99,TblDynatrace[Couloir],$F99)))</f>
        <v/>
      </c>
      <c r="R99" s="26" t="str">
        <f>IF($C99="","",IFERROR(INDEX(TblDynatrace[Métrique / période],MATCH($C99&amp;"|"&amp;$E99&amp;"|"&amp;$F99,TblDynatrace[Clé],0)),""))</f>
        <v/>
      </c>
      <c r="S99" s="60" t="str">
        <f>IF(OR($C99="",NOT(OR($G99="À migrer",$G99="À décommissionner")),$I99="",NOT(ISNUMBER($P99))),"",IF($AO99&lt;&gt;"",$AO99,IFERROR(SUMIFS(TblClusters[CPU initial (vCPU)],TblClusters[Cluster],$I99)*$P99/(SUMIFS(TblApplications[CPU Dynatrace (vCPU)],TblApplications[Cluster IKS source],$I99,TblApplications[Action],"À migrer")+SUMIFS(TblApplications[CPU Dynatrace (vCPU)],TblApplications[Cluster IKS source],$I99,TblApplications[Action],"À décommissionner")),0)))</f>
        <v/>
      </c>
      <c r="T99" s="60" t="str">
        <f>IF(OR($C99="",NOT(OR($G99="À migrer",$G99="À décommissionner")),$I99="",NOT(ISNUMBER($Q99))),"",IF($AP99&lt;&gt;"",$AP99,IFERROR(SUMIFS(TblClusters[RAM initiale (Go)],TblClusters[Cluster],$I99)*$Q99/(SUMIFS(TblApplications[RAM Dynatrace (Go)],TblApplications[Cluster IKS source],$I99,TblApplications[Action],"À migrer")+SUMIFS(TblApplications[RAM Dynatrace (Go)],TblApplications[Cluster IKS source],$I99,TblApplications[Action],"À décommissionner")),0)))</f>
        <v/>
      </c>
      <c r="U99" s="61"/>
      <c r="V99" s="61"/>
      <c r="W99" s="61"/>
      <c r="X99" s="59"/>
      <c r="Y99" s="26" t="str">
        <f t="shared" si="9"/>
        <v/>
      </c>
      <c r="Z99" s="26" t="str">
        <f t="shared" si="10"/>
        <v/>
      </c>
      <c r="AA99" s="33" t="str">
        <f t="shared" si="11"/>
        <v/>
      </c>
      <c r="AB99" s="33" t="str">
        <f t="shared" si="12"/>
        <v/>
      </c>
      <c r="AC99" s="26" t="str">
        <f t="shared" si="13"/>
        <v/>
      </c>
      <c r="AD99" s="26" t="str">
        <f>IF($C99="","",COUNTIF(TblApplications[ID],$C99))</f>
        <v/>
      </c>
      <c r="AE99" s="33" t="str">
        <f>IF($C99="","",IFERROR(1/(1/_xlfn.MINIFS(TblApplications[Mois prov (calc)],TblApplications[ID],$C99)),""))</f>
        <v/>
      </c>
      <c r="AF99" s="33" t="str">
        <f>IF($C99="","",IFERROR(1/(1/_xlfn.MAXIFS(TblApplications[Mois lib (calc)],TblApplications[ID],$C99)),""))</f>
        <v/>
      </c>
      <c r="AG99" s="26" t="str">
        <f>IF($C99="","",IF(OR(OR($A99="",$B99="",$D99="",$E99="",$F99="",$G99=""),AND($G99="À migrer",OR($H99="",$I99="",$O99="",$U99="",$V99="",$W99="")),AND($G99="Migré",OR($O99="")),AND($G99="À décommissionner",OR($I99="",$W99=""))),"Données manquantes (selon l’action)",IF(AND($G99&lt;&gt;"Migré",$G99&lt;&gt;"À migrer",$G99&lt;&gt;"À décommissionner",$G99&lt;&gt;"Décommissionné"),"Action invalide",IF(COUNTIF(TblDomaines[Domaine],$A99)=0,"Domaine inconnu (référentiel)",IF(COUNTIFS(TblTribes[Tribe],$B99,TblTribes[Domaine de la tribe],$A99)=0,"Tribe inconnue ou hors domaine",IF(AND($G99="À migrer",$H99&lt;&gt;"Oui",$H99&lt;&gt;"Non"),"Valeur Oui/Non invalide (Déjà incluse ROKS)",IF(AND($E99&lt;&gt;"PRD",$E99&lt;&gt;"NPRD"),"Environnement invalide",IF(COUNTIFS(TblApplications[ID],$C99,TblApplications[Environnement],$E99,TblApplications[Couloir],$F99)&gt;1,"Déploiement en doublon (ID + env + couloir)",IF(AND(OR(OR($G99="À migrer",$G99="Migré"),OR($G99="À migrer",$G99="À décommissionner")),N($P99)&lt;=0),"Conso Dynatrace absente (onglet Dynatrace)",IF(OR(AND($P99&lt;&gt;"",NOT(ISNUMBER($P99))),AND($Q99&lt;&gt;"",NOT(ISNUMBER($Q99)))),"Ressource non numérique",IF(MIN(N($P99),N($Q99))&lt;0,"Ressource négative",IF(OR(AND($AH99&lt;&gt;"",OR(NOT(ISNUMBER($AH99)),$AH99&lt;0,$AH99&gt;1)),AND($AI99&lt;&gt;"",OR(NOT(ISNUMBER($AI99)),$AI99&lt;0,$AI99&gt;1))),"Marge spécifique invalide (0–100 %)",IF(OR(AND($U99&lt;&gt;"",NOT(ISNUMBER($U99))),AND($V99&lt;&gt;"",NOT(ISNUMBER($V99))),AND($W99&lt;&gt;"",NOT(ISNUMBER($W99)))),"Mois invalide",IF(AND(OR($G99="À migrer",$G99="À décommissionner"),COUNTIFS(TblClusters[Cluster],$I99,TblClusters[Plateforme],"IKS")=0),"Cluster IKS inconnu",IF(AND(OR($G99="À migrer",$G99="Migré"),COUNTIFS(TblClusters[Cluster],$O99,TblClusters[Plateforme],"ROKS")=0),"Cluster ROKS inconnu",IF(AND(OR($G99="À migrer",$G99="À décommissionner"),COUNTIFS(TblClusters[Cluster],$I99,TblClusters[Environnement],$E99)=0),"Environnement ≠ cluster IKS",IF(AND(OR($G99="À migrer",$G99="Migré"),COUNTIFS(TblClusters[Cluster],$O99,TblClusters[Environnement],$E99)=0),"Environnement ≠ cluster ROKS",IF(AND($G99="À migrer",OR($U99&gt;$V99,$V99&gt;$W99)),"Dates incohérentes (prov ≤ bascule ≤ libération)",IF(AND(OR($G99="À migrer",$G99="À décommissionner"),OR(N($AO99)&gt;SUMIFS(TblClusters[CPU initial (vCPU)],TblClusters[Cluster],$I99),N($AP99)&gt;SUMIFS(TblClusters[RAM initiale (Go)],TblClusters[Cluster],$I99))),"Forçage &gt; capacité du cluster source",IF(OR(AND($AA99&lt;&gt;"",$AA99&lt;p_debut),AND($AB99&lt;&gt;"",$AB99&gt;p_fin)),"Hors horizon (info)",IF(AND($G99="À migrer",$E99="PRD",COUNTIFS(TblApplications[ID],$C99,TblApplications[Environnement],"NPRD",TblApplications[Action],"À migrer")&gt;0,$AA99&lt;_xlfn.MINIFS(TblApplications[Mois prov (calc)],TblApplications[ID],$C99,TblApplications[Environnement],"NPRD")),"PRD avant NPRD (info)","OK")))))))))))))))))))))</f>
        <v/>
      </c>
      <c r="AH99" s="62"/>
      <c r="AI99" s="62"/>
      <c r="AJ99" s="27" t="str">
        <f>IF(OR($C99="",NOT(OR($G99="À migrer",$G99="À décommissionner")),NOT(ISNUMBER($S99)),NOT(ISNUMBER($T99)),$AB99=""),"",($S99+p_poidsram*$T99)*SUMIFS(TblCalculs[Coût par unité],TblCalculs[Cluster],$I99,TblCalculs[Mois],"&lt;"&amp;$AB99))</f>
        <v/>
      </c>
      <c r="AK99" s="27" t="str">
        <f>IF($C99="","",IF(AND($G99="À migrer",$H99="Non",$Y99&lt;&gt;"",$AA99&lt;&gt;""),($Y99+p_poidsram*$Z99)*SUMIFS(TblCalculs[Coût par unité],TblCalculs[Cluster],$O99,TblCalculs[Mois],"&gt;="&amp;$AA99),IF(AND($G99="Migré",$Y99&lt;&gt;""),($Y99+p_poidsram*$Z99)*SUMIFS(TblCalculs[Coût par unité],TblCalculs[Cluster],$O99),"")))</f>
        <v/>
      </c>
      <c r="AL99" s="27" t="str">
        <f t="shared" si="14"/>
        <v/>
      </c>
      <c r="AM99" s="26" t="str">
        <f t="shared" si="15"/>
        <v/>
      </c>
      <c r="AN99" s="26" t="str">
        <f>IF(OR($C99="",$AM99&lt;&gt;1,COUNTIFS($E99,ex_envc,$A99,ex_domc,$B99,ex_tric)=0),"",COUNTIFS($AM$6:$AM99,1,$E$6:$E99,ex_envc,$A$6:$A99,ex_domc,$B$6:$B99,ex_tric))</f>
        <v/>
      </c>
      <c r="AO99" s="63"/>
      <c r="AP99" s="63"/>
      <c r="AQ99" s="63"/>
      <c r="AR99" s="63"/>
    </row>
    <row r="100" spans="1:44" x14ac:dyDescent="0.2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26" t="str">
        <f t="shared" si="8"/>
        <v/>
      </c>
      <c r="O100" s="59"/>
      <c r="P100" s="60" t="str">
        <f>IF($C100="","",IF($AQ100&lt;&gt;"",$AQ100,SUMIFS(TblDynatrace[CPU P95 (vCPU)],TblDynatrace[ID],$C100,TblDynatrace[Environnement],$E100,TblDynatrace[Couloir],$F100)))</f>
        <v/>
      </c>
      <c r="Q100" s="60" t="str">
        <f>IF($C100="","",IF($AR100&lt;&gt;"",$AR100,SUMIFS(TblDynatrace[RAM P95 (Go)],TblDynatrace[ID],$C100,TblDynatrace[Environnement],$E100,TblDynatrace[Couloir],$F100)))</f>
        <v/>
      </c>
      <c r="R100" s="26" t="str">
        <f>IF($C100="","",IFERROR(INDEX(TblDynatrace[Métrique / période],MATCH($C100&amp;"|"&amp;$E100&amp;"|"&amp;$F100,TblDynatrace[Clé],0)),""))</f>
        <v/>
      </c>
      <c r="S100" s="60" t="str">
        <f>IF(OR($C100="",NOT(OR($G100="À migrer",$G100="À décommissionner")),$I100="",NOT(ISNUMBER($P100))),"",IF($AO100&lt;&gt;"",$AO100,IFERROR(SUMIFS(TblClusters[CPU initial (vCPU)],TblClusters[Cluster],$I100)*$P100/(SUMIFS(TblApplications[CPU Dynatrace (vCPU)],TblApplications[Cluster IKS source],$I100,TblApplications[Action],"À migrer")+SUMIFS(TblApplications[CPU Dynatrace (vCPU)],TblApplications[Cluster IKS source],$I100,TblApplications[Action],"À décommissionner")),0)))</f>
        <v/>
      </c>
      <c r="T100" s="60" t="str">
        <f>IF(OR($C100="",NOT(OR($G100="À migrer",$G100="À décommissionner")),$I100="",NOT(ISNUMBER($Q100))),"",IF($AP100&lt;&gt;"",$AP100,IFERROR(SUMIFS(TblClusters[RAM initiale (Go)],TblClusters[Cluster],$I100)*$Q100/(SUMIFS(TblApplications[RAM Dynatrace (Go)],TblApplications[Cluster IKS source],$I100,TblApplications[Action],"À migrer")+SUMIFS(TblApplications[RAM Dynatrace (Go)],TblApplications[Cluster IKS source],$I100,TblApplications[Action],"À décommissionner")),0)))</f>
        <v/>
      </c>
      <c r="U100" s="61"/>
      <c r="V100" s="61"/>
      <c r="W100" s="61"/>
      <c r="X100" s="59"/>
      <c r="Y100" s="26" t="str">
        <f t="shared" si="9"/>
        <v/>
      </c>
      <c r="Z100" s="26" t="str">
        <f t="shared" si="10"/>
        <v/>
      </c>
      <c r="AA100" s="33" t="str">
        <f t="shared" si="11"/>
        <v/>
      </c>
      <c r="AB100" s="33" t="str">
        <f t="shared" si="12"/>
        <v/>
      </c>
      <c r="AC100" s="26" t="str">
        <f t="shared" si="13"/>
        <v/>
      </c>
      <c r="AD100" s="26" t="str">
        <f>IF($C100="","",COUNTIF(TblApplications[ID],$C100))</f>
        <v/>
      </c>
      <c r="AE100" s="33" t="str">
        <f>IF($C100="","",IFERROR(1/(1/_xlfn.MINIFS(TblApplications[Mois prov (calc)],TblApplications[ID],$C100)),""))</f>
        <v/>
      </c>
      <c r="AF100" s="33" t="str">
        <f>IF($C100="","",IFERROR(1/(1/_xlfn.MAXIFS(TblApplications[Mois lib (calc)],TblApplications[ID],$C100)),""))</f>
        <v/>
      </c>
      <c r="AG100" s="26" t="str">
        <f>IF($C100="","",IF(OR(OR($A100="",$B100="",$D100="",$E100="",$F100="",$G100=""),AND($G100="À migrer",OR($H100="",$I100="",$O100="",$U100="",$V100="",$W100="")),AND($G100="Migré",OR($O100="")),AND($G100="À décommissionner",OR($I100="",$W100=""))),"Données manquantes (selon l’action)",IF(AND($G100&lt;&gt;"Migré",$G100&lt;&gt;"À migrer",$G100&lt;&gt;"À décommissionner",$G100&lt;&gt;"Décommissionné"),"Action invalide",IF(COUNTIF(TblDomaines[Domaine],$A100)=0,"Domaine inconnu (référentiel)",IF(COUNTIFS(TblTribes[Tribe],$B100,TblTribes[Domaine de la tribe],$A100)=0,"Tribe inconnue ou hors domaine",IF(AND($G100="À migrer",$H100&lt;&gt;"Oui",$H100&lt;&gt;"Non"),"Valeur Oui/Non invalide (Déjà incluse ROKS)",IF(AND($E100&lt;&gt;"PRD",$E100&lt;&gt;"NPRD"),"Environnement invalide",IF(COUNTIFS(TblApplications[ID],$C100,TblApplications[Environnement],$E100,TblApplications[Couloir],$F100)&gt;1,"Déploiement en doublon (ID + env + couloir)",IF(AND(OR(OR($G100="À migrer",$G100="Migré"),OR($G100="À migrer",$G100="À décommissionner")),N($P100)&lt;=0),"Conso Dynatrace absente (onglet Dynatrace)",IF(OR(AND($P100&lt;&gt;"",NOT(ISNUMBER($P100))),AND($Q100&lt;&gt;"",NOT(ISNUMBER($Q100)))),"Ressource non numérique",IF(MIN(N($P100),N($Q100))&lt;0,"Ressource négative",IF(OR(AND($AH100&lt;&gt;"",OR(NOT(ISNUMBER($AH100)),$AH100&lt;0,$AH100&gt;1)),AND($AI100&lt;&gt;"",OR(NOT(ISNUMBER($AI100)),$AI100&lt;0,$AI100&gt;1))),"Marge spécifique invalide (0–100 %)",IF(OR(AND($U100&lt;&gt;"",NOT(ISNUMBER($U100))),AND($V100&lt;&gt;"",NOT(ISNUMBER($V100))),AND($W100&lt;&gt;"",NOT(ISNUMBER($W100)))),"Mois invalide",IF(AND(OR($G100="À migrer",$G100="À décommissionner"),COUNTIFS(TblClusters[Cluster],$I100,TblClusters[Plateforme],"IKS")=0),"Cluster IKS inconnu",IF(AND(OR($G100="À migrer",$G100="Migré"),COUNTIFS(TblClusters[Cluster],$O100,TblClusters[Plateforme],"ROKS")=0),"Cluster ROKS inconnu",IF(AND(OR($G100="À migrer",$G100="À décommissionner"),COUNTIFS(TblClusters[Cluster],$I100,TblClusters[Environnement],$E100)=0),"Environnement ≠ cluster IKS",IF(AND(OR($G100="À migrer",$G100="Migré"),COUNTIFS(TblClusters[Cluster],$O100,TblClusters[Environnement],$E100)=0),"Environnement ≠ cluster ROKS",IF(AND($G100="À migrer",OR($U100&gt;$V100,$V100&gt;$W100)),"Dates incohérentes (prov ≤ bascule ≤ libération)",IF(AND(OR($G100="À migrer",$G100="À décommissionner"),OR(N($AO100)&gt;SUMIFS(TblClusters[CPU initial (vCPU)],TblClusters[Cluster],$I100),N($AP100)&gt;SUMIFS(TblClusters[RAM initiale (Go)],TblClusters[Cluster],$I100))),"Forçage &gt; capacité du cluster source",IF(OR(AND($AA100&lt;&gt;"",$AA100&lt;p_debut),AND($AB100&lt;&gt;"",$AB100&gt;p_fin)),"Hors horizon (info)",IF(AND($G100="À migrer",$E100="PRD",COUNTIFS(TblApplications[ID],$C100,TblApplications[Environnement],"NPRD",TblApplications[Action],"À migrer")&gt;0,$AA100&lt;_xlfn.MINIFS(TblApplications[Mois prov (calc)],TblApplications[ID],$C100,TblApplications[Environnement],"NPRD")),"PRD avant NPRD (info)","OK")))))))))))))))))))))</f>
        <v/>
      </c>
      <c r="AH100" s="62"/>
      <c r="AI100" s="62"/>
      <c r="AJ100" s="27" t="str">
        <f>IF(OR($C100="",NOT(OR($G100="À migrer",$G100="À décommissionner")),NOT(ISNUMBER($S100)),NOT(ISNUMBER($T100)),$AB100=""),"",($S100+p_poidsram*$T100)*SUMIFS(TblCalculs[Coût par unité],TblCalculs[Cluster],$I100,TblCalculs[Mois],"&lt;"&amp;$AB100))</f>
        <v/>
      </c>
      <c r="AK100" s="27" t="str">
        <f>IF($C100="","",IF(AND($G100="À migrer",$H100="Non",$Y100&lt;&gt;"",$AA100&lt;&gt;""),($Y100+p_poidsram*$Z100)*SUMIFS(TblCalculs[Coût par unité],TblCalculs[Cluster],$O100,TblCalculs[Mois],"&gt;="&amp;$AA100),IF(AND($G100="Migré",$Y100&lt;&gt;""),($Y100+p_poidsram*$Z100)*SUMIFS(TblCalculs[Coût par unité],TblCalculs[Cluster],$O100),"")))</f>
        <v/>
      </c>
      <c r="AL100" s="27" t="str">
        <f t="shared" si="14"/>
        <v/>
      </c>
      <c r="AM100" s="26" t="str">
        <f t="shared" si="15"/>
        <v/>
      </c>
      <c r="AN100" s="26" t="str">
        <f>IF(OR($C100="",$AM100&lt;&gt;1,COUNTIFS($E100,ex_envc,$A100,ex_domc,$B100,ex_tric)=0),"",COUNTIFS($AM$6:$AM100,1,$E$6:$E100,ex_envc,$A$6:$A100,ex_domc,$B$6:$B100,ex_tric))</f>
        <v/>
      </c>
      <c r="AO100" s="63"/>
      <c r="AP100" s="63"/>
      <c r="AQ100" s="63"/>
      <c r="AR100" s="63"/>
    </row>
    <row r="101" spans="1:44" x14ac:dyDescent="0.2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26" t="str">
        <f t="shared" si="8"/>
        <v/>
      </c>
      <c r="O101" s="59"/>
      <c r="P101" s="60" t="str">
        <f>IF($C101="","",IF($AQ101&lt;&gt;"",$AQ101,SUMIFS(TblDynatrace[CPU P95 (vCPU)],TblDynatrace[ID],$C101,TblDynatrace[Environnement],$E101,TblDynatrace[Couloir],$F101)))</f>
        <v/>
      </c>
      <c r="Q101" s="60" t="str">
        <f>IF($C101="","",IF($AR101&lt;&gt;"",$AR101,SUMIFS(TblDynatrace[RAM P95 (Go)],TblDynatrace[ID],$C101,TblDynatrace[Environnement],$E101,TblDynatrace[Couloir],$F101)))</f>
        <v/>
      </c>
      <c r="R101" s="26" t="str">
        <f>IF($C101="","",IFERROR(INDEX(TblDynatrace[Métrique / période],MATCH($C101&amp;"|"&amp;$E101&amp;"|"&amp;$F101,TblDynatrace[Clé],0)),""))</f>
        <v/>
      </c>
      <c r="S101" s="60" t="str">
        <f>IF(OR($C101="",NOT(OR($G101="À migrer",$G101="À décommissionner")),$I101="",NOT(ISNUMBER($P101))),"",IF($AO101&lt;&gt;"",$AO101,IFERROR(SUMIFS(TblClusters[CPU initial (vCPU)],TblClusters[Cluster],$I101)*$P101/(SUMIFS(TblApplications[CPU Dynatrace (vCPU)],TblApplications[Cluster IKS source],$I101,TblApplications[Action],"À migrer")+SUMIFS(TblApplications[CPU Dynatrace (vCPU)],TblApplications[Cluster IKS source],$I101,TblApplications[Action],"À décommissionner")),0)))</f>
        <v/>
      </c>
      <c r="T101" s="60" t="str">
        <f>IF(OR($C101="",NOT(OR($G101="À migrer",$G101="À décommissionner")),$I101="",NOT(ISNUMBER($Q101))),"",IF($AP101&lt;&gt;"",$AP101,IFERROR(SUMIFS(TblClusters[RAM initiale (Go)],TblClusters[Cluster],$I101)*$Q101/(SUMIFS(TblApplications[RAM Dynatrace (Go)],TblApplications[Cluster IKS source],$I101,TblApplications[Action],"À migrer")+SUMIFS(TblApplications[RAM Dynatrace (Go)],TblApplications[Cluster IKS source],$I101,TblApplications[Action],"À décommissionner")),0)))</f>
        <v/>
      </c>
      <c r="U101" s="61"/>
      <c r="V101" s="61"/>
      <c r="W101" s="61"/>
      <c r="X101" s="59"/>
      <c r="Y101" s="26" t="str">
        <f t="shared" si="9"/>
        <v/>
      </c>
      <c r="Z101" s="26" t="str">
        <f t="shared" si="10"/>
        <v/>
      </c>
      <c r="AA101" s="33" t="str">
        <f t="shared" si="11"/>
        <v/>
      </c>
      <c r="AB101" s="33" t="str">
        <f t="shared" si="12"/>
        <v/>
      </c>
      <c r="AC101" s="26" t="str">
        <f t="shared" si="13"/>
        <v/>
      </c>
      <c r="AD101" s="26" t="str">
        <f>IF($C101="","",COUNTIF(TblApplications[ID],$C101))</f>
        <v/>
      </c>
      <c r="AE101" s="33" t="str">
        <f>IF($C101="","",IFERROR(1/(1/_xlfn.MINIFS(TblApplications[Mois prov (calc)],TblApplications[ID],$C101)),""))</f>
        <v/>
      </c>
      <c r="AF101" s="33" t="str">
        <f>IF($C101="","",IFERROR(1/(1/_xlfn.MAXIFS(TblApplications[Mois lib (calc)],TblApplications[ID],$C101)),""))</f>
        <v/>
      </c>
      <c r="AG101" s="26" t="str">
        <f>IF($C101="","",IF(OR(OR($A101="",$B101="",$D101="",$E101="",$F101="",$G101=""),AND($G101="À migrer",OR($H101="",$I101="",$O101="",$U101="",$V101="",$W101="")),AND($G101="Migré",OR($O101="")),AND($G101="À décommissionner",OR($I101="",$W101=""))),"Données manquantes (selon l’action)",IF(AND($G101&lt;&gt;"Migré",$G101&lt;&gt;"À migrer",$G101&lt;&gt;"À décommissionner",$G101&lt;&gt;"Décommissionné"),"Action invalide",IF(COUNTIF(TblDomaines[Domaine],$A101)=0,"Domaine inconnu (référentiel)",IF(COUNTIFS(TblTribes[Tribe],$B101,TblTribes[Domaine de la tribe],$A101)=0,"Tribe inconnue ou hors domaine",IF(AND($G101="À migrer",$H101&lt;&gt;"Oui",$H101&lt;&gt;"Non"),"Valeur Oui/Non invalide (Déjà incluse ROKS)",IF(AND($E101&lt;&gt;"PRD",$E101&lt;&gt;"NPRD"),"Environnement invalide",IF(COUNTIFS(TblApplications[ID],$C101,TblApplications[Environnement],$E101,TblApplications[Couloir],$F101)&gt;1,"Déploiement en doublon (ID + env + couloir)",IF(AND(OR(OR($G101="À migrer",$G101="Migré"),OR($G101="À migrer",$G101="À décommissionner")),N($P101)&lt;=0),"Conso Dynatrace absente (onglet Dynatrace)",IF(OR(AND($P101&lt;&gt;"",NOT(ISNUMBER($P101))),AND($Q101&lt;&gt;"",NOT(ISNUMBER($Q101)))),"Ressource non numérique",IF(MIN(N($P101),N($Q101))&lt;0,"Ressource négative",IF(OR(AND($AH101&lt;&gt;"",OR(NOT(ISNUMBER($AH101)),$AH101&lt;0,$AH101&gt;1)),AND($AI101&lt;&gt;"",OR(NOT(ISNUMBER($AI101)),$AI101&lt;0,$AI101&gt;1))),"Marge spécifique invalide (0–100 %)",IF(OR(AND($U101&lt;&gt;"",NOT(ISNUMBER($U101))),AND($V101&lt;&gt;"",NOT(ISNUMBER($V101))),AND($W101&lt;&gt;"",NOT(ISNUMBER($W101)))),"Mois invalide",IF(AND(OR($G101="À migrer",$G101="À décommissionner"),COUNTIFS(TblClusters[Cluster],$I101,TblClusters[Plateforme],"IKS")=0),"Cluster IKS inconnu",IF(AND(OR($G101="À migrer",$G101="Migré"),COUNTIFS(TblClusters[Cluster],$O101,TblClusters[Plateforme],"ROKS")=0),"Cluster ROKS inconnu",IF(AND(OR($G101="À migrer",$G101="À décommissionner"),COUNTIFS(TblClusters[Cluster],$I101,TblClusters[Environnement],$E101)=0),"Environnement ≠ cluster IKS",IF(AND(OR($G101="À migrer",$G101="Migré"),COUNTIFS(TblClusters[Cluster],$O101,TblClusters[Environnement],$E101)=0),"Environnement ≠ cluster ROKS",IF(AND($G101="À migrer",OR($U101&gt;$V101,$V101&gt;$W101)),"Dates incohérentes (prov ≤ bascule ≤ libération)",IF(AND(OR($G101="À migrer",$G101="À décommissionner"),OR(N($AO101)&gt;SUMIFS(TblClusters[CPU initial (vCPU)],TblClusters[Cluster],$I101),N($AP101)&gt;SUMIFS(TblClusters[RAM initiale (Go)],TblClusters[Cluster],$I101))),"Forçage &gt; capacité du cluster source",IF(OR(AND($AA101&lt;&gt;"",$AA101&lt;p_debut),AND($AB101&lt;&gt;"",$AB101&gt;p_fin)),"Hors horizon (info)",IF(AND($G101="À migrer",$E101="PRD",COUNTIFS(TblApplications[ID],$C101,TblApplications[Environnement],"NPRD",TblApplications[Action],"À migrer")&gt;0,$AA101&lt;_xlfn.MINIFS(TblApplications[Mois prov (calc)],TblApplications[ID],$C101,TblApplications[Environnement],"NPRD")),"PRD avant NPRD (info)","OK")))))))))))))))))))))</f>
        <v/>
      </c>
      <c r="AH101" s="62"/>
      <c r="AI101" s="62"/>
      <c r="AJ101" s="27" t="str">
        <f>IF(OR($C101="",NOT(OR($G101="À migrer",$G101="À décommissionner")),NOT(ISNUMBER($S101)),NOT(ISNUMBER($T101)),$AB101=""),"",($S101+p_poidsram*$T101)*SUMIFS(TblCalculs[Coût par unité],TblCalculs[Cluster],$I101,TblCalculs[Mois],"&lt;"&amp;$AB101))</f>
        <v/>
      </c>
      <c r="AK101" s="27" t="str">
        <f>IF($C101="","",IF(AND($G101="À migrer",$H101="Non",$Y101&lt;&gt;"",$AA101&lt;&gt;""),($Y101+p_poidsram*$Z101)*SUMIFS(TblCalculs[Coût par unité],TblCalculs[Cluster],$O101,TblCalculs[Mois],"&gt;="&amp;$AA101),IF(AND($G101="Migré",$Y101&lt;&gt;""),($Y101+p_poidsram*$Z101)*SUMIFS(TblCalculs[Coût par unité],TblCalculs[Cluster],$O101),"")))</f>
        <v/>
      </c>
      <c r="AL101" s="27" t="str">
        <f t="shared" si="14"/>
        <v/>
      </c>
      <c r="AM101" s="26" t="str">
        <f t="shared" si="15"/>
        <v/>
      </c>
      <c r="AN101" s="26" t="str">
        <f>IF(OR($C101="",$AM101&lt;&gt;1,COUNTIFS($E101,ex_envc,$A101,ex_domc,$B101,ex_tric)=0),"",COUNTIFS($AM$6:$AM101,1,$E$6:$E101,ex_envc,$A$6:$A101,ex_domc,$B$6:$B101,ex_tric))</f>
        <v/>
      </c>
      <c r="AO101" s="63"/>
      <c r="AP101" s="63"/>
      <c r="AQ101" s="63"/>
      <c r="AR101" s="63"/>
    </row>
    <row r="102" spans="1:44" x14ac:dyDescent="0.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26" t="str">
        <f t="shared" si="8"/>
        <v/>
      </c>
      <c r="O102" s="59"/>
      <c r="P102" s="60" t="str">
        <f>IF($C102="","",IF($AQ102&lt;&gt;"",$AQ102,SUMIFS(TblDynatrace[CPU P95 (vCPU)],TblDynatrace[ID],$C102,TblDynatrace[Environnement],$E102,TblDynatrace[Couloir],$F102)))</f>
        <v/>
      </c>
      <c r="Q102" s="60" t="str">
        <f>IF($C102="","",IF($AR102&lt;&gt;"",$AR102,SUMIFS(TblDynatrace[RAM P95 (Go)],TblDynatrace[ID],$C102,TblDynatrace[Environnement],$E102,TblDynatrace[Couloir],$F102)))</f>
        <v/>
      </c>
      <c r="R102" s="26" t="str">
        <f>IF($C102="","",IFERROR(INDEX(TblDynatrace[Métrique / période],MATCH($C102&amp;"|"&amp;$E102&amp;"|"&amp;$F102,TblDynatrace[Clé],0)),""))</f>
        <v/>
      </c>
      <c r="S102" s="60" t="str">
        <f>IF(OR($C102="",NOT(OR($G102="À migrer",$G102="À décommissionner")),$I102="",NOT(ISNUMBER($P102))),"",IF($AO102&lt;&gt;"",$AO102,IFERROR(SUMIFS(TblClusters[CPU initial (vCPU)],TblClusters[Cluster],$I102)*$P102/(SUMIFS(TblApplications[CPU Dynatrace (vCPU)],TblApplications[Cluster IKS source],$I102,TblApplications[Action],"À migrer")+SUMIFS(TblApplications[CPU Dynatrace (vCPU)],TblApplications[Cluster IKS source],$I102,TblApplications[Action],"À décommissionner")),0)))</f>
        <v/>
      </c>
      <c r="T102" s="60" t="str">
        <f>IF(OR($C102="",NOT(OR($G102="À migrer",$G102="À décommissionner")),$I102="",NOT(ISNUMBER($Q102))),"",IF($AP102&lt;&gt;"",$AP102,IFERROR(SUMIFS(TblClusters[RAM initiale (Go)],TblClusters[Cluster],$I102)*$Q102/(SUMIFS(TblApplications[RAM Dynatrace (Go)],TblApplications[Cluster IKS source],$I102,TblApplications[Action],"À migrer")+SUMIFS(TblApplications[RAM Dynatrace (Go)],TblApplications[Cluster IKS source],$I102,TblApplications[Action],"À décommissionner")),0)))</f>
        <v/>
      </c>
      <c r="U102" s="61"/>
      <c r="V102" s="61"/>
      <c r="W102" s="61"/>
      <c r="X102" s="59"/>
      <c r="Y102" s="26" t="str">
        <f t="shared" si="9"/>
        <v/>
      </c>
      <c r="Z102" s="26" t="str">
        <f t="shared" si="10"/>
        <v/>
      </c>
      <c r="AA102" s="33" t="str">
        <f t="shared" si="11"/>
        <v/>
      </c>
      <c r="AB102" s="33" t="str">
        <f t="shared" si="12"/>
        <v/>
      </c>
      <c r="AC102" s="26" t="str">
        <f t="shared" si="13"/>
        <v/>
      </c>
      <c r="AD102" s="26" t="str">
        <f>IF($C102="","",COUNTIF(TblApplications[ID],$C102))</f>
        <v/>
      </c>
      <c r="AE102" s="33" t="str">
        <f>IF($C102="","",IFERROR(1/(1/_xlfn.MINIFS(TblApplications[Mois prov (calc)],TblApplications[ID],$C102)),""))</f>
        <v/>
      </c>
      <c r="AF102" s="33" t="str">
        <f>IF($C102="","",IFERROR(1/(1/_xlfn.MAXIFS(TblApplications[Mois lib (calc)],TblApplications[ID],$C102)),""))</f>
        <v/>
      </c>
      <c r="AG102" s="26" t="str">
        <f>IF($C102="","",IF(OR(OR($A102="",$B102="",$D102="",$E102="",$F102="",$G102=""),AND($G102="À migrer",OR($H102="",$I102="",$O102="",$U102="",$V102="",$W102="")),AND($G102="Migré",OR($O102="")),AND($G102="À décommissionner",OR($I102="",$W102=""))),"Données manquantes (selon l’action)",IF(AND($G102&lt;&gt;"Migré",$G102&lt;&gt;"À migrer",$G102&lt;&gt;"À décommissionner",$G102&lt;&gt;"Décommissionné"),"Action invalide",IF(COUNTIF(TblDomaines[Domaine],$A102)=0,"Domaine inconnu (référentiel)",IF(COUNTIFS(TblTribes[Tribe],$B102,TblTribes[Domaine de la tribe],$A102)=0,"Tribe inconnue ou hors domaine",IF(AND($G102="À migrer",$H102&lt;&gt;"Oui",$H102&lt;&gt;"Non"),"Valeur Oui/Non invalide (Déjà incluse ROKS)",IF(AND($E102&lt;&gt;"PRD",$E102&lt;&gt;"NPRD"),"Environnement invalide",IF(COUNTIFS(TblApplications[ID],$C102,TblApplications[Environnement],$E102,TblApplications[Couloir],$F102)&gt;1,"Déploiement en doublon (ID + env + couloir)",IF(AND(OR(OR($G102="À migrer",$G102="Migré"),OR($G102="À migrer",$G102="À décommissionner")),N($P102)&lt;=0),"Conso Dynatrace absente (onglet Dynatrace)",IF(OR(AND($P102&lt;&gt;"",NOT(ISNUMBER($P102))),AND($Q102&lt;&gt;"",NOT(ISNUMBER($Q102)))),"Ressource non numérique",IF(MIN(N($P102),N($Q102))&lt;0,"Ressource négative",IF(OR(AND($AH102&lt;&gt;"",OR(NOT(ISNUMBER($AH102)),$AH102&lt;0,$AH102&gt;1)),AND($AI102&lt;&gt;"",OR(NOT(ISNUMBER($AI102)),$AI102&lt;0,$AI102&gt;1))),"Marge spécifique invalide (0–100 %)",IF(OR(AND($U102&lt;&gt;"",NOT(ISNUMBER($U102))),AND($V102&lt;&gt;"",NOT(ISNUMBER($V102))),AND($W102&lt;&gt;"",NOT(ISNUMBER($W102)))),"Mois invalide",IF(AND(OR($G102="À migrer",$G102="À décommissionner"),COUNTIFS(TblClusters[Cluster],$I102,TblClusters[Plateforme],"IKS")=0),"Cluster IKS inconnu",IF(AND(OR($G102="À migrer",$G102="Migré"),COUNTIFS(TblClusters[Cluster],$O102,TblClusters[Plateforme],"ROKS")=0),"Cluster ROKS inconnu",IF(AND(OR($G102="À migrer",$G102="À décommissionner"),COUNTIFS(TblClusters[Cluster],$I102,TblClusters[Environnement],$E102)=0),"Environnement ≠ cluster IKS",IF(AND(OR($G102="À migrer",$G102="Migré"),COUNTIFS(TblClusters[Cluster],$O102,TblClusters[Environnement],$E102)=0),"Environnement ≠ cluster ROKS",IF(AND($G102="À migrer",OR($U102&gt;$V102,$V102&gt;$W102)),"Dates incohérentes (prov ≤ bascule ≤ libération)",IF(AND(OR($G102="À migrer",$G102="À décommissionner"),OR(N($AO102)&gt;SUMIFS(TblClusters[CPU initial (vCPU)],TblClusters[Cluster],$I102),N($AP102)&gt;SUMIFS(TblClusters[RAM initiale (Go)],TblClusters[Cluster],$I102))),"Forçage &gt; capacité du cluster source",IF(OR(AND($AA102&lt;&gt;"",$AA102&lt;p_debut),AND($AB102&lt;&gt;"",$AB102&gt;p_fin)),"Hors horizon (info)",IF(AND($G102="À migrer",$E102="PRD",COUNTIFS(TblApplications[ID],$C102,TblApplications[Environnement],"NPRD",TblApplications[Action],"À migrer")&gt;0,$AA102&lt;_xlfn.MINIFS(TblApplications[Mois prov (calc)],TblApplications[ID],$C102,TblApplications[Environnement],"NPRD")),"PRD avant NPRD (info)","OK")))))))))))))))))))))</f>
        <v/>
      </c>
      <c r="AH102" s="62"/>
      <c r="AI102" s="62"/>
      <c r="AJ102" s="27" t="str">
        <f>IF(OR($C102="",NOT(OR($G102="À migrer",$G102="À décommissionner")),NOT(ISNUMBER($S102)),NOT(ISNUMBER($T102)),$AB102=""),"",($S102+p_poidsram*$T102)*SUMIFS(TblCalculs[Coût par unité],TblCalculs[Cluster],$I102,TblCalculs[Mois],"&lt;"&amp;$AB102))</f>
        <v/>
      </c>
      <c r="AK102" s="27" t="str">
        <f>IF($C102="","",IF(AND($G102="À migrer",$H102="Non",$Y102&lt;&gt;"",$AA102&lt;&gt;""),($Y102+p_poidsram*$Z102)*SUMIFS(TblCalculs[Coût par unité],TblCalculs[Cluster],$O102,TblCalculs[Mois],"&gt;="&amp;$AA102),IF(AND($G102="Migré",$Y102&lt;&gt;""),($Y102+p_poidsram*$Z102)*SUMIFS(TblCalculs[Coût par unité],TblCalculs[Cluster],$O102),"")))</f>
        <v/>
      </c>
      <c r="AL102" s="27" t="str">
        <f t="shared" si="14"/>
        <v/>
      </c>
      <c r="AM102" s="26" t="str">
        <f t="shared" si="15"/>
        <v/>
      </c>
      <c r="AN102" s="26" t="str">
        <f>IF(OR($C102="",$AM102&lt;&gt;1,COUNTIFS($E102,ex_envc,$A102,ex_domc,$B102,ex_tric)=0),"",COUNTIFS($AM$6:$AM102,1,$E$6:$E102,ex_envc,$A$6:$A102,ex_domc,$B$6:$B102,ex_tric))</f>
        <v/>
      </c>
      <c r="AO102" s="63"/>
      <c r="AP102" s="63"/>
      <c r="AQ102" s="63"/>
      <c r="AR102" s="63"/>
    </row>
    <row r="103" spans="1:44" x14ac:dyDescent="0.2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26" t="str">
        <f t="shared" si="8"/>
        <v/>
      </c>
      <c r="O103" s="59"/>
      <c r="P103" s="60" t="str">
        <f>IF($C103="","",IF($AQ103&lt;&gt;"",$AQ103,SUMIFS(TblDynatrace[CPU P95 (vCPU)],TblDynatrace[ID],$C103,TblDynatrace[Environnement],$E103,TblDynatrace[Couloir],$F103)))</f>
        <v/>
      </c>
      <c r="Q103" s="60" t="str">
        <f>IF($C103="","",IF($AR103&lt;&gt;"",$AR103,SUMIFS(TblDynatrace[RAM P95 (Go)],TblDynatrace[ID],$C103,TblDynatrace[Environnement],$E103,TblDynatrace[Couloir],$F103)))</f>
        <v/>
      </c>
      <c r="R103" s="26" t="str">
        <f>IF($C103="","",IFERROR(INDEX(TblDynatrace[Métrique / période],MATCH($C103&amp;"|"&amp;$E103&amp;"|"&amp;$F103,TblDynatrace[Clé],0)),""))</f>
        <v/>
      </c>
      <c r="S103" s="60" t="str">
        <f>IF(OR($C103="",NOT(OR($G103="À migrer",$G103="À décommissionner")),$I103="",NOT(ISNUMBER($P103))),"",IF($AO103&lt;&gt;"",$AO103,IFERROR(SUMIFS(TblClusters[CPU initial (vCPU)],TblClusters[Cluster],$I103)*$P103/(SUMIFS(TblApplications[CPU Dynatrace (vCPU)],TblApplications[Cluster IKS source],$I103,TblApplications[Action],"À migrer")+SUMIFS(TblApplications[CPU Dynatrace (vCPU)],TblApplications[Cluster IKS source],$I103,TblApplications[Action],"À décommissionner")),0)))</f>
        <v/>
      </c>
      <c r="T103" s="60" t="str">
        <f>IF(OR($C103="",NOT(OR($G103="À migrer",$G103="À décommissionner")),$I103="",NOT(ISNUMBER($Q103))),"",IF($AP103&lt;&gt;"",$AP103,IFERROR(SUMIFS(TblClusters[RAM initiale (Go)],TblClusters[Cluster],$I103)*$Q103/(SUMIFS(TblApplications[RAM Dynatrace (Go)],TblApplications[Cluster IKS source],$I103,TblApplications[Action],"À migrer")+SUMIFS(TblApplications[RAM Dynatrace (Go)],TblApplications[Cluster IKS source],$I103,TblApplications[Action],"À décommissionner")),0)))</f>
        <v/>
      </c>
      <c r="U103" s="61"/>
      <c r="V103" s="61"/>
      <c r="W103" s="61"/>
      <c r="X103" s="59"/>
      <c r="Y103" s="26" t="str">
        <f t="shared" si="9"/>
        <v/>
      </c>
      <c r="Z103" s="26" t="str">
        <f t="shared" si="10"/>
        <v/>
      </c>
      <c r="AA103" s="33" t="str">
        <f t="shared" si="11"/>
        <v/>
      </c>
      <c r="AB103" s="33" t="str">
        <f t="shared" si="12"/>
        <v/>
      </c>
      <c r="AC103" s="26" t="str">
        <f t="shared" si="13"/>
        <v/>
      </c>
      <c r="AD103" s="26" t="str">
        <f>IF($C103="","",COUNTIF(TblApplications[ID],$C103))</f>
        <v/>
      </c>
      <c r="AE103" s="33" t="str">
        <f>IF($C103="","",IFERROR(1/(1/_xlfn.MINIFS(TblApplications[Mois prov (calc)],TblApplications[ID],$C103)),""))</f>
        <v/>
      </c>
      <c r="AF103" s="33" t="str">
        <f>IF($C103="","",IFERROR(1/(1/_xlfn.MAXIFS(TblApplications[Mois lib (calc)],TblApplications[ID],$C103)),""))</f>
        <v/>
      </c>
      <c r="AG103" s="26" t="str">
        <f>IF($C103="","",IF(OR(OR($A103="",$B103="",$D103="",$E103="",$F103="",$G103=""),AND($G103="À migrer",OR($H103="",$I103="",$O103="",$U103="",$V103="",$W103="")),AND($G103="Migré",OR($O103="")),AND($G103="À décommissionner",OR($I103="",$W103=""))),"Données manquantes (selon l’action)",IF(AND($G103&lt;&gt;"Migré",$G103&lt;&gt;"À migrer",$G103&lt;&gt;"À décommissionner",$G103&lt;&gt;"Décommissionné"),"Action invalide",IF(COUNTIF(TblDomaines[Domaine],$A103)=0,"Domaine inconnu (référentiel)",IF(COUNTIFS(TblTribes[Tribe],$B103,TblTribes[Domaine de la tribe],$A103)=0,"Tribe inconnue ou hors domaine",IF(AND($G103="À migrer",$H103&lt;&gt;"Oui",$H103&lt;&gt;"Non"),"Valeur Oui/Non invalide (Déjà incluse ROKS)",IF(AND($E103&lt;&gt;"PRD",$E103&lt;&gt;"NPRD"),"Environnement invalide",IF(COUNTIFS(TblApplications[ID],$C103,TblApplications[Environnement],$E103,TblApplications[Couloir],$F103)&gt;1,"Déploiement en doublon (ID + env + couloir)",IF(AND(OR(OR($G103="À migrer",$G103="Migré"),OR($G103="À migrer",$G103="À décommissionner")),N($P103)&lt;=0),"Conso Dynatrace absente (onglet Dynatrace)",IF(OR(AND($P103&lt;&gt;"",NOT(ISNUMBER($P103))),AND($Q103&lt;&gt;"",NOT(ISNUMBER($Q103)))),"Ressource non numérique",IF(MIN(N($P103),N($Q103))&lt;0,"Ressource négative",IF(OR(AND($AH103&lt;&gt;"",OR(NOT(ISNUMBER($AH103)),$AH103&lt;0,$AH103&gt;1)),AND($AI103&lt;&gt;"",OR(NOT(ISNUMBER($AI103)),$AI103&lt;0,$AI103&gt;1))),"Marge spécifique invalide (0–100 %)",IF(OR(AND($U103&lt;&gt;"",NOT(ISNUMBER($U103))),AND($V103&lt;&gt;"",NOT(ISNUMBER($V103))),AND($W103&lt;&gt;"",NOT(ISNUMBER($W103)))),"Mois invalide",IF(AND(OR($G103="À migrer",$G103="À décommissionner"),COUNTIFS(TblClusters[Cluster],$I103,TblClusters[Plateforme],"IKS")=0),"Cluster IKS inconnu",IF(AND(OR($G103="À migrer",$G103="Migré"),COUNTIFS(TblClusters[Cluster],$O103,TblClusters[Plateforme],"ROKS")=0),"Cluster ROKS inconnu",IF(AND(OR($G103="À migrer",$G103="À décommissionner"),COUNTIFS(TblClusters[Cluster],$I103,TblClusters[Environnement],$E103)=0),"Environnement ≠ cluster IKS",IF(AND(OR($G103="À migrer",$G103="Migré"),COUNTIFS(TblClusters[Cluster],$O103,TblClusters[Environnement],$E103)=0),"Environnement ≠ cluster ROKS",IF(AND($G103="À migrer",OR($U103&gt;$V103,$V103&gt;$W103)),"Dates incohérentes (prov ≤ bascule ≤ libération)",IF(AND(OR($G103="À migrer",$G103="À décommissionner"),OR(N($AO103)&gt;SUMIFS(TblClusters[CPU initial (vCPU)],TblClusters[Cluster],$I103),N($AP103)&gt;SUMIFS(TblClusters[RAM initiale (Go)],TblClusters[Cluster],$I103))),"Forçage &gt; capacité du cluster source",IF(OR(AND($AA103&lt;&gt;"",$AA103&lt;p_debut),AND($AB103&lt;&gt;"",$AB103&gt;p_fin)),"Hors horizon (info)",IF(AND($G103="À migrer",$E103="PRD",COUNTIFS(TblApplications[ID],$C103,TblApplications[Environnement],"NPRD",TblApplications[Action],"À migrer")&gt;0,$AA103&lt;_xlfn.MINIFS(TblApplications[Mois prov (calc)],TblApplications[ID],$C103,TblApplications[Environnement],"NPRD")),"PRD avant NPRD (info)","OK")))))))))))))))))))))</f>
        <v/>
      </c>
      <c r="AH103" s="62"/>
      <c r="AI103" s="62"/>
      <c r="AJ103" s="27" t="str">
        <f>IF(OR($C103="",NOT(OR($G103="À migrer",$G103="À décommissionner")),NOT(ISNUMBER($S103)),NOT(ISNUMBER($T103)),$AB103=""),"",($S103+p_poidsram*$T103)*SUMIFS(TblCalculs[Coût par unité],TblCalculs[Cluster],$I103,TblCalculs[Mois],"&lt;"&amp;$AB103))</f>
        <v/>
      </c>
      <c r="AK103" s="27" t="str">
        <f>IF($C103="","",IF(AND($G103="À migrer",$H103="Non",$Y103&lt;&gt;"",$AA103&lt;&gt;""),($Y103+p_poidsram*$Z103)*SUMIFS(TblCalculs[Coût par unité],TblCalculs[Cluster],$O103,TblCalculs[Mois],"&gt;="&amp;$AA103),IF(AND($G103="Migré",$Y103&lt;&gt;""),($Y103+p_poidsram*$Z103)*SUMIFS(TblCalculs[Coût par unité],TblCalculs[Cluster],$O103),"")))</f>
        <v/>
      </c>
      <c r="AL103" s="27" t="str">
        <f t="shared" si="14"/>
        <v/>
      </c>
      <c r="AM103" s="26" t="str">
        <f t="shared" si="15"/>
        <v/>
      </c>
      <c r="AN103" s="26" t="str">
        <f>IF(OR($C103="",$AM103&lt;&gt;1,COUNTIFS($E103,ex_envc,$A103,ex_domc,$B103,ex_tric)=0),"",COUNTIFS($AM$6:$AM103,1,$E$6:$E103,ex_envc,$A$6:$A103,ex_domc,$B$6:$B103,ex_tric))</f>
        <v/>
      </c>
      <c r="AO103" s="63"/>
      <c r="AP103" s="63"/>
      <c r="AQ103" s="63"/>
      <c r="AR103" s="63"/>
    </row>
    <row r="104" spans="1:44" x14ac:dyDescent="0.2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26" t="str">
        <f t="shared" si="8"/>
        <v/>
      </c>
      <c r="O104" s="59"/>
      <c r="P104" s="60" t="str">
        <f>IF($C104="","",IF($AQ104&lt;&gt;"",$AQ104,SUMIFS(TblDynatrace[CPU P95 (vCPU)],TblDynatrace[ID],$C104,TblDynatrace[Environnement],$E104,TblDynatrace[Couloir],$F104)))</f>
        <v/>
      </c>
      <c r="Q104" s="60" t="str">
        <f>IF($C104="","",IF($AR104&lt;&gt;"",$AR104,SUMIFS(TblDynatrace[RAM P95 (Go)],TblDynatrace[ID],$C104,TblDynatrace[Environnement],$E104,TblDynatrace[Couloir],$F104)))</f>
        <v/>
      </c>
      <c r="R104" s="26" t="str">
        <f>IF($C104="","",IFERROR(INDEX(TblDynatrace[Métrique / période],MATCH($C104&amp;"|"&amp;$E104&amp;"|"&amp;$F104,TblDynatrace[Clé],0)),""))</f>
        <v/>
      </c>
      <c r="S104" s="60" t="str">
        <f>IF(OR($C104="",NOT(OR($G104="À migrer",$G104="À décommissionner")),$I104="",NOT(ISNUMBER($P104))),"",IF($AO104&lt;&gt;"",$AO104,IFERROR(SUMIFS(TblClusters[CPU initial (vCPU)],TblClusters[Cluster],$I104)*$P104/(SUMIFS(TblApplications[CPU Dynatrace (vCPU)],TblApplications[Cluster IKS source],$I104,TblApplications[Action],"À migrer")+SUMIFS(TblApplications[CPU Dynatrace (vCPU)],TblApplications[Cluster IKS source],$I104,TblApplications[Action],"À décommissionner")),0)))</f>
        <v/>
      </c>
      <c r="T104" s="60" t="str">
        <f>IF(OR($C104="",NOT(OR($G104="À migrer",$G104="À décommissionner")),$I104="",NOT(ISNUMBER($Q104))),"",IF($AP104&lt;&gt;"",$AP104,IFERROR(SUMIFS(TblClusters[RAM initiale (Go)],TblClusters[Cluster],$I104)*$Q104/(SUMIFS(TblApplications[RAM Dynatrace (Go)],TblApplications[Cluster IKS source],$I104,TblApplications[Action],"À migrer")+SUMIFS(TblApplications[RAM Dynatrace (Go)],TblApplications[Cluster IKS source],$I104,TblApplications[Action],"À décommissionner")),0)))</f>
        <v/>
      </c>
      <c r="U104" s="61"/>
      <c r="V104" s="61"/>
      <c r="W104" s="61"/>
      <c r="X104" s="59"/>
      <c r="Y104" s="26" t="str">
        <f t="shared" si="9"/>
        <v/>
      </c>
      <c r="Z104" s="26" t="str">
        <f t="shared" si="10"/>
        <v/>
      </c>
      <c r="AA104" s="33" t="str">
        <f t="shared" si="11"/>
        <v/>
      </c>
      <c r="AB104" s="33" t="str">
        <f t="shared" si="12"/>
        <v/>
      </c>
      <c r="AC104" s="26" t="str">
        <f t="shared" si="13"/>
        <v/>
      </c>
      <c r="AD104" s="26" t="str">
        <f>IF($C104="","",COUNTIF(TblApplications[ID],$C104))</f>
        <v/>
      </c>
      <c r="AE104" s="33" t="str">
        <f>IF($C104="","",IFERROR(1/(1/_xlfn.MINIFS(TblApplications[Mois prov (calc)],TblApplications[ID],$C104)),""))</f>
        <v/>
      </c>
      <c r="AF104" s="33" t="str">
        <f>IF($C104="","",IFERROR(1/(1/_xlfn.MAXIFS(TblApplications[Mois lib (calc)],TblApplications[ID],$C104)),""))</f>
        <v/>
      </c>
      <c r="AG104" s="26" t="str">
        <f>IF($C104="","",IF(OR(OR($A104="",$B104="",$D104="",$E104="",$F104="",$G104=""),AND($G104="À migrer",OR($H104="",$I104="",$O104="",$U104="",$V104="",$W104="")),AND($G104="Migré",OR($O104="")),AND($G104="À décommissionner",OR($I104="",$W104=""))),"Données manquantes (selon l’action)",IF(AND($G104&lt;&gt;"Migré",$G104&lt;&gt;"À migrer",$G104&lt;&gt;"À décommissionner",$G104&lt;&gt;"Décommissionné"),"Action invalide",IF(COUNTIF(TblDomaines[Domaine],$A104)=0,"Domaine inconnu (référentiel)",IF(COUNTIFS(TblTribes[Tribe],$B104,TblTribes[Domaine de la tribe],$A104)=0,"Tribe inconnue ou hors domaine",IF(AND($G104="À migrer",$H104&lt;&gt;"Oui",$H104&lt;&gt;"Non"),"Valeur Oui/Non invalide (Déjà incluse ROKS)",IF(AND($E104&lt;&gt;"PRD",$E104&lt;&gt;"NPRD"),"Environnement invalide",IF(COUNTIFS(TblApplications[ID],$C104,TblApplications[Environnement],$E104,TblApplications[Couloir],$F104)&gt;1,"Déploiement en doublon (ID + env + couloir)",IF(AND(OR(OR($G104="À migrer",$G104="Migré"),OR($G104="À migrer",$G104="À décommissionner")),N($P104)&lt;=0),"Conso Dynatrace absente (onglet Dynatrace)",IF(OR(AND($P104&lt;&gt;"",NOT(ISNUMBER($P104))),AND($Q104&lt;&gt;"",NOT(ISNUMBER($Q104)))),"Ressource non numérique",IF(MIN(N($P104),N($Q104))&lt;0,"Ressource négative",IF(OR(AND($AH104&lt;&gt;"",OR(NOT(ISNUMBER($AH104)),$AH104&lt;0,$AH104&gt;1)),AND($AI104&lt;&gt;"",OR(NOT(ISNUMBER($AI104)),$AI104&lt;0,$AI104&gt;1))),"Marge spécifique invalide (0–100 %)",IF(OR(AND($U104&lt;&gt;"",NOT(ISNUMBER($U104))),AND($V104&lt;&gt;"",NOT(ISNUMBER($V104))),AND($W104&lt;&gt;"",NOT(ISNUMBER($W104)))),"Mois invalide",IF(AND(OR($G104="À migrer",$G104="À décommissionner"),COUNTIFS(TblClusters[Cluster],$I104,TblClusters[Plateforme],"IKS")=0),"Cluster IKS inconnu",IF(AND(OR($G104="À migrer",$G104="Migré"),COUNTIFS(TblClusters[Cluster],$O104,TblClusters[Plateforme],"ROKS")=0),"Cluster ROKS inconnu",IF(AND(OR($G104="À migrer",$G104="À décommissionner"),COUNTIFS(TblClusters[Cluster],$I104,TblClusters[Environnement],$E104)=0),"Environnement ≠ cluster IKS",IF(AND(OR($G104="À migrer",$G104="Migré"),COUNTIFS(TblClusters[Cluster],$O104,TblClusters[Environnement],$E104)=0),"Environnement ≠ cluster ROKS",IF(AND($G104="À migrer",OR($U104&gt;$V104,$V104&gt;$W104)),"Dates incohérentes (prov ≤ bascule ≤ libération)",IF(AND(OR($G104="À migrer",$G104="À décommissionner"),OR(N($AO104)&gt;SUMIFS(TblClusters[CPU initial (vCPU)],TblClusters[Cluster],$I104),N($AP104)&gt;SUMIFS(TblClusters[RAM initiale (Go)],TblClusters[Cluster],$I104))),"Forçage &gt; capacité du cluster source",IF(OR(AND($AA104&lt;&gt;"",$AA104&lt;p_debut),AND($AB104&lt;&gt;"",$AB104&gt;p_fin)),"Hors horizon (info)",IF(AND($G104="À migrer",$E104="PRD",COUNTIFS(TblApplications[ID],$C104,TblApplications[Environnement],"NPRD",TblApplications[Action],"À migrer")&gt;0,$AA104&lt;_xlfn.MINIFS(TblApplications[Mois prov (calc)],TblApplications[ID],$C104,TblApplications[Environnement],"NPRD")),"PRD avant NPRD (info)","OK")))))))))))))))))))))</f>
        <v/>
      </c>
      <c r="AH104" s="62"/>
      <c r="AI104" s="62"/>
      <c r="AJ104" s="27" t="str">
        <f>IF(OR($C104="",NOT(OR($G104="À migrer",$G104="À décommissionner")),NOT(ISNUMBER($S104)),NOT(ISNUMBER($T104)),$AB104=""),"",($S104+p_poidsram*$T104)*SUMIFS(TblCalculs[Coût par unité],TblCalculs[Cluster],$I104,TblCalculs[Mois],"&lt;"&amp;$AB104))</f>
        <v/>
      </c>
      <c r="AK104" s="27" t="str">
        <f>IF($C104="","",IF(AND($G104="À migrer",$H104="Non",$Y104&lt;&gt;"",$AA104&lt;&gt;""),($Y104+p_poidsram*$Z104)*SUMIFS(TblCalculs[Coût par unité],TblCalculs[Cluster],$O104,TblCalculs[Mois],"&gt;="&amp;$AA104),IF(AND($G104="Migré",$Y104&lt;&gt;""),($Y104+p_poidsram*$Z104)*SUMIFS(TblCalculs[Coût par unité],TblCalculs[Cluster],$O104),"")))</f>
        <v/>
      </c>
      <c r="AL104" s="27" t="str">
        <f t="shared" si="14"/>
        <v/>
      </c>
      <c r="AM104" s="26" t="str">
        <f t="shared" si="15"/>
        <v/>
      </c>
      <c r="AN104" s="26" t="str">
        <f>IF(OR($C104="",$AM104&lt;&gt;1,COUNTIFS($E104,ex_envc,$A104,ex_domc,$B104,ex_tric)=0),"",COUNTIFS($AM$6:$AM104,1,$E$6:$E104,ex_envc,$A$6:$A104,ex_domc,$B$6:$B104,ex_tric))</f>
        <v/>
      </c>
      <c r="AO104" s="63"/>
      <c r="AP104" s="63"/>
      <c r="AQ104" s="63"/>
      <c r="AR104" s="63"/>
    </row>
    <row r="105" spans="1:44" x14ac:dyDescent="0.2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26" t="str">
        <f t="shared" si="8"/>
        <v/>
      </c>
      <c r="O105" s="59"/>
      <c r="P105" s="60" t="str">
        <f>IF($C105="","",IF($AQ105&lt;&gt;"",$AQ105,SUMIFS(TblDynatrace[CPU P95 (vCPU)],TblDynatrace[ID],$C105,TblDynatrace[Environnement],$E105,TblDynatrace[Couloir],$F105)))</f>
        <v/>
      </c>
      <c r="Q105" s="60" t="str">
        <f>IF($C105="","",IF($AR105&lt;&gt;"",$AR105,SUMIFS(TblDynatrace[RAM P95 (Go)],TblDynatrace[ID],$C105,TblDynatrace[Environnement],$E105,TblDynatrace[Couloir],$F105)))</f>
        <v/>
      </c>
      <c r="R105" s="26" t="str">
        <f>IF($C105="","",IFERROR(INDEX(TblDynatrace[Métrique / période],MATCH($C105&amp;"|"&amp;$E105&amp;"|"&amp;$F105,TblDynatrace[Clé],0)),""))</f>
        <v/>
      </c>
      <c r="S105" s="60" t="str">
        <f>IF(OR($C105="",NOT(OR($G105="À migrer",$G105="À décommissionner")),$I105="",NOT(ISNUMBER($P105))),"",IF($AO105&lt;&gt;"",$AO105,IFERROR(SUMIFS(TblClusters[CPU initial (vCPU)],TblClusters[Cluster],$I105)*$P105/(SUMIFS(TblApplications[CPU Dynatrace (vCPU)],TblApplications[Cluster IKS source],$I105,TblApplications[Action],"À migrer")+SUMIFS(TblApplications[CPU Dynatrace (vCPU)],TblApplications[Cluster IKS source],$I105,TblApplications[Action],"À décommissionner")),0)))</f>
        <v/>
      </c>
      <c r="T105" s="60" t="str">
        <f>IF(OR($C105="",NOT(OR($G105="À migrer",$G105="À décommissionner")),$I105="",NOT(ISNUMBER($Q105))),"",IF($AP105&lt;&gt;"",$AP105,IFERROR(SUMIFS(TblClusters[RAM initiale (Go)],TblClusters[Cluster],$I105)*$Q105/(SUMIFS(TblApplications[RAM Dynatrace (Go)],TblApplications[Cluster IKS source],$I105,TblApplications[Action],"À migrer")+SUMIFS(TblApplications[RAM Dynatrace (Go)],TblApplications[Cluster IKS source],$I105,TblApplications[Action],"À décommissionner")),0)))</f>
        <v/>
      </c>
      <c r="U105" s="61"/>
      <c r="V105" s="61"/>
      <c r="W105" s="61"/>
      <c r="X105" s="59"/>
      <c r="Y105" s="26" t="str">
        <f t="shared" si="9"/>
        <v/>
      </c>
      <c r="Z105" s="26" t="str">
        <f t="shared" si="10"/>
        <v/>
      </c>
      <c r="AA105" s="33" t="str">
        <f t="shared" si="11"/>
        <v/>
      </c>
      <c r="AB105" s="33" t="str">
        <f t="shared" si="12"/>
        <v/>
      </c>
      <c r="AC105" s="26" t="str">
        <f t="shared" si="13"/>
        <v/>
      </c>
      <c r="AD105" s="26" t="str">
        <f>IF($C105="","",COUNTIF(TblApplications[ID],$C105))</f>
        <v/>
      </c>
      <c r="AE105" s="33" t="str">
        <f>IF($C105="","",IFERROR(1/(1/_xlfn.MINIFS(TblApplications[Mois prov (calc)],TblApplications[ID],$C105)),""))</f>
        <v/>
      </c>
      <c r="AF105" s="33" t="str">
        <f>IF($C105="","",IFERROR(1/(1/_xlfn.MAXIFS(TblApplications[Mois lib (calc)],TblApplications[ID],$C105)),""))</f>
        <v/>
      </c>
      <c r="AG105" s="26" t="str">
        <f>IF($C105="","",IF(OR(OR($A105="",$B105="",$D105="",$E105="",$F105="",$G105=""),AND($G105="À migrer",OR($H105="",$I105="",$O105="",$U105="",$V105="",$W105="")),AND($G105="Migré",OR($O105="")),AND($G105="À décommissionner",OR($I105="",$W105=""))),"Données manquantes (selon l’action)",IF(AND($G105&lt;&gt;"Migré",$G105&lt;&gt;"À migrer",$G105&lt;&gt;"À décommissionner",$G105&lt;&gt;"Décommissionné"),"Action invalide",IF(COUNTIF(TblDomaines[Domaine],$A105)=0,"Domaine inconnu (référentiel)",IF(COUNTIFS(TblTribes[Tribe],$B105,TblTribes[Domaine de la tribe],$A105)=0,"Tribe inconnue ou hors domaine",IF(AND($G105="À migrer",$H105&lt;&gt;"Oui",$H105&lt;&gt;"Non"),"Valeur Oui/Non invalide (Déjà incluse ROKS)",IF(AND($E105&lt;&gt;"PRD",$E105&lt;&gt;"NPRD"),"Environnement invalide",IF(COUNTIFS(TblApplications[ID],$C105,TblApplications[Environnement],$E105,TblApplications[Couloir],$F105)&gt;1,"Déploiement en doublon (ID + env + couloir)",IF(AND(OR(OR($G105="À migrer",$G105="Migré"),OR($G105="À migrer",$G105="À décommissionner")),N($P105)&lt;=0),"Conso Dynatrace absente (onglet Dynatrace)",IF(OR(AND($P105&lt;&gt;"",NOT(ISNUMBER($P105))),AND($Q105&lt;&gt;"",NOT(ISNUMBER($Q105)))),"Ressource non numérique",IF(MIN(N($P105),N($Q105))&lt;0,"Ressource négative",IF(OR(AND($AH105&lt;&gt;"",OR(NOT(ISNUMBER($AH105)),$AH105&lt;0,$AH105&gt;1)),AND($AI105&lt;&gt;"",OR(NOT(ISNUMBER($AI105)),$AI105&lt;0,$AI105&gt;1))),"Marge spécifique invalide (0–100 %)",IF(OR(AND($U105&lt;&gt;"",NOT(ISNUMBER($U105))),AND($V105&lt;&gt;"",NOT(ISNUMBER($V105))),AND($W105&lt;&gt;"",NOT(ISNUMBER($W105)))),"Mois invalide",IF(AND(OR($G105="À migrer",$G105="À décommissionner"),COUNTIFS(TblClusters[Cluster],$I105,TblClusters[Plateforme],"IKS")=0),"Cluster IKS inconnu",IF(AND(OR($G105="À migrer",$G105="Migré"),COUNTIFS(TblClusters[Cluster],$O105,TblClusters[Plateforme],"ROKS")=0),"Cluster ROKS inconnu",IF(AND(OR($G105="À migrer",$G105="À décommissionner"),COUNTIFS(TblClusters[Cluster],$I105,TblClusters[Environnement],$E105)=0),"Environnement ≠ cluster IKS",IF(AND(OR($G105="À migrer",$G105="Migré"),COUNTIFS(TblClusters[Cluster],$O105,TblClusters[Environnement],$E105)=0),"Environnement ≠ cluster ROKS",IF(AND($G105="À migrer",OR($U105&gt;$V105,$V105&gt;$W105)),"Dates incohérentes (prov ≤ bascule ≤ libération)",IF(AND(OR($G105="À migrer",$G105="À décommissionner"),OR(N($AO105)&gt;SUMIFS(TblClusters[CPU initial (vCPU)],TblClusters[Cluster],$I105),N($AP105)&gt;SUMIFS(TblClusters[RAM initiale (Go)],TblClusters[Cluster],$I105))),"Forçage &gt; capacité du cluster source",IF(OR(AND($AA105&lt;&gt;"",$AA105&lt;p_debut),AND($AB105&lt;&gt;"",$AB105&gt;p_fin)),"Hors horizon (info)",IF(AND($G105="À migrer",$E105="PRD",COUNTIFS(TblApplications[ID],$C105,TblApplications[Environnement],"NPRD",TblApplications[Action],"À migrer")&gt;0,$AA105&lt;_xlfn.MINIFS(TblApplications[Mois prov (calc)],TblApplications[ID],$C105,TblApplications[Environnement],"NPRD")),"PRD avant NPRD (info)","OK")))))))))))))))))))))</f>
        <v/>
      </c>
      <c r="AH105" s="62"/>
      <c r="AI105" s="62"/>
      <c r="AJ105" s="27" t="str">
        <f>IF(OR($C105="",NOT(OR($G105="À migrer",$G105="À décommissionner")),NOT(ISNUMBER($S105)),NOT(ISNUMBER($T105)),$AB105=""),"",($S105+p_poidsram*$T105)*SUMIFS(TblCalculs[Coût par unité],TblCalculs[Cluster],$I105,TblCalculs[Mois],"&lt;"&amp;$AB105))</f>
        <v/>
      </c>
      <c r="AK105" s="27" t="str">
        <f>IF($C105="","",IF(AND($G105="À migrer",$H105="Non",$Y105&lt;&gt;"",$AA105&lt;&gt;""),($Y105+p_poidsram*$Z105)*SUMIFS(TblCalculs[Coût par unité],TblCalculs[Cluster],$O105,TblCalculs[Mois],"&gt;="&amp;$AA105),IF(AND($G105="Migré",$Y105&lt;&gt;""),($Y105+p_poidsram*$Z105)*SUMIFS(TblCalculs[Coût par unité],TblCalculs[Cluster],$O105),"")))</f>
        <v/>
      </c>
      <c r="AL105" s="27" t="str">
        <f t="shared" si="14"/>
        <v/>
      </c>
      <c r="AM105" s="26" t="str">
        <f t="shared" si="15"/>
        <v/>
      </c>
      <c r="AN105" s="26" t="str">
        <f>IF(OR($C105="",$AM105&lt;&gt;1,COUNTIFS($E105,ex_envc,$A105,ex_domc,$B105,ex_tric)=0),"",COUNTIFS($AM$6:$AM105,1,$E$6:$E105,ex_envc,$A$6:$A105,ex_domc,$B$6:$B105,ex_tric))</f>
        <v/>
      </c>
      <c r="AO105" s="63"/>
      <c r="AP105" s="63"/>
      <c r="AQ105" s="63"/>
      <c r="AR105" s="63"/>
    </row>
    <row r="106" spans="1:44" x14ac:dyDescent="0.2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26" t="str">
        <f t="shared" si="8"/>
        <v/>
      </c>
      <c r="O106" s="59"/>
      <c r="P106" s="60" t="str">
        <f>IF($C106="","",IF($AQ106&lt;&gt;"",$AQ106,SUMIFS(TblDynatrace[CPU P95 (vCPU)],TblDynatrace[ID],$C106,TblDynatrace[Environnement],$E106,TblDynatrace[Couloir],$F106)))</f>
        <v/>
      </c>
      <c r="Q106" s="60" t="str">
        <f>IF($C106="","",IF($AR106&lt;&gt;"",$AR106,SUMIFS(TblDynatrace[RAM P95 (Go)],TblDynatrace[ID],$C106,TblDynatrace[Environnement],$E106,TblDynatrace[Couloir],$F106)))</f>
        <v/>
      </c>
      <c r="R106" s="26" t="str">
        <f>IF($C106="","",IFERROR(INDEX(TblDynatrace[Métrique / période],MATCH($C106&amp;"|"&amp;$E106&amp;"|"&amp;$F106,TblDynatrace[Clé],0)),""))</f>
        <v/>
      </c>
      <c r="S106" s="60" t="str">
        <f>IF(OR($C106="",NOT(OR($G106="À migrer",$G106="À décommissionner")),$I106="",NOT(ISNUMBER($P106))),"",IF($AO106&lt;&gt;"",$AO106,IFERROR(SUMIFS(TblClusters[CPU initial (vCPU)],TblClusters[Cluster],$I106)*$P106/(SUMIFS(TblApplications[CPU Dynatrace (vCPU)],TblApplications[Cluster IKS source],$I106,TblApplications[Action],"À migrer")+SUMIFS(TblApplications[CPU Dynatrace (vCPU)],TblApplications[Cluster IKS source],$I106,TblApplications[Action],"À décommissionner")),0)))</f>
        <v/>
      </c>
      <c r="T106" s="60" t="str">
        <f>IF(OR($C106="",NOT(OR($G106="À migrer",$G106="À décommissionner")),$I106="",NOT(ISNUMBER($Q106))),"",IF($AP106&lt;&gt;"",$AP106,IFERROR(SUMIFS(TblClusters[RAM initiale (Go)],TblClusters[Cluster],$I106)*$Q106/(SUMIFS(TblApplications[RAM Dynatrace (Go)],TblApplications[Cluster IKS source],$I106,TblApplications[Action],"À migrer")+SUMIFS(TblApplications[RAM Dynatrace (Go)],TblApplications[Cluster IKS source],$I106,TblApplications[Action],"À décommissionner")),0)))</f>
        <v/>
      </c>
      <c r="U106" s="61"/>
      <c r="V106" s="61"/>
      <c r="W106" s="61"/>
      <c r="X106" s="59"/>
      <c r="Y106" s="26" t="str">
        <f t="shared" si="9"/>
        <v/>
      </c>
      <c r="Z106" s="26" t="str">
        <f t="shared" si="10"/>
        <v/>
      </c>
      <c r="AA106" s="33" t="str">
        <f t="shared" si="11"/>
        <v/>
      </c>
      <c r="AB106" s="33" t="str">
        <f t="shared" si="12"/>
        <v/>
      </c>
      <c r="AC106" s="26" t="str">
        <f t="shared" si="13"/>
        <v/>
      </c>
      <c r="AD106" s="26" t="str">
        <f>IF($C106="","",COUNTIF(TblApplications[ID],$C106))</f>
        <v/>
      </c>
      <c r="AE106" s="33" t="str">
        <f>IF($C106="","",IFERROR(1/(1/_xlfn.MINIFS(TblApplications[Mois prov (calc)],TblApplications[ID],$C106)),""))</f>
        <v/>
      </c>
      <c r="AF106" s="33" t="str">
        <f>IF($C106="","",IFERROR(1/(1/_xlfn.MAXIFS(TblApplications[Mois lib (calc)],TblApplications[ID],$C106)),""))</f>
        <v/>
      </c>
      <c r="AG106" s="26" t="str">
        <f>IF($C106="","",IF(OR(OR($A106="",$B106="",$D106="",$E106="",$F106="",$G106=""),AND($G106="À migrer",OR($H106="",$I106="",$O106="",$U106="",$V106="",$W106="")),AND($G106="Migré",OR($O106="")),AND($G106="À décommissionner",OR($I106="",$W106=""))),"Données manquantes (selon l’action)",IF(AND($G106&lt;&gt;"Migré",$G106&lt;&gt;"À migrer",$G106&lt;&gt;"À décommissionner",$G106&lt;&gt;"Décommissionné"),"Action invalide",IF(COUNTIF(TblDomaines[Domaine],$A106)=0,"Domaine inconnu (référentiel)",IF(COUNTIFS(TblTribes[Tribe],$B106,TblTribes[Domaine de la tribe],$A106)=0,"Tribe inconnue ou hors domaine",IF(AND($G106="À migrer",$H106&lt;&gt;"Oui",$H106&lt;&gt;"Non"),"Valeur Oui/Non invalide (Déjà incluse ROKS)",IF(AND($E106&lt;&gt;"PRD",$E106&lt;&gt;"NPRD"),"Environnement invalide",IF(COUNTIFS(TblApplications[ID],$C106,TblApplications[Environnement],$E106,TblApplications[Couloir],$F106)&gt;1,"Déploiement en doublon (ID + env + couloir)",IF(AND(OR(OR($G106="À migrer",$G106="Migré"),OR($G106="À migrer",$G106="À décommissionner")),N($P106)&lt;=0),"Conso Dynatrace absente (onglet Dynatrace)",IF(OR(AND($P106&lt;&gt;"",NOT(ISNUMBER($P106))),AND($Q106&lt;&gt;"",NOT(ISNUMBER($Q106)))),"Ressource non numérique",IF(MIN(N($P106),N($Q106))&lt;0,"Ressource négative",IF(OR(AND($AH106&lt;&gt;"",OR(NOT(ISNUMBER($AH106)),$AH106&lt;0,$AH106&gt;1)),AND($AI106&lt;&gt;"",OR(NOT(ISNUMBER($AI106)),$AI106&lt;0,$AI106&gt;1))),"Marge spécifique invalide (0–100 %)",IF(OR(AND($U106&lt;&gt;"",NOT(ISNUMBER($U106))),AND($V106&lt;&gt;"",NOT(ISNUMBER($V106))),AND($W106&lt;&gt;"",NOT(ISNUMBER($W106)))),"Mois invalide",IF(AND(OR($G106="À migrer",$G106="À décommissionner"),COUNTIFS(TblClusters[Cluster],$I106,TblClusters[Plateforme],"IKS")=0),"Cluster IKS inconnu",IF(AND(OR($G106="À migrer",$G106="Migré"),COUNTIFS(TblClusters[Cluster],$O106,TblClusters[Plateforme],"ROKS")=0),"Cluster ROKS inconnu",IF(AND(OR($G106="À migrer",$G106="À décommissionner"),COUNTIFS(TblClusters[Cluster],$I106,TblClusters[Environnement],$E106)=0),"Environnement ≠ cluster IKS",IF(AND(OR($G106="À migrer",$G106="Migré"),COUNTIFS(TblClusters[Cluster],$O106,TblClusters[Environnement],$E106)=0),"Environnement ≠ cluster ROKS",IF(AND($G106="À migrer",OR($U106&gt;$V106,$V106&gt;$W106)),"Dates incohérentes (prov ≤ bascule ≤ libération)",IF(AND(OR($G106="À migrer",$G106="À décommissionner"),OR(N($AO106)&gt;SUMIFS(TblClusters[CPU initial (vCPU)],TblClusters[Cluster],$I106),N($AP106)&gt;SUMIFS(TblClusters[RAM initiale (Go)],TblClusters[Cluster],$I106))),"Forçage &gt; capacité du cluster source",IF(OR(AND($AA106&lt;&gt;"",$AA106&lt;p_debut),AND($AB106&lt;&gt;"",$AB106&gt;p_fin)),"Hors horizon (info)",IF(AND($G106="À migrer",$E106="PRD",COUNTIFS(TblApplications[ID],$C106,TblApplications[Environnement],"NPRD",TblApplications[Action],"À migrer")&gt;0,$AA106&lt;_xlfn.MINIFS(TblApplications[Mois prov (calc)],TblApplications[ID],$C106,TblApplications[Environnement],"NPRD")),"PRD avant NPRD (info)","OK")))))))))))))))))))))</f>
        <v/>
      </c>
      <c r="AH106" s="62"/>
      <c r="AI106" s="62"/>
      <c r="AJ106" s="27" t="str">
        <f>IF(OR($C106="",NOT(OR($G106="À migrer",$G106="À décommissionner")),NOT(ISNUMBER($S106)),NOT(ISNUMBER($T106)),$AB106=""),"",($S106+p_poidsram*$T106)*SUMIFS(TblCalculs[Coût par unité],TblCalculs[Cluster],$I106,TblCalculs[Mois],"&lt;"&amp;$AB106))</f>
        <v/>
      </c>
      <c r="AK106" s="27" t="str">
        <f>IF($C106="","",IF(AND($G106="À migrer",$H106="Non",$Y106&lt;&gt;"",$AA106&lt;&gt;""),($Y106+p_poidsram*$Z106)*SUMIFS(TblCalculs[Coût par unité],TblCalculs[Cluster],$O106,TblCalculs[Mois],"&gt;="&amp;$AA106),IF(AND($G106="Migré",$Y106&lt;&gt;""),($Y106+p_poidsram*$Z106)*SUMIFS(TblCalculs[Coût par unité],TblCalculs[Cluster],$O106),"")))</f>
        <v/>
      </c>
      <c r="AL106" s="27" t="str">
        <f t="shared" si="14"/>
        <v/>
      </c>
      <c r="AM106" s="26" t="str">
        <f t="shared" si="15"/>
        <v/>
      </c>
      <c r="AN106" s="26" t="str">
        <f>IF(OR($C106="",$AM106&lt;&gt;1,COUNTIFS($E106,ex_envc,$A106,ex_domc,$B106,ex_tric)=0),"",COUNTIFS($AM$6:$AM106,1,$E$6:$E106,ex_envc,$A$6:$A106,ex_domc,$B$6:$B106,ex_tric))</f>
        <v/>
      </c>
      <c r="AO106" s="63"/>
      <c r="AP106" s="63"/>
      <c r="AQ106" s="63"/>
      <c r="AR106" s="63"/>
    </row>
    <row r="107" spans="1:44" x14ac:dyDescent="0.2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26" t="str">
        <f t="shared" si="8"/>
        <v/>
      </c>
      <c r="O107" s="59"/>
      <c r="P107" s="60" t="str">
        <f>IF($C107="","",IF($AQ107&lt;&gt;"",$AQ107,SUMIFS(TblDynatrace[CPU P95 (vCPU)],TblDynatrace[ID],$C107,TblDynatrace[Environnement],$E107,TblDynatrace[Couloir],$F107)))</f>
        <v/>
      </c>
      <c r="Q107" s="60" t="str">
        <f>IF($C107="","",IF($AR107&lt;&gt;"",$AR107,SUMIFS(TblDynatrace[RAM P95 (Go)],TblDynatrace[ID],$C107,TblDynatrace[Environnement],$E107,TblDynatrace[Couloir],$F107)))</f>
        <v/>
      </c>
      <c r="R107" s="26" t="str">
        <f>IF($C107="","",IFERROR(INDEX(TblDynatrace[Métrique / période],MATCH($C107&amp;"|"&amp;$E107&amp;"|"&amp;$F107,TblDynatrace[Clé],0)),""))</f>
        <v/>
      </c>
      <c r="S107" s="60" t="str">
        <f>IF(OR($C107="",NOT(OR($G107="À migrer",$G107="À décommissionner")),$I107="",NOT(ISNUMBER($P107))),"",IF($AO107&lt;&gt;"",$AO107,IFERROR(SUMIFS(TblClusters[CPU initial (vCPU)],TblClusters[Cluster],$I107)*$P107/(SUMIFS(TblApplications[CPU Dynatrace (vCPU)],TblApplications[Cluster IKS source],$I107,TblApplications[Action],"À migrer")+SUMIFS(TblApplications[CPU Dynatrace (vCPU)],TblApplications[Cluster IKS source],$I107,TblApplications[Action],"À décommissionner")),0)))</f>
        <v/>
      </c>
      <c r="T107" s="60" t="str">
        <f>IF(OR($C107="",NOT(OR($G107="À migrer",$G107="À décommissionner")),$I107="",NOT(ISNUMBER($Q107))),"",IF($AP107&lt;&gt;"",$AP107,IFERROR(SUMIFS(TblClusters[RAM initiale (Go)],TblClusters[Cluster],$I107)*$Q107/(SUMIFS(TblApplications[RAM Dynatrace (Go)],TblApplications[Cluster IKS source],$I107,TblApplications[Action],"À migrer")+SUMIFS(TblApplications[RAM Dynatrace (Go)],TblApplications[Cluster IKS source],$I107,TblApplications[Action],"À décommissionner")),0)))</f>
        <v/>
      </c>
      <c r="U107" s="61"/>
      <c r="V107" s="61"/>
      <c r="W107" s="61"/>
      <c r="X107" s="59"/>
      <c r="Y107" s="26" t="str">
        <f t="shared" si="9"/>
        <v/>
      </c>
      <c r="Z107" s="26" t="str">
        <f t="shared" si="10"/>
        <v/>
      </c>
      <c r="AA107" s="33" t="str">
        <f t="shared" si="11"/>
        <v/>
      </c>
      <c r="AB107" s="33" t="str">
        <f t="shared" si="12"/>
        <v/>
      </c>
      <c r="AC107" s="26" t="str">
        <f t="shared" si="13"/>
        <v/>
      </c>
      <c r="AD107" s="26" t="str">
        <f>IF($C107="","",COUNTIF(TblApplications[ID],$C107))</f>
        <v/>
      </c>
      <c r="AE107" s="33" t="str">
        <f>IF($C107="","",IFERROR(1/(1/_xlfn.MINIFS(TblApplications[Mois prov (calc)],TblApplications[ID],$C107)),""))</f>
        <v/>
      </c>
      <c r="AF107" s="33" t="str">
        <f>IF($C107="","",IFERROR(1/(1/_xlfn.MAXIFS(TblApplications[Mois lib (calc)],TblApplications[ID],$C107)),""))</f>
        <v/>
      </c>
      <c r="AG107" s="26" t="str">
        <f>IF($C107="","",IF(OR(OR($A107="",$B107="",$D107="",$E107="",$F107="",$G107=""),AND($G107="À migrer",OR($H107="",$I107="",$O107="",$U107="",$V107="",$W107="")),AND($G107="Migré",OR($O107="")),AND($G107="À décommissionner",OR($I107="",$W107=""))),"Données manquantes (selon l’action)",IF(AND($G107&lt;&gt;"Migré",$G107&lt;&gt;"À migrer",$G107&lt;&gt;"À décommissionner",$G107&lt;&gt;"Décommissionné"),"Action invalide",IF(COUNTIF(TblDomaines[Domaine],$A107)=0,"Domaine inconnu (référentiel)",IF(COUNTIFS(TblTribes[Tribe],$B107,TblTribes[Domaine de la tribe],$A107)=0,"Tribe inconnue ou hors domaine",IF(AND($G107="À migrer",$H107&lt;&gt;"Oui",$H107&lt;&gt;"Non"),"Valeur Oui/Non invalide (Déjà incluse ROKS)",IF(AND($E107&lt;&gt;"PRD",$E107&lt;&gt;"NPRD"),"Environnement invalide",IF(COUNTIFS(TblApplications[ID],$C107,TblApplications[Environnement],$E107,TblApplications[Couloir],$F107)&gt;1,"Déploiement en doublon (ID + env + couloir)",IF(AND(OR(OR($G107="À migrer",$G107="Migré"),OR($G107="À migrer",$G107="À décommissionner")),N($P107)&lt;=0),"Conso Dynatrace absente (onglet Dynatrace)",IF(OR(AND($P107&lt;&gt;"",NOT(ISNUMBER($P107))),AND($Q107&lt;&gt;"",NOT(ISNUMBER($Q107)))),"Ressource non numérique",IF(MIN(N($P107),N($Q107))&lt;0,"Ressource négative",IF(OR(AND($AH107&lt;&gt;"",OR(NOT(ISNUMBER($AH107)),$AH107&lt;0,$AH107&gt;1)),AND($AI107&lt;&gt;"",OR(NOT(ISNUMBER($AI107)),$AI107&lt;0,$AI107&gt;1))),"Marge spécifique invalide (0–100 %)",IF(OR(AND($U107&lt;&gt;"",NOT(ISNUMBER($U107))),AND($V107&lt;&gt;"",NOT(ISNUMBER($V107))),AND($W107&lt;&gt;"",NOT(ISNUMBER($W107)))),"Mois invalide",IF(AND(OR($G107="À migrer",$G107="À décommissionner"),COUNTIFS(TblClusters[Cluster],$I107,TblClusters[Plateforme],"IKS")=0),"Cluster IKS inconnu",IF(AND(OR($G107="À migrer",$G107="Migré"),COUNTIFS(TblClusters[Cluster],$O107,TblClusters[Plateforme],"ROKS")=0),"Cluster ROKS inconnu",IF(AND(OR($G107="À migrer",$G107="À décommissionner"),COUNTIFS(TblClusters[Cluster],$I107,TblClusters[Environnement],$E107)=0),"Environnement ≠ cluster IKS",IF(AND(OR($G107="À migrer",$G107="Migré"),COUNTIFS(TblClusters[Cluster],$O107,TblClusters[Environnement],$E107)=0),"Environnement ≠ cluster ROKS",IF(AND($G107="À migrer",OR($U107&gt;$V107,$V107&gt;$W107)),"Dates incohérentes (prov ≤ bascule ≤ libération)",IF(AND(OR($G107="À migrer",$G107="À décommissionner"),OR(N($AO107)&gt;SUMIFS(TblClusters[CPU initial (vCPU)],TblClusters[Cluster],$I107),N($AP107)&gt;SUMIFS(TblClusters[RAM initiale (Go)],TblClusters[Cluster],$I107))),"Forçage &gt; capacité du cluster source",IF(OR(AND($AA107&lt;&gt;"",$AA107&lt;p_debut),AND($AB107&lt;&gt;"",$AB107&gt;p_fin)),"Hors horizon (info)",IF(AND($G107="À migrer",$E107="PRD",COUNTIFS(TblApplications[ID],$C107,TblApplications[Environnement],"NPRD",TblApplications[Action],"À migrer")&gt;0,$AA107&lt;_xlfn.MINIFS(TblApplications[Mois prov (calc)],TblApplications[ID],$C107,TblApplications[Environnement],"NPRD")),"PRD avant NPRD (info)","OK")))))))))))))))))))))</f>
        <v/>
      </c>
      <c r="AH107" s="62"/>
      <c r="AI107" s="62"/>
      <c r="AJ107" s="27" t="str">
        <f>IF(OR($C107="",NOT(OR($G107="À migrer",$G107="À décommissionner")),NOT(ISNUMBER($S107)),NOT(ISNUMBER($T107)),$AB107=""),"",($S107+p_poidsram*$T107)*SUMIFS(TblCalculs[Coût par unité],TblCalculs[Cluster],$I107,TblCalculs[Mois],"&lt;"&amp;$AB107))</f>
        <v/>
      </c>
      <c r="AK107" s="27" t="str">
        <f>IF($C107="","",IF(AND($G107="À migrer",$H107="Non",$Y107&lt;&gt;"",$AA107&lt;&gt;""),($Y107+p_poidsram*$Z107)*SUMIFS(TblCalculs[Coût par unité],TblCalculs[Cluster],$O107,TblCalculs[Mois],"&gt;="&amp;$AA107),IF(AND($G107="Migré",$Y107&lt;&gt;""),($Y107+p_poidsram*$Z107)*SUMIFS(TblCalculs[Coût par unité],TblCalculs[Cluster],$O107),"")))</f>
        <v/>
      </c>
      <c r="AL107" s="27" t="str">
        <f t="shared" si="14"/>
        <v/>
      </c>
      <c r="AM107" s="26" t="str">
        <f t="shared" si="15"/>
        <v/>
      </c>
      <c r="AN107" s="26" t="str">
        <f>IF(OR($C107="",$AM107&lt;&gt;1,COUNTIFS($E107,ex_envc,$A107,ex_domc,$B107,ex_tric)=0),"",COUNTIFS($AM$6:$AM107,1,$E$6:$E107,ex_envc,$A$6:$A107,ex_domc,$B$6:$B107,ex_tric))</f>
        <v/>
      </c>
      <c r="AO107" s="63"/>
      <c r="AP107" s="63"/>
      <c r="AQ107" s="63"/>
      <c r="AR107" s="63"/>
    </row>
    <row r="108" spans="1:44" x14ac:dyDescent="0.2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26" t="str">
        <f t="shared" si="8"/>
        <v/>
      </c>
      <c r="O108" s="59"/>
      <c r="P108" s="60" t="str">
        <f>IF($C108="","",IF($AQ108&lt;&gt;"",$AQ108,SUMIFS(TblDynatrace[CPU P95 (vCPU)],TblDynatrace[ID],$C108,TblDynatrace[Environnement],$E108,TblDynatrace[Couloir],$F108)))</f>
        <v/>
      </c>
      <c r="Q108" s="60" t="str">
        <f>IF($C108="","",IF($AR108&lt;&gt;"",$AR108,SUMIFS(TblDynatrace[RAM P95 (Go)],TblDynatrace[ID],$C108,TblDynatrace[Environnement],$E108,TblDynatrace[Couloir],$F108)))</f>
        <v/>
      </c>
      <c r="R108" s="26" t="str">
        <f>IF($C108="","",IFERROR(INDEX(TblDynatrace[Métrique / période],MATCH($C108&amp;"|"&amp;$E108&amp;"|"&amp;$F108,TblDynatrace[Clé],0)),""))</f>
        <v/>
      </c>
      <c r="S108" s="60" t="str">
        <f>IF(OR($C108="",NOT(OR($G108="À migrer",$G108="À décommissionner")),$I108="",NOT(ISNUMBER($P108))),"",IF($AO108&lt;&gt;"",$AO108,IFERROR(SUMIFS(TblClusters[CPU initial (vCPU)],TblClusters[Cluster],$I108)*$P108/(SUMIFS(TblApplications[CPU Dynatrace (vCPU)],TblApplications[Cluster IKS source],$I108,TblApplications[Action],"À migrer")+SUMIFS(TblApplications[CPU Dynatrace (vCPU)],TblApplications[Cluster IKS source],$I108,TblApplications[Action],"À décommissionner")),0)))</f>
        <v/>
      </c>
      <c r="T108" s="60" t="str">
        <f>IF(OR($C108="",NOT(OR($G108="À migrer",$G108="À décommissionner")),$I108="",NOT(ISNUMBER($Q108))),"",IF($AP108&lt;&gt;"",$AP108,IFERROR(SUMIFS(TblClusters[RAM initiale (Go)],TblClusters[Cluster],$I108)*$Q108/(SUMIFS(TblApplications[RAM Dynatrace (Go)],TblApplications[Cluster IKS source],$I108,TblApplications[Action],"À migrer")+SUMIFS(TblApplications[RAM Dynatrace (Go)],TblApplications[Cluster IKS source],$I108,TblApplications[Action],"À décommissionner")),0)))</f>
        <v/>
      </c>
      <c r="U108" s="61"/>
      <c r="V108" s="61"/>
      <c r="W108" s="61"/>
      <c r="X108" s="59"/>
      <c r="Y108" s="26" t="str">
        <f t="shared" si="9"/>
        <v/>
      </c>
      <c r="Z108" s="26" t="str">
        <f t="shared" si="10"/>
        <v/>
      </c>
      <c r="AA108" s="33" t="str">
        <f t="shared" si="11"/>
        <v/>
      </c>
      <c r="AB108" s="33" t="str">
        <f t="shared" si="12"/>
        <v/>
      </c>
      <c r="AC108" s="26" t="str">
        <f t="shared" si="13"/>
        <v/>
      </c>
      <c r="AD108" s="26" t="str">
        <f>IF($C108="","",COUNTIF(TblApplications[ID],$C108))</f>
        <v/>
      </c>
      <c r="AE108" s="33" t="str">
        <f>IF($C108="","",IFERROR(1/(1/_xlfn.MINIFS(TblApplications[Mois prov (calc)],TblApplications[ID],$C108)),""))</f>
        <v/>
      </c>
      <c r="AF108" s="33" t="str">
        <f>IF($C108="","",IFERROR(1/(1/_xlfn.MAXIFS(TblApplications[Mois lib (calc)],TblApplications[ID],$C108)),""))</f>
        <v/>
      </c>
      <c r="AG108" s="26" t="str">
        <f>IF($C108="","",IF(OR(OR($A108="",$B108="",$D108="",$E108="",$F108="",$G108=""),AND($G108="À migrer",OR($H108="",$I108="",$O108="",$U108="",$V108="",$W108="")),AND($G108="Migré",OR($O108="")),AND($G108="À décommissionner",OR($I108="",$W108=""))),"Données manquantes (selon l’action)",IF(AND($G108&lt;&gt;"Migré",$G108&lt;&gt;"À migrer",$G108&lt;&gt;"À décommissionner",$G108&lt;&gt;"Décommissionné"),"Action invalide",IF(COUNTIF(TblDomaines[Domaine],$A108)=0,"Domaine inconnu (référentiel)",IF(COUNTIFS(TblTribes[Tribe],$B108,TblTribes[Domaine de la tribe],$A108)=0,"Tribe inconnue ou hors domaine",IF(AND($G108="À migrer",$H108&lt;&gt;"Oui",$H108&lt;&gt;"Non"),"Valeur Oui/Non invalide (Déjà incluse ROKS)",IF(AND($E108&lt;&gt;"PRD",$E108&lt;&gt;"NPRD"),"Environnement invalide",IF(COUNTIFS(TblApplications[ID],$C108,TblApplications[Environnement],$E108,TblApplications[Couloir],$F108)&gt;1,"Déploiement en doublon (ID + env + couloir)",IF(AND(OR(OR($G108="À migrer",$G108="Migré"),OR($G108="À migrer",$G108="À décommissionner")),N($P108)&lt;=0),"Conso Dynatrace absente (onglet Dynatrace)",IF(OR(AND($P108&lt;&gt;"",NOT(ISNUMBER($P108))),AND($Q108&lt;&gt;"",NOT(ISNUMBER($Q108)))),"Ressource non numérique",IF(MIN(N($P108),N($Q108))&lt;0,"Ressource négative",IF(OR(AND($AH108&lt;&gt;"",OR(NOT(ISNUMBER($AH108)),$AH108&lt;0,$AH108&gt;1)),AND($AI108&lt;&gt;"",OR(NOT(ISNUMBER($AI108)),$AI108&lt;0,$AI108&gt;1))),"Marge spécifique invalide (0–100 %)",IF(OR(AND($U108&lt;&gt;"",NOT(ISNUMBER($U108))),AND($V108&lt;&gt;"",NOT(ISNUMBER($V108))),AND($W108&lt;&gt;"",NOT(ISNUMBER($W108)))),"Mois invalide",IF(AND(OR($G108="À migrer",$G108="À décommissionner"),COUNTIFS(TblClusters[Cluster],$I108,TblClusters[Plateforme],"IKS")=0),"Cluster IKS inconnu",IF(AND(OR($G108="À migrer",$G108="Migré"),COUNTIFS(TblClusters[Cluster],$O108,TblClusters[Plateforme],"ROKS")=0),"Cluster ROKS inconnu",IF(AND(OR($G108="À migrer",$G108="À décommissionner"),COUNTIFS(TblClusters[Cluster],$I108,TblClusters[Environnement],$E108)=0),"Environnement ≠ cluster IKS",IF(AND(OR($G108="À migrer",$G108="Migré"),COUNTIFS(TblClusters[Cluster],$O108,TblClusters[Environnement],$E108)=0),"Environnement ≠ cluster ROKS",IF(AND($G108="À migrer",OR($U108&gt;$V108,$V108&gt;$W108)),"Dates incohérentes (prov ≤ bascule ≤ libération)",IF(AND(OR($G108="À migrer",$G108="À décommissionner"),OR(N($AO108)&gt;SUMIFS(TblClusters[CPU initial (vCPU)],TblClusters[Cluster],$I108),N($AP108)&gt;SUMIFS(TblClusters[RAM initiale (Go)],TblClusters[Cluster],$I108))),"Forçage &gt; capacité du cluster source",IF(OR(AND($AA108&lt;&gt;"",$AA108&lt;p_debut),AND($AB108&lt;&gt;"",$AB108&gt;p_fin)),"Hors horizon (info)",IF(AND($G108="À migrer",$E108="PRD",COUNTIFS(TblApplications[ID],$C108,TblApplications[Environnement],"NPRD",TblApplications[Action],"À migrer")&gt;0,$AA108&lt;_xlfn.MINIFS(TblApplications[Mois prov (calc)],TblApplications[ID],$C108,TblApplications[Environnement],"NPRD")),"PRD avant NPRD (info)","OK")))))))))))))))))))))</f>
        <v/>
      </c>
      <c r="AH108" s="62"/>
      <c r="AI108" s="62"/>
      <c r="AJ108" s="27" t="str">
        <f>IF(OR($C108="",NOT(OR($G108="À migrer",$G108="À décommissionner")),NOT(ISNUMBER($S108)),NOT(ISNUMBER($T108)),$AB108=""),"",($S108+p_poidsram*$T108)*SUMIFS(TblCalculs[Coût par unité],TblCalculs[Cluster],$I108,TblCalculs[Mois],"&lt;"&amp;$AB108))</f>
        <v/>
      </c>
      <c r="AK108" s="27" t="str">
        <f>IF($C108="","",IF(AND($G108="À migrer",$H108="Non",$Y108&lt;&gt;"",$AA108&lt;&gt;""),($Y108+p_poidsram*$Z108)*SUMIFS(TblCalculs[Coût par unité],TblCalculs[Cluster],$O108,TblCalculs[Mois],"&gt;="&amp;$AA108),IF(AND($G108="Migré",$Y108&lt;&gt;""),($Y108+p_poidsram*$Z108)*SUMIFS(TblCalculs[Coût par unité],TblCalculs[Cluster],$O108),"")))</f>
        <v/>
      </c>
      <c r="AL108" s="27" t="str">
        <f t="shared" si="14"/>
        <v/>
      </c>
      <c r="AM108" s="26" t="str">
        <f t="shared" si="15"/>
        <v/>
      </c>
      <c r="AN108" s="26" t="str">
        <f>IF(OR($C108="",$AM108&lt;&gt;1,COUNTIFS($E108,ex_envc,$A108,ex_domc,$B108,ex_tric)=0),"",COUNTIFS($AM$6:$AM108,1,$E$6:$E108,ex_envc,$A$6:$A108,ex_domc,$B$6:$B108,ex_tric))</f>
        <v/>
      </c>
      <c r="AO108" s="63"/>
      <c r="AP108" s="63"/>
      <c r="AQ108" s="63"/>
      <c r="AR108" s="63"/>
    </row>
    <row r="109" spans="1:44" x14ac:dyDescent="0.2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26" t="str">
        <f t="shared" si="8"/>
        <v/>
      </c>
      <c r="O109" s="59"/>
      <c r="P109" s="60" t="str">
        <f>IF($C109="","",IF($AQ109&lt;&gt;"",$AQ109,SUMIFS(TblDynatrace[CPU P95 (vCPU)],TblDynatrace[ID],$C109,TblDynatrace[Environnement],$E109,TblDynatrace[Couloir],$F109)))</f>
        <v/>
      </c>
      <c r="Q109" s="60" t="str">
        <f>IF($C109="","",IF($AR109&lt;&gt;"",$AR109,SUMIFS(TblDynatrace[RAM P95 (Go)],TblDynatrace[ID],$C109,TblDynatrace[Environnement],$E109,TblDynatrace[Couloir],$F109)))</f>
        <v/>
      </c>
      <c r="R109" s="26" t="str">
        <f>IF($C109="","",IFERROR(INDEX(TblDynatrace[Métrique / période],MATCH($C109&amp;"|"&amp;$E109&amp;"|"&amp;$F109,TblDynatrace[Clé],0)),""))</f>
        <v/>
      </c>
      <c r="S109" s="60" t="str">
        <f>IF(OR($C109="",NOT(OR($G109="À migrer",$G109="À décommissionner")),$I109="",NOT(ISNUMBER($P109))),"",IF($AO109&lt;&gt;"",$AO109,IFERROR(SUMIFS(TblClusters[CPU initial (vCPU)],TblClusters[Cluster],$I109)*$P109/(SUMIFS(TblApplications[CPU Dynatrace (vCPU)],TblApplications[Cluster IKS source],$I109,TblApplications[Action],"À migrer")+SUMIFS(TblApplications[CPU Dynatrace (vCPU)],TblApplications[Cluster IKS source],$I109,TblApplications[Action],"À décommissionner")),0)))</f>
        <v/>
      </c>
      <c r="T109" s="60" t="str">
        <f>IF(OR($C109="",NOT(OR($G109="À migrer",$G109="À décommissionner")),$I109="",NOT(ISNUMBER($Q109))),"",IF($AP109&lt;&gt;"",$AP109,IFERROR(SUMIFS(TblClusters[RAM initiale (Go)],TblClusters[Cluster],$I109)*$Q109/(SUMIFS(TblApplications[RAM Dynatrace (Go)],TblApplications[Cluster IKS source],$I109,TblApplications[Action],"À migrer")+SUMIFS(TblApplications[RAM Dynatrace (Go)],TblApplications[Cluster IKS source],$I109,TblApplications[Action],"À décommissionner")),0)))</f>
        <v/>
      </c>
      <c r="U109" s="61"/>
      <c r="V109" s="61"/>
      <c r="W109" s="61"/>
      <c r="X109" s="59"/>
      <c r="Y109" s="26" t="str">
        <f t="shared" si="9"/>
        <v/>
      </c>
      <c r="Z109" s="26" t="str">
        <f t="shared" si="10"/>
        <v/>
      </c>
      <c r="AA109" s="33" t="str">
        <f t="shared" si="11"/>
        <v/>
      </c>
      <c r="AB109" s="33" t="str">
        <f t="shared" si="12"/>
        <v/>
      </c>
      <c r="AC109" s="26" t="str">
        <f t="shared" si="13"/>
        <v/>
      </c>
      <c r="AD109" s="26" t="str">
        <f>IF($C109="","",COUNTIF(TblApplications[ID],$C109))</f>
        <v/>
      </c>
      <c r="AE109" s="33" t="str">
        <f>IF($C109="","",IFERROR(1/(1/_xlfn.MINIFS(TblApplications[Mois prov (calc)],TblApplications[ID],$C109)),""))</f>
        <v/>
      </c>
      <c r="AF109" s="33" t="str">
        <f>IF($C109="","",IFERROR(1/(1/_xlfn.MAXIFS(TblApplications[Mois lib (calc)],TblApplications[ID],$C109)),""))</f>
        <v/>
      </c>
      <c r="AG109" s="26" t="str">
        <f>IF($C109="","",IF(OR(OR($A109="",$B109="",$D109="",$E109="",$F109="",$G109=""),AND($G109="À migrer",OR($H109="",$I109="",$O109="",$U109="",$V109="",$W109="")),AND($G109="Migré",OR($O109="")),AND($G109="À décommissionner",OR($I109="",$W109=""))),"Données manquantes (selon l’action)",IF(AND($G109&lt;&gt;"Migré",$G109&lt;&gt;"À migrer",$G109&lt;&gt;"À décommissionner",$G109&lt;&gt;"Décommissionné"),"Action invalide",IF(COUNTIF(TblDomaines[Domaine],$A109)=0,"Domaine inconnu (référentiel)",IF(COUNTIFS(TblTribes[Tribe],$B109,TblTribes[Domaine de la tribe],$A109)=0,"Tribe inconnue ou hors domaine",IF(AND($G109="À migrer",$H109&lt;&gt;"Oui",$H109&lt;&gt;"Non"),"Valeur Oui/Non invalide (Déjà incluse ROKS)",IF(AND($E109&lt;&gt;"PRD",$E109&lt;&gt;"NPRD"),"Environnement invalide",IF(COUNTIFS(TblApplications[ID],$C109,TblApplications[Environnement],$E109,TblApplications[Couloir],$F109)&gt;1,"Déploiement en doublon (ID + env + couloir)",IF(AND(OR(OR($G109="À migrer",$G109="Migré"),OR($G109="À migrer",$G109="À décommissionner")),N($P109)&lt;=0),"Conso Dynatrace absente (onglet Dynatrace)",IF(OR(AND($P109&lt;&gt;"",NOT(ISNUMBER($P109))),AND($Q109&lt;&gt;"",NOT(ISNUMBER($Q109)))),"Ressource non numérique",IF(MIN(N($P109),N($Q109))&lt;0,"Ressource négative",IF(OR(AND($AH109&lt;&gt;"",OR(NOT(ISNUMBER($AH109)),$AH109&lt;0,$AH109&gt;1)),AND($AI109&lt;&gt;"",OR(NOT(ISNUMBER($AI109)),$AI109&lt;0,$AI109&gt;1))),"Marge spécifique invalide (0–100 %)",IF(OR(AND($U109&lt;&gt;"",NOT(ISNUMBER($U109))),AND($V109&lt;&gt;"",NOT(ISNUMBER($V109))),AND($W109&lt;&gt;"",NOT(ISNUMBER($W109)))),"Mois invalide",IF(AND(OR($G109="À migrer",$G109="À décommissionner"),COUNTIFS(TblClusters[Cluster],$I109,TblClusters[Plateforme],"IKS")=0),"Cluster IKS inconnu",IF(AND(OR($G109="À migrer",$G109="Migré"),COUNTIFS(TblClusters[Cluster],$O109,TblClusters[Plateforme],"ROKS")=0),"Cluster ROKS inconnu",IF(AND(OR($G109="À migrer",$G109="À décommissionner"),COUNTIFS(TblClusters[Cluster],$I109,TblClusters[Environnement],$E109)=0),"Environnement ≠ cluster IKS",IF(AND(OR($G109="À migrer",$G109="Migré"),COUNTIFS(TblClusters[Cluster],$O109,TblClusters[Environnement],$E109)=0),"Environnement ≠ cluster ROKS",IF(AND($G109="À migrer",OR($U109&gt;$V109,$V109&gt;$W109)),"Dates incohérentes (prov ≤ bascule ≤ libération)",IF(AND(OR($G109="À migrer",$G109="À décommissionner"),OR(N($AO109)&gt;SUMIFS(TblClusters[CPU initial (vCPU)],TblClusters[Cluster],$I109),N($AP109)&gt;SUMIFS(TblClusters[RAM initiale (Go)],TblClusters[Cluster],$I109))),"Forçage &gt; capacité du cluster source",IF(OR(AND($AA109&lt;&gt;"",$AA109&lt;p_debut),AND($AB109&lt;&gt;"",$AB109&gt;p_fin)),"Hors horizon (info)",IF(AND($G109="À migrer",$E109="PRD",COUNTIFS(TblApplications[ID],$C109,TblApplications[Environnement],"NPRD",TblApplications[Action],"À migrer")&gt;0,$AA109&lt;_xlfn.MINIFS(TblApplications[Mois prov (calc)],TblApplications[ID],$C109,TblApplications[Environnement],"NPRD")),"PRD avant NPRD (info)","OK")))))))))))))))))))))</f>
        <v/>
      </c>
      <c r="AH109" s="62"/>
      <c r="AI109" s="62"/>
      <c r="AJ109" s="27" t="str">
        <f>IF(OR($C109="",NOT(OR($G109="À migrer",$G109="À décommissionner")),NOT(ISNUMBER($S109)),NOT(ISNUMBER($T109)),$AB109=""),"",($S109+p_poidsram*$T109)*SUMIFS(TblCalculs[Coût par unité],TblCalculs[Cluster],$I109,TblCalculs[Mois],"&lt;"&amp;$AB109))</f>
        <v/>
      </c>
      <c r="AK109" s="27" t="str">
        <f>IF($C109="","",IF(AND($G109="À migrer",$H109="Non",$Y109&lt;&gt;"",$AA109&lt;&gt;""),($Y109+p_poidsram*$Z109)*SUMIFS(TblCalculs[Coût par unité],TblCalculs[Cluster],$O109,TblCalculs[Mois],"&gt;="&amp;$AA109),IF(AND($G109="Migré",$Y109&lt;&gt;""),($Y109+p_poidsram*$Z109)*SUMIFS(TblCalculs[Coût par unité],TblCalculs[Cluster],$O109),"")))</f>
        <v/>
      </c>
      <c r="AL109" s="27" t="str">
        <f t="shared" si="14"/>
        <v/>
      </c>
      <c r="AM109" s="26" t="str">
        <f t="shared" si="15"/>
        <v/>
      </c>
      <c r="AN109" s="26" t="str">
        <f>IF(OR($C109="",$AM109&lt;&gt;1,COUNTIFS($E109,ex_envc,$A109,ex_domc,$B109,ex_tric)=0),"",COUNTIFS($AM$6:$AM109,1,$E$6:$E109,ex_envc,$A$6:$A109,ex_domc,$B$6:$B109,ex_tric))</f>
        <v/>
      </c>
      <c r="AO109" s="63"/>
      <c r="AP109" s="63"/>
      <c r="AQ109" s="63"/>
      <c r="AR109" s="63"/>
    </row>
    <row r="110" spans="1:44" x14ac:dyDescent="0.2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26" t="str">
        <f t="shared" si="8"/>
        <v/>
      </c>
      <c r="O110" s="59"/>
      <c r="P110" s="60" t="str">
        <f>IF($C110="","",IF($AQ110&lt;&gt;"",$AQ110,SUMIFS(TblDynatrace[CPU P95 (vCPU)],TblDynatrace[ID],$C110,TblDynatrace[Environnement],$E110,TblDynatrace[Couloir],$F110)))</f>
        <v/>
      </c>
      <c r="Q110" s="60" t="str">
        <f>IF($C110="","",IF($AR110&lt;&gt;"",$AR110,SUMIFS(TblDynatrace[RAM P95 (Go)],TblDynatrace[ID],$C110,TblDynatrace[Environnement],$E110,TblDynatrace[Couloir],$F110)))</f>
        <v/>
      </c>
      <c r="R110" s="26" t="str">
        <f>IF($C110="","",IFERROR(INDEX(TblDynatrace[Métrique / période],MATCH($C110&amp;"|"&amp;$E110&amp;"|"&amp;$F110,TblDynatrace[Clé],0)),""))</f>
        <v/>
      </c>
      <c r="S110" s="60" t="str">
        <f>IF(OR($C110="",NOT(OR($G110="À migrer",$G110="À décommissionner")),$I110="",NOT(ISNUMBER($P110))),"",IF($AO110&lt;&gt;"",$AO110,IFERROR(SUMIFS(TblClusters[CPU initial (vCPU)],TblClusters[Cluster],$I110)*$P110/(SUMIFS(TblApplications[CPU Dynatrace (vCPU)],TblApplications[Cluster IKS source],$I110,TblApplications[Action],"À migrer")+SUMIFS(TblApplications[CPU Dynatrace (vCPU)],TblApplications[Cluster IKS source],$I110,TblApplications[Action],"À décommissionner")),0)))</f>
        <v/>
      </c>
      <c r="T110" s="60" t="str">
        <f>IF(OR($C110="",NOT(OR($G110="À migrer",$G110="À décommissionner")),$I110="",NOT(ISNUMBER($Q110))),"",IF($AP110&lt;&gt;"",$AP110,IFERROR(SUMIFS(TblClusters[RAM initiale (Go)],TblClusters[Cluster],$I110)*$Q110/(SUMIFS(TblApplications[RAM Dynatrace (Go)],TblApplications[Cluster IKS source],$I110,TblApplications[Action],"À migrer")+SUMIFS(TblApplications[RAM Dynatrace (Go)],TblApplications[Cluster IKS source],$I110,TblApplications[Action],"À décommissionner")),0)))</f>
        <v/>
      </c>
      <c r="U110" s="61"/>
      <c r="V110" s="61"/>
      <c r="W110" s="61"/>
      <c r="X110" s="59"/>
      <c r="Y110" s="26" t="str">
        <f t="shared" si="9"/>
        <v/>
      </c>
      <c r="Z110" s="26" t="str">
        <f t="shared" si="10"/>
        <v/>
      </c>
      <c r="AA110" s="33" t="str">
        <f t="shared" si="11"/>
        <v/>
      </c>
      <c r="AB110" s="33" t="str">
        <f t="shared" si="12"/>
        <v/>
      </c>
      <c r="AC110" s="26" t="str">
        <f t="shared" si="13"/>
        <v/>
      </c>
      <c r="AD110" s="26" t="str">
        <f>IF($C110="","",COUNTIF(TblApplications[ID],$C110))</f>
        <v/>
      </c>
      <c r="AE110" s="33" t="str">
        <f>IF($C110="","",IFERROR(1/(1/_xlfn.MINIFS(TblApplications[Mois prov (calc)],TblApplications[ID],$C110)),""))</f>
        <v/>
      </c>
      <c r="AF110" s="33" t="str">
        <f>IF($C110="","",IFERROR(1/(1/_xlfn.MAXIFS(TblApplications[Mois lib (calc)],TblApplications[ID],$C110)),""))</f>
        <v/>
      </c>
      <c r="AG110" s="26" t="str">
        <f>IF($C110="","",IF(OR(OR($A110="",$B110="",$D110="",$E110="",$F110="",$G110=""),AND($G110="À migrer",OR($H110="",$I110="",$O110="",$U110="",$V110="",$W110="")),AND($G110="Migré",OR($O110="")),AND($G110="À décommissionner",OR($I110="",$W110=""))),"Données manquantes (selon l’action)",IF(AND($G110&lt;&gt;"Migré",$G110&lt;&gt;"À migrer",$G110&lt;&gt;"À décommissionner",$G110&lt;&gt;"Décommissionné"),"Action invalide",IF(COUNTIF(TblDomaines[Domaine],$A110)=0,"Domaine inconnu (référentiel)",IF(COUNTIFS(TblTribes[Tribe],$B110,TblTribes[Domaine de la tribe],$A110)=0,"Tribe inconnue ou hors domaine",IF(AND($G110="À migrer",$H110&lt;&gt;"Oui",$H110&lt;&gt;"Non"),"Valeur Oui/Non invalide (Déjà incluse ROKS)",IF(AND($E110&lt;&gt;"PRD",$E110&lt;&gt;"NPRD"),"Environnement invalide",IF(COUNTIFS(TblApplications[ID],$C110,TblApplications[Environnement],$E110,TblApplications[Couloir],$F110)&gt;1,"Déploiement en doublon (ID + env + couloir)",IF(AND(OR(OR($G110="À migrer",$G110="Migré"),OR($G110="À migrer",$G110="À décommissionner")),N($P110)&lt;=0),"Conso Dynatrace absente (onglet Dynatrace)",IF(OR(AND($P110&lt;&gt;"",NOT(ISNUMBER($P110))),AND($Q110&lt;&gt;"",NOT(ISNUMBER($Q110)))),"Ressource non numérique",IF(MIN(N($P110),N($Q110))&lt;0,"Ressource négative",IF(OR(AND($AH110&lt;&gt;"",OR(NOT(ISNUMBER($AH110)),$AH110&lt;0,$AH110&gt;1)),AND($AI110&lt;&gt;"",OR(NOT(ISNUMBER($AI110)),$AI110&lt;0,$AI110&gt;1))),"Marge spécifique invalide (0–100 %)",IF(OR(AND($U110&lt;&gt;"",NOT(ISNUMBER($U110))),AND($V110&lt;&gt;"",NOT(ISNUMBER($V110))),AND($W110&lt;&gt;"",NOT(ISNUMBER($W110)))),"Mois invalide",IF(AND(OR($G110="À migrer",$G110="À décommissionner"),COUNTIFS(TblClusters[Cluster],$I110,TblClusters[Plateforme],"IKS")=0),"Cluster IKS inconnu",IF(AND(OR($G110="À migrer",$G110="Migré"),COUNTIFS(TblClusters[Cluster],$O110,TblClusters[Plateforme],"ROKS")=0),"Cluster ROKS inconnu",IF(AND(OR($G110="À migrer",$G110="À décommissionner"),COUNTIFS(TblClusters[Cluster],$I110,TblClusters[Environnement],$E110)=0),"Environnement ≠ cluster IKS",IF(AND(OR($G110="À migrer",$G110="Migré"),COUNTIFS(TblClusters[Cluster],$O110,TblClusters[Environnement],$E110)=0),"Environnement ≠ cluster ROKS",IF(AND($G110="À migrer",OR($U110&gt;$V110,$V110&gt;$W110)),"Dates incohérentes (prov ≤ bascule ≤ libération)",IF(AND(OR($G110="À migrer",$G110="À décommissionner"),OR(N($AO110)&gt;SUMIFS(TblClusters[CPU initial (vCPU)],TblClusters[Cluster],$I110),N($AP110)&gt;SUMIFS(TblClusters[RAM initiale (Go)],TblClusters[Cluster],$I110))),"Forçage &gt; capacité du cluster source",IF(OR(AND($AA110&lt;&gt;"",$AA110&lt;p_debut),AND($AB110&lt;&gt;"",$AB110&gt;p_fin)),"Hors horizon (info)",IF(AND($G110="À migrer",$E110="PRD",COUNTIFS(TblApplications[ID],$C110,TblApplications[Environnement],"NPRD",TblApplications[Action],"À migrer")&gt;0,$AA110&lt;_xlfn.MINIFS(TblApplications[Mois prov (calc)],TblApplications[ID],$C110,TblApplications[Environnement],"NPRD")),"PRD avant NPRD (info)","OK")))))))))))))))))))))</f>
        <v/>
      </c>
      <c r="AH110" s="62"/>
      <c r="AI110" s="62"/>
      <c r="AJ110" s="27" t="str">
        <f>IF(OR($C110="",NOT(OR($G110="À migrer",$G110="À décommissionner")),NOT(ISNUMBER($S110)),NOT(ISNUMBER($T110)),$AB110=""),"",($S110+p_poidsram*$T110)*SUMIFS(TblCalculs[Coût par unité],TblCalculs[Cluster],$I110,TblCalculs[Mois],"&lt;"&amp;$AB110))</f>
        <v/>
      </c>
      <c r="AK110" s="27" t="str">
        <f>IF($C110="","",IF(AND($G110="À migrer",$H110="Non",$Y110&lt;&gt;"",$AA110&lt;&gt;""),($Y110+p_poidsram*$Z110)*SUMIFS(TblCalculs[Coût par unité],TblCalculs[Cluster],$O110,TblCalculs[Mois],"&gt;="&amp;$AA110),IF(AND($G110="Migré",$Y110&lt;&gt;""),($Y110+p_poidsram*$Z110)*SUMIFS(TblCalculs[Coût par unité],TblCalculs[Cluster],$O110),"")))</f>
        <v/>
      </c>
      <c r="AL110" s="27" t="str">
        <f t="shared" si="14"/>
        <v/>
      </c>
      <c r="AM110" s="26" t="str">
        <f t="shared" si="15"/>
        <v/>
      </c>
      <c r="AN110" s="26" t="str">
        <f>IF(OR($C110="",$AM110&lt;&gt;1,COUNTIFS($E110,ex_envc,$A110,ex_domc,$B110,ex_tric)=0),"",COUNTIFS($AM$6:$AM110,1,$E$6:$E110,ex_envc,$A$6:$A110,ex_domc,$B$6:$B110,ex_tric))</f>
        <v/>
      </c>
      <c r="AO110" s="63"/>
      <c r="AP110" s="63"/>
      <c r="AQ110" s="63"/>
      <c r="AR110" s="63"/>
    </row>
    <row r="111" spans="1:44" x14ac:dyDescent="0.2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26" t="str">
        <f t="shared" si="8"/>
        <v/>
      </c>
      <c r="O111" s="59"/>
      <c r="P111" s="60" t="str">
        <f>IF($C111="","",IF($AQ111&lt;&gt;"",$AQ111,SUMIFS(TblDynatrace[CPU P95 (vCPU)],TblDynatrace[ID],$C111,TblDynatrace[Environnement],$E111,TblDynatrace[Couloir],$F111)))</f>
        <v/>
      </c>
      <c r="Q111" s="60" t="str">
        <f>IF($C111="","",IF($AR111&lt;&gt;"",$AR111,SUMIFS(TblDynatrace[RAM P95 (Go)],TblDynatrace[ID],$C111,TblDynatrace[Environnement],$E111,TblDynatrace[Couloir],$F111)))</f>
        <v/>
      </c>
      <c r="R111" s="26" t="str">
        <f>IF($C111="","",IFERROR(INDEX(TblDynatrace[Métrique / période],MATCH($C111&amp;"|"&amp;$E111&amp;"|"&amp;$F111,TblDynatrace[Clé],0)),""))</f>
        <v/>
      </c>
      <c r="S111" s="60" t="str">
        <f>IF(OR($C111="",NOT(OR($G111="À migrer",$G111="À décommissionner")),$I111="",NOT(ISNUMBER($P111))),"",IF($AO111&lt;&gt;"",$AO111,IFERROR(SUMIFS(TblClusters[CPU initial (vCPU)],TblClusters[Cluster],$I111)*$P111/(SUMIFS(TblApplications[CPU Dynatrace (vCPU)],TblApplications[Cluster IKS source],$I111,TblApplications[Action],"À migrer")+SUMIFS(TblApplications[CPU Dynatrace (vCPU)],TblApplications[Cluster IKS source],$I111,TblApplications[Action],"À décommissionner")),0)))</f>
        <v/>
      </c>
      <c r="T111" s="60" t="str">
        <f>IF(OR($C111="",NOT(OR($G111="À migrer",$G111="À décommissionner")),$I111="",NOT(ISNUMBER($Q111))),"",IF($AP111&lt;&gt;"",$AP111,IFERROR(SUMIFS(TblClusters[RAM initiale (Go)],TblClusters[Cluster],$I111)*$Q111/(SUMIFS(TblApplications[RAM Dynatrace (Go)],TblApplications[Cluster IKS source],$I111,TblApplications[Action],"À migrer")+SUMIFS(TblApplications[RAM Dynatrace (Go)],TblApplications[Cluster IKS source],$I111,TblApplications[Action],"À décommissionner")),0)))</f>
        <v/>
      </c>
      <c r="U111" s="61"/>
      <c r="V111" s="61"/>
      <c r="W111" s="61"/>
      <c r="X111" s="59"/>
      <c r="Y111" s="26" t="str">
        <f t="shared" si="9"/>
        <v/>
      </c>
      <c r="Z111" s="26" t="str">
        <f t="shared" si="10"/>
        <v/>
      </c>
      <c r="AA111" s="33" t="str">
        <f t="shared" si="11"/>
        <v/>
      </c>
      <c r="AB111" s="33" t="str">
        <f t="shared" si="12"/>
        <v/>
      </c>
      <c r="AC111" s="26" t="str">
        <f t="shared" si="13"/>
        <v/>
      </c>
      <c r="AD111" s="26" t="str">
        <f>IF($C111="","",COUNTIF(TblApplications[ID],$C111))</f>
        <v/>
      </c>
      <c r="AE111" s="33" t="str">
        <f>IF($C111="","",IFERROR(1/(1/_xlfn.MINIFS(TblApplications[Mois prov (calc)],TblApplications[ID],$C111)),""))</f>
        <v/>
      </c>
      <c r="AF111" s="33" t="str">
        <f>IF($C111="","",IFERROR(1/(1/_xlfn.MAXIFS(TblApplications[Mois lib (calc)],TblApplications[ID],$C111)),""))</f>
        <v/>
      </c>
      <c r="AG111" s="26" t="str">
        <f>IF($C111="","",IF(OR(OR($A111="",$B111="",$D111="",$E111="",$F111="",$G111=""),AND($G111="À migrer",OR($H111="",$I111="",$O111="",$U111="",$V111="",$W111="")),AND($G111="Migré",OR($O111="")),AND($G111="À décommissionner",OR($I111="",$W111=""))),"Données manquantes (selon l’action)",IF(AND($G111&lt;&gt;"Migré",$G111&lt;&gt;"À migrer",$G111&lt;&gt;"À décommissionner",$G111&lt;&gt;"Décommissionné"),"Action invalide",IF(COUNTIF(TblDomaines[Domaine],$A111)=0,"Domaine inconnu (référentiel)",IF(COUNTIFS(TblTribes[Tribe],$B111,TblTribes[Domaine de la tribe],$A111)=0,"Tribe inconnue ou hors domaine",IF(AND($G111="À migrer",$H111&lt;&gt;"Oui",$H111&lt;&gt;"Non"),"Valeur Oui/Non invalide (Déjà incluse ROKS)",IF(AND($E111&lt;&gt;"PRD",$E111&lt;&gt;"NPRD"),"Environnement invalide",IF(COUNTIFS(TblApplications[ID],$C111,TblApplications[Environnement],$E111,TblApplications[Couloir],$F111)&gt;1,"Déploiement en doublon (ID + env + couloir)",IF(AND(OR(OR($G111="À migrer",$G111="Migré"),OR($G111="À migrer",$G111="À décommissionner")),N($P111)&lt;=0),"Conso Dynatrace absente (onglet Dynatrace)",IF(OR(AND($P111&lt;&gt;"",NOT(ISNUMBER($P111))),AND($Q111&lt;&gt;"",NOT(ISNUMBER($Q111)))),"Ressource non numérique",IF(MIN(N($P111),N($Q111))&lt;0,"Ressource négative",IF(OR(AND($AH111&lt;&gt;"",OR(NOT(ISNUMBER($AH111)),$AH111&lt;0,$AH111&gt;1)),AND($AI111&lt;&gt;"",OR(NOT(ISNUMBER($AI111)),$AI111&lt;0,$AI111&gt;1))),"Marge spécifique invalide (0–100 %)",IF(OR(AND($U111&lt;&gt;"",NOT(ISNUMBER($U111))),AND($V111&lt;&gt;"",NOT(ISNUMBER($V111))),AND($W111&lt;&gt;"",NOT(ISNUMBER($W111)))),"Mois invalide",IF(AND(OR($G111="À migrer",$G111="À décommissionner"),COUNTIFS(TblClusters[Cluster],$I111,TblClusters[Plateforme],"IKS")=0),"Cluster IKS inconnu",IF(AND(OR($G111="À migrer",$G111="Migré"),COUNTIFS(TblClusters[Cluster],$O111,TblClusters[Plateforme],"ROKS")=0),"Cluster ROKS inconnu",IF(AND(OR($G111="À migrer",$G111="À décommissionner"),COUNTIFS(TblClusters[Cluster],$I111,TblClusters[Environnement],$E111)=0),"Environnement ≠ cluster IKS",IF(AND(OR($G111="À migrer",$G111="Migré"),COUNTIFS(TblClusters[Cluster],$O111,TblClusters[Environnement],$E111)=0),"Environnement ≠ cluster ROKS",IF(AND($G111="À migrer",OR($U111&gt;$V111,$V111&gt;$W111)),"Dates incohérentes (prov ≤ bascule ≤ libération)",IF(AND(OR($G111="À migrer",$G111="À décommissionner"),OR(N($AO111)&gt;SUMIFS(TblClusters[CPU initial (vCPU)],TblClusters[Cluster],$I111),N($AP111)&gt;SUMIFS(TblClusters[RAM initiale (Go)],TblClusters[Cluster],$I111))),"Forçage &gt; capacité du cluster source",IF(OR(AND($AA111&lt;&gt;"",$AA111&lt;p_debut),AND($AB111&lt;&gt;"",$AB111&gt;p_fin)),"Hors horizon (info)",IF(AND($G111="À migrer",$E111="PRD",COUNTIFS(TblApplications[ID],$C111,TblApplications[Environnement],"NPRD",TblApplications[Action],"À migrer")&gt;0,$AA111&lt;_xlfn.MINIFS(TblApplications[Mois prov (calc)],TblApplications[ID],$C111,TblApplications[Environnement],"NPRD")),"PRD avant NPRD (info)","OK")))))))))))))))))))))</f>
        <v/>
      </c>
      <c r="AH111" s="62"/>
      <c r="AI111" s="62"/>
      <c r="AJ111" s="27" t="str">
        <f>IF(OR($C111="",NOT(OR($G111="À migrer",$G111="À décommissionner")),NOT(ISNUMBER($S111)),NOT(ISNUMBER($T111)),$AB111=""),"",($S111+p_poidsram*$T111)*SUMIFS(TblCalculs[Coût par unité],TblCalculs[Cluster],$I111,TblCalculs[Mois],"&lt;"&amp;$AB111))</f>
        <v/>
      </c>
      <c r="AK111" s="27" t="str">
        <f>IF($C111="","",IF(AND($G111="À migrer",$H111="Non",$Y111&lt;&gt;"",$AA111&lt;&gt;""),($Y111+p_poidsram*$Z111)*SUMIFS(TblCalculs[Coût par unité],TblCalculs[Cluster],$O111,TblCalculs[Mois],"&gt;="&amp;$AA111),IF(AND($G111="Migré",$Y111&lt;&gt;""),($Y111+p_poidsram*$Z111)*SUMIFS(TblCalculs[Coût par unité],TblCalculs[Cluster],$O111),"")))</f>
        <v/>
      </c>
      <c r="AL111" s="27" t="str">
        <f t="shared" si="14"/>
        <v/>
      </c>
      <c r="AM111" s="26" t="str">
        <f t="shared" si="15"/>
        <v/>
      </c>
      <c r="AN111" s="26" t="str">
        <f>IF(OR($C111="",$AM111&lt;&gt;1,COUNTIFS($E111,ex_envc,$A111,ex_domc,$B111,ex_tric)=0),"",COUNTIFS($AM$6:$AM111,1,$E$6:$E111,ex_envc,$A$6:$A111,ex_domc,$B$6:$B111,ex_tric))</f>
        <v/>
      </c>
      <c r="AO111" s="63"/>
      <c r="AP111" s="63"/>
      <c r="AQ111" s="63"/>
      <c r="AR111" s="63"/>
    </row>
    <row r="112" spans="1:44" x14ac:dyDescent="0.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26" t="str">
        <f t="shared" si="8"/>
        <v/>
      </c>
      <c r="O112" s="59"/>
      <c r="P112" s="60" t="str">
        <f>IF($C112="","",IF($AQ112&lt;&gt;"",$AQ112,SUMIFS(TblDynatrace[CPU P95 (vCPU)],TblDynatrace[ID],$C112,TblDynatrace[Environnement],$E112,TblDynatrace[Couloir],$F112)))</f>
        <v/>
      </c>
      <c r="Q112" s="60" t="str">
        <f>IF($C112="","",IF($AR112&lt;&gt;"",$AR112,SUMIFS(TblDynatrace[RAM P95 (Go)],TblDynatrace[ID],$C112,TblDynatrace[Environnement],$E112,TblDynatrace[Couloir],$F112)))</f>
        <v/>
      </c>
      <c r="R112" s="26" t="str">
        <f>IF($C112="","",IFERROR(INDEX(TblDynatrace[Métrique / période],MATCH($C112&amp;"|"&amp;$E112&amp;"|"&amp;$F112,TblDynatrace[Clé],0)),""))</f>
        <v/>
      </c>
      <c r="S112" s="60" t="str">
        <f>IF(OR($C112="",NOT(OR($G112="À migrer",$G112="À décommissionner")),$I112="",NOT(ISNUMBER($P112))),"",IF($AO112&lt;&gt;"",$AO112,IFERROR(SUMIFS(TblClusters[CPU initial (vCPU)],TblClusters[Cluster],$I112)*$P112/(SUMIFS(TblApplications[CPU Dynatrace (vCPU)],TblApplications[Cluster IKS source],$I112,TblApplications[Action],"À migrer")+SUMIFS(TblApplications[CPU Dynatrace (vCPU)],TblApplications[Cluster IKS source],$I112,TblApplications[Action],"À décommissionner")),0)))</f>
        <v/>
      </c>
      <c r="T112" s="60" t="str">
        <f>IF(OR($C112="",NOT(OR($G112="À migrer",$G112="À décommissionner")),$I112="",NOT(ISNUMBER($Q112))),"",IF($AP112&lt;&gt;"",$AP112,IFERROR(SUMIFS(TblClusters[RAM initiale (Go)],TblClusters[Cluster],$I112)*$Q112/(SUMIFS(TblApplications[RAM Dynatrace (Go)],TblApplications[Cluster IKS source],$I112,TblApplications[Action],"À migrer")+SUMIFS(TblApplications[RAM Dynatrace (Go)],TblApplications[Cluster IKS source],$I112,TblApplications[Action],"À décommissionner")),0)))</f>
        <v/>
      </c>
      <c r="U112" s="61"/>
      <c r="V112" s="61"/>
      <c r="W112" s="61"/>
      <c r="X112" s="59"/>
      <c r="Y112" s="26" t="str">
        <f t="shared" si="9"/>
        <v/>
      </c>
      <c r="Z112" s="26" t="str">
        <f t="shared" si="10"/>
        <v/>
      </c>
      <c r="AA112" s="33" t="str">
        <f t="shared" si="11"/>
        <v/>
      </c>
      <c r="AB112" s="33" t="str">
        <f t="shared" si="12"/>
        <v/>
      </c>
      <c r="AC112" s="26" t="str">
        <f t="shared" si="13"/>
        <v/>
      </c>
      <c r="AD112" s="26" t="str">
        <f>IF($C112="","",COUNTIF(TblApplications[ID],$C112))</f>
        <v/>
      </c>
      <c r="AE112" s="33" t="str">
        <f>IF($C112="","",IFERROR(1/(1/_xlfn.MINIFS(TblApplications[Mois prov (calc)],TblApplications[ID],$C112)),""))</f>
        <v/>
      </c>
      <c r="AF112" s="33" t="str">
        <f>IF($C112="","",IFERROR(1/(1/_xlfn.MAXIFS(TblApplications[Mois lib (calc)],TblApplications[ID],$C112)),""))</f>
        <v/>
      </c>
      <c r="AG112" s="26" t="str">
        <f>IF($C112="","",IF(OR(OR($A112="",$B112="",$D112="",$E112="",$F112="",$G112=""),AND($G112="À migrer",OR($H112="",$I112="",$O112="",$U112="",$V112="",$W112="")),AND($G112="Migré",OR($O112="")),AND($G112="À décommissionner",OR($I112="",$W112=""))),"Données manquantes (selon l’action)",IF(AND($G112&lt;&gt;"Migré",$G112&lt;&gt;"À migrer",$G112&lt;&gt;"À décommissionner",$G112&lt;&gt;"Décommissionné"),"Action invalide",IF(COUNTIF(TblDomaines[Domaine],$A112)=0,"Domaine inconnu (référentiel)",IF(COUNTIFS(TblTribes[Tribe],$B112,TblTribes[Domaine de la tribe],$A112)=0,"Tribe inconnue ou hors domaine",IF(AND($G112="À migrer",$H112&lt;&gt;"Oui",$H112&lt;&gt;"Non"),"Valeur Oui/Non invalide (Déjà incluse ROKS)",IF(AND($E112&lt;&gt;"PRD",$E112&lt;&gt;"NPRD"),"Environnement invalide",IF(COUNTIFS(TblApplications[ID],$C112,TblApplications[Environnement],$E112,TblApplications[Couloir],$F112)&gt;1,"Déploiement en doublon (ID + env + couloir)",IF(AND(OR(OR($G112="À migrer",$G112="Migré"),OR($G112="À migrer",$G112="À décommissionner")),N($P112)&lt;=0),"Conso Dynatrace absente (onglet Dynatrace)",IF(OR(AND($P112&lt;&gt;"",NOT(ISNUMBER($P112))),AND($Q112&lt;&gt;"",NOT(ISNUMBER($Q112)))),"Ressource non numérique",IF(MIN(N($P112),N($Q112))&lt;0,"Ressource négative",IF(OR(AND($AH112&lt;&gt;"",OR(NOT(ISNUMBER($AH112)),$AH112&lt;0,$AH112&gt;1)),AND($AI112&lt;&gt;"",OR(NOT(ISNUMBER($AI112)),$AI112&lt;0,$AI112&gt;1))),"Marge spécifique invalide (0–100 %)",IF(OR(AND($U112&lt;&gt;"",NOT(ISNUMBER($U112))),AND($V112&lt;&gt;"",NOT(ISNUMBER($V112))),AND($W112&lt;&gt;"",NOT(ISNUMBER($W112)))),"Mois invalide",IF(AND(OR($G112="À migrer",$G112="À décommissionner"),COUNTIFS(TblClusters[Cluster],$I112,TblClusters[Plateforme],"IKS")=0),"Cluster IKS inconnu",IF(AND(OR($G112="À migrer",$G112="Migré"),COUNTIFS(TblClusters[Cluster],$O112,TblClusters[Plateforme],"ROKS")=0),"Cluster ROKS inconnu",IF(AND(OR($G112="À migrer",$G112="À décommissionner"),COUNTIFS(TblClusters[Cluster],$I112,TblClusters[Environnement],$E112)=0),"Environnement ≠ cluster IKS",IF(AND(OR($G112="À migrer",$G112="Migré"),COUNTIFS(TblClusters[Cluster],$O112,TblClusters[Environnement],$E112)=0),"Environnement ≠ cluster ROKS",IF(AND($G112="À migrer",OR($U112&gt;$V112,$V112&gt;$W112)),"Dates incohérentes (prov ≤ bascule ≤ libération)",IF(AND(OR($G112="À migrer",$G112="À décommissionner"),OR(N($AO112)&gt;SUMIFS(TblClusters[CPU initial (vCPU)],TblClusters[Cluster],$I112),N($AP112)&gt;SUMIFS(TblClusters[RAM initiale (Go)],TblClusters[Cluster],$I112))),"Forçage &gt; capacité du cluster source",IF(OR(AND($AA112&lt;&gt;"",$AA112&lt;p_debut),AND($AB112&lt;&gt;"",$AB112&gt;p_fin)),"Hors horizon (info)",IF(AND($G112="À migrer",$E112="PRD",COUNTIFS(TblApplications[ID],$C112,TblApplications[Environnement],"NPRD",TblApplications[Action],"À migrer")&gt;0,$AA112&lt;_xlfn.MINIFS(TblApplications[Mois prov (calc)],TblApplications[ID],$C112,TblApplications[Environnement],"NPRD")),"PRD avant NPRD (info)","OK")))))))))))))))))))))</f>
        <v/>
      </c>
      <c r="AH112" s="62"/>
      <c r="AI112" s="62"/>
      <c r="AJ112" s="27" t="str">
        <f>IF(OR($C112="",NOT(OR($G112="À migrer",$G112="À décommissionner")),NOT(ISNUMBER($S112)),NOT(ISNUMBER($T112)),$AB112=""),"",($S112+p_poidsram*$T112)*SUMIFS(TblCalculs[Coût par unité],TblCalculs[Cluster],$I112,TblCalculs[Mois],"&lt;"&amp;$AB112))</f>
        <v/>
      </c>
      <c r="AK112" s="27" t="str">
        <f>IF($C112="","",IF(AND($G112="À migrer",$H112="Non",$Y112&lt;&gt;"",$AA112&lt;&gt;""),($Y112+p_poidsram*$Z112)*SUMIFS(TblCalculs[Coût par unité],TblCalculs[Cluster],$O112,TblCalculs[Mois],"&gt;="&amp;$AA112),IF(AND($G112="Migré",$Y112&lt;&gt;""),($Y112+p_poidsram*$Z112)*SUMIFS(TblCalculs[Coût par unité],TblCalculs[Cluster],$O112),"")))</f>
        <v/>
      </c>
      <c r="AL112" s="27" t="str">
        <f t="shared" si="14"/>
        <v/>
      </c>
      <c r="AM112" s="26" t="str">
        <f t="shared" si="15"/>
        <v/>
      </c>
      <c r="AN112" s="26" t="str">
        <f>IF(OR($C112="",$AM112&lt;&gt;1,COUNTIFS($E112,ex_envc,$A112,ex_domc,$B112,ex_tric)=0),"",COUNTIFS($AM$6:$AM112,1,$E$6:$E112,ex_envc,$A$6:$A112,ex_domc,$B$6:$B112,ex_tric))</f>
        <v/>
      </c>
      <c r="AO112" s="63"/>
      <c r="AP112" s="63"/>
      <c r="AQ112" s="63"/>
      <c r="AR112" s="63"/>
    </row>
    <row r="113" spans="1:44" x14ac:dyDescent="0.2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26" t="str">
        <f t="shared" si="8"/>
        <v/>
      </c>
      <c r="O113" s="59"/>
      <c r="P113" s="60" t="str">
        <f>IF($C113="","",IF($AQ113&lt;&gt;"",$AQ113,SUMIFS(TblDynatrace[CPU P95 (vCPU)],TblDynatrace[ID],$C113,TblDynatrace[Environnement],$E113,TblDynatrace[Couloir],$F113)))</f>
        <v/>
      </c>
      <c r="Q113" s="60" t="str">
        <f>IF($C113="","",IF($AR113&lt;&gt;"",$AR113,SUMIFS(TblDynatrace[RAM P95 (Go)],TblDynatrace[ID],$C113,TblDynatrace[Environnement],$E113,TblDynatrace[Couloir],$F113)))</f>
        <v/>
      </c>
      <c r="R113" s="26" t="str">
        <f>IF($C113="","",IFERROR(INDEX(TblDynatrace[Métrique / période],MATCH($C113&amp;"|"&amp;$E113&amp;"|"&amp;$F113,TblDynatrace[Clé],0)),""))</f>
        <v/>
      </c>
      <c r="S113" s="60" t="str">
        <f>IF(OR($C113="",NOT(OR($G113="À migrer",$G113="À décommissionner")),$I113="",NOT(ISNUMBER($P113))),"",IF($AO113&lt;&gt;"",$AO113,IFERROR(SUMIFS(TblClusters[CPU initial (vCPU)],TblClusters[Cluster],$I113)*$P113/(SUMIFS(TblApplications[CPU Dynatrace (vCPU)],TblApplications[Cluster IKS source],$I113,TblApplications[Action],"À migrer")+SUMIFS(TblApplications[CPU Dynatrace (vCPU)],TblApplications[Cluster IKS source],$I113,TblApplications[Action],"À décommissionner")),0)))</f>
        <v/>
      </c>
      <c r="T113" s="60" t="str">
        <f>IF(OR($C113="",NOT(OR($G113="À migrer",$G113="À décommissionner")),$I113="",NOT(ISNUMBER($Q113))),"",IF($AP113&lt;&gt;"",$AP113,IFERROR(SUMIFS(TblClusters[RAM initiale (Go)],TblClusters[Cluster],$I113)*$Q113/(SUMIFS(TblApplications[RAM Dynatrace (Go)],TblApplications[Cluster IKS source],$I113,TblApplications[Action],"À migrer")+SUMIFS(TblApplications[RAM Dynatrace (Go)],TblApplications[Cluster IKS source],$I113,TblApplications[Action],"À décommissionner")),0)))</f>
        <v/>
      </c>
      <c r="U113" s="61"/>
      <c r="V113" s="61"/>
      <c r="W113" s="61"/>
      <c r="X113" s="59"/>
      <c r="Y113" s="26" t="str">
        <f t="shared" si="9"/>
        <v/>
      </c>
      <c r="Z113" s="26" t="str">
        <f t="shared" si="10"/>
        <v/>
      </c>
      <c r="AA113" s="33" t="str">
        <f t="shared" si="11"/>
        <v/>
      </c>
      <c r="AB113" s="33" t="str">
        <f t="shared" si="12"/>
        <v/>
      </c>
      <c r="AC113" s="26" t="str">
        <f t="shared" si="13"/>
        <v/>
      </c>
      <c r="AD113" s="26" t="str">
        <f>IF($C113="","",COUNTIF(TblApplications[ID],$C113))</f>
        <v/>
      </c>
      <c r="AE113" s="33" t="str">
        <f>IF($C113="","",IFERROR(1/(1/_xlfn.MINIFS(TblApplications[Mois prov (calc)],TblApplications[ID],$C113)),""))</f>
        <v/>
      </c>
      <c r="AF113" s="33" t="str">
        <f>IF($C113="","",IFERROR(1/(1/_xlfn.MAXIFS(TblApplications[Mois lib (calc)],TblApplications[ID],$C113)),""))</f>
        <v/>
      </c>
      <c r="AG113" s="26" t="str">
        <f>IF($C113="","",IF(OR(OR($A113="",$B113="",$D113="",$E113="",$F113="",$G113=""),AND($G113="À migrer",OR($H113="",$I113="",$O113="",$U113="",$V113="",$W113="")),AND($G113="Migré",OR($O113="")),AND($G113="À décommissionner",OR($I113="",$W113=""))),"Données manquantes (selon l’action)",IF(AND($G113&lt;&gt;"Migré",$G113&lt;&gt;"À migrer",$G113&lt;&gt;"À décommissionner",$G113&lt;&gt;"Décommissionné"),"Action invalide",IF(COUNTIF(TblDomaines[Domaine],$A113)=0,"Domaine inconnu (référentiel)",IF(COUNTIFS(TblTribes[Tribe],$B113,TblTribes[Domaine de la tribe],$A113)=0,"Tribe inconnue ou hors domaine",IF(AND($G113="À migrer",$H113&lt;&gt;"Oui",$H113&lt;&gt;"Non"),"Valeur Oui/Non invalide (Déjà incluse ROKS)",IF(AND($E113&lt;&gt;"PRD",$E113&lt;&gt;"NPRD"),"Environnement invalide",IF(COUNTIFS(TblApplications[ID],$C113,TblApplications[Environnement],$E113,TblApplications[Couloir],$F113)&gt;1,"Déploiement en doublon (ID + env + couloir)",IF(AND(OR(OR($G113="À migrer",$G113="Migré"),OR($G113="À migrer",$G113="À décommissionner")),N($P113)&lt;=0),"Conso Dynatrace absente (onglet Dynatrace)",IF(OR(AND($P113&lt;&gt;"",NOT(ISNUMBER($P113))),AND($Q113&lt;&gt;"",NOT(ISNUMBER($Q113)))),"Ressource non numérique",IF(MIN(N($P113),N($Q113))&lt;0,"Ressource négative",IF(OR(AND($AH113&lt;&gt;"",OR(NOT(ISNUMBER($AH113)),$AH113&lt;0,$AH113&gt;1)),AND($AI113&lt;&gt;"",OR(NOT(ISNUMBER($AI113)),$AI113&lt;0,$AI113&gt;1))),"Marge spécifique invalide (0–100 %)",IF(OR(AND($U113&lt;&gt;"",NOT(ISNUMBER($U113))),AND($V113&lt;&gt;"",NOT(ISNUMBER($V113))),AND($W113&lt;&gt;"",NOT(ISNUMBER($W113)))),"Mois invalide",IF(AND(OR($G113="À migrer",$G113="À décommissionner"),COUNTIFS(TblClusters[Cluster],$I113,TblClusters[Plateforme],"IKS")=0),"Cluster IKS inconnu",IF(AND(OR($G113="À migrer",$G113="Migré"),COUNTIFS(TblClusters[Cluster],$O113,TblClusters[Plateforme],"ROKS")=0),"Cluster ROKS inconnu",IF(AND(OR($G113="À migrer",$G113="À décommissionner"),COUNTIFS(TblClusters[Cluster],$I113,TblClusters[Environnement],$E113)=0),"Environnement ≠ cluster IKS",IF(AND(OR($G113="À migrer",$G113="Migré"),COUNTIFS(TblClusters[Cluster],$O113,TblClusters[Environnement],$E113)=0),"Environnement ≠ cluster ROKS",IF(AND($G113="À migrer",OR($U113&gt;$V113,$V113&gt;$W113)),"Dates incohérentes (prov ≤ bascule ≤ libération)",IF(AND(OR($G113="À migrer",$G113="À décommissionner"),OR(N($AO113)&gt;SUMIFS(TblClusters[CPU initial (vCPU)],TblClusters[Cluster],$I113),N($AP113)&gt;SUMIFS(TblClusters[RAM initiale (Go)],TblClusters[Cluster],$I113))),"Forçage &gt; capacité du cluster source",IF(OR(AND($AA113&lt;&gt;"",$AA113&lt;p_debut),AND($AB113&lt;&gt;"",$AB113&gt;p_fin)),"Hors horizon (info)",IF(AND($G113="À migrer",$E113="PRD",COUNTIFS(TblApplications[ID],$C113,TblApplications[Environnement],"NPRD",TblApplications[Action],"À migrer")&gt;0,$AA113&lt;_xlfn.MINIFS(TblApplications[Mois prov (calc)],TblApplications[ID],$C113,TblApplications[Environnement],"NPRD")),"PRD avant NPRD (info)","OK")))))))))))))))))))))</f>
        <v/>
      </c>
      <c r="AH113" s="62"/>
      <c r="AI113" s="62"/>
      <c r="AJ113" s="27" t="str">
        <f>IF(OR($C113="",NOT(OR($G113="À migrer",$G113="À décommissionner")),NOT(ISNUMBER($S113)),NOT(ISNUMBER($T113)),$AB113=""),"",($S113+p_poidsram*$T113)*SUMIFS(TblCalculs[Coût par unité],TblCalculs[Cluster],$I113,TblCalculs[Mois],"&lt;"&amp;$AB113))</f>
        <v/>
      </c>
      <c r="AK113" s="27" t="str">
        <f>IF($C113="","",IF(AND($G113="À migrer",$H113="Non",$Y113&lt;&gt;"",$AA113&lt;&gt;""),($Y113+p_poidsram*$Z113)*SUMIFS(TblCalculs[Coût par unité],TblCalculs[Cluster],$O113,TblCalculs[Mois],"&gt;="&amp;$AA113),IF(AND($G113="Migré",$Y113&lt;&gt;""),($Y113+p_poidsram*$Z113)*SUMIFS(TblCalculs[Coût par unité],TblCalculs[Cluster],$O113),"")))</f>
        <v/>
      </c>
      <c r="AL113" s="27" t="str">
        <f t="shared" si="14"/>
        <v/>
      </c>
      <c r="AM113" s="26" t="str">
        <f t="shared" si="15"/>
        <v/>
      </c>
      <c r="AN113" s="26" t="str">
        <f>IF(OR($C113="",$AM113&lt;&gt;1,COUNTIFS($E113,ex_envc,$A113,ex_domc,$B113,ex_tric)=0),"",COUNTIFS($AM$6:$AM113,1,$E$6:$E113,ex_envc,$A$6:$A113,ex_domc,$B$6:$B113,ex_tric))</f>
        <v/>
      </c>
      <c r="AO113" s="63"/>
      <c r="AP113" s="63"/>
      <c r="AQ113" s="63"/>
      <c r="AR113" s="63"/>
    </row>
    <row r="114" spans="1:44" x14ac:dyDescent="0.2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26" t="str">
        <f t="shared" si="8"/>
        <v/>
      </c>
      <c r="O114" s="59"/>
      <c r="P114" s="60" t="str">
        <f>IF($C114="","",IF($AQ114&lt;&gt;"",$AQ114,SUMIFS(TblDynatrace[CPU P95 (vCPU)],TblDynatrace[ID],$C114,TblDynatrace[Environnement],$E114,TblDynatrace[Couloir],$F114)))</f>
        <v/>
      </c>
      <c r="Q114" s="60" t="str">
        <f>IF($C114="","",IF($AR114&lt;&gt;"",$AR114,SUMIFS(TblDynatrace[RAM P95 (Go)],TblDynatrace[ID],$C114,TblDynatrace[Environnement],$E114,TblDynatrace[Couloir],$F114)))</f>
        <v/>
      </c>
      <c r="R114" s="26" t="str">
        <f>IF($C114="","",IFERROR(INDEX(TblDynatrace[Métrique / période],MATCH($C114&amp;"|"&amp;$E114&amp;"|"&amp;$F114,TblDynatrace[Clé],0)),""))</f>
        <v/>
      </c>
      <c r="S114" s="60" t="str">
        <f>IF(OR($C114="",NOT(OR($G114="À migrer",$G114="À décommissionner")),$I114="",NOT(ISNUMBER($P114))),"",IF($AO114&lt;&gt;"",$AO114,IFERROR(SUMIFS(TblClusters[CPU initial (vCPU)],TblClusters[Cluster],$I114)*$P114/(SUMIFS(TblApplications[CPU Dynatrace (vCPU)],TblApplications[Cluster IKS source],$I114,TblApplications[Action],"À migrer")+SUMIFS(TblApplications[CPU Dynatrace (vCPU)],TblApplications[Cluster IKS source],$I114,TblApplications[Action],"À décommissionner")),0)))</f>
        <v/>
      </c>
      <c r="T114" s="60" t="str">
        <f>IF(OR($C114="",NOT(OR($G114="À migrer",$G114="À décommissionner")),$I114="",NOT(ISNUMBER($Q114))),"",IF($AP114&lt;&gt;"",$AP114,IFERROR(SUMIFS(TblClusters[RAM initiale (Go)],TblClusters[Cluster],$I114)*$Q114/(SUMIFS(TblApplications[RAM Dynatrace (Go)],TblApplications[Cluster IKS source],$I114,TblApplications[Action],"À migrer")+SUMIFS(TblApplications[RAM Dynatrace (Go)],TblApplications[Cluster IKS source],$I114,TblApplications[Action],"À décommissionner")),0)))</f>
        <v/>
      </c>
      <c r="U114" s="61"/>
      <c r="V114" s="61"/>
      <c r="W114" s="61"/>
      <c r="X114" s="59"/>
      <c r="Y114" s="26" t="str">
        <f t="shared" si="9"/>
        <v/>
      </c>
      <c r="Z114" s="26" t="str">
        <f t="shared" si="10"/>
        <v/>
      </c>
      <c r="AA114" s="33" t="str">
        <f t="shared" si="11"/>
        <v/>
      </c>
      <c r="AB114" s="33" t="str">
        <f t="shared" si="12"/>
        <v/>
      </c>
      <c r="AC114" s="26" t="str">
        <f t="shared" si="13"/>
        <v/>
      </c>
      <c r="AD114" s="26" t="str">
        <f>IF($C114="","",COUNTIF(TblApplications[ID],$C114))</f>
        <v/>
      </c>
      <c r="AE114" s="33" t="str">
        <f>IF($C114="","",IFERROR(1/(1/_xlfn.MINIFS(TblApplications[Mois prov (calc)],TblApplications[ID],$C114)),""))</f>
        <v/>
      </c>
      <c r="AF114" s="33" t="str">
        <f>IF($C114="","",IFERROR(1/(1/_xlfn.MAXIFS(TblApplications[Mois lib (calc)],TblApplications[ID],$C114)),""))</f>
        <v/>
      </c>
      <c r="AG114" s="26" t="str">
        <f>IF($C114="","",IF(OR(OR($A114="",$B114="",$D114="",$E114="",$F114="",$G114=""),AND($G114="À migrer",OR($H114="",$I114="",$O114="",$U114="",$V114="",$W114="")),AND($G114="Migré",OR($O114="")),AND($G114="À décommissionner",OR($I114="",$W114=""))),"Données manquantes (selon l’action)",IF(AND($G114&lt;&gt;"Migré",$G114&lt;&gt;"À migrer",$G114&lt;&gt;"À décommissionner",$G114&lt;&gt;"Décommissionné"),"Action invalide",IF(COUNTIF(TblDomaines[Domaine],$A114)=0,"Domaine inconnu (référentiel)",IF(COUNTIFS(TblTribes[Tribe],$B114,TblTribes[Domaine de la tribe],$A114)=0,"Tribe inconnue ou hors domaine",IF(AND($G114="À migrer",$H114&lt;&gt;"Oui",$H114&lt;&gt;"Non"),"Valeur Oui/Non invalide (Déjà incluse ROKS)",IF(AND($E114&lt;&gt;"PRD",$E114&lt;&gt;"NPRD"),"Environnement invalide",IF(COUNTIFS(TblApplications[ID],$C114,TblApplications[Environnement],$E114,TblApplications[Couloir],$F114)&gt;1,"Déploiement en doublon (ID + env + couloir)",IF(AND(OR(OR($G114="À migrer",$G114="Migré"),OR($G114="À migrer",$G114="À décommissionner")),N($P114)&lt;=0),"Conso Dynatrace absente (onglet Dynatrace)",IF(OR(AND($P114&lt;&gt;"",NOT(ISNUMBER($P114))),AND($Q114&lt;&gt;"",NOT(ISNUMBER($Q114)))),"Ressource non numérique",IF(MIN(N($P114),N($Q114))&lt;0,"Ressource négative",IF(OR(AND($AH114&lt;&gt;"",OR(NOT(ISNUMBER($AH114)),$AH114&lt;0,$AH114&gt;1)),AND($AI114&lt;&gt;"",OR(NOT(ISNUMBER($AI114)),$AI114&lt;0,$AI114&gt;1))),"Marge spécifique invalide (0–100 %)",IF(OR(AND($U114&lt;&gt;"",NOT(ISNUMBER($U114))),AND($V114&lt;&gt;"",NOT(ISNUMBER($V114))),AND($W114&lt;&gt;"",NOT(ISNUMBER($W114)))),"Mois invalide",IF(AND(OR($G114="À migrer",$G114="À décommissionner"),COUNTIFS(TblClusters[Cluster],$I114,TblClusters[Plateforme],"IKS")=0),"Cluster IKS inconnu",IF(AND(OR($G114="À migrer",$G114="Migré"),COUNTIFS(TblClusters[Cluster],$O114,TblClusters[Plateforme],"ROKS")=0),"Cluster ROKS inconnu",IF(AND(OR($G114="À migrer",$G114="À décommissionner"),COUNTIFS(TblClusters[Cluster],$I114,TblClusters[Environnement],$E114)=0),"Environnement ≠ cluster IKS",IF(AND(OR($G114="À migrer",$G114="Migré"),COUNTIFS(TblClusters[Cluster],$O114,TblClusters[Environnement],$E114)=0),"Environnement ≠ cluster ROKS",IF(AND($G114="À migrer",OR($U114&gt;$V114,$V114&gt;$W114)),"Dates incohérentes (prov ≤ bascule ≤ libération)",IF(AND(OR($G114="À migrer",$G114="À décommissionner"),OR(N($AO114)&gt;SUMIFS(TblClusters[CPU initial (vCPU)],TblClusters[Cluster],$I114),N($AP114)&gt;SUMIFS(TblClusters[RAM initiale (Go)],TblClusters[Cluster],$I114))),"Forçage &gt; capacité du cluster source",IF(OR(AND($AA114&lt;&gt;"",$AA114&lt;p_debut),AND($AB114&lt;&gt;"",$AB114&gt;p_fin)),"Hors horizon (info)",IF(AND($G114="À migrer",$E114="PRD",COUNTIFS(TblApplications[ID],$C114,TblApplications[Environnement],"NPRD",TblApplications[Action],"À migrer")&gt;0,$AA114&lt;_xlfn.MINIFS(TblApplications[Mois prov (calc)],TblApplications[ID],$C114,TblApplications[Environnement],"NPRD")),"PRD avant NPRD (info)","OK")))))))))))))))))))))</f>
        <v/>
      </c>
      <c r="AH114" s="62"/>
      <c r="AI114" s="62"/>
      <c r="AJ114" s="27" t="str">
        <f>IF(OR($C114="",NOT(OR($G114="À migrer",$G114="À décommissionner")),NOT(ISNUMBER($S114)),NOT(ISNUMBER($T114)),$AB114=""),"",($S114+p_poidsram*$T114)*SUMIFS(TblCalculs[Coût par unité],TblCalculs[Cluster],$I114,TblCalculs[Mois],"&lt;"&amp;$AB114))</f>
        <v/>
      </c>
      <c r="AK114" s="27" t="str">
        <f>IF($C114="","",IF(AND($G114="À migrer",$H114="Non",$Y114&lt;&gt;"",$AA114&lt;&gt;""),($Y114+p_poidsram*$Z114)*SUMIFS(TblCalculs[Coût par unité],TblCalculs[Cluster],$O114,TblCalculs[Mois],"&gt;="&amp;$AA114),IF(AND($G114="Migré",$Y114&lt;&gt;""),($Y114+p_poidsram*$Z114)*SUMIFS(TblCalculs[Coût par unité],TblCalculs[Cluster],$O114),"")))</f>
        <v/>
      </c>
      <c r="AL114" s="27" t="str">
        <f t="shared" si="14"/>
        <v/>
      </c>
      <c r="AM114" s="26" t="str">
        <f t="shared" si="15"/>
        <v/>
      </c>
      <c r="AN114" s="26" t="str">
        <f>IF(OR($C114="",$AM114&lt;&gt;1,COUNTIFS($E114,ex_envc,$A114,ex_domc,$B114,ex_tric)=0),"",COUNTIFS($AM$6:$AM114,1,$E$6:$E114,ex_envc,$A$6:$A114,ex_domc,$B$6:$B114,ex_tric))</f>
        <v/>
      </c>
      <c r="AO114" s="63"/>
      <c r="AP114" s="63"/>
      <c r="AQ114" s="63"/>
      <c r="AR114" s="63"/>
    </row>
    <row r="115" spans="1:44" x14ac:dyDescent="0.2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26" t="str">
        <f t="shared" si="8"/>
        <v/>
      </c>
      <c r="O115" s="59"/>
      <c r="P115" s="60" t="str">
        <f>IF($C115="","",IF($AQ115&lt;&gt;"",$AQ115,SUMIFS(TblDynatrace[CPU P95 (vCPU)],TblDynatrace[ID],$C115,TblDynatrace[Environnement],$E115,TblDynatrace[Couloir],$F115)))</f>
        <v/>
      </c>
      <c r="Q115" s="60" t="str">
        <f>IF($C115="","",IF($AR115&lt;&gt;"",$AR115,SUMIFS(TblDynatrace[RAM P95 (Go)],TblDynatrace[ID],$C115,TblDynatrace[Environnement],$E115,TblDynatrace[Couloir],$F115)))</f>
        <v/>
      </c>
      <c r="R115" s="26" t="str">
        <f>IF($C115="","",IFERROR(INDEX(TblDynatrace[Métrique / période],MATCH($C115&amp;"|"&amp;$E115&amp;"|"&amp;$F115,TblDynatrace[Clé],0)),""))</f>
        <v/>
      </c>
      <c r="S115" s="60" t="str">
        <f>IF(OR($C115="",NOT(OR($G115="À migrer",$G115="À décommissionner")),$I115="",NOT(ISNUMBER($P115))),"",IF($AO115&lt;&gt;"",$AO115,IFERROR(SUMIFS(TblClusters[CPU initial (vCPU)],TblClusters[Cluster],$I115)*$P115/(SUMIFS(TblApplications[CPU Dynatrace (vCPU)],TblApplications[Cluster IKS source],$I115,TblApplications[Action],"À migrer")+SUMIFS(TblApplications[CPU Dynatrace (vCPU)],TblApplications[Cluster IKS source],$I115,TblApplications[Action],"À décommissionner")),0)))</f>
        <v/>
      </c>
      <c r="T115" s="60" t="str">
        <f>IF(OR($C115="",NOT(OR($G115="À migrer",$G115="À décommissionner")),$I115="",NOT(ISNUMBER($Q115))),"",IF($AP115&lt;&gt;"",$AP115,IFERROR(SUMIFS(TblClusters[RAM initiale (Go)],TblClusters[Cluster],$I115)*$Q115/(SUMIFS(TblApplications[RAM Dynatrace (Go)],TblApplications[Cluster IKS source],$I115,TblApplications[Action],"À migrer")+SUMIFS(TblApplications[RAM Dynatrace (Go)],TblApplications[Cluster IKS source],$I115,TblApplications[Action],"À décommissionner")),0)))</f>
        <v/>
      </c>
      <c r="U115" s="61"/>
      <c r="V115" s="61"/>
      <c r="W115" s="61"/>
      <c r="X115" s="59"/>
      <c r="Y115" s="26" t="str">
        <f t="shared" si="9"/>
        <v/>
      </c>
      <c r="Z115" s="26" t="str">
        <f t="shared" si="10"/>
        <v/>
      </c>
      <c r="AA115" s="33" t="str">
        <f t="shared" si="11"/>
        <v/>
      </c>
      <c r="AB115" s="33" t="str">
        <f t="shared" si="12"/>
        <v/>
      </c>
      <c r="AC115" s="26" t="str">
        <f t="shared" si="13"/>
        <v/>
      </c>
      <c r="AD115" s="26" t="str">
        <f>IF($C115="","",COUNTIF(TblApplications[ID],$C115))</f>
        <v/>
      </c>
      <c r="AE115" s="33" t="str">
        <f>IF($C115="","",IFERROR(1/(1/_xlfn.MINIFS(TblApplications[Mois prov (calc)],TblApplications[ID],$C115)),""))</f>
        <v/>
      </c>
      <c r="AF115" s="33" t="str">
        <f>IF($C115="","",IFERROR(1/(1/_xlfn.MAXIFS(TblApplications[Mois lib (calc)],TblApplications[ID],$C115)),""))</f>
        <v/>
      </c>
      <c r="AG115" s="26" t="str">
        <f>IF($C115="","",IF(OR(OR($A115="",$B115="",$D115="",$E115="",$F115="",$G115=""),AND($G115="À migrer",OR($H115="",$I115="",$O115="",$U115="",$V115="",$W115="")),AND($G115="Migré",OR($O115="")),AND($G115="À décommissionner",OR($I115="",$W115=""))),"Données manquantes (selon l’action)",IF(AND($G115&lt;&gt;"Migré",$G115&lt;&gt;"À migrer",$G115&lt;&gt;"À décommissionner",$G115&lt;&gt;"Décommissionné"),"Action invalide",IF(COUNTIF(TblDomaines[Domaine],$A115)=0,"Domaine inconnu (référentiel)",IF(COUNTIFS(TblTribes[Tribe],$B115,TblTribes[Domaine de la tribe],$A115)=0,"Tribe inconnue ou hors domaine",IF(AND($G115="À migrer",$H115&lt;&gt;"Oui",$H115&lt;&gt;"Non"),"Valeur Oui/Non invalide (Déjà incluse ROKS)",IF(AND($E115&lt;&gt;"PRD",$E115&lt;&gt;"NPRD"),"Environnement invalide",IF(COUNTIFS(TblApplications[ID],$C115,TblApplications[Environnement],$E115,TblApplications[Couloir],$F115)&gt;1,"Déploiement en doublon (ID + env + couloir)",IF(AND(OR(OR($G115="À migrer",$G115="Migré"),OR($G115="À migrer",$G115="À décommissionner")),N($P115)&lt;=0),"Conso Dynatrace absente (onglet Dynatrace)",IF(OR(AND($P115&lt;&gt;"",NOT(ISNUMBER($P115))),AND($Q115&lt;&gt;"",NOT(ISNUMBER($Q115)))),"Ressource non numérique",IF(MIN(N($P115),N($Q115))&lt;0,"Ressource négative",IF(OR(AND($AH115&lt;&gt;"",OR(NOT(ISNUMBER($AH115)),$AH115&lt;0,$AH115&gt;1)),AND($AI115&lt;&gt;"",OR(NOT(ISNUMBER($AI115)),$AI115&lt;0,$AI115&gt;1))),"Marge spécifique invalide (0–100 %)",IF(OR(AND($U115&lt;&gt;"",NOT(ISNUMBER($U115))),AND($V115&lt;&gt;"",NOT(ISNUMBER($V115))),AND($W115&lt;&gt;"",NOT(ISNUMBER($W115)))),"Mois invalide",IF(AND(OR($G115="À migrer",$G115="À décommissionner"),COUNTIFS(TblClusters[Cluster],$I115,TblClusters[Plateforme],"IKS")=0),"Cluster IKS inconnu",IF(AND(OR($G115="À migrer",$G115="Migré"),COUNTIFS(TblClusters[Cluster],$O115,TblClusters[Plateforme],"ROKS")=0),"Cluster ROKS inconnu",IF(AND(OR($G115="À migrer",$G115="À décommissionner"),COUNTIFS(TblClusters[Cluster],$I115,TblClusters[Environnement],$E115)=0),"Environnement ≠ cluster IKS",IF(AND(OR($G115="À migrer",$G115="Migré"),COUNTIFS(TblClusters[Cluster],$O115,TblClusters[Environnement],$E115)=0),"Environnement ≠ cluster ROKS",IF(AND($G115="À migrer",OR($U115&gt;$V115,$V115&gt;$W115)),"Dates incohérentes (prov ≤ bascule ≤ libération)",IF(AND(OR($G115="À migrer",$G115="À décommissionner"),OR(N($AO115)&gt;SUMIFS(TblClusters[CPU initial (vCPU)],TblClusters[Cluster],$I115),N($AP115)&gt;SUMIFS(TblClusters[RAM initiale (Go)],TblClusters[Cluster],$I115))),"Forçage &gt; capacité du cluster source",IF(OR(AND($AA115&lt;&gt;"",$AA115&lt;p_debut),AND($AB115&lt;&gt;"",$AB115&gt;p_fin)),"Hors horizon (info)",IF(AND($G115="À migrer",$E115="PRD",COUNTIFS(TblApplications[ID],$C115,TblApplications[Environnement],"NPRD",TblApplications[Action],"À migrer")&gt;0,$AA115&lt;_xlfn.MINIFS(TblApplications[Mois prov (calc)],TblApplications[ID],$C115,TblApplications[Environnement],"NPRD")),"PRD avant NPRD (info)","OK")))))))))))))))))))))</f>
        <v/>
      </c>
      <c r="AH115" s="62"/>
      <c r="AI115" s="62"/>
      <c r="AJ115" s="27" t="str">
        <f>IF(OR($C115="",NOT(OR($G115="À migrer",$G115="À décommissionner")),NOT(ISNUMBER($S115)),NOT(ISNUMBER($T115)),$AB115=""),"",($S115+p_poidsram*$T115)*SUMIFS(TblCalculs[Coût par unité],TblCalculs[Cluster],$I115,TblCalculs[Mois],"&lt;"&amp;$AB115))</f>
        <v/>
      </c>
      <c r="AK115" s="27" t="str">
        <f>IF($C115="","",IF(AND($G115="À migrer",$H115="Non",$Y115&lt;&gt;"",$AA115&lt;&gt;""),($Y115+p_poidsram*$Z115)*SUMIFS(TblCalculs[Coût par unité],TblCalculs[Cluster],$O115,TblCalculs[Mois],"&gt;="&amp;$AA115),IF(AND($G115="Migré",$Y115&lt;&gt;""),($Y115+p_poidsram*$Z115)*SUMIFS(TblCalculs[Coût par unité],TblCalculs[Cluster],$O115),"")))</f>
        <v/>
      </c>
      <c r="AL115" s="27" t="str">
        <f t="shared" si="14"/>
        <v/>
      </c>
      <c r="AM115" s="26" t="str">
        <f t="shared" si="15"/>
        <v/>
      </c>
      <c r="AN115" s="26" t="str">
        <f>IF(OR($C115="",$AM115&lt;&gt;1,COUNTIFS($E115,ex_envc,$A115,ex_domc,$B115,ex_tric)=0),"",COUNTIFS($AM$6:$AM115,1,$E$6:$E115,ex_envc,$A$6:$A115,ex_domc,$B$6:$B115,ex_tric))</f>
        <v/>
      </c>
      <c r="AO115" s="63"/>
      <c r="AP115" s="63"/>
      <c r="AQ115" s="63"/>
      <c r="AR115" s="63"/>
    </row>
    <row r="116" spans="1:44" x14ac:dyDescent="0.2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26" t="str">
        <f t="shared" si="8"/>
        <v/>
      </c>
      <c r="O116" s="59"/>
      <c r="P116" s="60" t="str">
        <f>IF($C116="","",IF($AQ116&lt;&gt;"",$AQ116,SUMIFS(TblDynatrace[CPU P95 (vCPU)],TblDynatrace[ID],$C116,TblDynatrace[Environnement],$E116,TblDynatrace[Couloir],$F116)))</f>
        <v/>
      </c>
      <c r="Q116" s="60" t="str">
        <f>IF($C116="","",IF($AR116&lt;&gt;"",$AR116,SUMIFS(TblDynatrace[RAM P95 (Go)],TblDynatrace[ID],$C116,TblDynatrace[Environnement],$E116,TblDynatrace[Couloir],$F116)))</f>
        <v/>
      </c>
      <c r="R116" s="26" t="str">
        <f>IF($C116="","",IFERROR(INDEX(TblDynatrace[Métrique / période],MATCH($C116&amp;"|"&amp;$E116&amp;"|"&amp;$F116,TblDynatrace[Clé],0)),""))</f>
        <v/>
      </c>
      <c r="S116" s="60" t="str">
        <f>IF(OR($C116="",NOT(OR($G116="À migrer",$G116="À décommissionner")),$I116="",NOT(ISNUMBER($P116))),"",IF($AO116&lt;&gt;"",$AO116,IFERROR(SUMIFS(TblClusters[CPU initial (vCPU)],TblClusters[Cluster],$I116)*$P116/(SUMIFS(TblApplications[CPU Dynatrace (vCPU)],TblApplications[Cluster IKS source],$I116,TblApplications[Action],"À migrer")+SUMIFS(TblApplications[CPU Dynatrace (vCPU)],TblApplications[Cluster IKS source],$I116,TblApplications[Action],"À décommissionner")),0)))</f>
        <v/>
      </c>
      <c r="T116" s="60" t="str">
        <f>IF(OR($C116="",NOT(OR($G116="À migrer",$G116="À décommissionner")),$I116="",NOT(ISNUMBER($Q116))),"",IF($AP116&lt;&gt;"",$AP116,IFERROR(SUMIFS(TblClusters[RAM initiale (Go)],TblClusters[Cluster],$I116)*$Q116/(SUMIFS(TblApplications[RAM Dynatrace (Go)],TblApplications[Cluster IKS source],$I116,TblApplications[Action],"À migrer")+SUMIFS(TblApplications[RAM Dynatrace (Go)],TblApplications[Cluster IKS source],$I116,TblApplications[Action],"À décommissionner")),0)))</f>
        <v/>
      </c>
      <c r="U116" s="61"/>
      <c r="V116" s="61"/>
      <c r="W116" s="61"/>
      <c r="X116" s="59"/>
      <c r="Y116" s="26" t="str">
        <f t="shared" si="9"/>
        <v/>
      </c>
      <c r="Z116" s="26" t="str">
        <f t="shared" si="10"/>
        <v/>
      </c>
      <c r="AA116" s="33" t="str">
        <f t="shared" si="11"/>
        <v/>
      </c>
      <c r="AB116" s="33" t="str">
        <f t="shared" si="12"/>
        <v/>
      </c>
      <c r="AC116" s="26" t="str">
        <f t="shared" si="13"/>
        <v/>
      </c>
      <c r="AD116" s="26" t="str">
        <f>IF($C116="","",COUNTIF(TblApplications[ID],$C116))</f>
        <v/>
      </c>
      <c r="AE116" s="33" t="str">
        <f>IF($C116="","",IFERROR(1/(1/_xlfn.MINIFS(TblApplications[Mois prov (calc)],TblApplications[ID],$C116)),""))</f>
        <v/>
      </c>
      <c r="AF116" s="33" t="str">
        <f>IF($C116="","",IFERROR(1/(1/_xlfn.MAXIFS(TblApplications[Mois lib (calc)],TblApplications[ID],$C116)),""))</f>
        <v/>
      </c>
      <c r="AG116" s="26" t="str">
        <f>IF($C116="","",IF(OR(OR($A116="",$B116="",$D116="",$E116="",$F116="",$G116=""),AND($G116="À migrer",OR($H116="",$I116="",$O116="",$U116="",$V116="",$W116="")),AND($G116="Migré",OR($O116="")),AND($G116="À décommissionner",OR($I116="",$W116=""))),"Données manquantes (selon l’action)",IF(AND($G116&lt;&gt;"Migré",$G116&lt;&gt;"À migrer",$G116&lt;&gt;"À décommissionner",$G116&lt;&gt;"Décommissionné"),"Action invalide",IF(COUNTIF(TblDomaines[Domaine],$A116)=0,"Domaine inconnu (référentiel)",IF(COUNTIFS(TblTribes[Tribe],$B116,TblTribes[Domaine de la tribe],$A116)=0,"Tribe inconnue ou hors domaine",IF(AND($G116="À migrer",$H116&lt;&gt;"Oui",$H116&lt;&gt;"Non"),"Valeur Oui/Non invalide (Déjà incluse ROKS)",IF(AND($E116&lt;&gt;"PRD",$E116&lt;&gt;"NPRD"),"Environnement invalide",IF(COUNTIFS(TblApplications[ID],$C116,TblApplications[Environnement],$E116,TblApplications[Couloir],$F116)&gt;1,"Déploiement en doublon (ID + env + couloir)",IF(AND(OR(OR($G116="À migrer",$G116="Migré"),OR($G116="À migrer",$G116="À décommissionner")),N($P116)&lt;=0),"Conso Dynatrace absente (onglet Dynatrace)",IF(OR(AND($P116&lt;&gt;"",NOT(ISNUMBER($P116))),AND($Q116&lt;&gt;"",NOT(ISNUMBER($Q116)))),"Ressource non numérique",IF(MIN(N($P116),N($Q116))&lt;0,"Ressource négative",IF(OR(AND($AH116&lt;&gt;"",OR(NOT(ISNUMBER($AH116)),$AH116&lt;0,$AH116&gt;1)),AND($AI116&lt;&gt;"",OR(NOT(ISNUMBER($AI116)),$AI116&lt;0,$AI116&gt;1))),"Marge spécifique invalide (0–100 %)",IF(OR(AND($U116&lt;&gt;"",NOT(ISNUMBER($U116))),AND($V116&lt;&gt;"",NOT(ISNUMBER($V116))),AND($W116&lt;&gt;"",NOT(ISNUMBER($W116)))),"Mois invalide",IF(AND(OR($G116="À migrer",$G116="À décommissionner"),COUNTIFS(TblClusters[Cluster],$I116,TblClusters[Plateforme],"IKS")=0),"Cluster IKS inconnu",IF(AND(OR($G116="À migrer",$G116="Migré"),COUNTIFS(TblClusters[Cluster],$O116,TblClusters[Plateforme],"ROKS")=0),"Cluster ROKS inconnu",IF(AND(OR($G116="À migrer",$G116="À décommissionner"),COUNTIFS(TblClusters[Cluster],$I116,TblClusters[Environnement],$E116)=0),"Environnement ≠ cluster IKS",IF(AND(OR($G116="À migrer",$G116="Migré"),COUNTIFS(TblClusters[Cluster],$O116,TblClusters[Environnement],$E116)=0),"Environnement ≠ cluster ROKS",IF(AND($G116="À migrer",OR($U116&gt;$V116,$V116&gt;$W116)),"Dates incohérentes (prov ≤ bascule ≤ libération)",IF(AND(OR($G116="À migrer",$G116="À décommissionner"),OR(N($AO116)&gt;SUMIFS(TblClusters[CPU initial (vCPU)],TblClusters[Cluster],$I116),N($AP116)&gt;SUMIFS(TblClusters[RAM initiale (Go)],TblClusters[Cluster],$I116))),"Forçage &gt; capacité du cluster source",IF(OR(AND($AA116&lt;&gt;"",$AA116&lt;p_debut),AND($AB116&lt;&gt;"",$AB116&gt;p_fin)),"Hors horizon (info)",IF(AND($G116="À migrer",$E116="PRD",COUNTIFS(TblApplications[ID],$C116,TblApplications[Environnement],"NPRD",TblApplications[Action],"À migrer")&gt;0,$AA116&lt;_xlfn.MINIFS(TblApplications[Mois prov (calc)],TblApplications[ID],$C116,TblApplications[Environnement],"NPRD")),"PRD avant NPRD (info)","OK")))))))))))))))))))))</f>
        <v/>
      </c>
      <c r="AH116" s="62"/>
      <c r="AI116" s="62"/>
      <c r="AJ116" s="27" t="str">
        <f>IF(OR($C116="",NOT(OR($G116="À migrer",$G116="À décommissionner")),NOT(ISNUMBER($S116)),NOT(ISNUMBER($T116)),$AB116=""),"",($S116+p_poidsram*$T116)*SUMIFS(TblCalculs[Coût par unité],TblCalculs[Cluster],$I116,TblCalculs[Mois],"&lt;"&amp;$AB116))</f>
        <v/>
      </c>
      <c r="AK116" s="27" t="str">
        <f>IF($C116="","",IF(AND($G116="À migrer",$H116="Non",$Y116&lt;&gt;"",$AA116&lt;&gt;""),($Y116+p_poidsram*$Z116)*SUMIFS(TblCalculs[Coût par unité],TblCalculs[Cluster],$O116,TblCalculs[Mois],"&gt;="&amp;$AA116),IF(AND($G116="Migré",$Y116&lt;&gt;""),($Y116+p_poidsram*$Z116)*SUMIFS(TblCalculs[Coût par unité],TblCalculs[Cluster],$O116),"")))</f>
        <v/>
      </c>
      <c r="AL116" s="27" t="str">
        <f t="shared" si="14"/>
        <v/>
      </c>
      <c r="AM116" s="26" t="str">
        <f t="shared" si="15"/>
        <v/>
      </c>
      <c r="AN116" s="26" t="str">
        <f>IF(OR($C116="",$AM116&lt;&gt;1,COUNTIFS($E116,ex_envc,$A116,ex_domc,$B116,ex_tric)=0),"",COUNTIFS($AM$6:$AM116,1,$E$6:$E116,ex_envc,$A$6:$A116,ex_domc,$B$6:$B116,ex_tric))</f>
        <v/>
      </c>
      <c r="AO116" s="63"/>
      <c r="AP116" s="63"/>
      <c r="AQ116" s="63"/>
      <c r="AR116" s="63"/>
    </row>
    <row r="117" spans="1:44" x14ac:dyDescent="0.2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26" t="str">
        <f t="shared" si="8"/>
        <v/>
      </c>
      <c r="O117" s="59"/>
      <c r="P117" s="60" t="str">
        <f>IF($C117="","",IF($AQ117&lt;&gt;"",$AQ117,SUMIFS(TblDynatrace[CPU P95 (vCPU)],TblDynatrace[ID],$C117,TblDynatrace[Environnement],$E117,TblDynatrace[Couloir],$F117)))</f>
        <v/>
      </c>
      <c r="Q117" s="60" t="str">
        <f>IF($C117="","",IF($AR117&lt;&gt;"",$AR117,SUMIFS(TblDynatrace[RAM P95 (Go)],TblDynatrace[ID],$C117,TblDynatrace[Environnement],$E117,TblDynatrace[Couloir],$F117)))</f>
        <v/>
      </c>
      <c r="R117" s="26" t="str">
        <f>IF($C117="","",IFERROR(INDEX(TblDynatrace[Métrique / période],MATCH($C117&amp;"|"&amp;$E117&amp;"|"&amp;$F117,TblDynatrace[Clé],0)),""))</f>
        <v/>
      </c>
      <c r="S117" s="60" t="str">
        <f>IF(OR($C117="",NOT(OR($G117="À migrer",$G117="À décommissionner")),$I117="",NOT(ISNUMBER($P117))),"",IF($AO117&lt;&gt;"",$AO117,IFERROR(SUMIFS(TblClusters[CPU initial (vCPU)],TblClusters[Cluster],$I117)*$P117/(SUMIFS(TblApplications[CPU Dynatrace (vCPU)],TblApplications[Cluster IKS source],$I117,TblApplications[Action],"À migrer")+SUMIFS(TblApplications[CPU Dynatrace (vCPU)],TblApplications[Cluster IKS source],$I117,TblApplications[Action],"À décommissionner")),0)))</f>
        <v/>
      </c>
      <c r="T117" s="60" t="str">
        <f>IF(OR($C117="",NOT(OR($G117="À migrer",$G117="À décommissionner")),$I117="",NOT(ISNUMBER($Q117))),"",IF($AP117&lt;&gt;"",$AP117,IFERROR(SUMIFS(TblClusters[RAM initiale (Go)],TblClusters[Cluster],$I117)*$Q117/(SUMIFS(TblApplications[RAM Dynatrace (Go)],TblApplications[Cluster IKS source],$I117,TblApplications[Action],"À migrer")+SUMIFS(TblApplications[RAM Dynatrace (Go)],TblApplications[Cluster IKS source],$I117,TblApplications[Action],"À décommissionner")),0)))</f>
        <v/>
      </c>
      <c r="U117" s="61"/>
      <c r="V117" s="61"/>
      <c r="W117" s="61"/>
      <c r="X117" s="59"/>
      <c r="Y117" s="26" t="str">
        <f t="shared" si="9"/>
        <v/>
      </c>
      <c r="Z117" s="26" t="str">
        <f t="shared" si="10"/>
        <v/>
      </c>
      <c r="AA117" s="33" t="str">
        <f t="shared" si="11"/>
        <v/>
      </c>
      <c r="AB117" s="33" t="str">
        <f t="shared" si="12"/>
        <v/>
      </c>
      <c r="AC117" s="26" t="str">
        <f t="shared" si="13"/>
        <v/>
      </c>
      <c r="AD117" s="26" t="str">
        <f>IF($C117="","",COUNTIF(TblApplications[ID],$C117))</f>
        <v/>
      </c>
      <c r="AE117" s="33" t="str">
        <f>IF($C117="","",IFERROR(1/(1/_xlfn.MINIFS(TblApplications[Mois prov (calc)],TblApplications[ID],$C117)),""))</f>
        <v/>
      </c>
      <c r="AF117" s="33" t="str">
        <f>IF($C117="","",IFERROR(1/(1/_xlfn.MAXIFS(TblApplications[Mois lib (calc)],TblApplications[ID],$C117)),""))</f>
        <v/>
      </c>
      <c r="AG117" s="26" t="str">
        <f>IF($C117="","",IF(OR(OR($A117="",$B117="",$D117="",$E117="",$F117="",$G117=""),AND($G117="À migrer",OR($H117="",$I117="",$O117="",$U117="",$V117="",$W117="")),AND($G117="Migré",OR($O117="")),AND($G117="À décommissionner",OR($I117="",$W117=""))),"Données manquantes (selon l’action)",IF(AND($G117&lt;&gt;"Migré",$G117&lt;&gt;"À migrer",$G117&lt;&gt;"À décommissionner",$G117&lt;&gt;"Décommissionné"),"Action invalide",IF(COUNTIF(TblDomaines[Domaine],$A117)=0,"Domaine inconnu (référentiel)",IF(COUNTIFS(TblTribes[Tribe],$B117,TblTribes[Domaine de la tribe],$A117)=0,"Tribe inconnue ou hors domaine",IF(AND($G117="À migrer",$H117&lt;&gt;"Oui",$H117&lt;&gt;"Non"),"Valeur Oui/Non invalide (Déjà incluse ROKS)",IF(AND($E117&lt;&gt;"PRD",$E117&lt;&gt;"NPRD"),"Environnement invalide",IF(COUNTIFS(TblApplications[ID],$C117,TblApplications[Environnement],$E117,TblApplications[Couloir],$F117)&gt;1,"Déploiement en doublon (ID + env + couloir)",IF(AND(OR(OR($G117="À migrer",$G117="Migré"),OR($G117="À migrer",$G117="À décommissionner")),N($P117)&lt;=0),"Conso Dynatrace absente (onglet Dynatrace)",IF(OR(AND($P117&lt;&gt;"",NOT(ISNUMBER($P117))),AND($Q117&lt;&gt;"",NOT(ISNUMBER($Q117)))),"Ressource non numérique",IF(MIN(N($P117),N($Q117))&lt;0,"Ressource négative",IF(OR(AND($AH117&lt;&gt;"",OR(NOT(ISNUMBER($AH117)),$AH117&lt;0,$AH117&gt;1)),AND($AI117&lt;&gt;"",OR(NOT(ISNUMBER($AI117)),$AI117&lt;0,$AI117&gt;1))),"Marge spécifique invalide (0–100 %)",IF(OR(AND($U117&lt;&gt;"",NOT(ISNUMBER($U117))),AND($V117&lt;&gt;"",NOT(ISNUMBER($V117))),AND($W117&lt;&gt;"",NOT(ISNUMBER($W117)))),"Mois invalide",IF(AND(OR($G117="À migrer",$G117="À décommissionner"),COUNTIFS(TblClusters[Cluster],$I117,TblClusters[Plateforme],"IKS")=0),"Cluster IKS inconnu",IF(AND(OR($G117="À migrer",$G117="Migré"),COUNTIFS(TblClusters[Cluster],$O117,TblClusters[Plateforme],"ROKS")=0),"Cluster ROKS inconnu",IF(AND(OR($G117="À migrer",$G117="À décommissionner"),COUNTIFS(TblClusters[Cluster],$I117,TblClusters[Environnement],$E117)=0),"Environnement ≠ cluster IKS",IF(AND(OR($G117="À migrer",$G117="Migré"),COUNTIFS(TblClusters[Cluster],$O117,TblClusters[Environnement],$E117)=0),"Environnement ≠ cluster ROKS",IF(AND($G117="À migrer",OR($U117&gt;$V117,$V117&gt;$W117)),"Dates incohérentes (prov ≤ bascule ≤ libération)",IF(AND(OR($G117="À migrer",$G117="À décommissionner"),OR(N($AO117)&gt;SUMIFS(TblClusters[CPU initial (vCPU)],TblClusters[Cluster],$I117),N($AP117)&gt;SUMIFS(TblClusters[RAM initiale (Go)],TblClusters[Cluster],$I117))),"Forçage &gt; capacité du cluster source",IF(OR(AND($AA117&lt;&gt;"",$AA117&lt;p_debut),AND($AB117&lt;&gt;"",$AB117&gt;p_fin)),"Hors horizon (info)",IF(AND($G117="À migrer",$E117="PRD",COUNTIFS(TblApplications[ID],$C117,TblApplications[Environnement],"NPRD",TblApplications[Action],"À migrer")&gt;0,$AA117&lt;_xlfn.MINIFS(TblApplications[Mois prov (calc)],TblApplications[ID],$C117,TblApplications[Environnement],"NPRD")),"PRD avant NPRD (info)","OK")))))))))))))))))))))</f>
        <v/>
      </c>
      <c r="AH117" s="62"/>
      <c r="AI117" s="62"/>
      <c r="AJ117" s="27" t="str">
        <f>IF(OR($C117="",NOT(OR($G117="À migrer",$G117="À décommissionner")),NOT(ISNUMBER($S117)),NOT(ISNUMBER($T117)),$AB117=""),"",($S117+p_poidsram*$T117)*SUMIFS(TblCalculs[Coût par unité],TblCalculs[Cluster],$I117,TblCalculs[Mois],"&lt;"&amp;$AB117))</f>
        <v/>
      </c>
      <c r="AK117" s="27" t="str">
        <f>IF($C117="","",IF(AND($G117="À migrer",$H117="Non",$Y117&lt;&gt;"",$AA117&lt;&gt;""),($Y117+p_poidsram*$Z117)*SUMIFS(TblCalculs[Coût par unité],TblCalculs[Cluster],$O117,TblCalculs[Mois],"&gt;="&amp;$AA117),IF(AND($G117="Migré",$Y117&lt;&gt;""),($Y117+p_poidsram*$Z117)*SUMIFS(TblCalculs[Coût par unité],TblCalculs[Cluster],$O117),"")))</f>
        <v/>
      </c>
      <c r="AL117" s="27" t="str">
        <f t="shared" si="14"/>
        <v/>
      </c>
      <c r="AM117" s="26" t="str">
        <f t="shared" si="15"/>
        <v/>
      </c>
      <c r="AN117" s="26" t="str">
        <f>IF(OR($C117="",$AM117&lt;&gt;1,COUNTIFS($E117,ex_envc,$A117,ex_domc,$B117,ex_tric)=0),"",COUNTIFS($AM$6:$AM117,1,$E$6:$E117,ex_envc,$A$6:$A117,ex_domc,$B$6:$B117,ex_tric))</f>
        <v/>
      </c>
      <c r="AO117" s="63"/>
      <c r="AP117" s="63"/>
      <c r="AQ117" s="63"/>
      <c r="AR117" s="63"/>
    </row>
    <row r="118" spans="1:44" x14ac:dyDescent="0.2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26" t="str">
        <f t="shared" si="8"/>
        <v/>
      </c>
      <c r="O118" s="59"/>
      <c r="P118" s="60" t="str">
        <f>IF($C118="","",IF($AQ118&lt;&gt;"",$AQ118,SUMIFS(TblDynatrace[CPU P95 (vCPU)],TblDynatrace[ID],$C118,TblDynatrace[Environnement],$E118,TblDynatrace[Couloir],$F118)))</f>
        <v/>
      </c>
      <c r="Q118" s="60" t="str">
        <f>IF($C118="","",IF($AR118&lt;&gt;"",$AR118,SUMIFS(TblDynatrace[RAM P95 (Go)],TblDynatrace[ID],$C118,TblDynatrace[Environnement],$E118,TblDynatrace[Couloir],$F118)))</f>
        <v/>
      </c>
      <c r="R118" s="26" t="str">
        <f>IF($C118="","",IFERROR(INDEX(TblDynatrace[Métrique / période],MATCH($C118&amp;"|"&amp;$E118&amp;"|"&amp;$F118,TblDynatrace[Clé],0)),""))</f>
        <v/>
      </c>
      <c r="S118" s="60" t="str">
        <f>IF(OR($C118="",NOT(OR($G118="À migrer",$G118="À décommissionner")),$I118="",NOT(ISNUMBER($P118))),"",IF($AO118&lt;&gt;"",$AO118,IFERROR(SUMIFS(TblClusters[CPU initial (vCPU)],TblClusters[Cluster],$I118)*$P118/(SUMIFS(TblApplications[CPU Dynatrace (vCPU)],TblApplications[Cluster IKS source],$I118,TblApplications[Action],"À migrer")+SUMIFS(TblApplications[CPU Dynatrace (vCPU)],TblApplications[Cluster IKS source],$I118,TblApplications[Action],"À décommissionner")),0)))</f>
        <v/>
      </c>
      <c r="T118" s="60" t="str">
        <f>IF(OR($C118="",NOT(OR($G118="À migrer",$G118="À décommissionner")),$I118="",NOT(ISNUMBER($Q118))),"",IF($AP118&lt;&gt;"",$AP118,IFERROR(SUMIFS(TblClusters[RAM initiale (Go)],TblClusters[Cluster],$I118)*$Q118/(SUMIFS(TblApplications[RAM Dynatrace (Go)],TblApplications[Cluster IKS source],$I118,TblApplications[Action],"À migrer")+SUMIFS(TblApplications[RAM Dynatrace (Go)],TblApplications[Cluster IKS source],$I118,TblApplications[Action],"À décommissionner")),0)))</f>
        <v/>
      </c>
      <c r="U118" s="61"/>
      <c r="V118" s="61"/>
      <c r="W118" s="61"/>
      <c r="X118" s="59"/>
      <c r="Y118" s="26" t="str">
        <f t="shared" si="9"/>
        <v/>
      </c>
      <c r="Z118" s="26" t="str">
        <f t="shared" si="10"/>
        <v/>
      </c>
      <c r="AA118" s="33" t="str">
        <f t="shared" si="11"/>
        <v/>
      </c>
      <c r="AB118" s="33" t="str">
        <f t="shared" si="12"/>
        <v/>
      </c>
      <c r="AC118" s="26" t="str">
        <f t="shared" si="13"/>
        <v/>
      </c>
      <c r="AD118" s="26" t="str">
        <f>IF($C118="","",COUNTIF(TblApplications[ID],$C118))</f>
        <v/>
      </c>
      <c r="AE118" s="33" t="str">
        <f>IF($C118="","",IFERROR(1/(1/_xlfn.MINIFS(TblApplications[Mois prov (calc)],TblApplications[ID],$C118)),""))</f>
        <v/>
      </c>
      <c r="AF118" s="33" t="str">
        <f>IF($C118="","",IFERROR(1/(1/_xlfn.MAXIFS(TblApplications[Mois lib (calc)],TblApplications[ID],$C118)),""))</f>
        <v/>
      </c>
      <c r="AG118" s="26" t="str">
        <f>IF($C118="","",IF(OR(OR($A118="",$B118="",$D118="",$E118="",$F118="",$G118=""),AND($G118="À migrer",OR($H118="",$I118="",$O118="",$U118="",$V118="",$W118="")),AND($G118="Migré",OR($O118="")),AND($G118="À décommissionner",OR($I118="",$W118=""))),"Données manquantes (selon l’action)",IF(AND($G118&lt;&gt;"Migré",$G118&lt;&gt;"À migrer",$G118&lt;&gt;"À décommissionner",$G118&lt;&gt;"Décommissionné"),"Action invalide",IF(COUNTIF(TblDomaines[Domaine],$A118)=0,"Domaine inconnu (référentiel)",IF(COUNTIFS(TblTribes[Tribe],$B118,TblTribes[Domaine de la tribe],$A118)=0,"Tribe inconnue ou hors domaine",IF(AND($G118="À migrer",$H118&lt;&gt;"Oui",$H118&lt;&gt;"Non"),"Valeur Oui/Non invalide (Déjà incluse ROKS)",IF(AND($E118&lt;&gt;"PRD",$E118&lt;&gt;"NPRD"),"Environnement invalide",IF(COUNTIFS(TblApplications[ID],$C118,TblApplications[Environnement],$E118,TblApplications[Couloir],$F118)&gt;1,"Déploiement en doublon (ID + env + couloir)",IF(AND(OR(OR($G118="À migrer",$G118="Migré"),OR($G118="À migrer",$G118="À décommissionner")),N($P118)&lt;=0),"Conso Dynatrace absente (onglet Dynatrace)",IF(OR(AND($P118&lt;&gt;"",NOT(ISNUMBER($P118))),AND($Q118&lt;&gt;"",NOT(ISNUMBER($Q118)))),"Ressource non numérique",IF(MIN(N($P118),N($Q118))&lt;0,"Ressource négative",IF(OR(AND($AH118&lt;&gt;"",OR(NOT(ISNUMBER($AH118)),$AH118&lt;0,$AH118&gt;1)),AND($AI118&lt;&gt;"",OR(NOT(ISNUMBER($AI118)),$AI118&lt;0,$AI118&gt;1))),"Marge spécifique invalide (0–100 %)",IF(OR(AND($U118&lt;&gt;"",NOT(ISNUMBER($U118))),AND($V118&lt;&gt;"",NOT(ISNUMBER($V118))),AND($W118&lt;&gt;"",NOT(ISNUMBER($W118)))),"Mois invalide",IF(AND(OR($G118="À migrer",$G118="À décommissionner"),COUNTIFS(TblClusters[Cluster],$I118,TblClusters[Plateforme],"IKS")=0),"Cluster IKS inconnu",IF(AND(OR($G118="À migrer",$G118="Migré"),COUNTIFS(TblClusters[Cluster],$O118,TblClusters[Plateforme],"ROKS")=0),"Cluster ROKS inconnu",IF(AND(OR($G118="À migrer",$G118="À décommissionner"),COUNTIFS(TblClusters[Cluster],$I118,TblClusters[Environnement],$E118)=0),"Environnement ≠ cluster IKS",IF(AND(OR($G118="À migrer",$G118="Migré"),COUNTIFS(TblClusters[Cluster],$O118,TblClusters[Environnement],$E118)=0),"Environnement ≠ cluster ROKS",IF(AND($G118="À migrer",OR($U118&gt;$V118,$V118&gt;$W118)),"Dates incohérentes (prov ≤ bascule ≤ libération)",IF(AND(OR($G118="À migrer",$G118="À décommissionner"),OR(N($AO118)&gt;SUMIFS(TblClusters[CPU initial (vCPU)],TblClusters[Cluster],$I118),N($AP118)&gt;SUMIFS(TblClusters[RAM initiale (Go)],TblClusters[Cluster],$I118))),"Forçage &gt; capacité du cluster source",IF(OR(AND($AA118&lt;&gt;"",$AA118&lt;p_debut),AND($AB118&lt;&gt;"",$AB118&gt;p_fin)),"Hors horizon (info)",IF(AND($G118="À migrer",$E118="PRD",COUNTIFS(TblApplications[ID],$C118,TblApplications[Environnement],"NPRD",TblApplications[Action],"À migrer")&gt;0,$AA118&lt;_xlfn.MINIFS(TblApplications[Mois prov (calc)],TblApplications[ID],$C118,TblApplications[Environnement],"NPRD")),"PRD avant NPRD (info)","OK")))))))))))))))))))))</f>
        <v/>
      </c>
      <c r="AH118" s="62"/>
      <c r="AI118" s="62"/>
      <c r="AJ118" s="27" t="str">
        <f>IF(OR($C118="",NOT(OR($G118="À migrer",$G118="À décommissionner")),NOT(ISNUMBER($S118)),NOT(ISNUMBER($T118)),$AB118=""),"",($S118+p_poidsram*$T118)*SUMIFS(TblCalculs[Coût par unité],TblCalculs[Cluster],$I118,TblCalculs[Mois],"&lt;"&amp;$AB118))</f>
        <v/>
      </c>
      <c r="AK118" s="27" t="str">
        <f>IF($C118="","",IF(AND($G118="À migrer",$H118="Non",$Y118&lt;&gt;"",$AA118&lt;&gt;""),($Y118+p_poidsram*$Z118)*SUMIFS(TblCalculs[Coût par unité],TblCalculs[Cluster],$O118,TblCalculs[Mois],"&gt;="&amp;$AA118),IF(AND($G118="Migré",$Y118&lt;&gt;""),($Y118+p_poidsram*$Z118)*SUMIFS(TblCalculs[Coût par unité],TblCalculs[Cluster],$O118),"")))</f>
        <v/>
      </c>
      <c r="AL118" s="27" t="str">
        <f t="shared" si="14"/>
        <v/>
      </c>
      <c r="AM118" s="26" t="str">
        <f t="shared" si="15"/>
        <v/>
      </c>
      <c r="AN118" s="26" t="str">
        <f>IF(OR($C118="",$AM118&lt;&gt;1,COUNTIFS($E118,ex_envc,$A118,ex_domc,$B118,ex_tric)=0),"",COUNTIFS($AM$6:$AM118,1,$E$6:$E118,ex_envc,$A$6:$A118,ex_domc,$B$6:$B118,ex_tric))</f>
        <v/>
      </c>
      <c r="AO118" s="63"/>
      <c r="AP118" s="63"/>
      <c r="AQ118" s="63"/>
      <c r="AR118" s="63"/>
    </row>
    <row r="119" spans="1:44" x14ac:dyDescent="0.2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26" t="str">
        <f t="shared" si="8"/>
        <v/>
      </c>
      <c r="O119" s="59"/>
      <c r="P119" s="60" t="str">
        <f>IF($C119="","",IF($AQ119&lt;&gt;"",$AQ119,SUMIFS(TblDynatrace[CPU P95 (vCPU)],TblDynatrace[ID],$C119,TblDynatrace[Environnement],$E119,TblDynatrace[Couloir],$F119)))</f>
        <v/>
      </c>
      <c r="Q119" s="60" t="str">
        <f>IF($C119="","",IF($AR119&lt;&gt;"",$AR119,SUMIFS(TblDynatrace[RAM P95 (Go)],TblDynatrace[ID],$C119,TblDynatrace[Environnement],$E119,TblDynatrace[Couloir],$F119)))</f>
        <v/>
      </c>
      <c r="R119" s="26" t="str">
        <f>IF($C119="","",IFERROR(INDEX(TblDynatrace[Métrique / période],MATCH($C119&amp;"|"&amp;$E119&amp;"|"&amp;$F119,TblDynatrace[Clé],0)),""))</f>
        <v/>
      </c>
      <c r="S119" s="60" t="str">
        <f>IF(OR($C119="",NOT(OR($G119="À migrer",$G119="À décommissionner")),$I119="",NOT(ISNUMBER($P119))),"",IF($AO119&lt;&gt;"",$AO119,IFERROR(SUMIFS(TblClusters[CPU initial (vCPU)],TblClusters[Cluster],$I119)*$P119/(SUMIFS(TblApplications[CPU Dynatrace (vCPU)],TblApplications[Cluster IKS source],$I119,TblApplications[Action],"À migrer")+SUMIFS(TblApplications[CPU Dynatrace (vCPU)],TblApplications[Cluster IKS source],$I119,TblApplications[Action],"À décommissionner")),0)))</f>
        <v/>
      </c>
      <c r="T119" s="60" t="str">
        <f>IF(OR($C119="",NOT(OR($G119="À migrer",$G119="À décommissionner")),$I119="",NOT(ISNUMBER($Q119))),"",IF($AP119&lt;&gt;"",$AP119,IFERROR(SUMIFS(TblClusters[RAM initiale (Go)],TblClusters[Cluster],$I119)*$Q119/(SUMIFS(TblApplications[RAM Dynatrace (Go)],TblApplications[Cluster IKS source],$I119,TblApplications[Action],"À migrer")+SUMIFS(TblApplications[RAM Dynatrace (Go)],TblApplications[Cluster IKS source],$I119,TblApplications[Action],"À décommissionner")),0)))</f>
        <v/>
      </c>
      <c r="U119" s="61"/>
      <c r="V119" s="61"/>
      <c r="W119" s="61"/>
      <c r="X119" s="59"/>
      <c r="Y119" s="26" t="str">
        <f t="shared" si="9"/>
        <v/>
      </c>
      <c r="Z119" s="26" t="str">
        <f t="shared" si="10"/>
        <v/>
      </c>
      <c r="AA119" s="33" t="str">
        <f t="shared" si="11"/>
        <v/>
      </c>
      <c r="AB119" s="33" t="str">
        <f t="shared" si="12"/>
        <v/>
      </c>
      <c r="AC119" s="26" t="str">
        <f t="shared" si="13"/>
        <v/>
      </c>
      <c r="AD119" s="26" t="str">
        <f>IF($C119="","",COUNTIF(TblApplications[ID],$C119))</f>
        <v/>
      </c>
      <c r="AE119" s="33" t="str">
        <f>IF($C119="","",IFERROR(1/(1/_xlfn.MINIFS(TblApplications[Mois prov (calc)],TblApplications[ID],$C119)),""))</f>
        <v/>
      </c>
      <c r="AF119" s="33" t="str">
        <f>IF($C119="","",IFERROR(1/(1/_xlfn.MAXIFS(TblApplications[Mois lib (calc)],TblApplications[ID],$C119)),""))</f>
        <v/>
      </c>
      <c r="AG119" s="26" t="str">
        <f>IF($C119="","",IF(OR(OR($A119="",$B119="",$D119="",$E119="",$F119="",$G119=""),AND($G119="À migrer",OR($H119="",$I119="",$O119="",$U119="",$V119="",$W119="")),AND($G119="Migré",OR($O119="")),AND($G119="À décommissionner",OR($I119="",$W119=""))),"Données manquantes (selon l’action)",IF(AND($G119&lt;&gt;"Migré",$G119&lt;&gt;"À migrer",$G119&lt;&gt;"À décommissionner",$G119&lt;&gt;"Décommissionné"),"Action invalide",IF(COUNTIF(TblDomaines[Domaine],$A119)=0,"Domaine inconnu (référentiel)",IF(COUNTIFS(TblTribes[Tribe],$B119,TblTribes[Domaine de la tribe],$A119)=0,"Tribe inconnue ou hors domaine",IF(AND($G119="À migrer",$H119&lt;&gt;"Oui",$H119&lt;&gt;"Non"),"Valeur Oui/Non invalide (Déjà incluse ROKS)",IF(AND($E119&lt;&gt;"PRD",$E119&lt;&gt;"NPRD"),"Environnement invalide",IF(COUNTIFS(TblApplications[ID],$C119,TblApplications[Environnement],$E119,TblApplications[Couloir],$F119)&gt;1,"Déploiement en doublon (ID + env + couloir)",IF(AND(OR(OR($G119="À migrer",$G119="Migré"),OR($G119="À migrer",$G119="À décommissionner")),N($P119)&lt;=0),"Conso Dynatrace absente (onglet Dynatrace)",IF(OR(AND($P119&lt;&gt;"",NOT(ISNUMBER($P119))),AND($Q119&lt;&gt;"",NOT(ISNUMBER($Q119)))),"Ressource non numérique",IF(MIN(N($P119),N($Q119))&lt;0,"Ressource négative",IF(OR(AND($AH119&lt;&gt;"",OR(NOT(ISNUMBER($AH119)),$AH119&lt;0,$AH119&gt;1)),AND($AI119&lt;&gt;"",OR(NOT(ISNUMBER($AI119)),$AI119&lt;0,$AI119&gt;1))),"Marge spécifique invalide (0–100 %)",IF(OR(AND($U119&lt;&gt;"",NOT(ISNUMBER($U119))),AND($V119&lt;&gt;"",NOT(ISNUMBER($V119))),AND($W119&lt;&gt;"",NOT(ISNUMBER($W119)))),"Mois invalide",IF(AND(OR($G119="À migrer",$G119="À décommissionner"),COUNTIFS(TblClusters[Cluster],$I119,TblClusters[Plateforme],"IKS")=0),"Cluster IKS inconnu",IF(AND(OR($G119="À migrer",$G119="Migré"),COUNTIFS(TblClusters[Cluster],$O119,TblClusters[Plateforme],"ROKS")=0),"Cluster ROKS inconnu",IF(AND(OR($G119="À migrer",$G119="À décommissionner"),COUNTIFS(TblClusters[Cluster],$I119,TblClusters[Environnement],$E119)=0),"Environnement ≠ cluster IKS",IF(AND(OR($G119="À migrer",$G119="Migré"),COUNTIFS(TblClusters[Cluster],$O119,TblClusters[Environnement],$E119)=0),"Environnement ≠ cluster ROKS",IF(AND($G119="À migrer",OR($U119&gt;$V119,$V119&gt;$W119)),"Dates incohérentes (prov ≤ bascule ≤ libération)",IF(AND(OR($G119="À migrer",$G119="À décommissionner"),OR(N($AO119)&gt;SUMIFS(TblClusters[CPU initial (vCPU)],TblClusters[Cluster],$I119),N($AP119)&gt;SUMIFS(TblClusters[RAM initiale (Go)],TblClusters[Cluster],$I119))),"Forçage &gt; capacité du cluster source",IF(OR(AND($AA119&lt;&gt;"",$AA119&lt;p_debut),AND($AB119&lt;&gt;"",$AB119&gt;p_fin)),"Hors horizon (info)",IF(AND($G119="À migrer",$E119="PRD",COUNTIFS(TblApplications[ID],$C119,TblApplications[Environnement],"NPRD",TblApplications[Action],"À migrer")&gt;0,$AA119&lt;_xlfn.MINIFS(TblApplications[Mois prov (calc)],TblApplications[ID],$C119,TblApplications[Environnement],"NPRD")),"PRD avant NPRD (info)","OK")))))))))))))))))))))</f>
        <v/>
      </c>
      <c r="AH119" s="62"/>
      <c r="AI119" s="62"/>
      <c r="AJ119" s="27" t="str">
        <f>IF(OR($C119="",NOT(OR($G119="À migrer",$G119="À décommissionner")),NOT(ISNUMBER($S119)),NOT(ISNUMBER($T119)),$AB119=""),"",($S119+p_poidsram*$T119)*SUMIFS(TblCalculs[Coût par unité],TblCalculs[Cluster],$I119,TblCalculs[Mois],"&lt;"&amp;$AB119))</f>
        <v/>
      </c>
      <c r="AK119" s="27" t="str">
        <f>IF($C119="","",IF(AND($G119="À migrer",$H119="Non",$Y119&lt;&gt;"",$AA119&lt;&gt;""),($Y119+p_poidsram*$Z119)*SUMIFS(TblCalculs[Coût par unité],TblCalculs[Cluster],$O119,TblCalculs[Mois],"&gt;="&amp;$AA119),IF(AND($G119="Migré",$Y119&lt;&gt;""),($Y119+p_poidsram*$Z119)*SUMIFS(TblCalculs[Coût par unité],TblCalculs[Cluster],$O119),"")))</f>
        <v/>
      </c>
      <c r="AL119" s="27" t="str">
        <f t="shared" si="14"/>
        <v/>
      </c>
      <c r="AM119" s="26" t="str">
        <f t="shared" si="15"/>
        <v/>
      </c>
      <c r="AN119" s="26" t="str">
        <f>IF(OR($C119="",$AM119&lt;&gt;1,COUNTIFS($E119,ex_envc,$A119,ex_domc,$B119,ex_tric)=0),"",COUNTIFS($AM$6:$AM119,1,$E$6:$E119,ex_envc,$A$6:$A119,ex_domc,$B$6:$B119,ex_tric))</f>
        <v/>
      </c>
      <c r="AO119" s="63"/>
      <c r="AP119" s="63"/>
      <c r="AQ119" s="63"/>
      <c r="AR119" s="63"/>
    </row>
    <row r="120" spans="1:44" x14ac:dyDescent="0.2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26" t="str">
        <f t="shared" si="8"/>
        <v/>
      </c>
      <c r="O120" s="59"/>
      <c r="P120" s="60" t="str">
        <f>IF($C120="","",IF($AQ120&lt;&gt;"",$AQ120,SUMIFS(TblDynatrace[CPU P95 (vCPU)],TblDynatrace[ID],$C120,TblDynatrace[Environnement],$E120,TblDynatrace[Couloir],$F120)))</f>
        <v/>
      </c>
      <c r="Q120" s="60" t="str">
        <f>IF($C120="","",IF($AR120&lt;&gt;"",$AR120,SUMIFS(TblDynatrace[RAM P95 (Go)],TblDynatrace[ID],$C120,TblDynatrace[Environnement],$E120,TblDynatrace[Couloir],$F120)))</f>
        <v/>
      </c>
      <c r="R120" s="26" t="str">
        <f>IF($C120="","",IFERROR(INDEX(TblDynatrace[Métrique / période],MATCH($C120&amp;"|"&amp;$E120&amp;"|"&amp;$F120,TblDynatrace[Clé],0)),""))</f>
        <v/>
      </c>
      <c r="S120" s="60" t="str">
        <f>IF(OR($C120="",NOT(OR($G120="À migrer",$G120="À décommissionner")),$I120="",NOT(ISNUMBER($P120))),"",IF($AO120&lt;&gt;"",$AO120,IFERROR(SUMIFS(TblClusters[CPU initial (vCPU)],TblClusters[Cluster],$I120)*$P120/(SUMIFS(TblApplications[CPU Dynatrace (vCPU)],TblApplications[Cluster IKS source],$I120,TblApplications[Action],"À migrer")+SUMIFS(TblApplications[CPU Dynatrace (vCPU)],TblApplications[Cluster IKS source],$I120,TblApplications[Action],"À décommissionner")),0)))</f>
        <v/>
      </c>
      <c r="T120" s="60" t="str">
        <f>IF(OR($C120="",NOT(OR($G120="À migrer",$G120="À décommissionner")),$I120="",NOT(ISNUMBER($Q120))),"",IF($AP120&lt;&gt;"",$AP120,IFERROR(SUMIFS(TblClusters[RAM initiale (Go)],TblClusters[Cluster],$I120)*$Q120/(SUMIFS(TblApplications[RAM Dynatrace (Go)],TblApplications[Cluster IKS source],$I120,TblApplications[Action],"À migrer")+SUMIFS(TblApplications[RAM Dynatrace (Go)],TblApplications[Cluster IKS source],$I120,TblApplications[Action],"À décommissionner")),0)))</f>
        <v/>
      </c>
      <c r="U120" s="61"/>
      <c r="V120" s="61"/>
      <c r="W120" s="61"/>
      <c r="X120" s="59"/>
      <c r="Y120" s="26" t="str">
        <f t="shared" si="9"/>
        <v/>
      </c>
      <c r="Z120" s="26" t="str">
        <f t="shared" si="10"/>
        <v/>
      </c>
      <c r="AA120" s="33" t="str">
        <f t="shared" si="11"/>
        <v/>
      </c>
      <c r="AB120" s="33" t="str">
        <f t="shared" si="12"/>
        <v/>
      </c>
      <c r="AC120" s="26" t="str">
        <f t="shared" si="13"/>
        <v/>
      </c>
      <c r="AD120" s="26" t="str">
        <f>IF($C120="","",COUNTIF(TblApplications[ID],$C120))</f>
        <v/>
      </c>
      <c r="AE120" s="33" t="str">
        <f>IF($C120="","",IFERROR(1/(1/_xlfn.MINIFS(TblApplications[Mois prov (calc)],TblApplications[ID],$C120)),""))</f>
        <v/>
      </c>
      <c r="AF120" s="33" t="str">
        <f>IF($C120="","",IFERROR(1/(1/_xlfn.MAXIFS(TblApplications[Mois lib (calc)],TblApplications[ID],$C120)),""))</f>
        <v/>
      </c>
      <c r="AG120" s="26" t="str">
        <f>IF($C120="","",IF(OR(OR($A120="",$B120="",$D120="",$E120="",$F120="",$G120=""),AND($G120="À migrer",OR($H120="",$I120="",$O120="",$U120="",$V120="",$W120="")),AND($G120="Migré",OR($O120="")),AND($G120="À décommissionner",OR($I120="",$W120=""))),"Données manquantes (selon l’action)",IF(AND($G120&lt;&gt;"Migré",$G120&lt;&gt;"À migrer",$G120&lt;&gt;"À décommissionner",$G120&lt;&gt;"Décommissionné"),"Action invalide",IF(COUNTIF(TblDomaines[Domaine],$A120)=0,"Domaine inconnu (référentiel)",IF(COUNTIFS(TblTribes[Tribe],$B120,TblTribes[Domaine de la tribe],$A120)=0,"Tribe inconnue ou hors domaine",IF(AND($G120="À migrer",$H120&lt;&gt;"Oui",$H120&lt;&gt;"Non"),"Valeur Oui/Non invalide (Déjà incluse ROKS)",IF(AND($E120&lt;&gt;"PRD",$E120&lt;&gt;"NPRD"),"Environnement invalide",IF(COUNTIFS(TblApplications[ID],$C120,TblApplications[Environnement],$E120,TblApplications[Couloir],$F120)&gt;1,"Déploiement en doublon (ID + env + couloir)",IF(AND(OR(OR($G120="À migrer",$G120="Migré"),OR($G120="À migrer",$G120="À décommissionner")),N($P120)&lt;=0),"Conso Dynatrace absente (onglet Dynatrace)",IF(OR(AND($P120&lt;&gt;"",NOT(ISNUMBER($P120))),AND($Q120&lt;&gt;"",NOT(ISNUMBER($Q120)))),"Ressource non numérique",IF(MIN(N($P120),N($Q120))&lt;0,"Ressource négative",IF(OR(AND($AH120&lt;&gt;"",OR(NOT(ISNUMBER($AH120)),$AH120&lt;0,$AH120&gt;1)),AND($AI120&lt;&gt;"",OR(NOT(ISNUMBER($AI120)),$AI120&lt;0,$AI120&gt;1))),"Marge spécifique invalide (0–100 %)",IF(OR(AND($U120&lt;&gt;"",NOT(ISNUMBER($U120))),AND($V120&lt;&gt;"",NOT(ISNUMBER($V120))),AND($W120&lt;&gt;"",NOT(ISNUMBER($W120)))),"Mois invalide",IF(AND(OR($G120="À migrer",$G120="À décommissionner"),COUNTIFS(TblClusters[Cluster],$I120,TblClusters[Plateforme],"IKS")=0),"Cluster IKS inconnu",IF(AND(OR($G120="À migrer",$G120="Migré"),COUNTIFS(TblClusters[Cluster],$O120,TblClusters[Plateforme],"ROKS")=0),"Cluster ROKS inconnu",IF(AND(OR($G120="À migrer",$G120="À décommissionner"),COUNTIFS(TblClusters[Cluster],$I120,TblClusters[Environnement],$E120)=0),"Environnement ≠ cluster IKS",IF(AND(OR($G120="À migrer",$G120="Migré"),COUNTIFS(TblClusters[Cluster],$O120,TblClusters[Environnement],$E120)=0),"Environnement ≠ cluster ROKS",IF(AND($G120="À migrer",OR($U120&gt;$V120,$V120&gt;$W120)),"Dates incohérentes (prov ≤ bascule ≤ libération)",IF(AND(OR($G120="À migrer",$G120="À décommissionner"),OR(N($AO120)&gt;SUMIFS(TblClusters[CPU initial (vCPU)],TblClusters[Cluster],$I120),N($AP120)&gt;SUMIFS(TblClusters[RAM initiale (Go)],TblClusters[Cluster],$I120))),"Forçage &gt; capacité du cluster source",IF(OR(AND($AA120&lt;&gt;"",$AA120&lt;p_debut),AND($AB120&lt;&gt;"",$AB120&gt;p_fin)),"Hors horizon (info)",IF(AND($G120="À migrer",$E120="PRD",COUNTIFS(TblApplications[ID],$C120,TblApplications[Environnement],"NPRD",TblApplications[Action],"À migrer")&gt;0,$AA120&lt;_xlfn.MINIFS(TblApplications[Mois prov (calc)],TblApplications[ID],$C120,TblApplications[Environnement],"NPRD")),"PRD avant NPRD (info)","OK")))))))))))))))))))))</f>
        <v/>
      </c>
      <c r="AH120" s="62"/>
      <c r="AI120" s="62"/>
      <c r="AJ120" s="27" t="str">
        <f>IF(OR($C120="",NOT(OR($G120="À migrer",$G120="À décommissionner")),NOT(ISNUMBER($S120)),NOT(ISNUMBER($T120)),$AB120=""),"",($S120+p_poidsram*$T120)*SUMIFS(TblCalculs[Coût par unité],TblCalculs[Cluster],$I120,TblCalculs[Mois],"&lt;"&amp;$AB120))</f>
        <v/>
      </c>
      <c r="AK120" s="27" t="str">
        <f>IF($C120="","",IF(AND($G120="À migrer",$H120="Non",$Y120&lt;&gt;"",$AA120&lt;&gt;""),($Y120+p_poidsram*$Z120)*SUMIFS(TblCalculs[Coût par unité],TblCalculs[Cluster],$O120,TblCalculs[Mois],"&gt;="&amp;$AA120),IF(AND($G120="Migré",$Y120&lt;&gt;""),($Y120+p_poidsram*$Z120)*SUMIFS(TblCalculs[Coût par unité],TblCalculs[Cluster],$O120),"")))</f>
        <v/>
      </c>
      <c r="AL120" s="27" t="str">
        <f t="shared" si="14"/>
        <v/>
      </c>
      <c r="AM120" s="26" t="str">
        <f t="shared" si="15"/>
        <v/>
      </c>
      <c r="AN120" s="26" t="str">
        <f>IF(OR($C120="",$AM120&lt;&gt;1,COUNTIFS($E120,ex_envc,$A120,ex_domc,$B120,ex_tric)=0),"",COUNTIFS($AM$6:$AM120,1,$E$6:$E120,ex_envc,$A$6:$A120,ex_domc,$B$6:$B120,ex_tric))</f>
        <v/>
      </c>
      <c r="AO120" s="63"/>
      <c r="AP120" s="63"/>
      <c r="AQ120" s="63"/>
      <c r="AR120" s="63"/>
    </row>
    <row r="121" spans="1:44" x14ac:dyDescent="0.2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26" t="str">
        <f t="shared" si="8"/>
        <v/>
      </c>
      <c r="O121" s="59"/>
      <c r="P121" s="60" t="str">
        <f>IF($C121="","",IF($AQ121&lt;&gt;"",$AQ121,SUMIFS(TblDynatrace[CPU P95 (vCPU)],TblDynatrace[ID],$C121,TblDynatrace[Environnement],$E121,TblDynatrace[Couloir],$F121)))</f>
        <v/>
      </c>
      <c r="Q121" s="60" t="str">
        <f>IF($C121="","",IF($AR121&lt;&gt;"",$AR121,SUMIFS(TblDynatrace[RAM P95 (Go)],TblDynatrace[ID],$C121,TblDynatrace[Environnement],$E121,TblDynatrace[Couloir],$F121)))</f>
        <v/>
      </c>
      <c r="R121" s="26" t="str">
        <f>IF($C121="","",IFERROR(INDEX(TblDynatrace[Métrique / période],MATCH($C121&amp;"|"&amp;$E121&amp;"|"&amp;$F121,TblDynatrace[Clé],0)),""))</f>
        <v/>
      </c>
      <c r="S121" s="60" t="str">
        <f>IF(OR($C121="",NOT(OR($G121="À migrer",$G121="À décommissionner")),$I121="",NOT(ISNUMBER($P121))),"",IF($AO121&lt;&gt;"",$AO121,IFERROR(SUMIFS(TblClusters[CPU initial (vCPU)],TblClusters[Cluster],$I121)*$P121/(SUMIFS(TblApplications[CPU Dynatrace (vCPU)],TblApplications[Cluster IKS source],$I121,TblApplications[Action],"À migrer")+SUMIFS(TblApplications[CPU Dynatrace (vCPU)],TblApplications[Cluster IKS source],$I121,TblApplications[Action],"À décommissionner")),0)))</f>
        <v/>
      </c>
      <c r="T121" s="60" t="str">
        <f>IF(OR($C121="",NOT(OR($G121="À migrer",$G121="À décommissionner")),$I121="",NOT(ISNUMBER($Q121))),"",IF($AP121&lt;&gt;"",$AP121,IFERROR(SUMIFS(TblClusters[RAM initiale (Go)],TblClusters[Cluster],$I121)*$Q121/(SUMIFS(TblApplications[RAM Dynatrace (Go)],TblApplications[Cluster IKS source],$I121,TblApplications[Action],"À migrer")+SUMIFS(TblApplications[RAM Dynatrace (Go)],TblApplications[Cluster IKS source],$I121,TblApplications[Action],"À décommissionner")),0)))</f>
        <v/>
      </c>
      <c r="U121" s="61"/>
      <c r="V121" s="61"/>
      <c r="W121" s="61"/>
      <c r="X121" s="59"/>
      <c r="Y121" s="26" t="str">
        <f t="shared" si="9"/>
        <v/>
      </c>
      <c r="Z121" s="26" t="str">
        <f t="shared" si="10"/>
        <v/>
      </c>
      <c r="AA121" s="33" t="str">
        <f t="shared" si="11"/>
        <v/>
      </c>
      <c r="AB121" s="33" t="str">
        <f t="shared" si="12"/>
        <v/>
      </c>
      <c r="AC121" s="26" t="str">
        <f t="shared" si="13"/>
        <v/>
      </c>
      <c r="AD121" s="26" t="str">
        <f>IF($C121="","",COUNTIF(TblApplications[ID],$C121))</f>
        <v/>
      </c>
      <c r="AE121" s="33" t="str">
        <f>IF($C121="","",IFERROR(1/(1/_xlfn.MINIFS(TblApplications[Mois prov (calc)],TblApplications[ID],$C121)),""))</f>
        <v/>
      </c>
      <c r="AF121" s="33" t="str">
        <f>IF($C121="","",IFERROR(1/(1/_xlfn.MAXIFS(TblApplications[Mois lib (calc)],TblApplications[ID],$C121)),""))</f>
        <v/>
      </c>
      <c r="AG121" s="26" t="str">
        <f>IF($C121="","",IF(OR(OR($A121="",$B121="",$D121="",$E121="",$F121="",$G121=""),AND($G121="À migrer",OR($H121="",$I121="",$O121="",$U121="",$V121="",$W121="")),AND($G121="Migré",OR($O121="")),AND($G121="À décommissionner",OR($I121="",$W121=""))),"Données manquantes (selon l’action)",IF(AND($G121&lt;&gt;"Migré",$G121&lt;&gt;"À migrer",$G121&lt;&gt;"À décommissionner",$G121&lt;&gt;"Décommissionné"),"Action invalide",IF(COUNTIF(TblDomaines[Domaine],$A121)=0,"Domaine inconnu (référentiel)",IF(COUNTIFS(TblTribes[Tribe],$B121,TblTribes[Domaine de la tribe],$A121)=0,"Tribe inconnue ou hors domaine",IF(AND($G121="À migrer",$H121&lt;&gt;"Oui",$H121&lt;&gt;"Non"),"Valeur Oui/Non invalide (Déjà incluse ROKS)",IF(AND($E121&lt;&gt;"PRD",$E121&lt;&gt;"NPRD"),"Environnement invalide",IF(COUNTIFS(TblApplications[ID],$C121,TblApplications[Environnement],$E121,TblApplications[Couloir],$F121)&gt;1,"Déploiement en doublon (ID + env + couloir)",IF(AND(OR(OR($G121="À migrer",$G121="Migré"),OR($G121="À migrer",$G121="À décommissionner")),N($P121)&lt;=0),"Conso Dynatrace absente (onglet Dynatrace)",IF(OR(AND($P121&lt;&gt;"",NOT(ISNUMBER($P121))),AND($Q121&lt;&gt;"",NOT(ISNUMBER($Q121)))),"Ressource non numérique",IF(MIN(N($P121),N($Q121))&lt;0,"Ressource négative",IF(OR(AND($AH121&lt;&gt;"",OR(NOT(ISNUMBER($AH121)),$AH121&lt;0,$AH121&gt;1)),AND($AI121&lt;&gt;"",OR(NOT(ISNUMBER($AI121)),$AI121&lt;0,$AI121&gt;1))),"Marge spécifique invalide (0–100 %)",IF(OR(AND($U121&lt;&gt;"",NOT(ISNUMBER($U121))),AND($V121&lt;&gt;"",NOT(ISNUMBER($V121))),AND($W121&lt;&gt;"",NOT(ISNUMBER($W121)))),"Mois invalide",IF(AND(OR($G121="À migrer",$G121="À décommissionner"),COUNTIFS(TblClusters[Cluster],$I121,TblClusters[Plateforme],"IKS")=0),"Cluster IKS inconnu",IF(AND(OR($G121="À migrer",$G121="Migré"),COUNTIFS(TblClusters[Cluster],$O121,TblClusters[Plateforme],"ROKS")=0),"Cluster ROKS inconnu",IF(AND(OR($G121="À migrer",$G121="À décommissionner"),COUNTIFS(TblClusters[Cluster],$I121,TblClusters[Environnement],$E121)=0),"Environnement ≠ cluster IKS",IF(AND(OR($G121="À migrer",$G121="Migré"),COUNTIFS(TblClusters[Cluster],$O121,TblClusters[Environnement],$E121)=0),"Environnement ≠ cluster ROKS",IF(AND($G121="À migrer",OR($U121&gt;$V121,$V121&gt;$W121)),"Dates incohérentes (prov ≤ bascule ≤ libération)",IF(AND(OR($G121="À migrer",$G121="À décommissionner"),OR(N($AO121)&gt;SUMIFS(TblClusters[CPU initial (vCPU)],TblClusters[Cluster],$I121),N($AP121)&gt;SUMIFS(TblClusters[RAM initiale (Go)],TblClusters[Cluster],$I121))),"Forçage &gt; capacité du cluster source",IF(OR(AND($AA121&lt;&gt;"",$AA121&lt;p_debut),AND($AB121&lt;&gt;"",$AB121&gt;p_fin)),"Hors horizon (info)",IF(AND($G121="À migrer",$E121="PRD",COUNTIFS(TblApplications[ID],$C121,TblApplications[Environnement],"NPRD",TblApplications[Action],"À migrer")&gt;0,$AA121&lt;_xlfn.MINIFS(TblApplications[Mois prov (calc)],TblApplications[ID],$C121,TblApplications[Environnement],"NPRD")),"PRD avant NPRD (info)","OK")))))))))))))))))))))</f>
        <v/>
      </c>
      <c r="AH121" s="62"/>
      <c r="AI121" s="62"/>
      <c r="AJ121" s="27" t="str">
        <f>IF(OR($C121="",NOT(OR($G121="À migrer",$G121="À décommissionner")),NOT(ISNUMBER($S121)),NOT(ISNUMBER($T121)),$AB121=""),"",($S121+p_poidsram*$T121)*SUMIFS(TblCalculs[Coût par unité],TblCalculs[Cluster],$I121,TblCalculs[Mois],"&lt;"&amp;$AB121))</f>
        <v/>
      </c>
      <c r="AK121" s="27" t="str">
        <f>IF($C121="","",IF(AND($G121="À migrer",$H121="Non",$Y121&lt;&gt;"",$AA121&lt;&gt;""),($Y121+p_poidsram*$Z121)*SUMIFS(TblCalculs[Coût par unité],TblCalculs[Cluster],$O121,TblCalculs[Mois],"&gt;="&amp;$AA121),IF(AND($G121="Migré",$Y121&lt;&gt;""),($Y121+p_poidsram*$Z121)*SUMIFS(TblCalculs[Coût par unité],TblCalculs[Cluster],$O121),"")))</f>
        <v/>
      </c>
      <c r="AL121" s="27" t="str">
        <f t="shared" si="14"/>
        <v/>
      </c>
      <c r="AM121" s="26" t="str">
        <f t="shared" si="15"/>
        <v/>
      </c>
      <c r="AN121" s="26" t="str">
        <f>IF(OR($C121="",$AM121&lt;&gt;1,COUNTIFS($E121,ex_envc,$A121,ex_domc,$B121,ex_tric)=0),"",COUNTIFS($AM$6:$AM121,1,$E$6:$E121,ex_envc,$A$6:$A121,ex_domc,$B$6:$B121,ex_tric))</f>
        <v/>
      </c>
      <c r="AO121" s="63"/>
      <c r="AP121" s="63"/>
      <c r="AQ121" s="63"/>
      <c r="AR121" s="63"/>
    </row>
    <row r="122" spans="1:44" x14ac:dyDescent="0.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26" t="str">
        <f t="shared" si="8"/>
        <v/>
      </c>
      <c r="O122" s="59"/>
      <c r="P122" s="60" t="str">
        <f>IF($C122="","",IF($AQ122&lt;&gt;"",$AQ122,SUMIFS(TblDynatrace[CPU P95 (vCPU)],TblDynatrace[ID],$C122,TblDynatrace[Environnement],$E122,TblDynatrace[Couloir],$F122)))</f>
        <v/>
      </c>
      <c r="Q122" s="60" t="str">
        <f>IF($C122="","",IF($AR122&lt;&gt;"",$AR122,SUMIFS(TblDynatrace[RAM P95 (Go)],TblDynatrace[ID],$C122,TblDynatrace[Environnement],$E122,TblDynatrace[Couloir],$F122)))</f>
        <v/>
      </c>
      <c r="R122" s="26" t="str">
        <f>IF($C122="","",IFERROR(INDEX(TblDynatrace[Métrique / période],MATCH($C122&amp;"|"&amp;$E122&amp;"|"&amp;$F122,TblDynatrace[Clé],0)),""))</f>
        <v/>
      </c>
      <c r="S122" s="60" t="str">
        <f>IF(OR($C122="",NOT(OR($G122="À migrer",$G122="À décommissionner")),$I122="",NOT(ISNUMBER($P122))),"",IF($AO122&lt;&gt;"",$AO122,IFERROR(SUMIFS(TblClusters[CPU initial (vCPU)],TblClusters[Cluster],$I122)*$P122/(SUMIFS(TblApplications[CPU Dynatrace (vCPU)],TblApplications[Cluster IKS source],$I122,TblApplications[Action],"À migrer")+SUMIFS(TblApplications[CPU Dynatrace (vCPU)],TblApplications[Cluster IKS source],$I122,TblApplications[Action],"À décommissionner")),0)))</f>
        <v/>
      </c>
      <c r="T122" s="60" t="str">
        <f>IF(OR($C122="",NOT(OR($G122="À migrer",$G122="À décommissionner")),$I122="",NOT(ISNUMBER($Q122))),"",IF($AP122&lt;&gt;"",$AP122,IFERROR(SUMIFS(TblClusters[RAM initiale (Go)],TblClusters[Cluster],$I122)*$Q122/(SUMIFS(TblApplications[RAM Dynatrace (Go)],TblApplications[Cluster IKS source],$I122,TblApplications[Action],"À migrer")+SUMIFS(TblApplications[RAM Dynatrace (Go)],TblApplications[Cluster IKS source],$I122,TblApplications[Action],"À décommissionner")),0)))</f>
        <v/>
      </c>
      <c r="U122" s="61"/>
      <c r="V122" s="61"/>
      <c r="W122" s="61"/>
      <c r="X122" s="59"/>
      <c r="Y122" s="26" t="str">
        <f t="shared" si="9"/>
        <v/>
      </c>
      <c r="Z122" s="26" t="str">
        <f t="shared" si="10"/>
        <v/>
      </c>
      <c r="AA122" s="33" t="str">
        <f t="shared" si="11"/>
        <v/>
      </c>
      <c r="AB122" s="33" t="str">
        <f t="shared" si="12"/>
        <v/>
      </c>
      <c r="AC122" s="26" t="str">
        <f t="shared" si="13"/>
        <v/>
      </c>
      <c r="AD122" s="26" t="str">
        <f>IF($C122="","",COUNTIF(TblApplications[ID],$C122))</f>
        <v/>
      </c>
      <c r="AE122" s="33" t="str">
        <f>IF($C122="","",IFERROR(1/(1/_xlfn.MINIFS(TblApplications[Mois prov (calc)],TblApplications[ID],$C122)),""))</f>
        <v/>
      </c>
      <c r="AF122" s="33" t="str">
        <f>IF($C122="","",IFERROR(1/(1/_xlfn.MAXIFS(TblApplications[Mois lib (calc)],TblApplications[ID],$C122)),""))</f>
        <v/>
      </c>
      <c r="AG122" s="26" t="str">
        <f>IF($C122="","",IF(OR(OR($A122="",$B122="",$D122="",$E122="",$F122="",$G122=""),AND($G122="À migrer",OR($H122="",$I122="",$O122="",$U122="",$V122="",$W122="")),AND($G122="Migré",OR($O122="")),AND($G122="À décommissionner",OR($I122="",$W122=""))),"Données manquantes (selon l’action)",IF(AND($G122&lt;&gt;"Migré",$G122&lt;&gt;"À migrer",$G122&lt;&gt;"À décommissionner",$G122&lt;&gt;"Décommissionné"),"Action invalide",IF(COUNTIF(TblDomaines[Domaine],$A122)=0,"Domaine inconnu (référentiel)",IF(COUNTIFS(TblTribes[Tribe],$B122,TblTribes[Domaine de la tribe],$A122)=0,"Tribe inconnue ou hors domaine",IF(AND($G122="À migrer",$H122&lt;&gt;"Oui",$H122&lt;&gt;"Non"),"Valeur Oui/Non invalide (Déjà incluse ROKS)",IF(AND($E122&lt;&gt;"PRD",$E122&lt;&gt;"NPRD"),"Environnement invalide",IF(COUNTIFS(TblApplications[ID],$C122,TblApplications[Environnement],$E122,TblApplications[Couloir],$F122)&gt;1,"Déploiement en doublon (ID + env + couloir)",IF(AND(OR(OR($G122="À migrer",$G122="Migré"),OR($G122="À migrer",$G122="À décommissionner")),N($P122)&lt;=0),"Conso Dynatrace absente (onglet Dynatrace)",IF(OR(AND($P122&lt;&gt;"",NOT(ISNUMBER($P122))),AND($Q122&lt;&gt;"",NOT(ISNUMBER($Q122)))),"Ressource non numérique",IF(MIN(N($P122),N($Q122))&lt;0,"Ressource négative",IF(OR(AND($AH122&lt;&gt;"",OR(NOT(ISNUMBER($AH122)),$AH122&lt;0,$AH122&gt;1)),AND($AI122&lt;&gt;"",OR(NOT(ISNUMBER($AI122)),$AI122&lt;0,$AI122&gt;1))),"Marge spécifique invalide (0–100 %)",IF(OR(AND($U122&lt;&gt;"",NOT(ISNUMBER($U122))),AND($V122&lt;&gt;"",NOT(ISNUMBER($V122))),AND($W122&lt;&gt;"",NOT(ISNUMBER($W122)))),"Mois invalide",IF(AND(OR($G122="À migrer",$G122="À décommissionner"),COUNTIFS(TblClusters[Cluster],$I122,TblClusters[Plateforme],"IKS")=0),"Cluster IKS inconnu",IF(AND(OR($G122="À migrer",$G122="Migré"),COUNTIFS(TblClusters[Cluster],$O122,TblClusters[Plateforme],"ROKS")=0),"Cluster ROKS inconnu",IF(AND(OR($G122="À migrer",$G122="À décommissionner"),COUNTIFS(TblClusters[Cluster],$I122,TblClusters[Environnement],$E122)=0),"Environnement ≠ cluster IKS",IF(AND(OR($G122="À migrer",$G122="Migré"),COUNTIFS(TblClusters[Cluster],$O122,TblClusters[Environnement],$E122)=0),"Environnement ≠ cluster ROKS",IF(AND($G122="À migrer",OR($U122&gt;$V122,$V122&gt;$W122)),"Dates incohérentes (prov ≤ bascule ≤ libération)",IF(AND(OR($G122="À migrer",$G122="À décommissionner"),OR(N($AO122)&gt;SUMIFS(TblClusters[CPU initial (vCPU)],TblClusters[Cluster],$I122),N($AP122)&gt;SUMIFS(TblClusters[RAM initiale (Go)],TblClusters[Cluster],$I122))),"Forçage &gt; capacité du cluster source",IF(OR(AND($AA122&lt;&gt;"",$AA122&lt;p_debut),AND($AB122&lt;&gt;"",$AB122&gt;p_fin)),"Hors horizon (info)",IF(AND($G122="À migrer",$E122="PRD",COUNTIFS(TblApplications[ID],$C122,TblApplications[Environnement],"NPRD",TblApplications[Action],"À migrer")&gt;0,$AA122&lt;_xlfn.MINIFS(TblApplications[Mois prov (calc)],TblApplications[ID],$C122,TblApplications[Environnement],"NPRD")),"PRD avant NPRD (info)","OK")))))))))))))))))))))</f>
        <v/>
      </c>
      <c r="AH122" s="62"/>
      <c r="AI122" s="62"/>
      <c r="AJ122" s="27" t="str">
        <f>IF(OR($C122="",NOT(OR($G122="À migrer",$G122="À décommissionner")),NOT(ISNUMBER($S122)),NOT(ISNUMBER($T122)),$AB122=""),"",($S122+p_poidsram*$T122)*SUMIFS(TblCalculs[Coût par unité],TblCalculs[Cluster],$I122,TblCalculs[Mois],"&lt;"&amp;$AB122))</f>
        <v/>
      </c>
      <c r="AK122" s="27" t="str">
        <f>IF($C122="","",IF(AND($G122="À migrer",$H122="Non",$Y122&lt;&gt;"",$AA122&lt;&gt;""),($Y122+p_poidsram*$Z122)*SUMIFS(TblCalculs[Coût par unité],TblCalculs[Cluster],$O122,TblCalculs[Mois],"&gt;="&amp;$AA122),IF(AND($G122="Migré",$Y122&lt;&gt;""),($Y122+p_poidsram*$Z122)*SUMIFS(TblCalculs[Coût par unité],TblCalculs[Cluster],$O122),"")))</f>
        <v/>
      </c>
      <c r="AL122" s="27" t="str">
        <f t="shared" si="14"/>
        <v/>
      </c>
      <c r="AM122" s="26" t="str">
        <f t="shared" si="15"/>
        <v/>
      </c>
      <c r="AN122" s="26" t="str">
        <f>IF(OR($C122="",$AM122&lt;&gt;1,COUNTIFS($E122,ex_envc,$A122,ex_domc,$B122,ex_tric)=0),"",COUNTIFS($AM$6:$AM122,1,$E$6:$E122,ex_envc,$A$6:$A122,ex_domc,$B$6:$B122,ex_tric))</f>
        <v/>
      </c>
      <c r="AO122" s="63"/>
      <c r="AP122" s="63"/>
      <c r="AQ122" s="63"/>
      <c r="AR122" s="63"/>
    </row>
    <row r="123" spans="1:44" x14ac:dyDescent="0.2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26" t="str">
        <f t="shared" si="8"/>
        <v/>
      </c>
      <c r="O123" s="59"/>
      <c r="P123" s="60" t="str">
        <f>IF($C123="","",IF($AQ123&lt;&gt;"",$AQ123,SUMIFS(TblDynatrace[CPU P95 (vCPU)],TblDynatrace[ID],$C123,TblDynatrace[Environnement],$E123,TblDynatrace[Couloir],$F123)))</f>
        <v/>
      </c>
      <c r="Q123" s="60" t="str">
        <f>IF($C123="","",IF($AR123&lt;&gt;"",$AR123,SUMIFS(TblDynatrace[RAM P95 (Go)],TblDynatrace[ID],$C123,TblDynatrace[Environnement],$E123,TblDynatrace[Couloir],$F123)))</f>
        <v/>
      </c>
      <c r="R123" s="26" t="str">
        <f>IF($C123="","",IFERROR(INDEX(TblDynatrace[Métrique / période],MATCH($C123&amp;"|"&amp;$E123&amp;"|"&amp;$F123,TblDynatrace[Clé],0)),""))</f>
        <v/>
      </c>
      <c r="S123" s="60" t="str">
        <f>IF(OR($C123="",NOT(OR($G123="À migrer",$G123="À décommissionner")),$I123="",NOT(ISNUMBER($P123))),"",IF($AO123&lt;&gt;"",$AO123,IFERROR(SUMIFS(TblClusters[CPU initial (vCPU)],TblClusters[Cluster],$I123)*$P123/(SUMIFS(TblApplications[CPU Dynatrace (vCPU)],TblApplications[Cluster IKS source],$I123,TblApplications[Action],"À migrer")+SUMIFS(TblApplications[CPU Dynatrace (vCPU)],TblApplications[Cluster IKS source],$I123,TblApplications[Action],"À décommissionner")),0)))</f>
        <v/>
      </c>
      <c r="T123" s="60" t="str">
        <f>IF(OR($C123="",NOT(OR($G123="À migrer",$G123="À décommissionner")),$I123="",NOT(ISNUMBER($Q123))),"",IF($AP123&lt;&gt;"",$AP123,IFERROR(SUMIFS(TblClusters[RAM initiale (Go)],TblClusters[Cluster],$I123)*$Q123/(SUMIFS(TblApplications[RAM Dynatrace (Go)],TblApplications[Cluster IKS source],$I123,TblApplications[Action],"À migrer")+SUMIFS(TblApplications[RAM Dynatrace (Go)],TblApplications[Cluster IKS source],$I123,TblApplications[Action],"À décommissionner")),0)))</f>
        <v/>
      </c>
      <c r="U123" s="61"/>
      <c r="V123" s="61"/>
      <c r="W123" s="61"/>
      <c r="X123" s="59"/>
      <c r="Y123" s="26" t="str">
        <f t="shared" si="9"/>
        <v/>
      </c>
      <c r="Z123" s="26" t="str">
        <f t="shared" si="10"/>
        <v/>
      </c>
      <c r="AA123" s="33" t="str">
        <f t="shared" si="11"/>
        <v/>
      </c>
      <c r="AB123" s="33" t="str">
        <f t="shared" si="12"/>
        <v/>
      </c>
      <c r="AC123" s="26" t="str">
        <f t="shared" si="13"/>
        <v/>
      </c>
      <c r="AD123" s="26" t="str">
        <f>IF($C123="","",COUNTIF(TblApplications[ID],$C123))</f>
        <v/>
      </c>
      <c r="AE123" s="33" t="str">
        <f>IF($C123="","",IFERROR(1/(1/_xlfn.MINIFS(TblApplications[Mois prov (calc)],TblApplications[ID],$C123)),""))</f>
        <v/>
      </c>
      <c r="AF123" s="33" t="str">
        <f>IF($C123="","",IFERROR(1/(1/_xlfn.MAXIFS(TblApplications[Mois lib (calc)],TblApplications[ID],$C123)),""))</f>
        <v/>
      </c>
      <c r="AG123" s="26" t="str">
        <f>IF($C123="","",IF(OR(OR($A123="",$B123="",$D123="",$E123="",$F123="",$G123=""),AND($G123="À migrer",OR($H123="",$I123="",$O123="",$U123="",$V123="",$W123="")),AND($G123="Migré",OR($O123="")),AND($G123="À décommissionner",OR($I123="",$W123=""))),"Données manquantes (selon l’action)",IF(AND($G123&lt;&gt;"Migré",$G123&lt;&gt;"À migrer",$G123&lt;&gt;"À décommissionner",$G123&lt;&gt;"Décommissionné"),"Action invalide",IF(COUNTIF(TblDomaines[Domaine],$A123)=0,"Domaine inconnu (référentiel)",IF(COUNTIFS(TblTribes[Tribe],$B123,TblTribes[Domaine de la tribe],$A123)=0,"Tribe inconnue ou hors domaine",IF(AND($G123="À migrer",$H123&lt;&gt;"Oui",$H123&lt;&gt;"Non"),"Valeur Oui/Non invalide (Déjà incluse ROKS)",IF(AND($E123&lt;&gt;"PRD",$E123&lt;&gt;"NPRD"),"Environnement invalide",IF(COUNTIFS(TblApplications[ID],$C123,TblApplications[Environnement],$E123,TblApplications[Couloir],$F123)&gt;1,"Déploiement en doublon (ID + env + couloir)",IF(AND(OR(OR($G123="À migrer",$G123="Migré"),OR($G123="À migrer",$G123="À décommissionner")),N($P123)&lt;=0),"Conso Dynatrace absente (onglet Dynatrace)",IF(OR(AND($P123&lt;&gt;"",NOT(ISNUMBER($P123))),AND($Q123&lt;&gt;"",NOT(ISNUMBER($Q123)))),"Ressource non numérique",IF(MIN(N($P123),N($Q123))&lt;0,"Ressource négative",IF(OR(AND($AH123&lt;&gt;"",OR(NOT(ISNUMBER($AH123)),$AH123&lt;0,$AH123&gt;1)),AND($AI123&lt;&gt;"",OR(NOT(ISNUMBER($AI123)),$AI123&lt;0,$AI123&gt;1))),"Marge spécifique invalide (0–100 %)",IF(OR(AND($U123&lt;&gt;"",NOT(ISNUMBER($U123))),AND($V123&lt;&gt;"",NOT(ISNUMBER($V123))),AND($W123&lt;&gt;"",NOT(ISNUMBER($W123)))),"Mois invalide",IF(AND(OR($G123="À migrer",$G123="À décommissionner"),COUNTIFS(TblClusters[Cluster],$I123,TblClusters[Plateforme],"IKS")=0),"Cluster IKS inconnu",IF(AND(OR($G123="À migrer",$G123="Migré"),COUNTIFS(TblClusters[Cluster],$O123,TblClusters[Plateforme],"ROKS")=0),"Cluster ROKS inconnu",IF(AND(OR($G123="À migrer",$G123="À décommissionner"),COUNTIFS(TblClusters[Cluster],$I123,TblClusters[Environnement],$E123)=0),"Environnement ≠ cluster IKS",IF(AND(OR($G123="À migrer",$G123="Migré"),COUNTIFS(TblClusters[Cluster],$O123,TblClusters[Environnement],$E123)=0),"Environnement ≠ cluster ROKS",IF(AND($G123="À migrer",OR($U123&gt;$V123,$V123&gt;$W123)),"Dates incohérentes (prov ≤ bascule ≤ libération)",IF(AND(OR($G123="À migrer",$G123="À décommissionner"),OR(N($AO123)&gt;SUMIFS(TblClusters[CPU initial (vCPU)],TblClusters[Cluster],$I123),N($AP123)&gt;SUMIFS(TblClusters[RAM initiale (Go)],TblClusters[Cluster],$I123))),"Forçage &gt; capacité du cluster source",IF(OR(AND($AA123&lt;&gt;"",$AA123&lt;p_debut),AND($AB123&lt;&gt;"",$AB123&gt;p_fin)),"Hors horizon (info)",IF(AND($G123="À migrer",$E123="PRD",COUNTIFS(TblApplications[ID],$C123,TblApplications[Environnement],"NPRD",TblApplications[Action],"À migrer")&gt;0,$AA123&lt;_xlfn.MINIFS(TblApplications[Mois prov (calc)],TblApplications[ID],$C123,TblApplications[Environnement],"NPRD")),"PRD avant NPRD (info)","OK")))))))))))))))))))))</f>
        <v/>
      </c>
      <c r="AH123" s="62"/>
      <c r="AI123" s="62"/>
      <c r="AJ123" s="27" t="str">
        <f>IF(OR($C123="",NOT(OR($G123="À migrer",$G123="À décommissionner")),NOT(ISNUMBER($S123)),NOT(ISNUMBER($T123)),$AB123=""),"",($S123+p_poidsram*$T123)*SUMIFS(TblCalculs[Coût par unité],TblCalculs[Cluster],$I123,TblCalculs[Mois],"&lt;"&amp;$AB123))</f>
        <v/>
      </c>
      <c r="AK123" s="27" t="str">
        <f>IF($C123="","",IF(AND($G123="À migrer",$H123="Non",$Y123&lt;&gt;"",$AA123&lt;&gt;""),($Y123+p_poidsram*$Z123)*SUMIFS(TblCalculs[Coût par unité],TblCalculs[Cluster],$O123,TblCalculs[Mois],"&gt;="&amp;$AA123),IF(AND($G123="Migré",$Y123&lt;&gt;""),($Y123+p_poidsram*$Z123)*SUMIFS(TblCalculs[Coût par unité],TblCalculs[Cluster],$O123),"")))</f>
        <v/>
      </c>
      <c r="AL123" s="27" t="str">
        <f t="shared" si="14"/>
        <v/>
      </c>
      <c r="AM123" s="26" t="str">
        <f t="shared" si="15"/>
        <v/>
      </c>
      <c r="AN123" s="26" t="str">
        <f>IF(OR($C123="",$AM123&lt;&gt;1,COUNTIFS($E123,ex_envc,$A123,ex_domc,$B123,ex_tric)=0),"",COUNTIFS($AM$6:$AM123,1,$E$6:$E123,ex_envc,$A$6:$A123,ex_domc,$B$6:$B123,ex_tric))</f>
        <v/>
      </c>
      <c r="AO123" s="63"/>
      <c r="AP123" s="63"/>
      <c r="AQ123" s="63"/>
      <c r="AR123" s="63"/>
    </row>
    <row r="124" spans="1:44" x14ac:dyDescent="0.2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26" t="str">
        <f t="shared" si="8"/>
        <v/>
      </c>
      <c r="O124" s="59"/>
      <c r="P124" s="60" t="str">
        <f>IF($C124="","",IF($AQ124&lt;&gt;"",$AQ124,SUMIFS(TblDynatrace[CPU P95 (vCPU)],TblDynatrace[ID],$C124,TblDynatrace[Environnement],$E124,TblDynatrace[Couloir],$F124)))</f>
        <v/>
      </c>
      <c r="Q124" s="60" t="str">
        <f>IF($C124="","",IF($AR124&lt;&gt;"",$AR124,SUMIFS(TblDynatrace[RAM P95 (Go)],TblDynatrace[ID],$C124,TblDynatrace[Environnement],$E124,TblDynatrace[Couloir],$F124)))</f>
        <v/>
      </c>
      <c r="R124" s="26" t="str">
        <f>IF($C124="","",IFERROR(INDEX(TblDynatrace[Métrique / période],MATCH($C124&amp;"|"&amp;$E124&amp;"|"&amp;$F124,TblDynatrace[Clé],0)),""))</f>
        <v/>
      </c>
      <c r="S124" s="60" t="str">
        <f>IF(OR($C124="",NOT(OR($G124="À migrer",$G124="À décommissionner")),$I124="",NOT(ISNUMBER($P124))),"",IF($AO124&lt;&gt;"",$AO124,IFERROR(SUMIFS(TblClusters[CPU initial (vCPU)],TblClusters[Cluster],$I124)*$P124/(SUMIFS(TblApplications[CPU Dynatrace (vCPU)],TblApplications[Cluster IKS source],$I124,TblApplications[Action],"À migrer")+SUMIFS(TblApplications[CPU Dynatrace (vCPU)],TblApplications[Cluster IKS source],$I124,TblApplications[Action],"À décommissionner")),0)))</f>
        <v/>
      </c>
      <c r="T124" s="60" t="str">
        <f>IF(OR($C124="",NOT(OR($G124="À migrer",$G124="À décommissionner")),$I124="",NOT(ISNUMBER($Q124))),"",IF($AP124&lt;&gt;"",$AP124,IFERROR(SUMIFS(TblClusters[RAM initiale (Go)],TblClusters[Cluster],$I124)*$Q124/(SUMIFS(TblApplications[RAM Dynatrace (Go)],TblApplications[Cluster IKS source],$I124,TblApplications[Action],"À migrer")+SUMIFS(TblApplications[RAM Dynatrace (Go)],TblApplications[Cluster IKS source],$I124,TblApplications[Action],"À décommissionner")),0)))</f>
        <v/>
      </c>
      <c r="U124" s="61"/>
      <c r="V124" s="61"/>
      <c r="W124" s="61"/>
      <c r="X124" s="59"/>
      <c r="Y124" s="26" t="str">
        <f t="shared" si="9"/>
        <v/>
      </c>
      <c r="Z124" s="26" t="str">
        <f t="shared" si="10"/>
        <v/>
      </c>
      <c r="AA124" s="33" t="str">
        <f t="shared" si="11"/>
        <v/>
      </c>
      <c r="AB124" s="33" t="str">
        <f t="shared" si="12"/>
        <v/>
      </c>
      <c r="AC124" s="26" t="str">
        <f t="shared" si="13"/>
        <v/>
      </c>
      <c r="AD124" s="26" t="str">
        <f>IF($C124="","",COUNTIF(TblApplications[ID],$C124))</f>
        <v/>
      </c>
      <c r="AE124" s="33" t="str">
        <f>IF($C124="","",IFERROR(1/(1/_xlfn.MINIFS(TblApplications[Mois prov (calc)],TblApplications[ID],$C124)),""))</f>
        <v/>
      </c>
      <c r="AF124" s="33" t="str">
        <f>IF($C124="","",IFERROR(1/(1/_xlfn.MAXIFS(TblApplications[Mois lib (calc)],TblApplications[ID],$C124)),""))</f>
        <v/>
      </c>
      <c r="AG124" s="26" t="str">
        <f>IF($C124="","",IF(OR(OR($A124="",$B124="",$D124="",$E124="",$F124="",$G124=""),AND($G124="À migrer",OR($H124="",$I124="",$O124="",$U124="",$V124="",$W124="")),AND($G124="Migré",OR($O124="")),AND($G124="À décommissionner",OR($I124="",$W124=""))),"Données manquantes (selon l’action)",IF(AND($G124&lt;&gt;"Migré",$G124&lt;&gt;"À migrer",$G124&lt;&gt;"À décommissionner",$G124&lt;&gt;"Décommissionné"),"Action invalide",IF(COUNTIF(TblDomaines[Domaine],$A124)=0,"Domaine inconnu (référentiel)",IF(COUNTIFS(TblTribes[Tribe],$B124,TblTribes[Domaine de la tribe],$A124)=0,"Tribe inconnue ou hors domaine",IF(AND($G124="À migrer",$H124&lt;&gt;"Oui",$H124&lt;&gt;"Non"),"Valeur Oui/Non invalide (Déjà incluse ROKS)",IF(AND($E124&lt;&gt;"PRD",$E124&lt;&gt;"NPRD"),"Environnement invalide",IF(COUNTIFS(TblApplications[ID],$C124,TblApplications[Environnement],$E124,TblApplications[Couloir],$F124)&gt;1,"Déploiement en doublon (ID + env + couloir)",IF(AND(OR(OR($G124="À migrer",$G124="Migré"),OR($G124="À migrer",$G124="À décommissionner")),N($P124)&lt;=0),"Conso Dynatrace absente (onglet Dynatrace)",IF(OR(AND($P124&lt;&gt;"",NOT(ISNUMBER($P124))),AND($Q124&lt;&gt;"",NOT(ISNUMBER($Q124)))),"Ressource non numérique",IF(MIN(N($P124),N($Q124))&lt;0,"Ressource négative",IF(OR(AND($AH124&lt;&gt;"",OR(NOT(ISNUMBER($AH124)),$AH124&lt;0,$AH124&gt;1)),AND($AI124&lt;&gt;"",OR(NOT(ISNUMBER($AI124)),$AI124&lt;0,$AI124&gt;1))),"Marge spécifique invalide (0–100 %)",IF(OR(AND($U124&lt;&gt;"",NOT(ISNUMBER($U124))),AND($V124&lt;&gt;"",NOT(ISNUMBER($V124))),AND($W124&lt;&gt;"",NOT(ISNUMBER($W124)))),"Mois invalide",IF(AND(OR($G124="À migrer",$G124="À décommissionner"),COUNTIFS(TblClusters[Cluster],$I124,TblClusters[Plateforme],"IKS")=0),"Cluster IKS inconnu",IF(AND(OR($G124="À migrer",$G124="Migré"),COUNTIFS(TblClusters[Cluster],$O124,TblClusters[Plateforme],"ROKS")=0),"Cluster ROKS inconnu",IF(AND(OR($G124="À migrer",$G124="À décommissionner"),COUNTIFS(TblClusters[Cluster],$I124,TblClusters[Environnement],$E124)=0),"Environnement ≠ cluster IKS",IF(AND(OR($G124="À migrer",$G124="Migré"),COUNTIFS(TblClusters[Cluster],$O124,TblClusters[Environnement],$E124)=0),"Environnement ≠ cluster ROKS",IF(AND($G124="À migrer",OR($U124&gt;$V124,$V124&gt;$W124)),"Dates incohérentes (prov ≤ bascule ≤ libération)",IF(AND(OR($G124="À migrer",$G124="À décommissionner"),OR(N($AO124)&gt;SUMIFS(TblClusters[CPU initial (vCPU)],TblClusters[Cluster],$I124),N($AP124)&gt;SUMIFS(TblClusters[RAM initiale (Go)],TblClusters[Cluster],$I124))),"Forçage &gt; capacité du cluster source",IF(OR(AND($AA124&lt;&gt;"",$AA124&lt;p_debut),AND($AB124&lt;&gt;"",$AB124&gt;p_fin)),"Hors horizon (info)",IF(AND($G124="À migrer",$E124="PRD",COUNTIFS(TblApplications[ID],$C124,TblApplications[Environnement],"NPRD",TblApplications[Action],"À migrer")&gt;0,$AA124&lt;_xlfn.MINIFS(TblApplications[Mois prov (calc)],TblApplications[ID],$C124,TblApplications[Environnement],"NPRD")),"PRD avant NPRD (info)","OK")))))))))))))))))))))</f>
        <v/>
      </c>
      <c r="AH124" s="62"/>
      <c r="AI124" s="62"/>
      <c r="AJ124" s="27" t="str">
        <f>IF(OR($C124="",NOT(OR($G124="À migrer",$G124="À décommissionner")),NOT(ISNUMBER($S124)),NOT(ISNUMBER($T124)),$AB124=""),"",($S124+p_poidsram*$T124)*SUMIFS(TblCalculs[Coût par unité],TblCalculs[Cluster],$I124,TblCalculs[Mois],"&lt;"&amp;$AB124))</f>
        <v/>
      </c>
      <c r="AK124" s="27" t="str">
        <f>IF($C124="","",IF(AND($G124="À migrer",$H124="Non",$Y124&lt;&gt;"",$AA124&lt;&gt;""),($Y124+p_poidsram*$Z124)*SUMIFS(TblCalculs[Coût par unité],TblCalculs[Cluster],$O124,TblCalculs[Mois],"&gt;="&amp;$AA124),IF(AND($G124="Migré",$Y124&lt;&gt;""),($Y124+p_poidsram*$Z124)*SUMIFS(TblCalculs[Coût par unité],TblCalculs[Cluster],$O124),"")))</f>
        <v/>
      </c>
      <c r="AL124" s="27" t="str">
        <f t="shared" si="14"/>
        <v/>
      </c>
      <c r="AM124" s="26" t="str">
        <f t="shared" si="15"/>
        <v/>
      </c>
      <c r="AN124" s="26" t="str">
        <f>IF(OR($C124="",$AM124&lt;&gt;1,COUNTIFS($E124,ex_envc,$A124,ex_domc,$B124,ex_tric)=0),"",COUNTIFS($AM$6:$AM124,1,$E$6:$E124,ex_envc,$A$6:$A124,ex_domc,$B$6:$B124,ex_tric))</f>
        <v/>
      </c>
      <c r="AO124" s="63"/>
      <c r="AP124" s="63"/>
      <c r="AQ124" s="63"/>
      <c r="AR124" s="63"/>
    </row>
    <row r="125" spans="1:44" x14ac:dyDescent="0.2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26" t="str">
        <f t="shared" si="8"/>
        <v/>
      </c>
      <c r="O125" s="59"/>
      <c r="P125" s="60" t="str">
        <f>IF($C125="","",IF($AQ125&lt;&gt;"",$AQ125,SUMIFS(TblDynatrace[CPU P95 (vCPU)],TblDynatrace[ID],$C125,TblDynatrace[Environnement],$E125,TblDynatrace[Couloir],$F125)))</f>
        <v/>
      </c>
      <c r="Q125" s="60" t="str">
        <f>IF($C125="","",IF($AR125&lt;&gt;"",$AR125,SUMIFS(TblDynatrace[RAM P95 (Go)],TblDynatrace[ID],$C125,TblDynatrace[Environnement],$E125,TblDynatrace[Couloir],$F125)))</f>
        <v/>
      </c>
      <c r="R125" s="26" t="str">
        <f>IF($C125="","",IFERROR(INDEX(TblDynatrace[Métrique / période],MATCH($C125&amp;"|"&amp;$E125&amp;"|"&amp;$F125,TblDynatrace[Clé],0)),""))</f>
        <v/>
      </c>
      <c r="S125" s="60" t="str">
        <f>IF(OR($C125="",NOT(OR($G125="À migrer",$G125="À décommissionner")),$I125="",NOT(ISNUMBER($P125))),"",IF($AO125&lt;&gt;"",$AO125,IFERROR(SUMIFS(TblClusters[CPU initial (vCPU)],TblClusters[Cluster],$I125)*$P125/(SUMIFS(TblApplications[CPU Dynatrace (vCPU)],TblApplications[Cluster IKS source],$I125,TblApplications[Action],"À migrer")+SUMIFS(TblApplications[CPU Dynatrace (vCPU)],TblApplications[Cluster IKS source],$I125,TblApplications[Action],"À décommissionner")),0)))</f>
        <v/>
      </c>
      <c r="T125" s="60" t="str">
        <f>IF(OR($C125="",NOT(OR($G125="À migrer",$G125="À décommissionner")),$I125="",NOT(ISNUMBER($Q125))),"",IF($AP125&lt;&gt;"",$AP125,IFERROR(SUMIFS(TblClusters[RAM initiale (Go)],TblClusters[Cluster],$I125)*$Q125/(SUMIFS(TblApplications[RAM Dynatrace (Go)],TblApplications[Cluster IKS source],$I125,TblApplications[Action],"À migrer")+SUMIFS(TblApplications[RAM Dynatrace (Go)],TblApplications[Cluster IKS source],$I125,TblApplications[Action],"À décommissionner")),0)))</f>
        <v/>
      </c>
      <c r="U125" s="61"/>
      <c r="V125" s="61"/>
      <c r="W125" s="61"/>
      <c r="X125" s="59"/>
      <c r="Y125" s="26" t="str">
        <f t="shared" si="9"/>
        <v/>
      </c>
      <c r="Z125" s="26" t="str">
        <f t="shared" si="10"/>
        <v/>
      </c>
      <c r="AA125" s="33" t="str">
        <f t="shared" si="11"/>
        <v/>
      </c>
      <c r="AB125" s="33" t="str">
        <f t="shared" si="12"/>
        <v/>
      </c>
      <c r="AC125" s="26" t="str">
        <f t="shared" si="13"/>
        <v/>
      </c>
      <c r="AD125" s="26" t="str">
        <f>IF($C125="","",COUNTIF(TblApplications[ID],$C125))</f>
        <v/>
      </c>
      <c r="AE125" s="33" t="str">
        <f>IF($C125="","",IFERROR(1/(1/_xlfn.MINIFS(TblApplications[Mois prov (calc)],TblApplications[ID],$C125)),""))</f>
        <v/>
      </c>
      <c r="AF125" s="33" t="str">
        <f>IF($C125="","",IFERROR(1/(1/_xlfn.MAXIFS(TblApplications[Mois lib (calc)],TblApplications[ID],$C125)),""))</f>
        <v/>
      </c>
      <c r="AG125" s="26" t="str">
        <f>IF($C125="","",IF(OR(OR($A125="",$B125="",$D125="",$E125="",$F125="",$G125=""),AND($G125="À migrer",OR($H125="",$I125="",$O125="",$U125="",$V125="",$W125="")),AND($G125="Migré",OR($O125="")),AND($G125="À décommissionner",OR($I125="",$W125=""))),"Données manquantes (selon l’action)",IF(AND($G125&lt;&gt;"Migré",$G125&lt;&gt;"À migrer",$G125&lt;&gt;"À décommissionner",$G125&lt;&gt;"Décommissionné"),"Action invalide",IF(COUNTIF(TblDomaines[Domaine],$A125)=0,"Domaine inconnu (référentiel)",IF(COUNTIFS(TblTribes[Tribe],$B125,TblTribes[Domaine de la tribe],$A125)=0,"Tribe inconnue ou hors domaine",IF(AND($G125="À migrer",$H125&lt;&gt;"Oui",$H125&lt;&gt;"Non"),"Valeur Oui/Non invalide (Déjà incluse ROKS)",IF(AND($E125&lt;&gt;"PRD",$E125&lt;&gt;"NPRD"),"Environnement invalide",IF(COUNTIFS(TblApplications[ID],$C125,TblApplications[Environnement],$E125,TblApplications[Couloir],$F125)&gt;1,"Déploiement en doublon (ID + env + couloir)",IF(AND(OR(OR($G125="À migrer",$G125="Migré"),OR($G125="À migrer",$G125="À décommissionner")),N($P125)&lt;=0),"Conso Dynatrace absente (onglet Dynatrace)",IF(OR(AND($P125&lt;&gt;"",NOT(ISNUMBER($P125))),AND($Q125&lt;&gt;"",NOT(ISNUMBER($Q125)))),"Ressource non numérique",IF(MIN(N($P125),N($Q125))&lt;0,"Ressource négative",IF(OR(AND($AH125&lt;&gt;"",OR(NOT(ISNUMBER($AH125)),$AH125&lt;0,$AH125&gt;1)),AND($AI125&lt;&gt;"",OR(NOT(ISNUMBER($AI125)),$AI125&lt;0,$AI125&gt;1))),"Marge spécifique invalide (0–100 %)",IF(OR(AND($U125&lt;&gt;"",NOT(ISNUMBER($U125))),AND($V125&lt;&gt;"",NOT(ISNUMBER($V125))),AND($W125&lt;&gt;"",NOT(ISNUMBER($W125)))),"Mois invalide",IF(AND(OR($G125="À migrer",$G125="À décommissionner"),COUNTIFS(TblClusters[Cluster],$I125,TblClusters[Plateforme],"IKS")=0),"Cluster IKS inconnu",IF(AND(OR($G125="À migrer",$G125="Migré"),COUNTIFS(TblClusters[Cluster],$O125,TblClusters[Plateforme],"ROKS")=0),"Cluster ROKS inconnu",IF(AND(OR($G125="À migrer",$G125="À décommissionner"),COUNTIFS(TblClusters[Cluster],$I125,TblClusters[Environnement],$E125)=0),"Environnement ≠ cluster IKS",IF(AND(OR($G125="À migrer",$G125="Migré"),COUNTIFS(TblClusters[Cluster],$O125,TblClusters[Environnement],$E125)=0),"Environnement ≠ cluster ROKS",IF(AND($G125="À migrer",OR($U125&gt;$V125,$V125&gt;$W125)),"Dates incohérentes (prov ≤ bascule ≤ libération)",IF(AND(OR($G125="À migrer",$G125="À décommissionner"),OR(N($AO125)&gt;SUMIFS(TblClusters[CPU initial (vCPU)],TblClusters[Cluster],$I125),N($AP125)&gt;SUMIFS(TblClusters[RAM initiale (Go)],TblClusters[Cluster],$I125))),"Forçage &gt; capacité du cluster source",IF(OR(AND($AA125&lt;&gt;"",$AA125&lt;p_debut),AND($AB125&lt;&gt;"",$AB125&gt;p_fin)),"Hors horizon (info)",IF(AND($G125="À migrer",$E125="PRD",COUNTIFS(TblApplications[ID],$C125,TblApplications[Environnement],"NPRD",TblApplications[Action],"À migrer")&gt;0,$AA125&lt;_xlfn.MINIFS(TblApplications[Mois prov (calc)],TblApplications[ID],$C125,TblApplications[Environnement],"NPRD")),"PRD avant NPRD (info)","OK")))))))))))))))))))))</f>
        <v/>
      </c>
      <c r="AH125" s="62"/>
      <c r="AI125" s="62"/>
      <c r="AJ125" s="27" t="str">
        <f>IF(OR($C125="",NOT(OR($G125="À migrer",$G125="À décommissionner")),NOT(ISNUMBER($S125)),NOT(ISNUMBER($T125)),$AB125=""),"",($S125+p_poidsram*$T125)*SUMIFS(TblCalculs[Coût par unité],TblCalculs[Cluster],$I125,TblCalculs[Mois],"&lt;"&amp;$AB125))</f>
        <v/>
      </c>
      <c r="AK125" s="27" t="str">
        <f>IF($C125="","",IF(AND($G125="À migrer",$H125="Non",$Y125&lt;&gt;"",$AA125&lt;&gt;""),($Y125+p_poidsram*$Z125)*SUMIFS(TblCalculs[Coût par unité],TblCalculs[Cluster],$O125,TblCalculs[Mois],"&gt;="&amp;$AA125),IF(AND($G125="Migré",$Y125&lt;&gt;""),($Y125+p_poidsram*$Z125)*SUMIFS(TblCalculs[Coût par unité],TblCalculs[Cluster],$O125),"")))</f>
        <v/>
      </c>
      <c r="AL125" s="27" t="str">
        <f t="shared" si="14"/>
        <v/>
      </c>
      <c r="AM125" s="26" t="str">
        <f t="shared" si="15"/>
        <v/>
      </c>
      <c r="AN125" s="26" t="str">
        <f>IF(OR($C125="",$AM125&lt;&gt;1,COUNTIFS($E125,ex_envc,$A125,ex_domc,$B125,ex_tric)=0),"",COUNTIFS($AM$6:$AM125,1,$E$6:$E125,ex_envc,$A$6:$A125,ex_domc,$B$6:$B125,ex_tric))</f>
        <v/>
      </c>
      <c r="AO125" s="63"/>
      <c r="AP125" s="63"/>
      <c r="AQ125" s="63"/>
      <c r="AR125" s="63"/>
    </row>
    <row r="126" spans="1:44" x14ac:dyDescent="0.2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26" t="str">
        <f t="shared" si="8"/>
        <v/>
      </c>
      <c r="O126" s="59"/>
      <c r="P126" s="60" t="str">
        <f>IF($C126="","",IF($AQ126&lt;&gt;"",$AQ126,SUMIFS(TblDynatrace[CPU P95 (vCPU)],TblDynatrace[ID],$C126,TblDynatrace[Environnement],$E126,TblDynatrace[Couloir],$F126)))</f>
        <v/>
      </c>
      <c r="Q126" s="60" t="str">
        <f>IF($C126="","",IF($AR126&lt;&gt;"",$AR126,SUMIFS(TblDynatrace[RAM P95 (Go)],TblDynatrace[ID],$C126,TblDynatrace[Environnement],$E126,TblDynatrace[Couloir],$F126)))</f>
        <v/>
      </c>
      <c r="R126" s="26" t="str">
        <f>IF($C126="","",IFERROR(INDEX(TblDynatrace[Métrique / période],MATCH($C126&amp;"|"&amp;$E126&amp;"|"&amp;$F126,TblDynatrace[Clé],0)),""))</f>
        <v/>
      </c>
      <c r="S126" s="60" t="str">
        <f>IF(OR($C126="",NOT(OR($G126="À migrer",$G126="À décommissionner")),$I126="",NOT(ISNUMBER($P126))),"",IF($AO126&lt;&gt;"",$AO126,IFERROR(SUMIFS(TblClusters[CPU initial (vCPU)],TblClusters[Cluster],$I126)*$P126/(SUMIFS(TblApplications[CPU Dynatrace (vCPU)],TblApplications[Cluster IKS source],$I126,TblApplications[Action],"À migrer")+SUMIFS(TblApplications[CPU Dynatrace (vCPU)],TblApplications[Cluster IKS source],$I126,TblApplications[Action],"À décommissionner")),0)))</f>
        <v/>
      </c>
      <c r="T126" s="60" t="str">
        <f>IF(OR($C126="",NOT(OR($G126="À migrer",$G126="À décommissionner")),$I126="",NOT(ISNUMBER($Q126))),"",IF($AP126&lt;&gt;"",$AP126,IFERROR(SUMIFS(TblClusters[RAM initiale (Go)],TblClusters[Cluster],$I126)*$Q126/(SUMIFS(TblApplications[RAM Dynatrace (Go)],TblApplications[Cluster IKS source],$I126,TblApplications[Action],"À migrer")+SUMIFS(TblApplications[RAM Dynatrace (Go)],TblApplications[Cluster IKS source],$I126,TblApplications[Action],"À décommissionner")),0)))</f>
        <v/>
      </c>
      <c r="U126" s="61"/>
      <c r="V126" s="61"/>
      <c r="W126" s="61"/>
      <c r="X126" s="59"/>
      <c r="Y126" s="26" t="str">
        <f t="shared" si="9"/>
        <v/>
      </c>
      <c r="Z126" s="26" t="str">
        <f t="shared" si="10"/>
        <v/>
      </c>
      <c r="AA126" s="33" t="str">
        <f t="shared" si="11"/>
        <v/>
      </c>
      <c r="AB126" s="33" t="str">
        <f t="shared" si="12"/>
        <v/>
      </c>
      <c r="AC126" s="26" t="str">
        <f t="shared" si="13"/>
        <v/>
      </c>
      <c r="AD126" s="26" t="str">
        <f>IF($C126="","",COUNTIF(TblApplications[ID],$C126))</f>
        <v/>
      </c>
      <c r="AE126" s="33" t="str">
        <f>IF($C126="","",IFERROR(1/(1/_xlfn.MINIFS(TblApplications[Mois prov (calc)],TblApplications[ID],$C126)),""))</f>
        <v/>
      </c>
      <c r="AF126" s="33" t="str">
        <f>IF($C126="","",IFERROR(1/(1/_xlfn.MAXIFS(TblApplications[Mois lib (calc)],TblApplications[ID],$C126)),""))</f>
        <v/>
      </c>
      <c r="AG126" s="26" t="str">
        <f>IF($C126="","",IF(OR(OR($A126="",$B126="",$D126="",$E126="",$F126="",$G126=""),AND($G126="À migrer",OR($H126="",$I126="",$O126="",$U126="",$V126="",$W126="")),AND($G126="Migré",OR($O126="")),AND($G126="À décommissionner",OR($I126="",$W126=""))),"Données manquantes (selon l’action)",IF(AND($G126&lt;&gt;"Migré",$G126&lt;&gt;"À migrer",$G126&lt;&gt;"À décommissionner",$G126&lt;&gt;"Décommissionné"),"Action invalide",IF(COUNTIF(TblDomaines[Domaine],$A126)=0,"Domaine inconnu (référentiel)",IF(COUNTIFS(TblTribes[Tribe],$B126,TblTribes[Domaine de la tribe],$A126)=0,"Tribe inconnue ou hors domaine",IF(AND($G126="À migrer",$H126&lt;&gt;"Oui",$H126&lt;&gt;"Non"),"Valeur Oui/Non invalide (Déjà incluse ROKS)",IF(AND($E126&lt;&gt;"PRD",$E126&lt;&gt;"NPRD"),"Environnement invalide",IF(COUNTIFS(TblApplications[ID],$C126,TblApplications[Environnement],$E126,TblApplications[Couloir],$F126)&gt;1,"Déploiement en doublon (ID + env + couloir)",IF(AND(OR(OR($G126="À migrer",$G126="Migré"),OR($G126="À migrer",$G126="À décommissionner")),N($P126)&lt;=0),"Conso Dynatrace absente (onglet Dynatrace)",IF(OR(AND($P126&lt;&gt;"",NOT(ISNUMBER($P126))),AND($Q126&lt;&gt;"",NOT(ISNUMBER($Q126)))),"Ressource non numérique",IF(MIN(N($P126),N($Q126))&lt;0,"Ressource négative",IF(OR(AND($AH126&lt;&gt;"",OR(NOT(ISNUMBER($AH126)),$AH126&lt;0,$AH126&gt;1)),AND($AI126&lt;&gt;"",OR(NOT(ISNUMBER($AI126)),$AI126&lt;0,$AI126&gt;1))),"Marge spécifique invalide (0–100 %)",IF(OR(AND($U126&lt;&gt;"",NOT(ISNUMBER($U126))),AND($V126&lt;&gt;"",NOT(ISNUMBER($V126))),AND($W126&lt;&gt;"",NOT(ISNUMBER($W126)))),"Mois invalide",IF(AND(OR($G126="À migrer",$G126="À décommissionner"),COUNTIFS(TblClusters[Cluster],$I126,TblClusters[Plateforme],"IKS")=0),"Cluster IKS inconnu",IF(AND(OR($G126="À migrer",$G126="Migré"),COUNTIFS(TblClusters[Cluster],$O126,TblClusters[Plateforme],"ROKS")=0),"Cluster ROKS inconnu",IF(AND(OR($G126="À migrer",$G126="À décommissionner"),COUNTIFS(TblClusters[Cluster],$I126,TblClusters[Environnement],$E126)=0),"Environnement ≠ cluster IKS",IF(AND(OR($G126="À migrer",$G126="Migré"),COUNTIFS(TblClusters[Cluster],$O126,TblClusters[Environnement],$E126)=0),"Environnement ≠ cluster ROKS",IF(AND($G126="À migrer",OR($U126&gt;$V126,$V126&gt;$W126)),"Dates incohérentes (prov ≤ bascule ≤ libération)",IF(AND(OR($G126="À migrer",$G126="À décommissionner"),OR(N($AO126)&gt;SUMIFS(TblClusters[CPU initial (vCPU)],TblClusters[Cluster],$I126),N($AP126)&gt;SUMIFS(TblClusters[RAM initiale (Go)],TblClusters[Cluster],$I126))),"Forçage &gt; capacité du cluster source",IF(OR(AND($AA126&lt;&gt;"",$AA126&lt;p_debut),AND($AB126&lt;&gt;"",$AB126&gt;p_fin)),"Hors horizon (info)",IF(AND($G126="À migrer",$E126="PRD",COUNTIFS(TblApplications[ID],$C126,TblApplications[Environnement],"NPRD",TblApplications[Action],"À migrer")&gt;0,$AA126&lt;_xlfn.MINIFS(TblApplications[Mois prov (calc)],TblApplications[ID],$C126,TblApplications[Environnement],"NPRD")),"PRD avant NPRD (info)","OK")))))))))))))))))))))</f>
        <v/>
      </c>
      <c r="AH126" s="62"/>
      <c r="AI126" s="62"/>
      <c r="AJ126" s="27" t="str">
        <f>IF(OR($C126="",NOT(OR($G126="À migrer",$G126="À décommissionner")),NOT(ISNUMBER($S126)),NOT(ISNUMBER($T126)),$AB126=""),"",($S126+p_poidsram*$T126)*SUMIFS(TblCalculs[Coût par unité],TblCalculs[Cluster],$I126,TblCalculs[Mois],"&lt;"&amp;$AB126))</f>
        <v/>
      </c>
      <c r="AK126" s="27" t="str">
        <f>IF($C126="","",IF(AND($G126="À migrer",$H126="Non",$Y126&lt;&gt;"",$AA126&lt;&gt;""),($Y126+p_poidsram*$Z126)*SUMIFS(TblCalculs[Coût par unité],TblCalculs[Cluster],$O126,TblCalculs[Mois],"&gt;="&amp;$AA126),IF(AND($G126="Migré",$Y126&lt;&gt;""),($Y126+p_poidsram*$Z126)*SUMIFS(TblCalculs[Coût par unité],TblCalculs[Cluster],$O126),"")))</f>
        <v/>
      </c>
      <c r="AL126" s="27" t="str">
        <f t="shared" si="14"/>
        <v/>
      </c>
      <c r="AM126" s="26" t="str">
        <f t="shared" si="15"/>
        <v/>
      </c>
      <c r="AN126" s="26" t="str">
        <f>IF(OR($C126="",$AM126&lt;&gt;1,COUNTIFS($E126,ex_envc,$A126,ex_domc,$B126,ex_tric)=0),"",COUNTIFS($AM$6:$AM126,1,$E$6:$E126,ex_envc,$A$6:$A126,ex_domc,$B$6:$B126,ex_tric))</f>
        <v/>
      </c>
      <c r="AO126" s="63"/>
      <c r="AP126" s="63"/>
      <c r="AQ126" s="63"/>
      <c r="AR126" s="63"/>
    </row>
    <row r="127" spans="1:44" x14ac:dyDescent="0.2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26" t="str">
        <f t="shared" si="8"/>
        <v/>
      </c>
      <c r="O127" s="59"/>
      <c r="P127" s="60" t="str">
        <f>IF($C127="","",IF($AQ127&lt;&gt;"",$AQ127,SUMIFS(TblDynatrace[CPU P95 (vCPU)],TblDynatrace[ID],$C127,TblDynatrace[Environnement],$E127,TblDynatrace[Couloir],$F127)))</f>
        <v/>
      </c>
      <c r="Q127" s="60" t="str">
        <f>IF($C127="","",IF($AR127&lt;&gt;"",$AR127,SUMIFS(TblDynatrace[RAM P95 (Go)],TblDynatrace[ID],$C127,TblDynatrace[Environnement],$E127,TblDynatrace[Couloir],$F127)))</f>
        <v/>
      </c>
      <c r="R127" s="26" t="str">
        <f>IF($C127="","",IFERROR(INDEX(TblDynatrace[Métrique / période],MATCH($C127&amp;"|"&amp;$E127&amp;"|"&amp;$F127,TblDynatrace[Clé],0)),""))</f>
        <v/>
      </c>
      <c r="S127" s="60" t="str">
        <f>IF(OR($C127="",NOT(OR($G127="À migrer",$G127="À décommissionner")),$I127="",NOT(ISNUMBER($P127))),"",IF($AO127&lt;&gt;"",$AO127,IFERROR(SUMIFS(TblClusters[CPU initial (vCPU)],TblClusters[Cluster],$I127)*$P127/(SUMIFS(TblApplications[CPU Dynatrace (vCPU)],TblApplications[Cluster IKS source],$I127,TblApplications[Action],"À migrer")+SUMIFS(TblApplications[CPU Dynatrace (vCPU)],TblApplications[Cluster IKS source],$I127,TblApplications[Action],"À décommissionner")),0)))</f>
        <v/>
      </c>
      <c r="T127" s="60" t="str">
        <f>IF(OR($C127="",NOT(OR($G127="À migrer",$G127="À décommissionner")),$I127="",NOT(ISNUMBER($Q127))),"",IF($AP127&lt;&gt;"",$AP127,IFERROR(SUMIFS(TblClusters[RAM initiale (Go)],TblClusters[Cluster],$I127)*$Q127/(SUMIFS(TblApplications[RAM Dynatrace (Go)],TblApplications[Cluster IKS source],$I127,TblApplications[Action],"À migrer")+SUMIFS(TblApplications[RAM Dynatrace (Go)],TblApplications[Cluster IKS source],$I127,TblApplications[Action],"À décommissionner")),0)))</f>
        <v/>
      </c>
      <c r="U127" s="61"/>
      <c r="V127" s="61"/>
      <c r="W127" s="61"/>
      <c r="X127" s="59"/>
      <c r="Y127" s="26" t="str">
        <f t="shared" si="9"/>
        <v/>
      </c>
      <c r="Z127" s="26" t="str">
        <f t="shared" si="10"/>
        <v/>
      </c>
      <c r="AA127" s="33" t="str">
        <f t="shared" si="11"/>
        <v/>
      </c>
      <c r="AB127" s="33" t="str">
        <f t="shared" si="12"/>
        <v/>
      </c>
      <c r="AC127" s="26" t="str">
        <f t="shared" si="13"/>
        <v/>
      </c>
      <c r="AD127" s="26" t="str">
        <f>IF($C127="","",COUNTIF(TblApplications[ID],$C127))</f>
        <v/>
      </c>
      <c r="AE127" s="33" t="str">
        <f>IF($C127="","",IFERROR(1/(1/_xlfn.MINIFS(TblApplications[Mois prov (calc)],TblApplications[ID],$C127)),""))</f>
        <v/>
      </c>
      <c r="AF127" s="33" t="str">
        <f>IF($C127="","",IFERROR(1/(1/_xlfn.MAXIFS(TblApplications[Mois lib (calc)],TblApplications[ID],$C127)),""))</f>
        <v/>
      </c>
      <c r="AG127" s="26" t="str">
        <f>IF($C127="","",IF(OR(OR($A127="",$B127="",$D127="",$E127="",$F127="",$G127=""),AND($G127="À migrer",OR($H127="",$I127="",$O127="",$U127="",$V127="",$W127="")),AND($G127="Migré",OR($O127="")),AND($G127="À décommissionner",OR($I127="",$W127=""))),"Données manquantes (selon l’action)",IF(AND($G127&lt;&gt;"Migré",$G127&lt;&gt;"À migrer",$G127&lt;&gt;"À décommissionner",$G127&lt;&gt;"Décommissionné"),"Action invalide",IF(COUNTIF(TblDomaines[Domaine],$A127)=0,"Domaine inconnu (référentiel)",IF(COUNTIFS(TblTribes[Tribe],$B127,TblTribes[Domaine de la tribe],$A127)=0,"Tribe inconnue ou hors domaine",IF(AND($G127="À migrer",$H127&lt;&gt;"Oui",$H127&lt;&gt;"Non"),"Valeur Oui/Non invalide (Déjà incluse ROKS)",IF(AND($E127&lt;&gt;"PRD",$E127&lt;&gt;"NPRD"),"Environnement invalide",IF(COUNTIFS(TblApplications[ID],$C127,TblApplications[Environnement],$E127,TblApplications[Couloir],$F127)&gt;1,"Déploiement en doublon (ID + env + couloir)",IF(AND(OR(OR($G127="À migrer",$G127="Migré"),OR($G127="À migrer",$G127="À décommissionner")),N($P127)&lt;=0),"Conso Dynatrace absente (onglet Dynatrace)",IF(OR(AND($P127&lt;&gt;"",NOT(ISNUMBER($P127))),AND($Q127&lt;&gt;"",NOT(ISNUMBER($Q127)))),"Ressource non numérique",IF(MIN(N($P127),N($Q127))&lt;0,"Ressource négative",IF(OR(AND($AH127&lt;&gt;"",OR(NOT(ISNUMBER($AH127)),$AH127&lt;0,$AH127&gt;1)),AND($AI127&lt;&gt;"",OR(NOT(ISNUMBER($AI127)),$AI127&lt;0,$AI127&gt;1))),"Marge spécifique invalide (0–100 %)",IF(OR(AND($U127&lt;&gt;"",NOT(ISNUMBER($U127))),AND($V127&lt;&gt;"",NOT(ISNUMBER($V127))),AND($W127&lt;&gt;"",NOT(ISNUMBER($W127)))),"Mois invalide",IF(AND(OR($G127="À migrer",$G127="À décommissionner"),COUNTIFS(TblClusters[Cluster],$I127,TblClusters[Plateforme],"IKS")=0),"Cluster IKS inconnu",IF(AND(OR($G127="À migrer",$G127="Migré"),COUNTIFS(TblClusters[Cluster],$O127,TblClusters[Plateforme],"ROKS")=0),"Cluster ROKS inconnu",IF(AND(OR($G127="À migrer",$G127="À décommissionner"),COUNTIFS(TblClusters[Cluster],$I127,TblClusters[Environnement],$E127)=0),"Environnement ≠ cluster IKS",IF(AND(OR($G127="À migrer",$G127="Migré"),COUNTIFS(TblClusters[Cluster],$O127,TblClusters[Environnement],$E127)=0),"Environnement ≠ cluster ROKS",IF(AND($G127="À migrer",OR($U127&gt;$V127,$V127&gt;$W127)),"Dates incohérentes (prov ≤ bascule ≤ libération)",IF(AND(OR($G127="À migrer",$G127="À décommissionner"),OR(N($AO127)&gt;SUMIFS(TblClusters[CPU initial (vCPU)],TblClusters[Cluster],$I127),N($AP127)&gt;SUMIFS(TblClusters[RAM initiale (Go)],TblClusters[Cluster],$I127))),"Forçage &gt; capacité du cluster source",IF(OR(AND($AA127&lt;&gt;"",$AA127&lt;p_debut),AND($AB127&lt;&gt;"",$AB127&gt;p_fin)),"Hors horizon (info)",IF(AND($G127="À migrer",$E127="PRD",COUNTIFS(TblApplications[ID],$C127,TblApplications[Environnement],"NPRD",TblApplications[Action],"À migrer")&gt;0,$AA127&lt;_xlfn.MINIFS(TblApplications[Mois prov (calc)],TblApplications[ID],$C127,TblApplications[Environnement],"NPRD")),"PRD avant NPRD (info)","OK")))))))))))))))))))))</f>
        <v/>
      </c>
      <c r="AH127" s="62"/>
      <c r="AI127" s="62"/>
      <c r="AJ127" s="27" t="str">
        <f>IF(OR($C127="",NOT(OR($G127="À migrer",$G127="À décommissionner")),NOT(ISNUMBER($S127)),NOT(ISNUMBER($T127)),$AB127=""),"",($S127+p_poidsram*$T127)*SUMIFS(TblCalculs[Coût par unité],TblCalculs[Cluster],$I127,TblCalculs[Mois],"&lt;"&amp;$AB127))</f>
        <v/>
      </c>
      <c r="AK127" s="27" t="str">
        <f>IF($C127="","",IF(AND($G127="À migrer",$H127="Non",$Y127&lt;&gt;"",$AA127&lt;&gt;""),($Y127+p_poidsram*$Z127)*SUMIFS(TblCalculs[Coût par unité],TblCalculs[Cluster],$O127,TblCalculs[Mois],"&gt;="&amp;$AA127),IF(AND($G127="Migré",$Y127&lt;&gt;""),($Y127+p_poidsram*$Z127)*SUMIFS(TblCalculs[Coût par unité],TblCalculs[Cluster],$O127),"")))</f>
        <v/>
      </c>
      <c r="AL127" s="27" t="str">
        <f t="shared" si="14"/>
        <v/>
      </c>
      <c r="AM127" s="26" t="str">
        <f t="shared" si="15"/>
        <v/>
      </c>
      <c r="AN127" s="26" t="str">
        <f>IF(OR($C127="",$AM127&lt;&gt;1,COUNTIFS($E127,ex_envc,$A127,ex_domc,$B127,ex_tric)=0),"",COUNTIFS($AM$6:$AM127,1,$E$6:$E127,ex_envc,$A$6:$A127,ex_domc,$B$6:$B127,ex_tric))</f>
        <v/>
      </c>
      <c r="AO127" s="63"/>
      <c r="AP127" s="63"/>
      <c r="AQ127" s="63"/>
      <c r="AR127" s="63"/>
    </row>
    <row r="128" spans="1:44" x14ac:dyDescent="0.2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26" t="str">
        <f t="shared" si="8"/>
        <v/>
      </c>
      <c r="O128" s="59"/>
      <c r="P128" s="60" t="str">
        <f>IF($C128="","",IF($AQ128&lt;&gt;"",$AQ128,SUMIFS(TblDynatrace[CPU P95 (vCPU)],TblDynatrace[ID],$C128,TblDynatrace[Environnement],$E128,TblDynatrace[Couloir],$F128)))</f>
        <v/>
      </c>
      <c r="Q128" s="60" t="str">
        <f>IF($C128="","",IF($AR128&lt;&gt;"",$AR128,SUMIFS(TblDynatrace[RAM P95 (Go)],TblDynatrace[ID],$C128,TblDynatrace[Environnement],$E128,TblDynatrace[Couloir],$F128)))</f>
        <v/>
      </c>
      <c r="R128" s="26" t="str">
        <f>IF($C128="","",IFERROR(INDEX(TblDynatrace[Métrique / période],MATCH($C128&amp;"|"&amp;$E128&amp;"|"&amp;$F128,TblDynatrace[Clé],0)),""))</f>
        <v/>
      </c>
      <c r="S128" s="60" t="str">
        <f>IF(OR($C128="",NOT(OR($G128="À migrer",$G128="À décommissionner")),$I128="",NOT(ISNUMBER($P128))),"",IF($AO128&lt;&gt;"",$AO128,IFERROR(SUMIFS(TblClusters[CPU initial (vCPU)],TblClusters[Cluster],$I128)*$P128/(SUMIFS(TblApplications[CPU Dynatrace (vCPU)],TblApplications[Cluster IKS source],$I128,TblApplications[Action],"À migrer")+SUMIFS(TblApplications[CPU Dynatrace (vCPU)],TblApplications[Cluster IKS source],$I128,TblApplications[Action],"À décommissionner")),0)))</f>
        <v/>
      </c>
      <c r="T128" s="60" t="str">
        <f>IF(OR($C128="",NOT(OR($G128="À migrer",$G128="À décommissionner")),$I128="",NOT(ISNUMBER($Q128))),"",IF($AP128&lt;&gt;"",$AP128,IFERROR(SUMIFS(TblClusters[RAM initiale (Go)],TblClusters[Cluster],$I128)*$Q128/(SUMIFS(TblApplications[RAM Dynatrace (Go)],TblApplications[Cluster IKS source],$I128,TblApplications[Action],"À migrer")+SUMIFS(TblApplications[RAM Dynatrace (Go)],TblApplications[Cluster IKS source],$I128,TblApplications[Action],"À décommissionner")),0)))</f>
        <v/>
      </c>
      <c r="U128" s="61"/>
      <c r="V128" s="61"/>
      <c r="W128" s="61"/>
      <c r="X128" s="59"/>
      <c r="Y128" s="26" t="str">
        <f t="shared" si="9"/>
        <v/>
      </c>
      <c r="Z128" s="26" t="str">
        <f t="shared" si="10"/>
        <v/>
      </c>
      <c r="AA128" s="33" t="str">
        <f t="shared" si="11"/>
        <v/>
      </c>
      <c r="AB128" s="33" t="str">
        <f t="shared" si="12"/>
        <v/>
      </c>
      <c r="AC128" s="26" t="str">
        <f t="shared" si="13"/>
        <v/>
      </c>
      <c r="AD128" s="26" t="str">
        <f>IF($C128="","",COUNTIF(TblApplications[ID],$C128))</f>
        <v/>
      </c>
      <c r="AE128" s="33" t="str">
        <f>IF($C128="","",IFERROR(1/(1/_xlfn.MINIFS(TblApplications[Mois prov (calc)],TblApplications[ID],$C128)),""))</f>
        <v/>
      </c>
      <c r="AF128" s="33" t="str">
        <f>IF($C128="","",IFERROR(1/(1/_xlfn.MAXIFS(TblApplications[Mois lib (calc)],TblApplications[ID],$C128)),""))</f>
        <v/>
      </c>
      <c r="AG128" s="26" t="str">
        <f>IF($C128="","",IF(OR(OR($A128="",$B128="",$D128="",$E128="",$F128="",$G128=""),AND($G128="À migrer",OR($H128="",$I128="",$O128="",$U128="",$V128="",$W128="")),AND($G128="Migré",OR($O128="")),AND($G128="À décommissionner",OR($I128="",$W128=""))),"Données manquantes (selon l’action)",IF(AND($G128&lt;&gt;"Migré",$G128&lt;&gt;"À migrer",$G128&lt;&gt;"À décommissionner",$G128&lt;&gt;"Décommissionné"),"Action invalide",IF(COUNTIF(TblDomaines[Domaine],$A128)=0,"Domaine inconnu (référentiel)",IF(COUNTIFS(TblTribes[Tribe],$B128,TblTribes[Domaine de la tribe],$A128)=0,"Tribe inconnue ou hors domaine",IF(AND($G128="À migrer",$H128&lt;&gt;"Oui",$H128&lt;&gt;"Non"),"Valeur Oui/Non invalide (Déjà incluse ROKS)",IF(AND($E128&lt;&gt;"PRD",$E128&lt;&gt;"NPRD"),"Environnement invalide",IF(COUNTIFS(TblApplications[ID],$C128,TblApplications[Environnement],$E128,TblApplications[Couloir],$F128)&gt;1,"Déploiement en doublon (ID + env + couloir)",IF(AND(OR(OR($G128="À migrer",$G128="Migré"),OR($G128="À migrer",$G128="À décommissionner")),N($P128)&lt;=0),"Conso Dynatrace absente (onglet Dynatrace)",IF(OR(AND($P128&lt;&gt;"",NOT(ISNUMBER($P128))),AND($Q128&lt;&gt;"",NOT(ISNUMBER($Q128)))),"Ressource non numérique",IF(MIN(N($P128),N($Q128))&lt;0,"Ressource négative",IF(OR(AND($AH128&lt;&gt;"",OR(NOT(ISNUMBER($AH128)),$AH128&lt;0,$AH128&gt;1)),AND($AI128&lt;&gt;"",OR(NOT(ISNUMBER($AI128)),$AI128&lt;0,$AI128&gt;1))),"Marge spécifique invalide (0–100 %)",IF(OR(AND($U128&lt;&gt;"",NOT(ISNUMBER($U128))),AND($V128&lt;&gt;"",NOT(ISNUMBER($V128))),AND($W128&lt;&gt;"",NOT(ISNUMBER($W128)))),"Mois invalide",IF(AND(OR($G128="À migrer",$G128="À décommissionner"),COUNTIFS(TblClusters[Cluster],$I128,TblClusters[Plateforme],"IKS")=0),"Cluster IKS inconnu",IF(AND(OR($G128="À migrer",$G128="Migré"),COUNTIFS(TblClusters[Cluster],$O128,TblClusters[Plateforme],"ROKS")=0),"Cluster ROKS inconnu",IF(AND(OR($G128="À migrer",$G128="À décommissionner"),COUNTIFS(TblClusters[Cluster],$I128,TblClusters[Environnement],$E128)=0),"Environnement ≠ cluster IKS",IF(AND(OR($G128="À migrer",$G128="Migré"),COUNTIFS(TblClusters[Cluster],$O128,TblClusters[Environnement],$E128)=0),"Environnement ≠ cluster ROKS",IF(AND($G128="À migrer",OR($U128&gt;$V128,$V128&gt;$W128)),"Dates incohérentes (prov ≤ bascule ≤ libération)",IF(AND(OR($G128="À migrer",$G128="À décommissionner"),OR(N($AO128)&gt;SUMIFS(TblClusters[CPU initial (vCPU)],TblClusters[Cluster],$I128),N($AP128)&gt;SUMIFS(TblClusters[RAM initiale (Go)],TblClusters[Cluster],$I128))),"Forçage &gt; capacité du cluster source",IF(OR(AND($AA128&lt;&gt;"",$AA128&lt;p_debut),AND($AB128&lt;&gt;"",$AB128&gt;p_fin)),"Hors horizon (info)",IF(AND($G128="À migrer",$E128="PRD",COUNTIFS(TblApplications[ID],$C128,TblApplications[Environnement],"NPRD",TblApplications[Action],"À migrer")&gt;0,$AA128&lt;_xlfn.MINIFS(TblApplications[Mois prov (calc)],TblApplications[ID],$C128,TblApplications[Environnement],"NPRD")),"PRD avant NPRD (info)","OK")))))))))))))))))))))</f>
        <v/>
      </c>
      <c r="AH128" s="62"/>
      <c r="AI128" s="62"/>
      <c r="AJ128" s="27" t="str">
        <f>IF(OR($C128="",NOT(OR($G128="À migrer",$G128="À décommissionner")),NOT(ISNUMBER($S128)),NOT(ISNUMBER($T128)),$AB128=""),"",($S128+p_poidsram*$T128)*SUMIFS(TblCalculs[Coût par unité],TblCalculs[Cluster],$I128,TblCalculs[Mois],"&lt;"&amp;$AB128))</f>
        <v/>
      </c>
      <c r="AK128" s="27" t="str">
        <f>IF($C128="","",IF(AND($G128="À migrer",$H128="Non",$Y128&lt;&gt;"",$AA128&lt;&gt;""),($Y128+p_poidsram*$Z128)*SUMIFS(TblCalculs[Coût par unité],TblCalculs[Cluster],$O128,TblCalculs[Mois],"&gt;="&amp;$AA128),IF(AND($G128="Migré",$Y128&lt;&gt;""),($Y128+p_poidsram*$Z128)*SUMIFS(TblCalculs[Coût par unité],TblCalculs[Cluster],$O128),"")))</f>
        <v/>
      </c>
      <c r="AL128" s="27" t="str">
        <f t="shared" si="14"/>
        <v/>
      </c>
      <c r="AM128" s="26" t="str">
        <f t="shared" si="15"/>
        <v/>
      </c>
      <c r="AN128" s="26" t="str">
        <f>IF(OR($C128="",$AM128&lt;&gt;1,COUNTIFS($E128,ex_envc,$A128,ex_domc,$B128,ex_tric)=0),"",COUNTIFS($AM$6:$AM128,1,$E$6:$E128,ex_envc,$A$6:$A128,ex_domc,$B$6:$B128,ex_tric))</f>
        <v/>
      </c>
      <c r="AO128" s="63"/>
      <c r="AP128" s="63"/>
      <c r="AQ128" s="63"/>
      <c r="AR128" s="63"/>
    </row>
    <row r="129" spans="1:44" x14ac:dyDescent="0.2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26" t="str">
        <f t="shared" si="8"/>
        <v/>
      </c>
      <c r="O129" s="59"/>
      <c r="P129" s="60" t="str">
        <f>IF($C129="","",IF($AQ129&lt;&gt;"",$AQ129,SUMIFS(TblDynatrace[CPU P95 (vCPU)],TblDynatrace[ID],$C129,TblDynatrace[Environnement],$E129,TblDynatrace[Couloir],$F129)))</f>
        <v/>
      </c>
      <c r="Q129" s="60" t="str">
        <f>IF($C129="","",IF($AR129&lt;&gt;"",$AR129,SUMIFS(TblDynatrace[RAM P95 (Go)],TblDynatrace[ID],$C129,TblDynatrace[Environnement],$E129,TblDynatrace[Couloir],$F129)))</f>
        <v/>
      </c>
      <c r="R129" s="26" t="str">
        <f>IF($C129="","",IFERROR(INDEX(TblDynatrace[Métrique / période],MATCH($C129&amp;"|"&amp;$E129&amp;"|"&amp;$F129,TblDynatrace[Clé],0)),""))</f>
        <v/>
      </c>
      <c r="S129" s="60" t="str">
        <f>IF(OR($C129="",NOT(OR($G129="À migrer",$G129="À décommissionner")),$I129="",NOT(ISNUMBER($P129))),"",IF($AO129&lt;&gt;"",$AO129,IFERROR(SUMIFS(TblClusters[CPU initial (vCPU)],TblClusters[Cluster],$I129)*$P129/(SUMIFS(TblApplications[CPU Dynatrace (vCPU)],TblApplications[Cluster IKS source],$I129,TblApplications[Action],"À migrer")+SUMIFS(TblApplications[CPU Dynatrace (vCPU)],TblApplications[Cluster IKS source],$I129,TblApplications[Action],"À décommissionner")),0)))</f>
        <v/>
      </c>
      <c r="T129" s="60" t="str">
        <f>IF(OR($C129="",NOT(OR($G129="À migrer",$G129="À décommissionner")),$I129="",NOT(ISNUMBER($Q129))),"",IF($AP129&lt;&gt;"",$AP129,IFERROR(SUMIFS(TblClusters[RAM initiale (Go)],TblClusters[Cluster],$I129)*$Q129/(SUMIFS(TblApplications[RAM Dynatrace (Go)],TblApplications[Cluster IKS source],$I129,TblApplications[Action],"À migrer")+SUMIFS(TblApplications[RAM Dynatrace (Go)],TblApplications[Cluster IKS source],$I129,TblApplications[Action],"À décommissionner")),0)))</f>
        <v/>
      </c>
      <c r="U129" s="61"/>
      <c r="V129" s="61"/>
      <c r="W129" s="61"/>
      <c r="X129" s="59"/>
      <c r="Y129" s="26" t="str">
        <f t="shared" si="9"/>
        <v/>
      </c>
      <c r="Z129" s="26" t="str">
        <f t="shared" si="10"/>
        <v/>
      </c>
      <c r="AA129" s="33" t="str">
        <f t="shared" si="11"/>
        <v/>
      </c>
      <c r="AB129" s="33" t="str">
        <f t="shared" si="12"/>
        <v/>
      </c>
      <c r="AC129" s="26" t="str">
        <f t="shared" si="13"/>
        <v/>
      </c>
      <c r="AD129" s="26" t="str">
        <f>IF($C129="","",COUNTIF(TblApplications[ID],$C129))</f>
        <v/>
      </c>
      <c r="AE129" s="33" t="str">
        <f>IF($C129="","",IFERROR(1/(1/_xlfn.MINIFS(TblApplications[Mois prov (calc)],TblApplications[ID],$C129)),""))</f>
        <v/>
      </c>
      <c r="AF129" s="33" t="str">
        <f>IF($C129="","",IFERROR(1/(1/_xlfn.MAXIFS(TblApplications[Mois lib (calc)],TblApplications[ID],$C129)),""))</f>
        <v/>
      </c>
      <c r="AG129" s="26" t="str">
        <f>IF($C129="","",IF(OR(OR($A129="",$B129="",$D129="",$E129="",$F129="",$G129=""),AND($G129="À migrer",OR($H129="",$I129="",$O129="",$U129="",$V129="",$W129="")),AND($G129="Migré",OR($O129="")),AND($G129="À décommissionner",OR($I129="",$W129=""))),"Données manquantes (selon l’action)",IF(AND($G129&lt;&gt;"Migré",$G129&lt;&gt;"À migrer",$G129&lt;&gt;"À décommissionner",$G129&lt;&gt;"Décommissionné"),"Action invalide",IF(COUNTIF(TblDomaines[Domaine],$A129)=0,"Domaine inconnu (référentiel)",IF(COUNTIFS(TblTribes[Tribe],$B129,TblTribes[Domaine de la tribe],$A129)=0,"Tribe inconnue ou hors domaine",IF(AND($G129="À migrer",$H129&lt;&gt;"Oui",$H129&lt;&gt;"Non"),"Valeur Oui/Non invalide (Déjà incluse ROKS)",IF(AND($E129&lt;&gt;"PRD",$E129&lt;&gt;"NPRD"),"Environnement invalide",IF(COUNTIFS(TblApplications[ID],$C129,TblApplications[Environnement],$E129,TblApplications[Couloir],$F129)&gt;1,"Déploiement en doublon (ID + env + couloir)",IF(AND(OR(OR($G129="À migrer",$G129="Migré"),OR($G129="À migrer",$G129="À décommissionner")),N($P129)&lt;=0),"Conso Dynatrace absente (onglet Dynatrace)",IF(OR(AND($P129&lt;&gt;"",NOT(ISNUMBER($P129))),AND($Q129&lt;&gt;"",NOT(ISNUMBER($Q129)))),"Ressource non numérique",IF(MIN(N($P129),N($Q129))&lt;0,"Ressource négative",IF(OR(AND($AH129&lt;&gt;"",OR(NOT(ISNUMBER($AH129)),$AH129&lt;0,$AH129&gt;1)),AND($AI129&lt;&gt;"",OR(NOT(ISNUMBER($AI129)),$AI129&lt;0,$AI129&gt;1))),"Marge spécifique invalide (0–100 %)",IF(OR(AND($U129&lt;&gt;"",NOT(ISNUMBER($U129))),AND($V129&lt;&gt;"",NOT(ISNUMBER($V129))),AND($W129&lt;&gt;"",NOT(ISNUMBER($W129)))),"Mois invalide",IF(AND(OR($G129="À migrer",$G129="À décommissionner"),COUNTIFS(TblClusters[Cluster],$I129,TblClusters[Plateforme],"IKS")=0),"Cluster IKS inconnu",IF(AND(OR($G129="À migrer",$G129="Migré"),COUNTIFS(TblClusters[Cluster],$O129,TblClusters[Plateforme],"ROKS")=0),"Cluster ROKS inconnu",IF(AND(OR($G129="À migrer",$G129="À décommissionner"),COUNTIFS(TblClusters[Cluster],$I129,TblClusters[Environnement],$E129)=0),"Environnement ≠ cluster IKS",IF(AND(OR($G129="À migrer",$G129="Migré"),COUNTIFS(TblClusters[Cluster],$O129,TblClusters[Environnement],$E129)=0),"Environnement ≠ cluster ROKS",IF(AND($G129="À migrer",OR($U129&gt;$V129,$V129&gt;$W129)),"Dates incohérentes (prov ≤ bascule ≤ libération)",IF(AND(OR($G129="À migrer",$G129="À décommissionner"),OR(N($AO129)&gt;SUMIFS(TblClusters[CPU initial (vCPU)],TblClusters[Cluster],$I129),N($AP129)&gt;SUMIFS(TblClusters[RAM initiale (Go)],TblClusters[Cluster],$I129))),"Forçage &gt; capacité du cluster source",IF(OR(AND($AA129&lt;&gt;"",$AA129&lt;p_debut),AND($AB129&lt;&gt;"",$AB129&gt;p_fin)),"Hors horizon (info)",IF(AND($G129="À migrer",$E129="PRD",COUNTIFS(TblApplications[ID],$C129,TblApplications[Environnement],"NPRD",TblApplications[Action],"À migrer")&gt;0,$AA129&lt;_xlfn.MINIFS(TblApplications[Mois prov (calc)],TblApplications[ID],$C129,TblApplications[Environnement],"NPRD")),"PRD avant NPRD (info)","OK")))))))))))))))))))))</f>
        <v/>
      </c>
      <c r="AH129" s="62"/>
      <c r="AI129" s="62"/>
      <c r="AJ129" s="27" t="str">
        <f>IF(OR($C129="",NOT(OR($G129="À migrer",$G129="À décommissionner")),NOT(ISNUMBER($S129)),NOT(ISNUMBER($T129)),$AB129=""),"",($S129+p_poidsram*$T129)*SUMIFS(TblCalculs[Coût par unité],TblCalculs[Cluster],$I129,TblCalculs[Mois],"&lt;"&amp;$AB129))</f>
        <v/>
      </c>
      <c r="AK129" s="27" t="str">
        <f>IF($C129="","",IF(AND($G129="À migrer",$H129="Non",$Y129&lt;&gt;"",$AA129&lt;&gt;""),($Y129+p_poidsram*$Z129)*SUMIFS(TblCalculs[Coût par unité],TblCalculs[Cluster],$O129,TblCalculs[Mois],"&gt;="&amp;$AA129),IF(AND($G129="Migré",$Y129&lt;&gt;""),($Y129+p_poidsram*$Z129)*SUMIFS(TblCalculs[Coût par unité],TblCalculs[Cluster],$O129),"")))</f>
        <v/>
      </c>
      <c r="AL129" s="27" t="str">
        <f t="shared" si="14"/>
        <v/>
      </c>
      <c r="AM129" s="26" t="str">
        <f t="shared" si="15"/>
        <v/>
      </c>
      <c r="AN129" s="26" t="str">
        <f>IF(OR($C129="",$AM129&lt;&gt;1,COUNTIFS($E129,ex_envc,$A129,ex_domc,$B129,ex_tric)=0),"",COUNTIFS($AM$6:$AM129,1,$E$6:$E129,ex_envc,$A$6:$A129,ex_domc,$B$6:$B129,ex_tric))</f>
        <v/>
      </c>
      <c r="AO129" s="63"/>
      <c r="AP129" s="63"/>
      <c r="AQ129" s="63"/>
      <c r="AR129" s="63"/>
    </row>
    <row r="130" spans="1:44" x14ac:dyDescent="0.2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26" t="str">
        <f t="shared" si="8"/>
        <v/>
      </c>
      <c r="O130" s="59"/>
      <c r="P130" s="60" t="str">
        <f>IF($C130="","",IF($AQ130&lt;&gt;"",$AQ130,SUMIFS(TblDynatrace[CPU P95 (vCPU)],TblDynatrace[ID],$C130,TblDynatrace[Environnement],$E130,TblDynatrace[Couloir],$F130)))</f>
        <v/>
      </c>
      <c r="Q130" s="60" t="str">
        <f>IF($C130="","",IF($AR130&lt;&gt;"",$AR130,SUMIFS(TblDynatrace[RAM P95 (Go)],TblDynatrace[ID],$C130,TblDynatrace[Environnement],$E130,TblDynatrace[Couloir],$F130)))</f>
        <v/>
      </c>
      <c r="R130" s="26" t="str">
        <f>IF($C130="","",IFERROR(INDEX(TblDynatrace[Métrique / période],MATCH($C130&amp;"|"&amp;$E130&amp;"|"&amp;$F130,TblDynatrace[Clé],0)),""))</f>
        <v/>
      </c>
      <c r="S130" s="60" t="str">
        <f>IF(OR($C130="",NOT(OR($G130="À migrer",$G130="À décommissionner")),$I130="",NOT(ISNUMBER($P130))),"",IF($AO130&lt;&gt;"",$AO130,IFERROR(SUMIFS(TblClusters[CPU initial (vCPU)],TblClusters[Cluster],$I130)*$P130/(SUMIFS(TblApplications[CPU Dynatrace (vCPU)],TblApplications[Cluster IKS source],$I130,TblApplications[Action],"À migrer")+SUMIFS(TblApplications[CPU Dynatrace (vCPU)],TblApplications[Cluster IKS source],$I130,TblApplications[Action],"À décommissionner")),0)))</f>
        <v/>
      </c>
      <c r="T130" s="60" t="str">
        <f>IF(OR($C130="",NOT(OR($G130="À migrer",$G130="À décommissionner")),$I130="",NOT(ISNUMBER($Q130))),"",IF($AP130&lt;&gt;"",$AP130,IFERROR(SUMIFS(TblClusters[RAM initiale (Go)],TblClusters[Cluster],$I130)*$Q130/(SUMIFS(TblApplications[RAM Dynatrace (Go)],TblApplications[Cluster IKS source],$I130,TblApplications[Action],"À migrer")+SUMIFS(TblApplications[RAM Dynatrace (Go)],TblApplications[Cluster IKS source],$I130,TblApplications[Action],"À décommissionner")),0)))</f>
        <v/>
      </c>
      <c r="U130" s="61"/>
      <c r="V130" s="61"/>
      <c r="W130" s="61"/>
      <c r="X130" s="59"/>
      <c r="Y130" s="26" t="str">
        <f t="shared" si="9"/>
        <v/>
      </c>
      <c r="Z130" s="26" t="str">
        <f t="shared" si="10"/>
        <v/>
      </c>
      <c r="AA130" s="33" t="str">
        <f t="shared" si="11"/>
        <v/>
      </c>
      <c r="AB130" s="33" t="str">
        <f t="shared" si="12"/>
        <v/>
      </c>
      <c r="AC130" s="26" t="str">
        <f t="shared" si="13"/>
        <v/>
      </c>
      <c r="AD130" s="26" t="str">
        <f>IF($C130="","",COUNTIF(TblApplications[ID],$C130))</f>
        <v/>
      </c>
      <c r="AE130" s="33" t="str">
        <f>IF($C130="","",IFERROR(1/(1/_xlfn.MINIFS(TblApplications[Mois prov (calc)],TblApplications[ID],$C130)),""))</f>
        <v/>
      </c>
      <c r="AF130" s="33" t="str">
        <f>IF($C130="","",IFERROR(1/(1/_xlfn.MAXIFS(TblApplications[Mois lib (calc)],TblApplications[ID],$C130)),""))</f>
        <v/>
      </c>
      <c r="AG130" s="26" t="str">
        <f>IF($C130="","",IF(OR(OR($A130="",$B130="",$D130="",$E130="",$F130="",$G130=""),AND($G130="À migrer",OR($H130="",$I130="",$O130="",$U130="",$V130="",$W130="")),AND($G130="Migré",OR($O130="")),AND($G130="À décommissionner",OR($I130="",$W130=""))),"Données manquantes (selon l’action)",IF(AND($G130&lt;&gt;"Migré",$G130&lt;&gt;"À migrer",$G130&lt;&gt;"À décommissionner",$G130&lt;&gt;"Décommissionné"),"Action invalide",IF(COUNTIF(TblDomaines[Domaine],$A130)=0,"Domaine inconnu (référentiel)",IF(COUNTIFS(TblTribes[Tribe],$B130,TblTribes[Domaine de la tribe],$A130)=0,"Tribe inconnue ou hors domaine",IF(AND($G130="À migrer",$H130&lt;&gt;"Oui",$H130&lt;&gt;"Non"),"Valeur Oui/Non invalide (Déjà incluse ROKS)",IF(AND($E130&lt;&gt;"PRD",$E130&lt;&gt;"NPRD"),"Environnement invalide",IF(COUNTIFS(TblApplications[ID],$C130,TblApplications[Environnement],$E130,TblApplications[Couloir],$F130)&gt;1,"Déploiement en doublon (ID + env + couloir)",IF(AND(OR(OR($G130="À migrer",$G130="Migré"),OR($G130="À migrer",$G130="À décommissionner")),N($P130)&lt;=0),"Conso Dynatrace absente (onglet Dynatrace)",IF(OR(AND($P130&lt;&gt;"",NOT(ISNUMBER($P130))),AND($Q130&lt;&gt;"",NOT(ISNUMBER($Q130)))),"Ressource non numérique",IF(MIN(N($P130),N($Q130))&lt;0,"Ressource négative",IF(OR(AND($AH130&lt;&gt;"",OR(NOT(ISNUMBER($AH130)),$AH130&lt;0,$AH130&gt;1)),AND($AI130&lt;&gt;"",OR(NOT(ISNUMBER($AI130)),$AI130&lt;0,$AI130&gt;1))),"Marge spécifique invalide (0–100 %)",IF(OR(AND($U130&lt;&gt;"",NOT(ISNUMBER($U130))),AND($V130&lt;&gt;"",NOT(ISNUMBER($V130))),AND($W130&lt;&gt;"",NOT(ISNUMBER($W130)))),"Mois invalide",IF(AND(OR($G130="À migrer",$G130="À décommissionner"),COUNTIFS(TblClusters[Cluster],$I130,TblClusters[Plateforme],"IKS")=0),"Cluster IKS inconnu",IF(AND(OR($G130="À migrer",$G130="Migré"),COUNTIFS(TblClusters[Cluster],$O130,TblClusters[Plateforme],"ROKS")=0),"Cluster ROKS inconnu",IF(AND(OR($G130="À migrer",$G130="À décommissionner"),COUNTIFS(TblClusters[Cluster],$I130,TblClusters[Environnement],$E130)=0),"Environnement ≠ cluster IKS",IF(AND(OR($G130="À migrer",$G130="Migré"),COUNTIFS(TblClusters[Cluster],$O130,TblClusters[Environnement],$E130)=0),"Environnement ≠ cluster ROKS",IF(AND($G130="À migrer",OR($U130&gt;$V130,$V130&gt;$W130)),"Dates incohérentes (prov ≤ bascule ≤ libération)",IF(AND(OR($G130="À migrer",$G130="À décommissionner"),OR(N($AO130)&gt;SUMIFS(TblClusters[CPU initial (vCPU)],TblClusters[Cluster],$I130),N($AP130)&gt;SUMIFS(TblClusters[RAM initiale (Go)],TblClusters[Cluster],$I130))),"Forçage &gt; capacité du cluster source",IF(OR(AND($AA130&lt;&gt;"",$AA130&lt;p_debut),AND($AB130&lt;&gt;"",$AB130&gt;p_fin)),"Hors horizon (info)",IF(AND($G130="À migrer",$E130="PRD",COUNTIFS(TblApplications[ID],$C130,TblApplications[Environnement],"NPRD",TblApplications[Action],"À migrer")&gt;0,$AA130&lt;_xlfn.MINIFS(TblApplications[Mois prov (calc)],TblApplications[ID],$C130,TblApplications[Environnement],"NPRD")),"PRD avant NPRD (info)","OK")))))))))))))))))))))</f>
        <v/>
      </c>
      <c r="AH130" s="62"/>
      <c r="AI130" s="62"/>
      <c r="AJ130" s="27" t="str">
        <f>IF(OR($C130="",NOT(OR($G130="À migrer",$G130="À décommissionner")),NOT(ISNUMBER($S130)),NOT(ISNUMBER($T130)),$AB130=""),"",($S130+p_poidsram*$T130)*SUMIFS(TblCalculs[Coût par unité],TblCalculs[Cluster],$I130,TblCalculs[Mois],"&lt;"&amp;$AB130))</f>
        <v/>
      </c>
      <c r="AK130" s="27" t="str">
        <f>IF($C130="","",IF(AND($G130="À migrer",$H130="Non",$Y130&lt;&gt;"",$AA130&lt;&gt;""),($Y130+p_poidsram*$Z130)*SUMIFS(TblCalculs[Coût par unité],TblCalculs[Cluster],$O130,TblCalculs[Mois],"&gt;="&amp;$AA130),IF(AND($G130="Migré",$Y130&lt;&gt;""),($Y130+p_poidsram*$Z130)*SUMIFS(TblCalculs[Coût par unité],TblCalculs[Cluster],$O130),"")))</f>
        <v/>
      </c>
      <c r="AL130" s="27" t="str">
        <f t="shared" si="14"/>
        <v/>
      </c>
      <c r="AM130" s="26" t="str">
        <f t="shared" si="15"/>
        <v/>
      </c>
      <c r="AN130" s="26" t="str">
        <f>IF(OR($C130="",$AM130&lt;&gt;1,COUNTIFS($E130,ex_envc,$A130,ex_domc,$B130,ex_tric)=0),"",COUNTIFS($AM$6:$AM130,1,$E$6:$E130,ex_envc,$A$6:$A130,ex_domc,$B$6:$B130,ex_tric))</f>
        <v/>
      </c>
      <c r="AO130" s="63"/>
      <c r="AP130" s="63"/>
      <c r="AQ130" s="63"/>
      <c r="AR130" s="63"/>
    </row>
    <row r="131" spans="1:44" x14ac:dyDescent="0.2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26" t="str">
        <f t="shared" si="8"/>
        <v/>
      </c>
      <c r="O131" s="59"/>
      <c r="P131" s="60" t="str">
        <f>IF($C131="","",IF($AQ131&lt;&gt;"",$AQ131,SUMIFS(TblDynatrace[CPU P95 (vCPU)],TblDynatrace[ID],$C131,TblDynatrace[Environnement],$E131,TblDynatrace[Couloir],$F131)))</f>
        <v/>
      </c>
      <c r="Q131" s="60" t="str">
        <f>IF($C131="","",IF($AR131&lt;&gt;"",$AR131,SUMIFS(TblDynatrace[RAM P95 (Go)],TblDynatrace[ID],$C131,TblDynatrace[Environnement],$E131,TblDynatrace[Couloir],$F131)))</f>
        <v/>
      </c>
      <c r="R131" s="26" t="str">
        <f>IF($C131="","",IFERROR(INDEX(TblDynatrace[Métrique / période],MATCH($C131&amp;"|"&amp;$E131&amp;"|"&amp;$F131,TblDynatrace[Clé],0)),""))</f>
        <v/>
      </c>
      <c r="S131" s="60" t="str">
        <f>IF(OR($C131="",NOT(OR($G131="À migrer",$G131="À décommissionner")),$I131="",NOT(ISNUMBER($P131))),"",IF($AO131&lt;&gt;"",$AO131,IFERROR(SUMIFS(TblClusters[CPU initial (vCPU)],TblClusters[Cluster],$I131)*$P131/(SUMIFS(TblApplications[CPU Dynatrace (vCPU)],TblApplications[Cluster IKS source],$I131,TblApplications[Action],"À migrer")+SUMIFS(TblApplications[CPU Dynatrace (vCPU)],TblApplications[Cluster IKS source],$I131,TblApplications[Action],"À décommissionner")),0)))</f>
        <v/>
      </c>
      <c r="T131" s="60" t="str">
        <f>IF(OR($C131="",NOT(OR($G131="À migrer",$G131="À décommissionner")),$I131="",NOT(ISNUMBER($Q131))),"",IF($AP131&lt;&gt;"",$AP131,IFERROR(SUMIFS(TblClusters[RAM initiale (Go)],TblClusters[Cluster],$I131)*$Q131/(SUMIFS(TblApplications[RAM Dynatrace (Go)],TblApplications[Cluster IKS source],$I131,TblApplications[Action],"À migrer")+SUMIFS(TblApplications[RAM Dynatrace (Go)],TblApplications[Cluster IKS source],$I131,TblApplications[Action],"À décommissionner")),0)))</f>
        <v/>
      </c>
      <c r="U131" s="61"/>
      <c r="V131" s="61"/>
      <c r="W131" s="61"/>
      <c r="X131" s="59"/>
      <c r="Y131" s="26" t="str">
        <f t="shared" si="9"/>
        <v/>
      </c>
      <c r="Z131" s="26" t="str">
        <f t="shared" si="10"/>
        <v/>
      </c>
      <c r="AA131" s="33" t="str">
        <f t="shared" si="11"/>
        <v/>
      </c>
      <c r="AB131" s="33" t="str">
        <f t="shared" si="12"/>
        <v/>
      </c>
      <c r="AC131" s="26" t="str">
        <f t="shared" si="13"/>
        <v/>
      </c>
      <c r="AD131" s="26" t="str">
        <f>IF($C131="","",COUNTIF(TblApplications[ID],$C131))</f>
        <v/>
      </c>
      <c r="AE131" s="33" t="str">
        <f>IF($C131="","",IFERROR(1/(1/_xlfn.MINIFS(TblApplications[Mois prov (calc)],TblApplications[ID],$C131)),""))</f>
        <v/>
      </c>
      <c r="AF131" s="33" t="str">
        <f>IF($C131="","",IFERROR(1/(1/_xlfn.MAXIFS(TblApplications[Mois lib (calc)],TblApplications[ID],$C131)),""))</f>
        <v/>
      </c>
      <c r="AG131" s="26" t="str">
        <f>IF($C131="","",IF(OR(OR($A131="",$B131="",$D131="",$E131="",$F131="",$G131=""),AND($G131="À migrer",OR($H131="",$I131="",$O131="",$U131="",$V131="",$W131="")),AND($G131="Migré",OR($O131="")),AND($G131="À décommissionner",OR($I131="",$W131=""))),"Données manquantes (selon l’action)",IF(AND($G131&lt;&gt;"Migré",$G131&lt;&gt;"À migrer",$G131&lt;&gt;"À décommissionner",$G131&lt;&gt;"Décommissionné"),"Action invalide",IF(COUNTIF(TblDomaines[Domaine],$A131)=0,"Domaine inconnu (référentiel)",IF(COUNTIFS(TblTribes[Tribe],$B131,TblTribes[Domaine de la tribe],$A131)=0,"Tribe inconnue ou hors domaine",IF(AND($G131="À migrer",$H131&lt;&gt;"Oui",$H131&lt;&gt;"Non"),"Valeur Oui/Non invalide (Déjà incluse ROKS)",IF(AND($E131&lt;&gt;"PRD",$E131&lt;&gt;"NPRD"),"Environnement invalide",IF(COUNTIFS(TblApplications[ID],$C131,TblApplications[Environnement],$E131,TblApplications[Couloir],$F131)&gt;1,"Déploiement en doublon (ID + env + couloir)",IF(AND(OR(OR($G131="À migrer",$G131="Migré"),OR($G131="À migrer",$G131="À décommissionner")),N($P131)&lt;=0),"Conso Dynatrace absente (onglet Dynatrace)",IF(OR(AND($P131&lt;&gt;"",NOT(ISNUMBER($P131))),AND($Q131&lt;&gt;"",NOT(ISNUMBER($Q131)))),"Ressource non numérique",IF(MIN(N($P131),N($Q131))&lt;0,"Ressource négative",IF(OR(AND($AH131&lt;&gt;"",OR(NOT(ISNUMBER($AH131)),$AH131&lt;0,$AH131&gt;1)),AND($AI131&lt;&gt;"",OR(NOT(ISNUMBER($AI131)),$AI131&lt;0,$AI131&gt;1))),"Marge spécifique invalide (0–100 %)",IF(OR(AND($U131&lt;&gt;"",NOT(ISNUMBER($U131))),AND($V131&lt;&gt;"",NOT(ISNUMBER($V131))),AND($W131&lt;&gt;"",NOT(ISNUMBER($W131)))),"Mois invalide",IF(AND(OR($G131="À migrer",$G131="À décommissionner"),COUNTIFS(TblClusters[Cluster],$I131,TblClusters[Plateforme],"IKS")=0),"Cluster IKS inconnu",IF(AND(OR($G131="À migrer",$G131="Migré"),COUNTIFS(TblClusters[Cluster],$O131,TblClusters[Plateforme],"ROKS")=0),"Cluster ROKS inconnu",IF(AND(OR($G131="À migrer",$G131="À décommissionner"),COUNTIFS(TblClusters[Cluster],$I131,TblClusters[Environnement],$E131)=0),"Environnement ≠ cluster IKS",IF(AND(OR($G131="À migrer",$G131="Migré"),COUNTIFS(TblClusters[Cluster],$O131,TblClusters[Environnement],$E131)=0),"Environnement ≠ cluster ROKS",IF(AND($G131="À migrer",OR($U131&gt;$V131,$V131&gt;$W131)),"Dates incohérentes (prov ≤ bascule ≤ libération)",IF(AND(OR($G131="À migrer",$G131="À décommissionner"),OR(N($AO131)&gt;SUMIFS(TblClusters[CPU initial (vCPU)],TblClusters[Cluster],$I131),N($AP131)&gt;SUMIFS(TblClusters[RAM initiale (Go)],TblClusters[Cluster],$I131))),"Forçage &gt; capacité du cluster source",IF(OR(AND($AA131&lt;&gt;"",$AA131&lt;p_debut),AND($AB131&lt;&gt;"",$AB131&gt;p_fin)),"Hors horizon (info)",IF(AND($G131="À migrer",$E131="PRD",COUNTIFS(TblApplications[ID],$C131,TblApplications[Environnement],"NPRD",TblApplications[Action],"À migrer")&gt;0,$AA131&lt;_xlfn.MINIFS(TblApplications[Mois prov (calc)],TblApplications[ID],$C131,TblApplications[Environnement],"NPRD")),"PRD avant NPRD (info)","OK")))))))))))))))))))))</f>
        <v/>
      </c>
      <c r="AH131" s="62"/>
      <c r="AI131" s="62"/>
      <c r="AJ131" s="27" t="str">
        <f>IF(OR($C131="",NOT(OR($G131="À migrer",$G131="À décommissionner")),NOT(ISNUMBER($S131)),NOT(ISNUMBER($T131)),$AB131=""),"",($S131+p_poidsram*$T131)*SUMIFS(TblCalculs[Coût par unité],TblCalculs[Cluster],$I131,TblCalculs[Mois],"&lt;"&amp;$AB131))</f>
        <v/>
      </c>
      <c r="AK131" s="27" t="str">
        <f>IF($C131="","",IF(AND($G131="À migrer",$H131="Non",$Y131&lt;&gt;"",$AA131&lt;&gt;""),($Y131+p_poidsram*$Z131)*SUMIFS(TblCalculs[Coût par unité],TblCalculs[Cluster],$O131,TblCalculs[Mois],"&gt;="&amp;$AA131),IF(AND($G131="Migré",$Y131&lt;&gt;""),($Y131+p_poidsram*$Z131)*SUMIFS(TblCalculs[Coût par unité],TblCalculs[Cluster],$O131),"")))</f>
        <v/>
      </c>
      <c r="AL131" s="27" t="str">
        <f t="shared" si="14"/>
        <v/>
      </c>
      <c r="AM131" s="26" t="str">
        <f t="shared" si="15"/>
        <v/>
      </c>
      <c r="AN131" s="26" t="str">
        <f>IF(OR($C131="",$AM131&lt;&gt;1,COUNTIFS($E131,ex_envc,$A131,ex_domc,$B131,ex_tric)=0),"",COUNTIFS($AM$6:$AM131,1,$E$6:$E131,ex_envc,$A$6:$A131,ex_domc,$B$6:$B131,ex_tric))</f>
        <v/>
      </c>
      <c r="AO131" s="63"/>
      <c r="AP131" s="63"/>
      <c r="AQ131" s="63"/>
      <c r="AR131" s="63"/>
    </row>
    <row r="132" spans="1:44" x14ac:dyDescent="0.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26" t="str">
        <f t="shared" si="8"/>
        <v/>
      </c>
      <c r="O132" s="59"/>
      <c r="P132" s="60" t="str">
        <f>IF($C132="","",IF($AQ132&lt;&gt;"",$AQ132,SUMIFS(TblDynatrace[CPU P95 (vCPU)],TblDynatrace[ID],$C132,TblDynatrace[Environnement],$E132,TblDynatrace[Couloir],$F132)))</f>
        <v/>
      </c>
      <c r="Q132" s="60" t="str">
        <f>IF($C132="","",IF($AR132&lt;&gt;"",$AR132,SUMIFS(TblDynatrace[RAM P95 (Go)],TblDynatrace[ID],$C132,TblDynatrace[Environnement],$E132,TblDynatrace[Couloir],$F132)))</f>
        <v/>
      </c>
      <c r="R132" s="26" t="str">
        <f>IF($C132="","",IFERROR(INDEX(TblDynatrace[Métrique / période],MATCH($C132&amp;"|"&amp;$E132&amp;"|"&amp;$F132,TblDynatrace[Clé],0)),""))</f>
        <v/>
      </c>
      <c r="S132" s="60" t="str">
        <f>IF(OR($C132="",NOT(OR($G132="À migrer",$G132="À décommissionner")),$I132="",NOT(ISNUMBER($P132))),"",IF($AO132&lt;&gt;"",$AO132,IFERROR(SUMIFS(TblClusters[CPU initial (vCPU)],TblClusters[Cluster],$I132)*$P132/(SUMIFS(TblApplications[CPU Dynatrace (vCPU)],TblApplications[Cluster IKS source],$I132,TblApplications[Action],"À migrer")+SUMIFS(TblApplications[CPU Dynatrace (vCPU)],TblApplications[Cluster IKS source],$I132,TblApplications[Action],"À décommissionner")),0)))</f>
        <v/>
      </c>
      <c r="T132" s="60" t="str">
        <f>IF(OR($C132="",NOT(OR($G132="À migrer",$G132="À décommissionner")),$I132="",NOT(ISNUMBER($Q132))),"",IF($AP132&lt;&gt;"",$AP132,IFERROR(SUMIFS(TblClusters[RAM initiale (Go)],TblClusters[Cluster],$I132)*$Q132/(SUMIFS(TblApplications[RAM Dynatrace (Go)],TblApplications[Cluster IKS source],$I132,TblApplications[Action],"À migrer")+SUMIFS(TblApplications[RAM Dynatrace (Go)],TblApplications[Cluster IKS source],$I132,TblApplications[Action],"À décommissionner")),0)))</f>
        <v/>
      </c>
      <c r="U132" s="61"/>
      <c r="V132" s="61"/>
      <c r="W132" s="61"/>
      <c r="X132" s="59"/>
      <c r="Y132" s="26" t="str">
        <f t="shared" si="9"/>
        <v/>
      </c>
      <c r="Z132" s="26" t="str">
        <f t="shared" si="10"/>
        <v/>
      </c>
      <c r="AA132" s="33" t="str">
        <f t="shared" si="11"/>
        <v/>
      </c>
      <c r="AB132" s="33" t="str">
        <f t="shared" si="12"/>
        <v/>
      </c>
      <c r="AC132" s="26" t="str">
        <f t="shared" si="13"/>
        <v/>
      </c>
      <c r="AD132" s="26" t="str">
        <f>IF($C132="","",COUNTIF(TblApplications[ID],$C132))</f>
        <v/>
      </c>
      <c r="AE132" s="33" t="str">
        <f>IF($C132="","",IFERROR(1/(1/_xlfn.MINIFS(TblApplications[Mois prov (calc)],TblApplications[ID],$C132)),""))</f>
        <v/>
      </c>
      <c r="AF132" s="33" t="str">
        <f>IF($C132="","",IFERROR(1/(1/_xlfn.MAXIFS(TblApplications[Mois lib (calc)],TblApplications[ID],$C132)),""))</f>
        <v/>
      </c>
      <c r="AG132" s="26" t="str">
        <f>IF($C132="","",IF(OR(OR($A132="",$B132="",$D132="",$E132="",$F132="",$G132=""),AND($G132="À migrer",OR($H132="",$I132="",$O132="",$U132="",$V132="",$W132="")),AND($G132="Migré",OR($O132="")),AND($G132="À décommissionner",OR($I132="",$W132=""))),"Données manquantes (selon l’action)",IF(AND($G132&lt;&gt;"Migré",$G132&lt;&gt;"À migrer",$G132&lt;&gt;"À décommissionner",$G132&lt;&gt;"Décommissionné"),"Action invalide",IF(COUNTIF(TblDomaines[Domaine],$A132)=0,"Domaine inconnu (référentiel)",IF(COUNTIFS(TblTribes[Tribe],$B132,TblTribes[Domaine de la tribe],$A132)=0,"Tribe inconnue ou hors domaine",IF(AND($G132="À migrer",$H132&lt;&gt;"Oui",$H132&lt;&gt;"Non"),"Valeur Oui/Non invalide (Déjà incluse ROKS)",IF(AND($E132&lt;&gt;"PRD",$E132&lt;&gt;"NPRD"),"Environnement invalide",IF(COUNTIFS(TblApplications[ID],$C132,TblApplications[Environnement],$E132,TblApplications[Couloir],$F132)&gt;1,"Déploiement en doublon (ID + env + couloir)",IF(AND(OR(OR($G132="À migrer",$G132="Migré"),OR($G132="À migrer",$G132="À décommissionner")),N($P132)&lt;=0),"Conso Dynatrace absente (onglet Dynatrace)",IF(OR(AND($P132&lt;&gt;"",NOT(ISNUMBER($P132))),AND($Q132&lt;&gt;"",NOT(ISNUMBER($Q132)))),"Ressource non numérique",IF(MIN(N($P132),N($Q132))&lt;0,"Ressource négative",IF(OR(AND($AH132&lt;&gt;"",OR(NOT(ISNUMBER($AH132)),$AH132&lt;0,$AH132&gt;1)),AND($AI132&lt;&gt;"",OR(NOT(ISNUMBER($AI132)),$AI132&lt;0,$AI132&gt;1))),"Marge spécifique invalide (0–100 %)",IF(OR(AND($U132&lt;&gt;"",NOT(ISNUMBER($U132))),AND($V132&lt;&gt;"",NOT(ISNUMBER($V132))),AND($W132&lt;&gt;"",NOT(ISNUMBER($W132)))),"Mois invalide",IF(AND(OR($G132="À migrer",$G132="À décommissionner"),COUNTIFS(TblClusters[Cluster],$I132,TblClusters[Plateforme],"IKS")=0),"Cluster IKS inconnu",IF(AND(OR($G132="À migrer",$G132="Migré"),COUNTIFS(TblClusters[Cluster],$O132,TblClusters[Plateforme],"ROKS")=0),"Cluster ROKS inconnu",IF(AND(OR($G132="À migrer",$G132="À décommissionner"),COUNTIFS(TblClusters[Cluster],$I132,TblClusters[Environnement],$E132)=0),"Environnement ≠ cluster IKS",IF(AND(OR($G132="À migrer",$G132="Migré"),COUNTIFS(TblClusters[Cluster],$O132,TblClusters[Environnement],$E132)=0),"Environnement ≠ cluster ROKS",IF(AND($G132="À migrer",OR($U132&gt;$V132,$V132&gt;$W132)),"Dates incohérentes (prov ≤ bascule ≤ libération)",IF(AND(OR($G132="À migrer",$G132="À décommissionner"),OR(N($AO132)&gt;SUMIFS(TblClusters[CPU initial (vCPU)],TblClusters[Cluster],$I132),N($AP132)&gt;SUMIFS(TblClusters[RAM initiale (Go)],TblClusters[Cluster],$I132))),"Forçage &gt; capacité du cluster source",IF(OR(AND($AA132&lt;&gt;"",$AA132&lt;p_debut),AND($AB132&lt;&gt;"",$AB132&gt;p_fin)),"Hors horizon (info)",IF(AND($G132="À migrer",$E132="PRD",COUNTIFS(TblApplications[ID],$C132,TblApplications[Environnement],"NPRD",TblApplications[Action],"À migrer")&gt;0,$AA132&lt;_xlfn.MINIFS(TblApplications[Mois prov (calc)],TblApplications[ID],$C132,TblApplications[Environnement],"NPRD")),"PRD avant NPRD (info)","OK")))))))))))))))))))))</f>
        <v/>
      </c>
      <c r="AH132" s="62"/>
      <c r="AI132" s="62"/>
      <c r="AJ132" s="27" t="str">
        <f>IF(OR($C132="",NOT(OR($G132="À migrer",$G132="À décommissionner")),NOT(ISNUMBER($S132)),NOT(ISNUMBER($T132)),$AB132=""),"",($S132+p_poidsram*$T132)*SUMIFS(TblCalculs[Coût par unité],TblCalculs[Cluster],$I132,TblCalculs[Mois],"&lt;"&amp;$AB132))</f>
        <v/>
      </c>
      <c r="AK132" s="27" t="str">
        <f>IF($C132="","",IF(AND($G132="À migrer",$H132="Non",$Y132&lt;&gt;"",$AA132&lt;&gt;""),($Y132+p_poidsram*$Z132)*SUMIFS(TblCalculs[Coût par unité],TblCalculs[Cluster],$O132,TblCalculs[Mois],"&gt;="&amp;$AA132),IF(AND($G132="Migré",$Y132&lt;&gt;""),($Y132+p_poidsram*$Z132)*SUMIFS(TblCalculs[Coût par unité],TblCalculs[Cluster],$O132),"")))</f>
        <v/>
      </c>
      <c r="AL132" s="27" t="str">
        <f t="shared" si="14"/>
        <v/>
      </c>
      <c r="AM132" s="26" t="str">
        <f t="shared" si="15"/>
        <v/>
      </c>
      <c r="AN132" s="26" t="str">
        <f>IF(OR($C132="",$AM132&lt;&gt;1,COUNTIFS($E132,ex_envc,$A132,ex_domc,$B132,ex_tric)=0),"",COUNTIFS($AM$6:$AM132,1,$E$6:$E132,ex_envc,$A$6:$A132,ex_domc,$B$6:$B132,ex_tric))</f>
        <v/>
      </c>
      <c r="AO132" s="63"/>
      <c r="AP132" s="63"/>
      <c r="AQ132" s="63"/>
      <c r="AR132" s="63"/>
    </row>
    <row r="133" spans="1:44" x14ac:dyDescent="0.2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26" t="str">
        <f t="shared" si="8"/>
        <v/>
      </c>
      <c r="O133" s="59"/>
      <c r="P133" s="60" t="str">
        <f>IF($C133="","",IF($AQ133&lt;&gt;"",$AQ133,SUMIFS(TblDynatrace[CPU P95 (vCPU)],TblDynatrace[ID],$C133,TblDynatrace[Environnement],$E133,TblDynatrace[Couloir],$F133)))</f>
        <v/>
      </c>
      <c r="Q133" s="60" t="str">
        <f>IF($C133="","",IF($AR133&lt;&gt;"",$AR133,SUMIFS(TblDynatrace[RAM P95 (Go)],TblDynatrace[ID],$C133,TblDynatrace[Environnement],$E133,TblDynatrace[Couloir],$F133)))</f>
        <v/>
      </c>
      <c r="R133" s="26" t="str">
        <f>IF($C133="","",IFERROR(INDEX(TblDynatrace[Métrique / période],MATCH($C133&amp;"|"&amp;$E133&amp;"|"&amp;$F133,TblDynatrace[Clé],0)),""))</f>
        <v/>
      </c>
      <c r="S133" s="60" t="str">
        <f>IF(OR($C133="",NOT(OR($G133="À migrer",$G133="À décommissionner")),$I133="",NOT(ISNUMBER($P133))),"",IF($AO133&lt;&gt;"",$AO133,IFERROR(SUMIFS(TblClusters[CPU initial (vCPU)],TblClusters[Cluster],$I133)*$P133/(SUMIFS(TblApplications[CPU Dynatrace (vCPU)],TblApplications[Cluster IKS source],$I133,TblApplications[Action],"À migrer")+SUMIFS(TblApplications[CPU Dynatrace (vCPU)],TblApplications[Cluster IKS source],$I133,TblApplications[Action],"À décommissionner")),0)))</f>
        <v/>
      </c>
      <c r="T133" s="60" t="str">
        <f>IF(OR($C133="",NOT(OR($G133="À migrer",$G133="À décommissionner")),$I133="",NOT(ISNUMBER($Q133))),"",IF($AP133&lt;&gt;"",$AP133,IFERROR(SUMIFS(TblClusters[RAM initiale (Go)],TblClusters[Cluster],$I133)*$Q133/(SUMIFS(TblApplications[RAM Dynatrace (Go)],TblApplications[Cluster IKS source],$I133,TblApplications[Action],"À migrer")+SUMIFS(TblApplications[RAM Dynatrace (Go)],TblApplications[Cluster IKS source],$I133,TblApplications[Action],"À décommissionner")),0)))</f>
        <v/>
      </c>
      <c r="U133" s="61"/>
      <c r="V133" s="61"/>
      <c r="W133" s="61"/>
      <c r="X133" s="59"/>
      <c r="Y133" s="26" t="str">
        <f t="shared" si="9"/>
        <v/>
      </c>
      <c r="Z133" s="26" t="str">
        <f t="shared" si="10"/>
        <v/>
      </c>
      <c r="AA133" s="33" t="str">
        <f t="shared" si="11"/>
        <v/>
      </c>
      <c r="AB133" s="33" t="str">
        <f t="shared" si="12"/>
        <v/>
      </c>
      <c r="AC133" s="26" t="str">
        <f t="shared" si="13"/>
        <v/>
      </c>
      <c r="AD133" s="26" t="str">
        <f>IF($C133="","",COUNTIF(TblApplications[ID],$C133))</f>
        <v/>
      </c>
      <c r="AE133" s="33" t="str">
        <f>IF($C133="","",IFERROR(1/(1/_xlfn.MINIFS(TblApplications[Mois prov (calc)],TblApplications[ID],$C133)),""))</f>
        <v/>
      </c>
      <c r="AF133" s="33" t="str">
        <f>IF($C133="","",IFERROR(1/(1/_xlfn.MAXIFS(TblApplications[Mois lib (calc)],TblApplications[ID],$C133)),""))</f>
        <v/>
      </c>
      <c r="AG133" s="26" t="str">
        <f>IF($C133="","",IF(OR(OR($A133="",$B133="",$D133="",$E133="",$F133="",$G133=""),AND($G133="À migrer",OR($H133="",$I133="",$O133="",$U133="",$V133="",$W133="")),AND($G133="Migré",OR($O133="")),AND($G133="À décommissionner",OR($I133="",$W133=""))),"Données manquantes (selon l’action)",IF(AND($G133&lt;&gt;"Migré",$G133&lt;&gt;"À migrer",$G133&lt;&gt;"À décommissionner",$G133&lt;&gt;"Décommissionné"),"Action invalide",IF(COUNTIF(TblDomaines[Domaine],$A133)=0,"Domaine inconnu (référentiel)",IF(COUNTIFS(TblTribes[Tribe],$B133,TblTribes[Domaine de la tribe],$A133)=0,"Tribe inconnue ou hors domaine",IF(AND($G133="À migrer",$H133&lt;&gt;"Oui",$H133&lt;&gt;"Non"),"Valeur Oui/Non invalide (Déjà incluse ROKS)",IF(AND($E133&lt;&gt;"PRD",$E133&lt;&gt;"NPRD"),"Environnement invalide",IF(COUNTIFS(TblApplications[ID],$C133,TblApplications[Environnement],$E133,TblApplications[Couloir],$F133)&gt;1,"Déploiement en doublon (ID + env + couloir)",IF(AND(OR(OR($G133="À migrer",$G133="Migré"),OR($G133="À migrer",$G133="À décommissionner")),N($P133)&lt;=0),"Conso Dynatrace absente (onglet Dynatrace)",IF(OR(AND($P133&lt;&gt;"",NOT(ISNUMBER($P133))),AND($Q133&lt;&gt;"",NOT(ISNUMBER($Q133)))),"Ressource non numérique",IF(MIN(N($P133),N($Q133))&lt;0,"Ressource négative",IF(OR(AND($AH133&lt;&gt;"",OR(NOT(ISNUMBER($AH133)),$AH133&lt;0,$AH133&gt;1)),AND($AI133&lt;&gt;"",OR(NOT(ISNUMBER($AI133)),$AI133&lt;0,$AI133&gt;1))),"Marge spécifique invalide (0–100 %)",IF(OR(AND($U133&lt;&gt;"",NOT(ISNUMBER($U133))),AND($V133&lt;&gt;"",NOT(ISNUMBER($V133))),AND($W133&lt;&gt;"",NOT(ISNUMBER($W133)))),"Mois invalide",IF(AND(OR($G133="À migrer",$G133="À décommissionner"),COUNTIFS(TblClusters[Cluster],$I133,TblClusters[Plateforme],"IKS")=0),"Cluster IKS inconnu",IF(AND(OR($G133="À migrer",$G133="Migré"),COUNTIFS(TblClusters[Cluster],$O133,TblClusters[Plateforme],"ROKS")=0),"Cluster ROKS inconnu",IF(AND(OR($G133="À migrer",$G133="À décommissionner"),COUNTIFS(TblClusters[Cluster],$I133,TblClusters[Environnement],$E133)=0),"Environnement ≠ cluster IKS",IF(AND(OR($G133="À migrer",$G133="Migré"),COUNTIFS(TblClusters[Cluster],$O133,TblClusters[Environnement],$E133)=0),"Environnement ≠ cluster ROKS",IF(AND($G133="À migrer",OR($U133&gt;$V133,$V133&gt;$W133)),"Dates incohérentes (prov ≤ bascule ≤ libération)",IF(AND(OR($G133="À migrer",$G133="À décommissionner"),OR(N($AO133)&gt;SUMIFS(TblClusters[CPU initial (vCPU)],TblClusters[Cluster],$I133),N($AP133)&gt;SUMIFS(TblClusters[RAM initiale (Go)],TblClusters[Cluster],$I133))),"Forçage &gt; capacité du cluster source",IF(OR(AND($AA133&lt;&gt;"",$AA133&lt;p_debut),AND($AB133&lt;&gt;"",$AB133&gt;p_fin)),"Hors horizon (info)",IF(AND($G133="À migrer",$E133="PRD",COUNTIFS(TblApplications[ID],$C133,TblApplications[Environnement],"NPRD",TblApplications[Action],"À migrer")&gt;0,$AA133&lt;_xlfn.MINIFS(TblApplications[Mois prov (calc)],TblApplications[ID],$C133,TblApplications[Environnement],"NPRD")),"PRD avant NPRD (info)","OK")))))))))))))))))))))</f>
        <v/>
      </c>
      <c r="AH133" s="62"/>
      <c r="AI133" s="62"/>
      <c r="AJ133" s="27" t="str">
        <f>IF(OR($C133="",NOT(OR($G133="À migrer",$G133="À décommissionner")),NOT(ISNUMBER($S133)),NOT(ISNUMBER($T133)),$AB133=""),"",($S133+p_poidsram*$T133)*SUMIFS(TblCalculs[Coût par unité],TblCalculs[Cluster],$I133,TblCalculs[Mois],"&lt;"&amp;$AB133))</f>
        <v/>
      </c>
      <c r="AK133" s="27" t="str">
        <f>IF($C133="","",IF(AND($G133="À migrer",$H133="Non",$Y133&lt;&gt;"",$AA133&lt;&gt;""),($Y133+p_poidsram*$Z133)*SUMIFS(TblCalculs[Coût par unité],TblCalculs[Cluster],$O133,TblCalculs[Mois],"&gt;="&amp;$AA133),IF(AND($G133="Migré",$Y133&lt;&gt;""),($Y133+p_poidsram*$Z133)*SUMIFS(TblCalculs[Coût par unité],TblCalculs[Cluster],$O133),"")))</f>
        <v/>
      </c>
      <c r="AL133" s="27" t="str">
        <f t="shared" si="14"/>
        <v/>
      </c>
      <c r="AM133" s="26" t="str">
        <f t="shared" si="15"/>
        <v/>
      </c>
      <c r="AN133" s="26" t="str">
        <f>IF(OR($C133="",$AM133&lt;&gt;1,COUNTIFS($E133,ex_envc,$A133,ex_domc,$B133,ex_tric)=0),"",COUNTIFS($AM$6:$AM133,1,$E$6:$E133,ex_envc,$A$6:$A133,ex_domc,$B$6:$B133,ex_tric))</f>
        <v/>
      </c>
      <c r="AO133" s="63"/>
      <c r="AP133" s="63"/>
      <c r="AQ133" s="63"/>
      <c r="AR133" s="63"/>
    </row>
    <row r="134" spans="1:44" x14ac:dyDescent="0.2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26" t="str">
        <f t="shared" ref="N134:N197" si="16">IF($C134="","",IF($J134="Oui","Dédié (données secrètes)",IF($K134="Oui","Dédié (RGPD / sécurité)",IF($L134="Oui","Dédié (isolement fort)",IF(OR($M134="Oui",AND(ISNUMBER($P134),$P134&gt;=p_seuil_cpu_dedie),AND(ISNUMBER($Q134),$Q134&gt;=p_seuil_ram_dedie)),"Dédié (volume / atypique)","Mutualisé")))))</f>
        <v/>
      </c>
      <c r="O134" s="59"/>
      <c r="P134" s="60" t="str">
        <f>IF($C134="","",IF($AQ134&lt;&gt;"",$AQ134,SUMIFS(TblDynatrace[CPU P95 (vCPU)],TblDynatrace[ID],$C134,TblDynatrace[Environnement],$E134,TblDynatrace[Couloir],$F134)))</f>
        <v/>
      </c>
      <c r="Q134" s="60" t="str">
        <f>IF($C134="","",IF($AR134&lt;&gt;"",$AR134,SUMIFS(TblDynatrace[RAM P95 (Go)],TblDynatrace[ID],$C134,TblDynatrace[Environnement],$E134,TblDynatrace[Couloir],$F134)))</f>
        <v/>
      </c>
      <c r="R134" s="26" t="str">
        <f>IF($C134="","",IFERROR(INDEX(TblDynatrace[Métrique / période],MATCH($C134&amp;"|"&amp;$E134&amp;"|"&amp;$F134,TblDynatrace[Clé],0)),""))</f>
        <v/>
      </c>
      <c r="S134" s="60" t="str">
        <f>IF(OR($C134="",NOT(OR($G134="À migrer",$G134="À décommissionner")),$I134="",NOT(ISNUMBER($P134))),"",IF($AO134&lt;&gt;"",$AO134,IFERROR(SUMIFS(TblClusters[CPU initial (vCPU)],TblClusters[Cluster],$I134)*$P134/(SUMIFS(TblApplications[CPU Dynatrace (vCPU)],TblApplications[Cluster IKS source],$I134,TblApplications[Action],"À migrer")+SUMIFS(TblApplications[CPU Dynatrace (vCPU)],TblApplications[Cluster IKS source],$I134,TblApplications[Action],"À décommissionner")),0)))</f>
        <v/>
      </c>
      <c r="T134" s="60" t="str">
        <f>IF(OR($C134="",NOT(OR($G134="À migrer",$G134="À décommissionner")),$I134="",NOT(ISNUMBER($Q134))),"",IF($AP134&lt;&gt;"",$AP134,IFERROR(SUMIFS(TblClusters[RAM initiale (Go)],TblClusters[Cluster],$I134)*$Q134/(SUMIFS(TblApplications[RAM Dynatrace (Go)],TblApplications[Cluster IKS source],$I134,TblApplications[Action],"À migrer")+SUMIFS(TblApplications[RAM Dynatrace (Go)],TblApplications[Cluster IKS source],$I134,TblApplications[Action],"À décommissionner")),0)))</f>
        <v/>
      </c>
      <c r="U134" s="61"/>
      <c r="V134" s="61"/>
      <c r="W134" s="61"/>
      <c r="X134" s="59"/>
      <c r="Y134" s="26" t="str">
        <f t="shared" ref="Y134:Y197" si="17">IF(OR($C134="",NOT(OR($G134="À migrer",$G134="Migré")),NOT(ISNUMBER($P134))),"",ROUNDUP($P134*(1+IF($AH134="",p_margeCPU,$AH134)),0))</f>
        <v/>
      </c>
      <c r="Z134" s="26" t="str">
        <f t="shared" ref="Z134:Z197" si="18">IF(OR($C134="",NOT(OR($G134="À migrer",$G134="Migré")),NOT(ISNUMBER($Q134))),"",ROUNDUP($Q134*(1+IF($AI134="",p_margeRAM,$AI134)),0))</f>
        <v/>
      </c>
      <c r="AA134" s="33" t="str">
        <f t="shared" ref="AA134:AA197" si="19">IF(OR(NOT($G134="À migrer"),$U134=""),"",IFERROR(DATE(YEAR($U134),MONTH($U134),1),""))</f>
        <v/>
      </c>
      <c r="AB134" s="33" t="str">
        <f t="shared" ref="AB134:AB197" si="20">IF(OR(NOT(OR($G134="À migrer",$G134="À décommissionner")),$W134=""),"",IFERROR(DATE(YEAR($W134),MONTH($W134),1),""))</f>
        <v/>
      </c>
      <c r="AC134" s="26" t="str">
        <f t="shared" ref="AC134:AC197" si="21">IF(OR($AA134="",$AB134=""),"",MAX(0,(YEAR($AB134)-YEAR($AA134))*12+MONTH($AB134)-MONTH($AA134)))</f>
        <v/>
      </c>
      <c r="AD134" s="26" t="str">
        <f>IF($C134="","",COUNTIF(TblApplications[ID],$C134))</f>
        <v/>
      </c>
      <c r="AE134" s="33" t="str">
        <f>IF($C134="","",IFERROR(1/(1/_xlfn.MINIFS(TblApplications[Mois prov (calc)],TblApplications[ID],$C134)),""))</f>
        <v/>
      </c>
      <c r="AF134" s="33" t="str">
        <f>IF($C134="","",IFERROR(1/(1/_xlfn.MAXIFS(TblApplications[Mois lib (calc)],TblApplications[ID],$C134)),""))</f>
        <v/>
      </c>
      <c r="AG134" s="26" t="str">
        <f>IF($C134="","",IF(OR(OR($A134="",$B134="",$D134="",$E134="",$F134="",$G134=""),AND($G134="À migrer",OR($H134="",$I134="",$O134="",$U134="",$V134="",$W134="")),AND($G134="Migré",OR($O134="")),AND($G134="À décommissionner",OR($I134="",$W134=""))),"Données manquantes (selon l’action)",IF(AND($G134&lt;&gt;"Migré",$G134&lt;&gt;"À migrer",$G134&lt;&gt;"À décommissionner",$G134&lt;&gt;"Décommissionné"),"Action invalide",IF(COUNTIF(TblDomaines[Domaine],$A134)=0,"Domaine inconnu (référentiel)",IF(COUNTIFS(TblTribes[Tribe],$B134,TblTribes[Domaine de la tribe],$A134)=0,"Tribe inconnue ou hors domaine",IF(AND($G134="À migrer",$H134&lt;&gt;"Oui",$H134&lt;&gt;"Non"),"Valeur Oui/Non invalide (Déjà incluse ROKS)",IF(AND($E134&lt;&gt;"PRD",$E134&lt;&gt;"NPRD"),"Environnement invalide",IF(COUNTIFS(TblApplications[ID],$C134,TblApplications[Environnement],$E134,TblApplications[Couloir],$F134)&gt;1,"Déploiement en doublon (ID + env + couloir)",IF(AND(OR(OR($G134="À migrer",$G134="Migré"),OR($G134="À migrer",$G134="À décommissionner")),N($P134)&lt;=0),"Conso Dynatrace absente (onglet Dynatrace)",IF(OR(AND($P134&lt;&gt;"",NOT(ISNUMBER($P134))),AND($Q134&lt;&gt;"",NOT(ISNUMBER($Q134)))),"Ressource non numérique",IF(MIN(N($P134),N($Q134))&lt;0,"Ressource négative",IF(OR(AND($AH134&lt;&gt;"",OR(NOT(ISNUMBER($AH134)),$AH134&lt;0,$AH134&gt;1)),AND($AI134&lt;&gt;"",OR(NOT(ISNUMBER($AI134)),$AI134&lt;0,$AI134&gt;1))),"Marge spécifique invalide (0–100 %)",IF(OR(AND($U134&lt;&gt;"",NOT(ISNUMBER($U134))),AND($V134&lt;&gt;"",NOT(ISNUMBER($V134))),AND($W134&lt;&gt;"",NOT(ISNUMBER($W134)))),"Mois invalide",IF(AND(OR($G134="À migrer",$G134="À décommissionner"),COUNTIFS(TblClusters[Cluster],$I134,TblClusters[Plateforme],"IKS")=0),"Cluster IKS inconnu",IF(AND(OR($G134="À migrer",$G134="Migré"),COUNTIFS(TblClusters[Cluster],$O134,TblClusters[Plateforme],"ROKS")=0),"Cluster ROKS inconnu",IF(AND(OR($G134="À migrer",$G134="À décommissionner"),COUNTIFS(TblClusters[Cluster],$I134,TblClusters[Environnement],$E134)=0),"Environnement ≠ cluster IKS",IF(AND(OR($G134="À migrer",$G134="Migré"),COUNTIFS(TblClusters[Cluster],$O134,TblClusters[Environnement],$E134)=0),"Environnement ≠ cluster ROKS",IF(AND($G134="À migrer",OR($U134&gt;$V134,$V134&gt;$W134)),"Dates incohérentes (prov ≤ bascule ≤ libération)",IF(AND(OR($G134="À migrer",$G134="À décommissionner"),OR(N($AO134)&gt;SUMIFS(TblClusters[CPU initial (vCPU)],TblClusters[Cluster],$I134),N($AP134)&gt;SUMIFS(TblClusters[RAM initiale (Go)],TblClusters[Cluster],$I134))),"Forçage &gt; capacité du cluster source",IF(OR(AND($AA134&lt;&gt;"",$AA134&lt;p_debut),AND($AB134&lt;&gt;"",$AB134&gt;p_fin)),"Hors horizon (info)",IF(AND($G134="À migrer",$E134="PRD",COUNTIFS(TblApplications[ID],$C134,TblApplications[Environnement],"NPRD",TblApplications[Action],"À migrer")&gt;0,$AA134&lt;_xlfn.MINIFS(TblApplications[Mois prov (calc)],TblApplications[ID],$C134,TblApplications[Environnement],"NPRD")),"PRD avant NPRD (info)","OK")))))))))))))))))))))</f>
        <v/>
      </c>
      <c r="AH134" s="62"/>
      <c r="AI134" s="62"/>
      <c r="AJ134" s="27" t="str">
        <f>IF(OR($C134="",NOT(OR($G134="À migrer",$G134="À décommissionner")),NOT(ISNUMBER($S134)),NOT(ISNUMBER($T134)),$AB134=""),"",($S134+p_poidsram*$T134)*SUMIFS(TblCalculs[Coût par unité],TblCalculs[Cluster],$I134,TblCalculs[Mois],"&lt;"&amp;$AB134))</f>
        <v/>
      </c>
      <c r="AK134" s="27" t="str">
        <f>IF($C134="","",IF(AND($G134="À migrer",$H134="Non",$Y134&lt;&gt;"",$AA134&lt;&gt;""),($Y134+p_poidsram*$Z134)*SUMIFS(TblCalculs[Coût par unité],TblCalculs[Cluster],$O134,TblCalculs[Mois],"&gt;="&amp;$AA134),IF(AND($G134="Migré",$Y134&lt;&gt;""),($Y134+p_poidsram*$Z134)*SUMIFS(TblCalculs[Coût par unité],TblCalculs[Cluster],$O134),"")))</f>
        <v/>
      </c>
      <c r="AL134" s="27" t="str">
        <f t="shared" ref="AL134:AL197" si="22">IF($C134="","",N($AJ134)+N($AK134))</f>
        <v/>
      </c>
      <c r="AM134" s="26" t="str">
        <f t="shared" ref="AM134:AM197" si="23">IF($C134="","",IF(AND(OR($G134="À migrer",$G134="À décommissionner"),$AB134&lt;&gt;"",$AB134&gt;ex_mois),1,0))</f>
        <v/>
      </c>
      <c r="AN134" s="26" t="str">
        <f>IF(OR($C134="",$AM134&lt;&gt;1,COUNTIFS($E134,ex_envc,$A134,ex_domc,$B134,ex_tric)=0),"",COUNTIFS($AM$6:$AM134,1,$E$6:$E134,ex_envc,$A$6:$A134,ex_domc,$B$6:$B134,ex_tric))</f>
        <v/>
      </c>
      <c r="AO134" s="63"/>
      <c r="AP134" s="63"/>
      <c r="AQ134" s="63"/>
      <c r="AR134" s="63"/>
    </row>
    <row r="135" spans="1:44" x14ac:dyDescent="0.2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26" t="str">
        <f t="shared" si="16"/>
        <v/>
      </c>
      <c r="O135" s="59"/>
      <c r="P135" s="60" t="str">
        <f>IF($C135="","",IF($AQ135&lt;&gt;"",$AQ135,SUMIFS(TblDynatrace[CPU P95 (vCPU)],TblDynatrace[ID],$C135,TblDynatrace[Environnement],$E135,TblDynatrace[Couloir],$F135)))</f>
        <v/>
      </c>
      <c r="Q135" s="60" t="str">
        <f>IF($C135="","",IF($AR135&lt;&gt;"",$AR135,SUMIFS(TblDynatrace[RAM P95 (Go)],TblDynatrace[ID],$C135,TblDynatrace[Environnement],$E135,TblDynatrace[Couloir],$F135)))</f>
        <v/>
      </c>
      <c r="R135" s="26" t="str">
        <f>IF($C135="","",IFERROR(INDEX(TblDynatrace[Métrique / période],MATCH($C135&amp;"|"&amp;$E135&amp;"|"&amp;$F135,TblDynatrace[Clé],0)),""))</f>
        <v/>
      </c>
      <c r="S135" s="60" t="str">
        <f>IF(OR($C135="",NOT(OR($G135="À migrer",$G135="À décommissionner")),$I135="",NOT(ISNUMBER($P135))),"",IF($AO135&lt;&gt;"",$AO135,IFERROR(SUMIFS(TblClusters[CPU initial (vCPU)],TblClusters[Cluster],$I135)*$P135/(SUMIFS(TblApplications[CPU Dynatrace (vCPU)],TblApplications[Cluster IKS source],$I135,TblApplications[Action],"À migrer")+SUMIFS(TblApplications[CPU Dynatrace (vCPU)],TblApplications[Cluster IKS source],$I135,TblApplications[Action],"À décommissionner")),0)))</f>
        <v/>
      </c>
      <c r="T135" s="60" t="str">
        <f>IF(OR($C135="",NOT(OR($G135="À migrer",$G135="À décommissionner")),$I135="",NOT(ISNUMBER($Q135))),"",IF($AP135&lt;&gt;"",$AP135,IFERROR(SUMIFS(TblClusters[RAM initiale (Go)],TblClusters[Cluster],$I135)*$Q135/(SUMIFS(TblApplications[RAM Dynatrace (Go)],TblApplications[Cluster IKS source],$I135,TblApplications[Action],"À migrer")+SUMIFS(TblApplications[RAM Dynatrace (Go)],TblApplications[Cluster IKS source],$I135,TblApplications[Action],"À décommissionner")),0)))</f>
        <v/>
      </c>
      <c r="U135" s="61"/>
      <c r="V135" s="61"/>
      <c r="W135" s="61"/>
      <c r="X135" s="59"/>
      <c r="Y135" s="26" t="str">
        <f t="shared" si="17"/>
        <v/>
      </c>
      <c r="Z135" s="26" t="str">
        <f t="shared" si="18"/>
        <v/>
      </c>
      <c r="AA135" s="33" t="str">
        <f t="shared" si="19"/>
        <v/>
      </c>
      <c r="AB135" s="33" t="str">
        <f t="shared" si="20"/>
        <v/>
      </c>
      <c r="AC135" s="26" t="str">
        <f t="shared" si="21"/>
        <v/>
      </c>
      <c r="AD135" s="26" t="str">
        <f>IF($C135="","",COUNTIF(TblApplications[ID],$C135))</f>
        <v/>
      </c>
      <c r="AE135" s="33" t="str">
        <f>IF($C135="","",IFERROR(1/(1/_xlfn.MINIFS(TblApplications[Mois prov (calc)],TblApplications[ID],$C135)),""))</f>
        <v/>
      </c>
      <c r="AF135" s="33" t="str">
        <f>IF($C135="","",IFERROR(1/(1/_xlfn.MAXIFS(TblApplications[Mois lib (calc)],TblApplications[ID],$C135)),""))</f>
        <v/>
      </c>
      <c r="AG135" s="26" t="str">
        <f>IF($C135="","",IF(OR(OR($A135="",$B135="",$D135="",$E135="",$F135="",$G135=""),AND($G135="À migrer",OR($H135="",$I135="",$O135="",$U135="",$V135="",$W135="")),AND($G135="Migré",OR($O135="")),AND($G135="À décommissionner",OR($I135="",$W135=""))),"Données manquantes (selon l’action)",IF(AND($G135&lt;&gt;"Migré",$G135&lt;&gt;"À migrer",$G135&lt;&gt;"À décommissionner",$G135&lt;&gt;"Décommissionné"),"Action invalide",IF(COUNTIF(TblDomaines[Domaine],$A135)=0,"Domaine inconnu (référentiel)",IF(COUNTIFS(TblTribes[Tribe],$B135,TblTribes[Domaine de la tribe],$A135)=0,"Tribe inconnue ou hors domaine",IF(AND($G135="À migrer",$H135&lt;&gt;"Oui",$H135&lt;&gt;"Non"),"Valeur Oui/Non invalide (Déjà incluse ROKS)",IF(AND($E135&lt;&gt;"PRD",$E135&lt;&gt;"NPRD"),"Environnement invalide",IF(COUNTIFS(TblApplications[ID],$C135,TblApplications[Environnement],$E135,TblApplications[Couloir],$F135)&gt;1,"Déploiement en doublon (ID + env + couloir)",IF(AND(OR(OR($G135="À migrer",$G135="Migré"),OR($G135="À migrer",$G135="À décommissionner")),N($P135)&lt;=0),"Conso Dynatrace absente (onglet Dynatrace)",IF(OR(AND($P135&lt;&gt;"",NOT(ISNUMBER($P135))),AND($Q135&lt;&gt;"",NOT(ISNUMBER($Q135)))),"Ressource non numérique",IF(MIN(N($P135),N($Q135))&lt;0,"Ressource négative",IF(OR(AND($AH135&lt;&gt;"",OR(NOT(ISNUMBER($AH135)),$AH135&lt;0,$AH135&gt;1)),AND($AI135&lt;&gt;"",OR(NOT(ISNUMBER($AI135)),$AI135&lt;0,$AI135&gt;1))),"Marge spécifique invalide (0–100 %)",IF(OR(AND($U135&lt;&gt;"",NOT(ISNUMBER($U135))),AND($V135&lt;&gt;"",NOT(ISNUMBER($V135))),AND($W135&lt;&gt;"",NOT(ISNUMBER($W135)))),"Mois invalide",IF(AND(OR($G135="À migrer",$G135="À décommissionner"),COUNTIFS(TblClusters[Cluster],$I135,TblClusters[Plateforme],"IKS")=0),"Cluster IKS inconnu",IF(AND(OR($G135="À migrer",$G135="Migré"),COUNTIFS(TblClusters[Cluster],$O135,TblClusters[Plateforme],"ROKS")=0),"Cluster ROKS inconnu",IF(AND(OR($G135="À migrer",$G135="À décommissionner"),COUNTIFS(TblClusters[Cluster],$I135,TblClusters[Environnement],$E135)=0),"Environnement ≠ cluster IKS",IF(AND(OR($G135="À migrer",$G135="Migré"),COUNTIFS(TblClusters[Cluster],$O135,TblClusters[Environnement],$E135)=0),"Environnement ≠ cluster ROKS",IF(AND($G135="À migrer",OR($U135&gt;$V135,$V135&gt;$W135)),"Dates incohérentes (prov ≤ bascule ≤ libération)",IF(AND(OR($G135="À migrer",$G135="À décommissionner"),OR(N($AO135)&gt;SUMIFS(TblClusters[CPU initial (vCPU)],TblClusters[Cluster],$I135),N($AP135)&gt;SUMIFS(TblClusters[RAM initiale (Go)],TblClusters[Cluster],$I135))),"Forçage &gt; capacité du cluster source",IF(OR(AND($AA135&lt;&gt;"",$AA135&lt;p_debut),AND($AB135&lt;&gt;"",$AB135&gt;p_fin)),"Hors horizon (info)",IF(AND($G135="À migrer",$E135="PRD",COUNTIFS(TblApplications[ID],$C135,TblApplications[Environnement],"NPRD",TblApplications[Action],"À migrer")&gt;0,$AA135&lt;_xlfn.MINIFS(TblApplications[Mois prov (calc)],TblApplications[ID],$C135,TblApplications[Environnement],"NPRD")),"PRD avant NPRD (info)","OK")))))))))))))))))))))</f>
        <v/>
      </c>
      <c r="AH135" s="62"/>
      <c r="AI135" s="62"/>
      <c r="AJ135" s="27" t="str">
        <f>IF(OR($C135="",NOT(OR($G135="À migrer",$G135="À décommissionner")),NOT(ISNUMBER($S135)),NOT(ISNUMBER($T135)),$AB135=""),"",($S135+p_poidsram*$T135)*SUMIFS(TblCalculs[Coût par unité],TblCalculs[Cluster],$I135,TblCalculs[Mois],"&lt;"&amp;$AB135))</f>
        <v/>
      </c>
      <c r="AK135" s="27" t="str">
        <f>IF($C135="","",IF(AND($G135="À migrer",$H135="Non",$Y135&lt;&gt;"",$AA135&lt;&gt;""),($Y135+p_poidsram*$Z135)*SUMIFS(TblCalculs[Coût par unité],TblCalculs[Cluster],$O135,TblCalculs[Mois],"&gt;="&amp;$AA135),IF(AND($G135="Migré",$Y135&lt;&gt;""),($Y135+p_poidsram*$Z135)*SUMIFS(TblCalculs[Coût par unité],TblCalculs[Cluster],$O135),"")))</f>
        <v/>
      </c>
      <c r="AL135" s="27" t="str">
        <f t="shared" si="22"/>
        <v/>
      </c>
      <c r="AM135" s="26" t="str">
        <f t="shared" si="23"/>
        <v/>
      </c>
      <c r="AN135" s="26" t="str">
        <f>IF(OR($C135="",$AM135&lt;&gt;1,COUNTIFS($E135,ex_envc,$A135,ex_domc,$B135,ex_tric)=0),"",COUNTIFS($AM$6:$AM135,1,$E$6:$E135,ex_envc,$A$6:$A135,ex_domc,$B$6:$B135,ex_tric))</f>
        <v/>
      </c>
      <c r="AO135" s="63"/>
      <c r="AP135" s="63"/>
      <c r="AQ135" s="63"/>
      <c r="AR135" s="63"/>
    </row>
    <row r="136" spans="1:44" x14ac:dyDescent="0.2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26" t="str">
        <f t="shared" si="16"/>
        <v/>
      </c>
      <c r="O136" s="59"/>
      <c r="P136" s="60" t="str">
        <f>IF($C136="","",IF($AQ136&lt;&gt;"",$AQ136,SUMIFS(TblDynatrace[CPU P95 (vCPU)],TblDynatrace[ID],$C136,TblDynatrace[Environnement],$E136,TblDynatrace[Couloir],$F136)))</f>
        <v/>
      </c>
      <c r="Q136" s="60" t="str">
        <f>IF($C136="","",IF($AR136&lt;&gt;"",$AR136,SUMIFS(TblDynatrace[RAM P95 (Go)],TblDynatrace[ID],$C136,TblDynatrace[Environnement],$E136,TblDynatrace[Couloir],$F136)))</f>
        <v/>
      </c>
      <c r="R136" s="26" t="str">
        <f>IF($C136="","",IFERROR(INDEX(TblDynatrace[Métrique / période],MATCH($C136&amp;"|"&amp;$E136&amp;"|"&amp;$F136,TblDynatrace[Clé],0)),""))</f>
        <v/>
      </c>
      <c r="S136" s="60" t="str">
        <f>IF(OR($C136="",NOT(OR($G136="À migrer",$G136="À décommissionner")),$I136="",NOT(ISNUMBER($P136))),"",IF($AO136&lt;&gt;"",$AO136,IFERROR(SUMIFS(TblClusters[CPU initial (vCPU)],TblClusters[Cluster],$I136)*$P136/(SUMIFS(TblApplications[CPU Dynatrace (vCPU)],TblApplications[Cluster IKS source],$I136,TblApplications[Action],"À migrer")+SUMIFS(TblApplications[CPU Dynatrace (vCPU)],TblApplications[Cluster IKS source],$I136,TblApplications[Action],"À décommissionner")),0)))</f>
        <v/>
      </c>
      <c r="T136" s="60" t="str">
        <f>IF(OR($C136="",NOT(OR($G136="À migrer",$G136="À décommissionner")),$I136="",NOT(ISNUMBER($Q136))),"",IF($AP136&lt;&gt;"",$AP136,IFERROR(SUMIFS(TblClusters[RAM initiale (Go)],TblClusters[Cluster],$I136)*$Q136/(SUMIFS(TblApplications[RAM Dynatrace (Go)],TblApplications[Cluster IKS source],$I136,TblApplications[Action],"À migrer")+SUMIFS(TblApplications[RAM Dynatrace (Go)],TblApplications[Cluster IKS source],$I136,TblApplications[Action],"À décommissionner")),0)))</f>
        <v/>
      </c>
      <c r="U136" s="61"/>
      <c r="V136" s="61"/>
      <c r="W136" s="61"/>
      <c r="X136" s="59"/>
      <c r="Y136" s="26" t="str">
        <f t="shared" si="17"/>
        <v/>
      </c>
      <c r="Z136" s="26" t="str">
        <f t="shared" si="18"/>
        <v/>
      </c>
      <c r="AA136" s="33" t="str">
        <f t="shared" si="19"/>
        <v/>
      </c>
      <c r="AB136" s="33" t="str">
        <f t="shared" si="20"/>
        <v/>
      </c>
      <c r="AC136" s="26" t="str">
        <f t="shared" si="21"/>
        <v/>
      </c>
      <c r="AD136" s="26" t="str">
        <f>IF($C136="","",COUNTIF(TblApplications[ID],$C136))</f>
        <v/>
      </c>
      <c r="AE136" s="33" t="str">
        <f>IF($C136="","",IFERROR(1/(1/_xlfn.MINIFS(TblApplications[Mois prov (calc)],TblApplications[ID],$C136)),""))</f>
        <v/>
      </c>
      <c r="AF136" s="33" t="str">
        <f>IF($C136="","",IFERROR(1/(1/_xlfn.MAXIFS(TblApplications[Mois lib (calc)],TblApplications[ID],$C136)),""))</f>
        <v/>
      </c>
      <c r="AG136" s="26" t="str">
        <f>IF($C136="","",IF(OR(OR($A136="",$B136="",$D136="",$E136="",$F136="",$G136=""),AND($G136="À migrer",OR($H136="",$I136="",$O136="",$U136="",$V136="",$W136="")),AND($G136="Migré",OR($O136="")),AND($G136="À décommissionner",OR($I136="",$W136=""))),"Données manquantes (selon l’action)",IF(AND($G136&lt;&gt;"Migré",$G136&lt;&gt;"À migrer",$G136&lt;&gt;"À décommissionner",$G136&lt;&gt;"Décommissionné"),"Action invalide",IF(COUNTIF(TblDomaines[Domaine],$A136)=0,"Domaine inconnu (référentiel)",IF(COUNTIFS(TblTribes[Tribe],$B136,TblTribes[Domaine de la tribe],$A136)=0,"Tribe inconnue ou hors domaine",IF(AND($G136="À migrer",$H136&lt;&gt;"Oui",$H136&lt;&gt;"Non"),"Valeur Oui/Non invalide (Déjà incluse ROKS)",IF(AND($E136&lt;&gt;"PRD",$E136&lt;&gt;"NPRD"),"Environnement invalide",IF(COUNTIFS(TblApplications[ID],$C136,TblApplications[Environnement],$E136,TblApplications[Couloir],$F136)&gt;1,"Déploiement en doublon (ID + env + couloir)",IF(AND(OR(OR($G136="À migrer",$G136="Migré"),OR($G136="À migrer",$G136="À décommissionner")),N($P136)&lt;=0),"Conso Dynatrace absente (onglet Dynatrace)",IF(OR(AND($P136&lt;&gt;"",NOT(ISNUMBER($P136))),AND($Q136&lt;&gt;"",NOT(ISNUMBER($Q136)))),"Ressource non numérique",IF(MIN(N($P136),N($Q136))&lt;0,"Ressource négative",IF(OR(AND($AH136&lt;&gt;"",OR(NOT(ISNUMBER($AH136)),$AH136&lt;0,$AH136&gt;1)),AND($AI136&lt;&gt;"",OR(NOT(ISNUMBER($AI136)),$AI136&lt;0,$AI136&gt;1))),"Marge spécifique invalide (0–100 %)",IF(OR(AND($U136&lt;&gt;"",NOT(ISNUMBER($U136))),AND($V136&lt;&gt;"",NOT(ISNUMBER($V136))),AND($W136&lt;&gt;"",NOT(ISNUMBER($W136)))),"Mois invalide",IF(AND(OR($G136="À migrer",$G136="À décommissionner"),COUNTIFS(TblClusters[Cluster],$I136,TblClusters[Plateforme],"IKS")=0),"Cluster IKS inconnu",IF(AND(OR($G136="À migrer",$G136="Migré"),COUNTIFS(TblClusters[Cluster],$O136,TblClusters[Plateforme],"ROKS")=0),"Cluster ROKS inconnu",IF(AND(OR($G136="À migrer",$G136="À décommissionner"),COUNTIFS(TblClusters[Cluster],$I136,TblClusters[Environnement],$E136)=0),"Environnement ≠ cluster IKS",IF(AND(OR($G136="À migrer",$G136="Migré"),COUNTIFS(TblClusters[Cluster],$O136,TblClusters[Environnement],$E136)=0),"Environnement ≠ cluster ROKS",IF(AND($G136="À migrer",OR($U136&gt;$V136,$V136&gt;$W136)),"Dates incohérentes (prov ≤ bascule ≤ libération)",IF(AND(OR($G136="À migrer",$G136="À décommissionner"),OR(N($AO136)&gt;SUMIFS(TblClusters[CPU initial (vCPU)],TblClusters[Cluster],$I136),N($AP136)&gt;SUMIFS(TblClusters[RAM initiale (Go)],TblClusters[Cluster],$I136))),"Forçage &gt; capacité du cluster source",IF(OR(AND($AA136&lt;&gt;"",$AA136&lt;p_debut),AND($AB136&lt;&gt;"",$AB136&gt;p_fin)),"Hors horizon (info)",IF(AND($G136="À migrer",$E136="PRD",COUNTIFS(TblApplications[ID],$C136,TblApplications[Environnement],"NPRD",TblApplications[Action],"À migrer")&gt;0,$AA136&lt;_xlfn.MINIFS(TblApplications[Mois prov (calc)],TblApplications[ID],$C136,TblApplications[Environnement],"NPRD")),"PRD avant NPRD (info)","OK")))))))))))))))))))))</f>
        <v/>
      </c>
      <c r="AH136" s="62"/>
      <c r="AI136" s="62"/>
      <c r="AJ136" s="27" t="str">
        <f>IF(OR($C136="",NOT(OR($G136="À migrer",$G136="À décommissionner")),NOT(ISNUMBER($S136)),NOT(ISNUMBER($T136)),$AB136=""),"",($S136+p_poidsram*$T136)*SUMIFS(TblCalculs[Coût par unité],TblCalculs[Cluster],$I136,TblCalculs[Mois],"&lt;"&amp;$AB136))</f>
        <v/>
      </c>
      <c r="AK136" s="27" t="str">
        <f>IF($C136="","",IF(AND($G136="À migrer",$H136="Non",$Y136&lt;&gt;"",$AA136&lt;&gt;""),($Y136+p_poidsram*$Z136)*SUMIFS(TblCalculs[Coût par unité],TblCalculs[Cluster],$O136,TblCalculs[Mois],"&gt;="&amp;$AA136),IF(AND($G136="Migré",$Y136&lt;&gt;""),($Y136+p_poidsram*$Z136)*SUMIFS(TblCalculs[Coût par unité],TblCalculs[Cluster],$O136),"")))</f>
        <v/>
      </c>
      <c r="AL136" s="27" t="str">
        <f t="shared" si="22"/>
        <v/>
      </c>
      <c r="AM136" s="26" t="str">
        <f t="shared" si="23"/>
        <v/>
      </c>
      <c r="AN136" s="26" t="str">
        <f>IF(OR($C136="",$AM136&lt;&gt;1,COUNTIFS($E136,ex_envc,$A136,ex_domc,$B136,ex_tric)=0),"",COUNTIFS($AM$6:$AM136,1,$E$6:$E136,ex_envc,$A$6:$A136,ex_domc,$B$6:$B136,ex_tric))</f>
        <v/>
      </c>
      <c r="AO136" s="63"/>
      <c r="AP136" s="63"/>
      <c r="AQ136" s="63"/>
      <c r="AR136" s="63"/>
    </row>
    <row r="137" spans="1:44" x14ac:dyDescent="0.2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26" t="str">
        <f t="shared" si="16"/>
        <v/>
      </c>
      <c r="O137" s="59"/>
      <c r="P137" s="60" t="str">
        <f>IF($C137="","",IF($AQ137&lt;&gt;"",$AQ137,SUMIFS(TblDynatrace[CPU P95 (vCPU)],TblDynatrace[ID],$C137,TblDynatrace[Environnement],$E137,TblDynatrace[Couloir],$F137)))</f>
        <v/>
      </c>
      <c r="Q137" s="60" t="str">
        <f>IF($C137="","",IF($AR137&lt;&gt;"",$AR137,SUMIFS(TblDynatrace[RAM P95 (Go)],TblDynatrace[ID],$C137,TblDynatrace[Environnement],$E137,TblDynatrace[Couloir],$F137)))</f>
        <v/>
      </c>
      <c r="R137" s="26" t="str">
        <f>IF($C137="","",IFERROR(INDEX(TblDynatrace[Métrique / période],MATCH($C137&amp;"|"&amp;$E137&amp;"|"&amp;$F137,TblDynatrace[Clé],0)),""))</f>
        <v/>
      </c>
      <c r="S137" s="60" t="str">
        <f>IF(OR($C137="",NOT(OR($G137="À migrer",$G137="À décommissionner")),$I137="",NOT(ISNUMBER($P137))),"",IF($AO137&lt;&gt;"",$AO137,IFERROR(SUMIFS(TblClusters[CPU initial (vCPU)],TblClusters[Cluster],$I137)*$P137/(SUMIFS(TblApplications[CPU Dynatrace (vCPU)],TblApplications[Cluster IKS source],$I137,TblApplications[Action],"À migrer")+SUMIFS(TblApplications[CPU Dynatrace (vCPU)],TblApplications[Cluster IKS source],$I137,TblApplications[Action],"À décommissionner")),0)))</f>
        <v/>
      </c>
      <c r="T137" s="60" t="str">
        <f>IF(OR($C137="",NOT(OR($G137="À migrer",$G137="À décommissionner")),$I137="",NOT(ISNUMBER($Q137))),"",IF($AP137&lt;&gt;"",$AP137,IFERROR(SUMIFS(TblClusters[RAM initiale (Go)],TblClusters[Cluster],$I137)*$Q137/(SUMIFS(TblApplications[RAM Dynatrace (Go)],TblApplications[Cluster IKS source],$I137,TblApplications[Action],"À migrer")+SUMIFS(TblApplications[RAM Dynatrace (Go)],TblApplications[Cluster IKS source],$I137,TblApplications[Action],"À décommissionner")),0)))</f>
        <v/>
      </c>
      <c r="U137" s="61"/>
      <c r="V137" s="61"/>
      <c r="W137" s="61"/>
      <c r="X137" s="59"/>
      <c r="Y137" s="26" t="str">
        <f t="shared" si="17"/>
        <v/>
      </c>
      <c r="Z137" s="26" t="str">
        <f t="shared" si="18"/>
        <v/>
      </c>
      <c r="AA137" s="33" t="str">
        <f t="shared" si="19"/>
        <v/>
      </c>
      <c r="AB137" s="33" t="str">
        <f t="shared" si="20"/>
        <v/>
      </c>
      <c r="AC137" s="26" t="str">
        <f t="shared" si="21"/>
        <v/>
      </c>
      <c r="AD137" s="26" t="str">
        <f>IF($C137="","",COUNTIF(TblApplications[ID],$C137))</f>
        <v/>
      </c>
      <c r="AE137" s="33" t="str">
        <f>IF($C137="","",IFERROR(1/(1/_xlfn.MINIFS(TblApplications[Mois prov (calc)],TblApplications[ID],$C137)),""))</f>
        <v/>
      </c>
      <c r="AF137" s="33" t="str">
        <f>IF($C137="","",IFERROR(1/(1/_xlfn.MAXIFS(TblApplications[Mois lib (calc)],TblApplications[ID],$C137)),""))</f>
        <v/>
      </c>
      <c r="AG137" s="26" t="str">
        <f>IF($C137="","",IF(OR(OR($A137="",$B137="",$D137="",$E137="",$F137="",$G137=""),AND($G137="À migrer",OR($H137="",$I137="",$O137="",$U137="",$V137="",$W137="")),AND($G137="Migré",OR($O137="")),AND($G137="À décommissionner",OR($I137="",$W137=""))),"Données manquantes (selon l’action)",IF(AND($G137&lt;&gt;"Migré",$G137&lt;&gt;"À migrer",$G137&lt;&gt;"À décommissionner",$G137&lt;&gt;"Décommissionné"),"Action invalide",IF(COUNTIF(TblDomaines[Domaine],$A137)=0,"Domaine inconnu (référentiel)",IF(COUNTIFS(TblTribes[Tribe],$B137,TblTribes[Domaine de la tribe],$A137)=0,"Tribe inconnue ou hors domaine",IF(AND($G137="À migrer",$H137&lt;&gt;"Oui",$H137&lt;&gt;"Non"),"Valeur Oui/Non invalide (Déjà incluse ROKS)",IF(AND($E137&lt;&gt;"PRD",$E137&lt;&gt;"NPRD"),"Environnement invalide",IF(COUNTIFS(TblApplications[ID],$C137,TblApplications[Environnement],$E137,TblApplications[Couloir],$F137)&gt;1,"Déploiement en doublon (ID + env + couloir)",IF(AND(OR(OR($G137="À migrer",$G137="Migré"),OR($G137="À migrer",$G137="À décommissionner")),N($P137)&lt;=0),"Conso Dynatrace absente (onglet Dynatrace)",IF(OR(AND($P137&lt;&gt;"",NOT(ISNUMBER($P137))),AND($Q137&lt;&gt;"",NOT(ISNUMBER($Q137)))),"Ressource non numérique",IF(MIN(N($P137),N($Q137))&lt;0,"Ressource négative",IF(OR(AND($AH137&lt;&gt;"",OR(NOT(ISNUMBER($AH137)),$AH137&lt;0,$AH137&gt;1)),AND($AI137&lt;&gt;"",OR(NOT(ISNUMBER($AI137)),$AI137&lt;0,$AI137&gt;1))),"Marge spécifique invalide (0–100 %)",IF(OR(AND($U137&lt;&gt;"",NOT(ISNUMBER($U137))),AND($V137&lt;&gt;"",NOT(ISNUMBER($V137))),AND($W137&lt;&gt;"",NOT(ISNUMBER($W137)))),"Mois invalide",IF(AND(OR($G137="À migrer",$G137="À décommissionner"),COUNTIFS(TblClusters[Cluster],$I137,TblClusters[Plateforme],"IKS")=0),"Cluster IKS inconnu",IF(AND(OR($G137="À migrer",$G137="Migré"),COUNTIFS(TblClusters[Cluster],$O137,TblClusters[Plateforme],"ROKS")=0),"Cluster ROKS inconnu",IF(AND(OR($G137="À migrer",$G137="À décommissionner"),COUNTIFS(TblClusters[Cluster],$I137,TblClusters[Environnement],$E137)=0),"Environnement ≠ cluster IKS",IF(AND(OR($G137="À migrer",$G137="Migré"),COUNTIFS(TblClusters[Cluster],$O137,TblClusters[Environnement],$E137)=0),"Environnement ≠ cluster ROKS",IF(AND($G137="À migrer",OR($U137&gt;$V137,$V137&gt;$W137)),"Dates incohérentes (prov ≤ bascule ≤ libération)",IF(AND(OR($G137="À migrer",$G137="À décommissionner"),OR(N($AO137)&gt;SUMIFS(TblClusters[CPU initial (vCPU)],TblClusters[Cluster],$I137),N($AP137)&gt;SUMIFS(TblClusters[RAM initiale (Go)],TblClusters[Cluster],$I137))),"Forçage &gt; capacité du cluster source",IF(OR(AND($AA137&lt;&gt;"",$AA137&lt;p_debut),AND($AB137&lt;&gt;"",$AB137&gt;p_fin)),"Hors horizon (info)",IF(AND($G137="À migrer",$E137="PRD",COUNTIFS(TblApplications[ID],$C137,TblApplications[Environnement],"NPRD",TblApplications[Action],"À migrer")&gt;0,$AA137&lt;_xlfn.MINIFS(TblApplications[Mois prov (calc)],TblApplications[ID],$C137,TblApplications[Environnement],"NPRD")),"PRD avant NPRD (info)","OK")))))))))))))))))))))</f>
        <v/>
      </c>
      <c r="AH137" s="62"/>
      <c r="AI137" s="62"/>
      <c r="AJ137" s="27" t="str">
        <f>IF(OR($C137="",NOT(OR($G137="À migrer",$G137="À décommissionner")),NOT(ISNUMBER($S137)),NOT(ISNUMBER($T137)),$AB137=""),"",($S137+p_poidsram*$T137)*SUMIFS(TblCalculs[Coût par unité],TblCalculs[Cluster],$I137,TblCalculs[Mois],"&lt;"&amp;$AB137))</f>
        <v/>
      </c>
      <c r="AK137" s="27" t="str">
        <f>IF($C137="","",IF(AND($G137="À migrer",$H137="Non",$Y137&lt;&gt;"",$AA137&lt;&gt;""),($Y137+p_poidsram*$Z137)*SUMIFS(TblCalculs[Coût par unité],TblCalculs[Cluster],$O137,TblCalculs[Mois],"&gt;="&amp;$AA137),IF(AND($G137="Migré",$Y137&lt;&gt;""),($Y137+p_poidsram*$Z137)*SUMIFS(TblCalculs[Coût par unité],TblCalculs[Cluster],$O137),"")))</f>
        <v/>
      </c>
      <c r="AL137" s="27" t="str">
        <f t="shared" si="22"/>
        <v/>
      </c>
      <c r="AM137" s="26" t="str">
        <f t="shared" si="23"/>
        <v/>
      </c>
      <c r="AN137" s="26" t="str">
        <f>IF(OR($C137="",$AM137&lt;&gt;1,COUNTIFS($E137,ex_envc,$A137,ex_domc,$B137,ex_tric)=0),"",COUNTIFS($AM$6:$AM137,1,$E$6:$E137,ex_envc,$A$6:$A137,ex_domc,$B$6:$B137,ex_tric))</f>
        <v/>
      </c>
      <c r="AO137" s="63"/>
      <c r="AP137" s="63"/>
      <c r="AQ137" s="63"/>
      <c r="AR137" s="63"/>
    </row>
    <row r="138" spans="1:44" x14ac:dyDescent="0.2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26" t="str">
        <f t="shared" si="16"/>
        <v/>
      </c>
      <c r="O138" s="59"/>
      <c r="P138" s="60" t="str">
        <f>IF($C138="","",IF($AQ138&lt;&gt;"",$AQ138,SUMIFS(TblDynatrace[CPU P95 (vCPU)],TblDynatrace[ID],$C138,TblDynatrace[Environnement],$E138,TblDynatrace[Couloir],$F138)))</f>
        <v/>
      </c>
      <c r="Q138" s="60" t="str">
        <f>IF($C138="","",IF($AR138&lt;&gt;"",$AR138,SUMIFS(TblDynatrace[RAM P95 (Go)],TblDynatrace[ID],$C138,TblDynatrace[Environnement],$E138,TblDynatrace[Couloir],$F138)))</f>
        <v/>
      </c>
      <c r="R138" s="26" t="str">
        <f>IF($C138="","",IFERROR(INDEX(TblDynatrace[Métrique / période],MATCH($C138&amp;"|"&amp;$E138&amp;"|"&amp;$F138,TblDynatrace[Clé],0)),""))</f>
        <v/>
      </c>
      <c r="S138" s="60" t="str">
        <f>IF(OR($C138="",NOT(OR($G138="À migrer",$G138="À décommissionner")),$I138="",NOT(ISNUMBER($P138))),"",IF($AO138&lt;&gt;"",$AO138,IFERROR(SUMIFS(TblClusters[CPU initial (vCPU)],TblClusters[Cluster],$I138)*$P138/(SUMIFS(TblApplications[CPU Dynatrace (vCPU)],TblApplications[Cluster IKS source],$I138,TblApplications[Action],"À migrer")+SUMIFS(TblApplications[CPU Dynatrace (vCPU)],TblApplications[Cluster IKS source],$I138,TblApplications[Action],"À décommissionner")),0)))</f>
        <v/>
      </c>
      <c r="T138" s="60" t="str">
        <f>IF(OR($C138="",NOT(OR($G138="À migrer",$G138="À décommissionner")),$I138="",NOT(ISNUMBER($Q138))),"",IF($AP138&lt;&gt;"",$AP138,IFERROR(SUMIFS(TblClusters[RAM initiale (Go)],TblClusters[Cluster],$I138)*$Q138/(SUMIFS(TblApplications[RAM Dynatrace (Go)],TblApplications[Cluster IKS source],$I138,TblApplications[Action],"À migrer")+SUMIFS(TblApplications[RAM Dynatrace (Go)],TblApplications[Cluster IKS source],$I138,TblApplications[Action],"À décommissionner")),0)))</f>
        <v/>
      </c>
      <c r="U138" s="61"/>
      <c r="V138" s="61"/>
      <c r="W138" s="61"/>
      <c r="X138" s="59"/>
      <c r="Y138" s="26" t="str">
        <f t="shared" si="17"/>
        <v/>
      </c>
      <c r="Z138" s="26" t="str">
        <f t="shared" si="18"/>
        <v/>
      </c>
      <c r="AA138" s="33" t="str">
        <f t="shared" si="19"/>
        <v/>
      </c>
      <c r="AB138" s="33" t="str">
        <f t="shared" si="20"/>
        <v/>
      </c>
      <c r="AC138" s="26" t="str">
        <f t="shared" si="21"/>
        <v/>
      </c>
      <c r="AD138" s="26" t="str">
        <f>IF($C138="","",COUNTIF(TblApplications[ID],$C138))</f>
        <v/>
      </c>
      <c r="AE138" s="33" t="str">
        <f>IF($C138="","",IFERROR(1/(1/_xlfn.MINIFS(TblApplications[Mois prov (calc)],TblApplications[ID],$C138)),""))</f>
        <v/>
      </c>
      <c r="AF138" s="33" t="str">
        <f>IF($C138="","",IFERROR(1/(1/_xlfn.MAXIFS(TblApplications[Mois lib (calc)],TblApplications[ID],$C138)),""))</f>
        <v/>
      </c>
      <c r="AG138" s="26" t="str">
        <f>IF($C138="","",IF(OR(OR($A138="",$B138="",$D138="",$E138="",$F138="",$G138=""),AND($G138="À migrer",OR($H138="",$I138="",$O138="",$U138="",$V138="",$W138="")),AND($G138="Migré",OR($O138="")),AND($G138="À décommissionner",OR($I138="",$W138=""))),"Données manquantes (selon l’action)",IF(AND($G138&lt;&gt;"Migré",$G138&lt;&gt;"À migrer",$G138&lt;&gt;"À décommissionner",$G138&lt;&gt;"Décommissionné"),"Action invalide",IF(COUNTIF(TblDomaines[Domaine],$A138)=0,"Domaine inconnu (référentiel)",IF(COUNTIFS(TblTribes[Tribe],$B138,TblTribes[Domaine de la tribe],$A138)=0,"Tribe inconnue ou hors domaine",IF(AND($G138="À migrer",$H138&lt;&gt;"Oui",$H138&lt;&gt;"Non"),"Valeur Oui/Non invalide (Déjà incluse ROKS)",IF(AND($E138&lt;&gt;"PRD",$E138&lt;&gt;"NPRD"),"Environnement invalide",IF(COUNTIFS(TblApplications[ID],$C138,TblApplications[Environnement],$E138,TblApplications[Couloir],$F138)&gt;1,"Déploiement en doublon (ID + env + couloir)",IF(AND(OR(OR($G138="À migrer",$G138="Migré"),OR($G138="À migrer",$G138="À décommissionner")),N($P138)&lt;=0),"Conso Dynatrace absente (onglet Dynatrace)",IF(OR(AND($P138&lt;&gt;"",NOT(ISNUMBER($P138))),AND($Q138&lt;&gt;"",NOT(ISNUMBER($Q138)))),"Ressource non numérique",IF(MIN(N($P138),N($Q138))&lt;0,"Ressource négative",IF(OR(AND($AH138&lt;&gt;"",OR(NOT(ISNUMBER($AH138)),$AH138&lt;0,$AH138&gt;1)),AND($AI138&lt;&gt;"",OR(NOT(ISNUMBER($AI138)),$AI138&lt;0,$AI138&gt;1))),"Marge spécifique invalide (0–100 %)",IF(OR(AND($U138&lt;&gt;"",NOT(ISNUMBER($U138))),AND($V138&lt;&gt;"",NOT(ISNUMBER($V138))),AND($W138&lt;&gt;"",NOT(ISNUMBER($W138)))),"Mois invalide",IF(AND(OR($G138="À migrer",$G138="À décommissionner"),COUNTIFS(TblClusters[Cluster],$I138,TblClusters[Plateforme],"IKS")=0),"Cluster IKS inconnu",IF(AND(OR($G138="À migrer",$G138="Migré"),COUNTIFS(TblClusters[Cluster],$O138,TblClusters[Plateforme],"ROKS")=0),"Cluster ROKS inconnu",IF(AND(OR($G138="À migrer",$G138="À décommissionner"),COUNTIFS(TblClusters[Cluster],$I138,TblClusters[Environnement],$E138)=0),"Environnement ≠ cluster IKS",IF(AND(OR($G138="À migrer",$G138="Migré"),COUNTIFS(TblClusters[Cluster],$O138,TblClusters[Environnement],$E138)=0),"Environnement ≠ cluster ROKS",IF(AND($G138="À migrer",OR($U138&gt;$V138,$V138&gt;$W138)),"Dates incohérentes (prov ≤ bascule ≤ libération)",IF(AND(OR($G138="À migrer",$G138="À décommissionner"),OR(N($AO138)&gt;SUMIFS(TblClusters[CPU initial (vCPU)],TblClusters[Cluster],$I138),N($AP138)&gt;SUMIFS(TblClusters[RAM initiale (Go)],TblClusters[Cluster],$I138))),"Forçage &gt; capacité du cluster source",IF(OR(AND($AA138&lt;&gt;"",$AA138&lt;p_debut),AND($AB138&lt;&gt;"",$AB138&gt;p_fin)),"Hors horizon (info)",IF(AND($G138="À migrer",$E138="PRD",COUNTIFS(TblApplications[ID],$C138,TblApplications[Environnement],"NPRD",TblApplications[Action],"À migrer")&gt;0,$AA138&lt;_xlfn.MINIFS(TblApplications[Mois prov (calc)],TblApplications[ID],$C138,TblApplications[Environnement],"NPRD")),"PRD avant NPRD (info)","OK")))))))))))))))))))))</f>
        <v/>
      </c>
      <c r="AH138" s="62"/>
      <c r="AI138" s="62"/>
      <c r="AJ138" s="27" t="str">
        <f>IF(OR($C138="",NOT(OR($G138="À migrer",$G138="À décommissionner")),NOT(ISNUMBER($S138)),NOT(ISNUMBER($T138)),$AB138=""),"",($S138+p_poidsram*$T138)*SUMIFS(TblCalculs[Coût par unité],TblCalculs[Cluster],$I138,TblCalculs[Mois],"&lt;"&amp;$AB138))</f>
        <v/>
      </c>
      <c r="AK138" s="27" t="str">
        <f>IF($C138="","",IF(AND($G138="À migrer",$H138="Non",$Y138&lt;&gt;"",$AA138&lt;&gt;""),($Y138+p_poidsram*$Z138)*SUMIFS(TblCalculs[Coût par unité],TblCalculs[Cluster],$O138,TblCalculs[Mois],"&gt;="&amp;$AA138),IF(AND($G138="Migré",$Y138&lt;&gt;""),($Y138+p_poidsram*$Z138)*SUMIFS(TblCalculs[Coût par unité],TblCalculs[Cluster],$O138),"")))</f>
        <v/>
      </c>
      <c r="AL138" s="27" t="str">
        <f t="shared" si="22"/>
        <v/>
      </c>
      <c r="AM138" s="26" t="str">
        <f t="shared" si="23"/>
        <v/>
      </c>
      <c r="AN138" s="26" t="str">
        <f>IF(OR($C138="",$AM138&lt;&gt;1,COUNTIFS($E138,ex_envc,$A138,ex_domc,$B138,ex_tric)=0),"",COUNTIFS($AM$6:$AM138,1,$E$6:$E138,ex_envc,$A$6:$A138,ex_domc,$B$6:$B138,ex_tric))</f>
        <v/>
      </c>
      <c r="AO138" s="63"/>
      <c r="AP138" s="63"/>
      <c r="AQ138" s="63"/>
      <c r="AR138" s="63"/>
    </row>
    <row r="139" spans="1:44" x14ac:dyDescent="0.2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26" t="str">
        <f t="shared" si="16"/>
        <v/>
      </c>
      <c r="O139" s="59"/>
      <c r="P139" s="60" t="str">
        <f>IF($C139="","",IF($AQ139&lt;&gt;"",$AQ139,SUMIFS(TblDynatrace[CPU P95 (vCPU)],TblDynatrace[ID],$C139,TblDynatrace[Environnement],$E139,TblDynatrace[Couloir],$F139)))</f>
        <v/>
      </c>
      <c r="Q139" s="60" t="str">
        <f>IF($C139="","",IF($AR139&lt;&gt;"",$AR139,SUMIFS(TblDynatrace[RAM P95 (Go)],TblDynatrace[ID],$C139,TblDynatrace[Environnement],$E139,TblDynatrace[Couloir],$F139)))</f>
        <v/>
      </c>
      <c r="R139" s="26" t="str">
        <f>IF($C139="","",IFERROR(INDEX(TblDynatrace[Métrique / période],MATCH($C139&amp;"|"&amp;$E139&amp;"|"&amp;$F139,TblDynatrace[Clé],0)),""))</f>
        <v/>
      </c>
      <c r="S139" s="60" t="str">
        <f>IF(OR($C139="",NOT(OR($G139="À migrer",$G139="À décommissionner")),$I139="",NOT(ISNUMBER($P139))),"",IF($AO139&lt;&gt;"",$AO139,IFERROR(SUMIFS(TblClusters[CPU initial (vCPU)],TblClusters[Cluster],$I139)*$P139/(SUMIFS(TblApplications[CPU Dynatrace (vCPU)],TblApplications[Cluster IKS source],$I139,TblApplications[Action],"À migrer")+SUMIFS(TblApplications[CPU Dynatrace (vCPU)],TblApplications[Cluster IKS source],$I139,TblApplications[Action],"À décommissionner")),0)))</f>
        <v/>
      </c>
      <c r="T139" s="60" t="str">
        <f>IF(OR($C139="",NOT(OR($G139="À migrer",$G139="À décommissionner")),$I139="",NOT(ISNUMBER($Q139))),"",IF($AP139&lt;&gt;"",$AP139,IFERROR(SUMIFS(TblClusters[RAM initiale (Go)],TblClusters[Cluster],$I139)*$Q139/(SUMIFS(TblApplications[RAM Dynatrace (Go)],TblApplications[Cluster IKS source],$I139,TblApplications[Action],"À migrer")+SUMIFS(TblApplications[RAM Dynatrace (Go)],TblApplications[Cluster IKS source],$I139,TblApplications[Action],"À décommissionner")),0)))</f>
        <v/>
      </c>
      <c r="U139" s="61"/>
      <c r="V139" s="61"/>
      <c r="W139" s="61"/>
      <c r="X139" s="59"/>
      <c r="Y139" s="26" t="str">
        <f t="shared" si="17"/>
        <v/>
      </c>
      <c r="Z139" s="26" t="str">
        <f t="shared" si="18"/>
        <v/>
      </c>
      <c r="AA139" s="33" t="str">
        <f t="shared" si="19"/>
        <v/>
      </c>
      <c r="AB139" s="33" t="str">
        <f t="shared" si="20"/>
        <v/>
      </c>
      <c r="AC139" s="26" t="str">
        <f t="shared" si="21"/>
        <v/>
      </c>
      <c r="AD139" s="26" t="str">
        <f>IF($C139="","",COUNTIF(TblApplications[ID],$C139))</f>
        <v/>
      </c>
      <c r="AE139" s="33" t="str">
        <f>IF($C139="","",IFERROR(1/(1/_xlfn.MINIFS(TblApplications[Mois prov (calc)],TblApplications[ID],$C139)),""))</f>
        <v/>
      </c>
      <c r="AF139" s="33" t="str">
        <f>IF($C139="","",IFERROR(1/(1/_xlfn.MAXIFS(TblApplications[Mois lib (calc)],TblApplications[ID],$C139)),""))</f>
        <v/>
      </c>
      <c r="AG139" s="26" t="str">
        <f>IF($C139="","",IF(OR(OR($A139="",$B139="",$D139="",$E139="",$F139="",$G139=""),AND($G139="À migrer",OR($H139="",$I139="",$O139="",$U139="",$V139="",$W139="")),AND($G139="Migré",OR($O139="")),AND($G139="À décommissionner",OR($I139="",$W139=""))),"Données manquantes (selon l’action)",IF(AND($G139&lt;&gt;"Migré",$G139&lt;&gt;"À migrer",$G139&lt;&gt;"À décommissionner",$G139&lt;&gt;"Décommissionné"),"Action invalide",IF(COUNTIF(TblDomaines[Domaine],$A139)=0,"Domaine inconnu (référentiel)",IF(COUNTIFS(TblTribes[Tribe],$B139,TblTribes[Domaine de la tribe],$A139)=0,"Tribe inconnue ou hors domaine",IF(AND($G139="À migrer",$H139&lt;&gt;"Oui",$H139&lt;&gt;"Non"),"Valeur Oui/Non invalide (Déjà incluse ROKS)",IF(AND($E139&lt;&gt;"PRD",$E139&lt;&gt;"NPRD"),"Environnement invalide",IF(COUNTIFS(TblApplications[ID],$C139,TblApplications[Environnement],$E139,TblApplications[Couloir],$F139)&gt;1,"Déploiement en doublon (ID + env + couloir)",IF(AND(OR(OR($G139="À migrer",$G139="Migré"),OR($G139="À migrer",$G139="À décommissionner")),N($P139)&lt;=0),"Conso Dynatrace absente (onglet Dynatrace)",IF(OR(AND($P139&lt;&gt;"",NOT(ISNUMBER($P139))),AND($Q139&lt;&gt;"",NOT(ISNUMBER($Q139)))),"Ressource non numérique",IF(MIN(N($P139),N($Q139))&lt;0,"Ressource négative",IF(OR(AND($AH139&lt;&gt;"",OR(NOT(ISNUMBER($AH139)),$AH139&lt;0,$AH139&gt;1)),AND($AI139&lt;&gt;"",OR(NOT(ISNUMBER($AI139)),$AI139&lt;0,$AI139&gt;1))),"Marge spécifique invalide (0–100 %)",IF(OR(AND($U139&lt;&gt;"",NOT(ISNUMBER($U139))),AND($V139&lt;&gt;"",NOT(ISNUMBER($V139))),AND($W139&lt;&gt;"",NOT(ISNUMBER($W139)))),"Mois invalide",IF(AND(OR($G139="À migrer",$G139="À décommissionner"),COUNTIFS(TblClusters[Cluster],$I139,TblClusters[Plateforme],"IKS")=0),"Cluster IKS inconnu",IF(AND(OR($G139="À migrer",$G139="Migré"),COUNTIFS(TblClusters[Cluster],$O139,TblClusters[Plateforme],"ROKS")=0),"Cluster ROKS inconnu",IF(AND(OR($G139="À migrer",$G139="À décommissionner"),COUNTIFS(TblClusters[Cluster],$I139,TblClusters[Environnement],$E139)=0),"Environnement ≠ cluster IKS",IF(AND(OR($G139="À migrer",$G139="Migré"),COUNTIFS(TblClusters[Cluster],$O139,TblClusters[Environnement],$E139)=0),"Environnement ≠ cluster ROKS",IF(AND($G139="À migrer",OR($U139&gt;$V139,$V139&gt;$W139)),"Dates incohérentes (prov ≤ bascule ≤ libération)",IF(AND(OR($G139="À migrer",$G139="À décommissionner"),OR(N($AO139)&gt;SUMIFS(TblClusters[CPU initial (vCPU)],TblClusters[Cluster],$I139),N($AP139)&gt;SUMIFS(TblClusters[RAM initiale (Go)],TblClusters[Cluster],$I139))),"Forçage &gt; capacité du cluster source",IF(OR(AND($AA139&lt;&gt;"",$AA139&lt;p_debut),AND($AB139&lt;&gt;"",$AB139&gt;p_fin)),"Hors horizon (info)",IF(AND($G139="À migrer",$E139="PRD",COUNTIFS(TblApplications[ID],$C139,TblApplications[Environnement],"NPRD",TblApplications[Action],"À migrer")&gt;0,$AA139&lt;_xlfn.MINIFS(TblApplications[Mois prov (calc)],TblApplications[ID],$C139,TblApplications[Environnement],"NPRD")),"PRD avant NPRD (info)","OK")))))))))))))))))))))</f>
        <v/>
      </c>
      <c r="AH139" s="62"/>
      <c r="AI139" s="62"/>
      <c r="AJ139" s="27" t="str">
        <f>IF(OR($C139="",NOT(OR($G139="À migrer",$G139="À décommissionner")),NOT(ISNUMBER($S139)),NOT(ISNUMBER($T139)),$AB139=""),"",($S139+p_poidsram*$T139)*SUMIFS(TblCalculs[Coût par unité],TblCalculs[Cluster],$I139,TblCalculs[Mois],"&lt;"&amp;$AB139))</f>
        <v/>
      </c>
      <c r="AK139" s="27" t="str">
        <f>IF($C139="","",IF(AND($G139="À migrer",$H139="Non",$Y139&lt;&gt;"",$AA139&lt;&gt;""),($Y139+p_poidsram*$Z139)*SUMIFS(TblCalculs[Coût par unité],TblCalculs[Cluster],$O139,TblCalculs[Mois],"&gt;="&amp;$AA139),IF(AND($G139="Migré",$Y139&lt;&gt;""),($Y139+p_poidsram*$Z139)*SUMIFS(TblCalculs[Coût par unité],TblCalculs[Cluster],$O139),"")))</f>
        <v/>
      </c>
      <c r="AL139" s="27" t="str">
        <f t="shared" si="22"/>
        <v/>
      </c>
      <c r="AM139" s="26" t="str">
        <f t="shared" si="23"/>
        <v/>
      </c>
      <c r="AN139" s="26" t="str">
        <f>IF(OR($C139="",$AM139&lt;&gt;1,COUNTIFS($E139,ex_envc,$A139,ex_domc,$B139,ex_tric)=0),"",COUNTIFS($AM$6:$AM139,1,$E$6:$E139,ex_envc,$A$6:$A139,ex_domc,$B$6:$B139,ex_tric))</f>
        <v/>
      </c>
      <c r="AO139" s="63"/>
      <c r="AP139" s="63"/>
      <c r="AQ139" s="63"/>
      <c r="AR139" s="63"/>
    </row>
    <row r="140" spans="1:44" x14ac:dyDescent="0.2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26" t="str">
        <f t="shared" si="16"/>
        <v/>
      </c>
      <c r="O140" s="59"/>
      <c r="P140" s="60" t="str">
        <f>IF($C140="","",IF($AQ140&lt;&gt;"",$AQ140,SUMIFS(TblDynatrace[CPU P95 (vCPU)],TblDynatrace[ID],$C140,TblDynatrace[Environnement],$E140,TblDynatrace[Couloir],$F140)))</f>
        <v/>
      </c>
      <c r="Q140" s="60" t="str">
        <f>IF($C140="","",IF($AR140&lt;&gt;"",$AR140,SUMIFS(TblDynatrace[RAM P95 (Go)],TblDynatrace[ID],$C140,TblDynatrace[Environnement],$E140,TblDynatrace[Couloir],$F140)))</f>
        <v/>
      </c>
      <c r="R140" s="26" t="str">
        <f>IF($C140="","",IFERROR(INDEX(TblDynatrace[Métrique / période],MATCH($C140&amp;"|"&amp;$E140&amp;"|"&amp;$F140,TblDynatrace[Clé],0)),""))</f>
        <v/>
      </c>
      <c r="S140" s="60" t="str">
        <f>IF(OR($C140="",NOT(OR($G140="À migrer",$G140="À décommissionner")),$I140="",NOT(ISNUMBER($P140))),"",IF($AO140&lt;&gt;"",$AO140,IFERROR(SUMIFS(TblClusters[CPU initial (vCPU)],TblClusters[Cluster],$I140)*$P140/(SUMIFS(TblApplications[CPU Dynatrace (vCPU)],TblApplications[Cluster IKS source],$I140,TblApplications[Action],"À migrer")+SUMIFS(TblApplications[CPU Dynatrace (vCPU)],TblApplications[Cluster IKS source],$I140,TblApplications[Action],"À décommissionner")),0)))</f>
        <v/>
      </c>
      <c r="T140" s="60" t="str">
        <f>IF(OR($C140="",NOT(OR($G140="À migrer",$G140="À décommissionner")),$I140="",NOT(ISNUMBER($Q140))),"",IF($AP140&lt;&gt;"",$AP140,IFERROR(SUMIFS(TblClusters[RAM initiale (Go)],TblClusters[Cluster],$I140)*$Q140/(SUMIFS(TblApplications[RAM Dynatrace (Go)],TblApplications[Cluster IKS source],$I140,TblApplications[Action],"À migrer")+SUMIFS(TblApplications[RAM Dynatrace (Go)],TblApplications[Cluster IKS source],$I140,TblApplications[Action],"À décommissionner")),0)))</f>
        <v/>
      </c>
      <c r="U140" s="61"/>
      <c r="V140" s="61"/>
      <c r="W140" s="61"/>
      <c r="X140" s="59"/>
      <c r="Y140" s="26" t="str">
        <f t="shared" si="17"/>
        <v/>
      </c>
      <c r="Z140" s="26" t="str">
        <f t="shared" si="18"/>
        <v/>
      </c>
      <c r="AA140" s="33" t="str">
        <f t="shared" si="19"/>
        <v/>
      </c>
      <c r="AB140" s="33" t="str">
        <f t="shared" si="20"/>
        <v/>
      </c>
      <c r="AC140" s="26" t="str">
        <f t="shared" si="21"/>
        <v/>
      </c>
      <c r="AD140" s="26" t="str">
        <f>IF($C140="","",COUNTIF(TblApplications[ID],$C140))</f>
        <v/>
      </c>
      <c r="AE140" s="33" t="str">
        <f>IF($C140="","",IFERROR(1/(1/_xlfn.MINIFS(TblApplications[Mois prov (calc)],TblApplications[ID],$C140)),""))</f>
        <v/>
      </c>
      <c r="AF140" s="33" t="str">
        <f>IF($C140="","",IFERROR(1/(1/_xlfn.MAXIFS(TblApplications[Mois lib (calc)],TblApplications[ID],$C140)),""))</f>
        <v/>
      </c>
      <c r="AG140" s="26" t="str">
        <f>IF($C140="","",IF(OR(OR($A140="",$B140="",$D140="",$E140="",$F140="",$G140=""),AND($G140="À migrer",OR($H140="",$I140="",$O140="",$U140="",$V140="",$W140="")),AND($G140="Migré",OR($O140="")),AND($G140="À décommissionner",OR($I140="",$W140=""))),"Données manquantes (selon l’action)",IF(AND($G140&lt;&gt;"Migré",$G140&lt;&gt;"À migrer",$G140&lt;&gt;"À décommissionner",$G140&lt;&gt;"Décommissionné"),"Action invalide",IF(COUNTIF(TblDomaines[Domaine],$A140)=0,"Domaine inconnu (référentiel)",IF(COUNTIFS(TblTribes[Tribe],$B140,TblTribes[Domaine de la tribe],$A140)=0,"Tribe inconnue ou hors domaine",IF(AND($G140="À migrer",$H140&lt;&gt;"Oui",$H140&lt;&gt;"Non"),"Valeur Oui/Non invalide (Déjà incluse ROKS)",IF(AND($E140&lt;&gt;"PRD",$E140&lt;&gt;"NPRD"),"Environnement invalide",IF(COUNTIFS(TblApplications[ID],$C140,TblApplications[Environnement],$E140,TblApplications[Couloir],$F140)&gt;1,"Déploiement en doublon (ID + env + couloir)",IF(AND(OR(OR($G140="À migrer",$G140="Migré"),OR($G140="À migrer",$G140="À décommissionner")),N($P140)&lt;=0),"Conso Dynatrace absente (onglet Dynatrace)",IF(OR(AND($P140&lt;&gt;"",NOT(ISNUMBER($P140))),AND($Q140&lt;&gt;"",NOT(ISNUMBER($Q140)))),"Ressource non numérique",IF(MIN(N($P140),N($Q140))&lt;0,"Ressource négative",IF(OR(AND($AH140&lt;&gt;"",OR(NOT(ISNUMBER($AH140)),$AH140&lt;0,$AH140&gt;1)),AND($AI140&lt;&gt;"",OR(NOT(ISNUMBER($AI140)),$AI140&lt;0,$AI140&gt;1))),"Marge spécifique invalide (0–100 %)",IF(OR(AND($U140&lt;&gt;"",NOT(ISNUMBER($U140))),AND($V140&lt;&gt;"",NOT(ISNUMBER($V140))),AND($W140&lt;&gt;"",NOT(ISNUMBER($W140)))),"Mois invalide",IF(AND(OR($G140="À migrer",$G140="À décommissionner"),COUNTIFS(TblClusters[Cluster],$I140,TblClusters[Plateforme],"IKS")=0),"Cluster IKS inconnu",IF(AND(OR($G140="À migrer",$G140="Migré"),COUNTIFS(TblClusters[Cluster],$O140,TblClusters[Plateforme],"ROKS")=0),"Cluster ROKS inconnu",IF(AND(OR($G140="À migrer",$G140="À décommissionner"),COUNTIFS(TblClusters[Cluster],$I140,TblClusters[Environnement],$E140)=0),"Environnement ≠ cluster IKS",IF(AND(OR($G140="À migrer",$G140="Migré"),COUNTIFS(TblClusters[Cluster],$O140,TblClusters[Environnement],$E140)=0),"Environnement ≠ cluster ROKS",IF(AND($G140="À migrer",OR($U140&gt;$V140,$V140&gt;$W140)),"Dates incohérentes (prov ≤ bascule ≤ libération)",IF(AND(OR($G140="À migrer",$G140="À décommissionner"),OR(N($AO140)&gt;SUMIFS(TblClusters[CPU initial (vCPU)],TblClusters[Cluster],$I140),N($AP140)&gt;SUMIFS(TblClusters[RAM initiale (Go)],TblClusters[Cluster],$I140))),"Forçage &gt; capacité du cluster source",IF(OR(AND($AA140&lt;&gt;"",$AA140&lt;p_debut),AND($AB140&lt;&gt;"",$AB140&gt;p_fin)),"Hors horizon (info)",IF(AND($G140="À migrer",$E140="PRD",COUNTIFS(TblApplications[ID],$C140,TblApplications[Environnement],"NPRD",TblApplications[Action],"À migrer")&gt;0,$AA140&lt;_xlfn.MINIFS(TblApplications[Mois prov (calc)],TblApplications[ID],$C140,TblApplications[Environnement],"NPRD")),"PRD avant NPRD (info)","OK")))))))))))))))))))))</f>
        <v/>
      </c>
      <c r="AH140" s="62"/>
      <c r="AI140" s="62"/>
      <c r="AJ140" s="27" t="str">
        <f>IF(OR($C140="",NOT(OR($G140="À migrer",$G140="À décommissionner")),NOT(ISNUMBER($S140)),NOT(ISNUMBER($T140)),$AB140=""),"",($S140+p_poidsram*$T140)*SUMIFS(TblCalculs[Coût par unité],TblCalculs[Cluster],$I140,TblCalculs[Mois],"&lt;"&amp;$AB140))</f>
        <v/>
      </c>
      <c r="AK140" s="27" t="str">
        <f>IF($C140="","",IF(AND($G140="À migrer",$H140="Non",$Y140&lt;&gt;"",$AA140&lt;&gt;""),($Y140+p_poidsram*$Z140)*SUMIFS(TblCalculs[Coût par unité],TblCalculs[Cluster],$O140,TblCalculs[Mois],"&gt;="&amp;$AA140),IF(AND($G140="Migré",$Y140&lt;&gt;""),($Y140+p_poidsram*$Z140)*SUMIFS(TblCalculs[Coût par unité],TblCalculs[Cluster],$O140),"")))</f>
        <v/>
      </c>
      <c r="AL140" s="27" t="str">
        <f t="shared" si="22"/>
        <v/>
      </c>
      <c r="AM140" s="26" t="str">
        <f t="shared" si="23"/>
        <v/>
      </c>
      <c r="AN140" s="26" t="str">
        <f>IF(OR($C140="",$AM140&lt;&gt;1,COUNTIFS($E140,ex_envc,$A140,ex_domc,$B140,ex_tric)=0),"",COUNTIFS($AM$6:$AM140,1,$E$6:$E140,ex_envc,$A$6:$A140,ex_domc,$B$6:$B140,ex_tric))</f>
        <v/>
      </c>
      <c r="AO140" s="63"/>
      <c r="AP140" s="63"/>
      <c r="AQ140" s="63"/>
      <c r="AR140" s="63"/>
    </row>
    <row r="141" spans="1:44" x14ac:dyDescent="0.2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26" t="str">
        <f t="shared" si="16"/>
        <v/>
      </c>
      <c r="O141" s="59"/>
      <c r="P141" s="60" t="str">
        <f>IF($C141="","",IF($AQ141&lt;&gt;"",$AQ141,SUMIFS(TblDynatrace[CPU P95 (vCPU)],TblDynatrace[ID],$C141,TblDynatrace[Environnement],$E141,TblDynatrace[Couloir],$F141)))</f>
        <v/>
      </c>
      <c r="Q141" s="60" t="str">
        <f>IF($C141="","",IF($AR141&lt;&gt;"",$AR141,SUMIFS(TblDynatrace[RAM P95 (Go)],TblDynatrace[ID],$C141,TblDynatrace[Environnement],$E141,TblDynatrace[Couloir],$F141)))</f>
        <v/>
      </c>
      <c r="R141" s="26" t="str">
        <f>IF($C141="","",IFERROR(INDEX(TblDynatrace[Métrique / période],MATCH($C141&amp;"|"&amp;$E141&amp;"|"&amp;$F141,TblDynatrace[Clé],0)),""))</f>
        <v/>
      </c>
      <c r="S141" s="60" t="str">
        <f>IF(OR($C141="",NOT(OR($G141="À migrer",$G141="À décommissionner")),$I141="",NOT(ISNUMBER($P141))),"",IF($AO141&lt;&gt;"",$AO141,IFERROR(SUMIFS(TblClusters[CPU initial (vCPU)],TblClusters[Cluster],$I141)*$P141/(SUMIFS(TblApplications[CPU Dynatrace (vCPU)],TblApplications[Cluster IKS source],$I141,TblApplications[Action],"À migrer")+SUMIFS(TblApplications[CPU Dynatrace (vCPU)],TblApplications[Cluster IKS source],$I141,TblApplications[Action],"À décommissionner")),0)))</f>
        <v/>
      </c>
      <c r="T141" s="60" t="str">
        <f>IF(OR($C141="",NOT(OR($G141="À migrer",$G141="À décommissionner")),$I141="",NOT(ISNUMBER($Q141))),"",IF($AP141&lt;&gt;"",$AP141,IFERROR(SUMIFS(TblClusters[RAM initiale (Go)],TblClusters[Cluster],$I141)*$Q141/(SUMIFS(TblApplications[RAM Dynatrace (Go)],TblApplications[Cluster IKS source],$I141,TblApplications[Action],"À migrer")+SUMIFS(TblApplications[RAM Dynatrace (Go)],TblApplications[Cluster IKS source],$I141,TblApplications[Action],"À décommissionner")),0)))</f>
        <v/>
      </c>
      <c r="U141" s="61"/>
      <c r="V141" s="61"/>
      <c r="W141" s="61"/>
      <c r="X141" s="59"/>
      <c r="Y141" s="26" t="str">
        <f t="shared" si="17"/>
        <v/>
      </c>
      <c r="Z141" s="26" t="str">
        <f t="shared" si="18"/>
        <v/>
      </c>
      <c r="AA141" s="33" t="str">
        <f t="shared" si="19"/>
        <v/>
      </c>
      <c r="AB141" s="33" t="str">
        <f t="shared" si="20"/>
        <v/>
      </c>
      <c r="AC141" s="26" t="str">
        <f t="shared" si="21"/>
        <v/>
      </c>
      <c r="AD141" s="26" t="str">
        <f>IF($C141="","",COUNTIF(TblApplications[ID],$C141))</f>
        <v/>
      </c>
      <c r="AE141" s="33" t="str">
        <f>IF($C141="","",IFERROR(1/(1/_xlfn.MINIFS(TblApplications[Mois prov (calc)],TblApplications[ID],$C141)),""))</f>
        <v/>
      </c>
      <c r="AF141" s="33" t="str">
        <f>IF($C141="","",IFERROR(1/(1/_xlfn.MAXIFS(TblApplications[Mois lib (calc)],TblApplications[ID],$C141)),""))</f>
        <v/>
      </c>
      <c r="AG141" s="26" t="str">
        <f>IF($C141="","",IF(OR(OR($A141="",$B141="",$D141="",$E141="",$F141="",$G141=""),AND($G141="À migrer",OR($H141="",$I141="",$O141="",$U141="",$V141="",$W141="")),AND($G141="Migré",OR($O141="")),AND($G141="À décommissionner",OR($I141="",$W141=""))),"Données manquantes (selon l’action)",IF(AND($G141&lt;&gt;"Migré",$G141&lt;&gt;"À migrer",$G141&lt;&gt;"À décommissionner",$G141&lt;&gt;"Décommissionné"),"Action invalide",IF(COUNTIF(TblDomaines[Domaine],$A141)=0,"Domaine inconnu (référentiel)",IF(COUNTIFS(TblTribes[Tribe],$B141,TblTribes[Domaine de la tribe],$A141)=0,"Tribe inconnue ou hors domaine",IF(AND($G141="À migrer",$H141&lt;&gt;"Oui",$H141&lt;&gt;"Non"),"Valeur Oui/Non invalide (Déjà incluse ROKS)",IF(AND($E141&lt;&gt;"PRD",$E141&lt;&gt;"NPRD"),"Environnement invalide",IF(COUNTIFS(TblApplications[ID],$C141,TblApplications[Environnement],$E141,TblApplications[Couloir],$F141)&gt;1,"Déploiement en doublon (ID + env + couloir)",IF(AND(OR(OR($G141="À migrer",$G141="Migré"),OR($G141="À migrer",$G141="À décommissionner")),N($P141)&lt;=0),"Conso Dynatrace absente (onglet Dynatrace)",IF(OR(AND($P141&lt;&gt;"",NOT(ISNUMBER($P141))),AND($Q141&lt;&gt;"",NOT(ISNUMBER($Q141)))),"Ressource non numérique",IF(MIN(N($P141),N($Q141))&lt;0,"Ressource négative",IF(OR(AND($AH141&lt;&gt;"",OR(NOT(ISNUMBER($AH141)),$AH141&lt;0,$AH141&gt;1)),AND($AI141&lt;&gt;"",OR(NOT(ISNUMBER($AI141)),$AI141&lt;0,$AI141&gt;1))),"Marge spécifique invalide (0–100 %)",IF(OR(AND($U141&lt;&gt;"",NOT(ISNUMBER($U141))),AND($V141&lt;&gt;"",NOT(ISNUMBER($V141))),AND($W141&lt;&gt;"",NOT(ISNUMBER($W141)))),"Mois invalide",IF(AND(OR($G141="À migrer",$G141="À décommissionner"),COUNTIFS(TblClusters[Cluster],$I141,TblClusters[Plateforme],"IKS")=0),"Cluster IKS inconnu",IF(AND(OR($G141="À migrer",$G141="Migré"),COUNTIFS(TblClusters[Cluster],$O141,TblClusters[Plateforme],"ROKS")=0),"Cluster ROKS inconnu",IF(AND(OR($G141="À migrer",$G141="À décommissionner"),COUNTIFS(TblClusters[Cluster],$I141,TblClusters[Environnement],$E141)=0),"Environnement ≠ cluster IKS",IF(AND(OR($G141="À migrer",$G141="Migré"),COUNTIFS(TblClusters[Cluster],$O141,TblClusters[Environnement],$E141)=0),"Environnement ≠ cluster ROKS",IF(AND($G141="À migrer",OR($U141&gt;$V141,$V141&gt;$W141)),"Dates incohérentes (prov ≤ bascule ≤ libération)",IF(AND(OR($G141="À migrer",$G141="À décommissionner"),OR(N($AO141)&gt;SUMIFS(TblClusters[CPU initial (vCPU)],TblClusters[Cluster],$I141),N($AP141)&gt;SUMIFS(TblClusters[RAM initiale (Go)],TblClusters[Cluster],$I141))),"Forçage &gt; capacité du cluster source",IF(OR(AND($AA141&lt;&gt;"",$AA141&lt;p_debut),AND($AB141&lt;&gt;"",$AB141&gt;p_fin)),"Hors horizon (info)",IF(AND($G141="À migrer",$E141="PRD",COUNTIFS(TblApplications[ID],$C141,TblApplications[Environnement],"NPRD",TblApplications[Action],"À migrer")&gt;0,$AA141&lt;_xlfn.MINIFS(TblApplications[Mois prov (calc)],TblApplications[ID],$C141,TblApplications[Environnement],"NPRD")),"PRD avant NPRD (info)","OK")))))))))))))))))))))</f>
        <v/>
      </c>
      <c r="AH141" s="62"/>
      <c r="AI141" s="62"/>
      <c r="AJ141" s="27" t="str">
        <f>IF(OR($C141="",NOT(OR($G141="À migrer",$G141="À décommissionner")),NOT(ISNUMBER($S141)),NOT(ISNUMBER($T141)),$AB141=""),"",($S141+p_poidsram*$T141)*SUMIFS(TblCalculs[Coût par unité],TblCalculs[Cluster],$I141,TblCalculs[Mois],"&lt;"&amp;$AB141))</f>
        <v/>
      </c>
      <c r="AK141" s="27" t="str">
        <f>IF($C141="","",IF(AND($G141="À migrer",$H141="Non",$Y141&lt;&gt;"",$AA141&lt;&gt;""),($Y141+p_poidsram*$Z141)*SUMIFS(TblCalculs[Coût par unité],TblCalculs[Cluster],$O141,TblCalculs[Mois],"&gt;="&amp;$AA141),IF(AND($G141="Migré",$Y141&lt;&gt;""),($Y141+p_poidsram*$Z141)*SUMIFS(TblCalculs[Coût par unité],TblCalculs[Cluster],$O141),"")))</f>
        <v/>
      </c>
      <c r="AL141" s="27" t="str">
        <f t="shared" si="22"/>
        <v/>
      </c>
      <c r="AM141" s="26" t="str">
        <f t="shared" si="23"/>
        <v/>
      </c>
      <c r="AN141" s="26" t="str">
        <f>IF(OR($C141="",$AM141&lt;&gt;1,COUNTIFS($E141,ex_envc,$A141,ex_domc,$B141,ex_tric)=0),"",COUNTIFS($AM$6:$AM141,1,$E$6:$E141,ex_envc,$A$6:$A141,ex_domc,$B$6:$B141,ex_tric))</f>
        <v/>
      </c>
      <c r="AO141" s="63"/>
      <c r="AP141" s="63"/>
      <c r="AQ141" s="63"/>
      <c r="AR141" s="63"/>
    </row>
    <row r="142" spans="1:44" x14ac:dyDescent="0.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26" t="str">
        <f t="shared" si="16"/>
        <v/>
      </c>
      <c r="O142" s="59"/>
      <c r="P142" s="60" t="str">
        <f>IF($C142="","",IF($AQ142&lt;&gt;"",$AQ142,SUMIFS(TblDynatrace[CPU P95 (vCPU)],TblDynatrace[ID],$C142,TblDynatrace[Environnement],$E142,TblDynatrace[Couloir],$F142)))</f>
        <v/>
      </c>
      <c r="Q142" s="60" t="str">
        <f>IF($C142="","",IF($AR142&lt;&gt;"",$AR142,SUMIFS(TblDynatrace[RAM P95 (Go)],TblDynatrace[ID],$C142,TblDynatrace[Environnement],$E142,TblDynatrace[Couloir],$F142)))</f>
        <v/>
      </c>
      <c r="R142" s="26" t="str">
        <f>IF($C142="","",IFERROR(INDEX(TblDynatrace[Métrique / période],MATCH($C142&amp;"|"&amp;$E142&amp;"|"&amp;$F142,TblDynatrace[Clé],0)),""))</f>
        <v/>
      </c>
      <c r="S142" s="60" t="str">
        <f>IF(OR($C142="",NOT(OR($G142="À migrer",$G142="À décommissionner")),$I142="",NOT(ISNUMBER($P142))),"",IF($AO142&lt;&gt;"",$AO142,IFERROR(SUMIFS(TblClusters[CPU initial (vCPU)],TblClusters[Cluster],$I142)*$P142/(SUMIFS(TblApplications[CPU Dynatrace (vCPU)],TblApplications[Cluster IKS source],$I142,TblApplications[Action],"À migrer")+SUMIFS(TblApplications[CPU Dynatrace (vCPU)],TblApplications[Cluster IKS source],$I142,TblApplications[Action],"À décommissionner")),0)))</f>
        <v/>
      </c>
      <c r="T142" s="60" t="str">
        <f>IF(OR($C142="",NOT(OR($G142="À migrer",$G142="À décommissionner")),$I142="",NOT(ISNUMBER($Q142))),"",IF($AP142&lt;&gt;"",$AP142,IFERROR(SUMIFS(TblClusters[RAM initiale (Go)],TblClusters[Cluster],$I142)*$Q142/(SUMIFS(TblApplications[RAM Dynatrace (Go)],TblApplications[Cluster IKS source],$I142,TblApplications[Action],"À migrer")+SUMIFS(TblApplications[RAM Dynatrace (Go)],TblApplications[Cluster IKS source],$I142,TblApplications[Action],"À décommissionner")),0)))</f>
        <v/>
      </c>
      <c r="U142" s="61"/>
      <c r="V142" s="61"/>
      <c r="W142" s="61"/>
      <c r="X142" s="59"/>
      <c r="Y142" s="26" t="str">
        <f t="shared" si="17"/>
        <v/>
      </c>
      <c r="Z142" s="26" t="str">
        <f t="shared" si="18"/>
        <v/>
      </c>
      <c r="AA142" s="33" t="str">
        <f t="shared" si="19"/>
        <v/>
      </c>
      <c r="AB142" s="33" t="str">
        <f t="shared" si="20"/>
        <v/>
      </c>
      <c r="AC142" s="26" t="str">
        <f t="shared" si="21"/>
        <v/>
      </c>
      <c r="AD142" s="26" t="str">
        <f>IF($C142="","",COUNTIF(TblApplications[ID],$C142))</f>
        <v/>
      </c>
      <c r="AE142" s="33" t="str">
        <f>IF($C142="","",IFERROR(1/(1/_xlfn.MINIFS(TblApplications[Mois prov (calc)],TblApplications[ID],$C142)),""))</f>
        <v/>
      </c>
      <c r="AF142" s="33" t="str">
        <f>IF($C142="","",IFERROR(1/(1/_xlfn.MAXIFS(TblApplications[Mois lib (calc)],TblApplications[ID],$C142)),""))</f>
        <v/>
      </c>
      <c r="AG142" s="26" t="str">
        <f>IF($C142="","",IF(OR(OR($A142="",$B142="",$D142="",$E142="",$F142="",$G142=""),AND($G142="À migrer",OR($H142="",$I142="",$O142="",$U142="",$V142="",$W142="")),AND($G142="Migré",OR($O142="")),AND($G142="À décommissionner",OR($I142="",$W142=""))),"Données manquantes (selon l’action)",IF(AND($G142&lt;&gt;"Migré",$G142&lt;&gt;"À migrer",$G142&lt;&gt;"À décommissionner",$G142&lt;&gt;"Décommissionné"),"Action invalide",IF(COUNTIF(TblDomaines[Domaine],$A142)=0,"Domaine inconnu (référentiel)",IF(COUNTIFS(TblTribes[Tribe],$B142,TblTribes[Domaine de la tribe],$A142)=0,"Tribe inconnue ou hors domaine",IF(AND($G142="À migrer",$H142&lt;&gt;"Oui",$H142&lt;&gt;"Non"),"Valeur Oui/Non invalide (Déjà incluse ROKS)",IF(AND($E142&lt;&gt;"PRD",$E142&lt;&gt;"NPRD"),"Environnement invalide",IF(COUNTIFS(TblApplications[ID],$C142,TblApplications[Environnement],$E142,TblApplications[Couloir],$F142)&gt;1,"Déploiement en doublon (ID + env + couloir)",IF(AND(OR(OR($G142="À migrer",$G142="Migré"),OR($G142="À migrer",$G142="À décommissionner")),N($P142)&lt;=0),"Conso Dynatrace absente (onglet Dynatrace)",IF(OR(AND($P142&lt;&gt;"",NOT(ISNUMBER($P142))),AND($Q142&lt;&gt;"",NOT(ISNUMBER($Q142)))),"Ressource non numérique",IF(MIN(N($P142),N($Q142))&lt;0,"Ressource négative",IF(OR(AND($AH142&lt;&gt;"",OR(NOT(ISNUMBER($AH142)),$AH142&lt;0,$AH142&gt;1)),AND($AI142&lt;&gt;"",OR(NOT(ISNUMBER($AI142)),$AI142&lt;0,$AI142&gt;1))),"Marge spécifique invalide (0–100 %)",IF(OR(AND($U142&lt;&gt;"",NOT(ISNUMBER($U142))),AND($V142&lt;&gt;"",NOT(ISNUMBER($V142))),AND($W142&lt;&gt;"",NOT(ISNUMBER($W142)))),"Mois invalide",IF(AND(OR($G142="À migrer",$G142="À décommissionner"),COUNTIFS(TblClusters[Cluster],$I142,TblClusters[Plateforme],"IKS")=0),"Cluster IKS inconnu",IF(AND(OR($G142="À migrer",$G142="Migré"),COUNTIFS(TblClusters[Cluster],$O142,TblClusters[Plateforme],"ROKS")=0),"Cluster ROKS inconnu",IF(AND(OR($G142="À migrer",$G142="À décommissionner"),COUNTIFS(TblClusters[Cluster],$I142,TblClusters[Environnement],$E142)=0),"Environnement ≠ cluster IKS",IF(AND(OR($G142="À migrer",$G142="Migré"),COUNTIFS(TblClusters[Cluster],$O142,TblClusters[Environnement],$E142)=0),"Environnement ≠ cluster ROKS",IF(AND($G142="À migrer",OR($U142&gt;$V142,$V142&gt;$W142)),"Dates incohérentes (prov ≤ bascule ≤ libération)",IF(AND(OR($G142="À migrer",$G142="À décommissionner"),OR(N($AO142)&gt;SUMIFS(TblClusters[CPU initial (vCPU)],TblClusters[Cluster],$I142),N($AP142)&gt;SUMIFS(TblClusters[RAM initiale (Go)],TblClusters[Cluster],$I142))),"Forçage &gt; capacité du cluster source",IF(OR(AND($AA142&lt;&gt;"",$AA142&lt;p_debut),AND($AB142&lt;&gt;"",$AB142&gt;p_fin)),"Hors horizon (info)",IF(AND($G142="À migrer",$E142="PRD",COUNTIFS(TblApplications[ID],$C142,TblApplications[Environnement],"NPRD",TblApplications[Action],"À migrer")&gt;0,$AA142&lt;_xlfn.MINIFS(TblApplications[Mois prov (calc)],TblApplications[ID],$C142,TblApplications[Environnement],"NPRD")),"PRD avant NPRD (info)","OK")))))))))))))))))))))</f>
        <v/>
      </c>
      <c r="AH142" s="62"/>
      <c r="AI142" s="62"/>
      <c r="AJ142" s="27" t="str">
        <f>IF(OR($C142="",NOT(OR($G142="À migrer",$G142="À décommissionner")),NOT(ISNUMBER($S142)),NOT(ISNUMBER($T142)),$AB142=""),"",($S142+p_poidsram*$T142)*SUMIFS(TblCalculs[Coût par unité],TblCalculs[Cluster],$I142,TblCalculs[Mois],"&lt;"&amp;$AB142))</f>
        <v/>
      </c>
      <c r="AK142" s="27" t="str">
        <f>IF($C142="","",IF(AND($G142="À migrer",$H142="Non",$Y142&lt;&gt;"",$AA142&lt;&gt;""),($Y142+p_poidsram*$Z142)*SUMIFS(TblCalculs[Coût par unité],TblCalculs[Cluster],$O142,TblCalculs[Mois],"&gt;="&amp;$AA142),IF(AND($G142="Migré",$Y142&lt;&gt;""),($Y142+p_poidsram*$Z142)*SUMIFS(TblCalculs[Coût par unité],TblCalculs[Cluster],$O142),"")))</f>
        <v/>
      </c>
      <c r="AL142" s="27" t="str">
        <f t="shared" si="22"/>
        <v/>
      </c>
      <c r="AM142" s="26" t="str">
        <f t="shared" si="23"/>
        <v/>
      </c>
      <c r="AN142" s="26" t="str">
        <f>IF(OR($C142="",$AM142&lt;&gt;1,COUNTIFS($E142,ex_envc,$A142,ex_domc,$B142,ex_tric)=0),"",COUNTIFS($AM$6:$AM142,1,$E$6:$E142,ex_envc,$A$6:$A142,ex_domc,$B$6:$B142,ex_tric))</f>
        <v/>
      </c>
      <c r="AO142" s="63"/>
      <c r="AP142" s="63"/>
      <c r="AQ142" s="63"/>
      <c r="AR142" s="63"/>
    </row>
    <row r="143" spans="1:44" x14ac:dyDescent="0.2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26" t="str">
        <f t="shared" si="16"/>
        <v/>
      </c>
      <c r="O143" s="59"/>
      <c r="P143" s="60" t="str">
        <f>IF($C143="","",IF($AQ143&lt;&gt;"",$AQ143,SUMIFS(TblDynatrace[CPU P95 (vCPU)],TblDynatrace[ID],$C143,TblDynatrace[Environnement],$E143,TblDynatrace[Couloir],$F143)))</f>
        <v/>
      </c>
      <c r="Q143" s="60" t="str">
        <f>IF($C143="","",IF($AR143&lt;&gt;"",$AR143,SUMIFS(TblDynatrace[RAM P95 (Go)],TblDynatrace[ID],$C143,TblDynatrace[Environnement],$E143,TblDynatrace[Couloir],$F143)))</f>
        <v/>
      </c>
      <c r="R143" s="26" t="str">
        <f>IF($C143="","",IFERROR(INDEX(TblDynatrace[Métrique / période],MATCH($C143&amp;"|"&amp;$E143&amp;"|"&amp;$F143,TblDynatrace[Clé],0)),""))</f>
        <v/>
      </c>
      <c r="S143" s="60" t="str">
        <f>IF(OR($C143="",NOT(OR($G143="À migrer",$G143="À décommissionner")),$I143="",NOT(ISNUMBER($P143))),"",IF($AO143&lt;&gt;"",$AO143,IFERROR(SUMIFS(TblClusters[CPU initial (vCPU)],TblClusters[Cluster],$I143)*$P143/(SUMIFS(TblApplications[CPU Dynatrace (vCPU)],TblApplications[Cluster IKS source],$I143,TblApplications[Action],"À migrer")+SUMIFS(TblApplications[CPU Dynatrace (vCPU)],TblApplications[Cluster IKS source],$I143,TblApplications[Action],"À décommissionner")),0)))</f>
        <v/>
      </c>
      <c r="T143" s="60" t="str">
        <f>IF(OR($C143="",NOT(OR($G143="À migrer",$G143="À décommissionner")),$I143="",NOT(ISNUMBER($Q143))),"",IF($AP143&lt;&gt;"",$AP143,IFERROR(SUMIFS(TblClusters[RAM initiale (Go)],TblClusters[Cluster],$I143)*$Q143/(SUMIFS(TblApplications[RAM Dynatrace (Go)],TblApplications[Cluster IKS source],$I143,TblApplications[Action],"À migrer")+SUMIFS(TblApplications[RAM Dynatrace (Go)],TblApplications[Cluster IKS source],$I143,TblApplications[Action],"À décommissionner")),0)))</f>
        <v/>
      </c>
      <c r="U143" s="61"/>
      <c r="V143" s="61"/>
      <c r="W143" s="61"/>
      <c r="X143" s="59"/>
      <c r="Y143" s="26" t="str">
        <f t="shared" si="17"/>
        <v/>
      </c>
      <c r="Z143" s="26" t="str">
        <f t="shared" si="18"/>
        <v/>
      </c>
      <c r="AA143" s="33" t="str">
        <f t="shared" si="19"/>
        <v/>
      </c>
      <c r="AB143" s="33" t="str">
        <f t="shared" si="20"/>
        <v/>
      </c>
      <c r="AC143" s="26" t="str">
        <f t="shared" si="21"/>
        <v/>
      </c>
      <c r="AD143" s="26" t="str">
        <f>IF($C143="","",COUNTIF(TblApplications[ID],$C143))</f>
        <v/>
      </c>
      <c r="AE143" s="33" t="str">
        <f>IF($C143="","",IFERROR(1/(1/_xlfn.MINIFS(TblApplications[Mois prov (calc)],TblApplications[ID],$C143)),""))</f>
        <v/>
      </c>
      <c r="AF143" s="33" t="str">
        <f>IF($C143="","",IFERROR(1/(1/_xlfn.MAXIFS(TblApplications[Mois lib (calc)],TblApplications[ID],$C143)),""))</f>
        <v/>
      </c>
      <c r="AG143" s="26" t="str">
        <f>IF($C143="","",IF(OR(OR($A143="",$B143="",$D143="",$E143="",$F143="",$G143=""),AND($G143="À migrer",OR($H143="",$I143="",$O143="",$U143="",$V143="",$W143="")),AND($G143="Migré",OR($O143="")),AND($G143="À décommissionner",OR($I143="",$W143=""))),"Données manquantes (selon l’action)",IF(AND($G143&lt;&gt;"Migré",$G143&lt;&gt;"À migrer",$G143&lt;&gt;"À décommissionner",$G143&lt;&gt;"Décommissionné"),"Action invalide",IF(COUNTIF(TblDomaines[Domaine],$A143)=0,"Domaine inconnu (référentiel)",IF(COUNTIFS(TblTribes[Tribe],$B143,TblTribes[Domaine de la tribe],$A143)=0,"Tribe inconnue ou hors domaine",IF(AND($G143="À migrer",$H143&lt;&gt;"Oui",$H143&lt;&gt;"Non"),"Valeur Oui/Non invalide (Déjà incluse ROKS)",IF(AND($E143&lt;&gt;"PRD",$E143&lt;&gt;"NPRD"),"Environnement invalide",IF(COUNTIFS(TblApplications[ID],$C143,TblApplications[Environnement],$E143,TblApplications[Couloir],$F143)&gt;1,"Déploiement en doublon (ID + env + couloir)",IF(AND(OR(OR($G143="À migrer",$G143="Migré"),OR($G143="À migrer",$G143="À décommissionner")),N($P143)&lt;=0),"Conso Dynatrace absente (onglet Dynatrace)",IF(OR(AND($P143&lt;&gt;"",NOT(ISNUMBER($P143))),AND($Q143&lt;&gt;"",NOT(ISNUMBER($Q143)))),"Ressource non numérique",IF(MIN(N($P143),N($Q143))&lt;0,"Ressource négative",IF(OR(AND($AH143&lt;&gt;"",OR(NOT(ISNUMBER($AH143)),$AH143&lt;0,$AH143&gt;1)),AND($AI143&lt;&gt;"",OR(NOT(ISNUMBER($AI143)),$AI143&lt;0,$AI143&gt;1))),"Marge spécifique invalide (0–100 %)",IF(OR(AND($U143&lt;&gt;"",NOT(ISNUMBER($U143))),AND($V143&lt;&gt;"",NOT(ISNUMBER($V143))),AND($W143&lt;&gt;"",NOT(ISNUMBER($W143)))),"Mois invalide",IF(AND(OR($G143="À migrer",$G143="À décommissionner"),COUNTIFS(TblClusters[Cluster],$I143,TblClusters[Plateforme],"IKS")=0),"Cluster IKS inconnu",IF(AND(OR($G143="À migrer",$G143="Migré"),COUNTIFS(TblClusters[Cluster],$O143,TblClusters[Plateforme],"ROKS")=0),"Cluster ROKS inconnu",IF(AND(OR($G143="À migrer",$G143="À décommissionner"),COUNTIFS(TblClusters[Cluster],$I143,TblClusters[Environnement],$E143)=0),"Environnement ≠ cluster IKS",IF(AND(OR($G143="À migrer",$G143="Migré"),COUNTIFS(TblClusters[Cluster],$O143,TblClusters[Environnement],$E143)=0),"Environnement ≠ cluster ROKS",IF(AND($G143="À migrer",OR($U143&gt;$V143,$V143&gt;$W143)),"Dates incohérentes (prov ≤ bascule ≤ libération)",IF(AND(OR($G143="À migrer",$G143="À décommissionner"),OR(N($AO143)&gt;SUMIFS(TblClusters[CPU initial (vCPU)],TblClusters[Cluster],$I143),N($AP143)&gt;SUMIFS(TblClusters[RAM initiale (Go)],TblClusters[Cluster],$I143))),"Forçage &gt; capacité du cluster source",IF(OR(AND($AA143&lt;&gt;"",$AA143&lt;p_debut),AND($AB143&lt;&gt;"",$AB143&gt;p_fin)),"Hors horizon (info)",IF(AND($G143="À migrer",$E143="PRD",COUNTIFS(TblApplications[ID],$C143,TblApplications[Environnement],"NPRD",TblApplications[Action],"À migrer")&gt;0,$AA143&lt;_xlfn.MINIFS(TblApplications[Mois prov (calc)],TblApplications[ID],$C143,TblApplications[Environnement],"NPRD")),"PRD avant NPRD (info)","OK")))))))))))))))))))))</f>
        <v/>
      </c>
      <c r="AH143" s="62"/>
      <c r="AI143" s="62"/>
      <c r="AJ143" s="27" t="str">
        <f>IF(OR($C143="",NOT(OR($G143="À migrer",$G143="À décommissionner")),NOT(ISNUMBER($S143)),NOT(ISNUMBER($T143)),$AB143=""),"",($S143+p_poidsram*$T143)*SUMIFS(TblCalculs[Coût par unité],TblCalculs[Cluster],$I143,TblCalculs[Mois],"&lt;"&amp;$AB143))</f>
        <v/>
      </c>
      <c r="AK143" s="27" t="str">
        <f>IF($C143="","",IF(AND($G143="À migrer",$H143="Non",$Y143&lt;&gt;"",$AA143&lt;&gt;""),($Y143+p_poidsram*$Z143)*SUMIFS(TblCalculs[Coût par unité],TblCalculs[Cluster],$O143,TblCalculs[Mois],"&gt;="&amp;$AA143),IF(AND($G143="Migré",$Y143&lt;&gt;""),($Y143+p_poidsram*$Z143)*SUMIFS(TblCalculs[Coût par unité],TblCalculs[Cluster],$O143),"")))</f>
        <v/>
      </c>
      <c r="AL143" s="27" t="str">
        <f t="shared" si="22"/>
        <v/>
      </c>
      <c r="AM143" s="26" t="str">
        <f t="shared" si="23"/>
        <v/>
      </c>
      <c r="AN143" s="26" t="str">
        <f>IF(OR($C143="",$AM143&lt;&gt;1,COUNTIFS($E143,ex_envc,$A143,ex_domc,$B143,ex_tric)=0),"",COUNTIFS($AM$6:$AM143,1,$E$6:$E143,ex_envc,$A$6:$A143,ex_domc,$B$6:$B143,ex_tric))</f>
        <v/>
      </c>
      <c r="AO143" s="63"/>
      <c r="AP143" s="63"/>
      <c r="AQ143" s="63"/>
      <c r="AR143" s="63"/>
    </row>
    <row r="144" spans="1:44" x14ac:dyDescent="0.2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26" t="str">
        <f t="shared" si="16"/>
        <v/>
      </c>
      <c r="O144" s="59"/>
      <c r="P144" s="60" t="str">
        <f>IF($C144="","",IF($AQ144&lt;&gt;"",$AQ144,SUMIFS(TblDynatrace[CPU P95 (vCPU)],TblDynatrace[ID],$C144,TblDynatrace[Environnement],$E144,TblDynatrace[Couloir],$F144)))</f>
        <v/>
      </c>
      <c r="Q144" s="60" t="str">
        <f>IF($C144="","",IF($AR144&lt;&gt;"",$AR144,SUMIFS(TblDynatrace[RAM P95 (Go)],TblDynatrace[ID],$C144,TblDynatrace[Environnement],$E144,TblDynatrace[Couloir],$F144)))</f>
        <v/>
      </c>
      <c r="R144" s="26" t="str">
        <f>IF($C144="","",IFERROR(INDEX(TblDynatrace[Métrique / période],MATCH($C144&amp;"|"&amp;$E144&amp;"|"&amp;$F144,TblDynatrace[Clé],0)),""))</f>
        <v/>
      </c>
      <c r="S144" s="60" t="str">
        <f>IF(OR($C144="",NOT(OR($G144="À migrer",$G144="À décommissionner")),$I144="",NOT(ISNUMBER($P144))),"",IF($AO144&lt;&gt;"",$AO144,IFERROR(SUMIFS(TblClusters[CPU initial (vCPU)],TblClusters[Cluster],$I144)*$P144/(SUMIFS(TblApplications[CPU Dynatrace (vCPU)],TblApplications[Cluster IKS source],$I144,TblApplications[Action],"À migrer")+SUMIFS(TblApplications[CPU Dynatrace (vCPU)],TblApplications[Cluster IKS source],$I144,TblApplications[Action],"À décommissionner")),0)))</f>
        <v/>
      </c>
      <c r="T144" s="60" t="str">
        <f>IF(OR($C144="",NOT(OR($G144="À migrer",$G144="À décommissionner")),$I144="",NOT(ISNUMBER($Q144))),"",IF($AP144&lt;&gt;"",$AP144,IFERROR(SUMIFS(TblClusters[RAM initiale (Go)],TblClusters[Cluster],$I144)*$Q144/(SUMIFS(TblApplications[RAM Dynatrace (Go)],TblApplications[Cluster IKS source],$I144,TblApplications[Action],"À migrer")+SUMIFS(TblApplications[RAM Dynatrace (Go)],TblApplications[Cluster IKS source],$I144,TblApplications[Action],"À décommissionner")),0)))</f>
        <v/>
      </c>
      <c r="U144" s="61"/>
      <c r="V144" s="61"/>
      <c r="W144" s="61"/>
      <c r="X144" s="59"/>
      <c r="Y144" s="26" t="str">
        <f t="shared" si="17"/>
        <v/>
      </c>
      <c r="Z144" s="26" t="str">
        <f t="shared" si="18"/>
        <v/>
      </c>
      <c r="AA144" s="33" t="str">
        <f t="shared" si="19"/>
        <v/>
      </c>
      <c r="AB144" s="33" t="str">
        <f t="shared" si="20"/>
        <v/>
      </c>
      <c r="AC144" s="26" t="str">
        <f t="shared" si="21"/>
        <v/>
      </c>
      <c r="AD144" s="26" t="str">
        <f>IF($C144="","",COUNTIF(TblApplications[ID],$C144))</f>
        <v/>
      </c>
      <c r="AE144" s="33" t="str">
        <f>IF($C144="","",IFERROR(1/(1/_xlfn.MINIFS(TblApplications[Mois prov (calc)],TblApplications[ID],$C144)),""))</f>
        <v/>
      </c>
      <c r="AF144" s="33" t="str">
        <f>IF($C144="","",IFERROR(1/(1/_xlfn.MAXIFS(TblApplications[Mois lib (calc)],TblApplications[ID],$C144)),""))</f>
        <v/>
      </c>
      <c r="AG144" s="26" t="str">
        <f>IF($C144="","",IF(OR(OR($A144="",$B144="",$D144="",$E144="",$F144="",$G144=""),AND($G144="À migrer",OR($H144="",$I144="",$O144="",$U144="",$V144="",$W144="")),AND($G144="Migré",OR($O144="")),AND($G144="À décommissionner",OR($I144="",$W144=""))),"Données manquantes (selon l’action)",IF(AND($G144&lt;&gt;"Migré",$G144&lt;&gt;"À migrer",$G144&lt;&gt;"À décommissionner",$G144&lt;&gt;"Décommissionné"),"Action invalide",IF(COUNTIF(TblDomaines[Domaine],$A144)=0,"Domaine inconnu (référentiel)",IF(COUNTIFS(TblTribes[Tribe],$B144,TblTribes[Domaine de la tribe],$A144)=0,"Tribe inconnue ou hors domaine",IF(AND($G144="À migrer",$H144&lt;&gt;"Oui",$H144&lt;&gt;"Non"),"Valeur Oui/Non invalide (Déjà incluse ROKS)",IF(AND($E144&lt;&gt;"PRD",$E144&lt;&gt;"NPRD"),"Environnement invalide",IF(COUNTIFS(TblApplications[ID],$C144,TblApplications[Environnement],$E144,TblApplications[Couloir],$F144)&gt;1,"Déploiement en doublon (ID + env + couloir)",IF(AND(OR(OR($G144="À migrer",$G144="Migré"),OR($G144="À migrer",$G144="À décommissionner")),N($P144)&lt;=0),"Conso Dynatrace absente (onglet Dynatrace)",IF(OR(AND($P144&lt;&gt;"",NOT(ISNUMBER($P144))),AND($Q144&lt;&gt;"",NOT(ISNUMBER($Q144)))),"Ressource non numérique",IF(MIN(N($P144),N($Q144))&lt;0,"Ressource négative",IF(OR(AND($AH144&lt;&gt;"",OR(NOT(ISNUMBER($AH144)),$AH144&lt;0,$AH144&gt;1)),AND($AI144&lt;&gt;"",OR(NOT(ISNUMBER($AI144)),$AI144&lt;0,$AI144&gt;1))),"Marge spécifique invalide (0–100 %)",IF(OR(AND($U144&lt;&gt;"",NOT(ISNUMBER($U144))),AND($V144&lt;&gt;"",NOT(ISNUMBER($V144))),AND($W144&lt;&gt;"",NOT(ISNUMBER($W144)))),"Mois invalide",IF(AND(OR($G144="À migrer",$G144="À décommissionner"),COUNTIFS(TblClusters[Cluster],$I144,TblClusters[Plateforme],"IKS")=0),"Cluster IKS inconnu",IF(AND(OR($G144="À migrer",$G144="Migré"),COUNTIFS(TblClusters[Cluster],$O144,TblClusters[Plateforme],"ROKS")=0),"Cluster ROKS inconnu",IF(AND(OR($G144="À migrer",$G144="À décommissionner"),COUNTIFS(TblClusters[Cluster],$I144,TblClusters[Environnement],$E144)=0),"Environnement ≠ cluster IKS",IF(AND(OR($G144="À migrer",$G144="Migré"),COUNTIFS(TblClusters[Cluster],$O144,TblClusters[Environnement],$E144)=0),"Environnement ≠ cluster ROKS",IF(AND($G144="À migrer",OR($U144&gt;$V144,$V144&gt;$W144)),"Dates incohérentes (prov ≤ bascule ≤ libération)",IF(AND(OR($G144="À migrer",$G144="À décommissionner"),OR(N($AO144)&gt;SUMIFS(TblClusters[CPU initial (vCPU)],TblClusters[Cluster],$I144),N($AP144)&gt;SUMIFS(TblClusters[RAM initiale (Go)],TblClusters[Cluster],$I144))),"Forçage &gt; capacité du cluster source",IF(OR(AND($AA144&lt;&gt;"",$AA144&lt;p_debut),AND($AB144&lt;&gt;"",$AB144&gt;p_fin)),"Hors horizon (info)",IF(AND($G144="À migrer",$E144="PRD",COUNTIFS(TblApplications[ID],$C144,TblApplications[Environnement],"NPRD",TblApplications[Action],"À migrer")&gt;0,$AA144&lt;_xlfn.MINIFS(TblApplications[Mois prov (calc)],TblApplications[ID],$C144,TblApplications[Environnement],"NPRD")),"PRD avant NPRD (info)","OK")))))))))))))))))))))</f>
        <v/>
      </c>
      <c r="AH144" s="62"/>
      <c r="AI144" s="62"/>
      <c r="AJ144" s="27" t="str">
        <f>IF(OR($C144="",NOT(OR($G144="À migrer",$G144="À décommissionner")),NOT(ISNUMBER($S144)),NOT(ISNUMBER($T144)),$AB144=""),"",($S144+p_poidsram*$T144)*SUMIFS(TblCalculs[Coût par unité],TblCalculs[Cluster],$I144,TblCalculs[Mois],"&lt;"&amp;$AB144))</f>
        <v/>
      </c>
      <c r="AK144" s="27" t="str">
        <f>IF($C144="","",IF(AND($G144="À migrer",$H144="Non",$Y144&lt;&gt;"",$AA144&lt;&gt;""),($Y144+p_poidsram*$Z144)*SUMIFS(TblCalculs[Coût par unité],TblCalculs[Cluster],$O144,TblCalculs[Mois],"&gt;="&amp;$AA144),IF(AND($G144="Migré",$Y144&lt;&gt;""),($Y144+p_poidsram*$Z144)*SUMIFS(TblCalculs[Coût par unité],TblCalculs[Cluster],$O144),"")))</f>
        <v/>
      </c>
      <c r="AL144" s="27" t="str">
        <f t="shared" si="22"/>
        <v/>
      </c>
      <c r="AM144" s="26" t="str">
        <f t="shared" si="23"/>
        <v/>
      </c>
      <c r="AN144" s="26" t="str">
        <f>IF(OR($C144="",$AM144&lt;&gt;1,COUNTIFS($E144,ex_envc,$A144,ex_domc,$B144,ex_tric)=0),"",COUNTIFS($AM$6:$AM144,1,$E$6:$E144,ex_envc,$A$6:$A144,ex_domc,$B$6:$B144,ex_tric))</f>
        <v/>
      </c>
      <c r="AO144" s="63"/>
      <c r="AP144" s="63"/>
      <c r="AQ144" s="63"/>
      <c r="AR144" s="63"/>
    </row>
    <row r="145" spans="1:44" x14ac:dyDescent="0.2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26" t="str">
        <f t="shared" si="16"/>
        <v/>
      </c>
      <c r="O145" s="59"/>
      <c r="P145" s="60" t="str">
        <f>IF($C145="","",IF($AQ145&lt;&gt;"",$AQ145,SUMIFS(TblDynatrace[CPU P95 (vCPU)],TblDynatrace[ID],$C145,TblDynatrace[Environnement],$E145,TblDynatrace[Couloir],$F145)))</f>
        <v/>
      </c>
      <c r="Q145" s="60" t="str">
        <f>IF($C145="","",IF($AR145&lt;&gt;"",$AR145,SUMIFS(TblDynatrace[RAM P95 (Go)],TblDynatrace[ID],$C145,TblDynatrace[Environnement],$E145,TblDynatrace[Couloir],$F145)))</f>
        <v/>
      </c>
      <c r="R145" s="26" t="str">
        <f>IF($C145="","",IFERROR(INDEX(TblDynatrace[Métrique / période],MATCH($C145&amp;"|"&amp;$E145&amp;"|"&amp;$F145,TblDynatrace[Clé],0)),""))</f>
        <v/>
      </c>
      <c r="S145" s="60" t="str">
        <f>IF(OR($C145="",NOT(OR($G145="À migrer",$G145="À décommissionner")),$I145="",NOT(ISNUMBER($P145))),"",IF($AO145&lt;&gt;"",$AO145,IFERROR(SUMIFS(TblClusters[CPU initial (vCPU)],TblClusters[Cluster],$I145)*$P145/(SUMIFS(TblApplications[CPU Dynatrace (vCPU)],TblApplications[Cluster IKS source],$I145,TblApplications[Action],"À migrer")+SUMIFS(TblApplications[CPU Dynatrace (vCPU)],TblApplications[Cluster IKS source],$I145,TblApplications[Action],"À décommissionner")),0)))</f>
        <v/>
      </c>
      <c r="T145" s="60" t="str">
        <f>IF(OR($C145="",NOT(OR($G145="À migrer",$G145="À décommissionner")),$I145="",NOT(ISNUMBER($Q145))),"",IF($AP145&lt;&gt;"",$AP145,IFERROR(SUMIFS(TblClusters[RAM initiale (Go)],TblClusters[Cluster],$I145)*$Q145/(SUMIFS(TblApplications[RAM Dynatrace (Go)],TblApplications[Cluster IKS source],$I145,TblApplications[Action],"À migrer")+SUMIFS(TblApplications[RAM Dynatrace (Go)],TblApplications[Cluster IKS source],$I145,TblApplications[Action],"À décommissionner")),0)))</f>
        <v/>
      </c>
      <c r="U145" s="61"/>
      <c r="V145" s="61"/>
      <c r="W145" s="61"/>
      <c r="X145" s="59"/>
      <c r="Y145" s="26" t="str">
        <f t="shared" si="17"/>
        <v/>
      </c>
      <c r="Z145" s="26" t="str">
        <f t="shared" si="18"/>
        <v/>
      </c>
      <c r="AA145" s="33" t="str">
        <f t="shared" si="19"/>
        <v/>
      </c>
      <c r="AB145" s="33" t="str">
        <f t="shared" si="20"/>
        <v/>
      </c>
      <c r="AC145" s="26" t="str">
        <f t="shared" si="21"/>
        <v/>
      </c>
      <c r="AD145" s="26" t="str">
        <f>IF($C145="","",COUNTIF(TblApplications[ID],$C145))</f>
        <v/>
      </c>
      <c r="AE145" s="33" t="str">
        <f>IF($C145="","",IFERROR(1/(1/_xlfn.MINIFS(TblApplications[Mois prov (calc)],TblApplications[ID],$C145)),""))</f>
        <v/>
      </c>
      <c r="AF145" s="33" t="str">
        <f>IF($C145="","",IFERROR(1/(1/_xlfn.MAXIFS(TblApplications[Mois lib (calc)],TblApplications[ID],$C145)),""))</f>
        <v/>
      </c>
      <c r="AG145" s="26" t="str">
        <f>IF($C145="","",IF(OR(OR($A145="",$B145="",$D145="",$E145="",$F145="",$G145=""),AND($G145="À migrer",OR($H145="",$I145="",$O145="",$U145="",$V145="",$W145="")),AND($G145="Migré",OR($O145="")),AND($G145="À décommissionner",OR($I145="",$W145=""))),"Données manquantes (selon l’action)",IF(AND($G145&lt;&gt;"Migré",$G145&lt;&gt;"À migrer",$G145&lt;&gt;"À décommissionner",$G145&lt;&gt;"Décommissionné"),"Action invalide",IF(COUNTIF(TblDomaines[Domaine],$A145)=0,"Domaine inconnu (référentiel)",IF(COUNTIFS(TblTribes[Tribe],$B145,TblTribes[Domaine de la tribe],$A145)=0,"Tribe inconnue ou hors domaine",IF(AND($G145="À migrer",$H145&lt;&gt;"Oui",$H145&lt;&gt;"Non"),"Valeur Oui/Non invalide (Déjà incluse ROKS)",IF(AND($E145&lt;&gt;"PRD",$E145&lt;&gt;"NPRD"),"Environnement invalide",IF(COUNTIFS(TblApplications[ID],$C145,TblApplications[Environnement],$E145,TblApplications[Couloir],$F145)&gt;1,"Déploiement en doublon (ID + env + couloir)",IF(AND(OR(OR($G145="À migrer",$G145="Migré"),OR($G145="À migrer",$G145="À décommissionner")),N($P145)&lt;=0),"Conso Dynatrace absente (onglet Dynatrace)",IF(OR(AND($P145&lt;&gt;"",NOT(ISNUMBER($P145))),AND($Q145&lt;&gt;"",NOT(ISNUMBER($Q145)))),"Ressource non numérique",IF(MIN(N($P145),N($Q145))&lt;0,"Ressource négative",IF(OR(AND($AH145&lt;&gt;"",OR(NOT(ISNUMBER($AH145)),$AH145&lt;0,$AH145&gt;1)),AND($AI145&lt;&gt;"",OR(NOT(ISNUMBER($AI145)),$AI145&lt;0,$AI145&gt;1))),"Marge spécifique invalide (0–100 %)",IF(OR(AND($U145&lt;&gt;"",NOT(ISNUMBER($U145))),AND($V145&lt;&gt;"",NOT(ISNUMBER($V145))),AND($W145&lt;&gt;"",NOT(ISNUMBER($W145)))),"Mois invalide",IF(AND(OR($G145="À migrer",$G145="À décommissionner"),COUNTIFS(TblClusters[Cluster],$I145,TblClusters[Plateforme],"IKS")=0),"Cluster IKS inconnu",IF(AND(OR($G145="À migrer",$G145="Migré"),COUNTIFS(TblClusters[Cluster],$O145,TblClusters[Plateforme],"ROKS")=0),"Cluster ROKS inconnu",IF(AND(OR($G145="À migrer",$G145="À décommissionner"),COUNTIFS(TblClusters[Cluster],$I145,TblClusters[Environnement],$E145)=0),"Environnement ≠ cluster IKS",IF(AND(OR($G145="À migrer",$G145="Migré"),COUNTIFS(TblClusters[Cluster],$O145,TblClusters[Environnement],$E145)=0),"Environnement ≠ cluster ROKS",IF(AND($G145="À migrer",OR($U145&gt;$V145,$V145&gt;$W145)),"Dates incohérentes (prov ≤ bascule ≤ libération)",IF(AND(OR($G145="À migrer",$G145="À décommissionner"),OR(N($AO145)&gt;SUMIFS(TblClusters[CPU initial (vCPU)],TblClusters[Cluster],$I145),N($AP145)&gt;SUMIFS(TblClusters[RAM initiale (Go)],TblClusters[Cluster],$I145))),"Forçage &gt; capacité du cluster source",IF(OR(AND($AA145&lt;&gt;"",$AA145&lt;p_debut),AND($AB145&lt;&gt;"",$AB145&gt;p_fin)),"Hors horizon (info)",IF(AND($G145="À migrer",$E145="PRD",COUNTIFS(TblApplications[ID],$C145,TblApplications[Environnement],"NPRD",TblApplications[Action],"À migrer")&gt;0,$AA145&lt;_xlfn.MINIFS(TblApplications[Mois prov (calc)],TblApplications[ID],$C145,TblApplications[Environnement],"NPRD")),"PRD avant NPRD (info)","OK")))))))))))))))))))))</f>
        <v/>
      </c>
      <c r="AH145" s="62"/>
      <c r="AI145" s="62"/>
      <c r="AJ145" s="27" t="str">
        <f>IF(OR($C145="",NOT(OR($G145="À migrer",$G145="À décommissionner")),NOT(ISNUMBER($S145)),NOT(ISNUMBER($T145)),$AB145=""),"",($S145+p_poidsram*$T145)*SUMIFS(TblCalculs[Coût par unité],TblCalculs[Cluster],$I145,TblCalculs[Mois],"&lt;"&amp;$AB145))</f>
        <v/>
      </c>
      <c r="AK145" s="27" t="str">
        <f>IF($C145="","",IF(AND($G145="À migrer",$H145="Non",$Y145&lt;&gt;"",$AA145&lt;&gt;""),($Y145+p_poidsram*$Z145)*SUMIFS(TblCalculs[Coût par unité],TblCalculs[Cluster],$O145,TblCalculs[Mois],"&gt;="&amp;$AA145),IF(AND($G145="Migré",$Y145&lt;&gt;""),($Y145+p_poidsram*$Z145)*SUMIFS(TblCalculs[Coût par unité],TblCalculs[Cluster],$O145),"")))</f>
        <v/>
      </c>
      <c r="AL145" s="27" t="str">
        <f t="shared" si="22"/>
        <v/>
      </c>
      <c r="AM145" s="26" t="str">
        <f t="shared" si="23"/>
        <v/>
      </c>
      <c r="AN145" s="26" t="str">
        <f>IF(OR($C145="",$AM145&lt;&gt;1,COUNTIFS($E145,ex_envc,$A145,ex_domc,$B145,ex_tric)=0),"",COUNTIFS($AM$6:$AM145,1,$E$6:$E145,ex_envc,$A$6:$A145,ex_domc,$B$6:$B145,ex_tric))</f>
        <v/>
      </c>
      <c r="AO145" s="63"/>
      <c r="AP145" s="63"/>
      <c r="AQ145" s="63"/>
      <c r="AR145" s="63"/>
    </row>
    <row r="146" spans="1:44" x14ac:dyDescent="0.2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26" t="str">
        <f t="shared" si="16"/>
        <v/>
      </c>
      <c r="O146" s="59"/>
      <c r="P146" s="60" t="str">
        <f>IF($C146="","",IF($AQ146&lt;&gt;"",$AQ146,SUMIFS(TblDynatrace[CPU P95 (vCPU)],TblDynatrace[ID],$C146,TblDynatrace[Environnement],$E146,TblDynatrace[Couloir],$F146)))</f>
        <v/>
      </c>
      <c r="Q146" s="60" t="str">
        <f>IF($C146="","",IF($AR146&lt;&gt;"",$AR146,SUMIFS(TblDynatrace[RAM P95 (Go)],TblDynatrace[ID],$C146,TblDynatrace[Environnement],$E146,TblDynatrace[Couloir],$F146)))</f>
        <v/>
      </c>
      <c r="R146" s="26" t="str">
        <f>IF($C146="","",IFERROR(INDEX(TblDynatrace[Métrique / période],MATCH($C146&amp;"|"&amp;$E146&amp;"|"&amp;$F146,TblDynatrace[Clé],0)),""))</f>
        <v/>
      </c>
      <c r="S146" s="60" t="str">
        <f>IF(OR($C146="",NOT(OR($G146="À migrer",$G146="À décommissionner")),$I146="",NOT(ISNUMBER($P146))),"",IF($AO146&lt;&gt;"",$AO146,IFERROR(SUMIFS(TblClusters[CPU initial (vCPU)],TblClusters[Cluster],$I146)*$P146/(SUMIFS(TblApplications[CPU Dynatrace (vCPU)],TblApplications[Cluster IKS source],$I146,TblApplications[Action],"À migrer")+SUMIFS(TblApplications[CPU Dynatrace (vCPU)],TblApplications[Cluster IKS source],$I146,TblApplications[Action],"À décommissionner")),0)))</f>
        <v/>
      </c>
      <c r="T146" s="60" t="str">
        <f>IF(OR($C146="",NOT(OR($G146="À migrer",$G146="À décommissionner")),$I146="",NOT(ISNUMBER($Q146))),"",IF($AP146&lt;&gt;"",$AP146,IFERROR(SUMIFS(TblClusters[RAM initiale (Go)],TblClusters[Cluster],$I146)*$Q146/(SUMIFS(TblApplications[RAM Dynatrace (Go)],TblApplications[Cluster IKS source],$I146,TblApplications[Action],"À migrer")+SUMIFS(TblApplications[RAM Dynatrace (Go)],TblApplications[Cluster IKS source],$I146,TblApplications[Action],"À décommissionner")),0)))</f>
        <v/>
      </c>
      <c r="U146" s="61"/>
      <c r="V146" s="61"/>
      <c r="W146" s="61"/>
      <c r="X146" s="59"/>
      <c r="Y146" s="26" t="str">
        <f t="shared" si="17"/>
        <v/>
      </c>
      <c r="Z146" s="26" t="str">
        <f t="shared" si="18"/>
        <v/>
      </c>
      <c r="AA146" s="33" t="str">
        <f t="shared" si="19"/>
        <v/>
      </c>
      <c r="AB146" s="33" t="str">
        <f t="shared" si="20"/>
        <v/>
      </c>
      <c r="AC146" s="26" t="str">
        <f t="shared" si="21"/>
        <v/>
      </c>
      <c r="AD146" s="26" t="str">
        <f>IF($C146="","",COUNTIF(TblApplications[ID],$C146))</f>
        <v/>
      </c>
      <c r="AE146" s="33" t="str">
        <f>IF($C146="","",IFERROR(1/(1/_xlfn.MINIFS(TblApplications[Mois prov (calc)],TblApplications[ID],$C146)),""))</f>
        <v/>
      </c>
      <c r="AF146" s="33" t="str">
        <f>IF($C146="","",IFERROR(1/(1/_xlfn.MAXIFS(TblApplications[Mois lib (calc)],TblApplications[ID],$C146)),""))</f>
        <v/>
      </c>
      <c r="AG146" s="26" t="str">
        <f>IF($C146="","",IF(OR(OR($A146="",$B146="",$D146="",$E146="",$F146="",$G146=""),AND($G146="À migrer",OR($H146="",$I146="",$O146="",$U146="",$V146="",$W146="")),AND($G146="Migré",OR($O146="")),AND($G146="À décommissionner",OR($I146="",$W146=""))),"Données manquantes (selon l’action)",IF(AND($G146&lt;&gt;"Migré",$G146&lt;&gt;"À migrer",$G146&lt;&gt;"À décommissionner",$G146&lt;&gt;"Décommissionné"),"Action invalide",IF(COUNTIF(TblDomaines[Domaine],$A146)=0,"Domaine inconnu (référentiel)",IF(COUNTIFS(TblTribes[Tribe],$B146,TblTribes[Domaine de la tribe],$A146)=0,"Tribe inconnue ou hors domaine",IF(AND($G146="À migrer",$H146&lt;&gt;"Oui",$H146&lt;&gt;"Non"),"Valeur Oui/Non invalide (Déjà incluse ROKS)",IF(AND($E146&lt;&gt;"PRD",$E146&lt;&gt;"NPRD"),"Environnement invalide",IF(COUNTIFS(TblApplications[ID],$C146,TblApplications[Environnement],$E146,TblApplications[Couloir],$F146)&gt;1,"Déploiement en doublon (ID + env + couloir)",IF(AND(OR(OR($G146="À migrer",$G146="Migré"),OR($G146="À migrer",$G146="À décommissionner")),N($P146)&lt;=0),"Conso Dynatrace absente (onglet Dynatrace)",IF(OR(AND($P146&lt;&gt;"",NOT(ISNUMBER($P146))),AND($Q146&lt;&gt;"",NOT(ISNUMBER($Q146)))),"Ressource non numérique",IF(MIN(N($P146),N($Q146))&lt;0,"Ressource négative",IF(OR(AND($AH146&lt;&gt;"",OR(NOT(ISNUMBER($AH146)),$AH146&lt;0,$AH146&gt;1)),AND($AI146&lt;&gt;"",OR(NOT(ISNUMBER($AI146)),$AI146&lt;0,$AI146&gt;1))),"Marge spécifique invalide (0–100 %)",IF(OR(AND($U146&lt;&gt;"",NOT(ISNUMBER($U146))),AND($V146&lt;&gt;"",NOT(ISNUMBER($V146))),AND($W146&lt;&gt;"",NOT(ISNUMBER($W146)))),"Mois invalide",IF(AND(OR($G146="À migrer",$G146="À décommissionner"),COUNTIFS(TblClusters[Cluster],$I146,TblClusters[Plateforme],"IKS")=0),"Cluster IKS inconnu",IF(AND(OR($G146="À migrer",$G146="Migré"),COUNTIFS(TblClusters[Cluster],$O146,TblClusters[Plateforme],"ROKS")=0),"Cluster ROKS inconnu",IF(AND(OR($G146="À migrer",$G146="À décommissionner"),COUNTIFS(TblClusters[Cluster],$I146,TblClusters[Environnement],$E146)=0),"Environnement ≠ cluster IKS",IF(AND(OR($G146="À migrer",$G146="Migré"),COUNTIFS(TblClusters[Cluster],$O146,TblClusters[Environnement],$E146)=0),"Environnement ≠ cluster ROKS",IF(AND($G146="À migrer",OR($U146&gt;$V146,$V146&gt;$W146)),"Dates incohérentes (prov ≤ bascule ≤ libération)",IF(AND(OR($G146="À migrer",$G146="À décommissionner"),OR(N($AO146)&gt;SUMIFS(TblClusters[CPU initial (vCPU)],TblClusters[Cluster],$I146),N($AP146)&gt;SUMIFS(TblClusters[RAM initiale (Go)],TblClusters[Cluster],$I146))),"Forçage &gt; capacité du cluster source",IF(OR(AND($AA146&lt;&gt;"",$AA146&lt;p_debut),AND($AB146&lt;&gt;"",$AB146&gt;p_fin)),"Hors horizon (info)",IF(AND($G146="À migrer",$E146="PRD",COUNTIFS(TblApplications[ID],$C146,TblApplications[Environnement],"NPRD",TblApplications[Action],"À migrer")&gt;0,$AA146&lt;_xlfn.MINIFS(TblApplications[Mois prov (calc)],TblApplications[ID],$C146,TblApplications[Environnement],"NPRD")),"PRD avant NPRD (info)","OK")))))))))))))))))))))</f>
        <v/>
      </c>
      <c r="AH146" s="62"/>
      <c r="AI146" s="62"/>
      <c r="AJ146" s="27" t="str">
        <f>IF(OR($C146="",NOT(OR($G146="À migrer",$G146="À décommissionner")),NOT(ISNUMBER($S146)),NOT(ISNUMBER($T146)),$AB146=""),"",($S146+p_poidsram*$T146)*SUMIFS(TblCalculs[Coût par unité],TblCalculs[Cluster],$I146,TblCalculs[Mois],"&lt;"&amp;$AB146))</f>
        <v/>
      </c>
      <c r="AK146" s="27" t="str">
        <f>IF($C146="","",IF(AND($G146="À migrer",$H146="Non",$Y146&lt;&gt;"",$AA146&lt;&gt;""),($Y146+p_poidsram*$Z146)*SUMIFS(TblCalculs[Coût par unité],TblCalculs[Cluster],$O146,TblCalculs[Mois],"&gt;="&amp;$AA146),IF(AND($G146="Migré",$Y146&lt;&gt;""),($Y146+p_poidsram*$Z146)*SUMIFS(TblCalculs[Coût par unité],TblCalculs[Cluster],$O146),"")))</f>
        <v/>
      </c>
      <c r="AL146" s="27" t="str">
        <f t="shared" si="22"/>
        <v/>
      </c>
      <c r="AM146" s="26" t="str">
        <f t="shared" si="23"/>
        <v/>
      </c>
      <c r="AN146" s="26" t="str">
        <f>IF(OR($C146="",$AM146&lt;&gt;1,COUNTIFS($E146,ex_envc,$A146,ex_domc,$B146,ex_tric)=0),"",COUNTIFS($AM$6:$AM146,1,$E$6:$E146,ex_envc,$A$6:$A146,ex_domc,$B$6:$B146,ex_tric))</f>
        <v/>
      </c>
      <c r="AO146" s="63"/>
      <c r="AP146" s="63"/>
      <c r="AQ146" s="63"/>
      <c r="AR146" s="63"/>
    </row>
    <row r="147" spans="1:44" x14ac:dyDescent="0.2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26" t="str">
        <f t="shared" si="16"/>
        <v/>
      </c>
      <c r="O147" s="59"/>
      <c r="P147" s="60" t="str">
        <f>IF($C147="","",IF($AQ147&lt;&gt;"",$AQ147,SUMIFS(TblDynatrace[CPU P95 (vCPU)],TblDynatrace[ID],$C147,TblDynatrace[Environnement],$E147,TblDynatrace[Couloir],$F147)))</f>
        <v/>
      </c>
      <c r="Q147" s="60" t="str">
        <f>IF($C147="","",IF($AR147&lt;&gt;"",$AR147,SUMIFS(TblDynatrace[RAM P95 (Go)],TblDynatrace[ID],$C147,TblDynatrace[Environnement],$E147,TblDynatrace[Couloir],$F147)))</f>
        <v/>
      </c>
      <c r="R147" s="26" t="str">
        <f>IF($C147="","",IFERROR(INDEX(TblDynatrace[Métrique / période],MATCH($C147&amp;"|"&amp;$E147&amp;"|"&amp;$F147,TblDynatrace[Clé],0)),""))</f>
        <v/>
      </c>
      <c r="S147" s="60" t="str">
        <f>IF(OR($C147="",NOT(OR($G147="À migrer",$G147="À décommissionner")),$I147="",NOT(ISNUMBER($P147))),"",IF($AO147&lt;&gt;"",$AO147,IFERROR(SUMIFS(TblClusters[CPU initial (vCPU)],TblClusters[Cluster],$I147)*$P147/(SUMIFS(TblApplications[CPU Dynatrace (vCPU)],TblApplications[Cluster IKS source],$I147,TblApplications[Action],"À migrer")+SUMIFS(TblApplications[CPU Dynatrace (vCPU)],TblApplications[Cluster IKS source],$I147,TblApplications[Action],"À décommissionner")),0)))</f>
        <v/>
      </c>
      <c r="T147" s="60" t="str">
        <f>IF(OR($C147="",NOT(OR($G147="À migrer",$G147="À décommissionner")),$I147="",NOT(ISNUMBER($Q147))),"",IF($AP147&lt;&gt;"",$AP147,IFERROR(SUMIFS(TblClusters[RAM initiale (Go)],TblClusters[Cluster],$I147)*$Q147/(SUMIFS(TblApplications[RAM Dynatrace (Go)],TblApplications[Cluster IKS source],$I147,TblApplications[Action],"À migrer")+SUMIFS(TblApplications[RAM Dynatrace (Go)],TblApplications[Cluster IKS source],$I147,TblApplications[Action],"À décommissionner")),0)))</f>
        <v/>
      </c>
      <c r="U147" s="61"/>
      <c r="V147" s="61"/>
      <c r="W147" s="61"/>
      <c r="X147" s="59"/>
      <c r="Y147" s="26" t="str">
        <f t="shared" si="17"/>
        <v/>
      </c>
      <c r="Z147" s="26" t="str">
        <f t="shared" si="18"/>
        <v/>
      </c>
      <c r="AA147" s="33" t="str">
        <f t="shared" si="19"/>
        <v/>
      </c>
      <c r="AB147" s="33" t="str">
        <f t="shared" si="20"/>
        <v/>
      </c>
      <c r="AC147" s="26" t="str">
        <f t="shared" si="21"/>
        <v/>
      </c>
      <c r="AD147" s="26" t="str">
        <f>IF($C147="","",COUNTIF(TblApplications[ID],$C147))</f>
        <v/>
      </c>
      <c r="AE147" s="33" t="str">
        <f>IF($C147="","",IFERROR(1/(1/_xlfn.MINIFS(TblApplications[Mois prov (calc)],TblApplications[ID],$C147)),""))</f>
        <v/>
      </c>
      <c r="AF147" s="33" t="str">
        <f>IF($C147="","",IFERROR(1/(1/_xlfn.MAXIFS(TblApplications[Mois lib (calc)],TblApplications[ID],$C147)),""))</f>
        <v/>
      </c>
      <c r="AG147" s="26" t="str">
        <f>IF($C147="","",IF(OR(OR($A147="",$B147="",$D147="",$E147="",$F147="",$G147=""),AND($G147="À migrer",OR($H147="",$I147="",$O147="",$U147="",$V147="",$W147="")),AND($G147="Migré",OR($O147="")),AND($G147="À décommissionner",OR($I147="",$W147=""))),"Données manquantes (selon l’action)",IF(AND($G147&lt;&gt;"Migré",$G147&lt;&gt;"À migrer",$G147&lt;&gt;"À décommissionner",$G147&lt;&gt;"Décommissionné"),"Action invalide",IF(COUNTIF(TblDomaines[Domaine],$A147)=0,"Domaine inconnu (référentiel)",IF(COUNTIFS(TblTribes[Tribe],$B147,TblTribes[Domaine de la tribe],$A147)=0,"Tribe inconnue ou hors domaine",IF(AND($G147="À migrer",$H147&lt;&gt;"Oui",$H147&lt;&gt;"Non"),"Valeur Oui/Non invalide (Déjà incluse ROKS)",IF(AND($E147&lt;&gt;"PRD",$E147&lt;&gt;"NPRD"),"Environnement invalide",IF(COUNTIFS(TblApplications[ID],$C147,TblApplications[Environnement],$E147,TblApplications[Couloir],$F147)&gt;1,"Déploiement en doublon (ID + env + couloir)",IF(AND(OR(OR($G147="À migrer",$G147="Migré"),OR($G147="À migrer",$G147="À décommissionner")),N($P147)&lt;=0),"Conso Dynatrace absente (onglet Dynatrace)",IF(OR(AND($P147&lt;&gt;"",NOT(ISNUMBER($P147))),AND($Q147&lt;&gt;"",NOT(ISNUMBER($Q147)))),"Ressource non numérique",IF(MIN(N($P147),N($Q147))&lt;0,"Ressource négative",IF(OR(AND($AH147&lt;&gt;"",OR(NOT(ISNUMBER($AH147)),$AH147&lt;0,$AH147&gt;1)),AND($AI147&lt;&gt;"",OR(NOT(ISNUMBER($AI147)),$AI147&lt;0,$AI147&gt;1))),"Marge spécifique invalide (0–100 %)",IF(OR(AND($U147&lt;&gt;"",NOT(ISNUMBER($U147))),AND($V147&lt;&gt;"",NOT(ISNUMBER($V147))),AND($W147&lt;&gt;"",NOT(ISNUMBER($W147)))),"Mois invalide",IF(AND(OR($G147="À migrer",$G147="À décommissionner"),COUNTIFS(TblClusters[Cluster],$I147,TblClusters[Plateforme],"IKS")=0),"Cluster IKS inconnu",IF(AND(OR($G147="À migrer",$G147="Migré"),COUNTIFS(TblClusters[Cluster],$O147,TblClusters[Plateforme],"ROKS")=0),"Cluster ROKS inconnu",IF(AND(OR($G147="À migrer",$G147="À décommissionner"),COUNTIFS(TblClusters[Cluster],$I147,TblClusters[Environnement],$E147)=0),"Environnement ≠ cluster IKS",IF(AND(OR($G147="À migrer",$G147="Migré"),COUNTIFS(TblClusters[Cluster],$O147,TblClusters[Environnement],$E147)=0),"Environnement ≠ cluster ROKS",IF(AND($G147="À migrer",OR($U147&gt;$V147,$V147&gt;$W147)),"Dates incohérentes (prov ≤ bascule ≤ libération)",IF(AND(OR($G147="À migrer",$G147="À décommissionner"),OR(N($AO147)&gt;SUMIFS(TblClusters[CPU initial (vCPU)],TblClusters[Cluster],$I147),N($AP147)&gt;SUMIFS(TblClusters[RAM initiale (Go)],TblClusters[Cluster],$I147))),"Forçage &gt; capacité du cluster source",IF(OR(AND($AA147&lt;&gt;"",$AA147&lt;p_debut),AND($AB147&lt;&gt;"",$AB147&gt;p_fin)),"Hors horizon (info)",IF(AND($G147="À migrer",$E147="PRD",COUNTIFS(TblApplications[ID],$C147,TblApplications[Environnement],"NPRD",TblApplications[Action],"À migrer")&gt;0,$AA147&lt;_xlfn.MINIFS(TblApplications[Mois prov (calc)],TblApplications[ID],$C147,TblApplications[Environnement],"NPRD")),"PRD avant NPRD (info)","OK")))))))))))))))))))))</f>
        <v/>
      </c>
      <c r="AH147" s="62"/>
      <c r="AI147" s="62"/>
      <c r="AJ147" s="27" t="str">
        <f>IF(OR($C147="",NOT(OR($G147="À migrer",$G147="À décommissionner")),NOT(ISNUMBER($S147)),NOT(ISNUMBER($T147)),$AB147=""),"",($S147+p_poidsram*$T147)*SUMIFS(TblCalculs[Coût par unité],TblCalculs[Cluster],$I147,TblCalculs[Mois],"&lt;"&amp;$AB147))</f>
        <v/>
      </c>
      <c r="AK147" s="27" t="str">
        <f>IF($C147="","",IF(AND($G147="À migrer",$H147="Non",$Y147&lt;&gt;"",$AA147&lt;&gt;""),($Y147+p_poidsram*$Z147)*SUMIFS(TblCalculs[Coût par unité],TblCalculs[Cluster],$O147,TblCalculs[Mois],"&gt;="&amp;$AA147),IF(AND($G147="Migré",$Y147&lt;&gt;""),($Y147+p_poidsram*$Z147)*SUMIFS(TblCalculs[Coût par unité],TblCalculs[Cluster],$O147),"")))</f>
        <v/>
      </c>
      <c r="AL147" s="27" t="str">
        <f t="shared" si="22"/>
        <v/>
      </c>
      <c r="AM147" s="26" t="str">
        <f t="shared" si="23"/>
        <v/>
      </c>
      <c r="AN147" s="26" t="str">
        <f>IF(OR($C147="",$AM147&lt;&gt;1,COUNTIFS($E147,ex_envc,$A147,ex_domc,$B147,ex_tric)=0),"",COUNTIFS($AM$6:$AM147,1,$E$6:$E147,ex_envc,$A$6:$A147,ex_domc,$B$6:$B147,ex_tric))</f>
        <v/>
      </c>
      <c r="AO147" s="63"/>
      <c r="AP147" s="63"/>
      <c r="AQ147" s="63"/>
      <c r="AR147" s="63"/>
    </row>
    <row r="148" spans="1:44" x14ac:dyDescent="0.2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26" t="str">
        <f t="shared" si="16"/>
        <v/>
      </c>
      <c r="O148" s="59"/>
      <c r="P148" s="60" t="str">
        <f>IF($C148="","",IF($AQ148&lt;&gt;"",$AQ148,SUMIFS(TblDynatrace[CPU P95 (vCPU)],TblDynatrace[ID],$C148,TblDynatrace[Environnement],$E148,TblDynatrace[Couloir],$F148)))</f>
        <v/>
      </c>
      <c r="Q148" s="60" t="str">
        <f>IF($C148="","",IF($AR148&lt;&gt;"",$AR148,SUMIFS(TblDynatrace[RAM P95 (Go)],TblDynatrace[ID],$C148,TblDynatrace[Environnement],$E148,TblDynatrace[Couloir],$F148)))</f>
        <v/>
      </c>
      <c r="R148" s="26" t="str">
        <f>IF($C148="","",IFERROR(INDEX(TblDynatrace[Métrique / période],MATCH($C148&amp;"|"&amp;$E148&amp;"|"&amp;$F148,TblDynatrace[Clé],0)),""))</f>
        <v/>
      </c>
      <c r="S148" s="60" t="str">
        <f>IF(OR($C148="",NOT(OR($G148="À migrer",$G148="À décommissionner")),$I148="",NOT(ISNUMBER($P148))),"",IF($AO148&lt;&gt;"",$AO148,IFERROR(SUMIFS(TblClusters[CPU initial (vCPU)],TblClusters[Cluster],$I148)*$P148/(SUMIFS(TblApplications[CPU Dynatrace (vCPU)],TblApplications[Cluster IKS source],$I148,TblApplications[Action],"À migrer")+SUMIFS(TblApplications[CPU Dynatrace (vCPU)],TblApplications[Cluster IKS source],$I148,TblApplications[Action],"À décommissionner")),0)))</f>
        <v/>
      </c>
      <c r="T148" s="60" t="str">
        <f>IF(OR($C148="",NOT(OR($G148="À migrer",$G148="À décommissionner")),$I148="",NOT(ISNUMBER($Q148))),"",IF($AP148&lt;&gt;"",$AP148,IFERROR(SUMIFS(TblClusters[RAM initiale (Go)],TblClusters[Cluster],$I148)*$Q148/(SUMIFS(TblApplications[RAM Dynatrace (Go)],TblApplications[Cluster IKS source],$I148,TblApplications[Action],"À migrer")+SUMIFS(TblApplications[RAM Dynatrace (Go)],TblApplications[Cluster IKS source],$I148,TblApplications[Action],"À décommissionner")),0)))</f>
        <v/>
      </c>
      <c r="U148" s="61"/>
      <c r="V148" s="61"/>
      <c r="W148" s="61"/>
      <c r="X148" s="59"/>
      <c r="Y148" s="26" t="str">
        <f t="shared" si="17"/>
        <v/>
      </c>
      <c r="Z148" s="26" t="str">
        <f t="shared" si="18"/>
        <v/>
      </c>
      <c r="AA148" s="33" t="str">
        <f t="shared" si="19"/>
        <v/>
      </c>
      <c r="AB148" s="33" t="str">
        <f t="shared" si="20"/>
        <v/>
      </c>
      <c r="AC148" s="26" t="str">
        <f t="shared" si="21"/>
        <v/>
      </c>
      <c r="AD148" s="26" t="str">
        <f>IF($C148="","",COUNTIF(TblApplications[ID],$C148))</f>
        <v/>
      </c>
      <c r="AE148" s="33" t="str">
        <f>IF($C148="","",IFERROR(1/(1/_xlfn.MINIFS(TblApplications[Mois prov (calc)],TblApplications[ID],$C148)),""))</f>
        <v/>
      </c>
      <c r="AF148" s="33" t="str">
        <f>IF($C148="","",IFERROR(1/(1/_xlfn.MAXIFS(TblApplications[Mois lib (calc)],TblApplications[ID],$C148)),""))</f>
        <v/>
      </c>
      <c r="AG148" s="26" t="str">
        <f>IF($C148="","",IF(OR(OR($A148="",$B148="",$D148="",$E148="",$F148="",$G148=""),AND($G148="À migrer",OR($H148="",$I148="",$O148="",$U148="",$V148="",$W148="")),AND($G148="Migré",OR($O148="")),AND($G148="À décommissionner",OR($I148="",$W148=""))),"Données manquantes (selon l’action)",IF(AND($G148&lt;&gt;"Migré",$G148&lt;&gt;"À migrer",$G148&lt;&gt;"À décommissionner",$G148&lt;&gt;"Décommissionné"),"Action invalide",IF(COUNTIF(TblDomaines[Domaine],$A148)=0,"Domaine inconnu (référentiel)",IF(COUNTIFS(TblTribes[Tribe],$B148,TblTribes[Domaine de la tribe],$A148)=0,"Tribe inconnue ou hors domaine",IF(AND($G148="À migrer",$H148&lt;&gt;"Oui",$H148&lt;&gt;"Non"),"Valeur Oui/Non invalide (Déjà incluse ROKS)",IF(AND($E148&lt;&gt;"PRD",$E148&lt;&gt;"NPRD"),"Environnement invalide",IF(COUNTIFS(TblApplications[ID],$C148,TblApplications[Environnement],$E148,TblApplications[Couloir],$F148)&gt;1,"Déploiement en doublon (ID + env + couloir)",IF(AND(OR(OR($G148="À migrer",$G148="Migré"),OR($G148="À migrer",$G148="À décommissionner")),N($P148)&lt;=0),"Conso Dynatrace absente (onglet Dynatrace)",IF(OR(AND($P148&lt;&gt;"",NOT(ISNUMBER($P148))),AND($Q148&lt;&gt;"",NOT(ISNUMBER($Q148)))),"Ressource non numérique",IF(MIN(N($P148),N($Q148))&lt;0,"Ressource négative",IF(OR(AND($AH148&lt;&gt;"",OR(NOT(ISNUMBER($AH148)),$AH148&lt;0,$AH148&gt;1)),AND($AI148&lt;&gt;"",OR(NOT(ISNUMBER($AI148)),$AI148&lt;0,$AI148&gt;1))),"Marge spécifique invalide (0–100 %)",IF(OR(AND($U148&lt;&gt;"",NOT(ISNUMBER($U148))),AND($V148&lt;&gt;"",NOT(ISNUMBER($V148))),AND($W148&lt;&gt;"",NOT(ISNUMBER($W148)))),"Mois invalide",IF(AND(OR($G148="À migrer",$G148="À décommissionner"),COUNTIFS(TblClusters[Cluster],$I148,TblClusters[Plateforme],"IKS")=0),"Cluster IKS inconnu",IF(AND(OR($G148="À migrer",$G148="Migré"),COUNTIFS(TblClusters[Cluster],$O148,TblClusters[Plateforme],"ROKS")=0),"Cluster ROKS inconnu",IF(AND(OR($G148="À migrer",$G148="À décommissionner"),COUNTIFS(TblClusters[Cluster],$I148,TblClusters[Environnement],$E148)=0),"Environnement ≠ cluster IKS",IF(AND(OR($G148="À migrer",$G148="Migré"),COUNTIFS(TblClusters[Cluster],$O148,TblClusters[Environnement],$E148)=0),"Environnement ≠ cluster ROKS",IF(AND($G148="À migrer",OR($U148&gt;$V148,$V148&gt;$W148)),"Dates incohérentes (prov ≤ bascule ≤ libération)",IF(AND(OR($G148="À migrer",$G148="À décommissionner"),OR(N($AO148)&gt;SUMIFS(TblClusters[CPU initial (vCPU)],TblClusters[Cluster],$I148),N($AP148)&gt;SUMIFS(TblClusters[RAM initiale (Go)],TblClusters[Cluster],$I148))),"Forçage &gt; capacité du cluster source",IF(OR(AND($AA148&lt;&gt;"",$AA148&lt;p_debut),AND($AB148&lt;&gt;"",$AB148&gt;p_fin)),"Hors horizon (info)",IF(AND($G148="À migrer",$E148="PRD",COUNTIFS(TblApplications[ID],$C148,TblApplications[Environnement],"NPRD",TblApplications[Action],"À migrer")&gt;0,$AA148&lt;_xlfn.MINIFS(TblApplications[Mois prov (calc)],TblApplications[ID],$C148,TblApplications[Environnement],"NPRD")),"PRD avant NPRD (info)","OK")))))))))))))))))))))</f>
        <v/>
      </c>
      <c r="AH148" s="62"/>
      <c r="AI148" s="62"/>
      <c r="AJ148" s="27" t="str">
        <f>IF(OR($C148="",NOT(OR($G148="À migrer",$G148="À décommissionner")),NOT(ISNUMBER($S148)),NOT(ISNUMBER($T148)),$AB148=""),"",($S148+p_poidsram*$T148)*SUMIFS(TblCalculs[Coût par unité],TblCalculs[Cluster],$I148,TblCalculs[Mois],"&lt;"&amp;$AB148))</f>
        <v/>
      </c>
      <c r="AK148" s="27" t="str">
        <f>IF($C148="","",IF(AND($G148="À migrer",$H148="Non",$Y148&lt;&gt;"",$AA148&lt;&gt;""),($Y148+p_poidsram*$Z148)*SUMIFS(TblCalculs[Coût par unité],TblCalculs[Cluster],$O148,TblCalculs[Mois],"&gt;="&amp;$AA148),IF(AND($G148="Migré",$Y148&lt;&gt;""),($Y148+p_poidsram*$Z148)*SUMIFS(TblCalculs[Coût par unité],TblCalculs[Cluster],$O148),"")))</f>
        <v/>
      </c>
      <c r="AL148" s="27" t="str">
        <f t="shared" si="22"/>
        <v/>
      </c>
      <c r="AM148" s="26" t="str">
        <f t="shared" si="23"/>
        <v/>
      </c>
      <c r="AN148" s="26" t="str">
        <f>IF(OR($C148="",$AM148&lt;&gt;1,COUNTIFS($E148,ex_envc,$A148,ex_domc,$B148,ex_tric)=0),"",COUNTIFS($AM$6:$AM148,1,$E$6:$E148,ex_envc,$A$6:$A148,ex_domc,$B$6:$B148,ex_tric))</f>
        <v/>
      </c>
      <c r="AO148" s="63"/>
      <c r="AP148" s="63"/>
      <c r="AQ148" s="63"/>
      <c r="AR148" s="63"/>
    </row>
    <row r="149" spans="1:44" x14ac:dyDescent="0.2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26" t="str">
        <f t="shared" si="16"/>
        <v/>
      </c>
      <c r="O149" s="59"/>
      <c r="P149" s="60" t="str">
        <f>IF($C149="","",IF($AQ149&lt;&gt;"",$AQ149,SUMIFS(TblDynatrace[CPU P95 (vCPU)],TblDynatrace[ID],$C149,TblDynatrace[Environnement],$E149,TblDynatrace[Couloir],$F149)))</f>
        <v/>
      </c>
      <c r="Q149" s="60" t="str">
        <f>IF($C149="","",IF($AR149&lt;&gt;"",$AR149,SUMIFS(TblDynatrace[RAM P95 (Go)],TblDynatrace[ID],$C149,TblDynatrace[Environnement],$E149,TblDynatrace[Couloir],$F149)))</f>
        <v/>
      </c>
      <c r="R149" s="26" t="str">
        <f>IF($C149="","",IFERROR(INDEX(TblDynatrace[Métrique / période],MATCH($C149&amp;"|"&amp;$E149&amp;"|"&amp;$F149,TblDynatrace[Clé],0)),""))</f>
        <v/>
      </c>
      <c r="S149" s="60" t="str">
        <f>IF(OR($C149="",NOT(OR($G149="À migrer",$G149="À décommissionner")),$I149="",NOT(ISNUMBER($P149))),"",IF($AO149&lt;&gt;"",$AO149,IFERROR(SUMIFS(TblClusters[CPU initial (vCPU)],TblClusters[Cluster],$I149)*$P149/(SUMIFS(TblApplications[CPU Dynatrace (vCPU)],TblApplications[Cluster IKS source],$I149,TblApplications[Action],"À migrer")+SUMIFS(TblApplications[CPU Dynatrace (vCPU)],TblApplications[Cluster IKS source],$I149,TblApplications[Action],"À décommissionner")),0)))</f>
        <v/>
      </c>
      <c r="T149" s="60" t="str">
        <f>IF(OR($C149="",NOT(OR($G149="À migrer",$G149="À décommissionner")),$I149="",NOT(ISNUMBER($Q149))),"",IF($AP149&lt;&gt;"",$AP149,IFERROR(SUMIFS(TblClusters[RAM initiale (Go)],TblClusters[Cluster],$I149)*$Q149/(SUMIFS(TblApplications[RAM Dynatrace (Go)],TblApplications[Cluster IKS source],$I149,TblApplications[Action],"À migrer")+SUMIFS(TblApplications[RAM Dynatrace (Go)],TblApplications[Cluster IKS source],$I149,TblApplications[Action],"À décommissionner")),0)))</f>
        <v/>
      </c>
      <c r="U149" s="61"/>
      <c r="V149" s="61"/>
      <c r="W149" s="61"/>
      <c r="X149" s="59"/>
      <c r="Y149" s="26" t="str">
        <f t="shared" si="17"/>
        <v/>
      </c>
      <c r="Z149" s="26" t="str">
        <f t="shared" si="18"/>
        <v/>
      </c>
      <c r="AA149" s="33" t="str">
        <f t="shared" si="19"/>
        <v/>
      </c>
      <c r="AB149" s="33" t="str">
        <f t="shared" si="20"/>
        <v/>
      </c>
      <c r="AC149" s="26" t="str">
        <f t="shared" si="21"/>
        <v/>
      </c>
      <c r="AD149" s="26" t="str">
        <f>IF($C149="","",COUNTIF(TblApplications[ID],$C149))</f>
        <v/>
      </c>
      <c r="AE149" s="33" t="str">
        <f>IF($C149="","",IFERROR(1/(1/_xlfn.MINIFS(TblApplications[Mois prov (calc)],TblApplications[ID],$C149)),""))</f>
        <v/>
      </c>
      <c r="AF149" s="33" t="str">
        <f>IF($C149="","",IFERROR(1/(1/_xlfn.MAXIFS(TblApplications[Mois lib (calc)],TblApplications[ID],$C149)),""))</f>
        <v/>
      </c>
      <c r="AG149" s="26" t="str">
        <f>IF($C149="","",IF(OR(OR($A149="",$B149="",$D149="",$E149="",$F149="",$G149=""),AND($G149="À migrer",OR($H149="",$I149="",$O149="",$U149="",$V149="",$W149="")),AND($G149="Migré",OR($O149="")),AND($G149="À décommissionner",OR($I149="",$W149=""))),"Données manquantes (selon l’action)",IF(AND($G149&lt;&gt;"Migré",$G149&lt;&gt;"À migrer",$G149&lt;&gt;"À décommissionner",$G149&lt;&gt;"Décommissionné"),"Action invalide",IF(COUNTIF(TblDomaines[Domaine],$A149)=0,"Domaine inconnu (référentiel)",IF(COUNTIFS(TblTribes[Tribe],$B149,TblTribes[Domaine de la tribe],$A149)=0,"Tribe inconnue ou hors domaine",IF(AND($G149="À migrer",$H149&lt;&gt;"Oui",$H149&lt;&gt;"Non"),"Valeur Oui/Non invalide (Déjà incluse ROKS)",IF(AND($E149&lt;&gt;"PRD",$E149&lt;&gt;"NPRD"),"Environnement invalide",IF(COUNTIFS(TblApplications[ID],$C149,TblApplications[Environnement],$E149,TblApplications[Couloir],$F149)&gt;1,"Déploiement en doublon (ID + env + couloir)",IF(AND(OR(OR($G149="À migrer",$G149="Migré"),OR($G149="À migrer",$G149="À décommissionner")),N($P149)&lt;=0),"Conso Dynatrace absente (onglet Dynatrace)",IF(OR(AND($P149&lt;&gt;"",NOT(ISNUMBER($P149))),AND($Q149&lt;&gt;"",NOT(ISNUMBER($Q149)))),"Ressource non numérique",IF(MIN(N($P149),N($Q149))&lt;0,"Ressource négative",IF(OR(AND($AH149&lt;&gt;"",OR(NOT(ISNUMBER($AH149)),$AH149&lt;0,$AH149&gt;1)),AND($AI149&lt;&gt;"",OR(NOT(ISNUMBER($AI149)),$AI149&lt;0,$AI149&gt;1))),"Marge spécifique invalide (0–100 %)",IF(OR(AND($U149&lt;&gt;"",NOT(ISNUMBER($U149))),AND($V149&lt;&gt;"",NOT(ISNUMBER($V149))),AND($W149&lt;&gt;"",NOT(ISNUMBER($W149)))),"Mois invalide",IF(AND(OR($G149="À migrer",$G149="À décommissionner"),COUNTIFS(TblClusters[Cluster],$I149,TblClusters[Plateforme],"IKS")=0),"Cluster IKS inconnu",IF(AND(OR($G149="À migrer",$G149="Migré"),COUNTIFS(TblClusters[Cluster],$O149,TblClusters[Plateforme],"ROKS")=0),"Cluster ROKS inconnu",IF(AND(OR($G149="À migrer",$G149="À décommissionner"),COUNTIFS(TblClusters[Cluster],$I149,TblClusters[Environnement],$E149)=0),"Environnement ≠ cluster IKS",IF(AND(OR($G149="À migrer",$G149="Migré"),COUNTIFS(TblClusters[Cluster],$O149,TblClusters[Environnement],$E149)=0),"Environnement ≠ cluster ROKS",IF(AND($G149="À migrer",OR($U149&gt;$V149,$V149&gt;$W149)),"Dates incohérentes (prov ≤ bascule ≤ libération)",IF(AND(OR($G149="À migrer",$G149="À décommissionner"),OR(N($AO149)&gt;SUMIFS(TblClusters[CPU initial (vCPU)],TblClusters[Cluster],$I149),N($AP149)&gt;SUMIFS(TblClusters[RAM initiale (Go)],TblClusters[Cluster],$I149))),"Forçage &gt; capacité du cluster source",IF(OR(AND($AA149&lt;&gt;"",$AA149&lt;p_debut),AND($AB149&lt;&gt;"",$AB149&gt;p_fin)),"Hors horizon (info)",IF(AND($G149="À migrer",$E149="PRD",COUNTIFS(TblApplications[ID],$C149,TblApplications[Environnement],"NPRD",TblApplications[Action],"À migrer")&gt;0,$AA149&lt;_xlfn.MINIFS(TblApplications[Mois prov (calc)],TblApplications[ID],$C149,TblApplications[Environnement],"NPRD")),"PRD avant NPRD (info)","OK")))))))))))))))))))))</f>
        <v/>
      </c>
      <c r="AH149" s="62"/>
      <c r="AI149" s="62"/>
      <c r="AJ149" s="27" t="str">
        <f>IF(OR($C149="",NOT(OR($G149="À migrer",$G149="À décommissionner")),NOT(ISNUMBER($S149)),NOT(ISNUMBER($T149)),$AB149=""),"",($S149+p_poidsram*$T149)*SUMIFS(TblCalculs[Coût par unité],TblCalculs[Cluster],$I149,TblCalculs[Mois],"&lt;"&amp;$AB149))</f>
        <v/>
      </c>
      <c r="AK149" s="27" t="str">
        <f>IF($C149="","",IF(AND($G149="À migrer",$H149="Non",$Y149&lt;&gt;"",$AA149&lt;&gt;""),($Y149+p_poidsram*$Z149)*SUMIFS(TblCalculs[Coût par unité],TblCalculs[Cluster],$O149,TblCalculs[Mois],"&gt;="&amp;$AA149),IF(AND($G149="Migré",$Y149&lt;&gt;""),($Y149+p_poidsram*$Z149)*SUMIFS(TblCalculs[Coût par unité],TblCalculs[Cluster],$O149),"")))</f>
        <v/>
      </c>
      <c r="AL149" s="27" t="str">
        <f t="shared" si="22"/>
        <v/>
      </c>
      <c r="AM149" s="26" t="str">
        <f t="shared" si="23"/>
        <v/>
      </c>
      <c r="AN149" s="26" t="str">
        <f>IF(OR($C149="",$AM149&lt;&gt;1,COUNTIFS($E149,ex_envc,$A149,ex_domc,$B149,ex_tric)=0),"",COUNTIFS($AM$6:$AM149,1,$E$6:$E149,ex_envc,$A$6:$A149,ex_domc,$B$6:$B149,ex_tric))</f>
        <v/>
      </c>
      <c r="AO149" s="63"/>
      <c r="AP149" s="63"/>
      <c r="AQ149" s="63"/>
      <c r="AR149" s="63"/>
    </row>
    <row r="150" spans="1:44" x14ac:dyDescent="0.2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26" t="str">
        <f t="shared" si="16"/>
        <v/>
      </c>
      <c r="O150" s="59"/>
      <c r="P150" s="60" t="str">
        <f>IF($C150="","",IF($AQ150&lt;&gt;"",$AQ150,SUMIFS(TblDynatrace[CPU P95 (vCPU)],TblDynatrace[ID],$C150,TblDynatrace[Environnement],$E150,TblDynatrace[Couloir],$F150)))</f>
        <v/>
      </c>
      <c r="Q150" s="60" t="str">
        <f>IF($C150="","",IF($AR150&lt;&gt;"",$AR150,SUMIFS(TblDynatrace[RAM P95 (Go)],TblDynatrace[ID],$C150,TblDynatrace[Environnement],$E150,TblDynatrace[Couloir],$F150)))</f>
        <v/>
      </c>
      <c r="R150" s="26" t="str">
        <f>IF($C150="","",IFERROR(INDEX(TblDynatrace[Métrique / période],MATCH($C150&amp;"|"&amp;$E150&amp;"|"&amp;$F150,TblDynatrace[Clé],0)),""))</f>
        <v/>
      </c>
      <c r="S150" s="60" t="str">
        <f>IF(OR($C150="",NOT(OR($G150="À migrer",$G150="À décommissionner")),$I150="",NOT(ISNUMBER($P150))),"",IF($AO150&lt;&gt;"",$AO150,IFERROR(SUMIFS(TblClusters[CPU initial (vCPU)],TblClusters[Cluster],$I150)*$P150/(SUMIFS(TblApplications[CPU Dynatrace (vCPU)],TblApplications[Cluster IKS source],$I150,TblApplications[Action],"À migrer")+SUMIFS(TblApplications[CPU Dynatrace (vCPU)],TblApplications[Cluster IKS source],$I150,TblApplications[Action],"À décommissionner")),0)))</f>
        <v/>
      </c>
      <c r="T150" s="60" t="str">
        <f>IF(OR($C150="",NOT(OR($G150="À migrer",$G150="À décommissionner")),$I150="",NOT(ISNUMBER($Q150))),"",IF($AP150&lt;&gt;"",$AP150,IFERROR(SUMIFS(TblClusters[RAM initiale (Go)],TblClusters[Cluster],$I150)*$Q150/(SUMIFS(TblApplications[RAM Dynatrace (Go)],TblApplications[Cluster IKS source],$I150,TblApplications[Action],"À migrer")+SUMIFS(TblApplications[RAM Dynatrace (Go)],TblApplications[Cluster IKS source],$I150,TblApplications[Action],"À décommissionner")),0)))</f>
        <v/>
      </c>
      <c r="U150" s="61"/>
      <c r="V150" s="61"/>
      <c r="W150" s="61"/>
      <c r="X150" s="59"/>
      <c r="Y150" s="26" t="str">
        <f t="shared" si="17"/>
        <v/>
      </c>
      <c r="Z150" s="26" t="str">
        <f t="shared" si="18"/>
        <v/>
      </c>
      <c r="AA150" s="33" t="str">
        <f t="shared" si="19"/>
        <v/>
      </c>
      <c r="AB150" s="33" t="str">
        <f t="shared" si="20"/>
        <v/>
      </c>
      <c r="AC150" s="26" t="str">
        <f t="shared" si="21"/>
        <v/>
      </c>
      <c r="AD150" s="26" t="str">
        <f>IF($C150="","",COUNTIF(TblApplications[ID],$C150))</f>
        <v/>
      </c>
      <c r="AE150" s="33" t="str">
        <f>IF($C150="","",IFERROR(1/(1/_xlfn.MINIFS(TblApplications[Mois prov (calc)],TblApplications[ID],$C150)),""))</f>
        <v/>
      </c>
      <c r="AF150" s="33" t="str">
        <f>IF($C150="","",IFERROR(1/(1/_xlfn.MAXIFS(TblApplications[Mois lib (calc)],TblApplications[ID],$C150)),""))</f>
        <v/>
      </c>
      <c r="AG150" s="26" t="str">
        <f>IF($C150="","",IF(OR(OR($A150="",$B150="",$D150="",$E150="",$F150="",$G150=""),AND($G150="À migrer",OR($H150="",$I150="",$O150="",$U150="",$V150="",$W150="")),AND($G150="Migré",OR($O150="")),AND($G150="À décommissionner",OR($I150="",$W150=""))),"Données manquantes (selon l’action)",IF(AND($G150&lt;&gt;"Migré",$G150&lt;&gt;"À migrer",$G150&lt;&gt;"À décommissionner",$G150&lt;&gt;"Décommissionné"),"Action invalide",IF(COUNTIF(TblDomaines[Domaine],$A150)=0,"Domaine inconnu (référentiel)",IF(COUNTIFS(TblTribes[Tribe],$B150,TblTribes[Domaine de la tribe],$A150)=0,"Tribe inconnue ou hors domaine",IF(AND($G150="À migrer",$H150&lt;&gt;"Oui",$H150&lt;&gt;"Non"),"Valeur Oui/Non invalide (Déjà incluse ROKS)",IF(AND($E150&lt;&gt;"PRD",$E150&lt;&gt;"NPRD"),"Environnement invalide",IF(COUNTIFS(TblApplications[ID],$C150,TblApplications[Environnement],$E150,TblApplications[Couloir],$F150)&gt;1,"Déploiement en doublon (ID + env + couloir)",IF(AND(OR(OR($G150="À migrer",$G150="Migré"),OR($G150="À migrer",$G150="À décommissionner")),N($P150)&lt;=0),"Conso Dynatrace absente (onglet Dynatrace)",IF(OR(AND($P150&lt;&gt;"",NOT(ISNUMBER($P150))),AND($Q150&lt;&gt;"",NOT(ISNUMBER($Q150)))),"Ressource non numérique",IF(MIN(N($P150),N($Q150))&lt;0,"Ressource négative",IF(OR(AND($AH150&lt;&gt;"",OR(NOT(ISNUMBER($AH150)),$AH150&lt;0,$AH150&gt;1)),AND($AI150&lt;&gt;"",OR(NOT(ISNUMBER($AI150)),$AI150&lt;0,$AI150&gt;1))),"Marge spécifique invalide (0–100 %)",IF(OR(AND($U150&lt;&gt;"",NOT(ISNUMBER($U150))),AND($V150&lt;&gt;"",NOT(ISNUMBER($V150))),AND($W150&lt;&gt;"",NOT(ISNUMBER($W150)))),"Mois invalide",IF(AND(OR($G150="À migrer",$G150="À décommissionner"),COUNTIFS(TblClusters[Cluster],$I150,TblClusters[Plateforme],"IKS")=0),"Cluster IKS inconnu",IF(AND(OR($G150="À migrer",$G150="Migré"),COUNTIFS(TblClusters[Cluster],$O150,TblClusters[Plateforme],"ROKS")=0),"Cluster ROKS inconnu",IF(AND(OR($G150="À migrer",$G150="À décommissionner"),COUNTIFS(TblClusters[Cluster],$I150,TblClusters[Environnement],$E150)=0),"Environnement ≠ cluster IKS",IF(AND(OR($G150="À migrer",$G150="Migré"),COUNTIFS(TblClusters[Cluster],$O150,TblClusters[Environnement],$E150)=0),"Environnement ≠ cluster ROKS",IF(AND($G150="À migrer",OR($U150&gt;$V150,$V150&gt;$W150)),"Dates incohérentes (prov ≤ bascule ≤ libération)",IF(AND(OR($G150="À migrer",$G150="À décommissionner"),OR(N($AO150)&gt;SUMIFS(TblClusters[CPU initial (vCPU)],TblClusters[Cluster],$I150),N($AP150)&gt;SUMIFS(TblClusters[RAM initiale (Go)],TblClusters[Cluster],$I150))),"Forçage &gt; capacité du cluster source",IF(OR(AND($AA150&lt;&gt;"",$AA150&lt;p_debut),AND($AB150&lt;&gt;"",$AB150&gt;p_fin)),"Hors horizon (info)",IF(AND($G150="À migrer",$E150="PRD",COUNTIFS(TblApplications[ID],$C150,TblApplications[Environnement],"NPRD",TblApplications[Action],"À migrer")&gt;0,$AA150&lt;_xlfn.MINIFS(TblApplications[Mois prov (calc)],TblApplications[ID],$C150,TblApplications[Environnement],"NPRD")),"PRD avant NPRD (info)","OK")))))))))))))))))))))</f>
        <v/>
      </c>
      <c r="AH150" s="62"/>
      <c r="AI150" s="62"/>
      <c r="AJ150" s="27" t="str">
        <f>IF(OR($C150="",NOT(OR($G150="À migrer",$G150="À décommissionner")),NOT(ISNUMBER($S150)),NOT(ISNUMBER($T150)),$AB150=""),"",($S150+p_poidsram*$T150)*SUMIFS(TblCalculs[Coût par unité],TblCalculs[Cluster],$I150,TblCalculs[Mois],"&lt;"&amp;$AB150))</f>
        <v/>
      </c>
      <c r="AK150" s="27" t="str">
        <f>IF($C150="","",IF(AND($G150="À migrer",$H150="Non",$Y150&lt;&gt;"",$AA150&lt;&gt;""),($Y150+p_poidsram*$Z150)*SUMIFS(TblCalculs[Coût par unité],TblCalculs[Cluster],$O150,TblCalculs[Mois],"&gt;="&amp;$AA150),IF(AND($G150="Migré",$Y150&lt;&gt;""),($Y150+p_poidsram*$Z150)*SUMIFS(TblCalculs[Coût par unité],TblCalculs[Cluster],$O150),"")))</f>
        <v/>
      </c>
      <c r="AL150" s="27" t="str">
        <f t="shared" si="22"/>
        <v/>
      </c>
      <c r="AM150" s="26" t="str">
        <f t="shared" si="23"/>
        <v/>
      </c>
      <c r="AN150" s="26" t="str">
        <f>IF(OR($C150="",$AM150&lt;&gt;1,COUNTIFS($E150,ex_envc,$A150,ex_domc,$B150,ex_tric)=0),"",COUNTIFS($AM$6:$AM150,1,$E$6:$E150,ex_envc,$A$6:$A150,ex_domc,$B$6:$B150,ex_tric))</f>
        <v/>
      </c>
      <c r="AO150" s="63"/>
      <c r="AP150" s="63"/>
      <c r="AQ150" s="63"/>
      <c r="AR150" s="63"/>
    </row>
    <row r="151" spans="1:44" x14ac:dyDescent="0.2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26" t="str">
        <f t="shared" si="16"/>
        <v/>
      </c>
      <c r="O151" s="59"/>
      <c r="P151" s="60" t="str">
        <f>IF($C151="","",IF($AQ151&lt;&gt;"",$AQ151,SUMIFS(TblDynatrace[CPU P95 (vCPU)],TblDynatrace[ID],$C151,TblDynatrace[Environnement],$E151,TblDynatrace[Couloir],$F151)))</f>
        <v/>
      </c>
      <c r="Q151" s="60" t="str">
        <f>IF($C151="","",IF($AR151&lt;&gt;"",$AR151,SUMIFS(TblDynatrace[RAM P95 (Go)],TblDynatrace[ID],$C151,TblDynatrace[Environnement],$E151,TblDynatrace[Couloir],$F151)))</f>
        <v/>
      </c>
      <c r="R151" s="26" t="str">
        <f>IF($C151="","",IFERROR(INDEX(TblDynatrace[Métrique / période],MATCH($C151&amp;"|"&amp;$E151&amp;"|"&amp;$F151,TblDynatrace[Clé],0)),""))</f>
        <v/>
      </c>
      <c r="S151" s="60" t="str">
        <f>IF(OR($C151="",NOT(OR($G151="À migrer",$G151="À décommissionner")),$I151="",NOT(ISNUMBER($P151))),"",IF($AO151&lt;&gt;"",$AO151,IFERROR(SUMIFS(TblClusters[CPU initial (vCPU)],TblClusters[Cluster],$I151)*$P151/(SUMIFS(TblApplications[CPU Dynatrace (vCPU)],TblApplications[Cluster IKS source],$I151,TblApplications[Action],"À migrer")+SUMIFS(TblApplications[CPU Dynatrace (vCPU)],TblApplications[Cluster IKS source],$I151,TblApplications[Action],"À décommissionner")),0)))</f>
        <v/>
      </c>
      <c r="T151" s="60" t="str">
        <f>IF(OR($C151="",NOT(OR($G151="À migrer",$G151="À décommissionner")),$I151="",NOT(ISNUMBER($Q151))),"",IF($AP151&lt;&gt;"",$AP151,IFERROR(SUMIFS(TblClusters[RAM initiale (Go)],TblClusters[Cluster],$I151)*$Q151/(SUMIFS(TblApplications[RAM Dynatrace (Go)],TblApplications[Cluster IKS source],$I151,TblApplications[Action],"À migrer")+SUMIFS(TblApplications[RAM Dynatrace (Go)],TblApplications[Cluster IKS source],$I151,TblApplications[Action],"À décommissionner")),0)))</f>
        <v/>
      </c>
      <c r="U151" s="61"/>
      <c r="V151" s="61"/>
      <c r="W151" s="61"/>
      <c r="X151" s="59"/>
      <c r="Y151" s="26" t="str">
        <f t="shared" si="17"/>
        <v/>
      </c>
      <c r="Z151" s="26" t="str">
        <f t="shared" si="18"/>
        <v/>
      </c>
      <c r="AA151" s="33" t="str">
        <f t="shared" si="19"/>
        <v/>
      </c>
      <c r="AB151" s="33" t="str">
        <f t="shared" si="20"/>
        <v/>
      </c>
      <c r="AC151" s="26" t="str">
        <f t="shared" si="21"/>
        <v/>
      </c>
      <c r="AD151" s="26" t="str">
        <f>IF($C151="","",COUNTIF(TblApplications[ID],$C151))</f>
        <v/>
      </c>
      <c r="AE151" s="33" t="str">
        <f>IF($C151="","",IFERROR(1/(1/_xlfn.MINIFS(TblApplications[Mois prov (calc)],TblApplications[ID],$C151)),""))</f>
        <v/>
      </c>
      <c r="AF151" s="33" t="str">
        <f>IF($C151="","",IFERROR(1/(1/_xlfn.MAXIFS(TblApplications[Mois lib (calc)],TblApplications[ID],$C151)),""))</f>
        <v/>
      </c>
      <c r="AG151" s="26" t="str">
        <f>IF($C151="","",IF(OR(OR($A151="",$B151="",$D151="",$E151="",$F151="",$G151=""),AND($G151="À migrer",OR($H151="",$I151="",$O151="",$U151="",$V151="",$W151="")),AND($G151="Migré",OR($O151="")),AND($G151="À décommissionner",OR($I151="",$W151=""))),"Données manquantes (selon l’action)",IF(AND($G151&lt;&gt;"Migré",$G151&lt;&gt;"À migrer",$G151&lt;&gt;"À décommissionner",$G151&lt;&gt;"Décommissionné"),"Action invalide",IF(COUNTIF(TblDomaines[Domaine],$A151)=0,"Domaine inconnu (référentiel)",IF(COUNTIFS(TblTribes[Tribe],$B151,TblTribes[Domaine de la tribe],$A151)=0,"Tribe inconnue ou hors domaine",IF(AND($G151="À migrer",$H151&lt;&gt;"Oui",$H151&lt;&gt;"Non"),"Valeur Oui/Non invalide (Déjà incluse ROKS)",IF(AND($E151&lt;&gt;"PRD",$E151&lt;&gt;"NPRD"),"Environnement invalide",IF(COUNTIFS(TblApplications[ID],$C151,TblApplications[Environnement],$E151,TblApplications[Couloir],$F151)&gt;1,"Déploiement en doublon (ID + env + couloir)",IF(AND(OR(OR($G151="À migrer",$G151="Migré"),OR($G151="À migrer",$G151="À décommissionner")),N($P151)&lt;=0),"Conso Dynatrace absente (onglet Dynatrace)",IF(OR(AND($P151&lt;&gt;"",NOT(ISNUMBER($P151))),AND($Q151&lt;&gt;"",NOT(ISNUMBER($Q151)))),"Ressource non numérique",IF(MIN(N($P151),N($Q151))&lt;0,"Ressource négative",IF(OR(AND($AH151&lt;&gt;"",OR(NOT(ISNUMBER($AH151)),$AH151&lt;0,$AH151&gt;1)),AND($AI151&lt;&gt;"",OR(NOT(ISNUMBER($AI151)),$AI151&lt;0,$AI151&gt;1))),"Marge spécifique invalide (0–100 %)",IF(OR(AND($U151&lt;&gt;"",NOT(ISNUMBER($U151))),AND($V151&lt;&gt;"",NOT(ISNUMBER($V151))),AND($W151&lt;&gt;"",NOT(ISNUMBER($W151)))),"Mois invalide",IF(AND(OR($G151="À migrer",$G151="À décommissionner"),COUNTIFS(TblClusters[Cluster],$I151,TblClusters[Plateforme],"IKS")=0),"Cluster IKS inconnu",IF(AND(OR($G151="À migrer",$G151="Migré"),COUNTIFS(TblClusters[Cluster],$O151,TblClusters[Plateforme],"ROKS")=0),"Cluster ROKS inconnu",IF(AND(OR($G151="À migrer",$G151="À décommissionner"),COUNTIFS(TblClusters[Cluster],$I151,TblClusters[Environnement],$E151)=0),"Environnement ≠ cluster IKS",IF(AND(OR($G151="À migrer",$G151="Migré"),COUNTIFS(TblClusters[Cluster],$O151,TblClusters[Environnement],$E151)=0),"Environnement ≠ cluster ROKS",IF(AND($G151="À migrer",OR($U151&gt;$V151,$V151&gt;$W151)),"Dates incohérentes (prov ≤ bascule ≤ libération)",IF(AND(OR($G151="À migrer",$G151="À décommissionner"),OR(N($AO151)&gt;SUMIFS(TblClusters[CPU initial (vCPU)],TblClusters[Cluster],$I151),N($AP151)&gt;SUMIFS(TblClusters[RAM initiale (Go)],TblClusters[Cluster],$I151))),"Forçage &gt; capacité du cluster source",IF(OR(AND($AA151&lt;&gt;"",$AA151&lt;p_debut),AND($AB151&lt;&gt;"",$AB151&gt;p_fin)),"Hors horizon (info)",IF(AND($G151="À migrer",$E151="PRD",COUNTIFS(TblApplications[ID],$C151,TblApplications[Environnement],"NPRD",TblApplications[Action],"À migrer")&gt;0,$AA151&lt;_xlfn.MINIFS(TblApplications[Mois prov (calc)],TblApplications[ID],$C151,TblApplications[Environnement],"NPRD")),"PRD avant NPRD (info)","OK")))))))))))))))))))))</f>
        <v/>
      </c>
      <c r="AH151" s="62"/>
      <c r="AI151" s="62"/>
      <c r="AJ151" s="27" t="str">
        <f>IF(OR($C151="",NOT(OR($G151="À migrer",$G151="À décommissionner")),NOT(ISNUMBER($S151)),NOT(ISNUMBER($T151)),$AB151=""),"",($S151+p_poidsram*$T151)*SUMIFS(TblCalculs[Coût par unité],TblCalculs[Cluster],$I151,TblCalculs[Mois],"&lt;"&amp;$AB151))</f>
        <v/>
      </c>
      <c r="AK151" s="27" t="str">
        <f>IF($C151="","",IF(AND($G151="À migrer",$H151="Non",$Y151&lt;&gt;"",$AA151&lt;&gt;""),($Y151+p_poidsram*$Z151)*SUMIFS(TblCalculs[Coût par unité],TblCalculs[Cluster],$O151,TblCalculs[Mois],"&gt;="&amp;$AA151),IF(AND($G151="Migré",$Y151&lt;&gt;""),($Y151+p_poidsram*$Z151)*SUMIFS(TblCalculs[Coût par unité],TblCalculs[Cluster],$O151),"")))</f>
        <v/>
      </c>
      <c r="AL151" s="27" t="str">
        <f t="shared" si="22"/>
        <v/>
      </c>
      <c r="AM151" s="26" t="str">
        <f t="shared" si="23"/>
        <v/>
      </c>
      <c r="AN151" s="26" t="str">
        <f>IF(OR($C151="",$AM151&lt;&gt;1,COUNTIFS($E151,ex_envc,$A151,ex_domc,$B151,ex_tric)=0),"",COUNTIFS($AM$6:$AM151,1,$E$6:$E151,ex_envc,$A$6:$A151,ex_domc,$B$6:$B151,ex_tric))</f>
        <v/>
      </c>
      <c r="AO151" s="63"/>
      <c r="AP151" s="63"/>
      <c r="AQ151" s="63"/>
      <c r="AR151" s="63"/>
    </row>
    <row r="152" spans="1:44" x14ac:dyDescent="0.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26" t="str">
        <f t="shared" si="16"/>
        <v/>
      </c>
      <c r="O152" s="59"/>
      <c r="P152" s="60" t="str">
        <f>IF($C152="","",IF($AQ152&lt;&gt;"",$AQ152,SUMIFS(TblDynatrace[CPU P95 (vCPU)],TblDynatrace[ID],$C152,TblDynatrace[Environnement],$E152,TblDynatrace[Couloir],$F152)))</f>
        <v/>
      </c>
      <c r="Q152" s="60" t="str">
        <f>IF($C152="","",IF($AR152&lt;&gt;"",$AR152,SUMIFS(TblDynatrace[RAM P95 (Go)],TblDynatrace[ID],$C152,TblDynatrace[Environnement],$E152,TblDynatrace[Couloir],$F152)))</f>
        <v/>
      </c>
      <c r="R152" s="26" t="str">
        <f>IF($C152="","",IFERROR(INDEX(TblDynatrace[Métrique / période],MATCH($C152&amp;"|"&amp;$E152&amp;"|"&amp;$F152,TblDynatrace[Clé],0)),""))</f>
        <v/>
      </c>
      <c r="S152" s="60" t="str">
        <f>IF(OR($C152="",NOT(OR($G152="À migrer",$G152="À décommissionner")),$I152="",NOT(ISNUMBER($P152))),"",IF($AO152&lt;&gt;"",$AO152,IFERROR(SUMIFS(TblClusters[CPU initial (vCPU)],TblClusters[Cluster],$I152)*$P152/(SUMIFS(TblApplications[CPU Dynatrace (vCPU)],TblApplications[Cluster IKS source],$I152,TblApplications[Action],"À migrer")+SUMIFS(TblApplications[CPU Dynatrace (vCPU)],TblApplications[Cluster IKS source],$I152,TblApplications[Action],"À décommissionner")),0)))</f>
        <v/>
      </c>
      <c r="T152" s="60" t="str">
        <f>IF(OR($C152="",NOT(OR($G152="À migrer",$G152="À décommissionner")),$I152="",NOT(ISNUMBER($Q152))),"",IF($AP152&lt;&gt;"",$AP152,IFERROR(SUMIFS(TblClusters[RAM initiale (Go)],TblClusters[Cluster],$I152)*$Q152/(SUMIFS(TblApplications[RAM Dynatrace (Go)],TblApplications[Cluster IKS source],$I152,TblApplications[Action],"À migrer")+SUMIFS(TblApplications[RAM Dynatrace (Go)],TblApplications[Cluster IKS source],$I152,TblApplications[Action],"À décommissionner")),0)))</f>
        <v/>
      </c>
      <c r="U152" s="61"/>
      <c r="V152" s="61"/>
      <c r="W152" s="61"/>
      <c r="X152" s="59"/>
      <c r="Y152" s="26" t="str">
        <f t="shared" si="17"/>
        <v/>
      </c>
      <c r="Z152" s="26" t="str">
        <f t="shared" si="18"/>
        <v/>
      </c>
      <c r="AA152" s="33" t="str">
        <f t="shared" si="19"/>
        <v/>
      </c>
      <c r="AB152" s="33" t="str">
        <f t="shared" si="20"/>
        <v/>
      </c>
      <c r="AC152" s="26" t="str">
        <f t="shared" si="21"/>
        <v/>
      </c>
      <c r="AD152" s="26" t="str">
        <f>IF($C152="","",COUNTIF(TblApplications[ID],$C152))</f>
        <v/>
      </c>
      <c r="AE152" s="33" t="str">
        <f>IF($C152="","",IFERROR(1/(1/_xlfn.MINIFS(TblApplications[Mois prov (calc)],TblApplications[ID],$C152)),""))</f>
        <v/>
      </c>
      <c r="AF152" s="33" t="str">
        <f>IF($C152="","",IFERROR(1/(1/_xlfn.MAXIFS(TblApplications[Mois lib (calc)],TblApplications[ID],$C152)),""))</f>
        <v/>
      </c>
      <c r="AG152" s="26" t="str">
        <f>IF($C152="","",IF(OR(OR($A152="",$B152="",$D152="",$E152="",$F152="",$G152=""),AND($G152="À migrer",OR($H152="",$I152="",$O152="",$U152="",$V152="",$W152="")),AND($G152="Migré",OR($O152="")),AND($G152="À décommissionner",OR($I152="",$W152=""))),"Données manquantes (selon l’action)",IF(AND($G152&lt;&gt;"Migré",$G152&lt;&gt;"À migrer",$G152&lt;&gt;"À décommissionner",$G152&lt;&gt;"Décommissionné"),"Action invalide",IF(COUNTIF(TblDomaines[Domaine],$A152)=0,"Domaine inconnu (référentiel)",IF(COUNTIFS(TblTribes[Tribe],$B152,TblTribes[Domaine de la tribe],$A152)=0,"Tribe inconnue ou hors domaine",IF(AND($G152="À migrer",$H152&lt;&gt;"Oui",$H152&lt;&gt;"Non"),"Valeur Oui/Non invalide (Déjà incluse ROKS)",IF(AND($E152&lt;&gt;"PRD",$E152&lt;&gt;"NPRD"),"Environnement invalide",IF(COUNTIFS(TblApplications[ID],$C152,TblApplications[Environnement],$E152,TblApplications[Couloir],$F152)&gt;1,"Déploiement en doublon (ID + env + couloir)",IF(AND(OR(OR($G152="À migrer",$G152="Migré"),OR($G152="À migrer",$G152="À décommissionner")),N($P152)&lt;=0),"Conso Dynatrace absente (onglet Dynatrace)",IF(OR(AND($P152&lt;&gt;"",NOT(ISNUMBER($P152))),AND($Q152&lt;&gt;"",NOT(ISNUMBER($Q152)))),"Ressource non numérique",IF(MIN(N($P152),N($Q152))&lt;0,"Ressource négative",IF(OR(AND($AH152&lt;&gt;"",OR(NOT(ISNUMBER($AH152)),$AH152&lt;0,$AH152&gt;1)),AND($AI152&lt;&gt;"",OR(NOT(ISNUMBER($AI152)),$AI152&lt;0,$AI152&gt;1))),"Marge spécifique invalide (0–100 %)",IF(OR(AND($U152&lt;&gt;"",NOT(ISNUMBER($U152))),AND($V152&lt;&gt;"",NOT(ISNUMBER($V152))),AND($W152&lt;&gt;"",NOT(ISNUMBER($W152)))),"Mois invalide",IF(AND(OR($G152="À migrer",$G152="À décommissionner"),COUNTIFS(TblClusters[Cluster],$I152,TblClusters[Plateforme],"IKS")=0),"Cluster IKS inconnu",IF(AND(OR($G152="À migrer",$G152="Migré"),COUNTIFS(TblClusters[Cluster],$O152,TblClusters[Plateforme],"ROKS")=0),"Cluster ROKS inconnu",IF(AND(OR($G152="À migrer",$G152="À décommissionner"),COUNTIFS(TblClusters[Cluster],$I152,TblClusters[Environnement],$E152)=0),"Environnement ≠ cluster IKS",IF(AND(OR($G152="À migrer",$G152="Migré"),COUNTIFS(TblClusters[Cluster],$O152,TblClusters[Environnement],$E152)=0),"Environnement ≠ cluster ROKS",IF(AND($G152="À migrer",OR($U152&gt;$V152,$V152&gt;$W152)),"Dates incohérentes (prov ≤ bascule ≤ libération)",IF(AND(OR($G152="À migrer",$G152="À décommissionner"),OR(N($AO152)&gt;SUMIFS(TblClusters[CPU initial (vCPU)],TblClusters[Cluster],$I152),N($AP152)&gt;SUMIFS(TblClusters[RAM initiale (Go)],TblClusters[Cluster],$I152))),"Forçage &gt; capacité du cluster source",IF(OR(AND($AA152&lt;&gt;"",$AA152&lt;p_debut),AND($AB152&lt;&gt;"",$AB152&gt;p_fin)),"Hors horizon (info)",IF(AND($G152="À migrer",$E152="PRD",COUNTIFS(TblApplications[ID],$C152,TblApplications[Environnement],"NPRD",TblApplications[Action],"À migrer")&gt;0,$AA152&lt;_xlfn.MINIFS(TblApplications[Mois prov (calc)],TblApplications[ID],$C152,TblApplications[Environnement],"NPRD")),"PRD avant NPRD (info)","OK")))))))))))))))))))))</f>
        <v/>
      </c>
      <c r="AH152" s="62"/>
      <c r="AI152" s="62"/>
      <c r="AJ152" s="27" t="str">
        <f>IF(OR($C152="",NOT(OR($G152="À migrer",$G152="À décommissionner")),NOT(ISNUMBER($S152)),NOT(ISNUMBER($T152)),$AB152=""),"",($S152+p_poidsram*$T152)*SUMIFS(TblCalculs[Coût par unité],TblCalculs[Cluster],$I152,TblCalculs[Mois],"&lt;"&amp;$AB152))</f>
        <v/>
      </c>
      <c r="AK152" s="27" t="str">
        <f>IF($C152="","",IF(AND($G152="À migrer",$H152="Non",$Y152&lt;&gt;"",$AA152&lt;&gt;""),($Y152+p_poidsram*$Z152)*SUMIFS(TblCalculs[Coût par unité],TblCalculs[Cluster],$O152,TblCalculs[Mois],"&gt;="&amp;$AA152),IF(AND($G152="Migré",$Y152&lt;&gt;""),($Y152+p_poidsram*$Z152)*SUMIFS(TblCalculs[Coût par unité],TblCalculs[Cluster],$O152),"")))</f>
        <v/>
      </c>
      <c r="AL152" s="27" t="str">
        <f t="shared" si="22"/>
        <v/>
      </c>
      <c r="AM152" s="26" t="str">
        <f t="shared" si="23"/>
        <v/>
      </c>
      <c r="AN152" s="26" t="str">
        <f>IF(OR($C152="",$AM152&lt;&gt;1,COUNTIFS($E152,ex_envc,$A152,ex_domc,$B152,ex_tric)=0),"",COUNTIFS($AM$6:$AM152,1,$E$6:$E152,ex_envc,$A$6:$A152,ex_domc,$B$6:$B152,ex_tric))</f>
        <v/>
      </c>
      <c r="AO152" s="63"/>
      <c r="AP152" s="63"/>
      <c r="AQ152" s="63"/>
      <c r="AR152" s="63"/>
    </row>
    <row r="153" spans="1:44" x14ac:dyDescent="0.2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26" t="str">
        <f t="shared" si="16"/>
        <v/>
      </c>
      <c r="O153" s="59"/>
      <c r="P153" s="60" t="str">
        <f>IF($C153="","",IF($AQ153&lt;&gt;"",$AQ153,SUMIFS(TblDynatrace[CPU P95 (vCPU)],TblDynatrace[ID],$C153,TblDynatrace[Environnement],$E153,TblDynatrace[Couloir],$F153)))</f>
        <v/>
      </c>
      <c r="Q153" s="60" t="str">
        <f>IF($C153="","",IF($AR153&lt;&gt;"",$AR153,SUMIFS(TblDynatrace[RAM P95 (Go)],TblDynatrace[ID],$C153,TblDynatrace[Environnement],$E153,TblDynatrace[Couloir],$F153)))</f>
        <v/>
      </c>
      <c r="R153" s="26" t="str">
        <f>IF($C153="","",IFERROR(INDEX(TblDynatrace[Métrique / période],MATCH($C153&amp;"|"&amp;$E153&amp;"|"&amp;$F153,TblDynatrace[Clé],0)),""))</f>
        <v/>
      </c>
      <c r="S153" s="60" t="str">
        <f>IF(OR($C153="",NOT(OR($G153="À migrer",$G153="À décommissionner")),$I153="",NOT(ISNUMBER($P153))),"",IF($AO153&lt;&gt;"",$AO153,IFERROR(SUMIFS(TblClusters[CPU initial (vCPU)],TblClusters[Cluster],$I153)*$P153/(SUMIFS(TblApplications[CPU Dynatrace (vCPU)],TblApplications[Cluster IKS source],$I153,TblApplications[Action],"À migrer")+SUMIFS(TblApplications[CPU Dynatrace (vCPU)],TblApplications[Cluster IKS source],$I153,TblApplications[Action],"À décommissionner")),0)))</f>
        <v/>
      </c>
      <c r="T153" s="60" t="str">
        <f>IF(OR($C153="",NOT(OR($G153="À migrer",$G153="À décommissionner")),$I153="",NOT(ISNUMBER($Q153))),"",IF($AP153&lt;&gt;"",$AP153,IFERROR(SUMIFS(TblClusters[RAM initiale (Go)],TblClusters[Cluster],$I153)*$Q153/(SUMIFS(TblApplications[RAM Dynatrace (Go)],TblApplications[Cluster IKS source],$I153,TblApplications[Action],"À migrer")+SUMIFS(TblApplications[RAM Dynatrace (Go)],TblApplications[Cluster IKS source],$I153,TblApplications[Action],"À décommissionner")),0)))</f>
        <v/>
      </c>
      <c r="U153" s="61"/>
      <c r="V153" s="61"/>
      <c r="W153" s="61"/>
      <c r="X153" s="59"/>
      <c r="Y153" s="26" t="str">
        <f t="shared" si="17"/>
        <v/>
      </c>
      <c r="Z153" s="26" t="str">
        <f t="shared" si="18"/>
        <v/>
      </c>
      <c r="AA153" s="33" t="str">
        <f t="shared" si="19"/>
        <v/>
      </c>
      <c r="AB153" s="33" t="str">
        <f t="shared" si="20"/>
        <v/>
      </c>
      <c r="AC153" s="26" t="str">
        <f t="shared" si="21"/>
        <v/>
      </c>
      <c r="AD153" s="26" t="str">
        <f>IF($C153="","",COUNTIF(TblApplications[ID],$C153))</f>
        <v/>
      </c>
      <c r="AE153" s="33" t="str">
        <f>IF($C153="","",IFERROR(1/(1/_xlfn.MINIFS(TblApplications[Mois prov (calc)],TblApplications[ID],$C153)),""))</f>
        <v/>
      </c>
      <c r="AF153" s="33" t="str">
        <f>IF($C153="","",IFERROR(1/(1/_xlfn.MAXIFS(TblApplications[Mois lib (calc)],TblApplications[ID],$C153)),""))</f>
        <v/>
      </c>
      <c r="AG153" s="26" t="str">
        <f>IF($C153="","",IF(OR(OR($A153="",$B153="",$D153="",$E153="",$F153="",$G153=""),AND($G153="À migrer",OR($H153="",$I153="",$O153="",$U153="",$V153="",$W153="")),AND($G153="Migré",OR($O153="")),AND($G153="À décommissionner",OR($I153="",$W153=""))),"Données manquantes (selon l’action)",IF(AND($G153&lt;&gt;"Migré",$G153&lt;&gt;"À migrer",$G153&lt;&gt;"À décommissionner",$G153&lt;&gt;"Décommissionné"),"Action invalide",IF(COUNTIF(TblDomaines[Domaine],$A153)=0,"Domaine inconnu (référentiel)",IF(COUNTIFS(TblTribes[Tribe],$B153,TblTribes[Domaine de la tribe],$A153)=0,"Tribe inconnue ou hors domaine",IF(AND($G153="À migrer",$H153&lt;&gt;"Oui",$H153&lt;&gt;"Non"),"Valeur Oui/Non invalide (Déjà incluse ROKS)",IF(AND($E153&lt;&gt;"PRD",$E153&lt;&gt;"NPRD"),"Environnement invalide",IF(COUNTIFS(TblApplications[ID],$C153,TblApplications[Environnement],$E153,TblApplications[Couloir],$F153)&gt;1,"Déploiement en doublon (ID + env + couloir)",IF(AND(OR(OR($G153="À migrer",$G153="Migré"),OR($G153="À migrer",$G153="À décommissionner")),N($P153)&lt;=0),"Conso Dynatrace absente (onglet Dynatrace)",IF(OR(AND($P153&lt;&gt;"",NOT(ISNUMBER($P153))),AND($Q153&lt;&gt;"",NOT(ISNUMBER($Q153)))),"Ressource non numérique",IF(MIN(N($P153),N($Q153))&lt;0,"Ressource négative",IF(OR(AND($AH153&lt;&gt;"",OR(NOT(ISNUMBER($AH153)),$AH153&lt;0,$AH153&gt;1)),AND($AI153&lt;&gt;"",OR(NOT(ISNUMBER($AI153)),$AI153&lt;0,$AI153&gt;1))),"Marge spécifique invalide (0–100 %)",IF(OR(AND($U153&lt;&gt;"",NOT(ISNUMBER($U153))),AND($V153&lt;&gt;"",NOT(ISNUMBER($V153))),AND($W153&lt;&gt;"",NOT(ISNUMBER($W153)))),"Mois invalide",IF(AND(OR($G153="À migrer",$G153="À décommissionner"),COUNTIFS(TblClusters[Cluster],$I153,TblClusters[Plateforme],"IKS")=0),"Cluster IKS inconnu",IF(AND(OR($G153="À migrer",$G153="Migré"),COUNTIFS(TblClusters[Cluster],$O153,TblClusters[Plateforme],"ROKS")=0),"Cluster ROKS inconnu",IF(AND(OR($G153="À migrer",$G153="À décommissionner"),COUNTIFS(TblClusters[Cluster],$I153,TblClusters[Environnement],$E153)=0),"Environnement ≠ cluster IKS",IF(AND(OR($G153="À migrer",$G153="Migré"),COUNTIFS(TblClusters[Cluster],$O153,TblClusters[Environnement],$E153)=0),"Environnement ≠ cluster ROKS",IF(AND($G153="À migrer",OR($U153&gt;$V153,$V153&gt;$W153)),"Dates incohérentes (prov ≤ bascule ≤ libération)",IF(AND(OR($G153="À migrer",$G153="À décommissionner"),OR(N($AO153)&gt;SUMIFS(TblClusters[CPU initial (vCPU)],TblClusters[Cluster],$I153),N($AP153)&gt;SUMIFS(TblClusters[RAM initiale (Go)],TblClusters[Cluster],$I153))),"Forçage &gt; capacité du cluster source",IF(OR(AND($AA153&lt;&gt;"",$AA153&lt;p_debut),AND($AB153&lt;&gt;"",$AB153&gt;p_fin)),"Hors horizon (info)",IF(AND($G153="À migrer",$E153="PRD",COUNTIFS(TblApplications[ID],$C153,TblApplications[Environnement],"NPRD",TblApplications[Action],"À migrer")&gt;0,$AA153&lt;_xlfn.MINIFS(TblApplications[Mois prov (calc)],TblApplications[ID],$C153,TblApplications[Environnement],"NPRD")),"PRD avant NPRD (info)","OK")))))))))))))))))))))</f>
        <v/>
      </c>
      <c r="AH153" s="62"/>
      <c r="AI153" s="62"/>
      <c r="AJ153" s="27" t="str">
        <f>IF(OR($C153="",NOT(OR($G153="À migrer",$G153="À décommissionner")),NOT(ISNUMBER($S153)),NOT(ISNUMBER($T153)),$AB153=""),"",($S153+p_poidsram*$T153)*SUMIFS(TblCalculs[Coût par unité],TblCalculs[Cluster],$I153,TblCalculs[Mois],"&lt;"&amp;$AB153))</f>
        <v/>
      </c>
      <c r="AK153" s="27" t="str">
        <f>IF($C153="","",IF(AND($G153="À migrer",$H153="Non",$Y153&lt;&gt;"",$AA153&lt;&gt;""),($Y153+p_poidsram*$Z153)*SUMIFS(TblCalculs[Coût par unité],TblCalculs[Cluster],$O153,TblCalculs[Mois],"&gt;="&amp;$AA153),IF(AND($G153="Migré",$Y153&lt;&gt;""),($Y153+p_poidsram*$Z153)*SUMIFS(TblCalculs[Coût par unité],TblCalculs[Cluster],$O153),"")))</f>
        <v/>
      </c>
      <c r="AL153" s="27" t="str">
        <f t="shared" si="22"/>
        <v/>
      </c>
      <c r="AM153" s="26" t="str">
        <f t="shared" si="23"/>
        <v/>
      </c>
      <c r="AN153" s="26" t="str">
        <f>IF(OR($C153="",$AM153&lt;&gt;1,COUNTIFS($E153,ex_envc,$A153,ex_domc,$B153,ex_tric)=0),"",COUNTIFS($AM$6:$AM153,1,$E$6:$E153,ex_envc,$A$6:$A153,ex_domc,$B$6:$B153,ex_tric))</f>
        <v/>
      </c>
      <c r="AO153" s="63"/>
      <c r="AP153" s="63"/>
      <c r="AQ153" s="63"/>
      <c r="AR153" s="63"/>
    </row>
    <row r="154" spans="1:44" x14ac:dyDescent="0.2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26" t="str">
        <f t="shared" si="16"/>
        <v/>
      </c>
      <c r="O154" s="59"/>
      <c r="P154" s="60" t="str">
        <f>IF($C154="","",IF($AQ154&lt;&gt;"",$AQ154,SUMIFS(TblDynatrace[CPU P95 (vCPU)],TblDynatrace[ID],$C154,TblDynatrace[Environnement],$E154,TblDynatrace[Couloir],$F154)))</f>
        <v/>
      </c>
      <c r="Q154" s="60" t="str">
        <f>IF($C154="","",IF($AR154&lt;&gt;"",$AR154,SUMIFS(TblDynatrace[RAM P95 (Go)],TblDynatrace[ID],$C154,TblDynatrace[Environnement],$E154,TblDynatrace[Couloir],$F154)))</f>
        <v/>
      </c>
      <c r="R154" s="26" t="str">
        <f>IF($C154="","",IFERROR(INDEX(TblDynatrace[Métrique / période],MATCH($C154&amp;"|"&amp;$E154&amp;"|"&amp;$F154,TblDynatrace[Clé],0)),""))</f>
        <v/>
      </c>
      <c r="S154" s="60" t="str">
        <f>IF(OR($C154="",NOT(OR($G154="À migrer",$G154="À décommissionner")),$I154="",NOT(ISNUMBER($P154))),"",IF($AO154&lt;&gt;"",$AO154,IFERROR(SUMIFS(TblClusters[CPU initial (vCPU)],TblClusters[Cluster],$I154)*$P154/(SUMIFS(TblApplications[CPU Dynatrace (vCPU)],TblApplications[Cluster IKS source],$I154,TblApplications[Action],"À migrer")+SUMIFS(TblApplications[CPU Dynatrace (vCPU)],TblApplications[Cluster IKS source],$I154,TblApplications[Action],"À décommissionner")),0)))</f>
        <v/>
      </c>
      <c r="T154" s="60" t="str">
        <f>IF(OR($C154="",NOT(OR($G154="À migrer",$G154="À décommissionner")),$I154="",NOT(ISNUMBER($Q154))),"",IF($AP154&lt;&gt;"",$AP154,IFERROR(SUMIFS(TblClusters[RAM initiale (Go)],TblClusters[Cluster],$I154)*$Q154/(SUMIFS(TblApplications[RAM Dynatrace (Go)],TblApplications[Cluster IKS source],$I154,TblApplications[Action],"À migrer")+SUMIFS(TblApplications[RAM Dynatrace (Go)],TblApplications[Cluster IKS source],$I154,TblApplications[Action],"À décommissionner")),0)))</f>
        <v/>
      </c>
      <c r="U154" s="61"/>
      <c r="V154" s="61"/>
      <c r="W154" s="61"/>
      <c r="X154" s="59"/>
      <c r="Y154" s="26" t="str">
        <f t="shared" si="17"/>
        <v/>
      </c>
      <c r="Z154" s="26" t="str">
        <f t="shared" si="18"/>
        <v/>
      </c>
      <c r="AA154" s="33" t="str">
        <f t="shared" si="19"/>
        <v/>
      </c>
      <c r="AB154" s="33" t="str">
        <f t="shared" si="20"/>
        <v/>
      </c>
      <c r="AC154" s="26" t="str">
        <f t="shared" si="21"/>
        <v/>
      </c>
      <c r="AD154" s="26" t="str">
        <f>IF($C154="","",COUNTIF(TblApplications[ID],$C154))</f>
        <v/>
      </c>
      <c r="AE154" s="33" t="str">
        <f>IF($C154="","",IFERROR(1/(1/_xlfn.MINIFS(TblApplications[Mois prov (calc)],TblApplications[ID],$C154)),""))</f>
        <v/>
      </c>
      <c r="AF154" s="33" t="str">
        <f>IF($C154="","",IFERROR(1/(1/_xlfn.MAXIFS(TblApplications[Mois lib (calc)],TblApplications[ID],$C154)),""))</f>
        <v/>
      </c>
      <c r="AG154" s="26" t="str">
        <f>IF($C154="","",IF(OR(OR($A154="",$B154="",$D154="",$E154="",$F154="",$G154=""),AND($G154="À migrer",OR($H154="",$I154="",$O154="",$U154="",$V154="",$W154="")),AND($G154="Migré",OR($O154="")),AND($G154="À décommissionner",OR($I154="",$W154=""))),"Données manquantes (selon l’action)",IF(AND($G154&lt;&gt;"Migré",$G154&lt;&gt;"À migrer",$G154&lt;&gt;"À décommissionner",$G154&lt;&gt;"Décommissionné"),"Action invalide",IF(COUNTIF(TblDomaines[Domaine],$A154)=0,"Domaine inconnu (référentiel)",IF(COUNTIFS(TblTribes[Tribe],$B154,TblTribes[Domaine de la tribe],$A154)=0,"Tribe inconnue ou hors domaine",IF(AND($G154="À migrer",$H154&lt;&gt;"Oui",$H154&lt;&gt;"Non"),"Valeur Oui/Non invalide (Déjà incluse ROKS)",IF(AND($E154&lt;&gt;"PRD",$E154&lt;&gt;"NPRD"),"Environnement invalide",IF(COUNTIFS(TblApplications[ID],$C154,TblApplications[Environnement],$E154,TblApplications[Couloir],$F154)&gt;1,"Déploiement en doublon (ID + env + couloir)",IF(AND(OR(OR($G154="À migrer",$G154="Migré"),OR($G154="À migrer",$G154="À décommissionner")),N($P154)&lt;=0),"Conso Dynatrace absente (onglet Dynatrace)",IF(OR(AND($P154&lt;&gt;"",NOT(ISNUMBER($P154))),AND($Q154&lt;&gt;"",NOT(ISNUMBER($Q154)))),"Ressource non numérique",IF(MIN(N($P154),N($Q154))&lt;0,"Ressource négative",IF(OR(AND($AH154&lt;&gt;"",OR(NOT(ISNUMBER($AH154)),$AH154&lt;0,$AH154&gt;1)),AND($AI154&lt;&gt;"",OR(NOT(ISNUMBER($AI154)),$AI154&lt;0,$AI154&gt;1))),"Marge spécifique invalide (0–100 %)",IF(OR(AND($U154&lt;&gt;"",NOT(ISNUMBER($U154))),AND($V154&lt;&gt;"",NOT(ISNUMBER($V154))),AND($W154&lt;&gt;"",NOT(ISNUMBER($W154)))),"Mois invalide",IF(AND(OR($G154="À migrer",$G154="À décommissionner"),COUNTIFS(TblClusters[Cluster],$I154,TblClusters[Plateforme],"IKS")=0),"Cluster IKS inconnu",IF(AND(OR($G154="À migrer",$G154="Migré"),COUNTIFS(TblClusters[Cluster],$O154,TblClusters[Plateforme],"ROKS")=0),"Cluster ROKS inconnu",IF(AND(OR($G154="À migrer",$G154="À décommissionner"),COUNTIFS(TblClusters[Cluster],$I154,TblClusters[Environnement],$E154)=0),"Environnement ≠ cluster IKS",IF(AND(OR($G154="À migrer",$G154="Migré"),COUNTIFS(TblClusters[Cluster],$O154,TblClusters[Environnement],$E154)=0),"Environnement ≠ cluster ROKS",IF(AND($G154="À migrer",OR($U154&gt;$V154,$V154&gt;$W154)),"Dates incohérentes (prov ≤ bascule ≤ libération)",IF(AND(OR($G154="À migrer",$G154="À décommissionner"),OR(N($AO154)&gt;SUMIFS(TblClusters[CPU initial (vCPU)],TblClusters[Cluster],$I154),N($AP154)&gt;SUMIFS(TblClusters[RAM initiale (Go)],TblClusters[Cluster],$I154))),"Forçage &gt; capacité du cluster source",IF(OR(AND($AA154&lt;&gt;"",$AA154&lt;p_debut),AND($AB154&lt;&gt;"",$AB154&gt;p_fin)),"Hors horizon (info)",IF(AND($G154="À migrer",$E154="PRD",COUNTIFS(TblApplications[ID],$C154,TblApplications[Environnement],"NPRD",TblApplications[Action],"À migrer")&gt;0,$AA154&lt;_xlfn.MINIFS(TblApplications[Mois prov (calc)],TblApplications[ID],$C154,TblApplications[Environnement],"NPRD")),"PRD avant NPRD (info)","OK")))))))))))))))))))))</f>
        <v/>
      </c>
      <c r="AH154" s="62"/>
      <c r="AI154" s="62"/>
      <c r="AJ154" s="27" t="str">
        <f>IF(OR($C154="",NOT(OR($G154="À migrer",$G154="À décommissionner")),NOT(ISNUMBER($S154)),NOT(ISNUMBER($T154)),$AB154=""),"",($S154+p_poidsram*$T154)*SUMIFS(TblCalculs[Coût par unité],TblCalculs[Cluster],$I154,TblCalculs[Mois],"&lt;"&amp;$AB154))</f>
        <v/>
      </c>
      <c r="AK154" s="27" t="str">
        <f>IF($C154="","",IF(AND($G154="À migrer",$H154="Non",$Y154&lt;&gt;"",$AA154&lt;&gt;""),($Y154+p_poidsram*$Z154)*SUMIFS(TblCalculs[Coût par unité],TblCalculs[Cluster],$O154,TblCalculs[Mois],"&gt;="&amp;$AA154),IF(AND($G154="Migré",$Y154&lt;&gt;""),($Y154+p_poidsram*$Z154)*SUMIFS(TblCalculs[Coût par unité],TblCalculs[Cluster],$O154),"")))</f>
        <v/>
      </c>
      <c r="AL154" s="27" t="str">
        <f t="shared" si="22"/>
        <v/>
      </c>
      <c r="AM154" s="26" t="str">
        <f t="shared" si="23"/>
        <v/>
      </c>
      <c r="AN154" s="26" t="str">
        <f>IF(OR($C154="",$AM154&lt;&gt;1,COUNTIFS($E154,ex_envc,$A154,ex_domc,$B154,ex_tric)=0),"",COUNTIFS($AM$6:$AM154,1,$E$6:$E154,ex_envc,$A$6:$A154,ex_domc,$B$6:$B154,ex_tric))</f>
        <v/>
      </c>
      <c r="AO154" s="63"/>
      <c r="AP154" s="63"/>
      <c r="AQ154" s="63"/>
      <c r="AR154" s="63"/>
    </row>
    <row r="155" spans="1:44" x14ac:dyDescent="0.2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26" t="str">
        <f t="shared" si="16"/>
        <v/>
      </c>
      <c r="O155" s="59"/>
      <c r="P155" s="60" t="str">
        <f>IF($C155="","",IF($AQ155&lt;&gt;"",$AQ155,SUMIFS(TblDynatrace[CPU P95 (vCPU)],TblDynatrace[ID],$C155,TblDynatrace[Environnement],$E155,TblDynatrace[Couloir],$F155)))</f>
        <v/>
      </c>
      <c r="Q155" s="60" t="str">
        <f>IF($C155="","",IF($AR155&lt;&gt;"",$AR155,SUMIFS(TblDynatrace[RAM P95 (Go)],TblDynatrace[ID],$C155,TblDynatrace[Environnement],$E155,TblDynatrace[Couloir],$F155)))</f>
        <v/>
      </c>
      <c r="R155" s="26" t="str">
        <f>IF($C155="","",IFERROR(INDEX(TblDynatrace[Métrique / période],MATCH($C155&amp;"|"&amp;$E155&amp;"|"&amp;$F155,TblDynatrace[Clé],0)),""))</f>
        <v/>
      </c>
      <c r="S155" s="60" t="str">
        <f>IF(OR($C155="",NOT(OR($G155="À migrer",$G155="À décommissionner")),$I155="",NOT(ISNUMBER($P155))),"",IF($AO155&lt;&gt;"",$AO155,IFERROR(SUMIFS(TblClusters[CPU initial (vCPU)],TblClusters[Cluster],$I155)*$P155/(SUMIFS(TblApplications[CPU Dynatrace (vCPU)],TblApplications[Cluster IKS source],$I155,TblApplications[Action],"À migrer")+SUMIFS(TblApplications[CPU Dynatrace (vCPU)],TblApplications[Cluster IKS source],$I155,TblApplications[Action],"À décommissionner")),0)))</f>
        <v/>
      </c>
      <c r="T155" s="60" t="str">
        <f>IF(OR($C155="",NOT(OR($G155="À migrer",$G155="À décommissionner")),$I155="",NOT(ISNUMBER($Q155))),"",IF($AP155&lt;&gt;"",$AP155,IFERROR(SUMIFS(TblClusters[RAM initiale (Go)],TblClusters[Cluster],$I155)*$Q155/(SUMIFS(TblApplications[RAM Dynatrace (Go)],TblApplications[Cluster IKS source],$I155,TblApplications[Action],"À migrer")+SUMIFS(TblApplications[RAM Dynatrace (Go)],TblApplications[Cluster IKS source],$I155,TblApplications[Action],"À décommissionner")),0)))</f>
        <v/>
      </c>
      <c r="U155" s="61"/>
      <c r="V155" s="61"/>
      <c r="W155" s="61"/>
      <c r="X155" s="59"/>
      <c r="Y155" s="26" t="str">
        <f t="shared" si="17"/>
        <v/>
      </c>
      <c r="Z155" s="26" t="str">
        <f t="shared" si="18"/>
        <v/>
      </c>
      <c r="AA155" s="33" t="str">
        <f t="shared" si="19"/>
        <v/>
      </c>
      <c r="AB155" s="33" t="str">
        <f t="shared" si="20"/>
        <v/>
      </c>
      <c r="AC155" s="26" t="str">
        <f t="shared" si="21"/>
        <v/>
      </c>
      <c r="AD155" s="26" t="str">
        <f>IF($C155="","",COUNTIF(TblApplications[ID],$C155))</f>
        <v/>
      </c>
      <c r="AE155" s="33" t="str">
        <f>IF($C155="","",IFERROR(1/(1/_xlfn.MINIFS(TblApplications[Mois prov (calc)],TblApplications[ID],$C155)),""))</f>
        <v/>
      </c>
      <c r="AF155" s="33" t="str">
        <f>IF($C155="","",IFERROR(1/(1/_xlfn.MAXIFS(TblApplications[Mois lib (calc)],TblApplications[ID],$C155)),""))</f>
        <v/>
      </c>
      <c r="AG155" s="26" t="str">
        <f>IF($C155="","",IF(OR(OR($A155="",$B155="",$D155="",$E155="",$F155="",$G155=""),AND($G155="À migrer",OR($H155="",$I155="",$O155="",$U155="",$V155="",$W155="")),AND($G155="Migré",OR($O155="")),AND($G155="À décommissionner",OR($I155="",$W155=""))),"Données manquantes (selon l’action)",IF(AND($G155&lt;&gt;"Migré",$G155&lt;&gt;"À migrer",$G155&lt;&gt;"À décommissionner",$G155&lt;&gt;"Décommissionné"),"Action invalide",IF(COUNTIF(TblDomaines[Domaine],$A155)=0,"Domaine inconnu (référentiel)",IF(COUNTIFS(TblTribes[Tribe],$B155,TblTribes[Domaine de la tribe],$A155)=0,"Tribe inconnue ou hors domaine",IF(AND($G155="À migrer",$H155&lt;&gt;"Oui",$H155&lt;&gt;"Non"),"Valeur Oui/Non invalide (Déjà incluse ROKS)",IF(AND($E155&lt;&gt;"PRD",$E155&lt;&gt;"NPRD"),"Environnement invalide",IF(COUNTIFS(TblApplications[ID],$C155,TblApplications[Environnement],$E155,TblApplications[Couloir],$F155)&gt;1,"Déploiement en doublon (ID + env + couloir)",IF(AND(OR(OR($G155="À migrer",$G155="Migré"),OR($G155="À migrer",$G155="À décommissionner")),N($P155)&lt;=0),"Conso Dynatrace absente (onglet Dynatrace)",IF(OR(AND($P155&lt;&gt;"",NOT(ISNUMBER($P155))),AND($Q155&lt;&gt;"",NOT(ISNUMBER($Q155)))),"Ressource non numérique",IF(MIN(N($P155),N($Q155))&lt;0,"Ressource négative",IF(OR(AND($AH155&lt;&gt;"",OR(NOT(ISNUMBER($AH155)),$AH155&lt;0,$AH155&gt;1)),AND($AI155&lt;&gt;"",OR(NOT(ISNUMBER($AI155)),$AI155&lt;0,$AI155&gt;1))),"Marge spécifique invalide (0–100 %)",IF(OR(AND($U155&lt;&gt;"",NOT(ISNUMBER($U155))),AND($V155&lt;&gt;"",NOT(ISNUMBER($V155))),AND($W155&lt;&gt;"",NOT(ISNUMBER($W155)))),"Mois invalide",IF(AND(OR($G155="À migrer",$G155="À décommissionner"),COUNTIFS(TblClusters[Cluster],$I155,TblClusters[Plateforme],"IKS")=0),"Cluster IKS inconnu",IF(AND(OR($G155="À migrer",$G155="Migré"),COUNTIFS(TblClusters[Cluster],$O155,TblClusters[Plateforme],"ROKS")=0),"Cluster ROKS inconnu",IF(AND(OR($G155="À migrer",$G155="À décommissionner"),COUNTIFS(TblClusters[Cluster],$I155,TblClusters[Environnement],$E155)=0),"Environnement ≠ cluster IKS",IF(AND(OR($G155="À migrer",$G155="Migré"),COUNTIFS(TblClusters[Cluster],$O155,TblClusters[Environnement],$E155)=0),"Environnement ≠ cluster ROKS",IF(AND($G155="À migrer",OR($U155&gt;$V155,$V155&gt;$W155)),"Dates incohérentes (prov ≤ bascule ≤ libération)",IF(AND(OR($G155="À migrer",$G155="À décommissionner"),OR(N($AO155)&gt;SUMIFS(TblClusters[CPU initial (vCPU)],TblClusters[Cluster],$I155),N($AP155)&gt;SUMIFS(TblClusters[RAM initiale (Go)],TblClusters[Cluster],$I155))),"Forçage &gt; capacité du cluster source",IF(OR(AND($AA155&lt;&gt;"",$AA155&lt;p_debut),AND($AB155&lt;&gt;"",$AB155&gt;p_fin)),"Hors horizon (info)",IF(AND($G155="À migrer",$E155="PRD",COUNTIFS(TblApplications[ID],$C155,TblApplications[Environnement],"NPRD",TblApplications[Action],"À migrer")&gt;0,$AA155&lt;_xlfn.MINIFS(TblApplications[Mois prov (calc)],TblApplications[ID],$C155,TblApplications[Environnement],"NPRD")),"PRD avant NPRD (info)","OK")))))))))))))))))))))</f>
        <v/>
      </c>
      <c r="AH155" s="62"/>
      <c r="AI155" s="62"/>
      <c r="AJ155" s="27" t="str">
        <f>IF(OR($C155="",NOT(OR($G155="À migrer",$G155="À décommissionner")),NOT(ISNUMBER($S155)),NOT(ISNUMBER($T155)),$AB155=""),"",($S155+p_poidsram*$T155)*SUMIFS(TblCalculs[Coût par unité],TblCalculs[Cluster],$I155,TblCalculs[Mois],"&lt;"&amp;$AB155))</f>
        <v/>
      </c>
      <c r="AK155" s="27" t="str">
        <f>IF($C155="","",IF(AND($G155="À migrer",$H155="Non",$Y155&lt;&gt;"",$AA155&lt;&gt;""),($Y155+p_poidsram*$Z155)*SUMIFS(TblCalculs[Coût par unité],TblCalculs[Cluster],$O155,TblCalculs[Mois],"&gt;="&amp;$AA155),IF(AND($G155="Migré",$Y155&lt;&gt;""),($Y155+p_poidsram*$Z155)*SUMIFS(TblCalculs[Coût par unité],TblCalculs[Cluster],$O155),"")))</f>
        <v/>
      </c>
      <c r="AL155" s="27" t="str">
        <f t="shared" si="22"/>
        <v/>
      </c>
      <c r="AM155" s="26" t="str">
        <f t="shared" si="23"/>
        <v/>
      </c>
      <c r="AN155" s="26" t="str">
        <f>IF(OR($C155="",$AM155&lt;&gt;1,COUNTIFS($E155,ex_envc,$A155,ex_domc,$B155,ex_tric)=0),"",COUNTIFS($AM$6:$AM155,1,$E$6:$E155,ex_envc,$A$6:$A155,ex_domc,$B$6:$B155,ex_tric))</f>
        <v/>
      </c>
      <c r="AO155" s="63"/>
      <c r="AP155" s="63"/>
      <c r="AQ155" s="63"/>
      <c r="AR155" s="63"/>
    </row>
    <row r="156" spans="1:44" x14ac:dyDescent="0.2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26" t="str">
        <f t="shared" si="16"/>
        <v/>
      </c>
      <c r="O156" s="59"/>
      <c r="P156" s="60" t="str">
        <f>IF($C156="","",IF($AQ156&lt;&gt;"",$AQ156,SUMIFS(TblDynatrace[CPU P95 (vCPU)],TblDynatrace[ID],$C156,TblDynatrace[Environnement],$E156,TblDynatrace[Couloir],$F156)))</f>
        <v/>
      </c>
      <c r="Q156" s="60" t="str">
        <f>IF($C156="","",IF($AR156&lt;&gt;"",$AR156,SUMIFS(TblDynatrace[RAM P95 (Go)],TblDynatrace[ID],$C156,TblDynatrace[Environnement],$E156,TblDynatrace[Couloir],$F156)))</f>
        <v/>
      </c>
      <c r="R156" s="26" t="str">
        <f>IF($C156="","",IFERROR(INDEX(TblDynatrace[Métrique / période],MATCH($C156&amp;"|"&amp;$E156&amp;"|"&amp;$F156,TblDynatrace[Clé],0)),""))</f>
        <v/>
      </c>
      <c r="S156" s="60" t="str">
        <f>IF(OR($C156="",NOT(OR($G156="À migrer",$G156="À décommissionner")),$I156="",NOT(ISNUMBER($P156))),"",IF($AO156&lt;&gt;"",$AO156,IFERROR(SUMIFS(TblClusters[CPU initial (vCPU)],TblClusters[Cluster],$I156)*$P156/(SUMIFS(TblApplications[CPU Dynatrace (vCPU)],TblApplications[Cluster IKS source],$I156,TblApplications[Action],"À migrer")+SUMIFS(TblApplications[CPU Dynatrace (vCPU)],TblApplications[Cluster IKS source],$I156,TblApplications[Action],"À décommissionner")),0)))</f>
        <v/>
      </c>
      <c r="T156" s="60" t="str">
        <f>IF(OR($C156="",NOT(OR($G156="À migrer",$G156="À décommissionner")),$I156="",NOT(ISNUMBER($Q156))),"",IF($AP156&lt;&gt;"",$AP156,IFERROR(SUMIFS(TblClusters[RAM initiale (Go)],TblClusters[Cluster],$I156)*$Q156/(SUMIFS(TblApplications[RAM Dynatrace (Go)],TblApplications[Cluster IKS source],$I156,TblApplications[Action],"À migrer")+SUMIFS(TblApplications[RAM Dynatrace (Go)],TblApplications[Cluster IKS source],$I156,TblApplications[Action],"À décommissionner")),0)))</f>
        <v/>
      </c>
      <c r="U156" s="61"/>
      <c r="V156" s="61"/>
      <c r="W156" s="61"/>
      <c r="X156" s="59"/>
      <c r="Y156" s="26" t="str">
        <f t="shared" si="17"/>
        <v/>
      </c>
      <c r="Z156" s="26" t="str">
        <f t="shared" si="18"/>
        <v/>
      </c>
      <c r="AA156" s="33" t="str">
        <f t="shared" si="19"/>
        <v/>
      </c>
      <c r="AB156" s="33" t="str">
        <f t="shared" si="20"/>
        <v/>
      </c>
      <c r="AC156" s="26" t="str">
        <f t="shared" si="21"/>
        <v/>
      </c>
      <c r="AD156" s="26" t="str">
        <f>IF($C156="","",COUNTIF(TblApplications[ID],$C156))</f>
        <v/>
      </c>
      <c r="AE156" s="33" t="str">
        <f>IF($C156="","",IFERROR(1/(1/_xlfn.MINIFS(TblApplications[Mois prov (calc)],TblApplications[ID],$C156)),""))</f>
        <v/>
      </c>
      <c r="AF156" s="33" t="str">
        <f>IF($C156="","",IFERROR(1/(1/_xlfn.MAXIFS(TblApplications[Mois lib (calc)],TblApplications[ID],$C156)),""))</f>
        <v/>
      </c>
      <c r="AG156" s="26" t="str">
        <f>IF($C156="","",IF(OR(OR($A156="",$B156="",$D156="",$E156="",$F156="",$G156=""),AND($G156="À migrer",OR($H156="",$I156="",$O156="",$U156="",$V156="",$W156="")),AND($G156="Migré",OR($O156="")),AND($G156="À décommissionner",OR($I156="",$W156=""))),"Données manquantes (selon l’action)",IF(AND($G156&lt;&gt;"Migré",$G156&lt;&gt;"À migrer",$G156&lt;&gt;"À décommissionner",$G156&lt;&gt;"Décommissionné"),"Action invalide",IF(COUNTIF(TblDomaines[Domaine],$A156)=0,"Domaine inconnu (référentiel)",IF(COUNTIFS(TblTribes[Tribe],$B156,TblTribes[Domaine de la tribe],$A156)=0,"Tribe inconnue ou hors domaine",IF(AND($G156="À migrer",$H156&lt;&gt;"Oui",$H156&lt;&gt;"Non"),"Valeur Oui/Non invalide (Déjà incluse ROKS)",IF(AND($E156&lt;&gt;"PRD",$E156&lt;&gt;"NPRD"),"Environnement invalide",IF(COUNTIFS(TblApplications[ID],$C156,TblApplications[Environnement],$E156,TblApplications[Couloir],$F156)&gt;1,"Déploiement en doublon (ID + env + couloir)",IF(AND(OR(OR($G156="À migrer",$G156="Migré"),OR($G156="À migrer",$G156="À décommissionner")),N($P156)&lt;=0),"Conso Dynatrace absente (onglet Dynatrace)",IF(OR(AND($P156&lt;&gt;"",NOT(ISNUMBER($P156))),AND($Q156&lt;&gt;"",NOT(ISNUMBER($Q156)))),"Ressource non numérique",IF(MIN(N($P156),N($Q156))&lt;0,"Ressource négative",IF(OR(AND($AH156&lt;&gt;"",OR(NOT(ISNUMBER($AH156)),$AH156&lt;0,$AH156&gt;1)),AND($AI156&lt;&gt;"",OR(NOT(ISNUMBER($AI156)),$AI156&lt;0,$AI156&gt;1))),"Marge spécifique invalide (0–100 %)",IF(OR(AND($U156&lt;&gt;"",NOT(ISNUMBER($U156))),AND($V156&lt;&gt;"",NOT(ISNUMBER($V156))),AND($W156&lt;&gt;"",NOT(ISNUMBER($W156)))),"Mois invalide",IF(AND(OR($G156="À migrer",$G156="À décommissionner"),COUNTIFS(TblClusters[Cluster],$I156,TblClusters[Plateforme],"IKS")=0),"Cluster IKS inconnu",IF(AND(OR($G156="À migrer",$G156="Migré"),COUNTIFS(TblClusters[Cluster],$O156,TblClusters[Plateforme],"ROKS")=0),"Cluster ROKS inconnu",IF(AND(OR($G156="À migrer",$G156="À décommissionner"),COUNTIFS(TblClusters[Cluster],$I156,TblClusters[Environnement],$E156)=0),"Environnement ≠ cluster IKS",IF(AND(OR($G156="À migrer",$G156="Migré"),COUNTIFS(TblClusters[Cluster],$O156,TblClusters[Environnement],$E156)=0),"Environnement ≠ cluster ROKS",IF(AND($G156="À migrer",OR($U156&gt;$V156,$V156&gt;$W156)),"Dates incohérentes (prov ≤ bascule ≤ libération)",IF(AND(OR($G156="À migrer",$G156="À décommissionner"),OR(N($AO156)&gt;SUMIFS(TblClusters[CPU initial (vCPU)],TblClusters[Cluster],$I156),N($AP156)&gt;SUMIFS(TblClusters[RAM initiale (Go)],TblClusters[Cluster],$I156))),"Forçage &gt; capacité du cluster source",IF(OR(AND($AA156&lt;&gt;"",$AA156&lt;p_debut),AND($AB156&lt;&gt;"",$AB156&gt;p_fin)),"Hors horizon (info)",IF(AND($G156="À migrer",$E156="PRD",COUNTIFS(TblApplications[ID],$C156,TblApplications[Environnement],"NPRD",TblApplications[Action],"À migrer")&gt;0,$AA156&lt;_xlfn.MINIFS(TblApplications[Mois prov (calc)],TblApplications[ID],$C156,TblApplications[Environnement],"NPRD")),"PRD avant NPRD (info)","OK")))))))))))))))))))))</f>
        <v/>
      </c>
      <c r="AH156" s="62"/>
      <c r="AI156" s="62"/>
      <c r="AJ156" s="27" t="str">
        <f>IF(OR($C156="",NOT(OR($G156="À migrer",$G156="À décommissionner")),NOT(ISNUMBER($S156)),NOT(ISNUMBER($T156)),$AB156=""),"",($S156+p_poidsram*$T156)*SUMIFS(TblCalculs[Coût par unité],TblCalculs[Cluster],$I156,TblCalculs[Mois],"&lt;"&amp;$AB156))</f>
        <v/>
      </c>
      <c r="AK156" s="27" t="str">
        <f>IF($C156="","",IF(AND($G156="À migrer",$H156="Non",$Y156&lt;&gt;"",$AA156&lt;&gt;""),($Y156+p_poidsram*$Z156)*SUMIFS(TblCalculs[Coût par unité],TblCalculs[Cluster],$O156,TblCalculs[Mois],"&gt;="&amp;$AA156),IF(AND($G156="Migré",$Y156&lt;&gt;""),($Y156+p_poidsram*$Z156)*SUMIFS(TblCalculs[Coût par unité],TblCalculs[Cluster],$O156),"")))</f>
        <v/>
      </c>
      <c r="AL156" s="27" t="str">
        <f t="shared" si="22"/>
        <v/>
      </c>
      <c r="AM156" s="26" t="str">
        <f t="shared" si="23"/>
        <v/>
      </c>
      <c r="AN156" s="26" t="str">
        <f>IF(OR($C156="",$AM156&lt;&gt;1,COUNTIFS($E156,ex_envc,$A156,ex_domc,$B156,ex_tric)=0),"",COUNTIFS($AM$6:$AM156,1,$E$6:$E156,ex_envc,$A$6:$A156,ex_domc,$B$6:$B156,ex_tric))</f>
        <v/>
      </c>
      <c r="AO156" s="63"/>
      <c r="AP156" s="63"/>
      <c r="AQ156" s="63"/>
      <c r="AR156" s="63"/>
    </row>
    <row r="157" spans="1:44" x14ac:dyDescent="0.2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26" t="str">
        <f t="shared" si="16"/>
        <v/>
      </c>
      <c r="O157" s="59"/>
      <c r="P157" s="60" t="str">
        <f>IF($C157="","",IF($AQ157&lt;&gt;"",$AQ157,SUMIFS(TblDynatrace[CPU P95 (vCPU)],TblDynatrace[ID],$C157,TblDynatrace[Environnement],$E157,TblDynatrace[Couloir],$F157)))</f>
        <v/>
      </c>
      <c r="Q157" s="60" t="str">
        <f>IF($C157="","",IF($AR157&lt;&gt;"",$AR157,SUMIFS(TblDynatrace[RAM P95 (Go)],TblDynatrace[ID],$C157,TblDynatrace[Environnement],$E157,TblDynatrace[Couloir],$F157)))</f>
        <v/>
      </c>
      <c r="R157" s="26" t="str">
        <f>IF($C157="","",IFERROR(INDEX(TblDynatrace[Métrique / période],MATCH($C157&amp;"|"&amp;$E157&amp;"|"&amp;$F157,TblDynatrace[Clé],0)),""))</f>
        <v/>
      </c>
      <c r="S157" s="60" t="str">
        <f>IF(OR($C157="",NOT(OR($G157="À migrer",$G157="À décommissionner")),$I157="",NOT(ISNUMBER($P157))),"",IF($AO157&lt;&gt;"",$AO157,IFERROR(SUMIFS(TblClusters[CPU initial (vCPU)],TblClusters[Cluster],$I157)*$P157/(SUMIFS(TblApplications[CPU Dynatrace (vCPU)],TblApplications[Cluster IKS source],$I157,TblApplications[Action],"À migrer")+SUMIFS(TblApplications[CPU Dynatrace (vCPU)],TblApplications[Cluster IKS source],$I157,TblApplications[Action],"À décommissionner")),0)))</f>
        <v/>
      </c>
      <c r="T157" s="60" t="str">
        <f>IF(OR($C157="",NOT(OR($G157="À migrer",$G157="À décommissionner")),$I157="",NOT(ISNUMBER($Q157))),"",IF($AP157&lt;&gt;"",$AP157,IFERROR(SUMIFS(TblClusters[RAM initiale (Go)],TblClusters[Cluster],$I157)*$Q157/(SUMIFS(TblApplications[RAM Dynatrace (Go)],TblApplications[Cluster IKS source],$I157,TblApplications[Action],"À migrer")+SUMIFS(TblApplications[RAM Dynatrace (Go)],TblApplications[Cluster IKS source],$I157,TblApplications[Action],"À décommissionner")),0)))</f>
        <v/>
      </c>
      <c r="U157" s="61"/>
      <c r="V157" s="61"/>
      <c r="W157" s="61"/>
      <c r="X157" s="59"/>
      <c r="Y157" s="26" t="str">
        <f t="shared" si="17"/>
        <v/>
      </c>
      <c r="Z157" s="26" t="str">
        <f t="shared" si="18"/>
        <v/>
      </c>
      <c r="AA157" s="33" t="str">
        <f t="shared" si="19"/>
        <v/>
      </c>
      <c r="AB157" s="33" t="str">
        <f t="shared" si="20"/>
        <v/>
      </c>
      <c r="AC157" s="26" t="str">
        <f t="shared" si="21"/>
        <v/>
      </c>
      <c r="AD157" s="26" t="str">
        <f>IF($C157="","",COUNTIF(TblApplications[ID],$C157))</f>
        <v/>
      </c>
      <c r="AE157" s="33" t="str">
        <f>IF($C157="","",IFERROR(1/(1/_xlfn.MINIFS(TblApplications[Mois prov (calc)],TblApplications[ID],$C157)),""))</f>
        <v/>
      </c>
      <c r="AF157" s="33" t="str">
        <f>IF($C157="","",IFERROR(1/(1/_xlfn.MAXIFS(TblApplications[Mois lib (calc)],TblApplications[ID],$C157)),""))</f>
        <v/>
      </c>
      <c r="AG157" s="26" t="str">
        <f>IF($C157="","",IF(OR(OR($A157="",$B157="",$D157="",$E157="",$F157="",$G157=""),AND($G157="À migrer",OR($H157="",$I157="",$O157="",$U157="",$V157="",$W157="")),AND($G157="Migré",OR($O157="")),AND($G157="À décommissionner",OR($I157="",$W157=""))),"Données manquantes (selon l’action)",IF(AND($G157&lt;&gt;"Migré",$G157&lt;&gt;"À migrer",$G157&lt;&gt;"À décommissionner",$G157&lt;&gt;"Décommissionné"),"Action invalide",IF(COUNTIF(TblDomaines[Domaine],$A157)=0,"Domaine inconnu (référentiel)",IF(COUNTIFS(TblTribes[Tribe],$B157,TblTribes[Domaine de la tribe],$A157)=0,"Tribe inconnue ou hors domaine",IF(AND($G157="À migrer",$H157&lt;&gt;"Oui",$H157&lt;&gt;"Non"),"Valeur Oui/Non invalide (Déjà incluse ROKS)",IF(AND($E157&lt;&gt;"PRD",$E157&lt;&gt;"NPRD"),"Environnement invalide",IF(COUNTIFS(TblApplications[ID],$C157,TblApplications[Environnement],$E157,TblApplications[Couloir],$F157)&gt;1,"Déploiement en doublon (ID + env + couloir)",IF(AND(OR(OR($G157="À migrer",$G157="Migré"),OR($G157="À migrer",$G157="À décommissionner")),N($P157)&lt;=0),"Conso Dynatrace absente (onglet Dynatrace)",IF(OR(AND($P157&lt;&gt;"",NOT(ISNUMBER($P157))),AND($Q157&lt;&gt;"",NOT(ISNUMBER($Q157)))),"Ressource non numérique",IF(MIN(N($P157),N($Q157))&lt;0,"Ressource négative",IF(OR(AND($AH157&lt;&gt;"",OR(NOT(ISNUMBER($AH157)),$AH157&lt;0,$AH157&gt;1)),AND($AI157&lt;&gt;"",OR(NOT(ISNUMBER($AI157)),$AI157&lt;0,$AI157&gt;1))),"Marge spécifique invalide (0–100 %)",IF(OR(AND($U157&lt;&gt;"",NOT(ISNUMBER($U157))),AND($V157&lt;&gt;"",NOT(ISNUMBER($V157))),AND($W157&lt;&gt;"",NOT(ISNUMBER($W157)))),"Mois invalide",IF(AND(OR($G157="À migrer",$G157="À décommissionner"),COUNTIFS(TblClusters[Cluster],$I157,TblClusters[Plateforme],"IKS")=0),"Cluster IKS inconnu",IF(AND(OR($G157="À migrer",$G157="Migré"),COUNTIFS(TblClusters[Cluster],$O157,TblClusters[Plateforme],"ROKS")=0),"Cluster ROKS inconnu",IF(AND(OR($G157="À migrer",$G157="À décommissionner"),COUNTIFS(TblClusters[Cluster],$I157,TblClusters[Environnement],$E157)=0),"Environnement ≠ cluster IKS",IF(AND(OR($G157="À migrer",$G157="Migré"),COUNTIFS(TblClusters[Cluster],$O157,TblClusters[Environnement],$E157)=0),"Environnement ≠ cluster ROKS",IF(AND($G157="À migrer",OR($U157&gt;$V157,$V157&gt;$W157)),"Dates incohérentes (prov ≤ bascule ≤ libération)",IF(AND(OR($G157="À migrer",$G157="À décommissionner"),OR(N($AO157)&gt;SUMIFS(TblClusters[CPU initial (vCPU)],TblClusters[Cluster],$I157),N($AP157)&gt;SUMIFS(TblClusters[RAM initiale (Go)],TblClusters[Cluster],$I157))),"Forçage &gt; capacité du cluster source",IF(OR(AND($AA157&lt;&gt;"",$AA157&lt;p_debut),AND($AB157&lt;&gt;"",$AB157&gt;p_fin)),"Hors horizon (info)",IF(AND($G157="À migrer",$E157="PRD",COUNTIFS(TblApplications[ID],$C157,TblApplications[Environnement],"NPRD",TblApplications[Action],"À migrer")&gt;0,$AA157&lt;_xlfn.MINIFS(TblApplications[Mois prov (calc)],TblApplications[ID],$C157,TblApplications[Environnement],"NPRD")),"PRD avant NPRD (info)","OK")))))))))))))))))))))</f>
        <v/>
      </c>
      <c r="AH157" s="62"/>
      <c r="AI157" s="62"/>
      <c r="AJ157" s="27" t="str">
        <f>IF(OR($C157="",NOT(OR($G157="À migrer",$G157="À décommissionner")),NOT(ISNUMBER($S157)),NOT(ISNUMBER($T157)),$AB157=""),"",($S157+p_poidsram*$T157)*SUMIFS(TblCalculs[Coût par unité],TblCalculs[Cluster],$I157,TblCalculs[Mois],"&lt;"&amp;$AB157))</f>
        <v/>
      </c>
      <c r="AK157" s="27" t="str">
        <f>IF($C157="","",IF(AND($G157="À migrer",$H157="Non",$Y157&lt;&gt;"",$AA157&lt;&gt;""),($Y157+p_poidsram*$Z157)*SUMIFS(TblCalculs[Coût par unité],TblCalculs[Cluster],$O157,TblCalculs[Mois],"&gt;="&amp;$AA157),IF(AND($G157="Migré",$Y157&lt;&gt;""),($Y157+p_poidsram*$Z157)*SUMIFS(TblCalculs[Coût par unité],TblCalculs[Cluster],$O157),"")))</f>
        <v/>
      </c>
      <c r="AL157" s="27" t="str">
        <f t="shared" si="22"/>
        <v/>
      </c>
      <c r="AM157" s="26" t="str">
        <f t="shared" si="23"/>
        <v/>
      </c>
      <c r="AN157" s="26" t="str">
        <f>IF(OR($C157="",$AM157&lt;&gt;1,COUNTIFS($E157,ex_envc,$A157,ex_domc,$B157,ex_tric)=0),"",COUNTIFS($AM$6:$AM157,1,$E$6:$E157,ex_envc,$A$6:$A157,ex_domc,$B$6:$B157,ex_tric))</f>
        <v/>
      </c>
      <c r="AO157" s="63"/>
      <c r="AP157" s="63"/>
      <c r="AQ157" s="63"/>
      <c r="AR157" s="63"/>
    </row>
    <row r="158" spans="1:44" x14ac:dyDescent="0.2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26" t="str">
        <f t="shared" si="16"/>
        <v/>
      </c>
      <c r="O158" s="59"/>
      <c r="P158" s="60" t="str">
        <f>IF($C158="","",IF($AQ158&lt;&gt;"",$AQ158,SUMIFS(TblDynatrace[CPU P95 (vCPU)],TblDynatrace[ID],$C158,TblDynatrace[Environnement],$E158,TblDynatrace[Couloir],$F158)))</f>
        <v/>
      </c>
      <c r="Q158" s="60" t="str">
        <f>IF($C158="","",IF($AR158&lt;&gt;"",$AR158,SUMIFS(TblDynatrace[RAM P95 (Go)],TblDynatrace[ID],$C158,TblDynatrace[Environnement],$E158,TblDynatrace[Couloir],$F158)))</f>
        <v/>
      </c>
      <c r="R158" s="26" t="str">
        <f>IF($C158="","",IFERROR(INDEX(TblDynatrace[Métrique / période],MATCH($C158&amp;"|"&amp;$E158&amp;"|"&amp;$F158,TblDynatrace[Clé],0)),""))</f>
        <v/>
      </c>
      <c r="S158" s="60" t="str">
        <f>IF(OR($C158="",NOT(OR($G158="À migrer",$G158="À décommissionner")),$I158="",NOT(ISNUMBER($P158))),"",IF($AO158&lt;&gt;"",$AO158,IFERROR(SUMIFS(TblClusters[CPU initial (vCPU)],TblClusters[Cluster],$I158)*$P158/(SUMIFS(TblApplications[CPU Dynatrace (vCPU)],TblApplications[Cluster IKS source],$I158,TblApplications[Action],"À migrer")+SUMIFS(TblApplications[CPU Dynatrace (vCPU)],TblApplications[Cluster IKS source],$I158,TblApplications[Action],"À décommissionner")),0)))</f>
        <v/>
      </c>
      <c r="T158" s="60" t="str">
        <f>IF(OR($C158="",NOT(OR($G158="À migrer",$G158="À décommissionner")),$I158="",NOT(ISNUMBER($Q158))),"",IF($AP158&lt;&gt;"",$AP158,IFERROR(SUMIFS(TblClusters[RAM initiale (Go)],TblClusters[Cluster],$I158)*$Q158/(SUMIFS(TblApplications[RAM Dynatrace (Go)],TblApplications[Cluster IKS source],$I158,TblApplications[Action],"À migrer")+SUMIFS(TblApplications[RAM Dynatrace (Go)],TblApplications[Cluster IKS source],$I158,TblApplications[Action],"À décommissionner")),0)))</f>
        <v/>
      </c>
      <c r="U158" s="61"/>
      <c r="V158" s="61"/>
      <c r="W158" s="61"/>
      <c r="X158" s="59"/>
      <c r="Y158" s="26" t="str">
        <f t="shared" si="17"/>
        <v/>
      </c>
      <c r="Z158" s="26" t="str">
        <f t="shared" si="18"/>
        <v/>
      </c>
      <c r="AA158" s="33" t="str">
        <f t="shared" si="19"/>
        <v/>
      </c>
      <c r="AB158" s="33" t="str">
        <f t="shared" si="20"/>
        <v/>
      </c>
      <c r="AC158" s="26" t="str">
        <f t="shared" si="21"/>
        <v/>
      </c>
      <c r="AD158" s="26" t="str">
        <f>IF($C158="","",COUNTIF(TblApplications[ID],$C158))</f>
        <v/>
      </c>
      <c r="AE158" s="33" t="str">
        <f>IF($C158="","",IFERROR(1/(1/_xlfn.MINIFS(TblApplications[Mois prov (calc)],TblApplications[ID],$C158)),""))</f>
        <v/>
      </c>
      <c r="AF158" s="33" t="str">
        <f>IF($C158="","",IFERROR(1/(1/_xlfn.MAXIFS(TblApplications[Mois lib (calc)],TblApplications[ID],$C158)),""))</f>
        <v/>
      </c>
      <c r="AG158" s="26" t="str">
        <f>IF($C158="","",IF(OR(OR($A158="",$B158="",$D158="",$E158="",$F158="",$G158=""),AND($G158="À migrer",OR($H158="",$I158="",$O158="",$U158="",$V158="",$W158="")),AND($G158="Migré",OR($O158="")),AND($G158="À décommissionner",OR($I158="",$W158=""))),"Données manquantes (selon l’action)",IF(AND($G158&lt;&gt;"Migré",$G158&lt;&gt;"À migrer",$G158&lt;&gt;"À décommissionner",$G158&lt;&gt;"Décommissionné"),"Action invalide",IF(COUNTIF(TblDomaines[Domaine],$A158)=0,"Domaine inconnu (référentiel)",IF(COUNTIFS(TblTribes[Tribe],$B158,TblTribes[Domaine de la tribe],$A158)=0,"Tribe inconnue ou hors domaine",IF(AND($G158="À migrer",$H158&lt;&gt;"Oui",$H158&lt;&gt;"Non"),"Valeur Oui/Non invalide (Déjà incluse ROKS)",IF(AND($E158&lt;&gt;"PRD",$E158&lt;&gt;"NPRD"),"Environnement invalide",IF(COUNTIFS(TblApplications[ID],$C158,TblApplications[Environnement],$E158,TblApplications[Couloir],$F158)&gt;1,"Déploiement en doublon (ID + env + couloir)",IF(AND(OR(OR($G158="À migrer",$G158="Migré"),OR($G158="À migrer",$G158="À décommissionner")),N($P158)&lt;=0),"Conso Dynatrace absente (onglet Dynatrace)",IF(OR(AND($P158&lt;&gt;"",NOT(ISNUMBER($P158))),AND($Q158&lt;&gt;"",NOT(ISNUMBER($Q158)))),"Ressource non numérique",IF(MIN(N($P158),N($Q158))&lt;0,"Ressource négative",IF(OR(AND($AH158&lt;&gt;"",OR(NOT(ISNUMBER($AH158)),$AH158&lt;0,$AH158&gt;1)),AND($AI158&lt;&gt;"",OR(NOT(ISNUMBER($AI158)),$AI158&lt;0,$AI158&gt;1))),"Marge spécifique invalide (0–100 %)",IF(OR(AND($U158&lt;&gt;"",NOT(ISNUMBER($U158))),AND($V158&lt;&gt;"",NOT(ISNUMBER($V158))),AND($W158&lt;&gt;"",NOT(ISNUMBER($W158)))),"Mois invalide",IF(AND(OR($G158="À migrer",$G158="À décommissionner"),COUNTIFS(TblClusters[Cluster],$I158,TblClusters[Plateforme],"IKS")=0),"Cluster IKS inconnu",IF(AND(OR($G158="À migrer",$G158="Migré"),COUNTIFS(TblClusters[Cluster],$O158,TblClusters[Plateforme],"ROKS")=0),"Cluster ROKS inconnu",IF(AND(OR($G158="À migrer",$G158="À décommissionner"),COUNTIFS(TblClusters[Cluster],$I158,TblClusters[Environnement],$E158)=0),"Environnement ≠ cluster IKS",IF(AND(OR($G158="À migrer",$G158="Migré"),COUNTIFS(TblClusters[Cluster],$O158,TblClusters[Environnement],$E158)=0),"Environnement ≠ cluster ROKS",IF(AND($G158="À migrer",OR($U158&gt;$V158,$V158&gt;$W158)),"Dates incohérentes (prov ≤ bascule ≤ libération)",IF(AND(OR($G158="À migrer",$G158="À décommissionner"),OR(N($AO158)&gt;SUMIFS(TblClusters[CPU initial (vCPU)],TblClusters[Cluster],$I158),N($AP158)&gt;SUMIFS(TblClusters[RAM initiale (Go)],TblClusters[Cluster],$I158))),"Forçage &gt; capacité du cluster source",IF(OR(AND($AA158&lt;&gt;"",$AA158&lt;p_debut),AND($AB158&lt;&gt;"",$AB158&gt;p_fin)),"Hors horizon (info)",IF(AND($G158="À migrer",$E158="PRD",COUNTIFS(TblApplications[ID],$C158,TblApplications[Environnement],"NPRD",TblApplications[Action],"À migrer")&gt;0,$AA158&lt;_xlfn.MINIFS(TblApplications[Mois prov (calc)],TblApplications[ID],$C158,TblApplications[Environnement],"NPRD")),"PRD avant NPRD (info)","OK")))))))))))))))))))))</f>
        <v/>
      </c>
      <c r="AH158" s="62"/>
      <c r="AI158" s="62"/>
      <c r="AJ158" s="27" t="str">
        <f>IF(OR($C158="",NOT(OR($G158="À migrer",$G158="À décommissionner")),NOT(ISNUMBER($S158)),NOT(ISNUMBER($T158)),$AB158=""),"",($S158+p_poidsram*$T158)*SUMIFS(TblCalculs[Coût par unité],TblCalculs[Cluster],$I158,TblCalculs[Mois],"&lt;"&amp;$AB158))</f>
        <v/>
      </c>
      <c r="AK158" s="27" t="str">
        <f>IF($C158="","",IF(AND($G158="À migrer",$H158="Non",$Y158&lt;&gt;"",$AA158&lt;&gt;""),($Y158+p_poidsram*$Z158)*SUMIFS(TblCalculs[Coût par unité],TblCalculs[Cluster],$O158,TblCalculs[Mois],"&gt;="&amp;$AA158),IF(AND($G158="Migré",$Y158&lt;&gt;""),($Y158+p_poidsram*$Z158)*SUMIFS(TblCalculs[Coût par unité],TblCalculs[Cluster],$O158),"")))</f>
        <v/>
      </c>
      <c r="AL158" s="27" t="str">
        <f t="shared" si="22"/>
        <v/>
      </c>
      <c r="AM158" s="26" t="str">
        <f t="shared" si="23"/>
        <v/>
      </c>
      <c r="AN158" s="26" t="str">
        <f>IF(OR($C158="",$AM158&lt;&gt;1,COUNTIFS($E158,ex_envc,$A158,ex_domc,$B158,ex_tric)=0),"",COUNTIFS($AM$6:$AM158,1,$E$6:$E158,ex_envc,$A$6:$A158,ex_domc,$B$6:$B158,ex_tric))</f>
        <v/>
      </c>
      <c r="AO158" s="63"/>
      <c r="AP158" s="63"/>
      <c r="AQ158" s="63"/>
      <c r="AR158" s="63"/>
    </row>
    <row r="159" spans="1:44" x14ac:dyDescent="0.2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26" t="str">
        <f t="shared" si="16"/>
        <v/>
      </c>
      <c r="O159" s="59"/>
      <c r="P159" s="60" t="str">
        <f>IF($C159="","",IF($AQ159&lt;&gt;"",$AQ159,SUMIFS(TblDynatrace[CPU P95 (vCPU)],TblDynatrace[ID],$C159,TblDynatrace[Environnement],$E159,TblDynatrace[Couloir],$F159)))</f>
        <v/>
      </c>
      <c r="Q159" s="60" t="str">
        <f>IF($C159="","",IF($AR159&lt;&gt;"",$AR159,SUMIFS(TblDynatrace[RAM P95 (Go)],TblDynatrace[ID],$C159,TblDynatrace[Environnement],$E159,TblDynatrace[Couloir],$F159)))</f>
        <v/>
      </c>
      <c r="R159" s="26" t="str">
        <f>IF($C159="","",IFERROR(INDEX(TblDynatrace[Métrique / période],MATCH($C159&amp;"|"&amp;$E159&amp;"|"&amp;$F159,TblDynatrace[Clé],0)),""))</f>
        <v/>
      </c>
      <c r="S159" s="60" t="str">
        <f>IF(OR($C159="",NOT(OR($G159="À migrer",$G159="À décommissionner")),$I159="",NOT(ISNUMBER($P159))),"",IF($AO159&lt;&gt;"",$AO159,IFERROR(SUMIFS(TblClusters[CPU initial (vCPU)],TblClusters[Cluster],$I159)*$P159/(SUMIFS(TblApplications[CPU Dynatrace (vCPU)],TblApplications[Cluster IKS source],$I159,TblApplications[Action],"À migrer")+SUMIFS(TblApplications[CPU Dynatrace (vCPU)],TblApplications[Cluster IKS source],$I159,TblApplications[Action],"À décommissionner")),0)))</f>
        <v/>
      </c>
      <c r="T159" s="60" t="str">
        <f>IF(OR($C159="",NOT(OR($G159="À migrer",$G159="À décommissionner")),$I159="",NOT(ISNUMBER($Q159))),"",IF($AP159&lt;&gt;"",$AP159,IFERROR(SUMIFS(TblClusters[RAM initiale (Go)],TblClusters[Cluster],$I159)*$Q159/(SUMIFS(TblApplications[RAM Dynatrace (Go)],TblApplications[Cluster IKS source],$I159,TblApplications[Action],"À migrer")+SUMIFS(TblApplications[RAM Dynatrace (Go)],TblApplications[Cluster IKS source],$I159,TblApplications[Action],"À décommissionner")),0)))</f>
        <v/>
      </c>
      <c r="U159" s="61"/>
      <c r="V159" s="61"/>
      <c r="W159" s="61"/>
      <c r="X159" s="59"/>
      <c r="Y159" s="26" t="str">
        <f t="shared" si="17"/>
        <v/>
      </c>
      <c r="Z159" s="26" t="str">
        <f t="shared" si="18"/>
        <v/>
      </c>
      <c r="AA159" s="33" t="str">
        <f t="shared" si="19"/>
        <v/>
      </c>
      <c r="AB159" s="33" t="str">
        <f t="shared" si="20"/>
        <v/>
      </c>
      <c r="AC159" s="26" t="str">
        <f t="shared" si="21"/>
        <v/>
      </c>
      <c r="AD159" s="26" t="str">
        <f>IF($C159="","",COUNTIF(TblApplications[ID],$C159))</f>
        <v/>
      </c>
      <c r="AE159" s="33" t="str">
        <f>IF($C159="","",IFERROR(1/(1/_xlfn.MINIFS(TblApplications[Mois prov (calc)],TblApplications[ID],$C159)),""))</f>
        <v/>
      </c>
      <c r="AF159" s="33" t="str">
        <f>IF($C159="","",IFERROR(1/(1/_xlfn.MAXIFS(TblApplications[Mois lib (calc)],TblApplications[ID],$C159)),""))</f>
        <v/>
      </c>
      <c r="AG159" s="26" t="str">
        <f>IF($C159="","",IF(OR(OR($A159="",$B159="",$D159="",$E159="",$F159="",$G159=""),AND($G159="À migrer",OR($H159="",$I159="",$O159="",$U159="",$V159="",$W159="")),AND($G159="Migré",OR($O159="")),AND($G159="À décommissionner",OR($I159="",$W159=""))),"Données manquantes (selon l’action)",IF(AND($G159&lt;&gt;"Migré",$G159&lt;&gt;"À migrer",$G159&lt;&gt;"À décommissionner",$G159&lt;&gt;"Décommissionné"),"Action invalide",IF(COUNTIF(TblDomaines[Domaine],$A159)=0,"Domaine inconnu (référentiel)",IF(COUNTIFS(TblTribes[Tribe],$B159,TblTribes[Domaine de la tribe],$A159)=0,"Tribe inconnue ou hors domaine",IF(AND($G159="À migrer",$H159&lt;&gt;"Oui",$H159&lt;&gt;"Non"),"Valeur Oui/Non invalide (Déjà incluse ROKS)",IF(AND($E159&lt;&gt;"PRD",$E159&lt;&gt;"NPRD"),"Environnement invalide",IF(COUNTIFS(TblApplications[ID],$C159,TblApplications[Environnement],$E159,TblApplications[Couloir],$F159)&gt;1,"Déploiement en doublon (ID + env + couloir)",IF(AND(OR(OR($G159="À migrer",$G159="Migré"),OR($G159="À migrer",$G159="À décommissionner")),N($P159)&lt;=0),"Conso Dynatrace absente (onglet Dynatrace)",IF(OR(AND($P159&lt;&gt;"",NOT(ISNUMBER($P159))),AND($Q159&lt;&gt;"",NOT(ISNUMBER($Q159)))),"Ressource non numérique",IF(MIN(N($P159),N($Q159))&lt;0,"Ressource négative",IF(OR(AND($AH159&lt;&gt;"",OR(NOT(ISNUMBER($AH159)),$AH159&lt;0,$AH159&gt;1)),AND($AI159&lt;&gt;"",OR(NOT(ISNUMBER($AI159)),$AI159&lt;0,$AI159&gt;1))),"Marge spécifique invalide (0–100 %)",IF(OR(AND($U159&lt;&gt;"",NOT(ISNUMBER($U159))),AND($V159&lt;&gt;"",NOT(ISNUMBER($V159))),AND($W159&lt;&gt;"",NOT(ISNUMBER($W159)))),"Mois invalide",IF(AND(OR($G159="À migrer",$G159="À décommissionner"),COUNTIFS(TblClusters[Cluster],$I159,TblClusters[Plateforme],"IKS")=0),"Cluster IKS inconnu",IF(AND(OR($G159="À migrer",$G159="Migré"),COUNTIFS(TblClusters[Cluster],$O159,TblClusters[Plateforme],"ROKS")=0),"Cluster ROKS inconnu",IF(AND(OR($G159="À migrer",$G159="À décommissionner"),COUNTIFS(TblClusters[Cluster],$I159,TblClusters[Environnement],$E159)=0),"Environnement ≠ cluster IKS",IF(AND(OR($G159="À migrer",$G159="Migré"),COUNTIFS(TblClusters[Cluster],$O159,TblClusters[Environnement],$E159)=0),"Environnement ≠ cluster ROKS",IF(AND($G159="À migrer",OR($U159&gt;$V159,$V159&gt;$W159)),"Dates incohérentes (prov ≤ bascule ≤ libération)",IF(AND(OR($G159="À migrer",$G159="À décommissionner"),OR(N($AO159)&gt;SUMIFS(TblClusters[CPU initial (vCPU)],TblClusters[Cluster],$I159),N($AP159)&gt;SUMIFS(TblClusters[RAM initiale (Go)],TblClusters[Cluster],$I159))),"Forçage &gt; capacité du cluster source",IF(OR(AND($AA159&lt;&gt;"",$AA159&lt;p_debut),AND($AB159&lt;&gt;"",$AB159&gt;p_fin)),"Hors horizon (info)",IF(AND($G159="À migrer",$E159="PRD",COUNTIFS(TblApplications[ID],$C159,TblApplications[Environnement],"NPRD",TblApplications[Action],"À migrer")&gt;0,$AA159&lt;_xlfn.MINIFS(TblApplications[Mois prov (calc)],TblApplications[ID],$C159,TblApplications[Environnement],"NPRD")),"PRD avant NPRD (info)","OK")))))))))))))))))))))</f>
        <v/>
      </c>
      <c r="AH159" s="62"/>
      <c r="AI159" s="62"/>
      <c r="AJ159" s="27" t="str">
        <f>IF(OR($C159="",NOT(OR($G159="À migrer",$G159="À décommissionner")),NOT(ISNUMBER($S159)),NOT(ISNUMBER($T159)),$AB159=""),"",($S159+p_poidsram*$T159)*SUMIFS(TblCalculs[Coût par unité],TblCalculs[Cluster],$I159,TblCalculs[Mois],"&lt;"&amp;$AB159))</f>
        <v/>
      </c>
      <c r="AK159" s="27" t="str">
        <f>IF($C159="","",IF(AND($G159="À migrer",$H159="Non",$Y159&lt;&gt;"",$AA159&lt;&gt;""),($Y159+p_poidsram*$Z159)*SUMIFS(TblCalculs[Coût par unité],TblCalculs[Cluster],$O159,TblCalculs[Mois],"&gt;="&amp;$AA159),IF(AND($G159="Migré",$Y159&lt;&gt;""),($Y159+p_poidsram*$Z159)*SUMIFS(TblCalculs[Coût par unité],TblCalculs[Cluster],$O159),"")))</f>
        <v/>
      </c>
      <c r="AL159" s="27" t="str">
        <f t="shared" si="22"/>
        <v/>
      </c>
      <c r="AM159" s="26" t="str">
        <f t="shared" si="23"/>
        <v/>
      </c>
      <c r="AN159" s="26" t="str">
        <f>IF(OR($C159="",$AM159&lt;&gt;1,COUNTIFS($E159,ex_envc,$A159,ex_domc,$B159,ex_tric)=0),"",COUNTIFS($AM$6:$AM159,1,$E$6:$E159,ex_envc,$A$6:$A159,ex_domc,$B$6:$B159,ex_tric))</f>
        <v/>
      </c>
      <c r="AO159" s="63"/>
      <c r="AP159" s="63"/>
      <c r="AQ159" s="63"/>
      <c r="AR159" s="63"/>
    </row>
    <row r="160" spans="1:44" x14ac:dyDescent="0.2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26" t="str">
        <f t="shared" si="16"/>
        <v/>
      </c>
      <c r="O160" s="59"/>
      <c r="P160" s="60" t="str">
        <f>IF($C160="","",IF($AQ160&lt;&gt;"",$AQ160,SUMIFS(TblDynatrace[CPU P95 (vCPU)],TblDynatrace[ID],$C160,TblDynatrace[Environnement],$E160,TblDynatrace[Couloir],$F160)))</f>
        <v/>
      </c>
      <c r="Q160" s="60" t="str">
        <f>IF($C160="","",IF($AR160&lt;&gt;"",$AR160,SUMIFS(TblDynatrace[RAM P95 (Go)],TblDynatrace[ID],$C160,TblDynatrace[Environnement],$E160,TblDynatrace[Couloir],$F160)))</f>
        <v/>
      </c>
      <c r="R160" s="26" t="str">
        <f>IF($C160="","",IFERROR(INDEX(TblDynatrace[Métrique / période],MATCH($C160&amp;"|"&amp;$E160&amp;"|"&amp;$F160,TblDynatrace[Clé],0)),""))</f>
        <v/>
      </c>
      <c r="S160" s="60" t="str">
        <f>IF(OR($C160="",NOT(OR($G160="À migrer",$G160="À décommissionner")),$I160="",NOT(ISNUMBER($P160))),"",IF($AO160&lt;&gt;"",$AO160,IFERROR(SUMIFS(TblClusters[CPU initial (vCPU)],TblClusters[Cluster],$I160)*$P160/(SUMIFS(TblApplications[CPU Dynatrace (vCPU)],TblApplications[Cluster IKS source],$I160,TblApplications[Action],"À migrer")+SUMIFS(TblApplications[CPU Dynatrace (vCPU)],TblApplications[Cluster IKS source],$I160,TblApplications[Action],"À décommissionner")),0)))</f>
        <v/>
      </c>
      <c r="T160" s="60" t="str">
        <f>IF(OR($C160="",NOT(OR($G160="À migrer",$G160="À décommissionner")),$I160="",NOT(ISNUMBER($Q160))),"",IF($AP160&lt;&gt;"",$AP160,IFERROR(SUMIFS(TblClusters[RAM initiale (Go)],TblClusters[Cluster],$I160)*$Q160/(SUMIFS(TblApplications[RAM Dynatrace (Go)],TblApplications[Cluster IKS source],$I160,TblApplications[Action],"À migrer")+SUMIFS(TblApplications[RAM Dynatrace (Go)],TblApplications[Cluster IKS source],$I160,TblApplications[Action],"À décommissionner")),0)))</f>
        <v/>
      </c>
      <c r="U160" s="61"/>
      <c r="V160" s="61"/>
      <c r="W160" s="61"/>
      <c r="X160" s="59"/>
      <c r="Y160" s="26" t="str">
        <f t="shared" si="17"/>
        <v/>
      </c>
      <c r="Z160" s="26" t="str">
        <f t="shared" si="18"/>
        <v/>
      </c>
      <c r="AA160" s="33" t="str">
        <f t="shared" si="19"/>
        <v/>
      </c>
      <c r="AB160" s="33" t="str">
        <f t="shared" si="20"/>
        <v/>
      </c>
      <c r="AC160" s="26" t="str">
        <f t="shared" si="21"/>
        <v/>
      </c>
      <c r="AD160" s="26" t="str">
        <f>IF($C160="","",COUNTIF(TblApplications[ID],$C160))</f>
        <v/>
      </c>
      <c r="AE160" s="33" t="str">
        <f>IF($C160="","",IFERROR(1/(1/_xlfn.MINIFS(TblApplications[Mois prov (calc)],TblApplications[ID],$C160)),""))</f>
        <v/>
      </c>
      <c r="AF160" s="33" t="str">
        <f>IF($C160="","",IFERROR(1/(1/_xlfn.MAXIFS(TblApplications[Mois lib (calc)],TblApplications[ID],$C160)),""))</f>
        <v/>
      </c>
      <c r="AG160" s="26" t="str">
        <f>IF($C160="","",IF(OR(OR($A160="",$B160="",$D160="",$E160="",$F160="",$G160=""),AND($G160="À migrer",OR($H160="",$I160="",$O160="",$U160="",$V160="",$W160="")),AND($G160="Migré",OR($O160="")),AND($G160="À décommissionner",OR($I160="",$W160=""))),"Données manquantes (selon l’action)",IF(AND($G160&lt;&gt;"Migré",$G160&lt;&gt;"À migrer",$G160&lt;&gt;"À décommissionner",$G160&lt;&gt;"Décommissionné"),"Action invalide",IF(COUNTIF(TblDomaines[Domaine],$A160)=0,"Domaine inconnu (référentiel)",IF(COUNTIFS(TblTribes[Tribe],$B160,TblTribes[Domaine de la tribe],$A160)=0,"Tribe inconnue ou hors domaine",IF(AND($G160="À migrer",$H160&lt;&gt;"Oui",$H160&lt;&gt;"Non"),"Valeur Oui/Non invalide (Déjà incluse ROKS)",IF(AND($E160&lt;&gt;"PRD",$E160&lt;&gt;"NPRD"),"Environnement invalide",IF(COUNTIFS(TblApplications[ID],$C160,TblApplications[Environnement],$E160,TblApplications[Couloir],$F160)&gt;1,"Déploiement en doublon (ID + env + couloir)",IF(AND(OR(OR($G160="À migrer",$G160="Migré"),OR($G160="À migrer",$G160="À décommissionner")),N($P160)&lt;=0),"Conso Dynatrace absente (onglet Dynatrace)",IF(OR(AND($P160&lt;&gt;"",NOT(ISNUMBER($P160))),AND($Q160&lt;&gt;"",NOT(ISNUMBER($Q160)))),"Ressource non numérique",IF(MIN(N($P160),N($Q160))&lt;0,"Ressource négative",IF(OR(AND($AH160&lt;&gt;"",OR(NOT(ISNUMBER($AH160)),$AH160&lt;0,$AH160&gt;1)),AND($AI160&lt;&gt;"",OR(NOT(ISNUMBER($AI160)),$AI160&lt;0,$AI160&gt;1))),"Marge spécifique invalide (0–100 %)",IF(OR(AND($U160&lt;&gt;"",NOT(ISNUMBER($U160))),AND($V160&lt;&gt;"",NOT(ISNUMBER($V160))),AND($W160&lt;&gt;"",NOT(ISNUMBER($W160)))),"Mois invalide",IF(AND(OR($G160="À migrer",$G160="À décommissionner"),COUNTIFS(TblClusters[Cluster],$I160,TblClusters[Plateforme],"IKS")=0),"Cluster IKS inconnu",IF(AND(OR($G160="À migrer",$G160="Migré"),COUNTIFS(TblClusters[Cluster],$O160,TblClusters[Plateforme],"ROKS")=0),"Cluster ROKS inconnu",IF(AND(OR($G160="À migrer",$G160="À décommissionner"),COUNTIFS(TblClusters[Cluster],$I160,TblClusters[Environnement],$E160)=0),"Environnement ≠ cluster IKS",IF(AND(OR($G160="À migrer",$G160="Migré"),COUNTIFS(TblClusters[Cluster],$O160,TblClusters[Environnement],$E160)=0),"Environnement ≠ cluster ROKS",IF(AND($G160="À migrer",OR($U160&gt;$V160,$V160&gt;$W160)),"Dates incohérentes (prov ≤ bascule ≤ libération)",IF(AND(OR($G160="À migrer",$G160="À décommissionner"),OR(N($AO160)&gt;SUMIFS(TblClusters[CPU initial (vCPU)],TblClusters[Cluster],$I160),N($AP160)&gt;SUMIFS(TblClusters[RAM initiale (Go)],TblClusters[Cluster],$I160))),"Forçage &gt; capacité du cluster source",IF(OR(AND($AA160&lt;&gt;"",$AA160&lt;p_debut),AND($AB160&lt;&gt;"",$AB160&gt;p_fin)),"Hors horizon (info)",IF(AND($G160="À migrer",$E160="PRD",COUNTIFS(TblApplications[ID],$C160,TblApplications[Environnement],"NPRD",TblApplications[Action],"À migrer")&gt;0,$AA160&lt;_xlfn.MINIFS(TblApplications[Mois prov (calc)],TblApplications[ID],$C160,TblApplications[Environnement],"NPRD")),"PRD avant NPRD (info)","OK")))))))))))))))))))))</f>
        <v/>
      </c>
      <c r="AH160" s="62"/>
      <c r="AI160" s="62"/>
      <c r="AJ160" s="27" t="str">
        <f>IF(OR($C160="",NOT(OR($G160="À migrer",$G160="À décommissionner")),NOT(ISNUMBER($S160)),NOT(ISNUMBER($T160)),$AB160=""),"",($S160+p_poidsram*$T160)*SUMIFS(TblCalculs[Coût par unité],TblCalculs[Cluster],$I160,TblCalculs[Mois],"&lt;"&amp;$AB160))</f>
        <v/>
      </c>
      <c r="AK160" s="27" t="str">
        <f>IF($C160="","",IF(AND($G160="À migrer",$H160="Non",$Y160&lt;&gt;"",$AA160&lt;&gt;""),($Y160+p_poidsram*$Z160)*SUMIFS(TblCalculs[Coût par unité],TblCalculs[Cluster],$O160,TblCalculs[Mois],"&gt;="&amp;$AA160),IF(AND($G160="Migré",$Y160&lt;&gt;""),($Y160+p_poidsram*$Z160)*SUMIFS(TblCalculs[Coût par unité],TblCalculs[Cluster],$O160),"")))</f>
        <v/>
      </c>
      <c r="AL160" s="27" t="str">
        <f t="shared" si="22"/>
        <v/>
      </c>
      <c r="AM160" s="26" t="str">
        <f t="shared" si="23"/>
        <v/>
      </c>
      <c r="AN160" s="26" t="str">
        <f>IF(OR($C160="",$AM160&lt;&gt;1,COUNTIFS($E160,ex_envc,$A160,ex_domc,$B160,ex_tric)=0),"",COUNTIFS($AM$6:$AM160,1,$E$6:$E160,ex_envc,$A$6:$A160,ex_domc,$B$6:$B160,ex_tric))</f>
        <v/>
      </c>
      <c r="AO160" s="63"/>
      <c r="AP160" s="63"/>
      <c r="AQ160" s="63"/>
      <c r="AR160" s="63"/>
    </row>
    <row r="161" spans="1:44" x14ac:dyDescent="0.2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26" t="str">
        <f t="shared" si="16"/>
        <v/>
      </c>
      <c r="O161" s="59"/>
      <c r="P161" s="60" t="str">
        <f>IF($C161="","",IF($AQ161&lt;&gt;"",$AQ161,SUMIFS(TblDynatrace[CPU P95 (vCPU)],TblDynatrace[ID],$C161,TblDynatrace[Environnement],$E161,TblDynatrace[Couloir],$F161)))</f>
        <v/>
      </c>
      <c r="Q161" s="60" t="str">
        <f>IF($C161="","",IF($AR161&lt;&gt;"",$AR161,SUMIFS(TblDynatrace[RAM P95 (Go)],TblDynatrace[ID],$C161,TblDynatrace[Environnement],$E161,TblDynatrace[Couloir],$F161)))</f>
        <v/>
      </c>
      <c r="R161" s="26" t="str">
        <f>IF($C161="","",IFERROR(INDEX(TblDynatrace[Métrique / période],MATCH($C161&amp;"|"&amp;$E161&amp;"|"&amp;$F161,TblDynatrace[Clé],0)),""))</f>
        <v/>
      </c>
      <c r="S161" s="60" t="str">
        <f>IF(OR($C161="",NOT(OR($G161="À migrer",$G161="À décommissionner")),$I161="",NOT(ISNUMBER($P161))),"",IF($AO161&lt;&gt;"",$AO161,IFERROR(SUMIFS(TblClusters[CPU initial (vCPU)],TblClusters[Cluster],$I161)*$P161/(SUMIFS(TblApplications[CPU Dynatrace (vCPU)],TblApplications[Cluster IKS source],$I161,TblApplications[Action],"À migrer")+SUMIFS(TblApplications[CPU Dynatrace (vCPU)],TblApplications[Cluster IKS source],$I161,TblApplications[Action],"À décommissionner")),0)))</f>
        <v/>
      </c>
      <c r="T161" s="60" t="str">
        <f>IF(OR($C161="",NOT(OR($G161="À migrer",$G161="À décommissionner")),$I161="",NOT(ISNUMBER($Q161))),"",IF($AP161&lt;&gt;"",$AP161,IFERROR(SUMIFS(TblClusters[RAM initiale (Go)],TblClusters[Cluster],$I161)*$Q161/(SUMIFS(TblApplications[RAM Dynatrace (Go)],TblApplications[Cluster IKS source],$I161,TblApplications[Action],"À migrer")+SUMIFS(TblApplications[RAM Dynatrace (Go)],TblApplications[Cluster IKS source],$I161,TblApplications[Action],"À décommissionner")),0)))</f>
        <v/>
      </c>
      <c r="U161" s="61"/>
      <c r="V161" s="61"/>
      <c r="W161" s="61"/>
      <c r="X161" s="59"/>
      <c r="Y161" s="26" t="str">
        <f t="shared" si="17"/>
        <v/>
      </c>
      <c r="Z161" s="26" t="str">
        <f t="shared" si="18"/>
        <v/>
      </c>
      <c r="AA161" s="33" t="str">
        <f t="shared" si="19"/>
        <v/>
      </c>
      <c r="AB161" s="33" t="str">
        <f t="shared" si="20"/>
        <v/>
      </c>
      <c r="AC161" s="26" t="str">
        <f t="shared" si="21"/>
        <v/>
      </c>
      <c r="AD161" s="26" t="str">
        <f>IF($C161="","",COUNTIF(TblApplications[ID],$C161))</f>
        <v/>
      </c>
      <c r="AE161" s="33" t="str">
        <f>IF($C161="","",IFERROR(1/(1/_xlfn.MINIFS(TblApplications[Mois prov (calc)],TblApplications[ID],$C161)),""))</f>
        <v/>
      </c>
      <c r="AF161" s="33" t="str">
        <f>IF($C161="","",IFERROR(1/(1/_xlfn.MAXIFS(TblApplications[Mois lib (calc)],TblApplications[ID],$C161)),""))</f>
        <v/>
      </c>
      <c r="AG161" s="26" t="str">
        <f>IF($C161="","",IF(OR(OR($A161="",$B161="",$D161="",$E161="",$F161="",$G161=""),AND($G161="À migrer",OR($H161="",$I161="",$O161="",$U161="",$V161="",$W161="")),AND($G161="Migré",OR($O161="")),AND($G161="À décommissionner",OR($I161="",$W161=""))),"Données manquantes (selon l’action)",IF(AND($G161&lt;&gt;"Migré",$G161&lt;&gt;"À migrer",$G161&lt;&gt;"À décommissionner",$G161&lt;&gt;"Décommissionné"),"Action invalide",IF(COUNTIF(TblDomaines[Domaine],$A161)=0,"Domaine inconnu (référentiel)",IF(COUNTIFS(TblTribes[Tribe],$B161,TblTribes[Domaine de la tribe],$A161)=0,"Tribe inconnue ou hors domaine",IF(AND($G161="À migrer",$H161&lt;&gt;"Oui",$H161&lt;&gt;"Non"),"Valeur Oui/Non invalide (Déjà incluse ROKS)",IF(AND($E161&lt;&gt;"PRD",$E161&lt;&gt;"NPRD"),"Environnement invalide",IF(COUNTIFS(TblApplications[ID],$C161,TblApplications[Environnement],$E161,TblApplications[Couloir],$F161)&gt;1,"Déploiement en doublon (ID + env + couloir)",IF(AND(OR(OR($G161="À migrer",$G161="Migré"),OR($G161="À migrer",$G161="À décommissionner")),N($P161)&lt;=0),"Conso Dynatrace absente (onglet Dynatrace)",IF(OR(AND($P161&lt;&gt;"",NOT(ISNUMBER($P161))),AND($Q161&lt;&gt;"",NOT(ISNUMBER($Q161)))),"Ressource non numérique",IF(MIN(N($P161),N($Q161))&lt;0,"Ressource négative",IF(OR(AND($AH161&lt;&gt;"",OR(NOT(ISNUMBER($AH161)),$AH161&lt;0,$AH161&gt;1)),AND($AI161&lt;&gt;"",OR(NOT(ISNUMBER($AI161)),$AI161&lt;0,$AI161&gt;1))),"Marge spécifique invalide (0–100 %)",IF(OR(AND($U161&lt;&gt;"",NOT(ISNUMBER($U161))),AND($V161&lt;&gt;"",NOT(ISNUMBER($V161))),AND($W161&lt;&gt;"",NOT(ISNUMBER($W161)))),"Mois invalide",IF(AND(OR($G161="À migrer",$G161="À décommissionner"),COUNTIFS(TblClusters[Cluster],$I161,TblClusters[Plateforme],"IKS")=0),"Cluster IKS inconnu",IF(AND(OR($G161="À migrer",$G161="Migré"),COUNTIFS(TblClusters[Cluster],$O161,TblClusters[Plateforme],"ROKS")=0),"Cluster ROKS inconnu",IF(AND(OR($G161="À migrer",$G161="À décommissionner"),COUNTIFS(TblClusters[Cluster],$I161,TblClusters[Environnement],$E161)=0),"Environnement ≠ cluster IKS",IF(AND(OR($G161="À migrer",$G161="Migré"),COUNTIFS(TblClusters[Cluster],$O161,TblClusters[Environnement],$E161)=0),"Environnement ≠ cluster ROKS",IF(AND($G161="À migrer",OR($U161&gt;$V161,$V161&gt;$W161)),"Dates incohérentes (prov ≤ bascule ≤ libération)",IF(AND(OR($G161="À migrer",$G161="À décommissionner"),OR(N($AO161)&gt;SUMIFS(TblClusters[CPU initial (vCPU)],TblClusters[Cluster],$I161),N($AP161)&gt;SUMIFS(TblClusters[RAM initiale (Go)],TblClusters[Cluster],$I161))),"Forçage &gt; capacité du cluster source",IF(OR(AND($AA161&lt;&gt;"",$AA161&lt;p_debut),AND($AB161&lt;&gt;"",$AB161&gt;p_fin)),"Hors horizon (info)",IF(AND($G161="À migrer",$E161="PRD",COUNTIFS(TblApplications[ID],$C161,TblApplications[Environnement],"NPRD",TblApplications[Action],"À migrer")&gt;0,$AA161&lt;_xlfn.MINIFS(TblApplications[Mois prov (calc)],TblApplications[ID],$C161,TblApplications[Environnement],"NPRD")),"PRD avant NPRD (info)","OK")))))))))))))))))))))</f>
        <v/>
      </c>
      <c r="AH161" s="62"/>
      <c r="AI161" s="62"/>
      <c r="AJ161" s="27" t="str">
        <f>IF(OR($C161="",NOT(OR($G161="À migrer",$G161="À décommissionner")),NOT(ISNUMBER($S161)),NOT(ISNUMBER($T161)),$AB161=""),"",($S161+p_poidsram*$T161)*SUMIFS(TblCalculs[Coût par unité],TblCalculs[Cluster],$I161,TblCalculs[Mois],"&lt;"&amp;$AB161))</f>
        <v/>
      </c>
      <c r="AK161" s="27" t="str">
        <f>IF($C161="","",IF(AND($G161="À migrer",$H161="Non",$Y161&lt;&gt;"",$AA161&lt;&gt;""),($Y161+p_poidsram*$Z161)*SUMIFS(TblCalculs[Coût par unité],TblCalculs[Cluster],$O161,TblCalculs[Mois],"&gt;="&amp;$AA161),IF(AND($G161="Migré",$Y161&lt;&gt;""),($Y161+p_poidsram*$Z161)*SUMIFS(TblCalculs[Coût par unité],TblCalculs[Cluster],$O161),"")))</f>
        <v/>
      </c>
      <c r="AL161" s="27" t="str">
        <f t="shared" si="22"/>
        <v/>
      </c>
      <c r="AM161" s="26" t="str">
        <f t="shared" si="23"/>
        <v/>
      </c>
      <c r="AN161" s="26" t="str">
        <f>IF(OR($C161="",$AM161&lt;&gt;1,COUNTIFS($E161,ex_envc,$A161,ex_domc,$B161,ex_tric)=0),"",COUNTIFS($AM$6:$AM161,1,$E$6:$E161,ex_envc,$A$6:$A161,ex_domc,$B$6:$B161,ex_tric))</f>
        <v/>
      </c>
      <c r="AO161" s="63"/>
      <c r="AP161" s="63"/>
      <c r="AQ161" s="63"/>
      <c r="AR161" s="63"/>
    </row>
    <row r="162" spans="1:44" x14ac:dyDescent="0.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26" t="str">
        <f t="shared" si="16"/>
        <v/>
      </c>
      <c r="O162" s="59"/>
      <c r="P162" s="60" t="str">
        <f>IF($C162="","",IF($AQ162&lt;&gt;"",$AQ162,SUMIFS(TblDynatrace[CPU P95 (vCPU)],TblDynatrace[ID],$C162,TblDynatrace[Environnement],$E162,TblDynatrace[Couloir],$F162)))</f>
        <v/>
      </c>
      <c r="Q162" s="60" t="str">
        <f>IF($C162="","",IF($AR162&lt;&gt;"",$AR162,SUMIFS(TblDynatrace[RAM P95 (Go)],TblDynatrace[ID],$C162,TblDynatrace[Environnement],$E162,TblDynatrace[Couloir],$F162)))</f>
        <v/>
      </c>
      <c r="R162" s="26" t="str">
        <f>IF($C162="","",IFERROR(INDEX(TblDynatrace[Métrique / période],MATCH($C162&amp;"|"&amp;$E162&amp;"|"&amp;$F162,TblDynatrace[Clé],0)),""))</f>
        <v/>
      </c>
      <c r="S162" s="60" t="str">
        <f>IF(OR($C162="",NOT(OR($G162="À migrer",$G162="À décommissionner")),$I162="",NOT(ISNUMBER($P162))),"",IF($AO162&lt;&gt;"",$AO162,IFERROR(SUMIFS(TblClusters[CPU initial (vCPU)],TblClusters[Cluster],$I162)*$P162/(SUMIFS(TblApplications[CPU Dynatrace (vCPU)],TblApplications[Cluster IKS source],$I162,TblApplications[Action],"À migrer")+SUMIFS(TblApplications[CPU Dynatrace (vCPU)],TblApplications[Cluster IKS source],$I162,TblApplications[Action],"À décommissionner")),0)))</f>
        <v/>
      </c>
      <c r="T162" s="60" t="str">
        <f>IF(OR($C162="",NOT(OR($G162="À migrer",$G162="À décommissionner")),$I162="",NOT(ISNUMBER($Q162))),"",IF($AP162&lt;&gt;"",$AP162,IFERROR(SUMIFS(TblClusters[RAM initiale (Go)],TblClusters[Cluster],$I162)*$Q162/(SUMIFS(TblApplications[RAM Dynatrace (Go)],TblApplications[Cluster IKS source],$I162,TblApplications[Action],"À migrer")+SUMIFS(TblApplications[RAM Dynatrace (Go)],TblApplications[Cluster IKS source],$I162,TblApplications[Action],"À décommissionner")),0)))</f>
        <v/>
      </c>
      <c r="U162" s="61"/>
      <c r="V162" s="61"/>
      <c r="W162" s="61"/>
      <c r="X162" s="59"/>
      <c r="Y162" s="26" t="str">
        <f t="shared" si="17"/>
        <v/>
      </c>
      <c r="Z162" s="26" t="str">
        <f t="shared" si="18"/>
        <v/>
      </c>
      <c r="AA162" s="33" t="str">
        <f t="shared" si="19"/>
        <v/>
      </c>
      <c r="AB162" s="33" t="str">
        <f t="shared" si="20"/>
        <v/>
      </c>
      <c r="AC162" s="26" t="str">
        <f t="shared" si="21"/>
        <v/>
      </c>
      <c r="AD162" s="26" t="str">
        <f>IF($C162="","",COUNTIF(TblApplications[ID],$C162))</f>
        <v/>
      </c>
      <c r="AE162" s="33" t="str">
        <f>IF($C162="","",IFERROR(1/(1/_xlfn.MINIFS(TblApplications[Mois prov (calc)],TblApplications[ID],$C162)),""))</f>
        <v/>
      </c>
      <c r="AF162" s="33" t="str">
        <f>IF($C162="","",IFERROR(1/(1/_xlfn.MAXIFS(TblApplications[Mois lib (calc)],TblApplications[ID],$C162)),""))</f>
        <v/>
      </c>
      <c r="AG162" s="26" t="str">
        <f>IF($C162="","",IF(OR(OR($A162="",$B162="",$D162="",$E162="",$F162="",$G162=""),AND($G162="À migrer",OR($H162="",$I162="",$O162="",$U162="",$V162="",$W162="")),AND($G162="Migré",OR($O162="")),AND($G162="À décommissionner",OR($I162="",$W162=""))),"Données manquantes (selon l’action)",IF(AND($G162&lt;&gt;"Migré",$G162&lt;&gt;"À migrer",$G162&lt;&gt;"À décommissionner",$G162&lt;&gt;"Décommissionné"),"Action invalide",IF(COUNTIF(TblDomaines[Domaine],$A162)=0,"Domaine inconnu (référentiel)",IF(COUNTIFS(TblTribes[Tribe],$B162,TblTribes[Domaine de la tribe],$A162)=0,"Tribe inconnue ou hors domaine",IF(AND($G162="À migrer",$H162&lt;&gt;"Oui",$H162&lt;&gt;"Non"),"Valeur Oui/Non invalide (Déjà incluse ROKS)",IF(AND($E162&lt;&gt;"PRD",$E162&lt;&gt;"NPRD"),"Environnement invalide",IF(COUNTIFS(TblApplications[ID],$C162,TblApplications[Environnement],$E162,TblApplications[Couloir],$F162)&gt;1,"Déploiement en doublon (ID + env + couloir)",IF(AND(OR(OR($G162="À migrer",$G162="Migré"),OR($G162="À migrer",$G162="À décommissionner")),N($P162)&lt;=0),"Conso Dynatrace absente (onglet Dynatrace)",IF(OR(AND($P162&lt;&gt;"",NOT(ISNUMBER($P162))),AND($Q162&lt;&gt;"",NOT(ISNUMBER($Q162)))),"Ressource non numérique",IF(MIN(N($P162),N($Q162))&lt;0,"Ressource négative",IF(OR(AND($AH162&lt;&gt;"",OR(NOT(ISNUMBER($AH162)),$AH162&lt;0,$AH162&gt;1)),AND($AI162&lt;&gt;"",OR(NOT(ISNUMBER($AI162)),$AI162&lt;0,$AI162&gt;1))),"Marge spécifique invalide (0–100 %)",IF(OR(AND($U162&lt;&gt;"",NOT(ISNUMBER($U162))),AND($V162&lt;&gt;"",NOT(ISNUMBER($V162))),AND($W162&lt;&gt;"",NOT(ISNUMBER($W162)))),"Mois invalide",IF(AND(OR($G162="À migrer",$G162="À décommissionner"),COUNTIFS(TblClusters[Cluster],$I162,TblClusters[Plateforme],"IKS")=0),"Cluster IKS inconnu",IF(AND(OR($G162="À migrer",$G162="Migré"),COUNTIFS(TblClusters[Cluster],$O162,TblClusters[Plateforme],"ROKS")=0),"Cluster ROKS inconnu",IF(AND(OR($G162="À migrer",$G162="À décommissionner"),COUNTIFS(TblClusters[Cluster],$I162,TblClusters[Environnement],$E162)=0),"Environnement ≠ cluster IKS",IF(AND(OR($G162="À migrer",$G162="Migré"),COUNTIFS(TblClusters[Cluster],$O162,TblClusters[Environnement],$E162)=0),"Environnement ≠ cluster ROKS",IF(AND($G162="À migrer",OR($U162&gt;$V162,$V162&gt;$W162)),"Dates incohérentes (prov ≤ bascule ≤ libération)",IF(AND(OR($G162="À migrer",$G162="À décommissionner"),OR(N($AO162)&gt;SUMIFS(TblClusters[CPU initial (vCPU)],TblClusters[Cluster],$I162),N($AP162)&gt;SUMIFS(TblClusters[RAM initiale (Go)],TblClusters[Cluster],$I162))),"Forçage &gt; capacité du cluster source",IF(OR(AND($AA162&lt;&gt;"",$AA162&lt;p_debut),AND($AB162&lt;&gt;"",$AB162&gt;p_fin)),"Hors horizon (info)",IF(AND($G162="À migrer",$E162="PRD",COUNTIFS(TblApplications[ID],$C162,TblApplications[Environnement],"NPRD",TblApplications[Action],"À migrer")&gt;0,$AA162&lt;_xlfn.MINIFS(TblApplications[Mois prov (calc)],TblApplications[ID],$C162,TblApplications[Environnement],"NPRD")),"PRD avant NPRD (info)","OK")))))))))))))))))))))</f>
        <v/>
      </c>
      <c r="AH162" s="62"/>
      <c r="AI162" s="62"/>
      <c r="AJ162" s="27" t="str">
        <f>IF(OR($C162="",NOT(OR($G162="À migrer",$G162="À décommissionner")),NOT(ISNUMBER($S162)),NOT(ISNUMBER($T162)),$AB162=""),"",($S162+p_poidsram*$T162)*SUMIFS(TblCalculs[Coût par unité],TblCalculs[Cluster],$I162,TblCalculs[Mois],"&lt;"&amp;$AB162))</f>
        <v/>
      </c>
      <c r="AK162" s="27" t="str">
        <f>IF($C162="","",IF(AND($G162="À migrer",$H162="Non",$Y162&lt;&gt;"",$AA162&lt;&gt;""),($Y162+p_poidsram*$Z162)*SUMIFS(TblCalculs[Coût par unité],TblCalculs[Cluster],$O162,TblCalculs[Mois],"&gt;="&amp;$AA162),IF(AND($G162="Migré",$Y162&lt;&gt;""),($Y162+p_poidsram*$Z162)*SUMIFS(TblCalculs[Coût par unité],TblCalculs[Cluster],$O162),"")))</f>
        <v/>
      </c>
      <c r="AL162" s="27" t="str">
        <f t="shared" si="22"/>
        <v/>
      </c>
      <c r="AM162" s="26" t="str">
        <f t="shared" si="23"/>
        <v/>
      </c>
      <c r="AN162" s="26" t="str">
        <f>IF(OR($C162="",$AM162&lt;&gt;1,COUNTIFS($E162,ex_envc,$A162,ex_domc,$B162,ex_tric)=0),"",COUNTIFS($AM$6:$AM162,1,$E$6:$E162,ex_envc,$A$6:$A162,ex_domc,$B$6:$B162,ex_tric))</f>
        <v/>
      </c>
      <c r="AO162" s="63"/>
      <c r="AP162" s="63"/>
      <c r="AQ162" s="63"/>
      <c r="AR162" s="63"/>
    </row>
    <row r="163" spans="1:44" x14ac:dyDescent="0.2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26" t="str">
        <f t="shared" si="16"/>
        <v/>
      </c>
      <c r="O163" s="59"/>
      <c r="P163" s="60" t="str">
        <f>IF($C163="","",IF($AQ163&lt;&gt;"",$AQ163,SUMIFS(TblDynatrace[CPU P95 (vCPU)],TblDynatrace[ID],$C163,TblDynatrace[Environnement],$E163,TblDynatrace[Couloir],$F163)))</f>
        <v/>
      </c>
      <c r="Q163" s="60" t="str">
        <f>IF($C163="","",IF($AR163&lt;&gt;"",$AR163,SUMIFS(TblDynatrace[RAM P95 (Go)],TblDynatrace[ID],$C163,TblDynatrace[Environnement],$E163,TblDynatrace[Couloir],$F163)))</f>
        <v/>
      </c>
      <c r="R163" s="26" t="str">
        <f>IF($C163="","",IFERROR(INDEX(TblDynatrace[Métrique / période],MATCH($C163&amp;"|"&amp;$E163&amp;"|"&amp;$F163,TblDynatrace[Clé],0)),""))</f>
        <v/>
      </c>
      <c r="S163" s="60" t="str">
        <f>IF(OR($C163="",NOT(OR($G163="À migrer",$G163="À décommissionner")),$I163="",NOT(ISNUMBER($P163))),"",IF($AO163&lt;&gt;"",$AO163,IFERROR(SUMIFS(TblClusters[CPU initial (vCPU)],TblClusters[Cluster],$I163)*$P163/(SUMIFS(TblApplications[CPU Dynatrace (vCPU)],TblApplications[Cluster IKS source],$I163,TblApplications[Action],"À migrer")+SUMIFS(TblApplications[CPU Dynatrace (vCPU)],TblApplications[Cluster IKS source],$I163,TblApplications[Action],"À décommissionner")),0)))</f>
        <v/>
      </c>
      <c r="T163" s="60" t="str">
        <f>IF(OR($C163="",NOT(OR($G163="À migrer",$G163="À décommissionner")),$I163="",NOT(ISNUMBER($Q163))),"",IF($AP163&lt;&gt;"",$AP163,IFERROR(SUMIFS(TblClusters[RAM initiale (Go)],TblClusters[Cluster],$I163)*$Q163/(SUMIFS(TblApplications[RAM Dynatrace (Go)],TblApplications[Cluster IKS source],$I163,TblApplications[Action],"À migrer")+SUMIFS(TblApplications[RAM Dynatrace (Go)],TblApplications[Cluster IKS source],$I163,TblApplications[Action],"À décommissionner")),0)))</f>
        <v/>
      </c>
      <c r="U163" s="61"/>
      <c r="V163" s="61"/>
      <c r="W163" s="61"/>
      <c r="X163" s="59"/>
      <c r="Y163" s="26" t="str">
        <f t="shared" si="17"/>
        <v/>
      </c>
      <c r="Z163" s="26" t="str">
        <f t="shared" si="18"/>
        <v/>
      </c>
      <c r="AA163" s="33" t="str">
        <f t="shared" si="19"/>
        <v/>
      </c>
      <c r="AB163" s="33" t="str">
        <f t="shared" si="20"/>
        <v/>
      </c>
      <c r="AC163" s="26" t="str">
        <f t="shared" si="21"/>
        <v/>
      </c>
      <c r="AD163" s="26" t="str">
        <f>IF($C163="","",COUNTIF(TblApplications[ID],$C163))</f>
        <v/>
      </c>
      <c r="AE163" s="33" t="str">
        <f>IF($C163="","",IFERROR(1/(1/_xlfn.MINIFS(TblApplications[Mois prov (calc)],TblApplications[ID],$C163)),""))</f>
        <v/>
      </c>
      <c r="AF163" s="33" t="str">
        <f>IF($C163="","",IFERROR(1/(1/_xlfn.MAXIFS(TblApplications[Mois lib (calc)],TblApplications[ID],$C163)),""))</f>
        <v/>
      </c>
      <c r="AG163" s="26" t="str">
        <f>IF($C163="","",IF(OR(OR($A163="",$B163="",$D163="",$E163="",$F163="",$G163=""),AND($G163="À migrer",OR($H163="",$I163="",$O163="",$U163="",$V163="",$W163="")),AND($G163="Migré",OR($O163="")),AND($G163="À décommissionner",OR($I163="",$W163=""))),"Données manquantes (selon l’action)",IF(AND($G163&lt;&gt;"Migré",$G163&lt;&gt;"À migrer",$G163&lt;&gt;"À décommissionner",$G163&lt;&gt;"Décommissionné"),"Action invalide",IF(COUNTIF(TblDomaines[Domaine],$A163)=0,"Domaine inconnu (référentiel)",IF(COUNTIFS(TblTribes[Tribe],$B163,TblTribes[Domaine de la tribe],$A163)=0,"Tribe inconnue ou hors domaine",IF(AND($G163="À migrer",$H163&lt;&gt;"Oui",$H163&lt;&gt;"Non"),"Valeur Oui/Non invalide (Déjà incluse ROKS)",IF(AND($E163&lt;&gt;"PRD",$E163&lt;&gt;"NPRD"),"Environnement invalide",IF(COUNTIFS(TblApplications[ID],$C163,TblApplications[Environnement],$E163,TblApplications[Couloir],$F163)&gt;1,"Déploiement en doublon (ID + env + couloir)",IF(AND(OR(OR($G163="À migrer",$G163="Migré"),OR($G163="À migrer",$G163="À décommissionner")),N($P163)&lt;=0),"Conso Dynatrace absente (onglet Dynatrace)",IF(OR(AND($P163&lt;&gt;"",NOT(ISNUMBER($P163))),AND($Q163&lt;&gt;"",NOT(ISNUMBER($Q163)))),"Ressource non numérique",IF(MIN(N($P163),N($Q163))&lt;0,"Ressource négative",IF(OR(AND($AH163&lt;&gt;"",OR(NOT(ISNUMBER($AH163)),$AH163&lt;0,$AH163&gt;1)),AND($AI163&lt;&gt;"",OR(NOT(ISNUMBER($AI163)),$AI163&lt;0,$AI163&gt;1))),"Marge spécifique invalide (0–100 %)",IF(OR(AND($U163&lt;&gt;"",NOT(ISNUMBER($U163))),AND($V163&lt;&gt;"",NOT(ISNUMBER($V163))),AND($W163&lt;&gt;"",NOT(ISNUMBER($W163)))),"Mois invalide",IF(AND(OR($G163="À migrer",$G163="À décommissionner"),COUNTIFS(TblClusters[Cluster],$I163,TblClusters[Plateforme],"IKS")=0),"Cluster IKS inconnu",IF(AND(OR($G163="À migrer",$G163="Migré"),COUNTIFS(TblClusters[Cluster],$O163,TblClusters[Plateforme],"ROKS")=0),"Cluster ROKS inconnu",IF(AND(OR($G163="À migrer",$G163="À décommissionner"),COUNTIFS(TblClusters[Cluster],$I163,TblClusters[Environnement],$E163)=0),"Environnement ≠ cluster IKS",IF(AND(OR($G163="À migrer",$G163="Migré"),COUNTIFS(TblClusters[Cluster],$O163,TblClusters[Environnement],$E163)=0),"Environnement ≠ cluster ROKS",IF(AND($G163="À migrer",OR($U163&gt;$V163,$V163&gt;$W163)),"Dates incohérentes (prov ≤ bascule ≤ libération)",IF(AND(OR($G163="À migrer",$G163="À décommissionner"),OR(N($AO163)&gt;SUMIFS(TblClusters[CPU initial (vCPU)],TblClusters[Cluster],$I163),N($AP163)&gt;SUMIFS(TblClusters[RAM initiale (Go)],TblClusters[Cluster],$I163))),"Forçage &gt; capacité du cluster source",IF(OR(AND($AA163&lt;&gt;"",$AA163&lt;p_debut),AND($AB163&lt;&gt;"",$AB163&gt;p_fin)),"Hors horizon (info)",IF(AND($G163="À migrer",$E163="PRD",COUNTIFS(TblApplications[ID],$C163,TblApplications[Environnement],"NPRD",TblApplications[Action],"À migrer")&gt;0,$AA163&lt;_xlfn.MINIFS(TblApplications[Mois prov (calc)],TblApplications[ID],$C163,TblApplications[Environnement],"NPRD")),"PRD avant NPRD (info)","OK")))))))))))))))))))))</f>
        <v/>
      </c>
      <c r="AH163" s="62"/>
      <c r="AI163" s="62"/>
      <c r="AJ163" s="27" t="str">
        <f>IF(OR($C163="",NOT(OR($G163="À migrer",$G163="À décommissionner")),NOT(ISNUMBER($S163)),NOT(ISNUMBER($T163)),$AB163=""),"",($S163+p_poidsram*$T163)*SUMIFS(TblCalculs[Coût par unité],TblCalculs[Cluster],$I163,TblCalculs[Mois],"&lt;"&amp;$AB163))</f>
        <v/>
      </c>
      <c r="AK163" s="27" t="str">
        <f>IF($C163="","",IF(AND($G163="À migrer",$H163="Non",$Y163&lt;&gt;"",$AA163&lt;&gt;""),($Y163+p_poidsram*$Z163)*SUMIFS(TblCalculs[Coût par unité],TblCalculs[Cluster],$O163,TblCalculs[Mois],"&gt;="&amp;$AA163),IF(AND($G163="Migré",$Y163&lt;&gt;""),($Y163+p_poidsram*$Z163)*SUMIFS(TblCalculs[Coût par unité],TblCalculs[Cluster],$O163),"")))</f>
        <v/>
      </c>
      <c r="AL163" s="27" t="str">
        <f t="shared" si="22"/>
        <v/>
      </c>
      <c r="AM163" s="26" t="str">
        <f t="shared" si="23"/>
        <v/>
      </c>
      <c r="AN163" s="26" t="str">
        <f>IF(OR($C163="",$AM163&lt;&gt;1,COUNTIFS($E163,ex_envc,$A163,ex_domc,$B163,ex_tric)=0),"",COUNTIFS($AM$6:$AM163,1,$E$6:$E163,ex_envc,$A$6:$A163,ex_domc,$B$6:$B163,ex_tric))</f>
        <v/>
      </c>
      <c r="AO163" s="63"/>
      <c r="AP163" s="63"/>
      <c r="AQ163" s="63"/>
      <c r="AR163" s="63"/>
    </row>
    <row r="164" spans="1:44" x14ac:dyDescent="0.2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26" t="str">
        <f t="shared" si="16"/>
        <v/>
      </c>
      <c r="O164" s="59"/>
      <c r="P164" s="60" t="str">
        <f>IF($C164="","",IF($AQ164&lt;&gt;"",$AQ164,SUMIFS(TblDynatrace[CPU P95 (vCPU)],TblDynatrace[ID],$C164,TblDynatrace[Environnement],$E164,TblDynatrace[Couloir],$F164)))</f>
        <v/>
      </c>
      <c r="Q164" s="60" t="str">
        <f>IF($C164="","",IF($AR164&lt;&gt;"",$AR164,SUMIFS(TblDynatrace[RAM P95 (Go)],TblDynatrace[ID],$C164,TblDynatrace[Environnement],$E164,TblDynatrace[Couloir],$F164)))</f>
        <v/>
      </c>
      <c r="R164" s="26" t="str">
        <f>IF($C164="","",IFERROR(INDEX(TblDynatrace[Métrique / période],MATCH($C164&amp;"|"&amp;$E164&amp;"|"&amp;$F164,TblDynatrace[Clé],0)),""))</f>
        <v/>
      </c>
      <c r="S164" s="60" t="str">
        <f>IF(OR($C164="",NOT(OR($G164="À migrer",$G164="À décommissionner")),$I164="",NOT(ISNUMBER($P164))),"",IF($AO164&lt;&gt;"",$AO164,IFERROR(SUMIFS(TblClusters[CPU initial (vCPU)],TblClusters[Cluster],$I164)*$P164/(SUMIFS(TblApplications[CPU Dynatrace (vCPU)],TblApplications[Cluster IKS source],$I164,TblApplications[Action],"À migrer")+SUMIFS(TblApplications[CPU Dynatrace (vCPU)],TblApplications[Cluster IKS source],$I164,TblApplications[Action],"À décommissionner")),0)))</f>
        <v/>
      </c>
      <c r="T164" s="60" t="str">
        <f>IF(OR($C164="",NOT(OR($G164="À migrer",$G164="À décommissionner")),$I164="",NOT(ISNUMBER($Q164))),"",IF($AP164&lt;&gt;"",$AP164,IFERROR(SUMIFS(TblClusters[RAM initiale (Go)],TblClusters[Cluster],$I164)*$Q164/(SUMIFS(TblApplications[RAM Dynatrace (Go)],TblApplications[Cluster IKS source],$I164,TblApplications[Action],"À migrer")+SUMIFS(TblApplications[RAM Dynatrace (Go)],TblApplications[Cluster IKS source],$I164,TblApplications[Action],"À décommissionner")),0)))</f>
        <v/>
      </c>
      <c r="U164" s="61"/>
      <c r="V164" s="61"/>
      <c r="W164" s="61"/>
      <c r="X164" s="59"/>
      <c r="Y164" s="26" t="str">
        <f t="shared" si="17"/>
        <v/>
      </c>
      <c r="Z164" s="26" t="str">
        <f t="shared" si="18"/>
        <v/>
      </c>
      <c r="AA164" s="33" t="str">
        <f t="shared" si="19"/>
        <v/>
      </c>
      <c r="AB164" s="33" t="str">
        <f t="shared" si="20"/>
        <v/>
      </c>
      <c r="AC164" s="26" t="str">
        <f t="shared" si="21"/>
        <v/>
      </c>
      <c r="AD164" s="26" t="str">
        <f>IF($C164="","",COUNTIF(TblApplications[ID],$C164))</f>
        <v/>
      </c>
      <c r="AE164" s="33" t="str">
        <f>IF($C164="","",IFERROR(1/(1/_xlfn.MINIFS(TblApplications[Mois prov (calc)],TblApplications[ID],$C164)),""))</f>
        <v/>
      </c>
      <c r="AF164" s="33" t="str">
        <f>IF($C164="","",IFERROR(1/(1/_xlfn.MAXIFS(TblApplications[Mois lib (calc)],TblApplications[ID],$C164)),""))</f>
        <v/>
      </c>
      <c r="AG164" s="26" t="str">
        <f>IF($C164="","",IF(OR(OR($A164="",$B164="",$D164="",$E164="",$F164="",$G164=""),AND($G164="À migrer",OR($H164="",$I164="",$O164="",$U164="",$V164="",$W164="")),AND($G164="Migré",OR($O164="")),AND($G164="À décommissionner",OR($I164="",$W164=""))),"Données manquantes (selon l’action)",IF(AND($G164&lt;&gt;"Migré",$G164&lt;&gt;"À migrer",$G164&lt;&gt;"À décommissionner",$G164&lt;&gt;"Décommissionné"),"Action invalide",IF(COUNTIF(TblDomaines[Domaine],$A164)=0,"Domaine inconnu (référentiel)",IF(COUNTIFS(TblTribes[Tribe],$B164,TblTribes[Domaine de la tribe],$A164)=0,"Tribe inconnue ou hors domaine",IF(AND($G164="À migrer",$H164&lt;&gt;"Oui",$H164&lt;&gt;"Non"),"Valeur Oui/Non invalide (Déjà incluse ROKS)",IF(AND($E164&lt;&gt;"PRD",$E164&lt;&gt;"NPRD"),"Environnement invalide",IF(COUNTIFS(TblApplications[ID],$C164,TblApplications[Environnement],$E164,TblApplications[Couloir],$F164)&gt;1,"Déploiement en doublon (ID + env + couloir)",IF(AND(OR(OR($G164="À migrer",$G164="Migré"),OR($G164="À migrer",$G164="À décommissionner")),N($P164)&lt;=0),"Conso Dynatrace absente (onglet Dynatrace)",IF(OR(AND($P164&lt;&gt;"",NOT(ISNUMBER($P164))),AND($Q164&lt;&gt;"",NOT(ISNUMBER($Q164)))),"Ressource non numérique",IF(MIN(N($P164),N($Q164))&lt;0,"Ressource négative",IF(OR(AND($AH164&lt;&gt;"",OR(NOT(ISNUMBER($AH164)),$AH164&lt;0,$AH164&gt;1)),AND($AI164&lt;&gt;"",OR(NOT(ISNUMBER($AI164)),$AI164&lt;0,$AI164&gt;1))),"Marge spécifique invalide (0–100 %)",IF(OR(AND($U164&lt;&gt;"",NOT(ISNUMBER($U164))),AND($V164&lt;&gt;"",NOT(ISNUMBER($V164))),AND($W164&lt;&gt;"",NOT(ISNUMBER($W164)))),"Mois invalide",IF(AND(OR($G164="À migrer",$G164="À décommissionner"),COUNTIFS(TblClusters[Cluster],$I164,TblClusters[Plateforme],"IKS")=0),"Cluster IKS inconnu",IF(AND(OR($G164="À migrer",$G164="Migré"),COUNTIFS(TblClusters[Cluster],$O164,TblClusters[Plateforme],"ROKS")=0),"Cluster ROKS inconnu",IF(AND(OR($G164="À migrer",$G164="À décommissionner"),COUNTIFS(TblClusters[Cluster],$I164,TblClusters[Environnement],$E164)=0),"Environnement ≠ cluster IKS",IF(AND(OR($G164="À migrer",$G164="Migré"),COUNTIFS(TblClusters[Cluster],$O164,TblClusters[Environnement],$E164)=0),"Environnement ≠ cluster ROKS",IF(AND($G164="À migrer",OR($U164&gt;$V164,$V164&gt;$W164)),"Dates incohérentes (prov ≤ bascule ≤ libération)",IF(AND(OR($G164="À migrer",$G164="À décommissionner"),OR(N($AO164)&gt;SUMIFS(TblClusters[CPU initial (vCPU)],TblClusters[Cluster],$I164),N($AP164)&gt;SUMIFS(TblClusters[RAM initiale (Go)],TblClusters[Cluster],$I164))),"Forçage &gt; capacité du cluster source",IF(OR(AND($AA164&lt;&gt;"",$AA164&lt;p_debut),AND($AB164&lt;&gt;"",$AB164&gt;p_fin)),"Hors horizon (info)",IF(AND($G164="À migrer",$E164="PRD",COUNTIFS(TblApplications[ID],$C164,TblApplications[Environnement],"NPRD",TblApplications[Action],"À migrer")&gt;0,$AA164&lt;_xlfn.MINIFS(TblApplications[Mois prov (calc)],TblApplications[ID],$C164,TblApplications[Environnement],"NPRD")),"PRD avant NPRD (info)","OK")))))))))))))))))))))</f>
        <v/>
      </c>
      <c r="AH164" s="62"/>
      <c r="AI164" s="62"/>
      <c r="AJ164" s="27" t="str">
        <f>IF(OR($C164="",NOT(OR($G164="À migrer",$G164="À décommissionner")),NOT(ISNUMBER($S164)),NOT(ISNUMBER($T164)),$AB164=""),"",($S164+p_poidsram*$T164)*SUMIFS(TblCalculs[Coût par unité],TblCalculs[Cluster],$I164,TblCalculs[Mois],"&lt;"&amp;$AB164))</f>
        <v/>
      </c>
      <c r="AK164" s="27" t="str">
        <f>IF($C164="","",IF(AND($G164="À migrer",$H164="Non",$Y164&lt;&gt;"",$AA164&lt;&gt;""),($Y164+p_poidsram*$Z164)*SUMIFS(TblCalculs[Coût par unité],TblCalculs[Cluster],$O164,TblCalculs[Mois],"&gt;="&amp;$AA164),IF(AND($G164="Migré",$Y164&lt;&gt;""),($Y164+p_poidsram*$Z164)*SUMIFS(TblCalculs[Coût par unité],TblCalculs[Cluster],$O164),"")))</f>
        <v/>
      </c>
      <c r="AL164" s="27" t="str">
        <f t="shared" si="22"/>
        <v/>
      </c>
      <c r="AM164" s="26" t="str">
        <f t="shared" si="23"/>
        <v/>
      </c>
      <c r="AN164" s="26" t="str">
        <f>IF(OR($C164="",$AM164&lt;&gt;1,COUNTIFS($E164,ex_envc,$A164,ex_domc,$B164,ex_tric)=0),"",COUNTIFS($AM$6:$AM164,1,$E$6:$E164,ex_envc,$A$6:$A164,ex_domc,$B$6:$B164,ex_tric))</f>
        <v/>
      </c>
      <c r="AO164" s="63"/>
      <c r="AP164" s="63"/>
      <c r="AQ164" s="63"/>
      <c r="AR164" s="63"/>
    </row>
    <row r="165" spans="1:44" x14ac:dyDescent="0.2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26" t="str">
        <f t="shared" si="16"/>
        <v/>
      </c>
      <c r="O165" s="59"/>
      <c r="P165" s="60" t="str">
        <f>IF($C165="","",IF($AQ165&lt;&gt;"",$AQ165,SUMIFS(TblDynatrace[CPU P95 (vCPU)],TblDynatrace[ID],$C165,TblDynatrace[Environnement],$E165,TblDynatrace[Couloir],$F165)))</f>
        <v/>
      </c>
      <c r="Q165" s="60" t="str">
        <f>IF($C165="","",IF($AR165&lt;&gt;"",$AR165,SUMIFS(TblDynatrace[RAM P95 (Go)],TblDynatrace[ID],$C165,TblDynatrace[Environnement],$E165,TblDynatrace[Couloir],$F165)))</f>
        <v/>
      </c>
      <c r="R165" s="26" t="str">
        <f>IF($C165="","",IFERROR(INDEX(TblDynatrace[Métrique / période],MATCH($C165&amp;"|"&amp;$E165&amp;"|"&amp;$F165,TblDynatrace[Clé],0)),""))</f>
        <v/>
      </c>
      <c r="S165" s="60" t="str">
        <f>IF(OR($C165="",NOT(OR($G165="À migrer",$G165="À décommissionner")),$I165="",NOT(ISNUMBER($P165))),"",IF($AO165&lt;&gt;"",$AO165,IFERROR(SUMIFS(TblClusters[CPU initial (vCPU)],TblClusters[Cluster],$I165)*$P165/(SUMIFS(TblApplications[CPU Dynatrace (vCPU)],TblApplications[Cluster IKS source],$I165,TblApplications[Action],"À migrer")+SUMIFS(TblApplications[CPU Dynatrace (vCPU)],TblApplications[Cluster IKS source],$I165,TblApplications[Action],"À décommissionner")),0)))</f>
        <v/>
      </c>
      <c r="T165" s="60" t="str">
        <f>IF(OR($C165="",NOT(OR($G165="À migrer",$G165="À décommissionner")),$I165="",NOT(ISNUMBER($Q165))),"",IF($AP165&lt;&gt;"",$AP165,IFERROR(SUMIFS(TblClusters[RAM initiale (Go)],TblClusters[Cluster],$I165)*$Q165/(SUMIFS(TblApplications[RAM Dynatrace (Go)],TblApplications[Cluster IKS source],$I165,TblApplications[Action],"À migrer")+SUMIFS(TblApplications[RAM Dynatrace (Go)],TblApplications[Cluster IKS source],$I165,TblApplications[Action],"À décommissionner")),0)))</f>
        <v/>
      </c>
      <c r="U165" s="61"/>
      <c r="V165" s="61"/>
      <c r="W165" s="61"/>
      <c r="X165" s="59"/>
      <c r="Y165" s="26" t="str">
        <f t="shared" si="17"/>
        <v/>
      </c>
      <c r="Z165" s="26" t="str">
        <f t="shared" si="18"/>
        <v/>
      </c>
      <c r="AA165" s="33" t="str">
        <f t="shared" si="19"/>
        <v/>
      </c>
      <c r="AB165" s="33" t="str">
        <f t="shared" si="20"/>
        <v/>
      </c>
      <c r="AC165" s="26" t="str">
        <f t="shared" si="21"/>
        <v/>
      </c>
      <c r="AD165" s="26" t="str">
        <f>IF($C165="","",COUNTIF(TblApplications[ID],$C165))</f>
        <v/>
      </c>
      <c r="AE165" s="33" t="str">
        <f>IF($C165="","",IFERROR(1/(1/_xlfn.MINIFS(TblApplications[Mois prov (calc)],TblApplications[ID],$C165)),""))</f>
        <v/>
      </c>
      <c r="AF165" s="33" t="str">
        <f>IF($C165="","",IFERROR(1/(1/_xlfn.MAXIFS(TblApplications[Mois lib (calc)],TblApplications[ID],$C165)),""))</f>
        <v/>
      </c>
      <c r="AG165" s="26" t="str">
        <f>IF($C165="","",IF(OR(OR($A165="",$B165="",$D165="",$E165="",$F165="",$G165=""),AND($G165="À migrer",OR($H165="",$I165="",$O165="",$U165="",$V165="",$W165="")),AND($G165="Migré",OR($O165="")),AND($G165="À décommissionner",OR($I165="",$W165=""))),"Données manquantes (selon l’action)",IF(AND($G165&lt;&gt;"Migré",$G165&lt;&gt;"À migrer",$G165&lt;&gt;"À décommissionner",$G165&lt;&gt;"Décommissionné"),"Action invalide",IF(COUNTIF(TblDomaines[Domaine],$A165)=0,"Domaine inconnu (référentiel)",IF(COUNTIFS(TblTribes[Tribe],$B165,TblTribes[Domaine de la tribe],$A165)=0,"Tribe inconnue ou hors domaine",IF(AND($G165="À migrer",$H165&lt;&gt;"Oui",$H165&lt;&gt;"Non"),"Valeur Oui/Non invalide (Déjà incluse ROKS)",IF(AND($E165&lt;&gt;"PRD",$E165&lt;&gt;"NPRD"),"Environnement invalide",IF(COUNTIFS(TblApplications[ID],$C165,TblApplications[Environnement],$E165,TblApplications[Couloir],$F165)&gt;1,"Déploiement en doublon (ID + env + couloir)",IF(AND(OR(OR($G165="À migrer",$G165="Migré"),OR($G165="À migrer",$G165="À décommissionner")),N($P165)&lt;=0),"Conso Dynatrace absente (onglet Dynatrace)",IF(OR(AND($P165&lt;&gt;"",NOT(ISNUMBER($P165))),AND($Q165&lt;&gt;"",NOT(ISNUMBER($Q165)))),"Ressource non numérique",IF(MIN(N($P165),N($Q165))&lt;0,"Ressource négative",IF(OR(AND($AH165&lt;&gt;"",OR(NOT(ISNUMBER($AH165)),$AH165&lt;0,$AH165&gt;1)),AND($AI165&lt;&gt;"",OR(NOT(ISNUMBER($AI165)),$AI165&lt;0,$AI165&gt;1))),"Marge spécifique invalide (0–100 %)",IF(OR(AND($U165&lt;&gt;"",NOT(ISNUMBER($U165))),AND($V165&lt;&gt;"",NOT(ISNUMBER($V165))),AND($W165&lt;&gt;"",NOT(ISNUMBER($W165)))),"Mois invalide",IF(AND(OR($G165="À migrer",$G165="À décommissionner"),COUNTIFS(TblClusters[Cluster],$I165,TblClusters[Plateforme],"IKS")=0),"Cluster IKS inconnu",IF(AND(OR($G165="À migrer",$G165="Migré"),COUNTIFS(TblClusters[Cluster],$O165,TblClusters[Plateforme],"ROKS")=0),"Cluster ROKS inconnu",IF(AND(OR($G165="À migrer",$G165="À décommissionner"),COUNTIFS(TblClusters[Cluster],$I165,TblClusters[Environnement],$E165)=0),"Environnement ≠ cluster IKS",IF(AND(OR($G165="À migrer",$G165="Migré"),COUNTIFS(TblClusters[Cluster],$O165,TblClusters[Environnement],$E165)=0),"Environnement ≠ cluster ROKS",IF(AND($G165="À migrer",OR($U165&gt;$V165,$V165&gt;$W165)),"Dates incohérentes (prov ≤ bascule ≤ libération)",IF(AND(OR($G165="À migrer",$G165="À décommissionner"),OR(N($AO165)&gt;SUMIFS(TblClusters[CPU initial (vCPU)],TblClusters[Cluster],$I165),N($AP165)&gt;SUMIFS(TblClusters[RAM initiale (Go)],TblClusters[Cluster],$I165))),"Forçage &gt; capacité du cluster source",IF(OR(AND($AA165&lt;&gt;"",$AA165&lt;p_debut),AND($AB165&lt;&gt;"",$AB165&gt;p_fin)),"Hors horizon (info)",IF(AND($G165="À migrer",$E165="PRD",COUNTIFS(TblApplications[ID],$C165,TblApplications[Environnement],"NPRD",TblApplications[Action],"À migrer")&gt;0,$AA165&lt;_xlfn.MINIFS(TblApplications[Mois prov (calc)],TblApplications[ID],$C165,TblApplications[Environnement],"NPRD")),"PRD avant NPRD (info)","OK")))))))))))))))))))))</f>
        <v/>
      </c>
      <c r="AH165" s="62"/>
      <c r="AI165" s="62"/>
      <c r="AJ165" s="27" t="str">
        <f>IF(OR($C165="",NOT(OR($G165="À migrer",$G165="À décommissionner")),NOT(ISNUMBER($S165)),NOT(ISNUMBER($T165)),$AB165=""),"",($S165+p_poidsram*$T165)*SUMIFS(TblCalculs[Coût par unité],TblCalculs[Cluster],$I165,TblCalculs[Mois],"&lt;"&amp;$AB165))</f>
        <v/>
      </c>
      <c r="AK165" s="27" t="str">
        <f>IF($C165="","",IF(AND($G165="À migrer",$H165="Non",$Y165&lt;&gt;"",$AA165&lt;&gt;""),($Y165+p_poidsram*$Z165)*SUMIFS(TblCalculs[Coût par unité],TblCalculs[Cluster],$O165,TblCalculs[Mois],"&gt;="&amp;$AA165),IF(AND($G165="Migré",$Y165&lt;&gt;""),($Y165+p_poidsram*$Z165)*SUMIFS(TblCalculs[Coût par unité],TblCalculs[Cluster],$O165),"")))</f>
        <v/>
      </c>
      <c r="AL165" s="27" t="str">
        <f t="shared" si="22"/>
        <v/>
      </c>
      <c r="AM165" s="26" t="str">
        <f t="shared" si="23"/>
        <v/>
      </c>
      <c r="AN165" s="26" t="str">
        <f>IF(OR($C165="",$AM165&lt;&gt;1,COUNTIFS($E165,ex_envc,$A165,ex_domc,$B165,ex_tric)=0),"",COUNTIFS($AM$6:$AM165,1,$E$6:$E165,ex_envc,$A$6:$A165,ex_domc,$B$6:$B165,ex_tric))</f>
        <v/>
      </c>
      <c r="AO165" s="63"/>
      <c r="AP165" s="63"/>
      <c r="AQ165" s="63"/>
      <c r="AR165" s="63"/>
    </row>
    <row r="166" spans="1:44" x14ac:dyDescent="0.2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26" t="str">
        <f t="shared" si="16"/>
        <v/>
      </c>
      <c r="O166" s="59"/>
      <c r="P166" s="60" t="str">
        <f>IF($C166="","",IF($AQ166&lt;&gt;"",$AQ166,SUMIFS(TblDynatrace[CPU P95 (vCPU)],TblDynatrace[ID],$C166,TblDynatrace[Environnement],$E166,TblDynatrace[Couloir],$F166)))</f>
        <v/>
      </c>
      <c r="Q166" s="60" t="str">
        <f>IF($C166="","",IF($AR166&lt;&gt;"",$AR166,SUMIFS(TblDynatrace[RAM P95 (Go)],TblDynatrace[ID],$C166,TblDynatrace[Environnement],$E166,TblDynatrace[Couloir],$F166)))</f>
        <v/>
      </c>
      <c r="R166" s="26" t="str">
        <f>IF($C166="","",IFERROR(INDEX(TblDynatrace[Métrique / période],MATCH($C166&amp;"|"&amp;$E166&amp;"|"&amp;$F166,TblDynatrace[Clé],0)),""))</f>
        <v/>
      </c>
      <c r="S166" s="60" t="str">
        <f>IF(OR($C166="",NOT(OR($G166="À migrer",$G166="À décommissionner")),$I166="",NOT(ISNUMBER($P166))),"",IF($AO166&lt;&gt;"",$AO166,IFERROR(SUMIFS(TblClusters[CPU initial (vCPU)],TblClusters[Cluster],$I166)*$P166/(SUMIFS(TblApplications[CPU Dynatrace (vCPU)],TblApplications[Cluster IKS source],$I166,TblApplications[Action],"À migrer")+SUMIFS(TblApplications[CPU Dynatrace (vCPU)],TblApplications[Cluster IKS source],$I166,TblApplications[Action],"À décommissionner")),0)))</f>
        <v/>
      </c>
      <c r="T166" s="60" t="str">
        <f>IF(OR($C166="",NOT(OR($G166="À migrer",$G166="À décommissionner")),$I166="",NOT(ISNUMBER($Q166))),"",IF($AP166&lt;&gt;"",$AP166,IFERROR(SUMIFS(TblClusters[RAM initiale (Go)],TblClusters[Cluster],$I166)*$Q166/(SUMIFS(TblApplications[RAM Dynatrace (Go)],TblApplications[Cluster IKS source],$I166,TblApplications[Action],"À migrer")+SUMIFS(TblApplications[RAM Dynatrace (Go)],TblApplications[Cluster IKS source],$I166,TblApplications[Action],"À décommissionner")),0)))</f>
        <v/>
      </c>
      <c r="U166" s="61"/>
      <c r="V166" s="61"/>
      <c r="W166" s="61"/>
      <c r="X166" s="59"/>
      <c r="Y166" s="26" t="str">
        <f t="shared" si="17"/>
        <v/>
      </c>
      <c r="Z166" s="26" t="str">
        <f t="shared" si="18"/>
        <v/>
      </c>
      <c r="AA166" s="33" t="str">
        <f t="shared" si="19"/>
        <v/>
      </c>
      <c r="AB166" s="33" t="str">
        <f t="shared" si="20"/>
        <v/>
      </c>
      <c r="AC166" s="26" t="str">
        <f t="shared" si="21"/>
        <v/>
      </c>
      <c r="AD166" s="26" t="str">
        <f>IF($C166="","",COUNTIF(TblApplications[ID],$C166))</f>
        <v/>
      </c>
      <c r="AE166" s="33" t="str">
        <f>IF($C166="","",IFERROR(1/(1/_xlfn.MINIFS(TblApplications[Mois prov (calc)],TblApplications[ID],$C166)),""))</f>
        <v/>
      </c>
      <c r="AF166" s="33" t="str">
        <f>IF($C166="","",IFERROR(1/(1/_xlfn.MAXIFS(TblApplications[Mois lib (calc)],TblApplications[ID],$C166)),""))</f>
        <v/>
      </c>
      <c r="AG166" s="26" t="str">
        <f>IF($C166="","",IF(OR(OR($A166="",$B166="",$D166="",$E166="",$F166="",$G166=""),AND($G166="À migrer",OR($H166="",$I166="",$O166="",$U166="",$V166="",$W166="")),AND($G166="Migré",OR($O166="")),AND($G166="À décommissionner",OR($I166="",$W166=""))),"Données manquantes (selon l’action)",IF(AND($G166&lt;&gt;"Migré",$G166&lt;&gt;"À migrer",$G166&lt;&gt;"À décommissionner",$G166&lt;&gt;"Décommissionné"),"Action invalide",IF(COUNTIF(TblDomaines[Domaine],$A166)=0,"Domaine inconnu (référentiel)",IF(COUNTIFS(TblTribes[Tribe],$B166,TblTribes[Domaine de la tribe],$A166)=0,"Tribe inconnue ou hors domaine",IF(AND($G166="À migrer",$H166&lt;&gt;"Oui",$H166&lt;&gt;"Non"),"Valeur Oui/Non invalide (Déjà incluse ROKS)",IF(AND($E166&lt;&gt;"PRD",$E166&lt;&gt;"NPRD"),"Environnement invalide",IF(COUNTIFS(TblApplications[ID],$C166,TblApplications[Environnement],$E166,TblApplications[Couloir],$F166)&gt;1,"Déploiement en doublon (ID + env + couloir)",IF(AND(OR(OR($G166="À migrer",$G166="Migré"),OR($G166="À migrer",$G166="À décommissionner")),N($P166)&lt;=0),"Conso Dynatrace absente (onglet Dynatrace)",IF(OR(AND($P166&lt;&gt;"",NOT(ISNUMBER($P166))),AND($Q166&lt;&gt;"",NOT(ISNUMBER($Q166)))),"Ressource non numérique",IF(MIN(N($P166),N($Q166))&lt;0,"Ressource négative",IF(OR(AND($AH166&lt;&gt;"",OR(NOT(ISNUMBER($AH166)),$AH166&lt;0,$AH166&gt;1)),AND($AI166&lt;&gt;"",OR(NOT(ISNUMBER($AI166)),$AI166&lt;0,$AI166&gt;1))),"Marge spécifique invalide (0–100 %)",IF(OR(AND($U166&lt;&gt;"",NOT(ISNUMBER($U166))),AND($V166&lt;&gt;"",NOT(ISNUMBER($V166))),AND($W166&lt;&gt;"",NOT(ISNUMBER($W166)))),"Mois invalide",IF(AND(OR($G166="À migrer",$G166="À décommissionner"),COUNTIFS(TblClusters[Cluster],$I166,TblClusters[Plateforme],"IKS")=0),"Cluster IKS inconnu",IF(AND(OR($G166="À migrer",$G166="Migré"),COUNTIFS(TblClusters[Cluster],$O166,TblClusters[Plateforme],"ROKS")=0),"Cluster ROKS inconnu",IF(AND(OR($G166="À migrer",$G166="À décommissionner"),COUNTIFS(TblClusters[Cluster],$I166,TblClusters[Environnement],$E166)=0),"Environnement ≠ cluster IKS",IF(AND(OR($G166="À migrer",$G166="Migré"),COUNTIFS(TblClusters[Cluster],$O166,TblClusters[Environnement],$E166)=0),"Environnement ≠ cluster ROKS",IF(AND($G166="À migrer",OR($U166&gt;$V166,$V166&gt;$W166)),"Dates incohérentes (prov ≤ bascule ≤ libération)",IF(AND(OR($G166="À migrer",$G166="À décommissionner"),OR(N($AO166)&gt;SUMIFS(TblClusters[CPU initial (vCPU)],TblClusters[Cluster],$I166),N($AP166)&gt;SUMIFS(TblClusters[RAM initiale (Go)],TblClusters[Cluster],$I166))),"Forçage &gt; capacité du cluster source",IF(OR(AND($AA166&lt;&gt;"",$AA166&lt;p_debut),AND($AB166&lt;&gt;"",$AB166&gt;p_fin)),"Hors horizon (info)",IF(AND($G166="À migrer",$E166="PRD",COUNTIFS(TblApplications[ID],$C166,TblApplications[Environnement],"NPRD",TblApplications[Action],"À migrer")&gt;0,$AA166&lt;_xlfn.MINIFS(TblApplications[Mois prov (calc)],TblApplications[ID],$C166,TblApplications[Environnement],"NPRD")),"PRD avant NPRD (info)","OK")))))))))))))))))))))</f>
        <v/>
      </c>
      <c r="AH166" s="62"/>
      <c r="AI166" s="62"/>
      <c r="AJ166" s="27" t="str">
        <f>IF(OR($C166="",NOT(OR($G166="À migrer",$G166="À décommissionner")),NOT(ISNUMBER($S166)),NOT(ISNUMBER($T166)),$AB166=""),"",($S166+p_poidsram*$T166)*SUMIFS(TblCalculs[Coût par unité],TblCalculs[Cluster],$I166,TblCalculs[Mois],"&lt;"&amp;$AB166))</f>
        <v/>
      </c>
      <c r="AK166" s="27" t="str">
        <f>IF($C166="","",IF(AND($G166="À migrer",$H166="Non",$Y166&lt;&gt;"",$AA166&lt;&gt;""),($Y166+p_poidsram*$Z166)*SUMIFS(TblCalculs[Coût par unité],TblCalculs[Cluster],$O166,TblCalculs[Mois],"&gt;="&amp;$AA166),IF(AND($G166="Migré",$Y166&lt;&gt;""),($Y166+p_poidsram*$Z166)*SUMIFS(TblCalculs[Coût par unité],TblCalculs[Cluster],$O166),"")))</f>
        <v/>
      </c>
      <c r="AL166" s="27" t="str">
        <f t="shared" si="22"/>
        <v/>
      </c>
      <c r="AM166" s="26" t="str">
        <f t="shared" si="23"/>
        <v/>
      </c>
      <c r="AN166" s="26" t="str">
        <f>IF(OR($C166="",$AM166&lt;&gt;1,COUNTIFS($E166,ex_envc,$A166,ex_domc,$B166,ex_tric)=0),"",COUNTIFS($AM$6:$AM166,1,$E$6:$E166,ex_envc,$A$6:$A166,ex_domc,$B$6:$B166,ex_tric))</f>
        <v/>
      </c>
      <c r="AO166" s="63"/>
      <c r="AP166" s="63"/>
      <c r="AQ166" s="63"/>
      <c r="AR166" s="63"/>
    </row>
    <row r="167" spans="1:44" x14ac:dyDescent="0.2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26" t="str">
        <f t="shared" si="16"/>
        <v/>
      </c>
      <c r="O167" s="59"/>
      <c r="P167" s="60" t="str">
        <f>IF($C167="","",IF($AQ167&lt;&gt;"",$AQ167,SUMIFS(TblDynatrace[CPU P95 (vCPU)],TblDynatrace[ID],$C167,TblDynatrace[Environnement],$E167,TblDynatrace[Couloir],$F167)))</f>
        <v/>
      </c>
      <c r="Q167" s="60" t="str">
        <f>IF($C167="","",IF($AR167&lt;&gt;"",$AR167,SUMIFS(TblDynatrace[RAM P95 (Go)],TblDynatrace[ID],$C167,TblDynatrace[Environnement],$E167,TblDynatrace[Couloir],$F167)))</f>
        <v/>
      </c>
      <c r="R167" s="26" t="str">
        <f>IF($C167="","",IFERROR(INDEX(TblDynatrace[Métrique / période],MATCH($C167&amp;"|"&amp;$E167&amp;"|"&amp;$F167,TblDynatrace[Clé],0)),""))</f>
        <v/>
      </c>
      <c r="S167" s="60" t="str">
        <f>IF(OR($C167="",NOT(OR($G167="À migrer",$G167="À décommissionner")),$I167="",NOT(ISNUMBER($P167))),"",IF($AO167&lt;&gt;"",$AO167,IFERROR(SUMIFS(TblClusters[CPU initial (vCPU)],TblClusters[Cluster],$I167)*$P167/(SUMIFS(TblApplications[CPU Dynatrace (vCPU)],TblApplications[Cluster IKS source],$I167,TblApplications[Action],"À migrer")+SUMIFS(TblApplications[CPU Dynatrace (vCPU)],TblApplications[Cluster IKS source],$I167,TblApplications[Action],"À décommissionner")),0)))</f>
        <v/>
      </c>
      <c r="T167" s="60" t="str">
        <f>IF(OR($C167="",NOT(OR($G167="À migrer",$G167="À décommissionner")),$I167="",NOT(ISNUMBER($Q167))),"",IF($AP167&lt;&gt;"",$AP167,IFERROR(SUMIFS(TblClusters[RAM initiale (Go)],TblClusters[Cluster],$I167)*$Q167/(SUMIFS(TblApplications[RAM Dynatrace (Go)],TblApplications[Cluster IKS source],$I167,TblApplications[Action],"À migrer")+SUMIFS(TblApplications[RAM Dynatrace (Go)],TblApplications[Cluster IKS source],$I167,TblApplications[Action],"À décommissionner")),0)))</f>
        <v/>
      </c>
      <c r="U167" s="61"/>
      <c r="V167" s="61"/>
      <c r="W167" s="61"/>
      <c r="X167" s="59"/>
      <c r="Y167" s="26" t="str">
        <f t="shared" si="17"/>
        <v/>
      </c>
      <c r="Z167" s="26" t="str">
        <f t="shared" si="18"/>
        <v/>
      </c>
      <c r="AA167" s="33" t="str">
        <f t="shared" si="19"/>
        <v/>
      </c>
      <c r="AB167" s="33" t="str">
        <f t="shared" si="20"/>
        <v/>
      </c>
      <c r="AC167" s="26" t="str">
        <f t="shared" si="21"/>
        <v/>
      </c>
      <c r="AD167" s="26" t="str">
        <f>IF($C167="","",COUNTIF(TblApplications[ID],$C167))</f>
        <v/>
      </c>
      <c r="AE167" s="33" t="str">
        <f>IF($C167="","",IFERROR(1/(1/_xlfn.MINIFS(TblApplications[Mois prov (calc)],TblApplications[ID],$C167)),""))</f>
        <v/>
      </c>
      <c r="AF167" s="33" t="str">
        <f>IF($C167="","",IFERROR(1/(1/_xlfn.MAXIFS(TblApplications[Mois lib (calc)],TblApplications[ID],$C167)),""))</f>
        <v/>
      </c>
      <c r="AG167" s="26" t="str">
        <f>IF($C167="","",IF(OR(OR($A167="",$B167="",$D167="",$E167="",$F167="",$G167=""),AND($G167="À migrer",OR($H167="",$I167="",$O167="",$U167="",$V167="",$W167="")),AND($G167="Migré",OR($O167="")),AND($G167="À décommissionner",OR($I167="",$W167=""))),"Données manquantes (selon l’action)",IF(AND($G167&lt;&gt;"Migré",$G167&lt;&gt;"À migrer",$G167&lt;&gt;"À décommissionner",$G167&lt;&gt;"Décommissionné"),"Action invalide",IF(COUNTIF(TblDomaines[Domaine],$A167)=0,"Domaine inconnu (référentiel)",IF(COUNTIFS(TblTribes[Tribe],$B167,TblTribes[Domaine de la tribe],$A167)=0,"Tribe inconnue ou hors domaine",IF(AND($G167="À migrer",$H167&lt;&gt;"Oui",$H167&lt;&gt;"Non"),"Valeur Oui/Non invalide (Déjà incluse ROKS)",IF(AND($E167&lt;&gt;"PRD",$E167&lt;&gt;"NPRD"),"Environnement invalide",IF(COUNTIFS(TblApplications[ID],$C167,TblApplications[Environnement],$E167,TblApplications[Couloir],$F167)&gt;1,"Déploiement en doublon (ID + env + couloir)",IF(AND(OR(OR($G167="À migrer",$G167="Migré"),OR($G167="À migrer",$G167="À décommissionner")),N($P167)&lt;=0),"Conso Dynatrace absente (onglet Dynatrace)",IF(OR(AND($P167&lt;&gt;"",NOT(ISNUMBER($P167))),AND($Q167&lt;&gt;"",NOT(ISNUMBER($Q167)))),"Ressource non numérique",IF(MIN(N($P167),N($Q167))&lt;0,"Ressource négative",IF(OR(AND($AH167&lt;&gt;"",OR(NOT(ISNUMBER($AH167)),$AH167&lt;0,$AH167&gt;1)),AND($AI167&lt;&gt;"",OR(NOT(ISNUMBER($AI167)),$AI167&lt;0,$AI167&gt;1))),"Marge spécifique invalide (0–100 %)",IF(OR(AND($U167&lt;&gt;"",NOT(ISNUMBER($U167))),AND($V167&lt;&gt;"",NOT(ISNUMBER($V167))),AND($W167&lt;&gt;"",NOT(ISNUMBER($W167)))),"Mois invalide",IF(AND(OR($G167="À migrer",$G167="À décommissionner"),COUNTIFS(TblClusters[Cluster],$I167,TblClusters[Plateforme],"IKS")=0),"Cluster IKS inconnu",IF(AND(OR($G167="À migrer",$G167="Migré"),COUNTIFS(TblClusters[Cluster],$O167,TblClusters[Plateforme],"ROKS")=0),"Cluster ROKS inconnu",IF(AND(OR($G167="À migrer",$G167="À décommissionner"),COUNTIFS(TblClusters[Cluster],$I167,TblClusters[Environnement],$E167)=0),"Environnement ≠ cluster IKS",IF(AND(OR($G167="À migrer",$G167="Migré"),COUNTIFS(TblClusters[Cluster],$O167,TblClusters[Environnement],$E167)=0),"Environnement ≠ cluster ROKS",IF(AND($G167="À migrer",OR($U167&gt;$V167,$V167&gt;$W167)),"Dates incohérentes (prov ≤ bascule ≤ libération)",IF(AND(OR($G167="À migrer",$G167="À décommissionner"),OR(N($AO167)&gt;SUMIFS(TblClusters[CPU initial (vCPU)],TblClusters[Cluster],$I167),N($AP167)&gt;SUMIFS(TblClusters[RAM initiale (Go)],TblClusters[Cluster],$I167))),"Forçage &gt; capacité du cluster source",IF(OR(AND($AA167&lt;&gt;"",$AA167&lt;p_debut),AND($AB167&lt;&gt;"",$AB167&gt;p_fin)),"Hors horizon (info)",IF(AND($G167="À migrer",$E167="PRD",COUNTIFS(TblApplications[ID],$C167,TblApplications[Environnement],"NPRD",TblApplications[Action],"À migrer")&gt;0,$AA167&lt;_xlfn.MINIFS(TblApplications[Mois prov (calc)],TblApplications[ID],$C167,TblApplications[Environnement],"NPRD")),"PRD avant NPRD (info)","OK")))))))))))))))))))))</f>
        <v/>
      </c>
      <c r="AH167" s="62"/>
      <c r="AI167" s="62"/>
      <c r="AJ167" s="27" t="str">
        <f>IF(OR($C167="",NOT(OR($G167="À migrer",$G167="À décommissionner")),NOT(ISNUMBER($S167)),NOT(ISNUMBER($T167)),$AB167=""),"",($S167+p_poidsram*$T167)*SUMIFS(TblCalculs[Coût par unité],TblCalculs[Cluster],$I167,TblCalculs[Mois],"&lt;"&amp;$AB167))</f>
        <v/>
      </c>
      <c r="AK167" s="27" t="str">
        <f>IF($C167="","",IF(AND($G167="À migrer",$H167="Non",$Y167&lt;&gt;"",$AA167&lt;&gt;""),($Y167+p_poidsram*$Z167)*SUMIFS(TblCalculs[Coût par unité],TblCalculs[Cluster],$O167,TblCalculs[Mois],"&gt;="&amp;$AA167),IF(AND($G167="Migré",$Y167&lt;&gt;""),($Y167+p_poidsram*$Z167)*SUMIFS(TblCalculs[Coût par unité],TblCalculs[Cluster],$O167),"")))</f>
        <v/>
      </c>
      <c r="AL167" s="27" t="str">
        <f t="shared" si="22"/>
        <v/>
      </c>
      <c r="AM167" s="26" t="str">
        <f t="shared" si="23"/>
        <v/>
      </c>
      <c r="AN167" s="26" t="str">
        <f>IF(OR($C167="",$AM167&lt;&gt;1,COUNTIFS($E167,ex_envc,$A167,ex_domc,$B167,ex_tric)=0),"",COUNTIFS($AM$6:$AM167,1,$E$6:$E167,ex_envc,$A$6:$A167,ex_domc,$B$6:$B167,ex_tric))</f>
        <v/>
      </c>
      <c r="AO167" s="63"/>
      <c r="AP167" s="63"/>
      <c r="AQ167" s="63"/>
      <c r="AR167" s="63"/>
    </row>
    <row r="168" spans="1:44" x14ac:dyDescent="0.2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26" t="str">
        <f t="shared" si="16"/>
        <v/>
      </c>
      <c r="O168" s="59"/>
      <c r="P168" s="60" t="str">
        <f>IF($C168="","",IF($AQ168&lt;&gt;"",$AQ168,SUMIFS(TblDynatrace[CPU P95 (vCPU)],TblDynatrace[ID],$C168,TblDynatrace[Environnement],$E168,TblDynatrace[Couloir],$F168)))</f>
        <v/>
      </c>
      <c r="Q168" s="60" t="str">
        <f>IF($C168="","",IF($AR168&lt;&gt;"",$AR168,SUMIFS(TblDynatrace[RAM P95 (Go)],TblDynatrace[ID],$C168,TblDynatrace[Environnement],$E168,TblDynatrace[Couloir],$F168)))</f>
        <v/>
      </c>
      <c r="R168" s="26" t="str">
        <f>IF($C168="","",IFERROR(INDEX(TblDynatrace[Métrique / période],MATCH($C168&amp;"|"&amp;$E168&amp;"|"&amp;$F168,TblDynatrace[Clé],0)),""))</f>
        <v/>
      </c>
      <c r="S168" s="60" t="str">
        <f>IF(OR($C168="",NOT(OR($G168="À migrer",$G168="À décommissionner")),$I168="",NOT(ISNUMBER($P168))),"",IF($AO168&lt;&gt;"",$AO168,IFERROR(SUMIFS(TblClusters[CPU initial (vCPU)],TblClusters[Cluster],$I168)*$P168/(SUMIFS(TblApplications[CPU Dynatrace (vCPU)],TblApplications[Cluster IKS source],$I168,TblApplications[Action],"À migrer")+SUMIFS(TblApplications[CPU Dynatrace (vCPU)],TblApplications[Cluster IKS source],$I168,TblApplications[Action],"À décommissionner")),0)))</f>
        <v/>
      </c>
      <c r="T168" s="60" t="str">
        <f>IF(OR($C168="",NOT(OR($G168="À migrer",$G168="À décommissionner")),$I168="",NOT(ISNUMBER($Q168))),"",IF($AP168&lt;&gt;"",$AP168,IFERROR(SUMIFS(TblClusters[RAM initiale (Go)],TblClusters[Cluster],$I168)*$Q168/(SUMIFS(TblApplications[RAM Dynatrace (Go)],TblApplications[Cluster IKS source],$I168,TblApplications[Action],"À migrer")+SUMIFS(TblApplications[RAM Dynatrace (Go)],TblApplications[Cluster IKS source],$I168,TblApplications[Action],"À décommissionner")),0)))</f>
        <v/>
      </c>
      <c r="U168" s="61"/>
      <c r="V168" s="61"/>
      <c r="W168" s="61"/>
      <c r="X168" s="59"/>
      <c r="Y168" s="26" t="str">
        <f t="shared" si="17"/>
        <v/>
      </c>
      <c r="Z168" s="26" t="str">
        <f t="shared" si="18"/>
        <v/>
      </c>
      <c r="AA168" s="33" t="str">
        <f t="shared" si="19"/>
        <v/>
      </c>
      <c r="AB168" s="33" t="str">
        <f t="shared" si="20"/>
        <v/>
      </c>
      <c r="AC168" s="26" t="str">
        <f t="shared" si="21"/>
        <v/>
      </c>
      <c r="AD168" s="26" t="str">
        <f>IF($C168="","",COUNTIF(TblApplications[ID],$C168))</f>
        <v/>
      </c>
      <c r="AE168" s="33" t="str">
        <f>IF($C168="","",IFERROR(1/(1/_xlfn.MINIFS(TblApplications[Mois prov (calc)],TblApplications[ID],$C168)),""))</f>
        <v/>
      </c>
      <c r="AF168" s="33" t="str">
        <f>IF($C168="","",IFERROR(1/(1/_xlfn.MAXIFS(TblApplications[Mois lib (calc)],TblApplications[ID],$C168)),""))</f>
        <v/>
      </c>
      <c r="AG168" s="26" t="str">
        <f>IF($C168="","",IF(OR(OR($A168="",$B168="",$D168="",$E168="",$F168="",$G168=""),AND($G168="À migrer",OR($H168="",$I168="",$O168="",$U168="",$V168="",$W168="")),AND($G168="Migré",OR($O168="")),AND($G168="À décommissionner",OR($I168="",$W168=""))),"Données manquantes (selon l’action)",IF(AND($G168&lt;&gt;"Migré",$G168&lt;&gt;"À migrer",$G168&lt;&gt;"À décommissionner",$G168&lt;&gt;"Décommissionné"),"Action invalide",IF(COUNTIF(TblDomaines[Domaine],$A168)=0,"Domaine inconnu (référentiel)",IF(COUNTIFS(TblTribes[Tribe],$B168,TblTribes[Domaine de la tribe],$A168)=0,"Tribe inconnue ou hors domaine",IF(AND($G168="À migrer",$H168&lt;&gt;"Oui",$H168&lt;&gt;"Non"),"Valeur Oui/Non invalide (Déjà incluse ROKS)",IF(AND($E168&lt;&gt;"PRD",$E168&lt;&gt;"NPRD"),"Environnement invalide",IF(COUNTIFS(TblApplications[ID],$C168,TblApplications[Environnement],$E168,TblApplications[Couloir],$F168)&gt;1,"Déploiement en doublon (ID + env + couloir)",IF(AND(OR(OR($G168="À migrer",$G168="Migré"),OR($G168="À migrer",$G168="À décommissionner")),N($P168)&lt;=0),"Conso Dynatrace absente (onglet Dynatrace)",IF(OR(AND($P168&lt;&gt;"",NOT(ISNUMBER($P168))),AND($Q168&lt;&gt;"",NOT(ISNUMBER($Q168)))),"Ressource non numérique",IF(MIN(N($P168),N($Q168))&lt;0,"Ressource négative",IF(OR(AND($AH168&lt;&gt;"",OR(NOT(ISNUMBER($AH168)),$AH168&lt;0,$AH168&gt;1)),AND($AI168&lt;&gt;"",OR(NOT(ISNUMBER($AI168)),$AI168&lt;0,$AI168&gt;1))),"Marge spécifique invalide (0–100 %)",IF(OR(AND($U168&lt;&gt;"",NOT(ISNUMBER($U168))),AND($V168&lt;&gt;"",NOT(ISNUMBER($V168))),AND($W168&lt;&gt;"",NOT(ISNUMBER($W168)))),"Mois invalide",IF(AND(OR($G168="À migrer",$G168="À décommissionner"),COUNTIFS(TblClusters[Cluster],$I168,TblClusters[Plateforme],"IKS")=0),"Cluster IKS inconnu",IF(AND(OR($G168="À migrer",$G168="Migré"),COUNTIFS(TblClusters[Cluster],$O168,TblClusters[Plateforme],"ROKS")=0),"Cluster ROKS inconnu",IF(AND(OR($G168="À migrer",$G168="À décommissionner"),COUNTIFS(TblClusters[Cluster],$I168,TblClusters[Environnement],$E168)=0),"Environnement ≠ cluster IKS",IF(AND(OR($G168="À migrer",$G168="Migré"),COUNTIFS(TblClusters[Cluster],$O168,TblClusters[Environnement],$E168)=0),"Environnement ≠ cluster ROKS",IF(AND($G168="À migrer",OR($U168&gt;$V168,$V168&gt;$W168)),"Dates incohérentes (prov ≤ bascule ≤ libération)",IF(AND(OR($G168="À migrer",$G168="À décommissionner"),OR(N($AO168)&gt;SUMIFS(TblClusters[CPU initial (vCPU)],TblClusters[Cluster],$I168),N($AP168)&gt;SUMIFS(TblClusters[RAM initiale (Go)],TblClusters[Cluster],$I168))),"Forçage &gt; capacité du cluster source",IF(OR(AND($AA168&lt;&gt;"",$AA168&lt;p_debut),AND($AB168&lt;&gt;"",$AB168&gt;p_fin)),"Hors horizon (info)",IF(AND($G168="À migrer",$E168="PRD",COUNTIFS(TblApplications[ID],$C168,TblApplications[Environnement],"NPRD",TblApplications[Action],"À migrer")&gt;0,$AA168&lt;_xlfn.MINIFS(TblApplications[Mois prov (calc)],TblApplications[ID],$C168,TblApplications[Environnement],"NPRD")),"PRD avant NPRD (info)","OK")))))))))))))))))))))</f>
        <v/>
      </c>
      <c r="AH168" s="62"/>
      <c r="AI168" s="62"/>
      <c r="AJ168" s="27" t="str">
        <f>IF(OR($C168="",NOT(OR($G168="À migrer",$G168="À décommissionner")),NOT(ISNUMBER($S168)),NOT(ISNUMBER($T168)),$AB168=""),"",($S168+p_poidsram*$T168)*SUMIFS(TblCalculs[Coût par unité],TblCalculs[Cluster],$I168,TblCalculs[Mois],"&lt;"&amp;$AB168))</f>
        <v/>
      </c>
      <c r="AK168" s="27" t="str">
        <f>IF($C168="","",IF(AND($G168="À migrer",$H168="Non",$Y168&lt;&gt;"",$AA168&lt;&gt;""),($Y168+p_poidsram*$Z168)*SUMIFS(TblCalculs[Coût par unité],TblCalculs[Cluster],$O168,TblCalculs[Mois],"&gt;="&amp;$AA168),IF(AND($G168="Migré",$Y168&lt;&gt;""),($Y168+p_poidsram*$Z168)*SUMIFS(TblCalculs[Coût par unité],TblCalculs[Cluster],$O168),"")))</f>
        <v/>
      </c>
      <c r="AL168" s="27" t="str">
        <f t="shared" si="22"/>
        <v/>
      </c>
      <c r="AM168" s="26" t="str">
        <f t="shared" si="23"/>
        <v/>
      </c>
      <c r="AN168" s="26" t="str">
        <f>IF(OR($C168="",$AM168&lt;&gt;1,COUNTIFS($E168,ex_envc,$A168,ex_domc,$B168,ex_tric)=0),"",COUNTIFS($AM$6:$AM168,1,$E$6:$E168,ex_envc,$A$6:$A168,ex_domc,$B$6:$B168,ex_tric))</f>
        <v/>
      </c>
      <c r="AO168" s="63"/>
      <c r="AP168" s="63"/>
      <c r="AQ168" s="63"/>
      <c r="AR168" s="63"/>
    </row>
    <row r="169" spans="1:44" x14ac:dyDescent="0.2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26" t="str">
        <f t="shared" si="16"/>
        <v/>
      </c>
      <c r="O169" s="59"/>
      <c r="P169" s="60" t="str">
        <f>IF($C169="","",IF($AQ169&lt;&gt;"",$AQ169,SUMIFS(TblDynatrace[CPU P95 (vCPU)],TblDynatrace[ID],$C169,TblDynatrace[Environnement],$E169,TblDynatrace[Couloir],$F169)))</f>
        <v/>
      </c>
      <c r="Q169" s="60" t="str">
        <f>IF($C169="","",IF($AR169&lt;&gt;"",$AR169,SUMIFS(TblDynatrace[RAM P95 (Go)],TblDynatrace[ID],$C169,TblDynatrace[Environnement],$E169,TblDynatrace[Couloir],$F169)))</f>
        <v/>
      </c>
      <c r="R169" s="26" t="str">
        <f>IF($C169="","",IFERROR(INDEX(TblDynatrace[Métrique / période],MATCH($C169&amp;"|"&amp;$E169&amp;"|"&amp;$F169,TblDynatrace[Clé],0)),""))</f>
        <v/>
      </c>
      <c r="S169" s="60" t="str">
        <f>IF(OR($C169="",NOT(OR($G169="À migrer",$G169="À décommissionner")),$I169="",NOT(ISNUMBER($P169))),"",IF($AO169&lt;&gt;"",$AO169,IFERROR(SUMIFS(TblClusters[CPU initial (vCPU)],TblClusters[Cluster],$I169)*$P169/(SUMIFS(TblApplications[CPU Dynatrace (vCPU)],TblApplications[Cluster IKS source],$I169,TblApplications[Action],"À migrer")+SUMIFS(TblApplications[CPU Dynatrace (vCPU)],TblApplications[Cluster IKS source],$I169,TblApplications[Action],"À décommissionner")),0)))</f>
        <v/>
      </c>
      <c r="T169" s="60" t="str">
        <f>IF(OR($C169="",NOT(OR($G169="À migrer",$G169="À décommissionner")),$I169="",NOT(ISNUMBER($Q169))),"",IF($AP169&lt;&gt;"",$AP169,IFERROR(SUMIFS(TblClusters[RAM initiale (Go)],TblClusters[Cluster],$I169)*$Q169/(SUMIFS(TblApplications[RAM Dynatrace (Go)],TblApplications[Cluster IKS source],$I169,TblApplications[Action],"À migrer")+SUMIFS(TblApplications[RAM Dynatrace (Go)],TblApplications[Cluster IKS source],$I169,TblApplications[Action],"À décommissionner")),0)))</f>
        <v/>
      </c>
      <c r="U169" s="61"/>
      <c r="V169" s="61"/>
      <c r="W169" s="61"/>
      <c r="X169" s="59"/>
      <c r="Y169" s="26" t="str">
        <f t="shared" si="17"/>
        <v/>
      </c>
      <c r="Z169" s="26" t="str">
        <f t="shared" si="18"/>
        <v/>
      </c>
      <c r="AA169" s="33" t="str">
        <f t="shared" si="19"/>
        <v/>
      </c>
      <c r="AB169" s="33" t="str">
        <f t="shared" si="20"/>
        <v/>
      </c>
      <c r="AC169" s="26" t="str">
        <f t="shared" si="21"/>
        <v/>
      </c>
      <c r="AD169" s="26" t="str">
        <f>IF($C169="","",COUNTIF(TblApplications[ID],$C169))</f>
        <v/>
      </c>
      <c r="AE169" s="33" t="str">
        <f>IF($C169="","",IFERROR(1/(1/_xlfn.MINIFS(TblApplications[Mois prov (calc)],TblApplications[ID],$C169)),""))</f>
        <v/>
      </c>
      <c r="AF169" s="33" t="str">
        <f>IF($C169="","",IFERROR(1/(1/_xlfn.MAXIFS(TblApplications[Mois lib (calc)],TblApplications[ID],$C169)),""))</f>
        <v/>
      </c>
      <c r="AG169" s="26" t="str">
        <f>IF($C169="","",IF(OR(OR($A169="",$B169="",$D169="",$E169="",$F169="",$G169=""),AND($G169="À migrer",OR($H169="",$I169="",$O169="",$U169="",$V169="",$W169="")),AND($G169="Migré",OR($O169="")),AND($G169="À décommissionner",OR($I169="",$W169=""))),"Données manquantes (selon l’action)",IF(AND($G169&lt;&gt;"Migré",$G169&lt;&gt;"À migrer",$G169&lt;&gt;"À décommissionner",$G169&lt;&gt;"Décommissionné"),"Action invalide",IF(COUNTIF(TblDomaines[Domaine],$A169)=0,"Domaine inconnu (référentiel)",IF(COUNTIFS(TblTribes[Tribe],$B169,TblTribes[Domaine de la tribe],$A169)=0,"Tribe inconnue ou hors domaine",IF(AND($G169="À migrer",$H169&lt;&gt;"Oui",$H169&lt;&gt;"Non"),"Valeur Oui/Non invalide (Déjà incluse ROKS)",IF(AND($E169&lt;&gt;"PRD",$E169&lt;&gt;"NPRD"),"Environnement invalide",IF(COUNTIFS(TblApplications[ID],$C169,TblApplications[Environnement],$E169,TblApplications[Couloir],$F169)&gt;1,"Déploiement en doublon (ID + env + couloir)",IF(AND(OR(OR($G169="À migrer",$G169="Migré"),OR($G169="À migrer",$G169="À décommissionner")),N($P169)&lt;=0),"Conso Dynatrace absente (onglet Dynatrace)",IF(OR(AND($P169&lt;&gt;"",NOT(ISNUMBER($P169))),AND($Q169&lt;&gt;"",NOT(ISNUMBER($Q169)))),"Ressource non numérique",IF(MIN(N($P169),N($Q169))&lt;0,"Ressource négative",IF(OR(AND($AH169&lt;&gt;"",OR(NOT(ISNUMBER($AH169)),$AH169&lt;0,$AH169&gt;1)),AND($AI169&lt;&gt;"",OR(NOT(ISNUMBER($AI169)),$AI169&lt;0,$AI169&gt;1))),"Marge spécifique invalide (0–100 %)",IF(OR(AND($U169&lt;&gt;"",NOT(ISNUMBER($U169))),AND($V169&lt;&gt;"",NOT(ISNUMBER($V169))),AND($W169&lt;&gt;"",NOT(ISNUMBER($W169)))),"Mois invalide",IF(AND(OR($G169="À migrer",$G169="À décommissionner"),COUNTIFS(TblClusters[Cluster],$I169,TblClusters[Plateforme],"IKS")=0),"Cluster IKS inconnu",IF(AND(OR($G169="À migrer",$G169="Migré"),COUNTIFS(TblClusters[Cluster],$O169,TblClusters[Plateforme],"ROKS")=0),"Cluster ROKS inconnu",IF(AND(OR($G169="À migrer",$G169="À décommissionner"),COUNTIFS(TblClusters[Cluster],$I169,TblClusters[Environnement],$E169)=0),"Environnement ≠ cluster IKS",IF(AND(OR($G169="À migrer",$G169="Migré"),COUNTIFS(TblClusters[Cluster],$O169,TblClusters[Environnement],$E169)=0),"Environnement ≠ cluster ROKS",IF(AND($G169="À migrer",OR($U169&gt;$V169,$V169&gt;$W169)),"Dates incohérentes (prov ≤ bascule ≤ libération)",IF(AND(OR($G169="À migrer",$G169="À décommissionner"),OR(N($AO169)&gt;SUMIFS(TblClusters[CPU initial (vCPU)],TblClusters[Cluster],$I169),N($AP169)&gt;SUMIFS(TblClusters[RAM initiale (Go)],TblClusters[Cluster],$I169))),"Forçage &gt; capacité du cluster source",IF(OR(AND($AA169&lt;&gt;"",$AA169&lt;p_debut),AND($AB169&lt;&gt;"",$AB169&gt;p_fin)),"Hors horizon (info)",IF(AND($G169="À migrer",$E169="PRD",COUNTIFS(TblApplications[ID],$C169,TblApplications[Environnement],"NPRD",TblApplications[Action],"À migrer")&gt;0,$AA169&lt;_xlfn.MINIFS(TblApplications[Mois prov (calc)],TblApplications[ID],$C169,TblApplications[Environnement],"NPRD")),"PRD avant NPRD (info)","OK")))))))))))))))))))))</f>
        <v/>
      </c>
      <c r="AH169" s="62"/>
      <c r="AI169" s="62"/>
      <c r="AJ169" s="27" t="str">
        <f>IF(OR($C169="",NOT(OR($G169="À migrer",$G169="À décommissionner")),NOT(ISNUMBER($S169)),NOT(ISNUMBER($T169)),$AB169=""),"",($S169+p_poidsram*$T169)*SUMIFS(TblCalculs[Coût par unité],TblCalculs[Cluster],$I169,TblCalculs[Mois],"&lt;"&amp;$AB169))</f>
        <v/>
      </c>
      <c r="AK169" s="27" t="str">
        <f>IF($C169="","",IF(AND($G169="À migrer",$H169="Non",$Y169&lt;&gt;"",$AA169&lt;&gt;""),($Y169+p_poidsram*$Z169)*SUMIFS(TblCalculs[Coût par unité],TblCalculs[Cluster],$O169,TblCalculs[Mois],"&gt;="&amp;$AA169),IF(AND($G169="Migré",$Y169&lt;&gt;""),($Y169+p_poidsram*$Z169)*SUMIFS(TblCalculs[Coût par unité],TblCalculs[Cluster],$O169),"")))</f>
        <v/>
      </c>
      <c r="AL169" s="27" t="str">
        <f t="shared" si="22"/>
        <v/>
      </c>
      <c r="AM169" s="26" t="str">
        <f t="shared" si="23"/>
        <v/>
      </c>
      <c r="AN169" s="26" t="str">
        <f>IF(OR($C169="",$AM169&lt;&gt;1,COUNTIFS($E169,ex_envc,$A169,ex_domc,$B169,ex_tric)=0),"",COUNTIFS($AM$6:$AM169,1,$E$6:$E169,ex_envc,$A$6:$A169,ex_domc,$B$6:$B169,ex_tric))</f>
        <v/>
      </c>
      <c r="AO169" s="63"/>
      <c r="AP169" s="63"/>
      <c r="AQ169" s="63"/>
      <c r="AR169" s="63"/>
    </row>
    <row r="170" spans="1:44" x14ac:dyDescent="0.2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26" t="str">
        <f t="shared" si="16"/>
        <v/>
      </c>
      <c r="O170" s="59"/>
      <c r="P170" s="60" t="str">
        <f>IF($C170="","",IF($AQ170&lt;&gt;"",$AQ170,SUMIFS(TblDynatrace[CPU P95 (vCPU)],TblDynatrace[ID],$C170,TblDynatrace[Environnement],$E170,TblDynatrace[Couloir],$F170)))</f>
        <v/>
      </c>
      <c r="Q170" s="60" t="str">
        <f>IF($C170="","",IF($AR170&lt;&gt;"",$AR170,SUMIFS(TblDynatrace[RAM P95 (Go)],TblDynatrace[ID],$C170,TblDynatrace[Environnement],$E170,TblDynatrace[Couloir],$F170)))</f>
        <v/>
      </c>
      <c r="R170" s="26" t="str">
        <f>IF($C170="","",IFERROR(INDEX(TblDynatrace[Métrique / période],MATCH($C170&amp;"|"&amp;$E170&amp;"|"&amp;$F170,TblDynatrace[Clé],0)),""))</f>
        <v/>
      </c>
      <c r="S170" s="60" t="str">
        <f>IF(OR($C170="",NOT(OR($G170="À migrer",$G170="À décommissionner")),$I170="",NOT(ISNUMBER($P170))),"",IF($AO170&lt;&gt;"",$AO170,IFERROR(SUMIFS(TblClusters[CPU initial (vCPU)],TblClusters[Cluster],$I170)*$P170/(SUMIFS(TblApplications[CPU Dynatrace (vCPU)],TblApplications[Cluster IKS source],$I170,TblApplications[Action],"À migrer")+SUMIFS(TblApplications[CPU Dynatrace (vCPU)],TblApplications[Cluster IKS source],$I170,TblApplications[Action],"À décommissionner")),0)))</f>
        <v/>
      </c>
      <c r="T170" s="60" t="str">
        <f>IF(OR($C170="",NOT(OR($G170="À migrer",$G170="À décommissionner")),$I170="",NOT(ISNUMBER($Q170))),"",IF($AP170&lt;&gt;"",$AP170,IFERROR(SUMIFS(TblClusters[RAM initiale (Go)],TblClusters[Cluster],$I170)*$Q170/(SUMIFS(TblApplications[RAM Dynatrace (Go)],TblApplications[Cluster IKS source],$I170,TblApplications[Action],"À migrer")+SUMIFS(TblApplications[RAM Dynatrace (Go)],TblApplications[Cluster IKS source],$I170,TblApplications[Action],"À décommissionner")),0)))</f>
        <v/>
      </c>
      <c r="U170" s="61"/>
      <c r="V170" s="61"/>
      <c r="W170" s="61"/>
      <c r="X170" s="59"/>
      <c r="Y170" s="26" t="str">
        <f t="shared" si="17"/>
        <v/>
      </c>
      <c r="Z170" s="26" t="str">
        <f t="shared" si="18"/>
        <v/>
      </c>
      <c r="AA170" s="33" t="str">
        <f t="shared" si="19"/>
        <v/>
      </c>
      <c r="AB170" s="33" t="str">
        <f t="shared" si="20"/>
        <v/>
      </c>
      <c r="AC170" s="26" t="str">
        <f t="shared" si="21"/>
        <v/>
      </c>
      <c r="AD170" s="26" t="str">
        <f>IF($C170="","",COUNTIF(TblApplications[ID],$C170))</f>
        <v/>
      </c>
      <c r="AE170" s="33" t="str">
        <f>IF($C170="","",IFERROR(1/(1/_xlfn.MINIFS(TblApplications[Mois prov (calc)],TblApplications[ID],$C170)),""))</f>
        <v/>
      </c>
      <c r="AF170" s="33" t="str">
        <f>IF($C170="","",IFERROR(1/(1/_xlfn.MAXIFS(TblApplications[Mois lib (calc)],TblApplications[ID],$C170)),""))</f>
        <v/>
      </c>
      <c r="AG170" s="26" t="str">
        <f>IF($C170="","",IF(OR(OR($A170="",$B170="",$D170="",$E170="",$F170="",$G170=""),AND($G170="À migrer",OR($H170="",$I170="",$O170="",$U170="",$V170="",$W170="")),AND($G170="Migré",OR($O170="")),AND($G170="À décommissionner",OR($I170="",$W170=""))),"Données manquantes (selon l’action)",IF(AND($G170&lt;&gt;"Migré",$G170&lt;&gt;"À migrer",$G170&lt;&gt;"À décommissionner",$G170&lt;&gt;"Décommissionné"),"Action invalide",IF(COUNTIF(TblDomaines[Domaine],$A170)=0,"Domaine inconnu (référentiel)",IF(COUNTIFS(TblTribes[Tribe],$B170,TblTribes[Domaine de la tribe],$A170)=0,"Tribe inconnue ou hors domaine",IF(AND($G170="À migrer",$H170&lt;&gt;"Oui",$H170&lt;&gt;"Non"),"Valeur Oui/Non invalide (Déjà incluse ROKS)",IF(AND($E170&lt;&gt;"PRD",$E170&lt;&gt;"NPRD"),"Environnement invalide",IF(COUNTIFS(TblApplications[ID],$C170,TblApplications[Environnement],$E170,TblApplications[Couloir],$F170)&gt;1,"Déploiement en doublon (ID + env + couloir)",IF(AND(OR(OR($G170="À migrer",$G170="Migré"),OR($G170="À migrer",$G170="À décommissionner")),N($P170)&lt;=0),"Conso Dynatrace absente (onglet Dynatrace)",IF(OR(AND($P170&lt;&gt;"",NOT(ISNUMBER($P170))),AND($Q170&lt;&gt;"",NOT(ISNUMBER($Q170)))),"Ressource non numérique",IF(MIN(N($P170),N($Q170))&lt;0,"Ressource négative",IF(OR(AND($AH170&lt;&gt;"",OR(NOT(ISNUMBER($AH170)),$AH170&lt;0,$AH170&gt;1)),AND($AI170&lt;&gt;"",OR(NOT(ISNUMBER($AI170)),$AI170&lt;0,$AI170&gt;1))),"Marge spécifique invalide (0–100 %)",IF(OR(AND($U170&lt;&gt;"",NOT(ISNUMBER($U170))),AND($V170&lt;&gt;"",NOT(ISNUMBER($V170))),AND($W170&lt;&gt;"",NOT(ISNUMBER($W170)))),"Mois invalide",IF(AND(OR($G170="À migrer",$G170="À décommissionner"),COUNTIFS(TblClusters[Cluster],$I170,TblClusters[Plateforme],"IKS")=0),"Cluster IKS inconnu",IF(AND(OR($G170="À migrer",$G170="Migré"),COUNTIFS(TblClusters[Cluster],$O170,TblClusters[Plateforme],"ROKS")=0),"Cluster ROKS inconnu",IF(AND(OR($G170="À migrer",$G170="À décommissionner"),COUNTIFS(TblClusters[Cluster],$I170,TblClusters[Environnement],$E170)=0),"Environnement ≠ cluster IKS",IF(AND(OR($G170="À migrer",$G170="Migré"),COUNTIFS(TblClusters[Cluster],$O170,TblClusters[Environnement],$E170)=0),"Environnement ≠ cluster ROKS",IF(AND($G170="À migrer",OR($U170&gt;$V170,$V170&gt;$W170)),"Dates incohérentes (prov ≤ bascule ≤ libération)",IF(AND(OR($G170="À migrer",$G170="À décommissionner"),OR(N($AO170)&gt;SUMIFS(TblClusters[CPU initial (vCPU)],TblClusters[Cluster],$I170),N($AP170)&gt;SUMIFS(TblClusters[RAM initiale (Go)],TblClusters[Cluster],$I170))),"Forçage &gt; capacité du cluster source",IF(OR(AND($AA170&lt;&gt;"",$AA170&lt;p_debut),AND($AB170&lt;&gt;"",$AB170&gt;p_fin)),"Hors horizon (info)",IF(AND($G170="À migrer",$E170="PRD",COUNTIFS(TblApplications[ID],$C170,TblApplications[Environnement],"NPRD",TblApplications[Action],"À migrer")&gt;0,$AA170&lt;_xlfn.MINIFS(TblApplications[Mois prov (calc)],TblApplications[ID],$C170,TblApplications[Environnement],"NPRD")),"PRD avant NPRD (info)","OK")))))))))))))))))))))</f>
        <v/>
      </c>
      <c r="AH170" s="62"/>
      <c r="AI170" s="62"/>
      <c r="AJ170" s="27" t="str">
        <f>IF(OR($C170="",NOT(OR($G170="À migrer",$G170="À décommissionner")),NOT(ISNUMBER($S170)),NOT(ISNUMBER($T170)),$AB170=""),"",($S170+p_poidsram*$T170)*SUMIFS(TblCalculs[Coût par unité],TblCalculs[Cluster],$I170,TblCalculs[Mois],"&lt;"&amp;$AB170))</f>
        <v/>
      </c>
      <c r="AK170" s="27" t="str">
        <f>IF($C170="","",IF(AND($G170="À migrer",$H170="Non",$Y170&lt;&gt;"",$AA170&lt;&gt;""),($Y170+p_poidsram*$Z170)*SUMIFS(TblCalculs[Coût par unité],TblCalculs[Cluster],$O170,TblCalculs[Mois],"&gt;="&amp;$AA170),IF(AND($G170="Migré",$Y170&lt;&gt;""),($Y170+p_poidsram*$Z170)*SUMIFS(TblCalculs[Coût par unité],TblCalculs[Cluster],$O170),"")))</f>
        <v/>
      </c>
      <c r="AL170" s="27" t="str">
        <f t="shared" si="22"/>
        <v/>
      </c>
      <c r="AM170" s="26" t="str">
        <f t="shared" si="23"/>
        <v/>
      </c>
      <c r="AN170" s="26" t="str">
        <f>IF(OR($C170="",$AM170&lt;&gt;1,COUNTIFS($E170,ex_envc,$A170,ex_domc,$B170,ex_tric)=0),"",COUNTIFS($AM$6:$AM170,1,$E$6:$E170,ex_envc,$A$6:$A170,ex_domc,$B$6:$B170,ex_tric))</f>
        <v/>
      </c>
      <c r="AO170" s="63"/>
      <c r="AP170" s="63"/>
      <c r="AQ170" s="63"/>
      <c r="AR170" s="63"/>
    </row>
    <row r="171" spans="1:44" x14ac:dyDescent="0.2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26" t="str">
        <f t="shared" si="16"/>
        <v/>
      </c>
      <c r="O171" s="59"/>
      <c r="P171" s="60" t="str">
        <f>IF($C171="","",IF($AQ171&lt;&gt;"",$AQ171,SUMIFS(TblDynatrace[CPU P95 (vCPU)],TblDynatrace[ID],$C171,TblDynatrace[Environnement],$E171,TblDynatrace[Couloir],$F171)))</f>
        <v/>
      </c>
      <c r="Q171" s="60" t="str">
        <f>IF($C171="","",IF($AR171&lt;&gt;"",$AR171,SUMIFS(TblDynatrace[RAM P95 (Go)],TblDynatrace[ID],$C171,TblDynatrace[Environnement],$E171,TblDynatrace[Couloir],$F171)))</f>
        <v/>
      </c>
      <c r="R171" s="26" t="str">
        <f>IF($C171="","",IFERROR(INDEX(TblDynatrace[Métrique / période],MATCH($C171&amp;"|"&amp;$E171&amp;"|"&amp;$F171,TblDynatrace[Clé],0)),""))</f>
        <v/>
      </c>
      <c r="S171" s="60" t="str">
        <f>IF(OR($C171="",NOT(OR($G171="À migrer",$G171="À décommissionner")),$I171="",NOT(ISNUMBER($P171))),"",IF($AO171&lt;&gt;"",$AO171,IFERROR(SUMIFS(TblClusters[CPU initial (vCPU)],TblClusters[Cluster],$I171)*$P171/(SUMIFS(TblApplications[CPU Dynatrace (vCPU)],TblApplications[Cluster IKS source],$I171,TblApplications[Action],"À migrer")+SUMIFS(TblApplications[CPU Dynatrace (vCPU)],TblApplications[Cluster IKS source],$I171,TblApplications[Action],"À décommissionner")),0)))</f>
        <v/>
      </c>
      <c r="T171" s="60" t="str">
        <f>IF(OR($C171="",NOT(OR($G171="À migrer",$G171="À décommissionner")),$I171="",NOT(ISNUMBER($Q171))),"",IF($AP171&lt;&gt;"",$AP171,IFERROR(SUMIFS(TblClusters[RAM initiale (Go)],TblClusters[Cluster],$I171)*$Q171/(SUMIFS(TblApplications[RAM Dynatrace (Go)],TblApplications[Cluster IKS source],$I171,TblApplications[Action],"À migrer")+SUMIFS(TblApplications[RAM Dynatrace (Go)],TblApplications[Cluster IKS source],$I171,TblApplications[Action],"À décommissionner")),0)))</f>
        <v/>
      </c>
      <c r="U171" s="61"/>
      <c r="V171" s="61"/>
      <c r="W171" s="61"/>
      <c r="X171" s="59"/>
      <c r="Y171" s="26" t="str">
        <f t="shared" si="17"/>
        <v/>
      </c>
      <c r="Z171" s="26" t="str">
        <f t="shared" si="18"/>
        <v/>
      </c>
      <c r="AA171" s="33" t="str">
        <f t="shared" si="19"/>
        <v/>
      </c>
      <c r="AB171" s="33" t="str">
        <f t="shared" si="20"/>
        <v/>
      </c>
      <c r="AC171" s="26" t="str">
        <f t="shared" si="21"/>
        <v/>
      </c>
      <c r="AD171" s="26" t="str">
        <f>IF($C171="","",COUNTIF(TblApplications[ID],$C171))</f>
        <v/>
      </c>
      <c r="AE171" s="33" t="str">
        <f>IF($C171="","",IFERROR(1/(1/_xlfn.MINIFS(TblApplications[Mois prov (calc)],TblApplications[ID],$C171)),""))</f>
        <v/>
      </c>
      <c r="AF171" s="33" t="str">
        <f>IF($C171="","",IFERROR(1/(1/_xlfn.MAXIFS(TblApplications[Mois lib (calc)],TblApplications[ID],$C171)),""))</f>
        <v/>
      </c>
      <c r="AG171" s="26" t="str">
        <f>IF($C171="","",IF(OR(OR($A171="",$B171="",$D171="",$E171="",$F171="",$G171=""),AND($G171="À migrer",OR($H171="",$I171="",$O171="",$U171="",$V171="",$W171="")),AND($G171="Migré",OR($O171="")),AND($G171="À décommissionner",OR($I171="",$W171=""))),"Données manquantes (selon l’action)",IF(AND($G171&lt;&gt;"Migré",$G171&lt;&gt;"À migrer",$G171&lt;&gt;"À décommissionner",$G171&lt;&gt;"Décommissionné"),"Action invalide",IF(COUNTIF(TblDomaines[Domaine],$A171)=0,"Domaine inconnu (référentiel)",IF(COUNTIFS(TblTribes[Tribe],$B171,TblTribes[Domaine de la tribe],$A171)=0,"Tribe inconnue ou hors domaine",IF(AND($G171="À migrer",$H171&lt;&gt;"Oui",$H171&lt;&gt;"Non"),"Valeur Oui/Non invalide (Déjà incluse ROKS)",IF(AND($E171&lt;&gt;"PRD",$E171&lt;&gt;"NPRD"),"Environnement invalide",IF(COUNTIFS(TblApplications[ID],$C171,TblApplications[Environnement],$E171,TblApplications[Couloir],$F171)&gt;1,"Déploiement en doublon (ID + env + couloir)",IF(AND(OR(OR($G171="À migrer",$G171="Migré"),OR($G171="À migrer",$G171="À décommissionner")),N($P171)&lt;=0),"Conso Dynatrace absente (onglet Dynatrace)",IF(OR(AND($P171&lt;&gt;"",NOT(ISNUMBER($P171))),AND($Q171&lt;&gt;"",NOT(ISNUMBER($Q171)))),"Ressource non numérique",IF(MIN(N($P171),N($Q171))&lt;0,"Ressource négative",IF(OR(AND($AH171&lt;&gt;"",OR(NOT(ISNUMBER($AH171)),$AH171&lt;0,$AH171&gt;1)),AND($AI171&lt;&gt;"",OR(NOT(ISNUMBER($AI171)),$AI171&lt;0,$AI171&gt;1))),"Marge spécifique invalide (0–100 %)",IF(OR(AND($U171&lt;&gt;"",NOT(ISNUMBER($U171))),AND($V171&lt;&gt;"",NOT(ISNUMBER($V171))),AND($W171&lt;&gt;"",NOT(ISNUMBER($W171)))),"Mois invalide",IF(AND(OR($G171="À migrer",$G171="À décommissionner"),COUNTIFS(TblClusters[Cluster],$I171,TblClusters[Plateforme],"IKS")=0),"Cluster IKS inconnu",IF(AND(OR($G171="À migrer",$G171="Migré"),COUNTIFS(TblClusters[Cluster],$O171,TblClusters[Plateforme],"ROKS")=0),"Cluster ROKS inconnu",IF(AND(OR($G171="À migrer",$G171="À décommissionner"),COUNTIFS(TblClusters[Cluster],$I171,TblClusters[Environnement],$E171)=0),"Environnement ≠ cluster IKS",IF(AND(OR($G171="À migrer",$G171="Migré"),COUNTIFS(TblClusters[Cluster],$O171,TblClusters[Environnement],$E171)=0),"Environnement ≠ cluster ROKS",IF(AND($G171="À migrer",OR($U171&gt;$V171,$V171&gt;$W171)),"Dates incohérentes (prov ≤ bascule ≤ libération)",IF(AND(OR($G171="À migrer",$G171="À décommissionner"),OR(N($AO171)&gt;SUMIFS(TblClusters[CPU initial (vCPU)],TblClusters[Cluster],$I171),N($AP171)&gt;SUMIFS(TblClusters[RAM initiale (Go)],TblClusters[Cluster],$I171))),"Forçage &gt; capacité du cluster source",IF(OR(AND($AA171&lt;&gt;"",$AA171&lt;p_debut),AND($AB171&lt;&gt;"",$AB171&gt;p_fin)),"Hors horizon (info)",IF(AND($G171="À migrer",$E171="PRD",COUNTIFS(TblApplications[ID],$C171,TblApplications[Environnement],"NPRD",TblApplications[Action],"À migrer")&gt;0,$AA171&lt;_xlfn.MINIFS(TblApplications[Mois prov (calc)],TblApplications[ID],$C171,TblApplications[Environnement],"NPRD")),"PRD avant NPRD (info)","OK")))))))))))))))))))))</f>
        <v/>
      </c>
      <c r="AH171" s="62"/>
      <c r="AI171" s="62"/>
      <c r="AJ171" s="27" t="str">
        <f>IF(OR($C171="",NOT(OR($G171="À migrer",$G171="À décommissionner")),NOT(ISNUMBER($S171)),NOT(ISNUMBER($T171)),$AB171=""),"",($S171+p_poidsram*$T171)*SUMIFS(TblCalculs[Coût par unité],TblCalculs[Cluster],$I171,TblCalculs[Mois],"&lt;"&amp;$AB171))</f>
        <v/>
      </c>
      <c r="AK171" s="27" t="str">
        <f>IF($C171="","",IF(AND($G171="À migrer",$H171="Non",$Y171&lt;&gt;"",$AA171&lt;&gt;""),($Y171+p_poidsram*$Z171)*SUMIFS(TblCalculs[Coût par unité],TblCalculs[Cluster],$O171,TblCalculs[Mois],"&gt;="&amp;$AA171),IF(AND($G171="Migré",$Y171&lt;&gt;""),($Y171+p_poidsram*$Z171)*SUMIFS(TblCalculs[Coût par unité],TblCalculs[Cluster],$O171),"")))</f>
        <v/>
      </c>
      <c r="AL171" s="27" t="str">
        <f t="shared" si="22"/>
        <v/>
      </c>
      <c r="AM171" s="26" t="str">
        <f t="shared" si="23"/>
        <v/>
      </c>
      <c r="AN171" s="26" t="str">
        <f>IF(OR($C171="",$AM171&lt;&gt;1,COUNTIFS($E171,ex_envc,$A171,ex_domc,$B171,ex_tric)=0),"",COUNTIFS($AM$6:$AM171,1,$E$6:$E171,ex_envc,$A$6:$A171,ex_domc,$B$6:$B171,ex_tric))</f>
        <v/>
      </c>
      <c r="AO171" s="63"/>
      <c r="AP171" s="63"/>
      <c r="AQ171" s="63"/>
      <c r="AR171" s="63"/>
    </row>
    <row r="172" spans="1:44" x14ac:dyDescent="0.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26" t="str">
        <f t="shared" si="16"/>
        <v/>
      </c>
      <c r="O172" s="59"/>
      <c r="P172" s="60" t="str">
        <f>IF($C172="","",IF($AQ172&lt;&gt;"",$AQ172,SUMIFS(TblDynatrace[CPU P95 (vCPU)],TblDynatrace[ID],$C172,TblDynatrace[Environnement],$E172,TblDynatrace[Couloir],$F172)))</f>
        <v/>
      </c>
      <c r="Q172" s="60" t="str">
        <f>IF($C172="","",IF($AR172&lt;&gt;"",$AR172,SUMIFS(TblDynatrace[RAM P95 (Go)],TblDynatrace[ID],$C172,TblDynatrace[Environnement],$E172,TblDynatrace[Couloir],$F172)))</f>
        <v/>
      </c>
      <c r="R172" s="26" t="str">
        <f>IF($C172="","",IFERROR(INDEX(TblDynatrace[Métrique / période],MATCH($C172&amp;"|"&amp;$E172&amp;"|"&amp;$F172,TblDynatrace[Clé],0)),""))</f>
        <v/>
      </c>
      <c r="S172" s="60" t="str">
        <f>IF(OR($C172="",NOT(OR($G172="À migrer",$G172="À décommissionner")),$I172="",NOT(ISNUMBER($P172))),"",IF($AO172&lt;&gt;"",$AO172,IFERROR(SUMIFS(TblClusters[CPU initial (vCPU)],TblClusters[Cluster],$I172)*$P172/(SUMIFS(TblApplications[CPU Dynatrace (vCPU)],TblApplications[Cluster IKS source],$I172,TblApplications[Action],"À migrer")+SUMIFS(TblApplications[CPU Dynatrace (vCPU)],TblApplications[Cluster IKS source],$I172,TblApplications[Action],"À décommissionner")),0)))</f>
        <v/>
      </c>
      <c r="T172" s="60" t="str">
        <f>IF(OR($C172="",NOT(OR($G172="À migrer",$G172="À décommissionner")),$I172="",NOT(ISNUMBER($Q172))),"",IF($AP172&lt;&gt;"",$AP172,IFERROR(SUMIFS(TblClusters[RAM initiale (Go)],TblClusters[Cluster],$I172)*$Q172/(SUMIFS(TblApplications[RAM Dynatrace (Go)],TblApplications[Cluster IKS source],$I172,TblApplications[Action],"À migrer")+SUMIFS(TblApplications[RAM Dynatrace (Go)],TblApplications[Cluster IKS source],$I172,TblApplications[Action],"À décommissionner")),0)))</f>
        <v/>
      </c>
      <c r="U172" s="61"/>
      <c r="V172" s="61"/>
      <c r="W172" s="61"/>
      <c r="X172" s="59"/>
      <c r="Y172" s="26" t="str">
        <f t="shared" si="17"/>
        <v/>
      </c>
      <c r="Z172" s="26" t="str">
        <f t="shared" si="18"/>
        <v/>
      </c>
      <c r="AA172" s="33" t="str">
        <f t="shared" si="19"/>
        <v/>
      </c>
      <c r="AB172" s="33" t="str">
        <f t="shared" si="20"/>
        <v/>
      </c>
      <c r="AC172" s="26" t="str">
        <f t="shared" si="21"/>
        <v/>
      </c>
      <c r="AD172" s="26" t="str">
        <f>IF($C172="","",COUNTIF(TblApplications[ID],$C172))</f>
        <v/>
      </c>
      <c r="AE172" s="33" t="str">
        <f>IF($C172="","",IFERROR(1/(1/_xlfn.MINIFS(TblApplications[Mois prov (calc)],TblApplications[ID],$C172)),""))</f>
        <v/>
      </c>
      <c r="AF172" s="33" t="str">
        <f>IF($C172="","",IFERROR(1/(1/_xlfn.MAXIFS(TblApplications[Mois lib (calc)],TblApplications[ID],$C172)),""))</f>
        <v/>
      </c>
      <c r="AG172" s="26" t="str">
        <f>IF($C172="","",IF(OR(OR($A172="",$B172="",$D172="",$E172="",$F172="",$G172=""),AND($G172="À migrer",OR($H172="",$I172="",$O172="",$U172="",$V172="",$W172="")),AND($G172="Migré",OR($O172="")),AND($G172="À décommissionner",OR($I172="",$W172=""))),"Données manquantes (selon l’action)",IF(AND($G172&lt;&gt;"Migré",$G172&lt;&gt;"À migrer",$G172&lt;&gt;"À décommissionner",$G172&lt;&gt;"Décommissionné"),"Action invalide",IF(COUNTIF(TblDomaines[Domaine],$A172)=0,"Domaine inconnu (référentiel)",IF(COUNTIFS(TblTribes[Tribe],$B172,TblTribes[Domaine de la tribe],$A172)=0,"Tribe inconnue ou hors domaine",IF(AND($G172="À migrer",$H172&lt;&gt;"Oui",$H172&lt;&gt;"Non"),"Valeur Oui/Non invalide (Déjà incluse ROKS)",IF(AND($E172&lt;&gt;"PRD",$E172&lt;&gt;"NPRD"),"Environnement invalide",IF(COUNTIFS(TblApplications[ID],$C172,TblApplications[Environnement],$E172,TblApplications[Couloir],$F172)&gt;1,"Déploiement en doublon (ID + env + couloir)",IF(AND(OR(OR($G172="À migrer",$G172="Migré"),OR($G172="À migrer",$G172="À décommissionner")),N($P172)&lt;=0),"Conso Dynatrace absente (onglet Dynatrace)",IF(OR(AND($P172&lt;&gt;"",NOT(ISNUMBER($P172))),AND($Q172&lt;&gt;"",NOT(ISNUMBER($Q172)))),"Ressource non numérique",IF(MIN(N($P172),N($Q172))&lt;0,"Ressource négative",IF(OR(AND($AH172&lt;&gt;"",OR(NOT(ISNUMBER($AH172)),$AH172&lt;0,$AH172&gt;1)),AND($AI172&lt;&gt;"",OR(NOT(ISNUMBER($AI172)),$AI172&lt;0,$AI172&gt;1))),"Marge spécifique invalide (0–100 %)",IF(OR(AND($U172&lt;&gt;"",NOT(ISNUMBER($U172))),AND($V172&lt;&gt;"",NOT(ISNUMBER($V172))),AND($W172&lt;&gt;"",NOT(ISNUMBER($W172)))),"Mois invalide",IF(AND(OR($G172="À migrer",$G172="À décommissionner"),COUNTIFS(TblClusters[Cluster],$I172,TblClusters[Plateforme],"IKS")=0),"Cluster IKS inconnu",IF(AND(OR($G172="À migrer",$G172="Migré"),COUNTIFS(TblClusters[Cluster],$O172,TblClusters[Plateforme],"ROKS")=0),"Cluster ROKS inconnu",IF(AND(OR($G172="À migrer",$G172="À décommissionner"),COUNTIFS(TblClusters[Cluster],$I172,TblClusters[Environnement],$E172)=0),"Environnement ≠ cluster IKS",IF(AND(OR($G172="À migrer",$G172="Migré"),COUNTIFS(TblClusters[Cluster],$O172,TblClusters[Environnement],$E172)=0),"Environnement ≠ cluster ROKS",IF(AND($G172="À migrer",OR($U172&gt;$V172,$V172&gt;$W172)),"Dates incohérentes (prov ≤ bascule ≤ libération)",IF(AND(OR($G172="À migrer",$G172="À décommissionner"),OR(N($AO172)&gt;SUMIFS(TblClusters[CPU initial (vCPU)],TblClusters[Cluster],$I172),N($AP172)&gt;SUMIFS(TblClusters[RAM initiale (Go)],TblClusters[Cluster],$I172))),"Forçage &gt; capacité du cluster source",IF(OR(AND($AA172&lt;&gt;"",$AA172&lt;p_debut),AND($AB172&lt;&gt;"",$AB172&gt;p_fin)),"Hors horizon (info)",IF(AND($G172="À migrer",$E172="PRD",COUNTIFS(TblApplications[ID],$C172,TblApplications[Environnement],"NPRD",TblApplications[Action],"À migrer")&gt;0,$AA172&lt;_xlfn.MINIFS(TblApplications[Mois prov (calc)],TblApplications[ID],$C172,TblApplications[Environnement],"NPRD")),"PRD avant NPRD (info)","OK")))))))))))))))))))))</f>
        <v/>
      </c>
      <c r="AH172" s="62"/>
      <c r="AI172" s="62"/>
      <c r="AJ172" s="27" t="str">
        <f>IF(OR($C172="",NOT(OR($G172="À migrer",$G172="À décommissionner")),NOT(ISNUMBER($S172)),NOT(ISNUMBER($T172)),$AB172=""),"",($S172+p_poidsram*$T172)*SUMIFS(TblCalculs[Coût par unité],TblCalculs[Cluster],$I172,TblCalculs[Mois],"&lt;"&amp;$AB172))</f>
        <v/>
      </c>
      <c r="AK172" s="27" t="str">
        <f>IF($C172="","",IF(AND($G172="À migrer",$H172="Non",$Y172&lt;&gt;"",$AA172&lt;&gt;""),($Y172+p_poidsram*$Z172)*SUMIFS(TblCalculs[Coût par unité],TblCalculs[Cluster],$O172,TblCalculs[Mois],"&gt;="&amp;$AA172),IF(AND($G172="Migré",$Y172&lt;&gt;""),($Y172+p_poidsram*$Z172)*SUMIFS(TblCalculs[Coût par unité],TblCalculs[Cluster],$O172),"")))</f>
        <v/>
      </c>
      <c r="AL172" s="27" t="str">
        <f t="shared" si="22"/>
        <v/>
      </c>
      <c r="AM172" s="26" t="str">
        <f t="shared" si="23"/>
        <v/>
      </c>
      <c r="AN172" s="26" t="str">
        <f>IF(OR($C172="",$AM172&lt;&gt;1,COUNTIFS($E172,ex_envc,$A172,ex_domc,$B172,ex_tric)=0),"",COUNTIFS($AM$6:$AM172,1,$E$6:$E172,ex_envc,$A$6:$A172,ex_domc,$B$6:$B172,ex_tric))</f>
        <v/>
      </c>
      <c r="AO172" s="63"/>
      <c r="AP172" s="63"/>
      <c r="AQ172" s="63"/>
      <c r="AR172" s="63"/>
    </row>
    <row r="173" spans="1:44" x14ac:dyDescent="0.2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26" t="str">
        <f t="shared" si="16"/>
        <v/>
      </c>
      <c r="O173" s="59"/>
      <c r="P173" s="60" t="str">
        <f>IF($C173="","",IF($AQ173&lt;&gt;"",$AQ173,SUMIFS(TblDynatrace[CPU P95 (vCPU)],TblDynatrace[ID],$C173,TblDynatrace[Environnement],$E173,TblDynatrace[Couloir],$F173)))</f>
        <v/>
      </c>
      <c r="Q173" s="60" t="str">
        <f>IF($C173="","",IF($AR173&lt;&gt;"",$AR173,SUMIFS(TblDynatrace[RAM P95 (Go)],TblDynatrace[ID],$C173,TblDynatrace[Environnement],$E173,TblDynatrace[Couloir],$F173)))</f>
        <v/>
      </c>
      <c r="R173" s="26" t="str">
        <f>IF($C173="","",IFERROR(INDEX(TblDynatrace[Métrique / période],MATCH($C173&amp;"|"&amp;$E173&amp;"|"&amp;$F173,TblDynatrace[Clé],0)),""))</f>
        <v/>
      </c>
      <c r="S173" s="60" t="str">
        <f>IF(OR($C173="",NOT(OR($G173="À migrer",$G173="À décommissionner")),$I173="",NOT(ISNUMBER($P173))),"",IF($AO173&lt;&gt;"",$AO173,IFERROR(SUMIFS(TblClusters[CPU initial (vCPU)],TblClusters[Cluster],$I173)*$P173/(SUMIFS(TblApplications[CPU Dynatrace (vCPU)],TblApplications[Cluster IKS source],$I173,TblApplications[Action],"À migrer")+SUMIFS(TblApplications[CPU Dynatrace (vCPU)],TblApplications[Cluster IKS source],$I173,TblApplications[Action],"À décommissionner")),0)))</f>
        <v/>
      </c>
      <c r="T173" s="60" t="str">
        <f>IF(OR($C173="",NOT(OR($G173="À migrer",$G173="À décommissionner")),$I173="",NOT(ISNUMBER($Q173))),"",IF($AP173&lt;&gt;"",$AP173,IFERROR(SUMIFS(TblClusters[RAM initiale (Go)],TblClusters[Cluster],$I173)*$Q173/(SUMIFS(TblApplications[RAM Dynatrace (Go)],TblApplications[Cluster IKS source],$I173,TblApplications[Action],"À migrer")+SUMIFS(TblApplications[RAM Dynatrace (Go)],TblApplications[Cluster IKS source],$I173,TblApplications[Action],"À décommissionner")),0)))</f>
        <v/>
      </c>
      <c r="U173" s="61"/>
      <c r="V173" s="61"/>
      <c r="W173" s="61"/>
      <c r="X173" s="59"/>
      <c r="Y173" s="26" t="str">
        <f t="shared" si="17"/>
        <v/>
      </c>
      <c r="Z173" s="26" t="str">
        <f t="shared" si="18"/>
        <v/>
      </c>
      <c r="AA173" s="33" t="str">
        <f t="shared" si="19"/>
        <v/>
      </c>
      <c r="AB173" s="33" t="str">
        <f t="shared" si="20"/>
        <v/>
      </c>
      <c r="AC173" s="26" t="str">
        <f t="shared" si="21"/>
        <v/>
      </c>
      <c r="AD173" s="26" t="str">
        <f>IF($C173="","",COUNTIF(TblApplications[ID],$C173))</f>
        <v/>
      </c>
      <c r="AE173" s="33" t="str">
        <f>IF($C173="","",IFERROR(1/(1/_xlfn.MINIFS(TblApplications[Mois prov (calc)],TblApplications[ID],$C173)),""))</f>
        <v/>
      </c>
      <c r="AF173" s="33" t="str">
        <f>IF($C173="","",IFERROR(1/(1/_xlfn.MAXIFS(TblApplications[Mois lib (calc)],TblApplications[ID],$C173)),""))</f>
        <v/>
      </c>
      <c r="AG173" s="26" t="str">
        <f>IF($C173="","",IF(OR(OR($A173="",$B173="",$D173="",$E173="",$F173="",$G173=""),AND($G173="À migrer",OR($H173="",$I173="",$O173="",$U173="",$V173="",$W173="")),AND($G173="Migré",OR($O173="")),AND($G173="À décommissionner",OR($I173="",$W173=""))),"Données manquantes (selon l’action)",IF(AND($G173&lt;&gt;"Migré",$G173&lt;&gt;"À migrer",$G173&lt;&gt;"À décommissionner",$G173&lt;&gt;"Décommissionné"),"Action invalide",IF(COUNTIF(TblDomaines[Domaine],$A173)=0,"Domaine inconnu (référentiel)",IF(COUNTIFS(TblTribes[Tribe],$B173,TblTribes[Domaine de la tribe],$A173)=0,"Tribe inconnue ou hors domaine",IF(AND($G173="À migrer",$H173&lt;&gt;"Oui",$H173&lt;&gt;"Non"),"Valeur Oui/Non invalide (Déjà incluse ROKS)",IF(AND($E173&lt;&gt;"PRD",$E173&lt;&gt;"NPRD"),"Environnement invalide",IF(COUNTIFS(TblApplications[ID],$C173,TblApplications[Environnement],$E173,TblApplications[Couloir],$F173)&gt;1,"Déploiement en doublon (ID + env + couloir)",IF(AND(OR(OR($G173="À migrer",$G173="Migré"),OR($G173="À migrer",$G173="À décommissionner")),N($P173)&lt;=0),"Conso Dynatrace absente (onglet Dynatrace)",IF(OR(AND($P173&lt;&gt;"",NOT(ISNUMBER($P173))),AND($Q173&lt;&gt;"",NOT(ISNUMBER($Q173)))),"Ressource non numérique",IF(MIN(N($P173),N($Q173))&lt;0,"Ressource négative",IF(OR(AND($AH173&lt;&gt;"",OR(NOT(ISNUMBER($AH173)),$AH173&lt;0,$AH173&gt;1)),AND($AI173&lt;&gt;"",OR(NOT(ISNUMBER($AI173)),$AI173&lt;0,$AI173&gt;1))),"Marge spécifique invalide (0–100 %)",IF(OR(AND($U173&lt;&gt;"",NOT(ISNUMBER($U173))),AND($V173&lt;&gt;"",NOT(ISNUMBER($V173))),AND($W173&lt;&gt;"",NOT(ISNUMBER($W173)))),"Mois invalide",IF(AND(OR($G173="À migrer",$G173="À décommissionner"),COUNTIFS(TblClusters[Cluster],$I173,TblClusters[Plateforme],"IKS")=0),"Cluster IKS inconnu",IF(AND(OR($G173="À migrer",$G173="Migré"),COUNTIFS(TblClusters[Cluster],$O173,TblClusters[Plateforme],"ROKS")=0),"Cluster ROKS inconnu",IF(AND(OR($G173="À migrer",$G173="À décommissionner"),COUNTIFS(TblClusters[Cluster],$I173,TblClusters[Environnement],$E173)=0),"Environnement ≠ cluster IKS",IF(AND(OR($G173="À migrer",$G173="Migré"),COUNTIFS(TblClusters[Cluster],$O173,TblClusters[Environnement],$E173)=0),"Environnement ≠ cluster ROKS",IF(AND($G173="À migrer",OR($U173&gt;$V173,$V173&gt;$W173)),"Dates incohérentes (prov ≤ bascule ≤ libération)",IF(AND(OR($G173="À migrer",$G173="À décommissionner"),OR(N($AO173)&gt;SUMIFS(TblClusters[CPU initial (vCPU)],TblClusters[Cluster],$I173),N($AP173)&gt;SUMIFS(TblClusters[RAM initiale (Go)],TblClusters[Cluster],$I173))),"Forçage &gt; capacité du cluster source",IF(OR(AND($AA173&lt;&gt;"",$AA173&lt;p_debut),AND($AB173&lt;&gt;"",$AB173&gt;p_fin)),"Hors horizon (info)",IF(AND($G173="À migrer",$E173="PRD",COUNTIFS(TblApplications[ID],$C173,TblApplications[Environnement],"NPRD",TblApplications[Action],"À migrer")&gt;0,$AA173&lt;_xlfn.MINIFS(TblApplications[Mois prov (calc)],TblApplications[ID],$C173,TblApplications[Environnement],"NPRD")),"PRD avant NPRD (info)","OK")))))))))))))))))))))</f>
        <v/>
      </c>
      <c r="AH173" s="62"/>
      <c r="AI173" s="62"/>
      <c r="AJ173" s="27" t="str">
        <f>IF(OR($C173="",NOT(OR($G173="À migrer",$G173="À décommissionner")),NOT(ISNUMBER($S173)),NOT(ISNUMBER($T173)),$AB173=""),"",($S173+p_poidsram*$T173)*SUMIFS(TblCalculs[Coût par unité],TblCalculs[Cluster],$I173,TblCalculs[Mois],"&lt;"&amp;$AB173))</f>
        <v/>
      </c>
      <c r="AK173" s="27" t="str">
        <f>IF($C173="","",IF(AND($G173="À migrer",$H173="Non",$Y173&lt;&gt;"",$AA173&lt;&gt;""),($Y173+p_poidsram*$Z173)*SUMIFS(TblCalculs[Coût par unité],TblCalculs[Cluster],$O173,TblCalculs[Mois],"&gt;="&amp;$AA173),IF(AND($G173="Migré",$Y173&lt;&gt;""),($Y173+p_poidsram*$Z173)*SUMIFS(TblCalculs[Coût par unité],TblCalculs[Cluster],$O173),"")))</f>
        <v/>
      </c>
      <c r="AL173" s="27" t="str">
        <f t="shared" si="22"/>
        <v/>
      </c>
      <c r="AM173" s="26" t="str">
        <f t="shared" si="23"/>
        <v/>
      </c>
      <c r="AN173" s="26" t="str">
        <f>IF(OR($C173="",$AM173&lt;&gt;1,COUNTIFS($E173,ex_envc,$A173,ex_domc,$B173,ex_tric)=0),"",COUNTIFS($AM$6:$AM173,1,$E$6:$E173,ex_envc,$A$6:$A173,ex_domc,$B$6:$B173,ex_tric))</f>
        <v/>
      </c>
      <c r="AO173" s="63"/>
      <c r="AP173" s="63"/>
      <c r="AQ173" s="63"/>
      <c r="AR173" s="63"/>
    </row>
    <row r="174" spans="1:44" x14ac:dyDescent="0.2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26" t="str">
        <f t="shared" si="16"/>
        <v/>
      </c>
      <c r="O174" s="59"/>
      <c r="P174" s="60" t="str">
        <f>IF($C174="","",IF($AQ174&lt;&gt;"",$AQ174,SUMIFS(TblDynatrace[CPU P95 (vCPU)],TblDynatrace[ID],$C174,TblDynatrace[Environnement],$E174,TblDynatrace[Couloir],$F174)))</f>
        <v/>
      </c>
      <c r="Q174" s="60" t="str">
        <f>IF($C174="","",IF($AR174&lt;&gt;"",$AR174,SUMIFS(TblDynatrace[RAM P95 (Go)],TblDynatrace[ID],$C174,TblDynatrace[Environnement],$E174,TblDynatrace[Couloir],$F174)))</f>
        <v/>
      </c>
      <c r="R174" s="26" t="str">
        <f>IF($C174="","",IFERROR(INDEX(TblDynatrace[Métrique / période],MATCH($C174&amp;"|"&amp;$E174&amp;"|"&amp;$F174,TblDynatrace[Clé],0)),""))</f>
        <v/>
      </c>
      <c r="S174" s="60" t="str">
        <f>IF(OR($C174="",NOT(OR($G174="À migrer",$G174="À décommissionner")),$I174="",NOT(ISNUMBER($P174))),"",IF($AO174&lt;&gt;"",$AO174,IFERROR(SUMIFS(TblClusters[CPU initial (vCPU)],TblClusters[Cluster],$I174)*$P174/(SUMIFS(TblApplications[CPU Dynatrace (vCPU)],TblApplications[Cluster IKS source],$I174,TblApplications[Action],"À migrer")+SUMIFS(TblApplications[CPU Dynatrace (vCPU)],TblApplications[Cluster IKS source],$I174,TblApplications[Action],"À décommissionner")),0)))</f>
        <v/>
      </c>
      <c r="T174" s="60" t="str">
        <f>IF(OR($C174="",NOT(OR($G174="À migrer",$G174="À décommissionner")),$I174="",NOT(ISNUMBER($Q174))),"",IF($AP174&lt;&gt;"",$AP174,IFERROR(SUMIFS(TblClusters[RAM initiale (Go)],TblClusters[Cluster],$I174)*$Q174/(SUMIFS(TblApplications[RAM Dynatrace (Go)],TblApplications[Cluster IKS source],$I174,TblApplications[Action],"À migrer")+SUMIFS(TblApplications[RAM Dynatrace (Go)],TblApplications[Cluster IKS source],$I174,TblApplications[Action],"À décommissionner")),0)))</f>
        <v/>
      </c>
      <c r="U174" s="61"/>
      <c r="V174" s="61"/>
      <c r="W174" s="61"/>
      <c r="X174" s="59"/>
      <c r="Y174" s="26" t="str">
        <f t="shared" si="17"/>
        <v/>
      </c>
      <c r="Z174" s="26" t="str">
        <f t="shared" si="18"/>
        <v/>
      </c>
      <c r="AA174" s="33" t="str">
        <f t="shared" si="19"/>
        <v/>
      </c>
      <c r="AB174" s="33" t="str">
        <f t="shared" si="20"/>
        <v/>
      </c>
      <c r="AC174" s="26" t="str">
        <f t="shared" si="21"/>
        <v/>
      </c>
      <c r="AD174" s="26" t="str">
        <f>IF($C174="","",COUNTIF(TblApplications[ID],$C174))</f>
        <v/>
      </c>
      <c r="AE174" s="33" t="str">
        <f>IF($C174="","",IFERROR(1/(1/_xlfn.MINIFS(TblApplications[Mois prov (calc)],TblApplications[ID],$C174)),""))</f>
        <v/>
      </c>
      <c r="AF174" s="33" t="str">
        <f>IF($C174="","",IFERROR(1/(1/_xlfn.MAXIFS(TblApplications[Mois lib (calc)],TblApplications[ID],$C174)),""))</f>
        <v/>
      </c>
      <c r="AG174" s="26" t="str">
        <f>IF($C174="","",IF(OR(OR($A174="",$B174="",$D174="",$E174="",$F174="",$G174=""),AND($G174="À migrer",OR($H174="",$I174="",$O174="",$U174="",$V174="",$W174="")),AND($G174="Migré",OR($O174="")),AND($G174="À décommissionner",OR($I174="",$W174=""))),"Données manquantes (selon l’action)",IF(AND($G174&lt;&gt;"Migré",$G174&lt;&gt;"À migrer",$G174&lt;&gt;"À décommissionner",$G174&lt;&gt;"Décommissionné"),"Action invalide",IF(COUNTIF(TblDomaines[Domaine],$A174)=0,"Domaine inconnu (référentiel)",IF(COUNTIFS(TblTribes[Tribe],$B174,TblTribes[Domaine de la tribe],$A174)=0,"Tribe inconnue ou hors domaine",IF(AND($G174="À migrer",$H174&lt;&gt;"Oui",$H174&lt;&gt;"Non"),"Valeur Oui/Non invalide (Déjà incluse ROKS)",IF(AND($E174&lt;&gt;"PRD",$E174&lt;&gt;"NPRD"),"Environnement invalide",IF(COUNTIFS(TblApplications[ID],$C174,TblApplications[Environnement],$E174,TblApplications[Couloir],$F174)&gt;1,"Déploiement en doublon (ID + env + couloir)",IF(AND(OR(OR($G174="À migrer",$G174="Migré"),OR($G174="À migrer",$G174="À décommissionner")),N($P174)&lt;=0),"Conso Dynatrace absente (onglet Dynatrace)",IF(OR(AND($P174&lt;&gt;"",NOT(ISNUMBER($P174))),AND($Q174&lt;&gt;"",NOT(ISNUMBER($Q174)))),"Ressource non numérique",IF(MIN(N($P174),N($Q174))&lt;0,"Ressource négative",IF(OR(AND($AH174&lt;&gt;"",OR(NOT(ISNUMBER($AH174)),$AH174&lt;0,$AH174&gt;1)),AND($AI174&lt;&gt;"",OR(NOT(ISNUMBER($AI174)),$AI174&lt;0,$AI174&gt;1))),"Marge spécifique invalide (0–100 %)",IF(OR(AND($U174&lt;&gt;"",NOT(ISNUMBER($U174))),AND($V174&lt;&gt;"",NOT(ISNUMBER($V174))),AND($W174&lt;&gt;"",NOT(ISNUMBER($W174)))),"Mois invalide",IF(AND(OR($G174="À migrer",$G174="À décommissionner"),COUNTIFS(TblClusters[Cluster],$I174,TblClusters[Plateforme],"IKS")=0),"Cluster IKS inconnu",IF(AND(OR($G174="À migrer",$G174="Migré"),COUNTIFS(TblClusters[Cluster],$O174,TblClusters[Plateforme],"ROKS")=0),"Cluster ROKS inconnu",IF(AND(OR($G174="À migrer",$G174="À décommissionner"),COUNTIFS(TblClusters[Cluster],$I174,TblClusters[Environnement],$E174)=0),"Environnement ≠ cluster IKS",IF(AND(OR($G174="À migrer",$G174="Migré"),COUNTIFS(TblClusters[Cluster],$O174,TblClusters[Environnement],$E174)=0),"Environnement ≠ cluster ROKS",IF(AND($G174="À migrer",OR($U174&gt;$V174,$V174&gt;$W174)),"Dates incohérentes (prov ≤ bascule ≤ libération)",IF(AND(OR($G174="À migrer",$G174="À décommissionner"),OR(N($AO174)&gt;SUMIFS(TblClusters[CPU initial (vCPU)],TblClusters[Cluster],$I174),N($AP174)&gt;SUMIFS(TblClusters[RAM initiale (Go)],TblClusters[Cluster],$I174))),"Forçage &gt; capacité du cluster source",IF(OR(AND($AA174&lt;&gt;"",$AA174&lt;p_debut),AND($AB174&lt;&gt;"",$AB174&gt;p_fin)),"Hors horizon (info)",IF(AND($G174="À migrer",$E174="PRD",COUNTIFS(TblApplications[ID],$C174,TblApplications[Environnement],"NPRD",TblApplications[Action],"À migrer")&gt;0,$AA174&lt;_xlfn.MINIFS(TblApplications[Mois prov (calc)],TblApplications[ID],$C174,TblApplications[Environnement],"NPRD")),"PRD avant NPRD (info)","OK")))))))))))))))))))))</f>
        <v/>
      </c>
      <c r="AH174" s="62"/>
      <c r="AI174" s="62"/>
      <c r="AJ174" s="27" t="str">
        <f>IF(OR($C174="",NOT(OR($G174="À migrer",$G174="À décommissionner")),NOT(ISNUMBER($S174)),NOT(ISNUMBER($T174)),$AB174=""),"",($S174+p_poidsram*$T174)*SUMIFS(TblCalculs[Coût par unité],TblCalculs[Cluster],$I174,TblCalculs[Mois],"&lt;"&amp;$AB174))</f>
        <v/>
      </c>
      <c r="AK174" s="27" t="str">
        <f>IF($C174="","",IF(AND($G174="À migrer",$H174="Non",$Y174&lt;&gt;"",$AA174&lt;&gt;""),($Y174+p_poidsram*$Z174)*SUMIFS(TblCalculs[Coût par unité],TblCalculs[Cluster],$O174,TblCalculs[Mois],"&gt;="&amp;$AA174),IF(AND($G174="Migré",$Y174&lt;&gt;""),($Y174+p_poidsram*$Z174)*SUMIFS(TblCalculs[Coût par unité],TblCalculs[Cluster],$O174),"")))</f>
        <v/>
      </c>
      <c r="AL174" s="27" t="str">
        <f t="shared" si="22"/>
        <v/>
      </c>
      <c r="AM174" s="26" t="str">
        <f t="shared" si="23"/>
        <v/>
      </c>
      <c r="AN174" s="26" t="str">
        <f>IF(OR($C174="",$AM174&lt;&gt;1,COUNTIFS($E174,ex_envc,$A174,ex_domc,$B174,ex_tric)=0),"",COUNTIFS($AM$6:$AM174,1,$E$6:$E174,ex_envc,$A$6:$A174,ex_domc,$B$6:$B174,ex_tric))</f>
        <v/>
      </c>
      <c r="AO174" s="63"/>
      <c r="AP174" s="63"/>
      <c r="AQ174" s="63"/>
      <c r="AR174" s="63"/>
    </row>
    <row r="175" spans="1:44" x14ac:dyDescent="0.2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26" t="str">
        <f t="shared" si="16"/>
        <v/>
      </c>
      <c r="O175" s="59"/>
      <c r="P175" s="60" t="str">
        <f>IF($C175="","",IF($AQ175&lt;&gt;"",$AQ175,SUMIFS(TblDynatrace[CPU P95 (vCPU)],TblDynatrace[ID],$C175,TblDynatrace[Environnement],$E175,TblDynatrace[Couloir],$F175)))</f>
        <v/>
      </c>
      <c r="Q175" s="60" t="str">
        <f>IF($C175="","",IF($AR175&lt;&gt;"",$AR175,SUMIFS(TblDynatrace[RAM P95 (Go)],TblDynatrace[ID],$C175,TblDynatrace[Environnement],$E175,TblDynatrace[Couloir],$F175)))</f>
        <v/>
      </c>
      <c r="R175" s="26" t="str">
        <f>IF($C175="","",IFERROR(INDEX(TblDynatrace[Métrique / période],MATCH($C175&amp;"|"&amp;$E175&amp;"|"&amp;$F175,TblDynatrace[Clé],0)),""))</f>
        <v/>
      </c>
      <c r="S175" s="60" t="str">
        <f>IF(OR($C175="",NOT(OR($G175="À migrer",$G175="À décommissionner")),$I175="",NOT(ISNUMBER($P175))),"",IF($AO175&lt;&gt;"",$AO175,IFERROR(SUMIFS(TblClusters[CPU initial (vCPU)],TblClusters[Cluster],$I175)*$P175/(SUMIFS(TblApplications[CPU Dynatrace (vCPU)],TblApplications[Cluster IKS source],$I175,TblApplications[Action],"À migrer")+SUMIFS(TblApplications[CPU Dynatrace (vCPU)],TblApplications[Cluster IKS source],$I175,TblApplications[Action],"À décommissionner")),0)))</f>
        <v/>
      </c>
      <c r="T175" s="60" t="str">
        <f>IF(OR($C175="",NOT(OR($G175="À migrer",$G175="À décommissionner")),$I175="",NOT(ISNUMBER($Q175))),"",IF($AP175&lt;&gt;"",$AP175,IFERROR(SUMIFS(TblClusters[RAM initiale (Go)],TblClusters[Cluster],$I175)*$Q175/(SUMIFS(TblApplications[RAM Dynatrace (Go)],TblApplications[Cluster IKS source],$I175,TblApplications[Action],"À migrer")+SUMIFS(TblApplications[RAM Dynatrace (Go)],TblApplications[Cluster IKS source],$I175,TblApplications[Action],"À décommissionner")),0)))</f>
        <v/>
      </c>
      <c r="U175" s="61"/>
      <c r="V175" s="61"/>
      <c r="W175" s="61"/>
      <c r="X175" s="59"/>
      <c r="Y175" s="26" t="str">
        <f t="shared" si="17"/>
        <v/>
      </c>
      <c r="Z175" s="26" t="str">
        <f t="shared" si="18"/>
        <v/>
      </c>
      <c r="AA175" s="33" t="str">
        <f t="shared" si="19"/>
        <v/>
      </c>
      <c r="AB175" s="33" t="str">
        <f t="shared" si="20"/>
        <v/>
      </c>
      <c r="AC175" s="26" t="str">
        <f t="shared" si="21"/>
        <v/>
      </c>
      <c r="AD175" s="26" t="str">
        <f>IF($C175="","",COUNTIF(TblApplications[ID],$C175))</f>
        <v/>
      </c>
      <c r="AE175" s="33" t="str">
        <f>IF($C175="","",IFERROR(1/(1/_xlfn.MINIFS(TblApplications[Mois prov (calc)],TblApplications[ID],$C175)),""))</f>
        <v/>
      </c>
      <c r="AF175" s="33" t="str">
        <f>IF($C175="","",IFERROR(1/(1/_xlfn.MAXIFS(TblApplications[Mois lib (calc)],TblApplications[ID],$C175)),""))</f>
        <v/>
      </c>
      <c r="AG175" s="26" t="str">
        <f>IF($C175="","",IF(OR(OR($A175="",$B175="",$D175="",$E175="",$F175="",$G175=""),AND($G175="À migrer",OR($H175="",$I175="",$O175="",$U175="",$V175="",$W175="")),AND($G175="Migré",OR($O175="")),AND($G175="À décommissionner",OR($I175="",$W175=""))),"Données manquantes (selon l’action)",IF(AND($G175&lt;&gt;"Migré",$G175&lt;&gt;"À migrer",$G175&lt;&gt;"À décommissionner",$G175&lt;&gt;"Décommissionné"),"Action invalide",IF(COUNTIF(TblDomaines[Domaine],$A175)=0,"Domaine inconnu (référentiel)",IF(COUNTIFS(TblTribes[Tribe],$B175,TblTribes[Domaine de la tribe],$A175)=0,"Tribe inconnue ou hors domaine",IF(AND($G175="À migrer",$H175&lt;&gt;"Oui",$H175&lt;&gt;"Non"),"Valeur Oui/Non invalide (Déjà incluse ROKS)",IF(AND($E175&lt;&gt;"PRD",$E175&lt;&gt;"NPRD"),"Environnement invalide",IF(COUNTIFS(TblApplications[ID],$C175,TblApplications[Environnement],$E175,TblApplications[Couloir],$F175)&gt;1,"Déploiement en doublon (ID + env + couloir)",IF(AND(OR(OR($G175="À migrer",$G175="Migré"),OR($G175="À migrer",$G175="À décommissionner")),N($P175)&lt;=0),"Conso Dynatrace absente (onglet Dynatrace)",IF(OR(AND($P175&lt;&gt;"",NOT(ISNUMBER($P175))),AND($Q175&lt;&gt;"",NOT(ISNUMBER($Q175)))),"Ressource non numérique",IF(MIN(N($P175),N($Q175))&lt;0,"Ressource négative",IF(OR(AND($AH175&lt;&gt;"",OR(NOT(ISNUMBER($AH175)),$AH175&lt;0,$AH175&gt;1)),AND($AI175&lt;&gt;"",OR(NOT(ISNUMBER($AI175)),$AI175&lt;0,$AI175&gt;1))),"Marge spécifique invalide (0–100 %)",IF(OR(AND($U175&lt;&gt;"",NOT(ISNUMBER($U175))),AND($V175&lt;&gt;"",NOT(ISNUMBER($V175))),AND($W175&lt;&gt;"",NOT(ISNUMBER($W175)))),"Mois invalide",IF(AND(OR($G175="À migrer",$G175="À décommissionner"),COUNTIFS(TblClusters[Cluster],$I175,TblClusters[Plateforme],"IKS")=0),"Cluster IKS inconnu",IF(AND(OR($G175="À migrer",$G175="Migré"),COUNTIFS(TblClusters[Cluster],$O175,TblClusters[Plateforme],"ROKS")=0),"Cluster ROKS inconnu",IF(AND(OR($G175="À migrer",$G175="À décommissionner"),COUNTIFS(TblClusters[Cluster],$I175,TblClusters[Environnement],$E175)=0),"Environnement ≠ cluster IKS",IF(AND(OR($G175="À migrer",$G175="Migré"),COUNTIFS(TblClusters[Cluster],$O175,TblClusters[Environnement],$E175)=0),"Environnement ≠ cluster ROKS",IF(AND($G175="À migrer",OR($U175&gt;$V175,$V175&gt;$W175)),"Dates incohérentes (prov ≤ bascule ≤ libération)",IF(AND(OR($G175="À migrer",$G175="À décommissionner"),OR(N($AO175)&gt;SUMIFS(TblClusters[CPU initial (vCPU)],TblClusters[Cluster],$I175),N($AP175)&gt;SUMIFS(TblClusters[RAM initiale (Go)],TblClusters[Cluster],$I175))),"Forçage &gt; capacité du cluster source",IF(OR(AND($AA175&lt;&gt;"",$AA175&lt;p_debut),AND($AB175&lt;&gt;"",$AB175&gt;p_fin)),"Hors horizon (info)",IF(AND($G175="À migrer",$E175="PRD",COUNTIFS(TblApplications[ID],$C175,TblApplications[Environnement],"NPRD",TblApplications[Action],"À migrer")&gt;0,$AA175&lt;_xlfn.MINIFS(TblApplications[Mois prov (calc)],TblApplications[ID],$C175,TblApplications[Environnement],"NPRD")),"PRD avant NPRD (info)","OK")))))))))))))))))))))</f>
        <v/>
      </c>
      <c r="AH175" s="62"/>
      <c r="AI175" s="62"/>
      <c r="AJ175" s="27" t="str">
        <f>IF(OR($C175="",NOT(OR($G175="À migrer",$G175="À décommissionner")),NOT(ISNUMBER($S175)),NOT(ISNUMBER($T175)),$AB175=""),"",($S175+p_poidsram*$T175)*SUMIFS(TblCalculs[Coût par unité],TblCalculs[Cluster],$I175,TblCalculs[Mois],"&lt;"&amp;$AB175))</f>
        <v/>
      </c>
      <c r="AK175" s="27" t="str">
        <f>IF($C175="","",IF(AND($G175="À migrer",$H175="Non",$Y175&lt;&gt;"",$AA175&lt;&gt;""),($Y175+p_poidsram*$Z175)*SUMIFS(TblCalculs[Coût par unité],TblCalculs[Cluster],$O175,TblCalculs[Mois],"&gt;="&amp;$AA175),IF(AND($G175="Migré",$Y175&lt;&gt;""),($Y175+p_poidsram*$Z175)*SUMIFS(TblCalculs[Coût par unité],TblCalculs[Cluster],$O175),"")))</f>
        <v/>
      </c>
      <c r="AL175" s="27" t="str">
        <f t="shared" si="22"/>
        <v/>
      </c>
      <c r="AM175" s="26" t="str">
        <f t="shared" si="23"/>
        <v/>
      </c>
      <c r="AN175" s="26" t="str">
        <f>IF(OR($C175="",$AM175&lt;&gt;1,COUNTIFS($E175,ex_envc,$A175,ex_domc,$B175,ex_tric)=0),"",COUNTIFS($AM$6:$AM175,1,$E$6:$E175,ex_envc,$A$6:$A175,ex_domc,$B$6:$B175,ex_tric))</f>
        <v/>
      </c>
      <c r="AO175" s="63"/>
      <c r="AP175" s="63"/>
      <c r="AQ175" s="63"/>
      <c r="AR175" s="63"/>
    </row>
    <row r="176" spans="1:44" x14ac:dyDescent="0.2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26" t="str">
        <f t="shared" si="16"/>
        <v/>
      </c>
      <c r="O176" s="59"/>
      <c r="P176" s="60" t="str">
        <f>IF($C176="","",IF($AQ176&lt;&gt;"",$AQ176,SUMIFS(TblDynatrace[CPU P95 (vCPU)],TblDynatrace[ID],$C176,TblDynatrace[Environnement],$E176,TblDynatrace[Couloir],$F176)))</f>
        <v/>
      </c>
      <c r="Q176" s="60" t="str">
        <f>IF($C176="","",IF($AR176&lt;&gt;"",$AR176,SUMIFS(TblDynatrace[RAM P95 (Go)],TblDynatrace[ID],$C176,TblDynatrace[Environnement],$E176,TblDynatrace[Couloir],$F176)))</f>
        <v/>
      </c>
      <c r="R176" s="26" t="str">
        <f>IF($C176="","",IFERROR(INDEX(TblDynatrace[Métrique / période],MATCH($C176&amp;"|"&amp;$E176&amp;"|"&amp;$F176,TblDynatrace[Clé],0)),""))</f>
        <v/>
      </c>
      <c r="S176" s="60" t="str">
        <f>IF(OR($C176="",NOT(OR($G176="À migrer",$G176="À décommissionner")),$I176="",NOT(ISNUMBER($P176))),"",IF($AO176&lt;&gt;"",$AO176,IFERROR(SUMIFS(TblClusters[CPU initial (vCPU)],TblClusters[Cluster],$I176)*$P176/(SUMIFS(TblApplications[CPU Dynatrace (vCPU)],TblApplications[Cluster IKS source],$I176,TblApplications[Action],"À migrer")+SUMIFS(TblApplications[CPU Dynatrace (vCPU)],TblApplications[Cluster IKS source],$I176,TblApplications[Action],"À décommissionner")),0)))</f>
        <v/>
      </c>
      <c r="T176" s="60" t="str">
        <f>IF(OR($C176="",NOT(OR($G176="À migrer",$G176="À décommissionner")),$I176="",NOT(ISNUMBER($Q176))),"",IF($AP176&lt;&gt;"",$AP176,IFERROR(SUMIFS(TblClusters[RAM initiale (Go)],TblClusters[Cluster],$I176)*$Q176/(SUMIFS(TblApplications[RAM Dynatrace (Go)],TblApplications[Cluster IKS source],$I176,TblApplications[Action],"À migrer")+SUMIFS(TblApplications[RAM Dynatrace (Go)],TblApplications[Cluster IKS source],$I176,TblApplications[Action],"À décommissionner")),0)))</f>
        <v/>
      </c>
      <c r="U176" s="61"/>
      <c r="V176" s="61"/>
      <c r="W176" s="61"/>
      <c r="X176" s="59"/>
      <c r="Y176" s="26" t="str">
        <f t="shared" si="17"/>
        <v/>
      </c>
      <c r="Z176" s="26" t="str">
        <f t="shared" si="18"/>
        <v/>
      </c>
      <c r="AA176" s="33" t="str">
        <f t="shared" si="19"/>
        <v/>
      </c>
      <c r="AB176" s="33" t="str">
        <f t="shared" si="20"/>
        <v/>
      </c>
      <c r="AC176" s="26" t="str">
        <f t="shared" si="21"/>
        <v/>
      </c>
      <c r="AD176" s="26" t="str">
        <f>IF($C176="","",COUNTIF(TblApplications[ID],$C176))</f>
        <v/>
      </c>
      <c r="AE176" s="33" t="str">
        <f>IF($C176="","",IFERROR(1/(1/_xlfn.MINIFS(TblApplications[Mois prov (calc)],TblApplications[ID],$C176)),""))</f>
        <v/>
      </c>
      <c r="AF176" s="33" t="str">
        <f>IF($C176="","",IFERROR(1/(1/_xlfn.MAXIFS(TblApplications[Mois lib (calc)],TblApplications[ID],$C176)),""))</f>
        <v/>
      </c>
      <c r="AG176" s="26" t="str">
        <f>IF($C176="","",IF(OR(OR($A176="",$B176="",$D176="",$E176="",$F176="",$G176=""),AND($G176="À migrer",OR($H176="",$I176="",$O176="",$U176="",$V176="",$W176="")),AND($G176="Migré",OR($O176="")),AND($G176="À décommissionner",OR($I176="",$W176=""))),"Données manquantes (selon l’action)",IF(AND($G176&lt;&gt;"Migré",$G176&lt;&gt;"À migrer",$G176&lt;&gt;"À décommissionner",$G176&lt;&gt;"Décommissionné"),"Action invalide",IF(COUNTIF(TblDomaines[Domaine],$A176)=0,"Domaine inconnu (référentiel)",IF(COUNTIFS(TblTribes[Tribe],$B176,TblTribes[Domaine de la tribe],$A176)=0,"Tribe inconnue ou hors domaine",IF(AND($G176="À migrer",$H176&lt;&gt;"Oui",$H176&lt;&gt;"Non"),"Valeur Oui/Non invalide (Déjà incluse ROKS)",IF(AND($E176&lt;&gt;"PRD",$E176&lt;&gt;"NPRD"),"Environnement invalide",IF(COUNTIFS(TblApplications[ID],$C176,TblApplications[Environnement],$E176,TblApplications[Couloir],$F176)&gt;1,"Déploiement en doublon (ID + env + couloir)",IF(AND(OR(OR($G176="À migrer",$G176="Migré"),OR($G176="À migrer",$G176="À décommissionner")),N($P176)&lt;=0),"Conso Dynatrace absente (onglet Dynatrace)",IF(OR(AND($P176&lt;&gt;"",NOT(ISNUMBER($P176))),AND($Q176&lt;&gt;"",NOT(ISNUMBER($Q176)))),"Ressource non numérique",IF(MIN(N($P176),N($Q176))&lt;0,"Ressource négative",IF(OR(AND($AH176&lt;&gt;"",OR(NOT(ISNUMBER($AH176)),$AH176&lt;0,$AH176&gt;1)),AND($AI176&lt;&gt;"",OR(NOT(ISNUMBER($AI176)),$AI176&lt;0,$AI176&gt;1))),"Marge spécifique invalide (0–100 %)",IF(OR(AND($U176&lt;&gt;"",NOT(ISNUMBER($U176))),AND($V176&lt;&gt;"",NOT(ISNUMBER($V176))),AND($W176&lt;&gt;"",NOT(ISNUMBER($W176)))),"Mois invalide",IF(AND(OR($G176="À migrer",$G176="À décommissionner"),COUNTIFS(TblClusters[Cluster],$I176,TblClusters[Plateforme],"IKS")=0),"Cluster IKS inconnu",IF(AND(OR($G176="À migrer",$G176="Migré"),COUNTIFS(TblClusters[Cluster],$O176,TblClusters[Plateforme],"ROKS")=0),"Cluster ROKS inconnu",IF(AND(OR($G176="À migrer",$G176="À décommissionner"),COUNTIFS(TblClusters[Cluster],$I176,TblClusters[Environnement],$E176)=0),"Environnement ≠ cluster IKS",IF(AND(OR($G176="À migrer",$G176="Migré"),COUNTIFS(TblClusters[Cluster],$O176,TblClusters[Environnement],$E176)=0),"Environnement ≠ cluster ROKS",IF(AND($G176="À migrer",OR($U176&gt;$V176,$V176&gt;$W176)),"Dates incohérentes (prov ≤ bascule ≤ libération)",IF(AND(OR($G176="À migrer",$G176="À décommissionner"),OR(N($AO176)&gt;SUMIFS(TblClusters[CPU initial (vCPU)],TblClusters[Cluster],$I176),N($AP176)&gt;SUMIFS(TblClusters[RAM initiale (Go)],TblClusters[Cluster],$I176))),"Forçage &gt; capacité du cluster source",IF(OR(AND($AA176&lt;&gt;"",$AA176&lt;p_debut),AND($AB176&lt;&gt;"",$AB176&gt;p_fin)),"Hors horizon (info)",IF(AND($G176="À migrer",$E176="PRD",COUNTIFS(TblApplications[ID],$C176,TblApplications[Environnement],"NPRD",TblApplications[Action],"À migrer")&gt;0,$AA176&lt;_xlfn.MINIFS(TblApplications[Mois prov (calc)],TblApplications[ID],$C176,TblApplications[Environnement],"NPRD")),"PRD avant NPRD (info)","OK")))))))))))))))))))))</f>
        <v/>
      </c>
      <c r="AH176" s="62"/>
      <c r="AI176" s="62"/>
      <c r="AJ176" s="27" t="str">
        <f>IF(OR($C176="",NOT(OR($G176="À migrer",$G176="À décommissionner")),NOT(ISNUMBER($S176)),NOT(ISNUMBER($T176)),$AB176=""),"",($S176+p_poidsram*$T176)*SUMIFS(TblCalculs[Coût par unité],TblCalculs[Cluster],$I176,TblCalculs[Mois],"&lt;"&amp;$AB176))</f>
        <v/>
      </c>
      <c r="AK176" s="27" t="str">
        <f>IF($C176="","",IF(AND($G176="À migrer",$H176="Non",$Y176&lt;&gt;"",$AA176&lt;&gt;""),($Y176+p_poidsram*$Z176)*SUMIFS(TblCalculs[Coût par unité],TblCalculs[Cluster],$O176,TblCalculs[Mois],"&gt;="&amp;$AA176),IF(AND($G176="Migré",$Y176&lt;&gt;""),($Y176+p_poidsram*$Z176)*SUMIFS(TblCalculs[Coût par unité],TblCalculs[Cluster],$O176),"")))</f>
        <v/>
      </c>
      <c r="AL176" s="27" t="str">
        <f t="shared" si="22"/>
        <v/>
      </c>
      <c r="AM176" s="26" t="str">
        <f t="shared" si="23"/>
        <v/>
      </c>
      <c r="AN176" s="26" t="str">
        <f>IF(OR($C176="",$AM176&lt;&gt;1,COUNTIFS($E176,ex_envc,$A176,ex_domc,$B176,ex_tric)=0),"",COUNTIFS($AM$6:$AM176,1,$E$6:$E176,ex_envc,$A$6:$A176,ex_domc,$B$6:$B176,ex_tric))</f>
        <v/>
      </c>
      <c r="AO176" s="63"/>
      <c r="AP176" s="63"/>
      <c r="AQ176" s="63"/>
      <c r="AR176" s="63"/>
    </row>
    <row r="177" spans="1:44" x14ac:dyDescent="0.2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26" t="str">
        <f t="shared" si="16"/>
        <v/>
      </c>
      <c r="O177" s="59"/>
      <c r="P177" s="60" t="str">
        <f>IF($C177="","",IF($AQ177&lt;&gt;"",$AQ177,SUMIFS(TblDynatrace[CPU P95 (vCPU)],TblDynatrace[ID],$C177,TblDynatrace[Environnement],$E177,TblDynatrace[Couloir],$F177)))</f>
        <v/>
      </c>
      <c r="Q177" s="60" t="str">
        <f>IF($C177="","",IF($AR177&lt;&gt;"",$AR177,SUMIFS(TblDynatrace[RAM P95 (Go)],TblDynatrace[ID],$C177,TblDynatrace[Environnement],$E177,TblDynatrace[Couloir],$F177)))</f>
        <v/>
      </c>
      <c r="R177" s="26" t="str">
        <f>IF($C177="","",IFERROR(INDEX(TblDynatrace[Métrique / période],MATCH($C177&amp;"|"&amp;$E177&amp;"|"&amp;$F177,TblDynatrace[Clé],0)),""))</f>
        <v/>
      </c>
      <c r="S177" s="60" t="str">
        <f>IF(OR($C177="",NOT(OR($G177="À migrer",$G177="À décommissionner")),$I177="",NOT(ISNUMBER($P177))),"",IF($AO177&lt;&gt;"",$AO177,IFERROR(SUMIFS(TblClusters[CPU initial (vCPU)],TblClusters[Cluster],$I177)*$P177/(SUMIFS(TblApplications[CPU Dynatrace (vCPU)],TblApplications[Cluster IKS source],$I177,TblApplications[Action],"À migrer")+SUMIFS(TblApplications[CPU Dynatrace (vCPU)],TblApplications[Cluster IKS source],$I177,TblApplications[Action],"À décommissionner")),0)))</f>
        <v/>
      </c>
      <c r="T177" s="60" t="str">
        <f>IF(OR($C177="",NOT(OR($G177="À migrer",$G177="À décommissionner")),$I177="",NOT(ISNUMBER($Q177))),"",IF($AP177&lt;&gt;"",$AP177,IFERROR(SUMIFS(TblClusters[RAM initiale (Go)],TblClusters[Cluster],$I177)*$Q177/(SUMIFS(TblApplications[RAM Dynatrace (Go)],TblApplications[Cluster IKS source],$I177,TblApplications[Action],"À migrer")+SUMIFS(TblApplications[RAM Dynatrace (Go)],TblApplications[Cluster IKS source],$I177,TblApplications[Action],"À décommissionner")),0)))</f>
        <v/>
      </c>
      <c r="U177" s="61"/>
      <c r="V177" s="61"/>
      <c r="W177" s="61"/>
      <c r="X177" s="59"/>
      <c r="Y177" s="26" t="str">
        <f t="shared" si="17"/>
        <v/>
      </c>
      <c r="Z177" s="26" t="str">
        <f t="shared" si="18"/>
        <v/>
      </c>
      <c r="AA177" s="33" t="str">
        <f t="shared" si="19"/>
        <v/>
      </c>
      <c r="AB177" s="33" t="str">
        <f t="shared" si="20"/>
        <v/>
      </c>
      <c r="AC177" s="26" t="str">
        <f t="shared" si="21"/>
        <v/>
      </c>
      <c r="AD177" s="26" t="str">
        <f>IF($C177="","",COUNTIF(TblApplications[ID],$C177))</f>
        <v/>
      </c>
      <c r="AE177" s="33" t="str">
        <f>IF($C177="","",IFERROR(1/(1/_xlfn.MINIFS(TblApplications[Mois prov (calc)],TblApplications[ID],$C177)),""))</f>
        <v/>
      </c>
      <c r="AF177" s="33" t="str">
        <f>IF($C177="","",IFERROR(1/(1/_xlfn.MAXIFS(TblApplications[Mois lib (calc)],TblApplications[ID],$C177)),""))</f>
        <v/>
      </c>
      <c r="AG177" s="26" t="str">
        <f>IF($C177="","",IF(OR(OR($A177="",$B177="",$D177="",$E177="",$F177="",$G177=""),AND($G177="À migrer",OR($H177="",$I177="",$O177="",$U177="",$V177="",$W177="")),AND($G177="Migré",OR($O177="")),AND($G177="À décommissionner",OR($I177="",$W177=""))),"Données manquantes (selon l’action)",IF(AND($G177&lt;&gt;"Migré",$G177&lt;&gt;"À migrer",$G177&lt;&gt;"À décommissionner",$G177&lt;&gt;"Décommissionné"),"Action invalide",IF(COUNTIF(TblDomaines[Domaine],$A177)=0,"Domaine inconnu (référentiel)",IF(COUNTIFS(TblTribes[Tribe],$B177,TblTribes[Domaine de la tribe],$A177)=0,"Tribe inconnue ou hors domaine",IF(AND($G177="À migrer",$H177&lt;&gt;"Oui",$H177&lt;&gt;"Non"),"Valeur Oui/Non invalide (Déjà incluse ROKS)",IF(AND($E177&lt;&gt;"PRD",$E177&lt;&gt;"NPRD"),"Environnement invalide",IF(COUNTIFS(TblApplications[ID],$C177,TblApplications[Environnement],$E177,TblApplications[Couloir],$F177)&gt;1,"Déploiement en doublon (ID + env + couloir)",IF(AND(OR(OR($G177="À migrer",$G177="Migré"),OR($G177="À migrer",$G177="À décommissionner")),N($P177)&lt;=0),"Conso Dynatrace absente (onglet Dynatrace)",IF(OR(AND($P177&lt;&gt;"",NOT(ISNUMBER($P177))),AND($Q177&lt;&gt;"",NOT(ISNUMBER($Q177)))),"Ressource non numérique",IF(MIN(N($P177),N($Q177))&lt;0,"Ressource négative",IF(OR(AND($AH177&lt;&gt;"",OR(NOT(ISNUMBER($AH177)),$AH177&lt;0,$AH177&gt;1)),AND($AI177&lt;&gt;"",OR(NOT(ISNUMBER($AI177)),$AI177&lt;0,$AI177&gt;1))),"Marge spécifique invalide (0–100 %)",IF(OR(AND($U177&lt;&gt;"",NOT(ISNUMBER($U177))),AND($V177&lt;&gt;"",NOT(ISNUMBER($V177))),AND($W177&lt;&gt;"",NOT(ISNUMBER($W177)))),"Mois invalide",IF(AND(OR($G177="À migrer",$G177="À décommissionner"),COUNTIFS(TblClusters[Cluster],$I177,TblClusters[Plateforme],"IKS")=0),"Cluster IKS inconnu",IF(AND(OR($G177="À migrer",$G177="Migré"),COUNTIFS(TblClusters[Cluster],$O177,TblClusters[Plateforme],"ROKS")=0),"Cluster ROKS inconnu",IF(AND(OR($G177="À migrer",$G177="À décommissionner"),COUNTIFS(TblClusters[Cluster],$I177,TblClusters[Environnement],$E177)=0),"Environnement ≠ cluster IKS",IF(AND(OR($G177="À migrer",$G177="Migré"),COUNTIFS(TblClusters[Cluster],$O177,TblClusters[Environnement],$E177)=0),"Environnement ≠ cluster ROKS",IF(AND($G177="À migrer",OR($U177&gt;$V177,$V177&gt;$W177)),"Dates incohérentes (prov ≤ bascule ≤ libération)",IF(AND(OR($G177="À migrer",$G177="À décommissionner"),OR(N($AO177)&gt;SUMIFS(TblClusters[CPU initial (vCPU)],TblClusters[Cluster],$I177),N($AP177)&gt;SUMIFS(TblClusters[RAM initiale (Go)],TblClusters[Cluster],$I177))),"Forçage &gt; capacité du cluster source",IF(OR(AND($AA177&lt;&gt;"",$AA177&lt;p_debut),AND($AB177&lt;&gt;"",$AB177&gt;p_fin)),"Hors horizon (info)",IF(AND($G177="À migrer",$E177="PRD",COUNTIFS(TblApplications[ID],$C177,TblApplications[Environnement],"NPRD",TblApplications[Action],"À migrer")&gt;0,$AA177&lt;_xlfn.MINIFS(TblApplications[Mois prov (calc)],TblApplications[ID],$C177,TblApplications[Environnement],"NPRD")),"PRD avant NPRD (info)","OK")))))))))))))))))))))</f>
        <v/>
      </c>
      <c r="AH177" s="62"/>
      <c r="AI177" s="62"/>
      <c r="AJ177" s="27" t="str">
        <f>IF(OR($C177="",NOT(OR($G177="À migrer",$G177="À décommissionner")),NOT(ISNUMBER($S177)),NOT(ISNUMBER($T177)),$AB177=""),"",($S177+p_poidsram*$T177)*SUMIFS(TblCalculs[Coût par unité],TblCalculs[Cluster],$I177,TblCalculs[Mois],"&lt;"&amp;$AB177))</f>
        <v/>
      </c>
      <c r="AK177" s="27" t="str">
        <f>IF($C177="","",IF(AND($G177="À migrer",$H177="Non",$Y177&lt;&gt;"",$AA177&lt;&gt;""),($Y177+p_poidsram*$Z177)*SUMIFS(TblCalculs[Coût par unité],TblCalculs[Cluster],$O177,TblCalculs[Mois],"&gt;="&amp;$AA177),IF(AND($G177="Migré",$Y177&lt;&gt;""),($Y177+p_poidsram*$Z177)*SUMIFS(TblCalculs[Coût par unité],TblCalculs[Cluster],$O177),"")))</f>
        <v/>
      </c>
      <c r="AL177" s="27" t="str">
        <f t="shared" si="22"/>
        <v/>
      </c>
      <c r="AM177" s="26" t="str">
        <f t="shared" si="23"/>
        <v/>
      </c>
      <c r="AN177" s="26" t="str">
        <f>IF(OR($C177="",$AM177&lt;&gt;1,COUNTIFS($E177,ex_envc,$A177,ex_domc,$B177,ex_tric)=0),"",COUNTIFS($AM$6:$AM177,1,$E$6:$E177,ex_envc,$A$6:$A177,ex_domc,$B$6:$B177,ex_tric))</f>
        <v/>
      </c>
      <c r="AO177" s="63"/>
      <c r="AP177" s="63"/>
      <c r="AQ177" s="63"/>
      <c r="AR177" s="63"/>
    </row>
    <row r="178" spans="1:44" x14ac:dyDescent="0.2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26" t="str">
        <f t="shared" si="16"/>
        <v/>
      </c>
      <c r="O178" s="59"/>
      <c r="P178" s="60" t="str">
        <f>IF($C178="","",IF($AQ178&lt;&gt;"",$AQ178,SUMIFS(TblDynatrace[CPU P95 (vCPU)],TblDynatrace[ID],$C178,TblDynatrace[Environnement],$E178,TblDynatrace[Couloir],$F178)))</f>
        <v/>
      </c>
      <c r="Q178" s="60" t="str">
        <f>IF($C178="","",IF($AR178&lt;&gt;"",$AR178,SUMIFS(TblDynatrace[RAM P95 (Go)],TblDynatrace[ID],$C178,TblDynatrace[Environnement],$E178,TblDynatrace[Couloir],$F178)))</f>
        <v/>
      </c>
      <c r="R178" s="26" t="str">
        <f>IF($C178="","",IFERROR(INDEX(TblDynatrace[Métrique / période],MATCH($C178&amp;"|"&amp;$E178&amp;"|"&amp;$F178,TblDynatrace[Clé],0)),""))</f>
        <v/>
      </c>
      <c r="S178" s="60" t="str">
        <f>IF(OR($C178="",NOT(OR($G178="À migrer",$G178="À décommissionner")),$I178="",NOT(ISNUMBER($P178))),"",IF($AO178&lt;&gt;"",$AO178,IFERROR(SUMIFS(TblClusters[CPU initial (vCPU)],TblClusters[Cluster],$I178)*$P178/(SUMIFS(TblApplications[CPU Dynatrace (vCPU)],TblApplications[Cluster IKS source],$I178,TblApplications[Action],"À migrer")+SUMIFS(TblApplications[CPU Dynatrace (vCPU)],TblApplications[Cluster IKS source],$I178,TblApplications[Action],"À décommissionner")),0)))</f>
        <v/>
      </c>
      <c r="T178" s="60" t="str">
        <f>IF(OR($C178="",NOT(OR($G178="À migrer",$G178="À décommissionner")),$I178="",NOT(ISNUMBER($Q178))),"",IF($AP178&lt;&gt;"",$AP178,IFERROR(SUMIFS(TblClusters[RAM initiale (Go)],TblClusters[Cluster],$I178)*$Q178/(SUMIFS(TblApplications[RAM Dynatrace (Go)],TblApplications[Cluster IKS source],$I178,TblApplications[Action],"À migrer")+SUMIFS(TblApplications[RAM Dynatrace (Go)],TblApplications[Cluster IKS source],$I178,TblApplications[Action],"À décommissionner")),0)))</f>
        <v/>
      </c>
      <c r="U178" s="61"/>
      <c r="V178" s="61"/>
      <c r="W178" s="61"/>
      <c r="X178" s="59"/>
      <c r="Y178" s="26" t="str">
        <f t="shared" si="17"/>
        <v/>
      </c>
      <c r="Z178" s="26" t="str">
        <f t="shared" si="18"/>
        <v/>
      </c>
      <c r="AA178" s="33" t="str">
        <f t="shared" si="19"/>
        <v/>
      </c>
      <c r="AB178" s="33" t="str">
        <f t="shared" si="20"/>
        <v/>
      </c>
      <c r="AC178" s="26" t="str">
        <f t="shared" si="21"/>
        <v/>
      </c>
      <c r="AD178" s="26" t="str">
        <f>IF($C178="","",COUNTIF(TblApplications[ID],$C178))</f>
        <v/>
      </c>
      <c r="AE178" s="33" t="str">
        <f>IF($C178="","",IFERROR(1/(1/_xlfn.MINIFS(TblApplications[Mois prov (calc)],TblApplications[ID],$C178)),""))</f>
        <v/>
      </c>
      <c r="AF178" s="33" t="str">
        <f>IF($C178="","",IFERROR(1/(1/_xlfn.MAXIFS(TblApplications[Mois lib (calc)],TblApplications[ID],$C178)),""))</f>
        <v/>
      </c>
      <c r="AG178" s="26" t="str">
        <f>IF($C178="","",IF(OR(OR($A178="",$B178="",$D178="",$E178="",$F178="",$G178=""),AND($G178="À migrer",OR($H178="",$I178="",$O178="",$U178="",$V178="",$W178="")),AND($G178="Migré",OR($O178="")),AND($G178="À décommissionner",OR($I178="",$W178=""))),"Données manquantes (selon l’action)",IF(AND($G178&lt;&gt;"Migré",$G178&lt;&gt;"À migrer",$G178&lt;&gt;"À décommissionner",$G178&lt;&gt;"Décommissionné"),"Action invalide",IF(COUNTIF(TblDomaines[Domaine],$A178)=0,"Domaine inconnu (référentiel)",IF(COUNTIFS(TblTribes[Tribe],$B178,TblTribes[Domaine de la tribe],$A178)=0,"Tribe inconnue ou hors domaine",IF(AND($G178="À migrer",$H178&lt;&gt;"Oui",$H178&lt;&gt;"Non"),"Valeur Oui/Non invalide (Déjà incluse ROKS)",IF(AND($E178&lt;&gt;"PRD",$E178&lt;&gt;"NPRD"),"Environnement invalide",IF(COUNTIFS(TblApplications[ID],$C178,TblApplications[Environnement],$E178,TblApplications[Couloir],$F178)&gt;1,"Déploiement en doublon (ID + env + couloir)",IF(AND(OR(OR($G178="À migrer",$G178="Migré"),OR($G178="À migrer",$G178="À décommissionner")),N($P178)&lt;=0),"Conso Dynatrace absente (onglet Dynatrace)",IF(OR(AND($P178&lt;&gt;"",NOT(ISNUMBER($P178))),AND($Q178&lt;&gt;"",NOT(ISNUMBER($Q178)))),"Ressource non numérique",IF(MIN(N($P178),N($Q178))&lt;0,"Ressource négative",IF(OR(AND($AH178&lt;&gt;"",OR(NOT(ISNUMBER($AH178)),$AH178&lt;0,$AH178&gt;1)),AND($AI178&lt;&gt;"",OR(NOT(ISNUMBER($AI178)),$AI178&lt;0,$AI178&gt;1))),"Marge spécifique invalide (0–100 %)",IF(OR(AND($U178&lt;&gt;"",NOT(ISNUMBER($U178))),AND($V178&lt;&gt;"",NOT(ISNUMBER($V178))),AND($W178&lt;&gt;"",NOT(ISNUMBER($W178)))),"Mois invalide",IF(AND(OR($G178="À migrer",$G178="À décommissionner"),COUNTIFS(TblClusters[Cluster],$I178,TblClusters[Plateforme],"IKS")=0),"Cluster IKS inconnu",IF(AND(OR($G178="À migrer",$G178="Migré"),COUNTIFS(TblClusters[Cluster],$O178,TblClusters[Plateforme],"ROKS")=0),"Cluster ROKS inconnu",IF(AND(OR($G178="À migrer",$G178="À décommissionner"),COUNTIFS(TblClusters[Cluster],$I178,TblClusters[Environnement],$E178)=0),"Environnement ≠ cluster IKS",IF(AND(OR($G178="À migrer",$G178="Migré"),COUNTIFS(TblClusters[Cluster],$O178,TblClusters[Environnement],$E178)=0),"Environnement ≠ cluster ROKS",IF(AND($G178="À migrer",OR($U178&gt;$V178,$V178&gt;$W178)),"Dates incohérentes (prov ≤ bascule ≤ libération)",IF(AND(OR($G178="À migrer",$G178="À décommissionner"),OR(N($AO178)&gt;SUMIFS(TblClusters[CPU initial (vCPU)],TblClusters[Cluster],$I178),N($AP178)&gt;SUMIFS(TblClusters[RAM initiale (Go)],TblClusters[Cluster],$I178))),"Forçage &gt; capacité du cluster source",IF(OR(AND($AA178&lt;&gt;"",$AA178&lt;p_debut),AND($AB178&lt;&gt;"",$AB178&gt;p_fin)),"Hors horizon (info)",IF(AND($G178="À migrer",$E178="PRD",COUNTIFS(TblApplications[ID],$C178,TblApplications[Environnement],"NPRD",TblApplications[Action],"À migrer")&gt;0,$AA178&lt;_xlfn.MINIFS(TblApplications[Mois prov (calc)],TblApplications[ID],$C178,TblApplications[Environnement],"NPRD")),"PRD avant NPRD (info)","OK")))))))))))))))))))))</f>
        <v/>
      </c>
      <c r="AH178" s="62"/>
      <c r="AI178" s="62"/>
      <c r="AJ178" s="27" t="str">
        <f>IF(OR($C178="",NOT(OR($G178="À migrer",$G178="À décommissionner")),NOT(ISNUMBER($S178)),NOT(ISNUMBER($T178)),$AB178=""),"",($S178+p_poidsram*$T178)*SUMIFS(TblCalculs[Coût par unité],TblCalculs[Cluster],$I178,TblCalculs[Mois],"&lt;"&amp;$AB178))</f>
        <v/>
      </c>
      <c r="AK178" s="27" t="str">
        <f>IF($C178="","",IF(AND($G178="À migrer",$H178="Non",$Y178&lt;&gt;"",$AA178&lt;&gt;""),($Y178+p_poidsram*$Z178)*SUMIFS(TblCalculs[Coût par unité],TblCalculs[Cluster],$O178,TblCalculs[Mois],"&gt;="&amp;$AA178),IF(AND($G178="Migré",$Y178&lt;&gt;""),($Y178+p_poidsram*$Z178)*SUMIFS(TblCalculs[Coût par unité],TblCalculs[Cluster],$O178),"")))</f>
        <v/>
      </c>
      <c r="AL178" s="27" t="str">
        <f t="shared" si="22"/>
        <v/>
      </c>
      <c r="AM178" s="26" t="str">
        <f t="shared" si="23"/>
        <v/>
      </c>
      <c r="AN178" s="26" t="str">
        <f>IF(OR($C178="",$AM178&lt;&gt;1,COUNTIFS($E178,ex_envc,$A178,ex_domc,$B178,ex_tric)=0),"",COUNTIFS($AM$6:$AM178,1,$E$6:$E178,ex_envc,$A$6:$A178,ex_domc,$B$6:$B178,ex_tric))</f>
        <v/>
      </c>
      <c r="AO178" s="63"/>
      <c r="AP178" s="63"/>
      <c r="AQ178" s="63"/>
      <c r="AR178" s="63"/>
    </row>
    <row r="179" spans="1:44" x14ac:dyDescent="0.2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26" t="str">
        <f t="shared" si="16"/>
        <v/>
      </c>
      <c r="O179" s="59"/>
      <c r="P179" s="60" t="str">
        <f>IF($C179="","",IF($AQ179&lt;&gt;"",$AQ179,SUMIFS(TblDynatrace[CPU P95 (vCPU)],TblDynatrace[ID],$C179,TblDynatrace[Environnement],$E179,TblDynatrace[Couloir],$F179)))</f>
        <v/>
      </c>
      <c r="Q179" s="60" t="str">
        <f>IF($C179="","",IF($AR179&lt;&gt;"",$AR179,SUMIFS(TblDynatrace[RAM P95 (Go)],TblDynatrace[ID],$C179,TblDynatrace[Environnement],$E179,TblDynatrace[Couloir],$F179)))</f>
        <v/>
      </c>
      <c r="R179" s="26" t="str">
        <f>IF($C179="","",IFERROR(INDEX(TblDynatrace[Métrique / période],MATCH($C179&amp;"|"&amp;$E179&amp;"|"&amp;$F179,TblDynatrace[Clé],0)),""))</f>
        <v/>
      </c>
      <c r="S179" s="60" t="str">
        <f>IF(OR($C179="",NOT(OR($G179="À migrer",$G179="À décommissionner")),$I179="",NOT(ISNUMBER($P179))),"",IF($AO179&lt;&gt;"",$AO179,IFERROR(SUMIFS(TblClusters[CPU initial (vCPU)],TblClusters[Cluster],$I179)*$P179/(SUMIFS(TblApplications[CPU Dynatrace (vCPU)],TblApplications[Cluster IKS source],$I179,TblApplications[Action],"À migrer")+SUMIFS(TblApplications[CPU Dynatrace (vCPU)],TblApplications[Cluster IKS source],$I179,TblApplications[Action],"À décommissionner")),0)))</f>
        <v/>
      </c>
      <c r="T179" s="60" t="str">
        <f>IF(OR($C179="",NOT(OR($G179="À migrer",$G179="À décommissionner")),$I179="",NOT(ISNUMBER($Q179))),"",IF($AP179&lt;&gt;"",$AP179,IFERROR(SUMIFS(TblClusters[RAM initiale (Go)],TblClusters[Cluster],$I179)*$Q179/(SUMIFS(TblApplications[RAM Dynatrace (Go)],TblApplications[Cluster IKS source],$I179,TblApplications[Action],"À migrer")+SUMIFS(TblApplications[RAM Dynatrace (Go)],TblApplications[Cluster IKS source],$I179,TblApplications[Action],"À décommissionner")),0)))</f>
        <v/>
      </c>
      <c r="U179" s="61"/>
      <c r="V179" s="61"/>
      <c r="W179" s="61"/>
      <c r="X179" s="59"/>
      <c r="Y179" s="26" t="str">
        <f t="shared" si="17"/>
        <v/>
      </c>
      <c r="Z179" s="26" t="str">
        <f t="shared" si="18"/>
        <v/>
      </c>
      <c r="AA179" s="33" t="str">
        <f t="shared" si="19"/>
        <v/>
      </c>
      <c r="AB179" s="33" t="str">
        <f t="shared" si="20"/>
        <v/>
      </c>
      <c r="AC179" s="26" t="str">
        <f t="shared" si="21"/>
        <v/>
      </c>
      <c r="AD179" s="26" t="str">
        <f>IF($C179="","",COUNTIF(TblApplications[ID],$C179))</f>
        <v/>
      </c>
      <c r="AE179" s="33" t="str">
        <f>IF($C179="","",IFERROR(1/(1/_xlfn.MINIFS(TblApplications[Mois prov (calc)],TblApplications[ID],$C179)),""))</f>
        <v/>
      </c>
      <c r="AF179" s="33" t="str">
        <f>IF($C179="","",IFERROR(1/(1/_xlfn.MAXIFS(TblApplications[Mois lib (calc)],TblApplications[ID],$C179)),""))</f>
        <v/>
      </c>
      <c r="AG179" s="26" t="str">
        <f>IF($C179="","",IF(OR(OR($A179="",$B179="",$D179="",$E179="",$F179="",$G179=""),AND($G179="À migrer",OR($H179="",$I179="",$O179="",$U179="",$V179="",$W179="")),AND($G179="Migré",OR($O179="")),AND($G179="À décommissionner",OR($I179="",$W179=""))),"Données manquantes (selon l’action)",IF(AND($G179&lt;&gt;"Migré",$G179&lt;&gt;"À migrer",$G179&lt;&gt;"À décommissionner",$G179&lt;&gt;"Décommissionné"),"Action invalide",IF(COUNTIF(TblDomaines[Domaine],$A179)=0,"Domaine inconnu (référentiel)",IF(COUNTIFS(TblTribes[Tribe],$B179,TblTribes[Domaine de la tribe],$A179)=0,"Tribe inconnue ou hors domaine",IF(AND($G179="À migrer",$H179&lt;&gt;"Oui",$H179&lt;&gt;"Non"),"Valeur Oui/Non invalide (Déjà incluse ROKS)",IF(AND($E179&lt;&gt;"PRD",$E179&lt;&gt;"NPRD"),"Environnement invalide",IF(COUNTIFS(TblApplications[ID],$C179,TblApplications[Environnement],$E179,TblApplications[Couloir],$F179)&gt;1,"Déploiement en doublon (ID + env + couloir)",IF(AND(OR(OR($G179="À migrer",$G179="Migré"),OR($G179="À migrer",$G179="À décommissionner")),N($P179)&lt;=0),"Conso Dynatrace absente (onglet Dynatrace)",IF(OR(AND($P179&lt;&gt;"",NOT(ISNUMBER($P179))),AND($Q179&lt;&gt;"",NOT(ISNUMBER($Q179)))),"Ressource non numérique",IF(MIN(N($P179),N($Q179))&lt;0,"Ressource négative",IF(OR(AND($AH179&lt;&gt;"",OR(NOT(ISNUMBER($AH179)),$AH179&lt;0,$AH179&gt;1)),AND($AI179&lt;&gt;"",OR(NOT(ISNUMBER($AI179)),$AI179&lt;0,$AI179&gt;1))),"Marge spécifique invalide (0–100 %)",IF(OR(AND($U179&lt;&gt;"",NOT(ISNUMBER($U179))),AND($V179&lt;&gt;"",NOT(ISNUMBER($V179))),AND($W179&lt;&gt;"",NOT(ISNUMBER($W179)))),"Mois invalide",IF(AND(OR($G179="À migrer",$G179="À décommissionner"),COUNTIFS(TblClusters[Cluster],$I179,TblClusters[Plateforme],"IKS")=0),"Cluster IKS inconnu",IF(AND(OR($G179="À migrer",$G179="Migré"),COUNTIFS(TblClusters[Cluster],$O179,TblClusters[Plateforme],"ROKS")=0),"Cluster ROKS inconnu",IF(AND(OR($G179="À migrer",$G179="À décommissionner"),COUNTIFS(TblClusters[Cluster],$I179,TblClusters[Environnement],$E179)=0),"Environnement ≠ cluster IKS",IF(AND(OR($G179="À migrer",$G179="Migré"),COUNTIFS(TblClusters[Cluster],$O179,TblClusters[Environnement],$E179)=0),"Environnement ≠ cluster ROKS",IF(AND($G179="À migrer",OR($U179&gt;$V179,$V179&gt;$W179)),"Dates incohérentes (prov ≤ bascule ≤ libération)",IF(AND(OR($G179="À migrer",$G179="À décommissionner"),OR(N($AO179)&gt;SUMIFS(TblClusters[CPU initial (vCPU)],TblClusters[Cluster],$I179),N($AP179)&gt;SUMIFS(TblClusters[RAM initiale (Go)],TblClusters[Cluster],$I179))),"Forçage &gt; capacité du cluster source",IF(OR(AND($AA179&lt;&gt;"",$AA179&lt;p_debut),AND($AB179&lt;&gt;"",$AB179&gt;p_fin)),"Hors horizon (info)",IF(AND($G179="À migrer",$E179="PRD",COUNTIFS(TblApplications[ID],$C179,TblApplications[Environnement],"NPRD",TblApplications[Action],"À migrer")&gt;0,$AA179&lt;_xlfn.MINIFS(TblApplications[Mois prov (calc)],TblApplications[ID],$C179,TblApplications[Environnement],"NPRD")),"PRD avant NPRD (info)","OK")))))))))))))))))))))</f>
        <v/>
      </c>
      <c r="AH179" s="62"/>
      <c r="AI179" s="62"/>
      <c r="AJ179" s="27" t="str">
        <f>IF(OR($C179="",NOT(OR($G179="À migrer",$G179="À décommissionner")),NOT(ISNUMBER($S179)),NOT(ISNUMBER($T179)),$AB179=""),"",($S179+p_poidsram*$T179)*SUMIFS(TblCalculs[Coût par unité],TblCalculs[Cluster],$I179,TblCalculs[Mois],"&lt;"&amp;$AB179))</f>
        <v/>
      </c>
      <c r="AK179" s="27" t="str">
        <f>IF($C179="","",IF(AND($G179="À migrer",$H179="Non",$Y179&lt;&gt;"",$AA179&lt;&gt;""),($Y179+p_poidsram*$Z179)*SUMIFS(TblCalculs[Coût par unité],TblCalculs[Cluster],$O179,TblCalculs[Mois],"&gt;="&amp;$AA179),IF(AND($G179="Migré",$Y179&lt;&gt;""),($Y179+p_poidsram*$Z179)*SUMIFS(TblCalculs[Coût par unité],TblCalculs[Cluster],$O179),"")))</f>
        <v/>
      </c>
      <c r="AL179" s="27" t="str">
        <f t="shared" si="22"/>
        <v/>
      </c>
      <c r="AM179" s="26" t="str">
        <f t="shared" si="23"/>
        <v/>
      </c>
      <c r="AN179" s="26" t="str">
        <f>IF(OR($C179="",$AM179&lt;&gt;1,COUNTIFS($E179,ex_envc,$A179,ex_domc,$B179,ex_tric)=0),"",COUNTIFS($AM$6:$AM179,1,$E$6:$E179,ex_envc,$A$6:$A179,ex_domc,$B$6:$B179,ex_tric))</f>
        <v/>
      </c>
      <c r="AO179" s="63"/>
      <c r="AP179" s="63"/>
      <c r="AQ179" s="63"/>
      <c r="AR179" s="63"/>
    </row>
    <row r="180" spans="1:44" x14ac:dyDescent="0.2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26" t="str">
        <f t="shared" si="16"/>
        <v/>
      </c>
      <c r="O180" s="59"/>
      <c r="P180" s="60" t="str">
        <f>IF($C180="","",IF($AQ180&lt;&gt;"",$AQ180,SUMIFS(TblDynatrace[CPU P95 (vCPU)],TblDynatrace[ID],$C180,TblDynatrace[Environnement],$E180,TblDynatrace[Couloir],$F180)))</f>
        <v/>
      </c>
      <c r="Q180" s="60" t="str">
        <f>IF($C180="","",IF($AR180&lt;&gt;"",$AR180,SUMIFS(TblDynatrace[RAM P95 (Go)],TblDynatrace[ID],$C180,TblDynatrace[Environnement],$E180,TblDynatrace[Couloir],$F180)))</f>
        <v/>
      </c>
      <c r="R180" s="26" t="str">
        <f>IF($C180="","",IFERROR(INDEX(TblDynatrace[Métrique / période],MATCH($C180&amp;"|"&amp;$E180&amp;"|"&amp;$F180,TblDynatrace[Clé],0)),""))</f>
        <v/>
      </c>
      <c r="S180" s="60" t="str">
        <f>IF(OR($C180="",NOT(OR($G180="À migrer",$G180="À décommissionner")),$I180="",NOT(ISNUMBER($P180))),"",IF($AO180&lt;&gt;"",$AO180,IFERROR(SUMIFS(TblClusters[CPU initial (vCPU)],TblClusters[Cluster],$I180)*$P180/(SUMIFS(TblApplications[CPU Dynatrace (vCPU)],TblApplications[Cluster IKS source],$I180,TblApplications[Action],"À migrer")+SUMIFS(TblApplications[CPU Dynatrace (vCPU)],TblApplications[Cluster IKS source],$I180,TblApplications[Action],"À décommissionner")),0)))</f>
        <v/>
      </c>
      <c r="T180" s="60" t="str">
        <f>IF(OR($C180="",NOT(OR($G180="À migrer",$G180="À décommissionner")),$I180="",NOT(ISNUMBER($Q180))),"",IF($AP180&lt;&gt;"",$AP180,IFERROR(SUMIFS(TblClusters[RAM initiale (Go)],TblClusters[Cluster],$I180)*$Q180/(SUMIFS(TblApplications[RAM Dynatrace (Go)],TblApplications[Cluster IKS source],$I180,TblApplications[Action],"À migrer")+SUMIFS(TblApplications[RAM Dynatrace (Go)],TblApplications[Cluster IKS source],$I180,TblApplications[Action],"À décommissionner")),0)))</f>
        <v/>
      </c>
      <c r="U180" s="61"/>
      <c r="V180" s="61"/>
      <c r="W180" s="61"/>
      <c r="X180" s="59"/>
      <c r="Y180" s="26" t="str">
        <f t="shared" si="17"/>
        <v/>
      </c>
      <c r="Z180" s="26" t="str">
        <f t="shared" si="18"/>
        <v/>
      </c>
      <c r="AA180" s="33" t="str">
        <f t="shared" si="19"/>
        <v/>
      </c>
      <c r="AB180" s="33" t="str">
        <f t="shared" si="20"/>
        <v/>
      </c>
      <c r="AC180" s="26" t="str">
        <f t="shared" si="21"/>
        <v/>
      </c>
      <c r="AD180" s="26" t="str">
        <f>IF($C180="","",COUNTIF(TblApplications[ID],$C180))</f>
        <v/>
      </c>
      <c r="AE180" s="33" t="str">
        <f>IF($C180="","",IFERROR(1/(1/_xlfn.MINIFS(TblApplications[Mois prov (calc)],TblApplications[ID],$C180)),""))</f>
        <v/>
      </c>
      <c r="AF180" s="33" t="str">
        <f>IF($C180="","",IFERROR(1/(1/_xlfn.MAXIFS(TblApplications[Mois lib (calc)],TblApplications[ID],$C180)),""))</f>
        <v/>
      </c>
      <c r="AG180" s="26" t="str">
        <f>IF($C180="","",IF(OR(OR($A180="",$B180="",$D180="",$E180="",$F180="",$G180=""),AND($G180="À migrer",OR($H180="",$I180="",$O180="",$U180="",$V180="",$W180="")),AND($G180="Migré",OR($O180="")),AND($G180="À décommissionner",OR($I180="",$W180=""))),"Données manquantes (selon l’action)",IF(AND($G180&lt;&gt;"Migré",$G180&lt;&gt;"À migrer",$G180&lt;&gt;"À décommissionner",$G180&lt;&gt;"Décommissionné"),"Action invalide",IF(COUNTIF(TblDomaines[Domaine],$A180)=0,"Domaine inconnu (référentiel)",IF(COUNTIFS(TblTribes[Tribe],$B180,TblTribes[Domaine de la tribe],$A180)=0,"Tribe inconnue ou hors domaine",IF(AND($G180="À migrer",$H180&lt;&gt;"Oui",$H180&lt;&gt;"Non"),"Valeur Oui/Non invalide (Déjà incluse ROKS)",IF(AND($E180&lt;&gt;"PRD",$E180&lt;&gt;"NPRD"),"Environnement invalide",IF(COUNTIFS(TblApplications[ID],$C180,TblApplications[Environnement],$E180,TblApplications[Couloir],$F180)&gt;1,"Déploiement en doublon (ID + env + couloir)",IF(AND(OR(OR($G180="À migrer",$G180="Migré"),OR($G180="À migrer",$G180="À décommissionner")),N($P180)&lt;=0),"Conso Dynatrace absente (onglet Dynatrace)",IF(OR(AND($P180&lt;&gt;"",NOT(ISNUMBER($P180))),AND($Q180&lt;&gt;"",NOT(ISNUMBER($Q180)))),"Ressource non numérique",IF(MIN(N($P180),N($Q180))&lt;0,"Ressource négative",IF(OR(AND($AH180&lt;&gt;"",OR(NOT(ISNUMBER($AH180)),$AH180&lt;0,$AH180&gt;1)),AND($AI180&lt;&gt;"",OR(NOT(ISNUMBER($AI180)),$AI180&lt;0,$AI180&gt;1))),"Marge spécifique invalide (0–100 %)",IF(OR(AND($U180&lt;&gt;"",NOT(ISNUMBER($U180))),AND($V180&lt;&gt;"",NOT(ISNUMBER($V180))),AND($W180&lt;&gt;"",NOT(ISNUMBER($W180)))),"Mois invalide",IF(AND(OR($G180="À migrer",$G180="À décommissionner"),COUNTIFS(TblClusters[Cluster],$I180,TblClusters[Plateforme],"IKS")=0),"Cluster IKS inconnu",IF(AND(OR($G180="À migrer",$G180="Migré"),COUNTIFS(TblClusters[Cluster],$O180,TblClusters[Plateforme],"ROKS")=0),"Cluster ROKS inconnu",IF(AND(OR($G180="À migrer",$G180="À décommissionner"),COUNTIFS(TblClusters[Cluster],$I180,TblClusters[Environnement],$E180)=0),"Environnement ≠ cluster IKS",IF(AND(OR($G180="À migrer",$G180="Migré"),COUNTIFS(TblClusters[Cluster],$O180,TblClusters[Environnement],$E180)=0),"Environnement ≠ cluster ROKS",IF(AND($G180="À migrer",OR($U180&gt;$V180,$V180&gt;$W180)),"Dates incohérentes (prov ≤ bascule ≤ libération)",IF(AND(OR($G180="À migrer",$G180="À décommissionner"),OR(N($AO180)&gt;SUMIFS(TblClusters[CPU initial (vCPU)],TblClusters[Cluster],$I180),N($AP180)&gt;SUMIFS(TblClusters[RAM initiale (Go)],TblClusters[Cluster],$I180))),"Forçage &gt; capacité du cluster source",IF(OR(AND($AA180&lt;&gt;"",$AA180&lt;p_debut),AND($AB180&lt;&gt;"",$AB180&gt;p_fin)),"Hors horizon (info)",IF(AND($G180="À migrer",$E180="PRD",COUNTIFS(TblApplications[ID],$C180,TblApplications[Environnement],"NPRD",TblApplications[Action],"À migrer")&gt;0,$AA180&lt;_xlfn.MINIFS(TblApplications[Mois prov (calc)],TblApplications[ID],$C180,TblApplications[Environnement],"NPRD")),"PRD avant NPRD (info)","OK")))))))))))))))))))))</f>
        <v/>
      </c>
      <c r="AH180" s="62"/>
      <c r="AI180" s="62"/>
      <c r="AJ180" s="27" t="str">
        <f>IF(OR($C180="",NOT(OR($G180="À migrer",$G180="À décommissionner")),NOT(ISNUMBER($S180)),NOT(ISNUMBER($T180)),$AB180=""),"",($S180+p_poidsram*$T180)*SUMIFS(TblCalculs[Coût par unité],TblCalculs[Cluster],$I180,TblCalculs[Mois],"&lt;"&amp;$AB180))</f>
        <v/>
      </c>
      <c r="AK180" s="27" t="str">
        <f>IF($C180="","",IF(AND($G180="À migrer",$H180="Non",$Y180&lt;&gt;"",$AA180&lt;&gt;""),($Y180+p_poidsram*$Z180)*SUMIFS(TblCalculs[Coût par unité],TblCalculs[Cluster],$O180,TblCalculs[Mois],"&gt;="&amp;$AA180),IF(AND($G180="Migré",$Y180&lt;&gt;""),($Y180+p_poidsram*$Z180)*SUMIFS(TblCalculs[Coût par unité],TblCalculs[Cluster],$O180),"")))</f>
        <v/>
      </c>
      <c r="AL180" s="27" t="str">
        <f t="shared" si="22"/>
        <v/>
      </c>
      <c r="AM180" s="26" t="str">
        <f t="shared" si="23"/>
        <v/>
      </c>
      <c r="AN180" s="26" t="str">
        <f>IF(OR($C180="",$AM180&lt;&gt;1,COUNTIFS($E180,ex_envc,$A180,ex_domc,$B180,ex_tric)=0),"",COUNTIFS($AM$6:$AM180,1,$E$6:$E180,ex_envc,$A$6:$A180,ex_domc,$B$6:$B180,ex_tric))</f>
        <v/>
      </c>
      <c r="AO180" s="63"/>
      <c r="AP180" s="63"/>
      <c r="AQ180" s="63"/>
      <c r="AR180" s="63"/>
    </row>
    <row r="181" spans="1:44" x14ac:dyDescent="0.2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26" t="str">
        <f t="shared" si="16"/>
        <v/>
      </c>
      <c r="O181" s="59"/>
      <c r="P181" s="60" t="str">
        <f>IF($C181="","",IF($AQ181&lt;&gt;"",$AQ181,SUMIFS(TblDynatrace[CPU P95 (vCPU)],TblDynatrace[ID],$C181,TblDynatrace[Environnement],$E181,TblDynatrace[Couloir],$F181)))</f>
        <v/>
      </c>
      <c r="Q181" s="60" t="str">
        <f>IF($C181="","",IF($AR181&lt;&gt;"",$AR181,SUMIFS(TblDynatrace[RAM P95 (Go)],TblDynatrace[ID],$C181,TblDynatrace[Environnement],$E181,TblDynatrace[Couloir],$F181)))</f>
        <v/>
      </c>
      <c r="R181" s="26" t="str">
        <f>IF($C181="","",IFERROR(INDEX(TblDynatrace[Métrique / période],MATCH($C181&amp;"|"&amp;$E181&amp;"|"&amp;$F181,TblDynatrace[Clé],0)),""))</f>
        <v/>
      </c>
      <c r="S181" s="60" t="str">
        <f>IF(OR($C181="",NOT(OR($G181="À migrer",$G181="À décommissionner")),$I181="",NOT(ISNUMBER($P181))),"",IF($AO181&lt;&gt;"",$AO181,IFERROR(SUMIFS(TblClusters[CPU initial (vCPU)],TblClusters[Cluster],$I181)*$P181/(SUMIFS(TblApplications[CPU Dynatrace (vCPU)],TblApplications[Cluster IKS source],$I181,TblApplications[Action],"À migrer")+SUMIFS(TblApplications[CPU Dynatrace (vCPU)],TblApplications[Cluster IKS source],$I181,TblApplications[Action],"À décommissionner")),0)))</f>
        <v/>
      </c>
      <c r="T181" s="60" t="str">
        <f>IF(OR($C181="",NOT(OR($G181="À migrer",$G181="À décommissionner")),$I181="",NOT(ISNUMBER($Q181))),"",IF($AP181&lt;&gt;"",$AP181,IFERROR(SUMIFS(TblClusters[RAM initiale (Go)],TblClusters[Cluster],$I181)*$Q181/(SUMIFS(TblApplications[RAM Dynatrace (Go)],TblApplications[Cluster IKS source],$I181,TblApplications[Action],"À migrer")+SUMIFS(TblApplications[RAM Dynatrace (Go)],TblApplications[Cluster IKS source],$I181,TblApplications[Action],"À décommissionner")),0)))</f>
        <v/>
      </c>
      <c r="U181" s="61"/>
      <c r="V181" s="61"/>
      <c r="W181" s="61"/>
      <c r="X181" s="59"/>
      <c r="Y181" s="26" t="str">
        <f t="shared" si="17"/>
        <v/>
      </c>
      <c r="Z181" s="26" t="str">
        <f t="shared" si="18"/>
        <v/>
      </c>
      <c r="AA181" s="33" t="str">
        <f t="shared" si="19"/>
        <v/>
      </c>
      <c r="AB181" s="33" t="str">
        <f t="shared" si="20"/>
        <v/>
      </c>
      <c r="AC181" s="26" t="str">
        <f t="shared" si="21"/>
        <v/>
      </c>
      <c r="AD181" s="26" t="str">
        <f>IF($C181="","",COUNTIF(TblApplications[ID],$C181))</f>
        <v/>
      </c>
      <c r="AE181" s="33" t="str">
        <f>IF($C181="","",IFERROR(1/(1/_xlfn.MINIFS(TblApplications[Mois prov (calc)],TblApplications[ID],$C181)),""))</f>
        <v/>
      </c>
      <c r="AF181" s="33" t="str">
        <f>IF($C181="","",IFERROR(1/(1/_xlfn.MAXIFS(TblApplications[Mois lib (calc)],TblApplications[ID],$C181)),""))</f>
        <v/>
      </c>
      <c r="AG181" s="26" t="str">
        <f>IF($C181="","",IF(OR(OR($A181="",$B181="",$D181="",$E181="",$F181="",$G181=""),AND($G181="À migrer",OR($H181="",$I181="",$O181="",$U181="",$V181="",$W181="")),AND($G181="Migré",OR($O181="")),AND($G181="À décommissionner",OR($I181="",$W181=""))),"Données manquantes (selon l’action)",IF(AND($G181&lt;&gt;"Migré",$G181&lt;&gt;"À migrer",$G181&lt;&gt;"À décommissionner",$G181&lt;&gt;"Décommissionné"),"Action invalide",IF(COUNTIF(TblDomaines[Domaine],$A181)=0,"Domaine inconnu (référentiel)",IF(COUNTIFS(TblTribes[Tribe],$B181,TblTribes[Domaine de la tribe],$A181)=0,"Tribe inconnue ou hors domaine",IF(AND($G181="À migrer",$H181&lt;&gt;"Oui",$H181&lt;&gt;"Non"),"Valeur Oui/Non invalide (Déjà incluse ROKS)",IF(AND($E181&lt;&gt;"PRD",$E181&lt;&gt;"NPRD"),"Environnement invalide",IF(COUNTIFS(TblApplications[ID],$C181,TblApplications[Environnement],$E181,TblApplications[Couloir],$F181)&gt;1,"Déploiement en doublon (ID + env + couloir)",IF(AND(OR(OR($G181="À migrer",$G181="Migré"),OR($G181="À migrer",$G181="À décommissionner")),N($P181)&lt;=0),"Conso Dynatrace absente (onglet Dynatrace)",IF(OR(AND($P181&lt;&gt;"",NOT(ISNUMBER($P181))),AND($Q181&lt;&gt;"",NOT(ISNUMBER($Q181)))),"Ressource non numérique",IF(MIN(N($P181),N($Q181))&lt;0,"Ressource négative",IF(OR(AND($AH181&lt;&gt;"",OR(NOT(ISNUMBER($AH181)),$AH181&lt;0,$AH181&gt;1)),AND($AI181&lt;&gt;"",OR(NOT(ISNUMBER($AI181)),$AI181&lt;0,$AI181&gt;1))),"Marge spécifique invalide (0–100 %)",IF(OR(AND($U181&lt;&gt;"",NOT(ISNUMBER($U181))),AND($V181&lt;&gt;"",NOT(ISNUMBER($V181))),AND($W181&lt;&gt;"",NOT(ISNUMBER($W181)))),"Mois invalide",IF(AND(OR($G181="À migrer",$G181="À décommissionner"),COUNTIFS(TblClusters[Cluster],$I181,TblClusters[Plateforme],"IKS")=0),"Cluster IKS inconnu",IF(AND(OR($G181="À migrer",$G181="Migré"),COUNTIFS(TblClusters[Cluster],$O181,TblClusters[Plateforme],"ROKS")=0),"Cluster ROKS inconnu",IF(AND(OR($G181="À migrer",$G181="À décommissionner"),COUNTIFS(TblClusters[Cluster],$I181,TblClusters[Environnement],$E181)=0),"Environnement ≠ cluster IKS",IF(AND(OR($G181="À migrer",$G181="Migré"),COUNTIFS(TblClusters[Cluster],$O181,TblClusters[Environnement],$E181)=0),"Environnement ≠ cluster ROKS",IF(AND($G181="À migrer",OR($U181&gt;$V181,$V181&gt;$W181)),"Dates incohérentes (prov ≤ bascule ≤ libération)",IF(AND(OR($G181="À migrer",$G181="À décommissionner"),OR(N($AO181)&gt;SUMIFS(TblClusters[CPU initial (vCPU)],TblClusters[Cluster],$I181),N($AP181)&gt;SUMIFS(TblClusters[RAM initiale (Go)],TblClusters[Cluster],$I181))),"Forçage &gt; capacité du cluster source",IF(OR(AND($AA181&lt;&gt;"",$AA181&lt;p_debut),AND($AB181&lt;&gt;"",$AB181&gt;p_fin)),"Hors horizon (info)",IF(AND($G181="À migrer",$E181="PRD",COUNTIFS(TblApplications[ID],$C181,TblApplications[Environnement],"NPRD",TblApplications[Action],"À migrer")&gt;0,$AA181&lt;_xlfn.MINIFS(TblApplications[Mois prov (calc)],TblApplications[ID],$C181,TblApplications[Environnement],"NPRD")),"PRD avant NPRD (info)","OK")))))))))))))))))))))</f>
        <v/>
      </c>
      <c r="AH181" s="62"/>
      <c r="AI181" s="62"/>
      <c r="AJ181" s="27" t="str">
        <f>IF(OR($C181="",NOT(OR($G181="À migrer",$G181="À décommissionner")),NOT(ISNUMBER($S181)),NOT(ISNUMBER($T181)),$AB181=""),"",($S181+p_poidsram*$T181)*SUMIFS(TblCalculs[Coût par unité],TblCalculs[Cluster],$I181,TblCalculs[Mois],"&lt;"&amp;$AB181))</f>
        <v/>
      </c>
      <c r="AK181" s="27" t="str">
        <f>IF($C181="","",IF(AND($G181="À migrer",$H181="Non",$Y181&lt;&gt;"",$AA181&lt;&gt;""),($Y181+p_poidsram*$Z181)*SUMIFS(TblCalculs[Coût par unité],TblCalculs[Cluster],$O181,TblCalculs[Mois],"&gt;="&amp;$AA181),IF(AND($G181="Migré",$Y181&lt;&gt;""),($Y181+p_poidsram*$Z181)*SUMIFS(TblCalculs[Coût par unité],TblCalculs[Cluster],$O181),"")))</f>
        <v/>
      </c>
      <c r="AL181" s="27" t="str">
        <f t="shared" si="22"/>
        <v/>
      </c>
      <c r="AM181" s="26" t="str">
        <f t="shared" si="23"/>
        <v/>
      </c>
      <c r="AN181" s="26" t="str">
        <f>IF(OR($C181="",$AM181&lt;&gt;1,COUNTIFS($E181,ex_envc,$A181,ex_domc,$B181,ex_tric)=0),"",COUNTIFS($AM$6:$AM181,1,$E$6:$E181,ex_envc,$A$6:$A181,ex_domc,$B$6:$B181,ex_tric))</f>
        <v/>
      </c>
      <c r="AO181" s="63"/>
      <c r="AP181" s="63"/>
      <c r="AQ181" s="63"/>
      <c r="AR181" s="63"/>
    </row>
    <row r="182" spans="1:44" x14ac:dyDescent="0.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26" t="str">
        <f t="shared" si="16"/>
        <v/>
      </c>
      <c r="O182" s="59"/>
      <c r="P182" s="60" t="str">
        <f>IF($C182="","",IF($AQ182&lt;&gt;"",$AQ182,SUMIFS(TblDynatrace[CPU P95 (vCPU)],TblDynatrace[ID],$C182,TblDynatrace[Environnement],$E182,TblDynatrace[Couloir],$F182)))</f>
        <v/>
      </c>
      <c r="Q182" s="60" t="str">
        <f>IF($C182="","",IF($AR182&lt;&gt;"",$AR182,SUMIFS(TblDynatrace[RAM P95 (Go)],TblDynatrace[ID],$C182,TblDynatrace[Environnement],$E182,TblDynatrace[Couloir],$F182)))</f>
        <v/>
      </c>
      <c r="R182" s="26" t="str">
        <f>IF($C182="","",IFERROR(INDEX(TblDynatrace[Métrique / période],MATCH($C182&amp;"|"&amp;$E182&amp;"|"&amp;$F182,TblDynatrace[Clé],0)),""))</f>
        <v/>
      </c>
      <c r="S182" s="60" t="str">
        <f>IF(OR($C182="",NOT(OR($G182="À migrer",$G182="À décommissionner")),$I182="",NOT(ISNUMBER($P182))),"",IF($AO182&lt;&gt;"",$AO182,IFERROR(SUMIFS(TblClusters[CPU initial (vCPU)],TblClusters[Cluster],$I182)*$P182/(SUMIFS(TblApplications[CPU Dynatrace (vCPU)],TblApplications[Cluster IKS source],$I182,TblApplications[Action],"À migrer")+SUMIFS(TblApplications[CPU Dynatrace (vCPU)],TblApplications[Cluster IKS source],$I182,TblApplications[Action],"À décommissionner")),0)))</f>
        <v/>
      </c>
      <c r="T182" s="60" t="str">
        <f>IF(OR($C182="",NOT(OR($G182="À migrer",$G182="À décommissionner")),$I182="",NOT(ISNUMBER($Q182))),"",IF($AP182&lt;&gt;"",$AP182,IFERROR(SUMIFS(TblClusters[RAM initiale (Go)],TblClusters[Cluster],$I182)*$Q182/(SUMIFS(TblApplications[RAM Dynatrace (Go)],TblApplications[Cluster IKS source],$I182,TblApplications[Action],"À migrer")+SUMIFS(TblApplications[RAM Dynatrace (Go)],TblApplications[Cluster IKS source],$I182,TblApplications[Action],"À décommissionner")),0)))</f>
        <v/>
      </c>
      <c r="U182" s="61"/>
      <c r="V182" s="61"/>
      <c r="W182" s="61"/>
      <c r="X182" s="59"/>
      <c r="Y182" s="26" t="str">
        <f t="shared" si="17"/>
        <v/>
      </c>
      <c r="Z182" s="26" t="str">
        <f t="shared" si="18"/>
        <v/>
      </c>
      <c r="AA182" s="33" t="str">
        <f t="shared" si="19"/>
        <v/>
      </c>
      <c r="AB182" s="33" t="str">
        <f t="shared" si="20"/>
        <v/>
      </c>
      <c r="AC182" s="26" t="str">
        <f t="shared" si="21"/>
        <v/>
      </c>
      <c r="AD182" s="26" t="str">
        <f>IF($C182="","",COUNTIF(TblApplications[ID],$C182))</f>
        <v/>
      </c>
      <c r="AE182" s="33" t="str">
        <f>IF($C182="","",IFERROR(1/(1/_xlfn.MINIFS(TblApplications[Mois prov (calc)],TblApplications[ID],$C182)),""))</f>
        <v/>
      </c>
      <c r="AF182" s="33" t="str">
        <f>IF($C182="","",IFERROR(1/(1/_xlfn.MAXIFS(TblApplications[Mois lib (calc)],TblApplications[ID],$C182)),""))</f>
        <v/>
      </c>
      <c r="AG182" s="26" t="str">
        <f>IF($C182="","",IF(OR(OR($A182="",$B182="",$D182="",$E182="",$F182="",$G182=""),AND($G182="À migrer",OR($H182="",$I182="",$O182="",$U182="",$V182="",$W182="")),AND($G182="Migré",OR($O182="")),AND($G182="À décommissionner",OR($I182="",$W182=""))),"Données manquantes (selon l’action)",IF(AND($G182&lt;&gt;"Migré",$G182&lt;&gt;"À migrer",$G182&lt;&gt;"À décommissionner",$G182&lt;&gt;"Décommissionné"),"Action invalide",IF(COUNTIF(TblDomaines[Domaine],$A182)=0,"Domaine inconnu (référentiel)",IF(COUNTIFS(TblTribes[Tribe],$B182,TblTribes[Domaine de la tribe],$A182)=0,"Tribe inconnue ou hors domaine",IF(AND($G182="À migrer",$H182&lt;&gt;"Oui",$H182&lt;&gt;"Non"),"Valeur Oui/Non invalide (Déjà incluse ROKS)",IF(AND($E182&lt;&gt;"PRD",$E182&lt;&gt;"NPRD"),"Environnement invalide",IF(COUNTIFS(TblApplications[ID],$C182,TblApplications[Environnement],$E182,TblApplications[Couloir],$F182)&gt;1,"Déploiement en doublon (ID + env + couloir)",IF(AND(OR(OR($G182="À migrer",$G182="Migré"),OR($G182="À migrer",$G182="À décommissionner")),N($P182)&lt;=0),"Conso Dynatrace absente (onglet Dynatrace)",IF(OR(AND($P182&lt;&gt;"",NOT(ISNUMBER($P182))),AND($Q182&lt;&gt;"",NOT(ISNUMBER($Q182)))),"Ressource non numérique",IF(MIN(N($P182),N($Q182))&lt;0,"Ressource négative",IF(OR(AND($AH182&lt;&gt;"",OR(NOT(ISNUMBER($AH182)),$AH182&lt;0,$AH182&gt;1)),AND($AI182&lt;&gt;"",OR(NOT(ISNUMBER($AI182)),$AI182&lt;0,$AI182&gt;1))),"Marge spécifique invalide (0–100 %)",IF(OR(AND($U182&lt;&gt;"",NOT(ISNUMBER($U182))),AND($V182&lt;&gt;"",NOT(ISNUMBER($V182))),AND($W182&lt;&gt;"",NOT(ISNUMBER($W182)))),"Mois invalide",IF(AND(OR($G182="À migrer",$G182="À décommissionner"),COUNTIFS(TblClusters[Cluster],$I182,TblClusters[Plateforme],"IKS")=0),"Cluster IKS inconnu",IF(AND(OR($G182="À migrer",$G182="Migré"),COUNTIFS(TblClusters[Cluster],$O182,TblClusters[Plateforme],"ROKS")=0),"Cluster ROKS inconnu",IF(AND(OR($G182="À migrer",$G182="À décommissionner"),COUNTIFS(TblClusters[Cluster],$I182,TblClusters[Environnement],$E182)=0),"Environnement ≠ cluster IKS",IF(AND(OR($G182="À migrer",$G182="Migré"),COUNTIFS(TblClusters[Cluster],$O182,TblClusters[Environnement],$E182)=0),"Environnement ≠ cluster ROKS",IF(AND($G182="À migrer",OR($U182&gt;$V182,$V182&gt;$W182)),"Dates incohérentes (prov ≤ bascule ≤ libération)",IF(AND(OR($G182="À migrer",$G182="À décommissionner"),OR(N($AO182)&gt;SUMIFS(TblClusters[CPU initial (vCPU)],TblClusters[Cluster],$I182),N($AP182)&gt;SUMIFS(TblClusters[RAM initiale (Go)],TblClusters[Cluster],$I182))),"Forçage &gt; capacité du cluster source",IF(OR(AND($AA182&lt;&gt;"",$AA182&lt;p_debut),AND($AB182&lt;&gt;"",$AB182&gt;p_fin)),"Hors horizon (info)",IF(AND($G182="À migrer",$E182="PRD",COUNTIFS(TblApplications[ID],$C182,TblApplications[Environnement],"NPRD",TblApplications[Action],"À migrer")&gt;0,$AA182&lt;_xlfn.MINIFS(TblApplications[Mois prov (calc)],TblApplications[ID],$C182,TblApplications[Environnement],"NPRD")),"PRD avant NPRD (info)","OK")))))))))))))))))))))</f>
        <v/>
      </c>
      <c r="AH182" s="62"/>
      <c r="AI182" s="62"/>
      <c r="AJ182" s="27" t="str">
        <f>IF(OR($C182="",NOT(OR($G182="À migrer",$G182="À décommissionner")),NOT(ISNUMBER($S182)),NOT(ISNUMBER($T182)),$AB182=""),"",($S182+p_poidsram*$T182)*SUMIFS(TblCalculs[Coût par unité],TblCalculs[Cluster],$I182,TblCalculs[Mois],"&lt;"&amp;$AB182))</f>
        <v/>
      </c>
      <c r="AK182" s="27" t="str">
        <f>IF($C182="","",IF(AND($G182="À migrer",$H182="Non",$Y182&lt;&gt;"",$AA182&lt;&gt;""),($Y182+p_poidsram*$Z182)*SUMIFS(TblCalculs[Coût par unité],TblCalculs[Cluster],$O182,TblCalculs[Mois],"&gt;="&amp;$AA182),IF(AND($G182="Migré",$Y182&lt;&gt;""),($Y182+p_poidsram*$Z182)*SUMIFS(TblCalculs[Coût par unité],TblCalculs[Cluster],$O182),"")))</f>
        <v/>
      </c>
      <c r="AL182" s="27" t="str">
        <f t="shared" si="22"/>
        <v/>
      </c>
      <c r="AM182" s="26" t="str">
        <f t="shared" si="23"/>
        <v/>
      </c>
      <c r="AN182" s="26" t="str">
        <f>IF(OR($C182="",$AM182&lt;&gt;1,COUNTIFS($E182,ex_envc,$A182,ex_domc,$B182,ex_tric)=0),"",COUNTIFS($AM$6:$AM182,1,$E$6:$E182,ex_envc,$A$6:$A182,ex_domc,$B$6:$B182,ex_tric))</f>
        <v/>
      </c>
      <c r="AO182" s="63"/>
      <c r="AP182" s="63"/>
      <c r="AQ182" s="63"/>
      <c r="AR182" s="63"/>
    </row>
    <row r="183" spans="1:44" x14ac:dyDescent="0.2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26" t="str">
        <f t="shared" si="16"/>
        <v/>
      </c>
      <c r="O183" s="59"/>
      <c r="P183" s="60" t="str">
        <f>IF($C183="","",IF($AQ183&lt;&gt;"",$AQ183,SUMIFS(TblDynatrace[CPU P95 (vCPU)],TblDynatrace[ID],$C183,TblDynatrace[Environnement],$E183,TblDynatrace[Couloir],$F183)))</f>
        <v/>
      </c>
      <c r="Q183" s="60" t="str">
        <f>IF($C183="","",IF($AR183&lt;&gt;"",$AR183,SUMIFS(TblDynatrace[RAM P95 (Go)],TblDynatrace[ID],$C183,TblDynatrace[Environnement],$E183,TblDynatrace[Couloir],$F183)))</f>
        <v/>
      </c>
      <c r="R183" s="26" t="str">
        <f>IF($C183="","",IFERROR(INDEX(TblDynatrace[Métrique / période],MATCH($C183&amp;"|"&amp;$E183&amp;"|"&amp;$F183,TblDynatrace[Clé],0)),""))</f>
        <v/>
      </c>
      <c r="S183" s="60" t="str">
        <f>IF(OR($C183="",NOT(OR($G183="À migrer",$G183="À décommissionner")),$I183="",NOT(ISNUMBER($P183))),"",IF($AO183&lt;&gt;"",$AO183,IFERROR(SUMIFS(TblClusters[CPU initial (vCPU)],TblClusters[Cluster],$I183)*$P183/(SUMIFS(TblApplications[CPU Dynatrace (vCPU)],TblApplications[Cluster IKS source],$I183,TblApplications[Action],"À migrer")+SUMIFS(TblApplications[CPU Dynatrace (vCPU)],TblApplications[Cluster IKS source],$I183,TblApplications[Action],"À décommissionner")),0)))</f>
        <v/>
      </c>
      <c r="T183" s="60" t="str">
        <f>IF(OR($C183="",NOT(OR($G183="À migrer",$G183="À décommissionner")),$I183="",NOT(ISNUMBER($Q183))),"",IF($AP183&lt;&gt;"",$AP183,IFERROR(SUMIFS(TblClusters[RAM initiale (Go)],TblClusters[Cluster],$I183)*$Q183/(SUMIFS(TblApplications[RAM Dynatrace (Go)],TblApplications[Cluster IKS source],$I183,TblApplications[Action],"À migrer")+SUMIFS(TblApplications[RAM Dynatrace (Go)],TblApplications[Cluster IKS source],$I183,TblApplications[Action],"À décommissionner")),0)))</f>
        <v/>
      </c>
      <c r="U183" s="61"/>
      <c r="V183" s="61"/>
      <c r="W183" s="61"/>
      <c r="X183" s="59"/>
      <c r="Y183" s="26" t="str">
        <f t="shared" si="17"/>
        <v/>
      </c>
      <c r="Z183" s="26" t="str">
        <f t="shared" si="18"/>
        <v/>
      </c>
      <c r="AA183" s="33" t="str">
        <f t="shared" si="19"/>
        <v/>
      </c>
      <c r="AB183" s="33" t="str">
        <f t="shared" si="20"/>
        <v/>
      </c>
      <c r="AC183" s="26" t="str">
        <f t="shared" si="21"/>
        <v/>
      </c>
      <c r="AD183" s="26" t="str">
        <f>IF($C183="","",COUNTIF(TblApplications[ID],$C183))</f>
        <v/>
      </c>
      <c r="AE183" s="33" t="str">
        <f>IF($C183="","",IFERROR(1/(1/_xlfn.MINIFS(TblApplications[Mois prov (calc)],TblApplications[ID],$C183)),""))</f>
        <v/>
      </c>
      <c r="AF183" s="33" t="str">
        <f>IF($C183="","",IFERROR(1/(1/_xlfn.MAXIFS(TblApplications[Mois lib (calc)],TblApplications[ID],$C183)),""))</f>
        <v/>
      </c>
      <c r="AG183" s="26" t="str">
        <f>IF($C183="","",IF(OR(OR($A183="",$B183="",$D183="",$E183="",$F183="",$G183=""),AND($G183="À migrer",OR($H183="",$I183="",$O183="",$U183="",$V183="",$W183="")),AND($G183="Migré",OR($O183="")),AND($G183="À décommissionner",OR($I183="",$W183=""))),"Données manquantes (selon l’action)",IF(AND($G183&lt;&gt;"Migré",$G183&lt;&gt;"À migrer",$G183&lt;&gt;"À décommissionner",$G183&lt;&gt;"Décommissionné"),"Action invalide",IF(COUNTIF(TblDomaines[Domaine],$A183)=0,"Domaine inconnu (référentiel)",IF(COUNTIFS(TblTribes[Tribe],$B183,TblTribes[Domaine de la tribe],$A183)=0,"Tribe inconnue ou hors domaine",IF(AND($G183="À migrer",$H183&lt;&gt;"Oui",$H183&lt;&gt;"Non"),"Valeur Oui/Non invalide (Déjà incluse ROKS)",IF(AND($E183&lt;&gt;"PRD",$E183&lt;&gt;"NPRD"),"Environnement invalide",IF(COUNTIFS(TblApplications[ID],$C183,TblApplications[Environnement],$E183,TblApplications[Couloir],$F183)&gt;1,"Déploiement en doublon (ID + env + couloir)",IF(AND(OR(OR($G183="À migrer",$G183="Migré"),OR($G183="À migrer",$G183="À décommissionner")),N($P183)&lt;=0),"Conso Dynatrace absente (onglet Dynatrace)",IF(OR(AND($P183&lt;&gt;"",NOT(ISNUMBER($P183))),AND($Q183&lt;&gt;"",NOT(ISNUMBER($Q183)))),"Ressource non numérique",IF(MIN(N($P183),N($Q183))&lt;0,"Ressource négative",IF(OR(AND($AH183&lt;&gt;"",OR(NOT(ISNUMBER($AH183)),$AH183&lt;0,$AH183&gt;1)),AND($AI183&lt;&gt;"",OR(NOT(ISNUMBER($AI183)),$AI183&lt;0,$AI183&gt;1))),"Marge spécifique invalide (0–100 %)",IF(OR(AND($U183&lt;&gt;"",NOT(ISNUMBER($U183))),AND($V183&lt;&gt;"",NOT(ISNUMBER($V183))),AND($W183&lt;&gt;"",NOT(ISNUMBER($W183)))),"Mois invalide",IF(AND(OR($G183="À migrer",$G183="À décommissionner"),COUNTIFS(TblClusters[Cluster],$I183,TblClusters[Plateforme],"IKS")=0),"Cluster IKS inconnu",IF(AND(OR($G183="À migrer",$G183="Migré"),COUNTIFS(TblClusters[Cluster],$O183,TblClusters[Plateforme],"ROKS")=0),"Cluster ROKS inconnu",IF(AND(OR($G183="À migrer",$G183="À décommissionner"),COUNTIFS(TblClusters[Cluster],$I183,TblClusters[Environnement],$E183)=0),"Environnement ≠ cluster IKS",IF(AND(OR($G183="À migrer",$G183="Migré"),COUNTIFS(TblClusters[Cluster],$O183,TblClusters[Environnement],$E183)=0),"Environnement ≠ cluster ROKS",IF(AND($G183="À migrer",OR($U183&gt;$V183,$V183&gt;$W183)),"Dates incohérentes (prov ≤ bascule ≤ libération)",IF(AND(OR($G183="À migrer",$G183="À décommissionner"),OR(N($AO183)&gt;SUMIFS(TblClusters[CPU initial (vCPU)],TblClusters[Cluster],$I183),N($AP183)&gt;SUMIFS(TblClusters[RAM initiale (Go)],TblClusters[Cluster],$I183))),"Forçage &gt; capacité du cluster source",IF(OR(AND($AA183&lt;&gt;"",$AA183&lt;p_debut),AND($AB183&lt;&gt;"",$AB183&gt;p_fin)),"Hors horizon (info)",IF(AND($G183="À migrer",$E183="PRD",COUNTIFS(TblApplications[ID],$C183,TblApplications[Environnement],"NPRD",TblApplications[Action],"À migrer")&gt;0,$AA183&lt;_xlfn.MINIFS(TblApplications[Mois prov (calc)],TblApplications[ID],$C183,TblApplications[Environnement],"NPRD")),"PRD avant NPRD (info)","OK")))))))))))))))))))))</f>
        <v/>
      </c>
      <c r="AH183" s="62"/>
      <c r="AI183" s="62"/>
      <c r="AJ183" s="27" t="str">
        <f>IF(OR($C183="",NOT(OR($G183="À migrer",$G183="À décommissionner")),NOT(ISNUMBER($S183)),NOT(ISNUMBER($T183)),$AB183=""),"",($S183+p_poidsram*$T183)*SUMIFS(TblCalculs[Coût par unité],TblCalculs[Cluster],$I183,TblCalculs[Mois],"&lt;"&amp;$AB183))</f>
        <v/>
      </c>
      <c r="AK183" s="27" t="str">
        <f>IF($C183="","",IF(AND($G183="À migrer",$H183="Non",$Y183&lt;&gt;"",$AA183&lt;&gt;""),($Y183+p_poidsram*$Z183)*SUMIFS(TblCalculs[Coût par unité],TblCalculs[Cluster],$O183,TblCalculs[Mois],"&gt;="&amp;$AA183),IF(AND($G183="Migré",$Y183&lt;&gt;""),($Y183+p_poidsram*$Z183)*SUMIFS(TblCalculs[Coût par unité],TblCalculs[Cluster],$O183),"")))</f>
        <v/>
      </c>
      <c r="AL183" s="27" t="str">
        <f t="shared" si="22"/>
        <v/>
      </c>
      <c r="AM183" s="26" t="str">
        <f t="shared" si="23"/>
        <v/>
      </c>
      <c r="AN183" s="26" t="str">
        <f>IF(OR($C183="",$AM183&lt;&gt;1,COUNTIFS($E183,ex_envc,$A183,ex_domc,$B183,ex_tric)=0),"",COUNTIFS($AM$6:$AM183,1,$E$6:$E183,ex_envc,$A$6:$A183,ex_domc,$B$6:$B183,ex_tric))</f>
        <v/>
      </c>
      <c r="AO183" s="63"/>
      <c r="AP183" s="63"/>
      <c r="AQ183" s="63"/>
      <c r="AR183" s="63"/>
    </row>
    <row r="184" spans="1:44" x14ac:dyDescent="0.2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26" t="str">
        <f t="shared" si="16"/>
        <v/>
      </c>
      <c r="O184" s="59"/>
      <c r="P184" s="60" t="str">
        <f>IF($C184="","",IF($AQ184&lt;&gt;"",$AQ184,SUMIFS(TblDynatrace[CPU P95 (vCPU)],TblDynatrace[ID],$C184,TblDynatrace[Environnement],$E184,TblDynatrace[Couloir],$F184)))</f>
        <v/>
      </c>
      <c r="Q184" s="60" t="str">
        <f>IF($C184="","",IF($AR184&lt;&gt;"",$AR184,SUMIFS(TblDynatrace[RAM P95 (Go)],TblDynatrace[ID],$C184,TblDynatrace[Environnement],$E184,TblDynatrace[Couloir],$F184)))</f>
        <v/>
      </c>
      <c r="R184" s="26" t="str">
        <f>IF($C184="","",IFERROR(INDEX(TblDynatrace[Métrique / période],MATCH($C184&amp;"|"&amp;$E184&amp;"|"&amp;$F184,TblDynatrace[Clé],0)),""))</f>
        <v/>
      </c>
      <c r="S184" s="60" t="str">
        <f>IF(OR($C184="",NOT(OR($G184="À migrer",$G184="À décommissionner")),$I184="",NOT(ISNUMBER($P184))),"",IF($AO184&lt;&gt;"",$AO184,IFERROR(SUMIFS(TblClusters[CPU initial (vCPU)],TblClusters[Cluster],$I184)*$P184/(SUMIFS(TblApplications[CPU Dynatrace (vCPU)],TblApplications[Cluster IKS source],$I184,TblApplications[Action],"À migrer")+SUMIFS(TblApplications[CPU Dynatrace (vCPU)],TblApplications[Cluster IKS source],$I184,TblApplications[Action],"À décommissionner")),0)))</f>
        <v/>
      </c>
      <c r="T184" s="60" t="str">
        <f>IF(OR($C184="",NOT(OR($G184="À migrer",$G184="À décommissionner")),$I184="",NOT(ISNUMBER($Q184))),"",IF($AP184&lt;&gt;"",$AP184,IFERROR(SUMIFS(TblClusters[RAM initiale (Go)],TblClusters[Cluster],$I184)*$Q184/(SUMIFS(TblApplications[RAM Dynatrace (Go)],TblApplications[Cluster IKS source],$I184,TblApplications[Action],"À migrer")+SUMIFS(TblApplications[RAM Dynatrace (Go)],TblApplications[Cluster IKS source],$I184,TblApplications[Action],"À décommissionner")),0)))</f>
        <v/>
      </c>
      <c r="U184" s="61"/>
      <c r="V184" s="61"/>
      <c r="W184" s="61"/>
      <c r="X184" s="59"/>
      <c r="Y184" s="26" t="str">
        <f t="shared" si="17"/>
        <v/>
      </c>
      <c r="Z184" s="26" t="str">
        <f t="shared" si="18"/>
        <v/>
      </c>
      <c r="AA184" s="33" t="str">
        <f t="shared" si="19"/>
        <v/>
      </c>
      <c r="AB184" s="33" t="str">
        <f t="shared" si="20"/>
        <v/>
      </c>
      <c r="AC184" s="26" t="str">
        <f t="shared" si="21"/>
        <v/>
      </c>
      <c r="AD184" s="26" t="str">
        <f>IF($C184="","",COUNTIF(TblApplications[ID],$C184))</f>
        <v/>
      </c>
      <c r="AE184" s="33" t="str">
        <f>IF($C184="","",IFERROR(1/(1/_xlfn.MINIFS(TblApplications[Mois prov (calc)],TblApplications[ID],$C184)),""))</f>
        <v/>
      </c>
      <c r="AF184" s="33" t="str">
        <f>IF($C184="","",IFERROR(1/(1/_xlfn.MAXIFS(TblApplications[Mois lib (calc)],TblApplications[ID],$C184)),""))</f>
        <v/>
      </c>
      <c r="AG184" s="26" t="str">
        <f>IF($C184="","",IF(OR(OR($A184="",$B184="",$D184="",$E184="",$F184="",$G184=""),AND($G184="À migrer",OR($H184="",$I184="",$O184="",$U184="",$V184="",$W184="")),AND($G184="Migré",OR($O184="")),AND($G184="À décommissionner",OR($I184="",$W184=""))),"Données manquantes (selon l’action)",IF(AND($G184&lt;&gt;"Migré",$G184&lt;&gt;"À migrer",$G184&lt;&gt;"À décommissionner",$G184&lt;&gt;"Décommissionné"),"Action invalide",IF(COUNTIF(TblDomaines[Domaine],$A184)=0,"Domaine inconnu (référentiel)",IF(COUNTIFS(TblTribes[Tribe],$B184,TblTribes[Domaine de la tribe],$A184)=0,"Tribe inconnue ou hors domaine",IF(AND($G184="À migrer",$H184&lt;&gt;"Oui",$H184&lt;&gt;"Non"),"Valeur Oui/Non invalide (Déjà incluse ROKS)",IF(AND($E184&lt;&gt;"PRD",$E184&lt;&gt;"NPRD"),"Environnement invalide",IF(COUNTIFS(TblApplications[ID],$C184,TblApplications[Environnement],$E184,TblApplications[Couloir],$F184)&gt;1,"Déploiement en doublon (ID + env + couloir)",IF(AND(OR(OR($G184="À migrer",$G184="Migré"),OR($G184="À migrer",$G184="À décommissionner")),N($P184)&lt;=0),"Conso Dynatrace absente (onglet Dynatrace)",IF(OR(AND($P184&lt;&gt;"",NOT(ISNUMBER($P184))),AND($Q184&lt;&gt;"",NOT(ISNUMBER($Q184)))),"Ressource non numérique",IF(MIN(N($P184),N($Q184))&lt;0,"Ressource négative",IF(OR(AND($AH184&lt;&gt;"",OR(NOT(ISNUMBER($AH184)),$AH184&lt;0,$AH184&gt;1)),AND($AI184&lt;&gt;"",OR(NOT(ISNUMBER($AI184)),$AI184&lt;0,$AI184&gt;1))),"Marge spécifique invalide (0–100 %)",IF(OR(AND($U184&lt;&gt;"",NOT(ISNUMBER($U184))),AND($V184&lt;&gt;"",NOT(ISNUMBER($V184))),AND($W184&lt;&gt;"",NOT(ISNUMBER($W184)))),"Mois invalide",IF(AND(OR($G184="À migrer",$G184="À décommissionner"),COUNTIFS(TblClusters[Cluster],$I184,TblClusters[Plateforme],"IKS")=0),"Cluster IKS inconnu",IF(AND(OR($G184="À migrer",$G184="Migré"),COUNTIFS(TblClusters[Cluster],$O184,TblClusters[Plateforme],"ROKS")=0),"Cluster ROKS inconnu",IF(AND(OR($G184="À migrer",$G184="À décommissionner"),COUNTIFS(TblClusters[Cluster],$I184,TblClusters[Environnement],$E184)=0),"Environnement ≠ cluster IKS",IF(AND(OR($G184="À migrer",$G184="Migré"),COUNTIFS(TblClusters[Cluster],$O184,TblClusters[Environnement],$E184)=0),"Environnement ≠ cluster ROKS",IF(AND($G184="À migrer",OR($U184&gt;$V184,$V184&gt;$W184)),"Dates incohérentes (prov ≤ bascule ≤ libération)",IF(AND(OR($G184="À migrer",$G184="À décommissionner"),OR(N($AO184)&gt;SUMIFS(TblClusters[CPU initial (vCPU)],TblClusters[Cluster],$I184),N($AP184)&gt;SUMIFS(TblClusters[RAM initiale (Go)],TblClusters[Cluster],$I184))),"Forçage &gt; capacité du cluster source",IF(OR(AND($AA184&lt;&gt;"",$AA184&lt;p_debut),AND($AB184&lt;&gt;"",$AB184&gt;p_fin)),"Hors horizon (info)",IF(AND($G184="À migrer",$E184="PRD",COUNTIFS(TblApplications[ID],$C184,TblApplications[Environnement],"NPRD",TblApplications[Action],"À migrer")&gt;0,$AA184&lt;_xlfn.MINIFS(TblApplications[Mois prov (calc)],TblApplications[ID],$C184,TblApplications[Environnement],"NPRD")),"PRD avant NPRD (info)","OK")))))))))))))))))))))</f>
        <v/>
      </c>
      <c r="AH184" s="62"/>
      <c r="AI184" s="62"/>
      <c r="AJ184" s="27" t="str">
        <f>IF(OR($C184="",NOT(OR($G184="À migrer",$G184="À décommissionner")),NOT(ISNUMBER($S184)),NOT(ISNUMBER($T184)),$AB184=""),"",($S184+p_poidsram*$T184)*SUMIFS(TblCalculs[Coût par unité],TblCalculs[Cluster],$I184,TblCalculs[Mois],"&lt;"&amp;$AB184))</f>
        <v/>
      </c>
      <c r="AK184" s="27" t="str">
        <f>IF($C184="","",IF(AND($G184="À migrer",$H184="Non",$Y184&lt;&gt;"",$AA184&lt;&gt;""),($Y184+p_poidsram*$Z184)*SUMIFS(TblCalculs[Coût par unité],TblCalculs[Cluster],$O184,TblCalculs[Mois],"&gt;="&amp;$AA184),IF(AND($G184="Migré",$Y184&lt;&gt;""),($Y184+p_poidsram*$Z184)*SUMIFS(TblCalculs[Coût par unité],TblCalculs[Cluster],$O184),"")))</f>
        <v/>
      </c>
      <c r="AL184" s="27" t="str">
        <f t="shared" si="22"/>
        <v/>
      </c>
      <c r="AM184" s="26" t="str">
        <f t="shared" si="23"/>
        <v/>
      </c>
      <c r="AN184" s="26" t="str">
        <f>IF(OR($C184="",$AM184&lt;&gt;1,COUNTIFS($E184,ex_envc,$A184,ex_domc,$B184,ex_tric)=0),"",COUNTIFS($AM$6:$AM184,1,$E$6:$E184,ex_envc,$A$6:$A184,ex_domc,$B$6:$B184,ex_tric))</f>
        <v/>
      </c>
      <c r="AO184" s="63"/>
      <c r="AP184" s="63"/>
      <c r="AQ184" s="63"/>
      <c r="AR184" s="63"/>
    </row>
    <row r="185" spans="1:44" x14ac:dyDescent="0.2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26" t="str">
        <f t="shared" si="16"/>
        <v/>
      </c>
      <c r="O185" s="59"/>
      <c r="P185" s="60" t="str">
        <f>IF($C185="","",IF($AQ185&lt;&gt;"",$AQ185,SUMIFS(TblDynatrace[CPU P95 (vCPU)],TblDynatrace[ID],$C185,TblDynatrace[Environnement],$E185,TblDynatrace[Couloir],$F185)))</f>
        <v/>
      </c>
      <c r="Q185" s="60" t="str">
        <f>IF($C185="","",IF($AR185&lt;&gt;"",$AR185,SUMIFS(TblDynatrace[RAM P95 (Go)],TblDynatrace[ID],$C185,TblDynatrace[Environnement],$E185,TblDynatrace[Couloir],$F185)))</f>
        <v/>
      </c>
      <c r="R185" s="26" t="str">
        <f>IF($C185="","",IFERROR(INDEX(TblDynatrace[Métrique / période],MATCH($C185&amp;"|"&amp;$E185&amp;"|"&amp;$F185,TblDynatrace[Clé],0)),""))</f>
        <v/>
      </c>
      <c r="S185" s="60" t="str">
        <f>IF(OR($C185="",NOT(OR($G185="À migrer",$G185="À décommissionner")),$I185="",NOT(ISNUMBER($P185))),"",IF($AO185&lt;&gt;"",$AO185,IFERROR(SUMIFS(TblClusters[CPU initial (vCPU)],TblClusters[Cluster],$I185)*$P185/(SUMIFS(TblApplications[CPU Dynatrace (vCPU)],TblApplications[Cluster IKS source],$I185,TblApplications[Action],"À migrer")+SUMIFS(TblApplications[CPU Dynatrace (vCPU)],TblApplications[Cluster IKS source],$I185,TblApplications[Action],"À décommissionner")),0)))</f>
        <v/>
      </c>
      <c r="T185" s="60" t="str">
        <f>IF(OR($C185="",NOT(OR($G185="À migrer",$G185="À décommissionner")),$I185="",NOT(ISNUMBER($Q185))),"",IF($AP185&lt;&gt;"",$AP185,IFERROR(SUMIFS(TblClusters[RAM initiale (Go)],TblClusters[Cluster],$I185)*$Q185/(SUMIFS(TblApplications[RAM Dynatrace (Go)],TblApplications[Cluster IKS source],$I185,TblApplications[Action],"À migrer")+SUMIFS(TblApplications[RAM Dynatrace (Go)],TblApplications[Cluster IKS source],$I185,TblApplications[Action],"À décommissionner")),0)))</f>
        <v/>
      </c>
      <c r="U185" s="61"/>
      <c r="V185" s="61"/>
      <c r="W185" s="61"/>
      <c r="X185" s="59"/>
      <c r="Y185" s="26" t="str">
        <f t="shared" si="17"/>
        <v/>
      </c>
      <c r="Z185" s="26" t="str">
        <f t="shared" si="18"/>
        <v/>
      </c>
      <c r="AA185" s="33" t="str">
        <f t="shared" si="19"/>
        <v/>
      </c>
      <c r="AB185" s="33" t="str">
        <f t="shared" si="20"/>
        <v/>
      </c>
      <c r="AC185" s="26" t="str">
        <f t="shared" si="21"/>
        <v/>
      </c>
      <c r="AD185" s="26" t="str">
        <f>IF($C185="","",COUNTIF(TblApplications[ID],$C185))</f>
        <v/>
      </c>
      <c r="AE185" s="33" t="str">
        <f>IF($C185="","",IFERROR(1/(1/_xlfn.MINIFS(TblApplications[Mois prov (calc)],TblApplications[ID],$C185)),""))</f>
        <v/>
      </c>
      <c r="AF185" s="33" t="str">
        <f>IF($C185="","",IFERROR(1/(1/_xlfn.MAXIFS(TblApplications[Mois lib (calc)],TblApplications[ID],$C185)),""))</f>
        <v/>
      </c>
      <c r="AG185" s="26" t="str">
        <f>IF($C185="","",IF(OR(OR($A185="",$B185="",$D185="",$E185="",$F185="",$G185=""),AND($G185="À migrer",OR($H185="",$I185="",$O185="",$U185="",$V185="",$W185="")),AND($G185="Migré",OR($O185="")),AND($G185="À décommissionner",OR($I185="",$W185=""))),"Données manquantes (selon l’action)",IF(AND($G185&lt;&gt;"Migré",$G185&lt;&gt;"À migrer",$G185&lt;&gt;"À décommissionner",$G185&lt;&gt;"Décommissionné"),"Action invalide",IF(COUNTIF(TblDomaines[Domaine],$A185)=0,"Domaine inconnu (référentiel)",IF(COUNTIFS(TblTribes[Tribe],$B185,TblTribes[Domaine de la tribe],$A185)=0,"Tribe inconnue ou hors domaine",IF(AND($G185="À migrer",$H185&lt;&gt;"Oui",$H185&lt;&gt;"Non"),"Valeur Oui/Non invalide (Déjà incluse ROKS)",IF(AND($E185&lt;&gt;"PRD",$E185&lt;&gt;"NPRD"),"Environnement invalide",IF(COUNTIFS(TblApplications[ID],$C185,TblApplications[Environnement],$E185,TblApplications[Couloir],$F185)&gt;1,"Déploiement en doublon (ID + env + couloir)",IF(AND(OR(OR($G185="À migrer",$G185="Migré"),OR($G185="À migrer",$G185="À décommissionner")),N($P185)&lt;=0),"Conso Dynatrace absente (onglet Dynatrace)",IF(OR(AND($P185&lt;&gt;"",NOT(ISNUMBER($P185))),AND($Q185&lt;&gt;"",NOT(ISNUMBER($Q185)))),"Ressource non numérique",IF(MIN(N($P185),N($Q185))&lt;0,"Ressource négative",IF(OR(AND($AH185&lt;&gt;"",OR(NOT(ISNUMBER($AH185)),$AH185&lt;0,$AH185&gt;1)),AND($AI185&lt;&gt;"",OR(NOT(ISNUMBER($AI185)),$AI185&lt;0,$AI185&gt;1))),"Marge spécifique invalide (0–100 %)",IF(OR(AND($U185&lt;&gt;"",NOT(ISNUMBER($U185))),AND($V185&lt;&gt;"",NOT(ISNUMBER($V185))),AND($W185&lt;&gt;"",NOT(ISNUMBER($W185)))),"Mois invalide",IF(AND(OR($G185="À migrer",$G185="À décommissionner"),COUNTIFS(TblClusters[Cluster],$I185,TblClusters[Plateforme],"IKS")=0),"Cluster IKS inconnu",IF(AND(OR($G185="À migrer",$G185="Migré"),COUNTIFS(TblClusters[Cluster],$O185,TblClusters[Plateforme],"ROKS")=0),"Cluster ROKS inconnu",IF(AND(OR($G185="À migrer",$G185="À décommissionner"),COUNTIFS(TblClusters[Cluster],$I185,TblClusters[Environnement],$E185)=0),"Environnement ≠ cluster IKS",IF(AND(OR($G185="À migrer",$G185="Migré"),COUNTIFS(TblClusters[Cluster],$O185,TblClusters[Environnement],$E185)=0),"Environnement ≠ cluster ROKS",IF(AND($G185="À migrer",OR($U185&gt;$V185,$V185&gt;$W185)),"Dates incohérentes (prov ≤ bascule ≤ libération)",IF(AND(OR($G185="À migrer",$G185="À décommissionner"),OR(N($AO185)&gt;SUMIFS(TblClusters[CPU initial (vCPU)],TblClusters[Cluster],$I185),N($AP185)&gt;SUMIFS(TblClusters[RAM initiale (Go)],TblClusters[Cluster],$I185))),"Forçage &gt; capacité du cluster source",IF(OR(AND($AA185&lt;&gt;"",$AA185&lt;p_debut),AND($AB185&lt;&gt;"",$AB185&gt;p_fin)),"Hors horizon (info)",IF(AND($G185="À migrer",$E185="PRD",COUNTIFS(TblApplications[ID],$C185,TblApplications[Environnement],"NPRD",TblApplications[Action],"À migrer")&gt;0,$AA185&lt;_xlfn.MINIFS(TblApplications[Mois prov (calc)],TblApplications[ID],$C185,TblApplications[Environnement],"NPRD")),"PRD avant NPRD (info)","OK")))))))))))))))))))))</f>
        <v/>
      </c>
      <c r="AH185" s="62"/>
      <c r="AI185" s="62"/>
      <c r="AJ185" s="27" t="str">
        <f>IF(OR($C185="",NOT(OR($G185="À migrer",$G185="À décommissionner")),NOT(ISNUMBER($S185)),NOT(ISNUMBER($T185)),$AB185=""),"",($S185+p_poidsram*$T185)*SUMIFS(TblCalculs[Coût par unité],TblCalculs[Cluster],$I185,TblCalculs[Mois],"&lt;"&amp;$AB185))</f>
        <v/>
      </c>
      <c r="AK185" s="27" t="str">
        <f>IF($C185="","",IF(AND($G185="À migrer",$H185="Non",$Y185&lt;&gt;"",$AA185&lt;&gt;""),($Y185+p_poidsram*$Z185)*SUMIFS(TblCalculs[Coût par unité],TblCalculs[Cluster],$O185,TblCalculs[Mois],"&gt;="&amp;$AA185),IF(AND($G185="Migré",$Y185&lt;&gt;""),($Y185+p_poidsram*$Z185)*SUMIFS(TblCalculs[Coût par unité],TblCalculs[Cluster],$O185),"")))</f>
        <v/>
      </c>
      <c r="AL185" s="27" t="str">
        <f t="shared" si="22"/>
        <v/>
      </c>
      <c r="AM185" s="26" t="str">
        <f t="shared" si="23"/>
        <v/>
      </c>
      <c r="AN185" s="26" t="str">
        <f>IF(OR($C185="",$AM185&lt;&gt;1,COUNTIFS($E185,ex_envc,$A185,ex_domc,$B185,ex_tric)=0),"",COUNTIFS($AM$6:$AM185,1,$E$6:$E185,ex_envc,$A$6:$A185,ex_domc,$B$6:$B185,ex_tric))</f>
        <v/>
      </c>
      <c r="AO185" s="63"/>
      <c r="AP185" s="63"/>
      <c r="AQ185" s="63"/>
      <c r="AR185" s="63"/>
    </row>
    <row r="186" spans="1:44" x14ac:dyDescent="0.2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26" t="str">
        <f t="shared" si="16"/>
        <v/>
      </c>
      <c r="O186" s="59"/>
      <c r="P186" s="60" t="str">
        <f>IF($C186="","",IF($AQ186&lt;&gt;"",$AQ186,SUMIFS(TblDynatrace[CPU P95 (vCPU)],TblDynatrace[ID],$C186,TblDynatrace[Environnement],$E186,TblDynatrace[Couloir],$F186)))</f>
        <v/>
      </c>
      <c r="Q186" s="60" t="str">
        <f>IF($C186="","",IF($AR186&lt;&gt;"",$AR186,SUMIFS(TblDynatrace[RAM P95 (Go)],TblDynatrace[ID],$C186,TblDynatrace[Environnement],$E186,TblDynatrace[Couloir],$F186)))</f>
        <v/>
      </c>
      <c r="R186" s="26" t="str">
        <f>IF($C186="","",IFERROR(INDEX(TblDynatrace[Métrique / période],MATCH($C186&amp;"|"&amp;$E186&amp;"|"&amp;$F186,TblDynatrace[Clé],0)),""))</f>
        <v/>
      </c>
      <c r="S186" s="60" t="str">
        <f>IF(OR($C186="",NOT(OR($G186="À migrer",$G186="À décommissionner")),$I186="",NOT(ISNUMBER($P186))),"",IF($AO186&lt;&gt;"",$AO186,IFERROR(SUMIFS(TblClusters[CPU initial (vCPU)],TblClusters[Cluster],$I186)*$P186/(SUMIFS(TblApplications[CPU Dynatrace (vCPU)],TblApplications[Cluster IKS source],$I186,TblApplications[Action],"À migrer")+SUMIFS(TblApplications[CPU Dynatrace (vCPU)],TblApplications[Cluster IKS source],$I186,TblApplications[Action],"À décommissionner")),0)))</f>
        <v/>
      </c>
      <c r="T186" s="60" t="str">
        <f>IF(OR($C186="",NOT(OR($G186="À migrer",$G186="À décommissionner")),$I186="",NOT(ISNUMBER($Q186))),"",IF($AP186&lt;&gt;"",$AP186,IFERROR(SUMIFS(TblClusters[RAM initiale (Go)],TblClusters[Cluster],$I186)*$Q186/(SUMIFS(TblApplications[RAM Dynatrace (Go)],TblApplications[Cluster IKS source],$I186,TblApplications[Action],"À migrer")+SUMIFS(TblApplications[RAM Dynatrace (Go)],TblApplications[Cluster IKS source],$I186,TblApplications[Action],"À décommissionner")),0)))</f>
        <v/>
      </c>
      <c r="U186" s="61"/>
      <c r="V186" s="61"/>
      <c r="W186" s="61"/>
      <c r="X186" s="59"/>
      <c r="Y186" s="26" t="str">
        <f t="shared" si="17"/>
        <v/>
      </c>
      <c r="Z186" s="26" t="str">
        <f t="shared" si="18"/>
        <v/>
      </c>
      <c r="AA186" s="33" t="str">
        <f t="shared" si="19"/>
        <v/>
      </c>
      <c r="AB186" s="33" t="str">
        <f t="shared" si="20"/>
        <v/>
      </c>
      <c r="AC186" s="26" t="str">
        <f t="shared" si="21"/>
        <v/>
      </c>
      <c r="AD186" s="26" t="str">
        <f>IF($C186="","",COUNTIF(TblApplications[ID],$C186))</f>
        <v/>
      </c>
      <c r="AE186" s="33" t="str">
        <f>IF($C186="","",IFERROR(1/(1/_xlfn.MINIFS(TblApplications[Mois prov (calc)],TblApplications[ID],$C186)),""))</f>
        <v/>
      </c>
      <c r="AF186" s="33" t="str">
        <f>IF($C186="","",IFERROR(1/(1/_xlfn.MAXIFS(TblApplications[Mois lib (calc)],TblApplications[ID],$C186)),""))</f>
        <v/>
      </c>
      <c r="AG186" s="26" t="str">
        <f>IF($C186="","",IF(OR(OR($A186="",$B186="",$D186="",$E186="",$F186="",$G186=""),AND($G186="À migrer",OR($H186="",$I186="",$O186="",$U186="",$V186="",$W186="")),AND($G186="Migré",OR($O186="")),AND($G186="À décommissionner",OR($I186="",$W186=""))),"Données manquantes (selon l’action)",IF(AND($G186&lt;&gt;"Migré",$G186&lt;&gt;"À migrer",$G186&lt;&gt;"À décommissionner",$G186&lt;&gt;"Décommissionné"),"Action invalide",IF(COUNTIF(TblDomaines[Domaine],$A186)=0,"Domaine inconnu (référentiel)",IF(COUNTIFS(TblTribes[Tribe],$B186,TblTribes[Domaine de la tribe],$A186)=0,"Tribe inconnue ou hors domaine",IF(AND($G186="À migrer",$H186&lt;&gt;"Oui",$H186&lt;&gt;"Non"),"Valeur Oui/Non invalide (Déjà incluse ROKS)",IF(AND($E186&lt;&gt;"PRD",$E186&lt;&gt;"NPRD"),"Environnement invalide",IF(COUNTIFS(TblApplications[ID],$C186,TblApplications[Environnement],$E186,TblApplications[Couloir],$F186)&gt;1,"Déploiement en doublon (ID + env + couloir)",IF(AND(OR(OR($G186="À migrer",$G186="Migré"),OR($G186="À migrer",$G186="À décommissionner")),N($P186)&lt;=0),"Conso Dynatrace absente (onglet Dynatrace)",IF(OR(AND($P186&lt;&gt;"",NOT(ISNUMBER($P186))),AND($Q186&lt;&gt;"",NOT(ISNUMBER($Q186)))),"Ressource non numérique",IF(MIN(N($P186),N($Q186))&lt;0,"Ressource négative",IF(OR(AND($AH186&lt;&gt;"",OR(NOT(ISNUMBER($AH186)),$AH186&lt;0,$AH186&gt;1)),AND($AI186&lt;&gt;"",OR(NOT(ISNUMBER($AI186)),$AI186&lt;0,$AI186&gt;1))),"Marge spécifique invalide (0–100 %)",IF(OR(AND($U186&lt;&gt;"",NOT(ISNUMBER($U186))),AND($V186&lt;&gt;"",NOT(ISNUMBER($V186))),AND($W186&lt;&gt;"",NOT(ISNUMBER($W186)))),"Mois invalide",IF(AND(OR($G186="À migrer",$G186="À décommissionner"),COUNTIFS(TblClusters[Cluster],$I186,TblClusters[Plateforme],"IKS")=0),"Cluster IKS inconnu",IF(AND(OR($G186="À migrer",$G186="Migré"),COUNTIFS(TblClusters[Cluster],$O186,TblClusters[Plateforme],"ROKS")=0),"Cluster ROKS inconnu",IF(AND(OR($G186="À migrer",$G186="À décommissionner"),COUNTIFS(TblClusters[Cluster],$I186,TblClusters[Environnement],$E186)=0),"Environnement ≠ cluster IKS",IF(AND(OR($G186="À migrer",$G186="Migré"),COUNTIFS(TblClusters[Cluster],$O186,TblClusters[Environnement],$E186)=0),"Environnement ≠ cluster ROKS",IF(AND($G186="À migrer",OR($U186&gt;$V186,$V186&gt;$W186)),"Dates incohérentes (prov ≤ bascule ≤ libération)",IF(AND(OR($G186="À migrer",$G186="À décommissionner"),OR(N($AO186)&gt;SUMIFS(TblClusters[CPU initial (vCPU)],TblClusters[Cluster],$I186),N($AP186)&gt;SUMIFS(TblClusters[RAM initiale (Go)],TblClusters[Cluster],$I186))),"Forçage &gt; capacité du cluster source",IF(OR(AND($AA186&lt;&gt;"",$AA186&lt;p_debut),AND($AB186&lt;&gt;"",$AB186&gt;p_fin)),"Hors horizon (info)",IF(AND($G186="À migrer",$E186="PRD",COUNTIFS(TblApplications[ID],$C186,TblApplications[Environnement],"NPRD",TblApplications[Action],"À migrer")&gt;0,$AA186&lt;_xlfn.MINIFS(TblApplications[Mois prov (calc)],TblApplications[ID],$C186,TblApplications[Environnement],"NPRD")),"PRD avant NPRD (info)","OK")))))))))))))))))))))</f>
        <v/>
      </c>
      <c r="AH186" s="62"/>
      <c r="AI186" s="62"/>
      <c r="AJ186" s="27" t="str">
        <f>IF(OR($C186="",NOT(OR($G186="À migrer",$G186="À décommissionner")),NOT(ISNUMBER($S186)),NOT(ISNUMBER($T186)),$AB186=""),"",($S186+p_poidsram*$T186)*SUMIFS(TblCalculs[Coût par unité],TblCalculs[Cluster],$I186,TblCalculs[Mois],"&lt;"&amp;$AB186))</f>
        <v/>
      </c>
      <c r="AK186" s="27" t="str">
        <f>IF($C186="","",IF(AND($G186="À migrer",$H186="Non",$Y186&lt;&gt;"",$AA186&lt;&gt;""),($Y186+p_poidsram*$Z186)*SUMIFS(TblCalculs[Coût par unité],TblCalculs[Cluster],$O186,TblCalculs[Mois],"&gt;="&amp;$AA186),IF(AND($G186="Migré",$Y186&lt;&gt;""),($Y186+p_poidsram*$Z186)*SUMIFS(TblCalculs[Coût par unité],TblCalculs[Cluster],$O186),"")))</f>
        <v/>
      </c>
      <c r="AL186" s="27" t="str">
        <f t="shared" si="22"/>
        <v/>
      </c>
      <c r="AM186" s="26" t="str">
        <f t="shared" si="23"/>
        <v/>
      </c>
      <c r="AN186" s="26" t="str">
        <f>IF(OR($C186="",$AM186&lt;&gt;1,COUNTIFS($E186,ex_envc,$A186,ex_domc,$B186,ex_tric)=0),"",COUNTIFS($AM$6:$AM186,1,$E$6:$E186,ex_envc,$A$6:$A186,ex_domc,$B$6:$B186,ex_tric))</f>
        <v/>
      </c>
      <c r="AO186" s="63"/>
      <c r="AP186" s="63"/>
      <c r="AQ186" s="63"/>
      <c r="AR186" s="63"/>
    </row>
    <row r="187" spans="1:44" x14ac:dyDescent="0.2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26" t="str">
        <f t="shared" si="16"/>
        <v/>
      </c>
      <c r="O187" s="59"/>
      <c r="P187" s="60" t="str">
        <f>IF($C187="","",IF($AQ187&lt;&gt;"",$AQ187,SUMIFS(TblDynatrace[CPU P95 (vCPU)],TblDynatrace[ID],$C187,TblDynatrace[Environnement],$E187,TblDynatrace[Couloir],$F187)))</f>
        <v/>
      </c>
      <c r="Q187" s="60" t="str">
        <f>IF($C187="","",IF($AR187&lt;&gt;"",$AR187,SUMIFS(TblDynatrace[RAM P95 (Go)],TblDynatrace[ID],$C187,TblDynatrace[Environnement],$E187,TblDynatrace[Couloir],$F187)))</f>
        <v/>
      </c>
      <c r="R187" s="26" t="str">
        <f>IF($C187="","",IFERROR(INDEX(TblDynatrace[Métrique / période],MATCH($C187&amp;"|"&amp;$E187&amp;"|"&amp;$F187,TblDynatrace[Clé],0)),""))</f>
        <v/>
      </c>
      <c r="S187" s="60" t="str">
        <f>IF(OR($C187="",NOT(OR($G187="À migrer",$G187="À décommissionner")),$I187="",NOT(ISNUMBER($P187))),"",IF($AO187&lt;&gt;"",$AO187,IFERROR(SUMIFS(TblClusters[CPU initial (vCPU)],TblClusters[Cluster],$I187)*$P187/(SUMIFS(TblApplications[CPU Dynatrace (vCPU)],TblApplications[Cluster IKS source],$I187,TblApplications[Action],"À migrer")+SUMIFS(TblApplications[CPU Dynatrace (vCPU)],TblApplications[Cluster IKS source],$I187,TblApplications[Action],"À décommissionner")),0)))</f>
        <v/>
      </c>
      <c r="T187" s="60" t="str">
        <f>IF(OR($C187="",NOT(OR($G187="À migrer",$G187="À décommissionner")),$I187="",NOT(ISNUMBER($Q187))),"",IF($AP187&lt;&gt;"",$AP187,IFERROR(SUMIFS(TblClusters[RAM initiale (Go)],TblClusters[Cluster],$I187)*$Q187/(SUMIFS(TblApplications[RAM Dynatrace (Go)],TblApplications[Cluster IKS source],$I187,TblApplications[Action],"À migrer")+SUMIFS(TblApplications[RAM Dynatrace (Go)],TblApplications[Cluster IKS source],$I187,TblApplications[Action],"À décommissionner")),0)))</f>
        <v/>
      </c>
      <c r="U187" s="61"/>
      <c r="V187" s="61"/>
      <c r="W187" s="61"/>
      <c r="X187" s="59"/>
      <c r="Y187" s="26" t="str">
        <f t="shared" si="17"/>
        <v/>
      </c>
      <c r="Z187" s="26" t="str">
        <f t="shared" si="18"/>
        <v/>
      </c>
      <c r="AA187" s="33" t="str">
        <f t="shared" si="19"/>
        <v/>
      </c>
      <c r="AB187" s="33" t="str">
        <f t="shared" si="20"/>
        <v/>
      </c>
      <c r="AC187" s="26" t="str">
        <f t="shared" si="21"/>
        <v/>
      </c>
      <c r="AD187" s="26" t="str">
        <f>IF($C187="","",COUNTIF(TblApplications[ID],$C187))</f>
        <v/>
      </c>
      <c r="AE187" s="33" t="str">
        <f>IF($C187="","",IFERROR(1/(1/_xlfn.MINIFS(TblApplications[Mois prov (calc)],TblApplications[ID],$C187)),""))</f>
        <v/>
      </c>
      <c r="AF187" s="33" t="str">
        <f>IF($C187="","",IFERROR(1/(1/_xlfn.MAXIFS(TblApplications[Mois lib (calc)],TblApplications[ID],$C187)),""))</f>
        <v/>
      </c>
      <c r="AG187" s="26" t="str">
        <f>IF($C187="","",IF(OR(OR($A187="",$B187="",$D187="",$E187="",$F187="",$G187=""),AND($G187="À migrer",OR($H187="",$I187="",$O187="",$U187="",$V187="",$W187="")),AND($G187="Migré",OR($O187="")),AND($G187="À décommissionner",OR($I187="",$W187=""))),"Données manquantes (selon l’action)",IF(AND($G187&lt;&gt;"Migré",$G187&lt;&gt;"À migrer",$G187&lt;&gt;"À décommissionner",$G187&lt;&gt;"Décommissionné"),"Action invalide",IF(COUNTIF(TblDomaines[Domaine],$A187)=0,"Domaine inconnu (référentiel)",IF(COUNTIFS(TblTribes[Tribe],$B187,TblTribes[Domaine de la tribe],$A187)=0,"Tribe inconnue ou hors domaine",IF(AND($G187="À migrer",$H187&lt;&gt;"Oui",$H187&lt;&gt;"Non"),"Valeur Oui/Non invalide (Déjà incluse ROKS)",IF(AND($E187&lt;&gt;"PRD",$E187&lt;&gt;"NPRD"),"Environnement invalide",IF(COUNTIFS(TblApplications[ID],$C187,TblApplications[Environnement],$E187,TblApplications[Couloir],$F187)&gt;1,"Déploiement en doublon (ID + env + couloir)",IF(AND(OR(OR($G187="À migrer",$G187="Migré"),OR($G187="À migrer",$G187="À décommissionner")),N($P187)&lt;=0),"Conso Dynatrace absente (onglet Dynatrace)",IF(OR(AND($P187&lt;&gt;"",NOT(ISNUMBER($P187))),AND($Q187&lt;&gt;"",NOT(ISNUMBER($Q187)))),"Ressource non numérique",IF(MIN(N($P187),N($Q187))&lt;0,"Ressource négative",IF(OR(AND($AH187&lt;&gt;"",OR(NOT(ISNUMBER($AH187)),$AH187&lt;0,$AH187&gt;1)),AND($AI187&lt;&gt;"",OR(NOT(ISNUMBER($AI187)),$AI187&lt;0,$AI187&gt;1))),"Marge spécifique invalide (0–100 %)",IF(OR(AND($U187&lt;&gt;"",NOT(ISNUMBER($U187))),AND($V187&lt;&gt;"",NOT(ISNUMBER($V187))),AND($W187&lt;&gt;"",NOT(ISNUMBER($W187)))),"Mois invalide",IF(AND(OR($G187="À migrer",$G187="À décommissionner"),COUNTIFS(TblClusters[Cluster],$I187,TblClusters[Plateforme],"IKS")=0),"Cluster IKS inconnu",IF(AND(OR($G187="À migrer",$G187="Migré"),COUNTIFS(TblClusters[Cluster],$O187,TblClusters[Plateforme],"ROKS")=0),"Cluster ROKS inconnu",IF(AND(OR($G187="À migrer",$G187="À décommissionner"),COUNTIFS(TblClusters[Cluster],$I187,TblClusters[Environnement],$E187)=0),"Environnement ≠ cluster IKS",IF(AND(OR($G187="À migrer",$G187="Migré"),COUNTIFS(TblClusters[Cluster],$O187,TblClusters[Environnement],$E187)=0),"Environnement ≠ cluster ROKS",IF(AND($G187="À migrer",OR($U187&gt;$V187,$V187&gt;$W187)),"Dates incohérentes (prov ≤ bascule ≤ libération)",IF(AND(OR($G187="À migrer",$G187="À décommissionner"),OR(N($AO187)&gt;SUMIFS(TblClusters[CPU initial (vCPU)],TblClusters[Cluster],$I187),N($AP187)&gt;SUMIFS(TblClusters[RAM initiale (Go)],TblClusters[Cluster],$I187))),"Forçage &gt; capacité du cluster source",IF(OR(AND($AA187&lt;&gt;"",$AA187&lt;p_debut),AND($AB187&lt;&gt;"",$AB187&gt;p_fin)),"Hors horizon (info)",IF(AND($G187="À migrer",$E187="PRD",COUNTIFS(TblApplications[ID],$C187,TblApplications[Environnement],"NPRD",TblApplications[Action],"À migrer")&gt;0,$AA187&lt;_xlfn.MINIFS(TblApplications[Mois prov (calc)],TblApplications[ID],$C187,TblApplications[Environnement],"NPRD")),"PRD avant NPRD (info)","OK")))))))))))))))))))))</f>
        <v/>
      </c>
      <c r="AH187" s="62"/>
      <c r="AI187" s="62"/>
      <c r="AJ187" s="27" t="str">
        <f>IF(OR($C187="",NOT(OR($G187="À migrer",$G187="À décommissionner")),NOT(ISNUMBER($S187)),NOT(ISNUMBER($T187)),$AB187=""),"",($S187+p_poidsram*$T187)*SUMIFS(TblCalculs[Coût par unité],TblCalculs[Cluster],$I187,TblCalculs[Mois],"&lt;"&amp;$AB187))</f>
        <v/>
      </c>
      <c r="AK187" s="27" t="str">
        <f>IF($C187="","",IF(AND($G187="À migrer",$H187="Non",$Y187&lt;&gt;"",$AA187&lt;&gt;""),($Y187+p_poidsram*$Z187)*SUMIFS(TblCalculs[Coût par unité],TblCalculs[Cluster],$O187,TblCalculs[Mois],"&gt;="&amp;$AA187),IF(AND($G187="Migré",$Y187&lt;&gt;""),($Y187+p_poidsram*$Z187)*SUMIFS(TblCalculs[Coût par unité],TblCalculs[Cluster],$O187),"")))</f>
        <v/>
      </c>
      <c r="AL187" s="27" t="str">
        <f t="shared" si="22"/>
        <v/>
      </c>
      <c r="AM187" s="26" t="str">
        <f t="shared" si="23"/>
        <v/>
      </c>
      <c r="AN187" s="26" t="str">
        <f>IF(OR($C187="",$AM187&lt;&gt;1,COUNTIFS($E187,ex_envc,$A187,ex_domc,$B187,ex_tric)=0),"",COUNTIFS($AM$6:$AM187,1,$E$6:$E187,ex_envc,$A$6:$A187,ex_domc,$B$6:$B187,ex_tric))</f>
        <v/>
      </c>
      <c r="AO187" s="63"/>
      <c r="AP187" s="63"/>
      <c r="AQ187" s="63"/>
      <c r="AR187" s="63"/>
    </row>
    <row r="188" spans="1:44" x14ac:dyDescent="0.2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26" t="str">
        <f t="shared" si="16"/>
        <v/>
      </c>
      <c r="O188" s="59"/>
      <c r="P188" s="60" t="str">
        <f>IF($C188="","",IF($AQ188&lt;&gt;"",$AQ188,SUMIFS(TblDynatrace[CPU P95 (vCPU)],TblDynatrace[ID],$C188,TblDynatrace[Environnement],$E188,TblDynatrace[Couloir],$F188)))</f>
        <v/>
      </c>
      <c r="Q188" s="60" t="str">
        <f>IF($C188="","",IF($AR188&lt;&gt;"",$AR188,SUMIFS(TblDynatrace[RAM P95 (Go)],TblDynatrace[ID],$C188,TblDynatrace[Environnement],$E188,TblDynatrace[Couloir],$F188)))</f>
        <v/>
      </c>
      <c r="R188" s="26" t="str">
        <f>IF($C188="","",IFERROR(INDEX(TblDynatrace[Métrique / période],MATCH($C188&amp;"|"&amp;$E188&amp;"|"&amp;$F188,TblDynatrace[Clé],0)),""))</f>
        <v/>
      </c>
      <c r="S188" s="60" t="str">
        <f>IF(OR($C188="",NOT(OR($G188="À migrer",$G188="À décommissionner")),$I188="",NOT(ISNUMBER($P188))),"",IF($AO188&lt;&gt;"",$AO188,IFERROR(SUMIFS(TblClusters[CPU initial (vCPU)],TblClusters[Cluster],$I188)*$P188/(SUMIFS(TblApplications[CPU Dynatrace (vCPU)],TblApplications[Cluster IKS source],$I188,TblApplications[Action],"À migrer")+SUMIFS(TblApplications[CPU Dynatrace (vCPU)],TblApplications[Cluster IKS source],$I188,TblApplications[Action],"À décommissionner")),0)))</f>
        <v/>
      </c>
      <c r="T188" s="60" t="str">
        <f>IF(OR($C188="",NOT(OR($G188="À migrer",$G188="À décommissionner")),$I188="",NOT(ISNUMBER($Q188))),"",IF($AP188&lt;&gt;"",$AP188,IFERROR(SUMIFS(TblClusters[RAM initiale (Go)],TblClusters[Cluster],$I188)*$Q188/(SUMIFS(TblApplications[RAM Dynatrace (Go)],TblApplications[Cluster IKS source],$I188,TblApplications[Action],"À migrer")+SUMIFS(TblApplications[RAM Dynatrace (Go)],TblApplications[Cluster IKS source],$I188,TblApplications[Action],"À décommissionner")),0)))</f>
        <v/>
      </c>
      <c r="U188" s="61"/>
      <c r="V188" s="61"/>
      <c r="W188" s="61"/>
      <c r="X188" s="59"/>
      <c r="Y188" s="26" t="str">
        <f t="shared" si="17"/>
        <v/>
      </c>
      <c r="Z188" s="26" t="str">
        <f t="shared" si="18"/>
        <v/>
      </c>
      <c r="AA188" s="33" t="str">
        <f t="shared" si="19"/>
        <v/>
      </c>
      <c r="AB188" s="33" t="str">
        <f t="shared" si="20"/>
        <v/>
      </c>
      <c r="AC188" s="26" t="str">
        <f t="shared" si="21"/>
        <v/>
      </c>
      <c r="AD188" s="26" t="str">
        <f>IF($C188="","",COUNTIF(TblApplications[ID],$C188))</f>
        <v/>
      </c>
      <c r="AE188" s="33" t="str">
        <f>IF($C188="","",IFERROR(1/(1/_xlfn.MINIFS(TblApplications[Mois prov (calc)],TblApplications[ID],$C188)),""))</f>
        <v/>
      </c>
      <c r="AF188" s="33" t="str">
        <f>IF($C188="","",IFERROR(1/(1/_xlfn.MAXIFS(TblApplications[Mois lib (calc)],TblApplications[ID],$C188)),""))</f>
        <v/>
      </c>
      <c r="AG188" s="26" t="str">
        <f>IF($C188="","",IF(OR(OR($A188="",$B188="",$D188="",$E188="",$F188="",$G188=""),AND($G188="À migrer",OR($H188="",$I188="",$O188="",$U188="",$V188="",$W188="")),AND($G188="Migré",OR($O188="")),AND($G188="À décommissionner",OR($I188="",$W188=""))),"Données manquantes (selon l’action)",IF(AND($G188&lt;&gt;"Migré",$G188&lt;&gt;"À migrer",$G188&lt;&gt;"À décommissionner",$G188&lt;&gt;"Décommissionné"),"Action invalide",IF(COUNTIF(TblDomaines[Domaine],$A188)=0,"Domaine inconnu (référentiel)",IF(COUNTIFS(TblTribes[Tribe],$B188,TblTribes[Domaine de la tribe],$A188)=0,"Tribe inconnue ou hors domaine",IF(AND($G188="À migrer",$H188&lt;&gt;"Oui",$H188&lt;&gt;"Non"),"Valeur Oui/Non invalide (Déjà incluse ROKS)",IF(AND($E188&lt;&gt;"PRD",$E188&lt;&gt;"NPRD"),"Environnement invalide",IF(COUNTIFS(TblApplications[ID],$C188,TblApplications[Environnement],$E188,TblApplications[Couloir],$F188)&gt;1,"Déploiement en doublon (ID + env + couloir)",IF(AND(OR(OR($G188="À migrer",$G188="Migré"),OR($G188="À migrer",$G188="À décommissionner")),N($P188)&lt;=0),"Conso Dynatrace absente (onglet Dynatrace)",IF(OR(AND($P188&lt;&gt;"",NOT(ISNUMBER($P188))),AND($Q188&lt;&gt;"",NOT(ISNUMBER($Q188)))),"Ressource non numérique",IF(MIN(N($P188),N($Q188))&lt;0,"Ressource négative",IF(OR(AND($AH188&lt;&gt;"",OR(NOT(ISNUMBER($AH188)),$AH188&lt;0,$AH188&gt;1)),AND($AI188&lt;&gt;"",OR(NOT(ISNUMBER($AI188)),$AI188&lt;0,$AI188&gt;1))),"Marge spécifique invalide (0–100 %)",IF(OR(AND($U188&lt;&gt;"",NOT(ISNUMBER($U188))),AND($V188&lt;&gt;"",NOT(ISNUMBER($V188))),AND($W188&lt;&gt;"",NOT(ISNUMBER($W188)))),"Mois invalide",IF(AND(OR($G188="À migrer",$G188="À décommissionner"),COUNTIFS(TblClusters[Cluster],$I188,TblClusters[Plateforme],"IKS")=0),"Cluster IKS inconnu",IF(AND(OR($G188="À migrer",$G188="Migré"),COUNTIFS(TblClusters[Cluster],$O188,TblClusters[Plateforme],"ROKS")=0),"Cluster ROKS inconnu",IF(AND(OR($G188="À migrer",$G188="À décommissionner"),COUNTIFS(TblClusters[Cluster],$I188,TblClusters[Environnement],$E188)=0),"Environnement ≠ cluster IKS",IF(AND(OR($G188="À migrer",$G188="Migré"),COUNTIFS(TblClusters[Cluster],$O188,TblClusters[Environnement],$E188)=0),"Environnement ≠ cluster ROKS",IF(AND($G188="À migrer",OR($U188&gt;$V188,$V188&gt;$W188)),"Dates incohérentes (prov ≤ bascule ≤ libération)",IF(AND(OR($G188="À migrer",$G188="À décommissionner"),OR(N($AO188)&gt;SUMIFS(TblClusters[CPU initial (vCPU)],TblClusters[Cluster],$I188),N($AP188)&gt;SUMIFS(TblClusters[RAM initiale (Go)],TblClusters[Cluster],$I188))),"Forçage &gt; capacité du cluster source",IF(OR(AND($AA188&lt;&gt;"",$AA188&lt;p_debut),AND($AB188&lt;&gt;"",$AB188&gt;p_fin)),"Hors horizon (info)",IF(AND($G188="À migrer",$E188="PRD",COUNTIFS(TblApplications[ID],$C188,TblApplications[Environnement],"NPRD",TblApplications[Action],"À migrer")&gt;0,$AA188&lt;_xlfn.MINIFS(TblApplications[Mois prov (calc)],TblApplications[ID],$C188,TblApplications[Environnement],"NPRD")),"PRD avant NPRD (info)","OK")))))))))))))))))))))</f>
        <v/>
      </c>
      <c r="AH188" s="62"/>
      <c r="AI188" s="62"/>
      <c r="AJ188" s="27" t="str">
        <f>IF(OR($C188="",NOT(OR($G188="À migrer",$G188="À décommissionner")),NOT(ISNUMBER($S188)),NOT(ISNUMBER($T188)),$AB188=""),"",($S188+p_poidsram*$T188)*SUMIFS(TblCalculs[Coût par unité],TblCalculs[Cluster],$I188,TblCalculs[Mois],"&lt;"&amp;$AB188))</f>
        <v/>
      </c>
      <c r="AK188" s="27" t="str">
        <f>IF($C188="","",IF(AND($G188="À migrer",$H188="Non",$Y188&lt;&gt;"",$AA188&lt;&gt;""),($Y188+p_poidsram*$Z188)*SUMIFS(TblCalculs[Coût par unité],TblCalculs[Cluster],$O188,TblCalculs[Mois],"&gt;="&amp;$AA188),IF(AND($G188="Migré",$Y188&lt;&gt;""),($Y188+p_poidsram*$Z188)*SUMIFS(TblCalculs[Coût par unité],TblCalculs[Cluster],$O188),"")))</f>
        <v/>
      </c>
      <c r="AL188" s="27" t="str">
        <f t="shared" si="22"/>
        <v/>
      </c>
      <c r="AM188" s="26" t="str">
        <f t="shared" si="23"/>
        <v/>
      </c>
      <c r="AN188" s="26" t="str">
        <f>IF(OR($C188="",$AM188&lt;&gt;1,COUNTIFS($E188,ex_envc,$A188,ex_domc,$B188,ex_tric)=0),"",COUNTIFS($AM$6:$AM188,1,$E$6:$E188,ex_envc,$A$6:$A188,ex_domc,$B$6:$B188,ex_tric))</f>
        <v/>
      </c>
      <c r="AO188" s="63"/>
      <c r="AP188" s="63"/>
      <c r="AQ188" s="63"/>
      <c r="AR188" s="63"/>
    </row>
    <row r="189" spans="1:44" x14ac:dyDescent="0.2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26" t="str">
        <f t="shared" si="16"/>
        <v/>
      </c>
      <c r="O189" s="59"/>
      <c r="P189" s="60" t="str">
        <f>IF($C189="","",IF($AQ189&lt;&gt;"",$AQ189,SUMIFS(TblDynatrace[CPU P95 (vCPU)],TblDynatrace[ID],$C189,TblDynatrace[Environnement],$E189,TblDynatrace[Couloir],$F189)))</f>
        <v/>
      </c>
      <c r="Q189" s="60" t="str">
        <f>IF($C189="","",IF($AR189&lt;&gt;"",$AR189,SUMIFS(TblDynatrace[RAM P95 (Go)],TblDynatrace[ID],$C189,TblDynatrace[Environnement],$E189,TblDynatrace[Couloir],$F189)))</f>
        <v/>
      </c>
      <c r="R189" s="26" t="str">
        <f>IF($C189="","",IFERROR(INDEX(TblDynatrace[Métrique / période],MATCH($C189&amp;"|"&amp;$E189&amp;"|"&amp;$F189,TblDynatrace[Clé],0)),""))</f>
        <v/>
      </c>
      <c r="S189" s="60" t="str">
        <f>IF(OR($C189="",NOT(OR($G189="À migrer",$G189="À décommissionner")),$I189="",NOT(ISNUMBER($P189))),"",IF($AO189&lt;&gt;"",$AO189,IFERROR(SUMIFS(TblClusters[CPU initial (vCPU)],TblClusters[Cluster],$I189)*$P189/(SUMIFS(TblApplications[CPU Dynatrace (vCPU)],TblApplications[Cluster IKS source],$I189,TblApplications[Action],"À migrer")+SUMIFS(TblApplications[CPU Dynatrace (vCPU)],TblApplications[Cluster IKS source],$I189,TblApplications[Action],"À décommissionner")),0)))</f>
        <v/>
      </c>
      <c r="T189" s="60" t="str">
        <f>IF(OR($C189="",NOT(OR($G189="À migrer",$G189="À décommissionner")),$I189="",NOT(ISNUMBER($Q189))),"",IF($AP189&lt;&gt;"",$AP189,IFERROR(SUMIFS(TblClusters[RAM initiale (Go)],TblClusters[Cluster],$I189)*$Q189/(SUMIFS(TblApplications[RAM Dynatrace (Go)],TblApplications[Cluster IKS source],$I189,TblApplications[Action],"À migrer")+SUMIFS(TblApplications[RAM Dynatrace (Go)],TblApplications[Cluster IKS source],$I189,TblApplications[Action],"À décommissionner")),0)))</f>
        <v/>
      </c>
      <c r="U189" s="61"/>
      <c r="V189" s="61"/>
      <c r="W189" s="61"/>
      <c r="X189" s="59"/>
      <c r="Y189" s="26" t="str">
        <f t="shared" si="17"/>
        <v/>
      </c>
      <c r="Z189" s="26" t="str">
        <f t="shared" si="18"/>
        <v/>
      </c>
      <c r="AA189" s="33" t="str">
        <f t="shared" si="19"/>
        <v/>
      </c>
      <c r="AB189" s="33" t="str">
        <f t="shared" si="20"/>
        <v/>
      </c>
      <c r="AC189" s="26" t="str">
        <f t="shared" si="21"/>
        <v/>
      </c>
      <c r="AD189" s="26" t="str">
        <f>IF($C189="","",COUNTIF(TblApplications[ID],$C189))</f>
        <v/>
      </c>
      <c r="AE189" s="33" t="str">
        <f>IF($C189="","",IFERROR(1/(1/_xlfn.MINIFS(TblApplications[Mois prov (calc)],TblApplications[ID],$C189)),""))</f>
        <v/>
      </c>
      <c r="AF189" s="33" t="str">
        <f>IF($C189="","",IFERROR(1/(1/_xlfn.MAXIFS(TblApplications[Mois lib (calc)],TblApplications[ID],$C189)),""))</f>
        <v/>
      </c>
      <c r="AG189" s="26" t="str">
        <f>IF($C189="","",IF(OR(OR($A189="",$B189="",$D189="",$E189="",$F189="",$G189=""),AND($G189="À migrer",OR($H189="",$I189="",$O189="",$U189="",$V189="",$W189="")),AND($G189="Migré",OR($O189="")),AND($G189="À décommissionner",OR($I189="",$W189=""))),"Données manquantes (selon l’action)",IF(AND($G189&lt;&gt;"Migré",$G189&lt;&gt;"À migrer",$G189&lt;&gt;"À décommissionner",$G189&lt;&gt;"Décommissionné"),"Action invalide",IF(COUNTIF(TblDomaines[Domaine],$A189)=0,"Domaine inconnu (référentiel)",IF(COUNTIFS(TblTribes[Tribe],$B189,TblTribes[Domaine de la tribe],$A189)=0,"Tribe inconnue ou hors domaine",IF(AND($G189="À migrer",$H189&lt;&gt;"Oui",$H189&lt;&gt;"Non"),"Valeur Oui/Non invalide (Déjà incluse ROKS)",IF(AND($E189&lt;&gt;"PRD",$E189&lt;&gt;"NPRD"),"Environnement invalide",IF(COUNTIFS(TblApplications[ID],$C189,TblApplications[Environnement],$E189,TblApplications[Couloir],$F189)&gt;1,"Déploiement en doublon (ID + env + couloir)",IF(AND(OR(OR($G189="À migrer",$G189="Migré"),OR($G189="À migrer",$G189="À décommissionner")),N($P189)&lt;=0),"Conso Dynatrace absente (onglet Dynatrace)",IF(OR(AND($P189&lt;&gt;"",NOT(ISNUMBER($P189))),AND($Q189&lt;&gt;"",NOT(ISNUMBER($Q189)))),"Ressource non numérique",IF(MIN(N($P189),N($Q189))&lt;0,"Ressource négative",IF(OR(AND($AH189&lt;&gt;"",OR(NOT(ISNUMBER($AH189)),$AH189&lt;0,$AH189&gt;1)),AND($AI189&lt;&gt;"",OR(NOT(ISNUMBER($AI189)),$AI189&lt;0,$AI189&gt;1))),"Marge spécifique invalide (0–100 %)",IF(OR(AND($U189&lt;&gt;"",NOT(ISNUMBER($U189))),AND($V189&lt;&gt;"",NOT(ISNUMBER($V189))),AND($W189&lt;&gt;"",NOT(ISNUMBER($W189)))),"Mois invalide",IF(AND(OR($G189="À migrer",$G189="À décommissionner"),COUNTIFS(TblClusters[Cluster],$I189,TblClusters[Plateforme],"IKS")=0),"Cluster IKS inconnu",IF(AND(OR($G189="À migrer",$G189="Migré"),COUNTIFS(TblClusters[Cluster],$O189,TblClusters[Plateforme],"ROKS")=0),"Cluster ROKS inconnu",IF(AND(OR($G189="À migrer",$G189="À décommissionner"),COUNTIFS(TblClusters[Cluster],$I189,TblClusters[Environnement],$E189)=0),"Environnement ≠ cluster IKS",IF(AND(OR($G189="À migrer",$G189="Migré"),COUNTIFS(TblClusters[Cluster],$O189,TblClusters[Environnement],$E189)=0),"Environnement ≠ cluster ROKS",IF(AND($G189="À migrer",OR($U189&gt;$V189,$V189&gt;$W189)),"Dates incohérentes (prov ≤ bascule ≤ libération)",IF(AND(OR($G189="À migrer",$G189="À décommissionner"),OR(N($AO189)&gt;SUMIFS(TblClusters[CPU initial (vCPU)],TblClusters[Cluster],$I189),N($AP189)&gt;SUMIFS(TblClusters[RAM initiale (Go)],TblClusters[Cluster],$I189))),"Forçage &gt; capacité du cluster source",IF(OR(AND($AA189&lt;&gt;"",$AA189&lt;p_debut),AND($AB189&lt;&gt;"",$AB189&gt;p_fin)),"Hors horizon (info)",IF(AND($G189="À migrer",$E189="PRD",COUNTIFS(TblApplications[ID],$C189,TblApplications[Environnement],"NPRD",TblApplications[Action],"À migrer")&gt;0,$AA189&lt;_xlfn.MINIFS(TblApplications[Mois prov (calc)],TblApplications[ID],$C189,TblApplications[Environnement],"NPRD")),"PRD avant NPRD (info)","OK")))))))))))))))))))))</f>
        <v/>
      </c>
      <c r="AH189" s="62"/>
      <c r="AI189" s="62"/>
      <c r="AJ189" s="27" t="str">
        <f>IF(OR($C189="",NOT(OR($G189="À migrer",$G189="À décommissionner")),NOT(ISNUMBER($S189)),NOT(ISNUMBER($T189)),$AB189=""),"",($S189+p_poidsram*$T189)*SUMIFS(TblCalculs[Coût par unité],TblCalculs[Cluster],$I189,TblCalculs[Mois],"&lt;"&amp;$AB189))</f>
        <v/>
      </c>
      <c r="AK189" s="27" t="str">
        <f>IF($C189="","",IF(AND($G189="À migrer",$H189="Non",$Y189&lt;&gt;"",$AA189&lt;&gt;""),($Y189+p_poidsram*$Z189)*SUMIFS(TblCalculs[Coût par unité],TblCalculs[Cluster],$O189,TblCalculs[Mois],"&gt;="&amp;$AA189),IF(AND($G189="Migré",$Y189&lt;&gt;""),($Y189+p_poidsram*$Z189)*SUMIFS(TblCalculs[Coût par unité],TblCalculs[Cluster],$O189),"")))</f>
        <v/>
      </c>
      <c r="AL189" s="27" t="str">
        <f t="shared" si="22"/>
        <v/>
      </c>
      <c r="AM189" s="26" t="str">
        <f t="shared" si="23"/>
        <v/>
      </c>
      <c r="AN189" s="26" t="str">
        <f>IF(OR($C189="",$AM189&lt;&gt;1,COUNTIFS($E189,ex_envc,$A189,ex_domc,$B189,ex_tric)=0),"",COUNTIFS($AM$6:$AM189,1,$E$6:$E189,ex_envc,$A$6:$A189,ex_domc,$B$6:$B189,ex_tric))</f>
        <v/>
      </c>
      <c r="AO189" s="63"/>
      <c r="AP189" s="63"/>
      <c r="AQ189" s="63"/>
      <c r="AR189" s="63"/>
    </row>
    <row r="190" spans="1:44" x14ac:dyDescent="0.2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26" t="str">
        <f t="shared" si="16"/>
        <v/>
      </c>
      <c r="O190" s="59"/>
      <c r="P190" s="60" t="str">
        <f>IF($C190="","",IF($AQ190&lt;&gt;"",$AQ190,SUMIFS(TblDynatrace[CPU P95 (vCPU)],TblDynatrace[ID],$C190,TblDynatrace[Environnement],$E190,TblDynatrace[Couloir],$F190)))</f>
        <v/>
      </c>
      <c r="Q190" s="60" t="str">
        <f>IF($C190="","",IF($AR190&lt;&gt;"",$AR190,SUMIFS(TblDynatrace[RAM P95 (Go)],TblDynatrace[ID],$C190,TblDynatrace[Environnement],$E190,TblDynatrace[Couloir],$F190)))</f>
        <v/>
      </c>
      <c r="R190" s="26" t="str">
        <f>IF($C190="","",IFERROR(INDEX(TblDynatrace[Métrique / période],MATCH($C190&amp;"|"&amp;$E190&amp;"|"&amp;$F190,TblDynatrace[Clé],0)),""))</f>
        <v/>
      </c>
      <c r="S190" s="60" t="str">
        <f>IF(OR($C190="",NOT(OR($G190="À migrer",$G190="À décommissionner")),$I190="",NOT(ISNUMBER($P190))),"",IF($AO190&lt;&gt;"",$AO190,IFERROR(SUMIFS(TblClusters[CPU initial (vCPU)],TblClusters[Cluster],$I190)*$P190/(SUMIFS(TblApplications[CPU Dynatrace (vCPU)],TblApplications[Cluster IKS source],$I190,TblApplications[Action],"À migrer")+SUMIFS(TblApplications[CPU Dynatrace (vCPU)],TblApplications[Cluster IKS source],$I190,TblApplications[Action],"À décommissionner")),0)))</f>
        <v/>
      </c>
      <c r="T190" s="60" t="str">
        <f>IF(OR($C190="",NOT(OR($G190="À migrer",$G190="À décommissionner")),$I190="",NOT(ISNUMBER($Q190))),"",IF($AP190&lt;&gt;"",$AP190,IFERROR(SUMIFS(TblClusters[RAM initiale (Go)],TblClusters[Cluster],$I190)*$Q190/(SUMIFS(TblApplications[RAM Dynatrace (Go)],TblApplications[Cluster IKS source],$I190,TblApplications[Action],"À migrer")+SUMIFS(TblApplications[RAM Dynatrace (Go)],TblApplications[Cluster IKS source],$I190,TblApplications[Action],"À décommissionner")),0)))</f>
        <v/>
      </c>
      <c r="U190" s="61"/>
      <c r="V190" s="61"/>
      <c r="W190" s="61"/>
      <c r="X190" s="59"/>
      <c r="Y190" s="26" t="str">
        <f t="shared" si="17"/>
        <v/>
      </c>
      <c r="Z190" s="26" t="str">
        <f t="shared" si="18"/>
        <v/>
      </c>
      <c r="AA190" s="33" t="str">
        <f t="shared" si="19"/>
        <v/>
      </c>
      <c r="AB190" s="33" t="str">
        <f t="shared" si="20"/>
        <v/>
      </c>
      <c r="AC190" s="26" t="str">
        <f t="shared" si="21"/>
        <v/>
      </c>
      <c r="AD190" s="26" t="str">
        <f>IF($C190="","",COUNTIF(TblApplications[ID],$C190))</f>
        <v/>
      </c>
      <c r="AE190" s="33" t="str">
        <f>IF($C190="","",IFERROR(1/(1/_xlfn.MINIFS(TblApplications[Mois prov (calc)],TblApplications[ID],$C190)),""))</f>
        <v/>
      </c>
      <c r="AF190" s="33" t="str">
        <f>IF($C190="","",IFERROR(1/(1/_xlfn.MAXIFS(TblApplications[Mois lib (calc)],TblApplications[ID],$C190)),""))</f>
        <v/>
      </c>
      <c r="AG190" s="26" t="str">
        <f>IF($C190="","",IF(OR(OR($A190="",$B190="",$D190="",$E190="",$F190="",$G190=""),AND($G190="À migrer",OR($H190="",$I190="",$O190="",$U190="",$V190="",$W190="")),AND($G190="Migré",OR($O190="")),AND($G190="À décommissionner",OR($I190="",$W190=""))),"Données manquantes (selon l’action)",IF(AND($G190&lt;&gt;"Migré",$G190&lt;&gt;"À migrer",$G190&lt;&gt;"À décommissionner",$G190&lt;&gt;"Décommissionné"),"Action invalide",IF(COUNTIF(TblDomaines[Domaine],$A190)=0,"Domaine inconnu (référentiel)",IF(COUNTIFS(TblTribes[Tribe],$B190,TblTribes[Domaine de la tribe],$A190)=0,"Tribe inconnue ou hors domaine",IF(AND($G190="À migrer",$H190&lt;&gt;"Oui",$H190&lt;&gt;"Non"),"Valeur Oui/Non invalide (Déjà incluse ROKS)",IF(AND($E190&lt;&gt;"PRD",$E190&lt;&gt;"NPRD"),"Environnement invalide",IF(COUNTIFS(TblApplications[ID],$C190,TblApplications[Environnement],$E190,TblApplications[Couloir],$F190)&gt;1,"Déploiement en doublon (ID + env + couloir)",IF(AND(OR(OR($G190="À migrer",$G190="Migré"),OR($G190="À migrer",$G190="À décommissionner")),N($P190)&lt;=0),"Conso Dynatrace absente (onglet Dynatrace)",IF(OR(AND($P190&lt;&gt;"",NOT(ISNUMBER($P190))),AND($Q190&lt;&gt;"",NOT(ISNUMBER($Q190)))),"Ressource non numérique",IF(MIN(N($P190),N($Q190))&lt;0,"Ressource négative",IF(OR(AND($AH190&lt;&gt;"",OR(NOT(ISNUMBER($AH190)),$AH190&lt;0,$AH190&gt;1)),AND($AI190&lt;&gt;"",OR(NOT(ISNUMBER($AI190)),$AI190&lt;0,$AI190&gt;1))),"Marge spécifique invalide (0–100 %)",IF(OR(AND($U190&lt;&gt;"",NOT(ISNUMBER($U190))),AND($V190&lt;&gt;"",NOT(ISNUMBER($V190))),AND($W190&lt;&gt;"",NOT(ISNUMBER($W190)))),"Mois invalide",IF(AND(OR($G190="À migrer",$G190="À décommissionner"),COUNTIFS(TblClusters[Cluster],$I190,TblClusters[Plateforme],"IKS")=0),"Cluster IKS inconnu",IF(AND(OR($G190="À migrer",$G190="Migré"),COUNTIFS(TblClusters[Cluster],$O190,TblClusters[Plateforme],"ROKS")=0),"Cluster ROKS inconnu",IF(AND(OR($G190="À migrer",$G190="À décommissionner"),COUNTIFS(TblClusters[Cluster],$I190,TblClusters[Environnement],$E190)=0),"Environnement ≠ cluster IKS",IF(AND(OR($G190="À migrer",$G190="Migré"),COUNTIFS(TblClusters[Cluster],$O190,TblClusters[Environnement],$E190)=0),"Environnement ≠ cluster ROKS",IF(AND($G190="À migrer",OR($U190&gt;$V190,$V190&gt;$W190)),"Dates incohérentes (prov ≤ bascule ≤ libération)",IF(AND(OR($G190="À migrer",$G190="À décommissionner"),OR(N($AO190)&gt;SUMIFS(TblClusters[CPU initial (vCPU)],TblClusters[Cluster],$I190),N($AP190)&gt;SUMIFS(TblClusters[RAM initiale (Go)],TblClusters[Cluster],$I190))),"Forçage &gt; capacité du cluster source",IF(OR(AND($AA190&lt;&gt;"",$AA190&lt;p_debut),AND($AB190&lt;&gt;"",$AB190&gt;p_fin)),"Hors horizon (info)",IF(AND($G190="À migrer",$E190="PRD",COUNTIFS(TblApplications[ID],$C190,TblApplications[Environnement],"NPRD",TblApplications[Action],"À migrer")&gt;0,$AA190&lt;_xlfn.MINIFS(TblApplications[Mois prov (calc)],TblApplications[ID],$C190,TblApplications[Environnement],"NPRD")),"PRD avant NPRD (info)","OK")))))))))))))))))))))</f>
        <v/>
      </c>
      <c r="AH190" s="62"/>
      <c r="AI190" s="62"/>
      <c r="AJ190" s="27" t="str">
        <f>IF(OR($C190="",NOT(OR($G190="À migrer",$G190="À décommissionner")),NOT(ISNUMBER($S190)),NOT(ISNUMBER($T190)),$AB190=""),"",($S190+p_poidsram*$T190)*SUMIFS(TblCalculs[Coût par unité],TblCalculs[Cluster],$I190,TblCalculs[Mois],"&lt;"&amp;$AB190))</f>
        <v/>
      </c>
      <c r="AK190" s="27" t="str">
        <f>IF($C190="","",IF(AND($G190="À migrer",$H190="Non",$Y190&lt;&gt;"",$AA190&lt;&gt;""),($Y190+p_poidsram*$Z190)*SUMIFS(TblCalculs[Coût par unité],TblCalculs[Cluster],$O190,TblCalculs[Mois],"&gt;="&amp;$AA190),IF(AND($G190="Migré",$Y190&lt;&gt;""),($Y190+p_poidsram*$Z190)*SUMIFS(TblCalculs[Coût par unité],TblCalculs[Cluster],$O190),"")))</f>
        <v/>
      </c>
      <c r="AL190" s="27" t="str">
        <f t="shared" si="22"/>
        <v/>
      </c>
      <c r="AM190" s="26" t="str">
        <f t="shared" si="23"/>
        <v/>
      </c>
      <c r="AN190" s="26" t="str">
        <f>IF(OR($C190="",$AM190&lt;&gt;1,COUNTIFS($E190,ex_envc,$A190,ex_domc,$B190,ex_tric)=0),"",COUNTIFS($AM$6:$AM190,1,$E$6:$E190,ex_envc,$A$6:$A190,ex_domc,$B$6:$B190,ex_tric))</f>
        <v/>
      </c>
      <c r="AO190" s="63"/>
      <c r="AP190" s="63"/>
      <c r="AQ190" s="63"/>
      <c r="AR190" s="63"/>
    </row>
    <row r="191" spans="1:44" x14ac:dyDescent="0.2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26" t="str">
        <f t="shared" si="16"/>
        <v/>
      </c>
      <c r="O191" s="59"/>
      <c r="P191" s="60" t="str">
        <f>IF($C191="","",IF($AQ191&lt;&gt;"",$AQ191,SUMIFS(TblDynatrace[CPU P95 (vCPU)],TblDynatrace[ID],$C191,TblDynatrace[Environnement],$E191,TblDynatrace[Couloir],$F191)))</f>
        <v/>
      </c>
      <c r="Q191" s="60" t="str">
        <f>IF($C191="","",IF($AR191&lt;&gt;"",$AR191,SUMIFS(TblDynatrace[RAM P95 (Go)],TblDynatrace[ID],$C191,TblDynatrace[Environnement],$E191,TblDynatrace[Couloir],$F191)))</f>
        <v/>
      </c>
      <c r="R191" s="26" t="str">
        <f>IF($C191="","",IFERROR(INDEX(TblDynatrace[Métrique / période],MATCH($C191&amp;"|"&amp;$E191&amp;"|"&amp;$F191,TblDynatrace[Clé],0)),""))</f>
        <v/>
      </c>
      <c r="S191" s="60" t="str">
        <f>IF(OR($C191="",NOT(OR($G191="À migrer",$G191="À décommissionner")),$I191="",NOT(ISNUMBER($P191))),"",IF($AO191&lt;&gt;"",$AO191,IFERROR(SUMIFS(TblClusters[CPU initial (vCPU)],TblClusters[Cluster],$I191)*$P191/(SUMIFS(TblApplications[CPU Dynatrace (vCPU)],TblApplications[Cluster IKS source],$I191,TblApplications[Action],"À migrer")+SUMIFS(TblApplications[CPU Dynatrace (vCPU)],TblApplications[Cluster IKS source],$I191,TblApplications[Action],"À décommissionner")),0)))</f>
        <v/>
      </c>
      <c r="T191" s="60" t="str">
        <f>IF(OR($C191="",NOT(OR($G191="À migrer",$G191="À décommissionner")),$I191="",NOT(ISNUMBER($Q191))),"",IF($AP191&lt;&gt;"",$AP191,IFERROR(SUMIFS(TblClusters[RAM initiale (Go)],TblClusters[Cluster],$I191)*$Q191/(SUMIFS(TblApplications[RAM Dynatrace (Go)],TblApplications[Cluster IKS source],$I191,TblApplications[Action],"À migrer")+SUMIFS(TblApplications[RAM Dynatrace (Go)],TblApplications[Cluster IKS source],$I191,TblApplications[Action],"À décommissionner")),0)))</f>
        <v/>
      </c>
      <c r="U191" s="61"/>
      <c r="V191" s="61"/>
      <c r="W191" s="61"/>
      <c r="X191" s="59"/>
      <c r="Y191" s="26" t="str">
        <f t="shared" si="17"/>
        <v/>
      </c>
      <c r="Z191" s="26" t="str">
        <f t="shared" si="18"/>
        <v/>
      </c>
      <c r="AA191" s="33" t="str">
        <f t="shared" si="19"/>
        <v/>
      </c>
      <c r="AB191" s="33" t="str">
        <f t="shared" si="20"/>
        <v/>
      </c>
      <c r="AC191" s="26" t="str">
        <f t="shared" si="21"/>
        <v/>
      </c>
      <c r="AD191" s="26" t="str">
        <f>IF($C191="","",COUNTIF(TblApplications[ID],$C191))</f>
        <v/>
      </c>
      <c r="AE191" s="33" t="str">
        <f>IF($C191="","",IFERROR(1/(1/_xlfn.MINIFS(TblApplications[Mois prov (calc)],TblApplications[ID],$C191)),""))</f>
        <v/>
      </c>
      <c r="AF191" s="33" t="str">
        <f>IF($C191="","",IFERROR(1/(1/_xlfn.MAXIFS(TblApplications[Mois lib (calc)],TblApplications[ID],$C191)),""))</f>
        <v/>
      </c>
      <c r="AG191" s="26" t="str">
        <f>IF($C191="","",IF(OR(OR($A191="",$B191="",$D191="",$E191="",$F191="",$G191=""),AND($G191="À migrer",OR($H191="",$I191="",$O191="",$U191="",$V191="",$W191="")),AND($G191="Migré",OR($O191="")),AND($G191="À décommissionner",OR($I191="",$W191=""))),"Données manquantes (selon l’action)",IF(AND($G191&lt;&gt;"Migré",$G191&lt;&gt;"À migrer",$G191&lt;&gt;"À décommissionner",$G191&lt;&gt;"Décommissionné"),"Action invalide",IF(COUNTIF(TblDomaines[Domaine],$A191)=0,"Domaine inconnu (référentiel)",IF(COUNTIFS(TblTribes[Tribe],$B191,TblTribes[Domaine de la tribe],$A191)=0,"Tribe inconnue ou hors domaine",IF(AND($G191="À migrer",$H191&lt;&gt;"Oui",$H191&lt;&gt;"Non"),"Valeur Oui/Non invalide (Déjà incluse ROKS)",IF(AND($E191&lt;&gt;"PRD",$E191&lt;&gt;"NPRD"),"Environnement invalide",IF(COUNTIFS(TblApplications[ID],$C191,TblApplications[Environnement],$E191,TblApplications[Couloir],$F191)&gt;1,"Déploiement en doublon (ID + env + couloir)",IF(AND(OR(OR($G191="À migrer",$G191="Migré"),OR($G191="À migrer",$G191="À décommissionner")),N($P191)&lt;=0),"Conso Dynatrace absente (onglet Dynatrace)",IF(OR(AND($P191&lt;&gt;"",NOT(ISNUMBER($P191))),AND($Q191&lt;&gt;"",NOT(ISNUMBER($Q191)))),"Ressource non numérique",IF(MIN(N($P191),N($Q191))&lt;0,"Ressource négative",IF(OR(AND($AH191&lt;&gt;"",OR(NOT(ISNUMBER($AH191)),$AH191&lt;0,$AH191&gt;1)),AND($AI191&lt;&gt;"",OR(NOT(ISNUMBER($AI191)),$AI191&lt;0,$AI191&gt;1))),"Marge spécifique invalide (0–100 %)",IF(OR(AND($U191&lt;&gt;"",NOT(ISNUMBER($U191))),AND($V191&lt;&gt;"",NOT(ISNUMBER($V191))),AND($W191&lt;&gt;"",NOT(ISNUMBER($W191)))),"Mois invalide",IF(AND(OR($G191="À migrer",$G191="À décommissionner"),COUNTIFS(TblClusters[Cluster],$I191,TblClusters[Plateforme],"IKS")=0),"Cluster IKS inconnu",IF(AND(OR($G191="À migrer",$G191="Migré"),COUNTIFS(TblClusters[Cluster],$O191,TblClusters[Plateforme],"ROKS")=0),"Cluster ROKS inconnu",IF(AND(OR($G191="À migrer",$G191="À décommissionner"),COUNTIFS(TblClusters[Cluster],$I191,TblClusters[Environnement],$E191)=0),"Environnement ≠ cluster IKS",IF(AND(OR($G191="À migrer",$G191="Migré"),COUNTIFS(TblClusters[Cluster],$O191,TblClusters[Environnement],$E191)=0),"Environnement ≠ cluster ROKS",IF(AND($G191="À migrer",OR($U191&gt;$V191,$V191&gt;$W191)),"Dates incohérentes (prov ≤ bascule ≤ libération)",IF(AND(OR($G191="À migrer",$G191="À décommissionner"),OR(N($AO191)&gt;SUMIFS(TblClusters[CPU initial (vCPU)],TblClusters[Cluster],$I191),N($AP191)&gt;SUMIFS(TblClusters[RAM initiale (Go)],TblClusters[Cluster],$I191))),"Forçage &gt; capacité du cluster source",IF(OR(AND($AA191&lt;&gt;"",$AA191&lt;p_debut),AND($AB191&lt;&gt;"",$AB191&gt;p_fin)),"Hors horizon (info)",IF(AND($G191="À migrer",$E191="PRD",COUNTIFS(TblApplications[ID],$C191,TblApplications[Environnement],"NPRD",TblApplications[Action],"À migrer")&gt;0,$AA191&lt;_xlfn.MINIFS(TblApplications[Mois prov (calc)],TblApplications[ID],$C191,TblApplications[Environnement],"NPRD")),"PRD avant NPRD (info)","OK")))))))))))))))))))))</f>
        <v/>
      </c>
      <c r="AH191" s="62"/>
      <c r="AI191" s="62"/>
      <c r="AJ191" s="27" t="str">
        <f>IF(OR($C191="",NOT(OR($G191="À migrer",$G191="À décommissionner")),NOT(ISNUMBER($S191)),NOT(ISNUMBER($T191)),$AB191=""),"",($S191+p_poidsram*$T191)*SUMIFS(TblCalculs[Coût par unité],TblCalculs[Cluster],$I191,TblCalculs[Mois],"&lt;"&amp;$AB191))</f>
        <v/>
      </c>
      <c r="AK191" s="27" t="str">
        <f>IF($C191="","",IF(AND($G191="À migrer",$H191="Non",$Y191&lt;&gt;"",$AA191&lt;&gt;""),($Y191+p_poidsram*$Z191)*SUMIFS(TblCalculs[Coût par unité],TblCalculs[Cluster],$O191,TblCalculs[Mois],"&gt;="&amp;$AA191),IF(AND($G191="Migré",$Y191&lt;&gt;""),($Y191+p_poidsram*$Z191)*SUMIFS(TblCalculs[Coût par unité],TblCalculs[Cluster],$O191),"")))</f>
        <v/>
      </c>
      <c r="AL191" s="27" t="str">
        <f t="shared" si="22"/>
        <v/>
      </c>
      <c r="AM191" s="26" t="str">
        <f t="shared" si="23"/>
        <v/>
      </c>
      <c r="AN191" s="26" t="str">
        <f>IF(OR($C191="",$AM191&lt;&gt;1,COUNTIFS($E191,ex_envc,$A191,ex_domc,$B191,ex_tric)=0),"",COUNTIFS($AM$6:$AM191,1,$E$6:$E191,ex_envc,$A$6:$A191,ex_domc,$B$6:$B191,ex_tric))</f>
        <v/>
      </c>
      <c r="AO191" s="63"/>
      <c r="AP191" s="63"/>
      <c r="AQ191" s="63"/>
      <c r="AR191" s="63"/>
    </row>
    <row r="192" spans="1:44" x14ac:dyDescent="0.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26" t="str">
        <f t="shared" si="16"/>
        <v/>
      </c>
      <c r="O192" s="59"/>
      <c r="P192" s="60" t="str">
        <f>IF($C192="","",IF($AQ192&lt;&gt;"",$AQ192,SUMIFS(TblDynatrace[CPU P95 (vCPU)],TblDynatrace[ID],$C192,TblDynatrace[Environnement],$E192,TblDynatrace[Couloir],$F192)))</f>
        <v/>
      </c>
      <c r="Q192" s="60" t="str">
        <f>IF($C192="","",IF($AR192&lt;&gt;"",$AR192,SUMIFS(TblDynatrace[RAM P95 (Go)],TblDynatrace[ID],$C192,TblDynatrace[Environnement],$E192,TblDynatrace[Couloir],$F192)))</f>
        <v/>
      </c>
      <c r="R192" s="26" t="str">
        <f>IF($C192="","",IFERROR(INDEX(TblDynatrace[Métrique / période],MATCH($C192&amp;"|"&amp;$E192&amp;"|"&amp;$F192,TblDynatrace[Clé],0)),""))</f>
        <v/>
      </c>
      <c r="S192" s="60" t="str">
        <f>IF(OR($C192="",NOT(OR($G192="À migrer",$G192="À décommissionner")),$I192="",NOT(ISNUMBER($P192))),"",IF($AO192&lt;&gt;"",$AO192,IFERROR(SUMIFS(TblClusters[CPU initial (vCPU)],TblClusters[Cluster],$I192)*$P192/(SUMIFS(TblApplications[CPU Dynatrace (vCPU)],TblApplications[Cluster IKS source],$I192,TblApplications[Action],"À migrer")+SUMIFS(TblApplications[CPU Dynatrace (vCPU)],TblApplications[Cluster IKS source],$I192,TblApplications[Action],"À décommissionner")),0)))</f>
        <v/>
      </c>
      <c r="T192" s="60" t="str">
        <f>IF(OR($C192="",NOT(OR($G192="À migrer",$G192="À décommissionner")),$I192="",NOT(ISNUMBER($Q192))),"",IF($AP192&lt;&gt;"",$AP192,IFERROR(SUMIFS(TblClusters[RAM initiale (Go)],TblClusters[Cluster],$I192)*$Q192/(SUMIFS(TblApplications[RAM Dynatrace (Go)],TblApplications[Cluster IKS source],$I192,TblApplications[Action],"À migrer")+SUMIFS(TblApplications[RAM Dynatrace (Go)],TblApplications[Cluster IKS source],$I192,TblApplications[Action],"À décommissionner")),0)))</f>
        <v/>
      </c>
      <c r="U192" s="61"/>
      <c r="V192" s="61"/>
      <c r="W192" s="61"/>
      <c r="X192" s="59"/>
      <c r="Y192" s="26" t="str">
        <f t="shared" si="17"/>
        <v/>
      </c>
      <c r="Z192" s="26" t="str">
        <f t="shared" si="18"/>
        <v/>
      </c>
      <c r="AA192" s="33" t="str">
        <f t="shared" si="19"/>
        <v/>
      </c>
      <c r="AB192" s="33" t="str">
        <f t="shared" si="20"/>
        <v/>
      </c>
      <c r="AC192" s="26" t="str">
        <f t="shared" si="21"/>
        <v/>
      </c>
      <c r="AD192" s="26" t="str">
        <f>IF($C192="","",COUNTIF(TblApplications[ID],$C192))</f>
        <v/>
      </c>
      <c r="AE192" s="33" t="str">
        <f>IF($C192="","",IFERROR(1/(1/_xlfn.MINIFS(TblApplications[Mois prov (calc)],TblApplications[ID],$C192)),""))</f>
        <v/>
      </c>
      <c r="AF192" s="33" t="str">
        <f>IF($C192="","",IFERROR(1/(1/_xlfn.MAXIFS(TblApplications[Mois lib (calc)],TblApplications[ID],$C192)),""))</f>
        <v/>
      </c>
      <c r="AG192" s="26" t="str">
        <f>IF($C192="","",IF(OR(OR($A192="",$B192="",$D192="",$E192="",$F192="",$G192=""),AND($G192="À migrer",OR($H192="",$I192="",$O192="",$U192="",$V192="",$W192="")),AND($G192="Migré",OR($O192="")),AND($G192="À décommissionner",OR($I192="",$W192=""))),"Données manquantes (selon l’action)",IF(AND($G192&lt;&gt;"Migré",$G192&lt;&gt;"À migrer",$G192&lt;&gt;"À décommissionner",$G192&lt;&gt;"Décommissionné"),"Action invalide",IF(COUNTIF(TblDomaines[Domaine],$A192)=0,"Domaine inconnu (référentiel)",IF(COUNTIFS(TblTribes[Tribe],$B192,TblTribes[Domaine de la tribe],$A192)=0,"Tribe inconnue ou hors domaine",IF(AND($G192="À migrer",$H192&lt;&gt;"Oui",$H192&lt;&gt;"Non"),"Valeur Oui/Non invalide (Déjà incluse ROKS)",IF(AND($E192&lt;&gt;"PRD",$E192&lt;&gt;"NPRD"),"Environnement invalide",IF(COUNTIFS(TblApplications[ID],$C192,TblApplications[Environnement],$E192,TblApplications[Couloir],$F192)&gt;1,"Déploiement en doublon (ID + env + couloir)",IF(AND(OR(OR($G192="À migrer",$G192="Migré"),OR($G192="À migrer",$G192="À décommissionner")),N($P192)&lt;=0),"Conso Dynatrace absente (onglet Dynatrace)",IF(OR(AND($P192&lt;&gt;"",NOT(ISNUMBER($P192))),AND($Q192&lt;&gt;"",NOT(ISNUMBER($Q192)))),"Ressource non numérique",IF(MIN(N($P192),N($Q192))&lt;0,"Ressource négative",IF(OR(AND($AH192&lt;&gt;"",OR(NOT(ISNUMBER($AH192)),$AH192&lt;0,$AH192&gt;1)),AND($AI192&lt;&gt;"",OR(NOT(ISNUMBER($AI192)),$AI192&lt;0,$AI192&gt;1))),"Marge spécifique invalide (0–100 %)",IF(OR(AND($U192&lt;&gt;"",NOT(ISNUMBER($U192))),AND($V192&lt;&gt;"",NOT(ISNUMBER($V192))),AND($W192&lt;&gt;"",NOT(ISNUMBER($W192)))),"Mois invalide",IF(AND(OR($G192="À migrer",$G192="À décommissionner"),COUNTIFS(TblClusters[Cluster],$I192,TblClusters[Plateforme],"IKS")=0),"Cluster IKS inconnu",IF(AND(OR($G192="À migrer",$G192="Migré"),COUNTIFS(TblClusters[Cluster],$O192,TblClusters[Plateforme],"ROKS")=0),"Cluster ROKS inconnu",IF(AND(OR($G192="À migrer",$G192="À décommissionner"),COUNTIFS(TblClusters[Cluster],$I192,TblClusters[Environnement],$E192)=0),"Environnement ≠ cluster IKS",IF(AND(OR($G192="À migrer",$G192="Migré"),COUNTIFS(TblClusters[Cluster],$O192,TblClusters[Environnement],$E192)=0),"Environnement ≠ cluster ROKS",IF(AND($G192="À migrer",OR($U192&gt;$V192,$V192&gt;$W192)),"Dates incohérentes (prov ≤ bascule ≤ libération)",IF(AND(OR($G192="À migrer",$G192="À décommissionner"),OR(N($AO192)&gt;SUMIFS(TblClusters[CPU initial (vCPU)],TblClusters[Cluster],$I192),N($AP192)&gt;SUMIFS(TblClusters[RAM initiale (Go)],TblClusters[Cluster],$I192))),"Forçage &gt; capacité du cluster source",IF(OR(AND($AA192&lt;&gt;"",$AA192&lt;p_debut),AND($AB192&lt;&gt;"",$AB192&gt;p_fin)),"Hors horizon (info)",IF(AND($G192="À migrer",$E192="PRD",COUNTIFS(TblApplications[ID],$C192,TblApplications[Environnement],"NPRD",TblApplications[Action],"À migrer")&gt;0,$AA192&lt;_xlfn.MINIFS(TblApplications[Mois prov (calc)],TblApplications[ID],$C192,TblApplications[Environnement],"NPRD")),"PRD avant NPRD (info)","OK")))))))))))))))))))))</f>
        <v/>
      </c>
      <c r="AH192" s="62"/>
      <c r="AI192" s="62"/>
      <c r="AJ192" s="27" t="str">
        <f>IF(OR($C192="",NOT(OR($G192="À migrer",$G192="À décommissionner")),NOT(ISNUMBER($S192)),NOT(ISNUMBER($T192)),$AB192=""),"",($S192+p_poidsram*$T192)*SUMIFS(TblCalculs[Coût par unité],TblCalculs[Cluster],$I192,TblCalculs[Mois],"&lt;"&amp;$AB192))</f>
        <v/>
      </c>
      <c r="AK192" s="27" t="str">
        <f>IF($C192="","",IF(AND($G192="À migrer",$H192="Non",$Y192&lt;&gt;"",$AA192&lt;&gt;""),($Y192+p_poidsram*$Z192)*SUMIFS(TblCalculs[Coût par unité],TblCalculs[Cluster],$O192,TblCalculs[Mois],"&gt;="&amp;$AA192),IF(AND($G192="Migré",$Y192&lt;&gt;""),($Y192+p_poidsram*$Z192)*SUMIFS(TblCalculs[Coût par unité],TblCalculs[Cluster],$O192),"")))</f>
        <v/>
      </c>
      <c r="AL192" s="27" t="str">
        <f t="shared" si="22"/>
        <v/>
      </c>
      <c r="AM192" s="26" t="str">
        <f t="shared" si="23"/>
        <v/>
      </c>
      <c r="AN192" s="26" t="str">
        <f>IF(OR($C192="",$AM192&lt;&gt;1,COUNTIFS($E192,ex_envc,$A192,ex_domc,$B192,ex_tric)=0),"",COUNTIFS($AM$6:$AM192,1,$E$6:$E192,ex_envc,$A$6:$A192,ex_domc,$B$6:$B192,ex_tric))</f>
        <v/>
      </c>
      <c r="AO192" s="63"/>
      <c r="AP192" s="63"/>
      <c r="AQ192" s="63"/>
      <c r="AR192" s="63"/>
    </row>
    <row r="193" spans="1:44" x14ac:dyDescent="0.2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26" t="str">
        <f t="shared" si="16"/>
        <v/>
      </c>
      <c r="O193" s="59"/>
      <c r="P193" s="60" t="str">
        <f>IF($C193="","",IF($AQ193&lt;&gt;"",$AQ193,SUMIFS(TblDynatrace[CPU P95 (vCPU)],TblDynatrace[ID],$C193,TblDynatrace[Environnement],$E193,TblDynatrace[Couloir],$F193)))</f>
        <v/>
      </c>
      <c r="Q193" s="60" t="str">
        <f>IF($C193="","",IF($AR193&lt;&gt;"",$AR193,SUMIFS(TblDynatrace[RAM P95 (Go)],TblDynatrace[ID],$C193,TblDynatrace[Environnement],$E193,TblDynatrace[Couloir],$F193)))</f>
        <v/>
      </c>
      <c r="R193" s="26" t="str">
        <f>IF($C193="","",IFERROR(INDEX(TblDynatrace[Métrique / période],MATCH($C193&amp;"|"&amp;$E193&amp;"|"&amp;$F193,TblDynatrace[Clé],0)),""))</f>
        <v/>
      </c>
      <c r="S193" s="60" t="str">
        <f>IF(OR($C193="",NOT(OR($G193="À migrer",$G193="À décommissionner")),$I193="",NOT(ISNUMBER($P193))),"",IF($AO193&lt;&gt;"",$AO193,IFERROR(SUMIFS(TblClusters[CPU initial (vCPU)],TblClusters[Cluster],$I193)*$P193/(SUMIFS(TblApplications[CPU Dynatrace (vCPU)],TblApplications[Cluster IKS source],$I193,TblApplications[Action],"À migrer")+SUMIFS(TblApplications[CPU Dynatrace (vCPU)],TblApplications[Cluster IKS source],$I193,TblApplications[Action],"À décommissionner")),0)))</f>
        <v/>
      </c>
      <c r="T193" s="60" t="str">
        <f>IF(OR($C193="",NOT(OR($G193="À migrer",$G193="À décommissionner")),$I193="",NOT(ISNUMBER($Q193))),"",IF($AP193&lt;&gt;"",$AP193,IFERROR(SUMIFS(TblClusters[RAM initiale (Go)],TblClusters[Cluster],$I193)*$Q193/(SUMIFS(TblApplications[RAM Dynatrace (Go)],TblApplications[Cluster IKS source],$I193,TblApplications[Action],"À migrer")+SUMIFS(TblApplications[RAM Dynatrace (Go)],TblApplications[Cluster IKS source],$I193,TblApplications[Action],"À décommissionner")),0)))</f>
        <v/>
      </c>
      <c r="U193" s="61"/>
      <c r="V193" s="61"/>
      <c r="W193" s="61"/>
      <c r="X193" s="59"/>
      <c r="Y193" s="26" t="str">
        <f t="shared" si="17"/>
        <v/>
      </c>
      <c r="Z193" s="26" t="str">
        <f t="shared" si="18"/>
        <v/>
      </c>
      <c r="AA193" s="33" t="str">
        <f t="shared" si="19"/>
        <v/>
      </c>
      <c r="AB193" s="33" t="str">
        <f t="shared" si="20"/>
        <v/>
      </c>
      <c r="AC193" s="26" t="str">
        <f t="shared" si="21"/>
        <v/>
      </c>
      <c r="AD193" s="26" t="str">
        <f>IF($C193="","",COUNTIF(TblApplications[ID],$C193))</f>
        <v/>
      </c>
      <c r="AE193" s="33" t="str">
        <f>IF($C193="","",IFERROR(1/(1/_xlfn.MINIFS(TblApplications[Mois prov (calc)],TblApplications[ID],$C193)),""))</f>
        <v/>
      </c>
      <c r="AF193" s="33" t="str">
        <f>IF($C193="","",IFERROR(1/(1/_xlfn.MAXIFS(TblApplications[Mois lib (calc)],TblApplications[ID],$C193)),""))</f>
        <v/>
      </c>
      <c r="AG193" s="26" t="str">
        <f>IF($C193="","",IF(OR(OR($A193="",$B193="",$D193="",$E193="",$F193="",$G193=""),AND($G193="À migrer",OR($H193="",$I193="",$O193="",$U193="",$V193="",$W193="")),AND($G193="Migré",OR($O193="")),AND($G193="À décommissionner",OR($I193="",$W193=""))),"Données manquantes (selon l’action)",IF(AND($G193&lt;&gt;"Migré",$G193&lt;&gt;"À migrer",$G193&lt;&gt;"À décommissionner",$G193&lt;&gt;"Décommissionné"),"Action invalide",IF(COUNTIF(TblDomaines[Domaine],$A193)=0,"Domaine inconnu (référentiel)",IF(COUNTIFS(TblTribes[Tribe],$B193,TblTribes[Domaine de la tribe],$A193)=0,"Tribe inconnue ou hors domaine",IF(AND($G193="À migrer",$H193&lt;&gt;"Oui",$H193&lt;&gt;"Non"),"Valeur Oui/Non invalide (Déjà incluse ROKS)",IF(AND($E193&lt;&gt;"PRD",$E193&lt;&gt;"NPRD"),"Environnement invalide",IF(COUNTIFS(TblApplications[ID],$C193,TblApplications[Environnement],$E193,TblApplications[Couloir],$F193)&gt;1,"Déploiement en doublon (ID + env + couloir)",IF(AND(OR(OR($G193="À migrer",$G193="Migré"),OR($G193="À migrer",$G193="À décommissionner")),N($P193)&lt;=0),"Conso Dynatrace absente (onglet Dynatrace)",IF(OR(AND($P193&lt;&gt;"",NOT(ISNUMBER($P193))),AND($Q193&lt;&gt;"",NOT(ISNUMBER($Q193)))),"Ressource non numérique",IF(MIN(N($P193),N($Q193))&lt;0,"Ressource négative",IF(OR(AND($AH193&lt;&gt;"",OR(NOT(ISNUMBER($AH193)),$AH193&lt;0,$AH193&gt;1)),AND($AI193&lt;&gt;"",OR(NOT(ISNUMBER($AI193)),$AI193&lt;0,$AI193&gt;1))),"Marge spécifique invalide (0–100 %)",IF(OR(AND($U193&lt;&gt;"",NOT(ISNUMBER($U193))),AND($V193&lt;&gt;"",NOT(ISNUMBER($V193))),AND($W193&lt;&gt;"",NOT(ISNUMBER($W193)))),"Mois invalide",IF(AND(OR($G193="À migrer",$G193="À décommissionner"),COUNTIFS(TblClusters[Cluster],$I193,TblClusters[Plateforme],"IKS")=0),"Cluster IKS inconnu",IF(AND(OR($G193="À migrer",$G193="Migré"),COUNTIFS(TblClusters[Cluster],$O193,TblClusters[Plateforme],"ROKS")=0),"Cluster ROKS inconnu",IF(AND(OR($G193="À migrer",$G193="À décommissionner"),COUNTIFS(TblClusters[Cluster],$I193,TblClusters[Environnement],$E193)=0),"Environnement ≠ cluster IKS",IF(AND(OR($G193="À migrer",$G193="Migré"),COUNTIFS(TblClusters[Cluster],$O193,TblClusters[Environnement],$E193)=0),"Environnement ≠ cluster ROKS",IF(AND($G193="À migrer",OR($U193&gt;$V193,$V193&gt;$W193)),"Dates incohérentes (prov ≤ bascule ≤ libération)",IF(AND(OR($G193="À migrer",$G193="À décommissionner"),OR(N($AO193)&gt;SUMIFS(TblClusters[CPU initial (vCPU)],TblClusters[Cluster],$I193),N($AP193)&gt;SUMIFS(TblClusters[RAM initiale (Go)],TblClusters[Cluster],$I193))),"Forçage &gt; capacité du cluster source",IF(OR(AND($AA193&lt;&gt;"",$AA193&lt;p_debut),AND($AB193&lt;&gt;"",$AB193&gt;p_fin)),"Hors horizon (info)",IF(AND($G193="À migrer",$E193="PRD",COUNTIFS(TblApplications[ID],$C193,TblApplications[Environnement],"NPRD",TblApplications[Action],"À migrer")&gt;0,$AA193&lt;_xlfn.MINIFS(TblApplications[Mois prov (calc)],TblApplications[ID],$C193,TblApplications[Environnement],"NPRD")),"PRD avant NPRD (info)","OK")))))))))))))))))))))</f>
        <v/>
      </c>
      <c r="AH193" s="62"/>
      <c r="AI193" s="62"/>
      <c r="AJ193" s="27" t="str">
        <f>IF(OR($C193="",NOT(OR($G193="À migrer",$G193="À décommissionner")),NOT(ISNUMBER($S193)),NOT(ISNUMBER($T193)),$AB193=""),"",($S193+p_poidsram*$T193)*SUMIFS(TblCalculs[Coût par unité],TblCalculs[Cluster],$I193,TblCalculs[Mois],"&lt;"&amp;$AB193))</f>
        <v/>
      </c>
      <c r="AK193" s="27" t="str">
        <f>IF($C193="","",IF(AND($G193="À migrer",$H193="Non",$Y193&lt;&gt;"",$AA193&lt;&gt;""),($Y193+p_poidsram*$Z193)*SUMIFS(TblCalculs[Coût par unité],TblCalculs[Cluster],$O193,TblCalculs[Mois],"&gt;="&amp;$AA193),IF(AND($G193="Migré",$Y193&lt;&gt;""),($Y193+p_poidsram*$Z193)*SUMIFS(TblCalculs[Coût par unité],TblCalculs[Cluster],$O193),"")))</f>
        <v/>
      </c>
      <c r="AL193" s="27" t="str">
        <f t="shared" si="22"/>
        <v/>
      </c>
      <c r="AM193" s="26" t="str">
        <f t="shared" si="23"/>
        <v/>
      </c>
      <c r="AN193" s="26" t="str">
        <f>IF(OR($C193="",$AM193&lt;&gt;1,COUNTIFS($E193,ex_envc,$A193,ex_domc,$B193,ex_tric)=0),"",COUNTIFS($AM$6:$AM193,1,$E$6:$E193,ex_envc,$A$6:$A193,ex_domc,$B$6:$B193,ex_tric))</f>
        <v/>
      </c>
      <c r="AO193" s="63"/>
      <c r="AP193" s="63"/>
      <c r="AQ193" s="63"/>
      <c r="AR193" s="63"/>
    </row>
    <row r="194" spans="1:44" x14ac:dyDescent="0.2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26" t="str">
        <f t="shared" si="16"/>
        <v/>
      </c>
      <c r="O194" s="59"/>
      <c r="P194" s="60" t="str">
        <f>IF($C194="","",IF($AQ194&lt;&gt;"",$AQ194,SUMIFS(TblDynatrace[CPU P95 (vCPU)],TblDynatrace[ID],$C194,TblDynatrace[Environnement],$E194,TblDynatrace[Couloir],$F194)))</f>
        <v/>
      </c>
      <c r="Q194" s="60" t="str">
        <f>IF($C194="","",IF($AR194&lt;&gt;"",$AR194,SUMIFS(TblDynatrace[RAM P95 (Go)],TblDynatrace[ID],$C194,TblDynatrace[Environnement],$E194,TblDynatrace[Couloir],$F194)))</f>
        <v/>
      </c>
      <c r="R194" s="26" t="str">
        <f>IF($C194="","",IFERROR(INDEX(TblDynatrace[Métrique / période],MATCH($C194&amp;"|"&amp;$E194&amp;"|"&amp;$F194,TblDynatrace[Clé],0)),""))</f>
        <v/>
      </c>
      <c r="S194" s="60" t="str">
        <f>IF(OR($C194="",NOT(OR($G194="À migrer",$G194="À décommissionner")),$I194="",NOT(ISNUMBER($P194))),"",IF($AO194&lt;&gt;"",$AO194,IFERROR(SUMIFS(TblClusters[CPU initial (vCPU)],TblClusters[Cluster],$I194)*$P194/(SUMIFS(TblApplications[CPU Dynatrace (vCPU)],TblApplications[Cluster IKS source],$I194,TblApplications[Action],"À migrer")+SUMIFS(TblApplications[CPU Dynatrace (vCPU)],TblApplications[Cluster IKS source],$I194,TblApplications[Action],"À décommissionner")),0)))</f>
        <v/>
      </c>
      <c r="T194" s="60" t="str">
        <f>IF(OR($C194="",NOT(OR($G194="À migrer",$G194="À décommissionner")),$I194="",NOT(ISNUMBER($Q194))),"",IF($AP194&lt;&gt;"",$AP194,IFERROR(SUMIFS(TblClusters[RAM initiale (Go)],TblClusters[Cluster],$I194)*$Q194/(SUMIFS(TblApplications[RAM Dynatrace (Go)],TblApplications[Cluster IKS source],$I194,TblApplications[Action],"À migrer")+SUMIFS(TblApplications[RAM Dynatrace (Go)],TblApplications[Cluster IKS source],$I194,TblApplications[Action],"À décommissionner")),0)))</f>
        <v/>
      </c>
      <c r="U194" s="61"/>
      <c r="V194" s="61"/>
      <c r="W194" s="61"/>
      <c r="X194" s="59"/>
      <c r="Y194" s="26" t="str">
        <f t="shared" si="17"/>
        <v/>
      </c>
      <c r="Z194" s="26" t="str">
        <f t="shared" si="18"/>
        <v/>
      </c>
      <c r="AA194" s="33" t="str">
        <f t="shared" si="19"/>
        <v/>
      </c>
      <c r="AB194" s="33" t="str">
        <f t="shared" si="20"/>
        <v/>
      </c>
      <c r="AC194" s="26" t="str">
        <f t="shared" si="21"/>
        <v/>
      </c>
      <c r="AD194" s="26" t="str">
        <f>IF($C194="","",COUNTIF(TblApplications[ID],$C194))</f>
        <v/>
      </c>
      <c r="AE194" s="33" t="str">
        <f>IF($C194="","",IFERROR(1/(1/_xlfn.MINIFS(TblApplications[Mois prov (calc)],TblApplications[ID],$C194)),""))</f>
        <v/>
      </c>
      <c r="AF194" s="33" t="str">
        <f>IF($C194="","",IFERROR(1/(1/_xlfn.MAXIFS(TblApplications[Mois lib (calc)],TblApplications[ID],$C194)),""))</f>
        <v/>
      </c>
      <c r="AG194" s="26" t="str">
        <f>IF($C194="","",IF(OR(OR($A194="",$B194="",$D194="",$E194="",$F194="",$G194=""),AND($G194="À migrer",OR($H194="",$I194="",$O194="",$U194="",$V194="",$W194="")),AND($G194="Migré",OR($O194="")),AND($G194="À décommissionner",OR($I194="",$W194=""))),"Données manquantes (selon l’action)",IF(AND($G194&lt;&gt;"Migré",$G194&lt;&gt;"À migrer",$G194&lt;&gt;"À décommissionner",$G194&lt;&gt;"Décommissionné"),"Action invalide",IF(COUNTIF(TblDomaines[Domaine],$A194)=0,"Domaine inconnu (référentiel)",IF(COUNTIFS(TblTribes[Tribe],$B194,TblTribes[Domaine de la tribe],$A194)=0,"Tribe inconnue ou hors domaine",IF(AND($G194="À migrer",$H194&lt;&gt;"Oui",$H194&lt;&gt;"Non"),"Valeur Oui/Non invalide (Déjà incluse ROKS)",IF(AND($E194&lt;&gt;"PRD",$E194&lt;&gt;"NPRD"),"Environnement invalide",IF(COUNTIFS(TblApplications[ID],$C194,TblApplications[Environnement],$E194,TblApplications[Couloir],$F194)&gt;1,"Déploiement en doublon (ID + env + couloir)",IF(AND(OR(OR($G194="À migrer",$G194="Migré"),OR($G194="À migrer",$G194="À décommissionner")),N($P194)&lt;=0),"Conso Dynatrace absente (onglet Dynatrace)",IF(OR(AND($P194&lt;&gt;"",NOT(ISNUMBER($P194))),AND($Q194&lt;&gt;"",NOT(ISNUMBER($Q194)))),"Ressource non numérique",IF(MIN(N($P194),N($Q194))&lt;0,"Ressource négative",IF(OR(AND($AH194&lt;&gt;"",OR(NOT(ISNUMBER($AH194)),$AH194&lt;0,$AH194&gt;1)),AND($AI194&lt;&gt;"",OR(NOT(ISNUMBER($AI194)),$AI194&lt;0,$AI194&gt;1))),"Marge spécifique invalide (0–100 %)",IF(OR(AND($U194&lt;&gt;"",NOT(ISNUMBER($U194))),AND($V194&lt;&gt;"",NOT(ISNUMBER($V194))),AND($W194&lt;&gt;"",NOT(ISNUMBER($W194)))),"Mois invalide",IF(AND(OR($G194="À migrer",$G194="À décommissionner"),COUNTIFS(TblClusters[Cluster],$I194,TblClusters[Plateforme],"IKS")=0),"Cluster IKS inconnu",IF(AND(OR($G194="À migrer",$G194="Migré"),COUNTIFS(TblClusters[Cluster],$O194,TblClusters[Plateforme],"ROKS")=0),"Cluster ROKS inconnu",IF(AND(OR($G194="À migrer",$G194="À décommissionner"),COUNTIFS(TblClusters[Cluster],$I194,TblClusters[Environnement],$E194)=0),"Environnement ≠ cluster IKS",IF(AND(OR($G194="À migrer",$G194="Migré"),COUNTIFS(TblClusters[Cluster],$O194,TblClusters[Environnement],$E194)=0),"Environnement ≠ cluster ROKS",IF(AND($G194="À migrer",OR($U194&gt;$V194,$V194&gt;$W194)),"Dates incohérentes (prov ≤ bascule ≤ libération)",IF(AND(OR($G194="À migrer",$G194="À décommissionner"),OR(N($AO194)&gt;SUMIFS(TblClusters[CPU initial (vCPU)],TblClusters[Cluster],$I194),N($AP194)&gt;SUMIFS(TblClusters[RAM initiale (Go)],TblClusters[Cluster],$I194))),"Forçage &gt; capacité du cluster source",IF(OR(AND($AA194&lt;&gt;"",$AA194&lt;p_debut),AND($AB194&lt;&gt;"",$AB194&gt;p_fin)),"Hors horizon (info)",IF(AND($G194="À migrer",$E194="PRD",COUNTIFS(TblApplications[ID],$C194,TblApplications[Environnement],"NPRD",TblApplications[Action],"À migrer")&gt;0,$AA194&lt;_xlfn.MINIFS(TblApplications[Mois prov (calc)],TblApplications[ID],$C194,TblApplications[Environnement],"NPRD")),"PRD avant NPRD (info)","OK")))))))))))))))))))))</f>
        <v/>
      </c>
      <c r="AH194" s="62"/>
      <c r="AI194" s="62"/>
      <c r="AJ194" s="27" t="str">
        <f>IF(OR($C194="",NOT(OR($G194="À migrer",$G194="À décommissionner")),NOT(ISNUMBER($S194)),NOT(ISNUMBER($T194)),$AB194=""),"",($S194+p_poidsram*$T194)*SUMIFS(TblCalculs[Coût par unité],TblCalculs[Cluster],$I194,TblCalculs[Mois],"&lt;"&amp;$AB194))</f>
        <v/>
      </c>
      <c r="AK194" s="27" t="str">
        <f>IF($C194="","",IF(AND($G194="À migrer",$H194="Non",$Y194&lt;&gt;"",$AA194&lt;&gt;""),($Y194+p_poidsram*$Z194)*SUMIFS(TblCalculs[Coût par unité],TblCalculs[Cluster],$O194,TblCalculs[Mois],"&gt;="&amp;$AA194),IF(AND($G194="Migré",$Y194&lt;&gt;""),($Y194+p_poidsram*$Z194)*SUMIFS(TblCalculs[Coût par unité],TblCalculs[Cluster],$O194),"")))</f>
        <v/>
      </c>
      <c r="AL194" s="27" t="str">
        <f t="shared" si="22"/>
        <v/>
      </c>
      <c r="AM194" s="26" t="str">
        <f t="shared" si="23"/>
        <v/>
      </c>
      <c r="AN194" s="26" t="str">
        <f>IF(OR($C194="",$AM194&lt;&gt;1,COUNTIFS($E194,ex_envc,$A194,ex_domc,$B194,ex_tric)=0),"",COUNTIFS($AM$6:$AM194,1,$E$6:$E194,ex_envc,$A$6:$A194,ex_domc,$B$6:$B194,ex_tric))</f>
        <v/>
      </c>
      <c r="AO194" s="63"/>
      <c r="AP194" s="63"/>
      <c r="AQ194" s="63"/>
      <c r="AR194" s="63"/>
    </row>
    <row r="195" spans="1:44" x14ac:dyDescent="0.2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26" t="str">
        <f t="shared" si="16"/>
        <v/>
      </c>
      <c r="O195" s="59"/>
      <c r="P195" s="60" t="str">
        <f>IF($C195="","",IF($AQ195&lt;&gt;"",$AQ195,SUMIFS(TblDynatrace[CPU P95 (vCPU)],TblDynatrace[ID],$C195,TblDynatrace[Environnement],$E195,TblDynatrace[Couloir],$F195)))</f>
        <v/>
      </c>
      <c r="Q195" s="60" t="str">
        <f>IF($C195="","",IF($AR195&lt;&gt;"",$AR195,SUMIFS(TblDynatrace[RAM P95 (Go)],TblDynatrace[ID],$C195,TblDynatrace[Environnement],$E195,TblDynatrace[Couloir],$F195)))</f>
        <v/>
      </c>
      <c r="R195" s="26" t="str">
        <f>IF($C195="","",IFERROR(INDEX(TblDynatrace[Métrique / période],MATCH($C195&amp;"|"&amp;$E195&amp;"|"&amp;$F195,TblDynatrace[Clé],0)),""))</f>
        <v/>
      </c>
      <c r="S195" s="60" t="str">
        <f>IF(OR($C195="",NOT(OR($G195="À migrer",$G195="À décommissionner")),$I195="",NOT(ISNUMBER($P195))),"",IF($AO195&lt;&gt;"",$AO195,IFERROR(SUMIFS(TblClusters[CPU initial (vCPU)],TblClusters[Cluster],$I195)*$P195/(SUMIFS(TblApplications[CPU Dynatrace (vCPU)],TblApplications[Cluster IKS source],$I195,TblApplications[Action],"À migrer")+SUMIFS(TblApplications[CPU Dynatrace (vCPU)],TblApplications[Cluster IKS source],$I195,TblApplications[Action],"À décommissionner")),0)))</f>
        <v/>
      </c>
      <c r="T195" s="60" t="str">
        <f>IF(OR($C195="",NOT(OR($G195="À migrer",$G195="À décommissionner")),$I195="",NOT(ISNUMBER($Q195))),"",IF($AP195&lt;&gt;"",$AP195,IFERROR(SUMIFS(TblClusters[RAM initiale (Go)],TblClusters[Cluster],$I195)*$Q195/(SUMIFS(TblApplications[RAM Dynatrace (Go)],TblApplications[Cluster IKS source],$I195,TblApplications[Action],"À migrer")+SUMIFS(TblApplications[RAM Dynatrace (Go)],TblApplications[Cluster IKS source],$I195,TblApplications[Action],"À décommissionner")),0)))</f>
        <v/>
      </c>
      <c r="U195" s="61"/>
      <c r="V195" s="61"/>
      <c r="W195" s="61"/>
      <c r="X195" s="59"/>
      <c r="Y195" s="26" t="str">
        <f t="shared" si="17"/>
        <v/>
      </c>
      <c r="Z195" s="26" t="str">
        <f t="shared" si="18"/>
        <v/>
      </c>
      <c r="AA195" s="33" t="str">
        <f t="shared" si="19"/>
        <v/>
      </c>
      <c r="AB195" s="33" t="str">
        <f t="shared" si="20"/>
        <v/>
      </c>
      <c r="AC195" s="26" t="str">
        <f t="shared" si="21"/>
        <v/>
      </c>
      <c r="AD195" s="26" t="str">
        <f>IF($C195="","",COUNTIF(TblApplications[ID],$C195))</f>
        <v/>
      </c>
      <c r="AE195" s="33" t="str">
        <f>IF($C195="","",IFERROR(1/(1/_xlfn.MINIFS(TblApplications[Mois prov (calc)],TblApplications[ID],$C195)),""))</f>
        <v/>
      </c>
      <c r="AF195" s="33" t="str">
        <f>IF($C195="","",IFERROR(1/(1/_xlfn.MAXIFS(TblApplications[Mois lib (calc)],TblApplications[ID],$C195)),""))</f>
        <v/>
      </c>
      <c r="AG195" s="26" t="str">
        <f>IF($C195="","",IF(OR(OR($A195="",$B195="",$D195="",$E195="",$F195="",$G195=""),AND($G195="À migrer",OR($H195="",$I195="",$O195="",$U195="",$V195="",$W195="")),AND($G195="Migré",OR($O195="")),AND($G195="À décommissionner",OR($I195="",$W195=""))),"Données manquantes (selon l’action)",IF(AND($G195&lt;&gt;"Migré",$G195&lt;&gt;"À migrer",$G195&lt;&gt;"À décommissionner",$G195&lt;&gt;"Décommissionné"),"Action invalide",IF(COUNTIF(TblDomaines[Domaine],$A195)=0,"Domaine inconnu (référentiel)",IF(COUNTIFS(TblTribes[Tribe],$B195,TblTribes[Domaine de la tribe],$A195)=0,"Tribe inconnue ou hors domaine",IF(AND($G195="À migrer",$H195&lt;&gt;"Oui",$H195&lt;&gt;"Non"),"Valeur Oui/Non invalide (Déjà incluse ROKS)",IF(AND($E195&lt;&gt;"PRD",$E195&lt;&gt;"NPRD"),"Environnement invalide",IF(COUNTIFS(TblApplications[ID],$C195,TblApplications[Environnement],$E195,TblApplications[Couloir],$F195)&gt;1,"Déploiement en doublon (ID + env + couloir)",IF(AND(OR(OR($G195="À migrer",$G195="Migré"),OR($G195="À migrer",$G195="À décommissionner")),N($P195)&lt;=0),"Conso Dynatrace absente (onglet Dynatrace)",IF(OR(AND($P195&lt;&gt;"",NOT(ISNUMBER($P195))),AND($Q195&lt;&gt;"",NOT(ISNUMBER($Q195)))),"Ressource non numérique",IF(MIN(N($P195),N($Q195))&lt;0,"Ressource négative",IF(OR(AND($AH195&lt;&gt;"",OR(NOT(ISNUMBER($AH195)),$AH195&lt;0,$AH195&gt;1)),AND($AI195&lt;&gt;"",OR(NOT(ISNUMBER($AI195)),$AI195&lt;0,$AI195&gt;1))),"Marge spécifique invalide (0–100 %)",IF(OR(AND($U195&lt;&gt;"",NOT(ISNUMBER($U195))),AND($V195&lt;&gt;"",NOT(ISNUMBER($V195))),AND($W195&lt;&gt;"",NOT(ISNUMBER($W195)))),"Mois invalide",IF(AND(OR($G195="À migrer",$G195="À décommissionner"),COUNTIFS(TblClusters[Cluster],$I195,TblClusters[Plateforme],"IKS")=0),"Cluster IKS inconnu",IF(AND(OR($G195="À migrer",$G195="Migré"),COUNTIFS(TblClusters[Cluster],$O195,TblClusters[Plateforme],"ROKS")=0),"Cluster ROKS inconnu",IF(AND(OR($G195="À migrer",$G195="À décommissionner"),COUNTIFS(TblClusters[Cluster],$I195,TblClusters[Environnement],$E195)=0),"Environnement ≠ cluster IKS",IF(AND(OR($G195="À migrer",$G195="Migré"),COUNTIFS(TblClusters[Cluster],$O195,TblClusters[Environnement],$E195)=0),"Environnement ≠ cluster ROKS",IF(AND($G195="À migrer",OR($U195&gt;$V195,$V195&gt;$W195)),"Dates incohérentes (prov ≤ bascule ≤ libération)",IF(AND(OR($G195="À migrer",$G195="À décommissionner"),OR(N($AO195)&gt;SUMIFS(TblClusters[CPU initial (vCPU)],TblClusters[Cluster],$I195),N($AP195)&gt;SUMIFS(TblClusters[RAM initiale (Go)],TblClusters[Cluster],$I195))),"Forçage &gt; capacité du cluster source",IF(OR(AND($AA195&lt;&gt;"",$AA195&lt;p_debut),AND($AB195&lt;&gt;"",$AB195&gt;p_fin)),"Hors horizon (info)",IF(AND($G195="À migrer",$E195="PRD",COUNTIFS(TblApplications[ID],$C195,TblApplications[Environnement],"NPRD",TblApplications[Action],"À migrer")&gt;0,$AA195&lt;_xlfn.MINIFS(TblApplications[Mois prov (calc)],TblApplications[ID],$C195,TblApplications[Environnement],"NPRD")),"PRD avant NPRD (info)","OK")))))))))))))))))))))</f>
        <v/>
      </c>
      <c r="AH195" s="62"/>
      <c r="AI195" s="62"/>
      <c r="AJ195" s="27" t="str">
        <f>IF(OR($C195="",NOT(OR($G195="À migrer",$G195="À décommissionner")),NOT(ISNUMBER($S195)),NOT(ISNUMBER($T195)),$AB195=""),"",($S195+p_poidsram*$T195)*SUMIFS(TblCalculs[Coût par unité],TblCalculs[Cluster],$I195,TblCalculs[Mois],"&lt;"&amp;$AB195))</f>
        <v/>
      </c>
      <c r="AK195" s="27" t="str">
        <f>IF($C195="","",IF(AND($G195="À migrer",$H195="Non",$Y195&lt;&gt;"",$AA195&lt;&gt;""),($Y195+p_poidsram*$Z195)*SUMIFS(TblCalculs[Coût par unité],TblCalculs[Cluster],$O195,TblCalculs[Mois],"&gt;="&amp;$AA195),IF(AND($G195="Migré",$Y195&lt;&gt;""),($Y195+p_poidsram*$Z195)*SUMIFS(TblCalculs[Coût par unité],TblCalculs[Cluster],$O195),"")))</f>
        <v/>
      </c>
      <c r="AL195" s="27" t="str">
        <f t="shared" si="22"/>
        <v/>
      </c>
      <c r="AM195" s="26" t="str">
        <f t="shared" si="23"/>
        <v/>
      </c>
      <c r="AN195" s="26" t="str">
        <f>IF(OR($C195="",$AM195&lt;&gt;1,COUNTIFS($E195,ex_envc,$A195,ex_domc,$B195,ex_tric)=0),"",COUNTIFS($AM$6:$AM195,1,$E$6:$E195,ex_envc,$A$6:$A195,ex_domc,$B$6:$B195,ex_tric))</f>
        <v/>
      </c>
      <c r="AO195" s="63"/>
      <c r="AP195" s="63"/>
      <c r="AQ195" s="63"/>
      <c r="AR195" s="63"/>
    </row>
    <row r="196" spans="1:44" x14ac:dyDescent="0.2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26" t="str">
        <f t="shared" si="16"/>
        <v/>
      </c>
      <c r="O196" s="59"/>
      <c r="P196" s="60" t="str">
        <f>IF($C196="","",IF($AQ196&lt;&gt;"",$AQ196,SUMIFS(TblDynatrace[CPU P95 (vCPU)],TblDynatrace[ID],$C196,TblDynatrace[Environnement],$E196,TblDynatrace[Couloir],$F196)))</f>
        <v/>
      </c>
      <c r="Q196" s="60" t="str">
        <f>IF($C196="","",IF($AR196&lt;&gt;"",$AR196,SUMIFS(TblDynatrace[RAM P95 (Go)],TblDynatrace[ID],$C196,TblDynatrace[Environnement],$E196,TblDynatrace[Couloir],$F196)))</f>
        <v/>
      </c>
      <c r="R196" s="26" t="str">
        <f>IF($C196="","",IFERROR(INDEX(TblDynatrace[Métrique / période],MATCH($C196&amp;"|"&amp;$E196&amp;"|"&amp;$F196,TblDynatrace[Clé],0)),""))</f>
        <v/>
      </c>
      <c r="S196" s="60" t="str">
        <f>IF(OR($C196="",NOT(OR($G196="À migrer",$G196="À décommissionner")),$I196="",NOT(ISNUMBER($P196))),"",IF($AO196&lt;&gt;"",$AO196,IFERROR(SUMIFS(TblClusters[CPU initial (vCPU)],TblClusters[Cluster],$I196)*$P196/(SUMIFS(TblApplications[CPU Dynatrace (vCPU)],TblApplications[Cluster IKS source],$I196,TblApplications[Action],"À migrer")+SUMIFS(TblApplications[CPU Dynatrace (vCPU)],TblApplications[Cluster IKS source],$I196,TblApplications[Action],"À décommissionner")),0)))</f>
        <v/>
      </c>
      <c r="T196" s="60" t="str">
        <f>IF(OR($C196="",NOT(OR($G196="À migrer",$G196="À décommissionner")),$I196="",NOT(ISNUMBER($Q196))),"",IF($AP196&lt;&gt;"",$AP196,IFERROR(SUMIFS(TblClusters[RAM initiale (Go)],TblClusters[Cluster],$I196)*$Q196/(SUMIFS(TblApplications[RAM Dynatrace (Go)],TblApplications[Cluster IKS source],$I196,TblApplications[Action],"À migrer")+SUMIFS(TblApplications[RAM Dynatrace (Go)],TblApplications[Cluster IKS source],$I196,TblApplications[Action],"À décommissionner")),0)))</f>
        <v/>
      </c>
      <c r="U196" s="61"/>
      <c r="V196" s="61"/>
      <c r="W196" s="61"/>
      <c r="X196" s="59"/>
      <c r="Y196" s="26" t="str">
        <f t="shared" si="17"/>
        <v/>
      </c>
      <c r="Z196" s="26" t="str">
        <f t="shared" si="18"/>
        <v/>
      </c>
      <c r="AA196" s="33" t="str">
        <f t="shared" si="19"/>
        <v/>
      </c>
      <c r="AB196" s="33" t="str">
        <f t="shared" si="20"/>
        <v/>
      </c>
      <c r="AC196" s="26" t="str">
        <f t="shared" si="21"/>
        <v/>
      </c>
      <c r="AD196" s="26" t="str">
        <f>IF($C196="","",COUNTIF(TblApplications[ID],$C196))</f>
        <v/>
      </c>
      <c r="AE196" s="33" t="str">
        <f>IF($C196="","",IFERROR(1/(1/_xlfn.MINIFS(TblApplications[Mois prov (calc)],TblApplications[ID],$C196)),""))</f>
        <v/>
      </c>
      <c r="AF196" s="33" t="str">
        <f>IF($C196="","",IFERROR(1/(1/_xlfn.MAXIFS(TblApplications[Mois lib (calc)],TblApplications[ID],$C196)),""))</f>
        <v/>
      </c>
      <c r="AG196" s="26" t="str">
        <f>IF($C196="","",IF(OR(OR($A196="",$B196="",$D196="",$E196="",$F196="",$G196=""),AND($G196="À migrer",OR($H196="",$I196="",$O196="",$U196="",$V196="",$W196="")),AND($G196="Migré",OR($O196="")),AND($G196="À décommissionner",OR($I196="",$W196=""))),"Données manquantes (selon l’action)",IF(AND($G196&lt;&gt;"Migré",$G196&lt;&gt;"À migrer",$G196&lt;&gt;"À décommissionner",$G196&lt;&gt;"Décommissionné"),"Action invalide",IF(COUNTIF(TblDomaines[Domaine],$A196)=0,"Domaine inconnu (référentiel)",IF(COUNTIFS(TblTribes[Tribe],$B196,TblTribes[Domaine de la tribe],$A196)=0,"Tribe inconnue ou hors domaine",IF(AND($G196="À migrer",$H196&lt;&gt;"Oui",$H196&lt;&gt;"Non"),"Valeur Oui/Non invalide (Déjà incluse ROKS)",IF(AND($E196&lt;&gt;"PRD",$E196&lt;&gt;"NPRD"),"Environnement invalide",IF(COUNTIFS(TblApplications[ID],$C196,TblApplications[Environnement],$E196,TblApplications[Couloir],$F196)&gt;1,"Déploiement en doublon (ID + env + couloir)",IF(AND(OR(OR($G196="À migrer",$G196="Migré"),OR($G196="À migrer",$G196="À décommissionner")),N($P196)&lt;=0),"Conso Dynatrace absente (onglet Dynatrace)",IF(OR(AND($P196&lt;&gt;"",NOT(ISNUMBER($P196))),AND($Q196&lt;&gt;"",NOT(ISNUMBER($Q196)))),"Ressource non numérique",IF(MIN(N($P196),N($Q196))&lt;0,"Ressource négative",IF(OR(AND($AH196&lt;&gt;"",OR(NOT(ISNUMBER($AH196)),$AH196&lt;0,$AH196&gt;1)),AND($AI196&lt;&gt;"",OR(NOT(ISNUMBER($AI196)),$AI196&lt;0,$AI196&gt;1))),"Marge spécifique invalide (0–100 %)",IF(OR(AND($U196&lt;&gt;"",NOT(ISNUMBER($U196))),AND($V196&lt;&gt;"",NOT(ISNUMBER($V196))),AND($W196&lt;&gt;"",NOT(ISNUMBER($W196)))),"Mois invalide",IF(AND(OR($G196="À migrer",$G196="À décommissionner"),COUNTIFS(TblClusters[Cluster],$I196,TblClusters[Plateforme],"IKS")=0),"Cluster IKS inconnu",IF(AND(OR($G196="À migrer",$G196="Migré"),COUNTIFS(TblClusters[Cluster],$O196,TblClusters[Plateforme],"ROKS")=0),"Cluster ROKS inconnu",IF(AND(OR($G196="À migrer",$G196="À décommissionner"),COUNTIFS(TblClusters[Cluster],$I196,TblClusters[Environnement],$E196)=0),"Environnement ≠ cluster IKS",IF(AND(OR($G196="À migrer",$G196="Migré"),COUNTIFS(TblClusters[Cluster],$O196,TblClusters[Environnement],$E196)=0),"Environnement ≠ cluster ROKS",IF(AND($G196="À migrer",OR($U196&gt;$V196,$V196&gt;$W196)),"Dates incohérentes (prov ≤ bascule ≤ libération)",IF(AND(OR($G196="À migrer",$G196="À décommissionner"),OR(N($AO196)&gt;SUMIFS(TblClusters[CPU initial (vCPU)],TblClusters[Cluster],$I196),N($AP196)&gt;SUMIFS(TblClusters[RAM initiale (Go)],TblClusters[Cluster],$I196))),"Forçage &gt; capacité du cluster source",IF(OR(AND($AA196&lt;&gt;"",$AA196&lt;p_debut),AND($AB196&lt;&gt;"",$AB196&gt;p_fin)),"Hors horizon (info)",IF(AND($G196="À migrer",$E196="PRD",COUNTIFS(TblApplications[ID],$C196,TblApplications[Environnement],"NPRD",TblApplications[Action],"À migrer")&gt;0,$AA196&lt;_xlfn.MINIFS(TblApplications[Mois prov (calc)],TblApplications[ID],$C196,TblApplications[Environnement],"NPRD")),"PRD avant NPRD (info)","OK")))))))))))))))))))))</f>
        <v/>
      </c>
      <c r="AH196" s="62"/>
      <c r="AI196" s="62"/>
      <c r="AJ196" s="27" t="str">
        <f>IF(OR($C196="",NOT(OR($G196="À migrer",$G196="À décommissionner")),NOT(ISNUMBER($S196)),NOT(ISNUMBER($T196)),$AB196=""),"",($S196+p_poidsram*$T196)*SUMIFS(TblCalculs[Coût par unité],TblCalculs[Cluster],$I196,TblCalculs[Mois],"&lt;"&amp;$AB196))</f>
        <v/>
      </c>
      <c r="AK196" s="27" t="str">
        <f>IF($C196="","",IF(AND($G196="À migrer",$H196="Non",$Y196&lt;&gt;"",$AA196&lt;&gt;""),($Y196+p_poidsram*$Z196)*SUMIFS(TblCalculs[Coût par unité],TblCalculs[Cluster],$O196,TblCalculs[Mois],"&gt;="&amp;$AA196),IF(AND($G196="Migré",$Y196&lt;&gt;""),($Y196+p_poidsram*$Z196)*SUMIFS(TblCalculs[Coût par unité],TblCalculs[Cluster],$O196),"")))</f>
        <v/>
      </c>
      <c r="AL196" s="27" t="str">
        <f t="shared" si="22"/>
        <v/>
      </c>
      <c r="AM196" s="26" t="str">
        <f t="shared" si="23"/>
        <v/>
      </c>
      <c r="AN196" s="26" t="str">
        <f>IF(OR($C196="",$AM196&lt;&gt;1,COUNTIFS($E196,ex_envc,$A196,ex_domc,$B196,ex_tric)=0),"",COUNTIFS($AM$6:$AM196,1,$E$6:$E196,ex_envc,$A$6:$A196,ex_domc,$B$6:$B196,ex_tric))</f>
        <v/>
      </c>
      <c r="AO196" s="63"/>
      <c r="AP196" s="63"/>
      <c r="AQ196" s="63"/>
      <c r="AR196" s="63"/>
    </row>
    <row r="197" spans="1:44" x14ac:dyDescent="0.2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26" t="str">
        <f t="shared" si="16"/>
        <v/>
      </c>
      <c r="O197" s="59"/>
      <c r="P197" s="60" t="str">
        <f>IF($C197="","",IF($AQ197&lt;&gt;"",$AQ197,SUMIFS(TblDynatrace[CPU P95 (vCPU)],TblDynatrace[ID],$C197,TblDynatrace[Environnement],$E197,TblDynatrace[Couloir],$F197)))</f>
        <v/>
      </c>
      <c r="Q197" s="60" t="str">
        <f>IF($C197="","",IF($AR197&lt;&gt;"",$AR197,SUMIFS(TblDynatrace[RAM P95 (Go)],TblDynatrace[ID],$C197,TblDynatrace[Environnement],$E197,TblDynatrace[Couloir],$F197)))</f>
        <v/>
      </c>
      <c r="R197" s="26" t="str">
        <f>IF($C197="","",IFERROR(INDEX(TblDynatrace[Métrique / période],MATCH($C197&amp;"|"&amp;$E197&amp;"|"&amp;$F197,TblDynatrace[Clé],0)),""))</f>
        <v/>
      </c>
      <c r="S197" s="60" t="str">
        <f>IF(OR($C197="",NOT(OR($G197="À migrer",$G197="À décommissionner")),$I197="",NOT(ISNUMBER($P197))),"",IF($AO197&lt;&gt;"",$AO197,IFERROR(SUMIFS(TblClusters[CPU initial (vCPU)],TblClusters[Cluster],$I197)*$P197/(SUMIFS(TblApplications[CPU Dynatrace (vCPU)],TblApplications[Cluster IKS source],$I197,TblApplications[Action],"À migrer")+SUMIFS(TblApplications[CPU Dynatrace (vCPU)],TblApplications[Cluster IKS source],$I197,TblApplications[Action],"À décommissionner")),0)))</f>
        <v/>
      </c>
      <c r="T197" s="60" t="str">
        <f>IF(OR($C197="",NOT(OR($G197="À migrer",$G197="À décommissionner")),$I197="",NOT(ISNUMBER($Q197))),"",IF($AP197&lt;&gt;"",$AP197,IFERROR(SUMIFS(TblClusters[RAM initiale (Go)],TblClusters[Cluster],$I197)*$Q197/(SUMIFS(TblApplications[RAM Dynatrace (Go)],TblApplications[Cluster IKS source],$I197,TblApplications[Action],"À migrer")+SUMIFS(TblApplications[RAM Dynatrace (Go)],TblApplications[Cluster IKS source],$I197,TblApplications[Action],"À décommissionner")),0)))</f>
        <v/>
      </c>
      <c r="U197" s="61"/>
      <c r="V197" s="61"/>
      <c r="W197" s="61"/>
      <c r="X197" s="59"/>
      <c r="Y197" s="26" t="str">
        <f t="shared" si="17"/>
        <v/>
      </c>
      <c r="Z197" s="26" t="str">
        <f t="shared" si="18"/>
        <v/>
      </c>
      <c r="AA197" s="33" t="str">
        <f t="shared" si="19"/>
        <v/>
      </c>
      <c r="AB197" s="33" t="str">
        <f t="shared" si="20"/>
        <v/>
      </c>
      <c r="AC197" s="26" t="str">
        <f t="shared" si="21"/>
        <v/>
      </c>
      <c r="AD197" s="26" t="str">
        <f>IF($C197="","",COUNTIF(TblApplications[ID],$C197))</f>
        <v/>
      </c>
      <c r="AE197" s="33" t="str">
        <f>IF($C197="","",IFERROR(1/(1/_xlfn.MINIFS(TblApplications[Mois prov (calc)],TblApplications[ID],$C197)),""))</f>
        <v/>
      </c>
      <c r="AF197" s="33" t="str">
        <f>IF($C197="","",IFERROR(1/(1/_xlfn.MAXIFS(TblApplications[Mois lib (calc)],TblApplications[ID],$C197)),""))</f>
        <v/>
      </c>
      <c r="AG197" s="26" t="str">
        <f>IF($C197="","",IF(OR(OR($A197="",$B197="",$D197="",$E197="",$F197="",$G197=""),AND($G197="À migrer",OR($H197="",$I197="",$O197="",$U197="",$V197="",$W197="")),AND($G197="Migré",OR($O197="")),AND($G197="À décommissionner",OR($I197="",$W197=""))),"Données manquantes (selon l’action)",IF(AND($G197&lt;&gt;"Migré",$G197&lt;&gt;"À migrer",$G197&lt;&gt;"À décommissionner",$G197&lt;&gt;"Décommissionné"),"Action invalide",IF(COUNTIF(TblDomaines[Domaine],$A197)=0,"Domaine inconnu (référentiel)",IF(COUNTIFS(TblTribes[Tribe],$B197,TblTribes[Domaine de la tribe],$A197)=0,"Tribe inconnue ou hors domaine",IF(AND($G197="À migrer",$H197&lt;&gt;"Oui",$H197&lt;&gt;"Non"),"Valeur Oui/Non invalide (Déjà incluse ROKS)",IF(AND($E197&lt;&gt;"PRD",$E197&lt;&gt;"NPRD"),"Environnement invalide",IF(COUNTIFS(TblApplications[ID],$C197,TblApplications[Environnement],$E197,TblApplications[Couloir],$F197)&gt;1,"Déploiement en doublon (ID + env + couloir)",IF(AND(OR(OR($G197="À migrer",$G197="Migré"),OR($G197="À migrer",$G197="À décommissionner")),N($P197)&lt;=0),"Conso Dynatrace absente (onglet Dynatrace)",IF(OR(AND($P197&lt;&gt;"",NOT(ISNUMBER($P197))),AND($Q197&lt;&gt;"",NOT(ISNUMBER($Q197)))),"Ressource non numérique",IF(MIN(N($P197),N($Q197))&lt;0,"Ressource négative",IF(OR(AND($AH197&lt;&gt;"",OR(NOT(ISNUMBER($AH197)),$AH197&lt;0,$AH197&gt;1)),AND($AI197&lt;&gt;"",OR(NOT(ISNUMBER($AI197)),$AI197&lt;0,$AI197&gt;1))),"Marge spécifique invalide (0–100 %)",IF(OR(AND($U197&lt;&gt;"",NOT(ISNUMBER($U197))),AND($V197&lt;&gt;"",NOT(ISNUMBER($V197))),AND($W197&lt;&gt;"",NOT(ISNUMBER($W197)))),"Mois invalide",IF(AND(OR($G197="À migrer",$G197="À décommissionner"),COUNTIFS(TblClusters[Cluster],$I197,TblClusters[Plateforme],"IKS")=0),"Cluster IKS inconnu",IF(AND(OR($G197="À migrer",$G197="Migré"),COUNTIFS(TblClusters[Cluster],$O197,TblClusters[Plateforme],"ROKS")=0),"Cluster ROKS inconnu",IF(AND(OR($G197="À migrer",$G197="À décommissionner"),COUNTIFS(TblClusters[Cluster],$I197,TblClusters[Environnement],$E197)=0),"Environnement ≠ cluster IKS",IF(AND(OR($G197="À migrer",$G197="Migré"),COUNTIFS(TblClusters[Cluster],$O197,TblClusters[Environnement],$E197)=0),"Environnement ≠ cluster ROKS",IF(AND($G197="À migrer",OR($U197&gt;$V197,$V197&gt;$W197)),"Dates incohérentes (prov ≤ bascule ≤ libération)",IF(AND(OR($G197="À migrer",$G197="À décommissionner"),OR(N($AO197)&gt;SUMIFS(TblClusters[CPU initial (vCPU)],TblClusters[Cluster],$I197),N($AP197)&gt;SUMIFS(TblClusters[RAM initiale (Go)],TblClusters[Cluster],$I197))),"Forçage &gt; capacité du cluster source",IF(OR(AND($AA197&lt;&gt;"",$AA197&lt;p_debut),AND($AB197&lt;&gt;"",$AB197&gt;p_fin)),"Hors horizon (info)",IF(AND($G197="À migrer",$E197="PRD",COUNTIFS(TblApplications[ID],$C197,TblApplications[Environnement],"NPRD",TblApplications[Action],"À migrer")&gt;0,$AA197&lt;_xlfn.MINIFS(TblApplications[Mois prov (calc)],TblApplications[ID],$C197,TblApplications[Environnement],"NPRD")),"PRD avant NPRD (info)","OK")))))))))))))))))))))</f>
        <v/>
      </c>
      <c r="AH197" s="62"/>
      <c r="AI197" s="62"/>
      <c r="AJ197" s="27" t="str">
        <f>IF(OR($C197="",NOT(OR($G197="À migrer",$G197="À décommissionner")),NOT(ISNUMBER($S197)),NOT(ISNUMBER($T197)),$AB197=""),"",($S197+p_poidsram*$T197)*SUMIFS(TblCalculs[Coût par unité],TblCalculs[Cluster],$I197,TblCalculs[Mois],"&lt;"&amp;$AB197))</f>
        <v/>
      </c>
      <c r="AK197" s="27" t="str">
        <f>IF($C197="","",IF(AND($G197="À migrer",$H197="Non",$Y197&lt;&gt;"",$AA197&lt;&gt;""),($Y197+p_poidsram*$Z197)*SUMIFS(TblCalculs[Coût par unité],TblCalculs[Cluster],$O197,TblCalculs[Mois],"&gt;="&amp;$AA197),IF(AND($G197="Migré",$Y197&lt;&gt;""),($Y197+p_poidsram*$Z197)*SUMIFS(TblCalculs[Coût par unité],TblCalculs[Cluster],$O197),"")))</f>
        <v/>
      </c>
      <c r="AL197" s="27" t="str">
        <f t="shared" si="22"/>
        <v/>
      </c>
      <c r="AM197" s="26" t="str">
        <f t="shared" si="23"/>
        <v/>
      </c>
      <c r="AN197" s="26" t="str">
        <f>IF(OR($C197="",$AM197&lt;&gt;1,COUNTIFS($E197,ex_envc,$A197,ex_domc,$B197,ex_tric)=0),"",COUNTIFS($AM$6:$AM197,1,$E$6:$E197,ex_envc,$A$6:$A197,ex_domc,$B$6:$B197,ex_tric))</f>
        <v/>
      </c>
      <c r="AO197" s="63"/>
      <c r="AP197" s="63"/>
      <c r="AQ197" s="63"/>
      <c r="AR197" s="63"/>
    </row>
    <row r="198" spans="1:44" x14ac:dyDescent="0.2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26" t="str">
        <f t="shared" ref="N198:N261" si="24">IF($C198="","",IF($J198="Oui","Dédié (données secrètes)",IF($K198="Oui","Dédié (RGPD / sécurité)",IF($L198="Oui","Dédié (isolement fort)",IF(OR($M198="Oui",AND(ISNUMBER($P198),$P198&gt;=p_seuil_cpu_dedie),AND(ISNUMBER($Q198),$Q198&gt;=p_seuil_ram_dedie)),"Dédié (volume / atypique)","Mutualisé")))))</f>
        <v/>
      </c>
      <c r="O198" s="59"/>
      <c r="P198" s="60" t="str">
        <f>IF($C198="","",IF($AQ198&lt;&gt;"",$AQ198,SUMIFS(TblDynatrace[CPU P95 (vCPU)],TblDynatrace[ID],$C198,TblDynatrace[Environnement],$E198,TblDynatrace[Couloir],$F198)))</f>
        <v/>
      </c>
      <c r="Q198" s="60" t="str">
        <f>IF($C198="","",IF($AR198&lt;&gt;"",$AR198,SUMIFS(TblDynatrace[RAM P95 (Go)],TblDynatrace[ID],$C198,TblDynatrace[Environnement],$E198,TblDynatrace[Couloir],$F198)))</f>
        <v/>
      </c>
      <c r="R198" s="26" t="str">
        <f>IF($C198="","",IFERROR(INDEX(TblDynatrace[Métrique / période],MATCH($C198&amp;"|"&amp;$E198&amp;"|"&amp;$F198,TblDynatrace[Clé],0)),""))</f>
        <v/>
      </c>
      <c r="S198" s="60" t="str">
        <f>IF(OR($C198="",NOT(OR($G198="À migrer",$G198="À décommissionner")),$I198="",NOT(ISNUMBER($P198))),"",IF($AO198&lt;&gt;"",$AO198,IFERROR(SUMIFS(TblClusters[CPU initial (vCPU)],TblClusters[Cluster],$I198)*$P198/(SUMIFS(TblApplications[CPU Dynatrace (vCPU)],TblApplications[Cluster IKS source],$I198,TblApplications[Action],"À migrer")+SUMIFS(TblApplications[CPU Dynatrace (vCPU)],TblApplications[Cluster IKS source],$I198,TblApplications[Action],"À décommissionner")),0)))</f>
        <v/>
      </c>
      <c r="T198" s="60" t="str">
        <f>IF(OR($C198="",NOT(OR($G198="À migrer",$G198="À décommissionner")),$I198="",NOT(ISNUMBER($Q198))),"",IF($AP198&lt;&gt;"",$AP198,IFERROR(SUMIFS(TblClusters[RAM initiale (Go)],TblClusters[Cluster],$I198)*$Q198/(SUMIFS(TblApplications[RAM Dynatrace (Go)],TblApplications[Cluster IKS source],$I198,TblApplications[Action],"À migrer")+SUMIFS(TblApplications[RAM Dynatrace (Go)],TblApplications[Cluster IKS source],$I198,TblApplications[Action],"À décommissionner")),0)))</f>
        <v/>
      </c>
      <c r="U198" s="61"/>
      <c r="V198" s="61"/>
      <c r="W198" s="61"/>
      <c r="X198" s="59"/>
      <c r="Y198" s="26" t="str">
        <f t="shared" ref="Y198:Y261" si="25">IF(OR($C198="",NOT(OR($G198="À migrer",$G198="Migré")),NOT(ISNUMBER($P198))),"",ROUNDUP($P198*(1+IF($AH198="",p_margeCPU,$AH198)),0))</f>
        <v/>
      </c>
      <c r="Z198" s="26" t="str">
        <f t="shared" ref="Z198:Z261" si="26">IF(OR($C198="",NOT(OR($G198="À migrer",$G198="Migré")),NOT(ISNUMBER($Q198))),"",ROUNDUP($Q198*(1+IF($AI198="",p_margeRAM,$AI198)),0))</f>
        <v/>
      </c>
      <c r="AA198" s="33" t="str">
        <f t="shared" ref="AA198:AA261" si="27">IF(OR(NOT($G198="À migrer"),$U198=""),"",IFERROR(DATE(YEAR($U198),MONTH($U198),1),""))</f>
        <v/>
      </c>
      <c r="AB198" s="33" t="str">
        <f t="shared" ref="AB198:AB261" si="28">IF(OR(NOT(OR($G198="À migrer",$G198="À décommissionner")),$W198=""),"",IFERROR(DATE(YEAR($W198),MONTH($W198),1),""))</f>
        <v/>
      </c>
      <c r="AC198" s="26" t="str">
        <f t="shared" ref="AC198:AC261" si="29">IF(OR($AA198="",$AB198=""),"",MAX(0,(YEAR($AB198)-YEAR($AA198))*12+MONTH($AB198)-MONTH($AA198)))</f>
        <v/>
      </c>
      <c r="AD198" s="26" t="str">
        <f>IF($C198="","",COUNTIF(TblApplications[ID],$C198))</f>
        <v/>
      </c>
      <c r="AE198" s="33" t="str">
        <f>IF($C198="","",IFERROR(1/(1/_xlfn.MINIFS(TblApplications[Mois prov (calc)],TblApplications[ID],$C198)),""))</f>
        <v/>
      </c>
      <c r="AF198" s="33" t="str">
        <f>IF($C198="","",IFERROR(1/(1/_xlfn.MAXIFS(TblApplications[Mois lib (calc)],TblApplications[ID],$C198)),""))</f>
        <v/>
      </c>
      <c r="AG198" s="26" t="str">
        <f>IF($C198="","",IF(OR(OR($A198="",$B198="",$D198="",$E198="",$F198="",$G198=""),AND($G198="À migrer",OR($H198="",$I198="",$O198="",$U198="",$V198="",$W198="")),AND($G198="Migré",OR($O198="")),AND($G198="À décommissionner",OR($I198="",$W198=""))),"Données manquantes (selon l’action)",IF(AND($G198&lt;&gt;"Migré",$G198&lt;&gt;"À migrer",$G198&lt;&gt;"À décommissionner",$G198&lt;&gt;"Décommissionné"),"Action invalide",IF(COUNTIF(TblDomaines[Domaine],$A198)=0,"Domaine inconnu (référentiel)",IF(COUNTIFS(TblTribes[Tribe],$B198,TblTribes[Domaine de la tribe],$A198)=0,"Tribe inconnue ou hors domaine",IF(AND($G198="À migrer",$H198&lt;&gt;"Oui",$H198&lt;&gt;"Non"),"Valeur Oui/Non invalide (Déjà incluse ROKS)",IF(AND($E198&lt;&gt;"PRD",$E198&lt;&gt;"NPRD"),"Environnement invalide",IF(COUNTIFS(TblApplications[ID],$C198,TblApplications[Environnement],$E198,TblApplications[Couloir],$F198)&gt;1,"Déploiement en doublon (ID + env + couloir)",IF(AND(OR(OR($G198="À migrer",$G198="Migré"),OR($G198="À migrer",$G198="À décommissionner")),N($P198)&lt;=0),"Conso Dynatrace absente (onglet Dynatrace)",IF(OR(AND($P198&lt;&gt;"",NOT(ISNUMBER($P198))),AND($Q198&lt;&gt;"",NOT(ISNUMBER($Q198)))),"Ressource non numérique",IF(MIN(N($P198),N($Q198))&lt;0,"Ressource négative",IF(OR(AND($AH198&lt;&gt;"",OR(NOT(ISNUMBER($AH198)),$AH198&lt;0,$AH198&gt;1)),AND($AI198&lt;&gt;"",OR(NOT(ISNUMBER($AI198)),$AI198&lt;0,$AI198&gt;1))),"Marge spécifique invalide (0–100 %)",IF(OR(AND($U198&lt;&gt;"",NOT(ISNUMBER($U198))),AND($V198&lt;&gt;"",NOT(ISNUMBER($V198))),AND($W198&lt;&gt;"",NOT(ISNUMBER($W198)))),"Mois invalide",IF(AND(OR($G198="À migrer",$G198="À décommissionner"),COUNTIFS(TblClusters[Cluster],$I198,TblClusters[Plateforme],"IKS")=0),"Cluster IKS inconnu",IF(AND(OR($G198="À migrer",$G198="Migré"),COUNTIFS(TblClusters[Cluster],$O198,TblClusters[Plateforme],"ROKS")=0),"Cluster ROKS inconnu",IF(AND(OR($G198="À migrer",$G198="À décommissionner"),COUNTIFS(TblClusters[Cluster],$I198,TblClusters[Environnement],$E198)=0),"Environnement ≠ cluster IKS",IF(AND(OR($G198="À migrer",$G198="Migré"),COUNTIFS(TblClusters[Cluster],$O198,TblClusters[Environnement],$E198)=0),"Environnement ≠ cluster ROKS",IF(AND($G198="À migrer",OR($U198&gt;$V198,$V198&gt;$W198)),"Dates incohérentes (prov ≤ bascule ≤ libération)",IF(AND(OR($G198="À migrer",$G198="À décommissionner"),OR(N($AO198)&gt;SUMIFS(TblClusters[CPU initial (vCPU)],TblClusters[Cluster],$I198),N($AP198)&gt;SUMIFS(TblClusters[RAM initiale (Go)],TblClusters[Cluster],$I198))),"Forçage &gt; capacité du cluster source",IF(OR(AND($AA198&lt;&gt;"",$AA198&lt;p_debut),AND($AB198&lt;&gt;"",$AB198&gt;p_fin)),"Hors horizon (info)",IF(AND($G198="À migrer",$E198="PRD",COUNTIFS(TblApplications[ID],$C198,TblApplications[Environnement],"NPRD",TblApplications[Action],"À migrer")&gt;0,$AA198&lt;_xlfn.MINIFS(TblApplications[Mois prov (calc)],TblApplications[ID],$C198,TblApplications[Environnement],"NPRD")),"PRD avant NPRD (info)","OK")))))))))))))))))))))</f>
        <v/>
      </c>
      <c r="AH198" s="62"/>
      <c r="AI198" s="62"/>
      <c r="AJ198" s="27" t="str">
        <f>IF(OR($C198="",NOT(OR($G198="À migrer",$G198="À décommissionner")),NOT(ISNUMBER($S198)),NOT(ISNUMBER($T198)),$AB198=""),"",($S198+p_poidsram*$T198)*SUMIFS(TblCalculs[Coût par unité],TblCalculs[Cluster],$I198,TblCalculs[Mois],"&lt;"&amp;$AB198))</f>
        <v/>
      </c>
      <c r="AK198" s="27" t="str">
        <f>IF($C198="","",IF(AND($G198="À migrer",$H198="Non",$Y198&lt;&gt;"",$AA198&lt;&gt;""),($Y198+p_poidsram*$Z198)*SUMIFS(TblCalculs[Coût par unité],TblCalculs[Cluster],$O198,TblCalculs[Mois],"&gt;="&amp;$AA198),IF(AND($G198="Migré",$Y198&lt;&gt;""),($Y198+p_poidsram*$Z198)*SUMIFS(TblCalculs[Coût par unité],TblCalculs[Cluster],$O198),"")))</f>
        <v/>
      </c>
      <c r="AL198" s="27" t="str">
        <f t="shared" ref="AL198:AL261" si="30">IF($C198="","",N($AJ198)+N($AK198))</f>
        <v/>
      </c>
      <c r="AM198" s="26" t="str">
        <f t="shared" ref="AM198:AM261" si="31">IF($C198="","",IF(AND(OR($G198="À migrer",$G198="À décommissionner"),$AB198&lt;&gt;"",$AB198&gt;ex_mois),1,0))</f>
        <v/>
      </c>
      <c r="AN198" s="26" t="str">
        <f>IF(OR($C198="",$AM198&lt;&gt;1,COUNTIFS($E198,ex_envc,$A198,ex_domc,$B198,ex_tric)=0),"",COUNTIFS($AM$6:$AM198,1,$E$6:$E198,ex_envc,$A$6:$A198,ex_domc,$B$6:$B198,ex_tric))</f>
        <v/>
      </c>
      <c r="AO198" s="63"/>
      <c r="AP198" s="63"/>
      <c r="AQ198" s="63"/>
      <c r="AR198" s="63"/>
    </row>
    <row r="199" spans="1:44" x14ac:dyDescent="0.2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26" t="str">
        <f t="shared" si="24"/>
        <v/>
      </c>
      <c r="O199" s="59"/>
      <c r="P199" s="60" t="str">
        <f>IF($C199="","",IF($AQ199&lt;&gt;"",$AQ199,SUMIFS(TblDynatrace[CPU P95 (vCPU)],TblDynatrace[ID],$C199,TblDynatrace[Environnement],$E199,TblDynatrace[Couloir],$F199)))</f>
        <v/>
      </c>
      <c r="Q199" s="60" t="str">
        <f>IF($C199="","",IF($AR199&lt;&gt;"",$AR199,SUMIFS(TblDynatrace[RAM P95 (Go)],TblDynatrace[ID],$C199,TblDynatrace[Environnement],$E199,TblDynatrace[Couloir],$F199)))</f>
        <v/>
      </c>
      <c r="R199" s="26" t="str">
        <f>IF($C199="","",IFERROR(INDEX(TblDynatrace[Métrique / période],MATCH($C199&amp;"|"&amp;$E199&amp;"|"&amp;$F199,TblDynatrace[Clé],0)),""))</f>
        <v/>
      </c>
      <c r="S199" s="60" t="str">
        <f>IF(OR($C199="",NOT(OR($G199="À migrer",$G199="À décommissionner")),$I199="",NOT(ISNUMBER($P199))),"",IF($AO199&lt;&gt;"",$AO199,IFERROR(SUMIFS(TblClusters[CPU initial (vCPU)],TblClusters[Cluster],$I199)*$P199/(SUMIFS(TblApplications[CPU Dynatrace (vCPU)],TblApplications[Cluster IKS source],$I199,TblApplications[Action],"À migrer")+SUMIFS(TblApplications[CPU Dynatrace (vCPU)],TblApplications[Cluster IKS source],$I199,TblApplications[Action],"À décommissionner")),0)))</f>
        <v/>
      </c>
      <c r="T199" s="60" t="str">
        <f>IF(OR($C199="",NOT(OR($G199="À migrer",$G199="À décommissionner")),$I199="",NOT(ISNUMBER($Q199))),"",IF($AP199&lt;&gt;"",$AP199,IFERROR(SUMIFS(TblClusters[RAM initiale (Go)],TblClusters[Cluster],$I199)*$Q199/(SUMIFS(TblApplications[RAM Dynatrace (Go)],TblApplications[Cluster IKS source],$I199,TblApplications[Action],"À migrer")+SUMIFS(TblApplications[RAM Dynatrace (Go)],TblApplications[Cluster IKS source],$I199,TblApplications[Action],"À décommissionner")),0)))</f>
        <v/>
      </c>
      <c r="U199" s="61"/>
      <c r="V199" s="61"/>
      <c r="W199" s="61"/>
      <c r="X199" s="59"/>
      <c r="Y199" s="26" t="str">
        <f t="shared" si="25"/>
        <v/>
      </c>
      <c r="Z199" s="26" t="str">
        <f t="shared" si="26"/>
        <v/>
      </c>
      <c r="AA199" s="33" t="str">
        <f t="shared" si="27"/>
        <v/>
      </c>
      <c r="AB199" s="33" t="str">
        <f t="shared" si="28"/>
        <v/>
      </c>
      <c r="AC199" s="26" t="str">
        <f t="shared" si="29"/>
        <v/>
      </c>
      <c r="AD199" s="26" t="str">
        <f>IF($C199="","",COUNTIF(TblApplications[ID],$C199))</f>
        <v/>
      </c>
      <c r="AE199" s="33" t="str">
        <f>IF($C199="","",IFERROR(1/(1/_xlfn.MINIFS(TblApplications[Mois prov (calc)],TblApplications[ID],$C199)),""))</f>
        <v/>
      </c>
      <c r="AF199" s="33" t="str">
        <f>IF($C199="","",IFERROR(1/(1/_xlfn.MAXIFS(TblApplications[Mois lib (calc)],TblApplications[ID],$C199)),""))</f>
        <v/>
      </c>
      <c r="AG199" s="26" t="str">
        <f>IF($C199="","",IF(OR(OR($A199="",$B199="",$D199="",$E199="",$F199="",$G199=""),AND($G199="À migrer",OR($H199="",$I199="",$O199="",$U199="",$V199="",$W199="")),AND($G199="Migré",OR($O199="")),AND($G199="À décommissionner",OR($I199="",$W199=""))),"Données manquantes (selon l’action)",IF(AND($G199&lt;&gt;"Migré",$G199&lt;&gt;"À migrer",$G199&lt;&gt;"À décommissionner",$G199&lt;&gt;"Décommissionné"),"Action invalide",IF(COUNTIF(TblDomaines[Domaine],$A199)=0,"Domaine inconnu (référentiel)",IF(COUNTIFS(TblTribes[Tribe],$B199,TblTribes[Domaine de la tribe],$A199)=0,"Tribe inconnue ou hors domaine",IF(AND($G199="À migrer",$H199&lt;&gt;"Oui",$H199&lt;&gt;"Non"),"Valeur Oui/Non invalide (Déjà incluse ROKS)",IF(AND($E199&lt;&gt;"PRD",$E199&lt;&gt;"NPRD"),"Environnement invalide",IF(COUNTIFS(TblApplications[ID],$C199,TblApplications[Environnement],$E199,TblApplications[Couloir],$F199)&gt;1,"Déploiement en doublon (ID + env + couloir)",IF(AND(OR(OR($G199="À migrer",$G199="Migré"),OR($G199="À migrer",$G199="À décommissionner")),N($P199)&lt;=0),"Conso Dynatrace absente (onglet Dynatrace)",IF(OR(AND($P199&lt;&gt;"",NOT(ISNUMBER($P199))),AND($Q199&lt;&gt;"",NOT(ISNUMBER($Q199)))),"Ressource non numérique",IF(MIN(N($P199),N($Q199))&lt;0,"Ressource négative",IF(OR(AND($AH199&lt;&gt;"",OR(NOT(ISNUMBER($AH199)),$AH199&lt;0,$AH199&gt;1)),AND($AI199&lt;&gt;"",OR(NOT(ISNUMBER($AI199)),$AI199&lt;0,$AI199&gt;1))),"Marge spécifique invalide (0–100 %)",IF(OR(AND($U199&lt;&gt;"",NOT(ISNUMBER($U199))),AND($V199&lt;&gt;"",NOT(ISNUMBER($V199))),AND($W199&lt;&gt;"",NOT(ISNUMBER($W199)))),"Mois invalide",IF(AND(OR($G199="À migrer",$G199="À décommissionner"),COUNTIFS(TblClusters[Cluster],$I199,TblClusters[Plateforme],"IKS")=0),"Cluster IKS inconnu",IF(AND(OR($G199="À migrer",$G199="Migré"),COUNTIFS(TblClusters[Cluster],$O199,TblClusters[Plateforme],"ROKS")=0),"Cluster ROKS inconnu",IF(AND(OR($G199="À migrer",$G199="À décommissionner"),COUNTIFS(TblClusters[Cluster],$I199,TblClusters[Environnement],$E199)=0),"Environnement ≠ cluster IKS",IF(AND(OR($G199="À migrer",$G199="Migré"),COUNTIFS(TblClusters[Cluster],$O199,TblClusters[Environnement],$E199)=0),"Environnement ≠ cluster ROKS",IF(AND($G199="À migrer",OR($U199&gt;$V199,$V199&gt;$W199)),"Dates incohérentes (prov ≤ bascule ≤ libération)",IF(AND(OR($G199="À migrer",$G199="À décommissionner"),OR(N($AO199)&gt;SUMIFS(TblClusters[CPU initial (vCPU)],TblClusters[Cluster],$I199),N($AP199)&gt;SUMIFS(TblClusters[RAM initiale (Go)],TblClusters[Cluster],$I199))),"Forçage &gt; capacité du cluster source",IF(OR(AND($AA199&lt;&gt;"",$AA199&lt;p_debut),AND($AB199&lt;&gt;"",$AB199&gt;p_fin)),"Hors horizon (info)",IF(AND($G199="À migrer",$E199="PRD",COUNTIFS(TblApplications[ID],$C199,TblApplications[Environnement],"NPRD",TblApplications[Action],"À migrer")&gt;0,$AA199&lt;_xlfn.MINIFS(TblApplications[Mois prov (calc)],TblApplications[ID],$C199,TblApplications[Environnement],"NPRD")),"PRD avant NPRD (info)","OK")))))))))))))))))))))</f>
        <v/>
      </c>
      <c r="AH199" s="62"/>
      <c r="AI199" s="62"/>
      <c r="AJ199" s="27" t="str">
        <f>IF(OR($C199="",NOT(OR($G199="À migrer",$G199="À décommissionner")),NOT(ISNUMBER($S199)),NOT(ISNUMBER($T199)),$AB199=""),"",($S199+p_poidsram*$T199)*SUMIFS(TblCalculs[Coût par unité],TblCalculs[Cluster],$I199,TblCalculs[Mois],"&lt;"&amp;$AB199))</f>
        <v/>
      </c>
      <c r="AK199" s="27" t="str">
        <f>IF($C199="","",IF(AND($G199="À migrer",$H199="Non",$Y199&lt;&gt;"",$AA199&lt;&gt;""),($Y199+p_poidsram*$Z199)*SUMIFS(TblCalculs[Coût par unité],TblCalculs[Cluster],$O199,TblCalculs[Mois],"&gt;="&amp;$AA199),IF(AND($G199="Migré",$Y199&lt;&gt;""),($Y199+p_poidsram*$Z199)*SUMIFS(TblCalculs[Coût par unité],TblCalculs[Cluster],$O199),"")))</f>
        <v/>
      </c>
      <c r="AL199" s="27" t="str">
        <f t="shared" si="30"/>
        <v/>
      </c>
      <c r="AM199" s="26" t="str">
        <f t="shared" si="31"/>
        <v/>
      </c>
      <c r="AN199" s="26" t="str">
        <f>IF(OR($C199="",$AM199&lt;&gt;1,COUNTIFS($E199,ex_envc,$A199,ex_domc,$B199,ex_tric)=0),"",COUNTIFS($AM$6:$AM199,1,$E$6:$E199,ex_envc,$A$6:$A199,ex_domc,$B$6:$B199,ex_tric))</f>
        <v/>
      </c>
      <c r="AO199" s="63"/>
      <c r="AP199" s="63"/>
      <c r="AQ199" s="63"/>
      <c r="AR199" s="63"/>
    </row>
    <row r="200" spans="1:44" x14ac:dyDescent="0.2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26" t="str">
        <f t="shared" si="24"/>
        <v/>
      </c>
      <c r="O200" s="59"/>
      <c r="P200" s="60" t="str">
        <f>IF($C200="","",IF($AQ200&lt;&gt;"",$AQ200,SUMIFS(TblDynatrace[CPU P95 (vCPU)],TblDynatrace[ID],$C200,TblDynatrace[Environnement],$E200,TblDynatrace[Couloir],$F200)))</f>
        <v/>
      </c>
      <c r="Q200" s="60" t="str">
        <f>IF($C200="","",IF($AR200&lt;&gt;"",$AR200,SUMIFS(TblDynatrace[RAM P95 (Go)],TblDynatrace[ID],$C200,TblDynatrace[Environnement],$E200,TblDynatrace[Couloir],$F200)))</f>
        <v/>
      </c>
      <c r="R200" s="26" t="str">
        <f>IF($C200="","",IFERROR(INDEX(TblDynatrace[Métrique / période],MATCH($C200&amp;"|"&amp;$E200&amp;"|"&amp;$F200,TblDynatrace[Clé],0)),""))</f>
        <v/>
      </c>
      <c r="S200" s="60" t="str">
        <f>IF(OR($C200="",NOT(OR($G200="À migrer",$G200="À décommissionner")),$I200="",NOT(ISNUMBER($P200))),"",IF($AO200&lt;&gt;"",$AO200,IFERROR(SUMIFS(TblClusters[CPU initial (vCPU)],TblClusters[Cluster],$I200)*$P200/(SUMIFS(TblApplications[CPU Dynatrace (vCPU)],TblApplications[Cluster IKS source],$I200,TblApplications[Action],"À migrer")+SUMIFS(TblApplications[CPU Dynatrace (vCPU)],TblApplications[Cluster IKS source],$I200,TblApplications[Action],"À décommissionner")),0)))</f>
        <v/>
      </c>
      <c r="T200" s="60" t="str">
        <f>IF(OR($C200="",NOT(OR($G200="À migrer",$G200="À décommissionner")),$I200="",NOT(ISNUMBER($Q200))),"",IF($AP200&lt;&gt;"",$AP200,IFERROR(SUMIFS(TblClusters[RAM initiale (Go)],TblClusters[Cluster],$I200)*$Q200/(SUMIFS(TblApplications[RAM Dynatrace (Go)],TblApplications[Cluster IKS source],$I200,TblApplications[Action],"À migrer")+SUMIFS(TblApplications[RAM Dynatrace (Go)],TblApplications[Cluster IKS source],$I200,TblApplications[Action],"À décommissionner")),0)))</f>
        <v/>
      </c>
      <c r="U200" s="61"/>
      <c r="V200" s="61"/>
      <c r="W200" s="61"/>
      <c r="X200" s="59"/>
      <c r="Y200" s="26" t="str">
        <f t="shared" si="25"/>
        <v/>
      </c>
      <c r="Z200" s="26" t="str">
        <f t="shared" si="26"/>
        <v/>
      </c>
      <c r="AA200" s="33" t="str">
        <f t="shared" si="27"/>
        <v/>
      </c>
      <c r="AB200" s="33" t="str">
        <f t="shared" si="28"/>
        <v/>
      </c>
      <c r="AC200" s="26" t="str">
        <f t="shared" si="29"/>
        <v/>
      </c>
      <c r="AD200" s="26" t="str">
        <f>IF($C200="","",COUNTIF(TblApplications[ID],$C200))</f>
        <v/>
      </c>
      <c r="AE200" s="33" t="str">
        <f>IF($C200="","",IFERROR(1/(1/_xlfn.MINIFS(TblApplications[Mois prov (calc)],TblApplications[ID],$C200)),""))</f>
        <v/>
      </c>
      <c r="AF200" s="33" t="str">
        <f>IF($C200="","",IFERROR(1/(1/_xlfn.MAXIFS(TblApplications[Mois lib (calc)],TblApplications[ID],$C200)),""))</f>
        <v/>
      </c>
      <c r="AG200" s="26" t="str">
        <f>IF($C200="","",IF(OR(OR($A200="",$B200="",$D200="",$E200="",$F200="",$G200=""),AND($G200="À migrer",OR($H200="",$I200="",$O200="",$U200="",$V200="",$W200="")),AND($G200="Migré",OR($O200="")),AND($G200="À décommissionner",OR($I200="",$W200=""))),"Données manquantes (selon l’action)",IF(AND($G200&lt;&gt;"Migré",$G200&lt;&gt;"À migrer",$G200&lt;&gt;"À décommissionner",$G200&lt;&gt;"Décommissionné"),"Action invalide",IF(COUNTIF(TblDomaines[Domaine],$A200)=0,"Domaine inconnu (référentiel)",IF(COUNTIFS(TblTribes[Tribe],$B200,TblTribes[Domaine de la tribe],$A200)=0,"Tribe inconnue ou hors domaine",IF(AND($G200="À migrer",$H200&lt;&gt;"Oui",$H200&lt;&gt;"Non"),"Valeur Oui/Non invalide (Déjà incluse ROKS)",IF(AND($E200&lt;&gt;"PRD",$E200&lt;&gt;"NPRD"),"Environnement invalide",IF(COUNTIFS(TblApplications[ID],$C200,TblApplications[Environnement],$E200,TblApplications[Couloir],$F200)&gt;1,"Déploiement en doublon (ID + env + couloir)",IF(AND(OR(OR($G200="À migrer",$G200="Migré"),OR($G200="À migrer",$G200="À décommissionner")),N($P200)&lt;=0),"Conso Dynatrace absente (onglet Dynatrace)",IF(OR(AND($P200&lt;&gt;"",NOT(ISNUMBER($P200))),AND($Q200&lt;&gt;"",NOT(ISNUMBER($Q200)))),"Ressource non numérique",IF(MIN(N($P200),N($Q200))&lt;0,"Ressource négative",IF(OR(AND($AH200&lt;&gt;"",OR(NOT(ISNUMBER($AH200)),$AH200&lt;0,$AH200&gt;1)),AND($AI200&lt;&gt;"",OR(NOT(ISNUMBER($AI200)),$AI200&lt;0,$AI200&gt;1))),"Marge spécifique invalide (0–100 %)",IF(OR(AND($U200&lt;&gt;"",NOT(ISNUMBER($U200))),AND($V200&lt;&gt;"",NOT(ISNUMBER($V200))),AND($W200&lt;&gt;"",NOT(ISNUMBER($W200)))),"Mois invalide",IF(AND(OR($G200="À migrer",$G200="À décommissionner"),COUNTIFS(TblClusters[Cluster],$I200,TblClusters[Plateforme],"IKS")=0),"Cluster IKS inconnu",IF(AND(OR($G200="À migrer",$G200="Migré"),COUNTIFS(TblClusters[Cluster],$O200,TblClusters[Plateforme],"ROKS")=0),"Cluster ROKS inconnu",IF(AND(OR($G200="À migrer",$G200="À décommissionner"),COUNTIFS(TblClusters[Cluster],$I200,TblClusters[Environnement],$E200)=0),"Environnement ≠ cluster IKS",IF(AND(OR($G200="À migrer",$G200="Migré"),COUNTIFS(TblClusters[Cluster],$O200,TblClusters[Environnement],$E200)=0),"Environnement ≠ cluster ROKS",IF(AND($G200="À migrer",OR($U200&gt;$V200,$V200&gt;$W200)),"Dates incohérentes (prov ≤ bascule ≤ libération)",IF(AND(OR($G200="À migrer",$G200="À décommissionner"),OR(N($AO200)&gt;SUMIFS(TblClusters[CPU initial (vCPU)],TblClusters[Cluster],$I200),N($AP200)&gt;SUMIFS(TblClusters[RAM initiale (Go)],TblClusters[Cluster],$I200))),"Forçage &gt; capacité du cluster source",IF(OR(AND($AA200&lt;&gt;"",$AA200&lt;p_debut),AND($AB200&lt;&gt;"",$AB200&gt;p_fin)),"Hors horizon (info)",IF(AND($G200="À migrer",$E200="PRD",COUNTIFS(TblApplications[ID],$C200,TblApplications[Environnement],"NPRD",TblApplications[Action],"À migrer")&gt;0,$AA200&lt;_xlfn.MINIFS(TblApplications[Mois prov (calc)],TblApplications[ID],$C200,TblApplications[Environnement],"NPRD")),"PRD avant NPRD (info)","OK")))))))))))))))))))))</f>
        <v/>
      </c>
      <c r="AH200" s="62"/>
      <c r="AI200" s="62"/>
      <c r="AJ200" s="27" t="str">
        <f>IF(OR($C200="",NOT(OR($G200="À migrer",$G200="À décommissionner")),NOT(ISNUMBER($S200)),NOT(ISNUMBER($T200)),$AB200=""),"",($S200+p_poidsram*$T200)*SUMIFS(TblCalculs[Coût par unité],TblCalculs[Cluster],$I200,TblCalculs[Mois],"&lt;"&amp;$AB200))</f>
        <v/>
      </c>
      <c r="AK200" s="27" t="str">
        <f>IF($C200="","",IF(AND($G200="À migrer",$H200="Non",$Y200&lt;&gt;"",$AA200&lt;&gt;""),($Y200+p_poidsram*$Z200)*SUMIFS(TblCalculs[Coût par unité],TblCalculs[Cluster],$O200,TblCalculs[Mois],"&gt;="&amp;$AA200),IF(AND($G200="Migré",$Y200&lt;&gt;""),($Y200+p_poidsram*$Z200)*SUMIFS(TblCalculs[Coût par unité],TblCalculs[Cluster],$O200),"")))</f>
        <v/>
      </c>
      <c r="AL200" s="27" t="str">
        <f t="shared" si="30"/>
        <v/>
      </c>
      <c r="AM200" s="26" t="str">
        <f t="shared" si="31"/>
        <v/>
      </c>
      <c r="AN200" s="26" t="str">
        <f>IF(OR($C200="",$AM200&lt;&gt;1,COUNTIFS($E200,ex_envc,$A200,ex_domc,$B200,ex_tric)=0),"",COUNTIFS($AM$6:$AM200,1,$E$6:$E200,ex_envc,$A$6:$A200,ex_domc,$B$6:$B200,ex_tric))</f>
        <v/>
      </c>
      <c r="AO200" s="63"/>
      <c r="AP200" s="63"/>
      <c r="AQ200" s="63"/>
      <c r="AR200" s="63"/>
    </row>
    <row r="201" spans="1:44" x14ac:dyDescent="0.2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26" t="str">
        <f t="shared" si="24"/>
        <v/>
      </c>
      <c r="O201" s="59"/>
      <c r="P201" s="60" t="str">
        <f>IF($C201="","",IF($AQ201&lt;&gt;"",$AQ201,SUMIFS(TblDynatrace[CPU P95 (vCPU)],TblDynatrace[ID],$C201,TblDynatrace[Environnement],$E201,TblDynatrace[Couloir],$F201)))</f>
        <v/>
      </c>
      <c r="Q201" s="60" t="str">
        <f>IF($C201="","",IF($AR201&lt;&gt;"",$AR201,SUMIFS(TblDynatrace[RAM P95 (Go)],TblDynatrace[ID],$C201,TblDynatrace[Environnement],$E201,TblDynatrace[Couloir],$F201)))</f>
        <v/>
      </c>
      <c r="R201" s="26" t="str">
        <f>IF($C201="","",IFERROR(INDEX(TblDynatrace[Métrique / période],MATCH($C201&amp;"|"&amp;$E201&amp;"|"&amp;$F201,TblDynatrace[Clé],0)),""))</f>
        <v/>
      </c>
      <c r="S201" s="60" t="str">
        <f>IF(OR($C201="",NOT(OR($G201="À migrer",$G201="À décommissionner")),$I201="",NOT(ISNUMBER($P201))),"",IF($AO201&lt;&gt;"",$AO201,IFERROR(SUMIFS(TblClusters[CPU initial (vCPU)],TblClusters[Cluster],$I201)*$P201/(SUMIFS(TblApplications[CPU Dynatrace (vCPU)],TblApplications[Cluster IKS source],$I201,TblApplications[Action],"À migrer")+SUMIFS(TblApplications[CPU Dynatrace (vCPU)],TblApplications[Cluster IKS source],$I201,TblApplications[Action],"À décommissionner")),0)))</f>
        <v/>
      </c>
      <c r="T201" s="60" t="str">
        <f>IF(OR($C201="",NOT(OR($G201="À migrer",$G201="À décommissionner")),$I201="",NOT(ISNUMBER($Q201))),"",IF($AP201&lt;&gt;"",$AP201,IFERROR(SUMIFS(TblClusters[RAM initiale (Go)],TblClusters[Cluster],$I201)*$Q201/(SUMIFS(TblApplications[RAM Dynatrace (Go)],TblApplications[Cluster IKS source],$I201,TblApplications[Action],"À migrer")+SUMIFS(TblApplications[RAM Dynatrace (Go)],TblApplications[Cluster IKS source],$I201,TblApplications[Action],"À décommissionner")),0)))</f>
        <v/>
      </c>
      <c r="U201" s="61"/>
      <c r="V201" s="61"/>
      <c r="W201" s="61"/>
      <c r="X201" s="59"/>
      <c r="Y201" s="26" t="str">
        <f t="shared" si="25"/>
        <v/>
      </c>
      <c r="Z201" s="26" t="str">
        <f t="shared" si="26"/>
        <v/>
      </c>
      <c r="AA201" s="33" t="str">
        <f t="shared" si="27"/>
        <v/>
      </c>
      <c r="AB201" s="33" t="str">
        <f t="shared" si="28"/>
        <v/>
      </c>
      <c r="AC201" s="26" t="str">
        <f t="shared" si="29"/>
        <v/>
      </c>
      <c r="AD201" s="26" t="str">
        <f>IF($C201="","",COUNTIF(TblApplications[ID],$C201))</f>
        <v/>
      </c>
      <c r="AE201" s="33" t="str">
        <f>IF($C201="","",IFERROR(1/(1/_xlfn.MINIFS(TblApplications[Mois prov (calc)],TblApplications[ID],$C201)),""))</f>
        <v/>
      </c>
      <c r="AF201" s="33" t="str">
        <f>IF($C201="","",IFERROR(1/(1/_xlfn.MAXIFS(TblApplications[Mois lib (calc)],TblApplications[ID],$C201)),""))</f>
        <v/>
      </c>
      <c r="AG201" s="26" t="str">
        <f>IF($C201="","",IF(OR(OR($A201="",$B201="",$D201="",$E201="",$F201="",$G201=""),AND($G201="À migrer",OR($H201="",$I201="",$O201="",$U201="",$V201="",$W201="")),AND($G201="Migré",OR($O201="")),AND($G201="À décommissionner",OR($I201="",$W201=""))),"Données manquantes (selon l’action)",IF(AND($G201&lt;&gt;"Migré",$G201&lt;&gt;"À migrer",$G201&lt;&gt;"À décommissionner",$G201&lt;&gt;"Décommissionné"),"Action invalide",IF(COUNTIF(TblDomaines[Domaine],$A201)=0,"Domaine inconnu (référentiel)",IF(COUNTIFS(TblTribes[Tribe],$B201,TblTribes[Domaine de la tribe],$A201)=0,"Tribe inconnue ou hors domaine",IF(AND($G201="À migrer",$H201&lt;&gt;"Oui",$H201&lt;&gt;"Non"),"Valeur Oui/Non invalide (Déjà incluse ROKS)",IF(AND($E201&lt;&gt;"PRD",$E201&lt;&gt;"NPRD"),"Environnement invalide",IF(COUNTIFS(TblApplications[ID],$C201,TblApplications[Environnement],$E201,TblApplications[Couloir],$F201)&gt;1,"Déploiement en doublon (ID + env + couloir)",IF(AND(OR(OR($G201="À migrer",$G201="Migré"),OR($G201="À migrer",$G201="À décommissionner")),N($P201)&lt;=0),"Conso Dynatrace absente (onglet Dynatrace)",IF(OR(AND($P201&lt;&gt;"",NOT(ISNUMBER($P201))),AND($Q201&lt;&gt;"",NOT(ISNUMBER($Q201)))),"Ressource non numérique",IF(MIN(N($P201),N($Q201))&lt;0,"Ressource négative",IF(OR(AND($AH201&lt;&gt;"",OR(NOT(ISNUMBER($AH201)),$AH201&lt;0,$AH201&gt;1)),AND($AI201&lt;&gt;"",OR(NOT(ISNUMBER($AI201)),$AI201&lt;0,$AI201&gt;1))),"Marge spécifique invalide (0–100 %)",IF(OR(AND($U201&lt;&gt;"",NOT(ISNUMBER($U201))),AND($V201&lt;&gt;"",NOT(ISNUMBER($V201))),AND($W201&lt;&gt;"",NOT(ISNUMBER($W201)))),"Mois invalide",IF(AND(OR($G201="À migrer",$G201="À décommissionner"),COUNTIFS(TblClusters[Cluster],$I201,TblClusters[Plateforme],"IKS")=0),"Cluster IKS inconnu",IF(AND(OR($G201="À migrer",$G201="Migré"),COUNTIFS(TblClusters[Cluster],$O201,TblClusters[Plateforme],"ROKS")=0),"Cluster ROKS inconnu",IF(AND(OR($G201="À migrer",$G201="À décommissionner"),COUNTIFS(TblClusters[Cluster],$I201,TblClusters[Environnement],$E201)=0),"Environnement ≠ cluster IKS",IF(AND(OR($G201="À migrer",$G201="Migré"),COUNTIFS(TblClusters[Cluster],$O201,TblClusters[Environnement],$E201)=0),"Environnement ≠ cluster ROKS",IF(AND($G201="À migrer",OR($U201&gt;$V201,$V201&gt;$W201)),"Dates incohérentes (prov ≤ bascule ≤ libération)",IF(AND(OR($G201="À migrer",$G201="À décommissionner"),OR(N($AO201)&gt;SUMIFS(TblClusters[CPU initial (vCPU)],TblClusters[Cluster],$I201),N($AP201)&gt;SUMIFS(TblClusters[RAM initiale (Go)],TblClusters[Cluster],$I201))),"Forçage &gt; capacité du cluster source",IF(OR(AND($AA201&lt;&gt;"",$AA201&lt;p_debut),AND($AB201&lt;&gt;"",$AB201&gt;p_fin)),"Hors horizon (info)",IF(AND($G201="À migrer",$E201="PRD",COUNTIFS(TblApplications[ID],$C201,TblApplications[Environnement],"NPRD",TblApplications[Action],"À migrer")&gt;0,$AA201&lt;_xlfn.MINIFS(TblApplications[Mois prov (calc)],TblApplications[ID],$C201,TblApplications[Environnement],"NPRD")),"PRD avant NPRD (info)","OK")))))))))))))))))))))</f>
        <v/>
      </c>
      <c r="AH201" s="62"/>
      <c r="AI201" s="62"/>
      <c r="AJ201" s="27" t="str">
        <f>IF(OR($C201="",NOT(OR($G201="À migrer",$G201="À décommissionner")),NOT(ISNUMBER($S201)),NOT(ISNUMBER($T201)),$AB201=""),"",($S201+p_poidsram*$T201)*SUMIFS(TblCalculs[Coût par unité],TblCalculs[Cluster],$I201,TblCalculs[Mois],"&lt;"&amp;$AB201))</f>
        <v/>
      </c>
      <c r="AK201" s="27" t="str">
        <f>IF($C201="","",IF(AND($G201="À migrer",$H201="Non",$Y201&lt;&gt;"",$AA201&lt;&gt;""),($Y201+p_poidsram*$Z201)*SUMIFS(TblCalculs[Coût par unité],TblCalculs[Cluster],$O201,TblCalculs[Mois],"&gt;="&amp;$AA201),IF(AND($G201="Migré",$Y201&lt;&gt;""),($Y201+p_poidsram*$Z201)*SUMIFS(TblCalculs[Coût par unité],TblCalculs[Cluster],$O201),"")))</f>
        <v/>
      </c>
      <c r="AL201" s="27" t="str">
        <f t="shared" si="30"/>
        <v/>
      </c>
      <c r="AM201" s="26" t="str">
        <f t="shared" si="31"/>
        <v/>
      </c>
      <c r="AN201" s="26" t="str">
        <f>IF(OR($C201="",$AM201&lt;&gt;1,COUNTIFS($E201,ex_envc,$A201,ex_domc,$B201,ex_tric)=0),"",COUNTIFS($AM$6:$AM201,1,$E$6:$E201,ex_envc,$A$6:$A201,ex_domc,$B$6:$B201,ex_tric))</f>
        <v/>
      </c>
      <c r="AO201" s="63"/>
      <c r="AP201" s="63"/>
      <c r="AQ201" s="63"/>
      <c r="AR201" s="63"/>
    </row>
    <row r="202" spans="1:44" x14ac:dyDescent="0.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26" t="str">
        <f t="shared" si="24"/>
        <v/>
      </c>
      <c r="O202" s="59"/>
      <c r="P202" s="60" t="str">
        <f>IF($C202="","",IF($AQ202&lt;&gt;"",$AQ202,SUMIFS(TblDynatrace[CPU P95 (vCPU)],TblDynatrace[ID],$C202,TblDynatrace[Environnement],$E202,TblDynatrace[Couloir],$F202)))</f>
        <v/>
      </c>
      <c r="Q202" s="60" t="str">
        <f>IF($C202="","",IF($AR202&lt;&gt;"",$AR202,SUMIFS(TblDynatrace[RAM P95 (Go)],TblDynatrace[ID],$C202,TblDynatrace[Environnement],$E202,TblDynatrace[Couloir],$F202)))</f>
        <v/>
      </c>
      <c r="R202" s="26" t="str">
        <f>IF($C202="","",IFERROR(INDEX(TblDynatrace[Métrique / période],MATCH($C202&amp;"|"&amp;$E202&amp;"|"&amp;$F202,TblDynatrace[Clé],0)),""))</f>
        <v/>
      </c>
      <c r="S202" s="60" t="str">
        <f>IF(OR($C202="",NOT(OR($G202="À migrer",$G202="À décommissionner")),$I202="",NOT(ISNUMBER($P202))),"",IF($AO202&lt;&gt;"",$AO202,IFERROR(SUMIFS(TblClusters[CPU initial (vCPU)],TblClusters[Cluster],$I202)*$P202/(SUMIFS(TblApplications[CPU Dynatrace (vCPU)],TblApplications[Cluster IKS source],$I202,TblApplications[Action],"À migrer")+SUMIFS(TblApplications[CPU Dynatrace (vCPU)],TblApplications[Cluster IKS source],$I202,TblApplications[Action],"À décommissionner")),0)))</f>
        <v/>
      </c>
      <c r="T202" s="60" t="str">
        <f>IF(OR($C202="",NOT(OR($G202="À migrer",$G202="À décommissionner")),$I202="",NOT(ISNUMBER($Q202))),"",IF($AP202&lt;&gt;"",$AP202,IFERROR(SUMIFS(TblClusters[RAM initiale (Go)],TblClusters[Cluster],$I202)*$Q202/(SUMIFS(TblApplications[RAM Dynatrace (Go)],TblApplications[Cluster IKS source],$I202,TblApplications[Action],"À migrer")+SUMIFS(TblApplications[RAM Dynatrace (Go)],TblApplications[Cluster IKS source],$I202,TblApplications[Action],"À décommissionner")),0)))</f>
        <v/>
      </c>
      <c r="U202" s="61"/>
      <c r="V202" s="61"/>
      <c r="W202" s="61"/>
      <c r="X202" s="59"/>
      <c r="Y202" s="26" t="str">
        <f t="shared" si="25"/>
        <v/>
      </c>
      <c r="Z202" s="26" t="str">
        <f t="shared" si="26"/>
        <v/>
      </c>
      <c r="AA202" s="33" t="str">
        <f t="shared" si="27"/>
        <v/>
      </c>
      <c r="AB202" s="33" t="str">
        <f t="shared" si="28"/>
        <v/>
      </c>
      <c r="AC202" s="26" t="str">
        <f t="shared" si="29"/>
        <v/>
      </c>
      <c r="AD202" s="26" t="str">
        <f>IF($C202="","",COUNTIF(TblApplications[ID],$C202))</f>
        <v/>
      </c>
      <c r="AE202" s="33" t="str">
        <f>IF($C202="","",IFERROR(1/(1/_xlfn.MINIFS(TblApplications[Mois prov (calc)],TblApplications[ID],$C202)),""))</f>
        <v/>
      </c>
      <c r="AF202" s="33" t="str">
        <f>IF($C202="","",IFERROR(1/(1/_xlfn.MAXIFS(TblApplications[Mois lib (calc)],TblApplications[ID],$C202)),""))</f>
        <v/>
      </c>
      <c r="AG202" s="26" t="str">
        <f>IF($C202="","",IF(OR(OR($A202="",$B202="",$D202="",$E202="",$F202="",$G202=""),AND($G202="À migrer",OR($H202="",$I202="",$O202="",$U202="",$V202="",$W202="")),AND($G202="Migré",OR($O202="")),AND($G202="À décommissionner",OR($I202="",$W202=""))),"Données manquantes (selon l’action)",IF(AND($G202&lt;&gt;"Migré",$G202&lt;&gt;"À migrer",$G202&lt;&gt;"À décommissionner",$G202&lt;&gt;"Décommissionné"),"Action invalide",IF(COUNTIF(TblDomaines[Domaine],$A202)=0,"Domaine inconnu (référentiel)",IF(COUNTIFS(TblTribes[Tribe],$B202,TblTribes[Domaine de la tribe],$A202)=0,"Tribe inconnue ou hors domaine",IF(AND($G202="À migrer",$H202&lt;&gt;"Oui",$H202&lt;&gt;"Non"),"Valeur Oui/Non invalide (Déjà incluse ROKS)",IF(AND($E202&lt;&gt;"PRD",$E202&lt;&gt;"NPRD"),"Environnement invalide",IF(COUNTIFS(TblApplications[ID],$C202,TblApplications[Environnement],$E202,TblApplications[Couloir],$F202)&gt;1,"Déploiement en doublon (ID + env + couloir)",IF(AND(OR(OR($G202="À migrer",$G202="Migré"),OR($G202="À migrer",$G202="À décommissionner")),N($P202)&lt;=0),"Conso Dynatrace absente (onglet Dynatrace)",IF(OR(AND($P202&lt;&gt;"",NOT(ISNUMBER($P202))),AND($Q202&lt;&gt;"",NOT(ISNUMBER($Q202)))),"Ressource non numérique",IF(MIN(N($P202),N($Q202))&lt;0,"Ressource négative",IF(OR(AND($AH202&lt;&gt;"",OR(NOT(ISNUMBER($AH202)),$AH202&lt;0,$AH202&gt;1)),AND($AI202&lt;&gt;"",OR(NOT(ISNUMBER($AI202)),$AI202&lt;0,$AI202&gt;1))),"Marge spécifique invalide (0–100 %)",IF(OR(AND($U202&lt;&gt;"",NOT(ISNUMBER($U202))),AND($V202&lt;&gt;"",NOT(ISNUMBER($V202))),AND($W202&lt;&gt;"",NOT(ISNUMBER($W202)))),"Mois invalide",IF(AND(OR($G202="À migrer",$G202="À décommissionner"),COUNTIFS(TblClusters[Cluster],$I202,TblClusters[Plateforme],"IKS")=0),"Cluster IKS inconnu",IF(AND(OR($G202="À migrer",$G202="Migré"),COUNTIFS(TblClusters[Cluster],$O202,TblClusters[Plateforme],"ROKS")=0),"Cluster ROKS inconnu",IF(AND(OR($G202="À migrer",$G202="À décommissionner"),COUNTIFS(TblClusters[Cluster],$I202,TblClusters[Environnement],$E202)=0),"Environnement ≠ cluster IKS",IF(AND(OR($G202="À migrer",$G202="Migré"),COUNTIFS(TblClusters[Cluster],$O202,TblClusters[Environnement],$E202)=0),"Environnement ≠ cluster ROKS",IF(AND($G202="À migrer",OR($U202&gt;$V202,$V202&gt;$W202)),"Dates incohérentes (prov ≤ bascule ≤ libération)",IF(AND(OR($G202="À migrer",$G202="À décommissionner"),OR(N($AO202)&gt;SUMIFS(TblClusters[CPU initial (vCPU)],TblClusters[Cluster],$I202),N($AP202)&gt;SUMIFS(TblClusters[RAM initiale (Go)],TblClusters[Cluster],$I202))),"Forçage &gt; capacité du cluster source",IF(OR(AND($AA202&lt;&gt;"",$AA202&lt;p_debut),AND($AB202&lt;&gt;"",$AB202&gt;p_fin)),"Hors horizon (info)",IF(AND($G202="À migrer",$E202="PRD",COUNTIFS(TblApplications[ID],$C202,TblApplications[Environnement],"NPRD",TblApplications[Action],"À migrer")&gt;0,$AA202&lt;_xlfn.MINIFS(TblApplications[Mois prov (calc)],TblApplications[ID],$C202,TblApplications[Environnement],"NPRD")),"PRD avant NPRD (info)","OK")))))))))))))))))))))</f>
        <v/>
      </c>
      <c r="AH202" s="62"/>
      <c r="AI202" s="62"/>
      <c r="AJ202" s="27" t="str">
        <f>IF(OR($C202="",NOT(OR($G202="À migrer",$G202="À décommissionner")),NOT(ISNUMBER($S202)),NOT(ISNUMBER($T202)),$AB202=""),"",($S202+p_poidsram*$T202)*SUMIFS(TblCalculs[Coût par unité],TblCalculs[Cluster],$I202,TblCalculs[Mois],"&lt;"&amp;$AB202))</f>
        <v/>
      </c>
      <c r="AK202" s="27" t="str">
        <f>IF($C202="","",IF(AND($G202="À migrer",$H202="Non",$Y202&lt;&gt;"",$AA202&lt;&gt;""),($Y202+p_poidsram*$Z202)*SUMIFS(TblCalculs[Coût par unité],TblCalculs[Cluster],$O202,TblCalculs[Mois],"&gt;="&amp;$AA202),IF(AND($G202="Migré",$Y202&lt;&gt;""),($Y202+p_poidsram*$Z202)*SUMIFS(TblCalculs[Coût par unité],TblCalculs[Cluster],$O202),"")))</f>
        <v/>
      </c>
      <c r="AL202" s="27" t="str">
        <f t="shared" si="30"/>
        <v/>
      </c>
      <c r="AM202" s="26" t="str">
        <f t="shared" si="31"/>
        <v/>
      </c>
      <c r="AN202" s="26" t="str">
        <f>IF(OR($C202="",$AM202&lt;&gt;1,COUNTIFS($E202,ex_envc,$A202,ex_domc,$B202,ex_tric)=0),"",COUNTIFS($AM$6:$AM202,1,$E$6:$E202,ex_envc,$A$6:$A202,ex_domc,$B$6:$B202,ex_tric))</f>
        <v/>
      </c>
      <c r="AO202" s="63"/>
      <c r="AP202" s="63"/>
      <c r="AQ202" s="63"/>
      <c r="AR202" s="63"/>
    </row>
    <row r="203" spans="1:44" x14ac:dyDescent="0.2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26" t="str">
        <f t="shared" si="24"/>
        <v/>
      </c>
      <c r="O203" s="59"/>
      <c r="P203" s="60" t="str">
        <f>IF($C203="","",IF($AQ203&lt;&gt;"",$AQ203,SUMIFS(TblDynatrace[CPU P95 (vCPU)],TblDynatrace[ID],$C203,TblDynatrace[Environnement],$E203,TblDynatrace[Couloir],$F203)))</f>
        <v/>
      </c>
      <c r="Q203" s="60" t="str">
        <f>IF($C203="","",IF($AR203&lt;&gt;"",$AR203,SUMIFS(TblDynatrace[RAM P95 (Go)],TblDynatrace[ID],$C203,TblDynatrace[Environnement],$E203,TblDynatrace[Couloir],$F203)))</f>
        <v/>
      </c>
      <c r="R203" s="26" t="str">
        <f>IF($C203="","",IFERROR(INDEX(TblDynatrace[Métrique / période],MATCH($C203&amp;"|"&amp;$E203&amp;"|"&amp;$F203,TblDynatrace[Clé],0)),""))</f>
        <v/>
      </c>
      <c r="S203" s="60" t="str">
        <f>IF(OR($C203="",NOT(OR($G203="À migrer",$G203="À décommissionner")),$I203="",NOT(ISNUMBER($P203))),"",IF($AO203&lt;&gt;"",$AO203,IFERROR(SUMIFS(TblClusters[CPU initial (vCPU)],TblClusters[Cluster],$I203)*$P203/(SUMIFS(TblApplications[CPU Dynatrace (vCPU)],TblApplications[Cluster IKS source],$I203,TblApplications[Action],"À migrer")+SUMIFS(TblApplications[CPU Dynatrace (vCPU)],TblApplications[Cluster IKS source],$I203,TblApplications[Action],"À décommissionner")),0)))</f>
        <v/>
      </c>
      <c r="T203" s="60" t="str">
        <f>IF(OR($C203="",NOT(OR($G203="À migrer",$G203="À décommissionner")),$I203="",NOT(ISNUMBER($Q203))),"",IF($AP203&lt;&gt;"",$AP203,IFERROR(SUMIFS(TblClusters[RAM initiale (Go)],TblClusters[Cluster],$I203)*$Q203/(SUMIFS(TblApplications[RAM Dynatrace (Go)],TblApplications[Cluster IKS source],$I203,TblApplications[Action],"À migrer")+SUMIFS(TblApplications[RAM Dynatrace (Go)],TblApplications[Cluster IKS source],$I203,TblApplications[Action],"À décommissionner")),0)))</f>
        <v/>
      </c>
      <c r="U203" s="61"/>
      <c r="V203" s="61"/>
      <c r="W203" s="61"/>
      <c r="X203" s="59"/>
      <c r="Y203" s="26" t="str">
        <f t="shared" si="25"/>
        <v/>
      </c>
      <c r="Z203" s="26" t="str">
        <f t="shared" si="26"/>
        <v/>
      </c>
      <c r="AA203" s="33" t="str">
        <f t="shared" si="27"/>
        <v/>
      </c>
      <c r="AB203" s="33" t="str">
        <f t="shared" si="28"/>
        <v/>
      </c>
      <c r="AC203" s="26" t="str">
        <f t="shared" si="29"/>
        <v/>
      </c>
      <c r="AD203" s="26" t="str">
        <f>IF($C203="","",COUNTIF(TblApplications[ID],$C203))</f>
        <v/>
      </c>
      <c r="AE203" s="33" t="str">
        <f>IF($C203="","",IFERROR(1/(1/_xlfn.MINIFS(TblApplications[Mois prov (calc)],TblApplications[ID],$C203)),""))</f>
        <v/>
      </c>
      <c r="AF203" s="33" t="str">
        <f>IF($C203="","",IFERROR(1/(1/_xlfn.MAXIFS(TblApplications[Mois lib (calc)],TblApplications[ID],$C203)),""))</f>
        <v/>
      </c>
      <c r="AG203" s="26" t="str">
        <f>IF($C203="","",IF(OR(OR($A203="",$B203="",$D203="",$E203="",$F203="",$G203=""),AND($G203="À migrer",OR($H203="",$I203="",$O203="",$U203="",$V203="",$W203="")),AND($G203="Migré",OR($O203="")),AND($G203="À décommissionner",OR($I203="",$W203=""))),"Données manquantes (selon l’action)",IF(AND($G203&lt;&gt;"Migré",$G203&lt;&gt;"À migrer",$G203&lt;&gt;"À décommissionner",$G203&lt;&gt;"Décommissionné"),"Action invalide",IF(COUNTIF(TblDomaines[Domaine],$A203)=0,"Domaine inconnu (référentiel)",IF(COUNTIFS(TblTribes[Tribe],$B203,TblTribes[Domaine de la tribe],$A203)=0,"Tribe inconnue ou hors domaine",IF(AND($G203="À migrer",$H203&lt;&gt;"Oui",$H203&lt;&gt;"Non"),"Valeur Oui/Non invalide (Déjà incluse ROKS)",IF(AND($E203&lt;&gt;"PRD",$E203&lt;&gt;"NPRD"),"Environnement invalide",IF(COUNTIFS(TblApplications[ID],$C203,TblApplications[Environnement],$E203,TblApplications[Couloir],$F203)&gt;1,"Déploiement en doublon (ID + env + couloir)",IF(AND(OR(OR($G203="À migrer",$G203="Migré"),OR($G203="À migrer",$G203="À décommissionner")),N($P203)&lt;=0),"Conso Dynatrace absente (onglet Dynatrace)",IF(OR(AND($P203&lt;&gt;"",NOT(ISNUMBER($P203))),AND($Q203&lt;&gt;"",NOT(ISNUMBER($Q203)))),"Ressource non numérique",IF(MIN(N($P203),N($Q203))&lt;0,"Ressource négative",IF(OR(AND($AH203&lt;&gt;"",OR(NOT(ISNUMBER($AH203)),$AH203&lt;0,$AH203&gt;1)),AND($AI203&lt;&gt;"",OR(NOT(ISNUMBER($AI203)),$AI203&lt;0,$AI203&gt;1))),"Marge spécifique invalide (0–100 %)",IF(OR(AND($U203&lt;&gt;"",NOT(ISNUMBER($U203))),AND($V203&lt;&gt;"",NOT(ISNUMBER($V203))),AND($W203&lt;&gt;"",NOT(ISNUMBER($W203)))),"Mois invalide",IF(AND(OR($G203="À migrer",$G203="À décommissionner"),COUNTIFS(TblClusters[Cluster],$I203,TblClusters[Plateforme],"IKS")=0),"Cluster IKS inconnu",IF(AND(OR($G203="À migrer",$G203="Migré"),COUNTIFS(TblClusters[Cluster],$O203,TblClusters[Plateforme],"ROKS")=0),"Cluster ROKS inconnu",IF(AND(OR($G203="À migrer",$G203="À décommissionner"),COUNTIFS(TblClusters[Cluster],$I203,TblClusters[Environnement],$E203)=0),"Environnement ≠ cluster IKS",IF(AND(OR($G203="À migrer",$G203="Migré"),COUNTIFS(TblClusters[Cluster],$O203,TblClusters[Environnement],$E203)=0),"Environnement ≠ cluster ROKS",IF(AND($G203="À migrer",OR($U203&gt;$V203,$V203&gt;$W203)),"Dates incohérentes (prov ≤ bascule ≤ libération)",IF(AND(OR($G203="À migrer",$G203="À décommissionner"),OR(N($AO203)&gt;SUMIFS(TblClusters[CPU initial (vCPU)],TblClusters[Cluster],$I203),N($AP203)&gt;SUMIFS(TblClusters[RAM initiale (Go)],TblClusters[Cluster],$I203))),"Forçage &gt; capacité du cluster source",IF(OR(AND($AA203&lt;&gt;"",$AA203&lt;p_debut),AND($AB203&lt;&gt;"",$AB203&gt;p_fin)),"Hors horizon (info)",IF(AND($G203="À migrer",$E203="PRD",COUNTIFS(TblApplications[ID],$C203,TblApplications[Environnement],"NPRD",TblApplications[Action],"À migrer")&gt;0,$AA203&lt;_xlfn.MINIFS(TblApplications[Mois prov (calc)],TblApplications[ID],$C203,TblApplications[Environnement],"NPRD")),"PRD avant NPRD (info)","OK")))))))))))))))))))))</f>
        <v/>
      </c>
      <c r="AH203" s="62"/>
      <c r="AI203" s="62"/>
      <c r="AJ203" s="27" t="str">
        <f>IF(OR($C203="",NOT(OR($G203="À migrer",$G203="À décommissionner")),NOT(ISNUMBER($S203)),NOT(ISNUMBER($T203)),$AB203=""),"",($S203+p_poidsram*$T203)*SUMIFS(TblCalculs[Coût par unité],TblCalculs[Cluster],$I203,TblCalculs[Mois],"&lt;"&amp;$AB203))</f>
        <v/>
      </c>
      <c r="AK203" s="27" t="str">
        <f>IF($C203="","",IF(AND($G203="À migrer",$H203="Non",$Y203&lt;&gt;"",$AA203&lt;&gt;""),($Y203+p_poidsram*$Z203)*SUMIFS(TblCalculs[Coût par unité],TblCalculs[Cluster],$O203,TblCalculs[Mois],"&gt;="&amp;$AA203),IF(AND($G203="Migré",$Y203&lt;&gt;""),($Y203+p_poidsram*$Z203)*SUMIFS(TblCalculs[Coût par unité],TblCalculs[Cluster],$O203),"")))</f>
        <v/>
      </c>
      <c r="AL203" s="27" t="str">
        <f t="shared" si="30"/>
        <v/>
      </c>
      <c r="AM203" s="26" t="str">
        <f t="shared" si="31"/>
        <v/>
      </c>
      <c r="AN203" s="26" t="str">
        <f>IF(OR($C203="",$AM203&lt;&gt;1,COUNTIFS($E203,ex_envc,$A203,ex_domc,$B203,ex_tric)=0),"",COUNTIFS($AM$6:$AM203,1,$E$6:$E203,ex_envc,$A$6:$A203,ex_domc,$B$6:$B203,ex_tric))</f>
        <v/>
      </c>
      <c r="AO203" s="63"/>
      <c r="AP203" s="63"/>
      <c r="AQ203" s="63"/>
      <c r="AR203" s="63"/>
    </row>
    <row r="204" spans="1:44" x14ac:dyDescent="0.2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26" t="str">
        <f t="shared" si="24"/>
        <v/>
      </c>
      <c r="O204" s="59"/>
      <c r="P204" s="60" t="str">
        <f>IF($C204="","",IF($AQ204&lt;&gt;"",$AQ204,SUMIFS(TblDynatrace[CPU P95 (vCPU)],TblDynatrace[ID],$C204,TblDynatrace[Environnement],$E204,TblDynatrace[Couloir],$F204)))</f>
        <v/>
      </c>
      <c r="Q204" s="60" t="str">
        <f>IF($C204="","",IF($AR204&lt;&gt;"",$AR204,SUMIFS(TblDynatrace[RAM P95 (Go)],TblDynatrace[ID],$C204,TblDynatrace[Environnement],$E204,TblDynatrace[Couloir],$F204)))</f>
        <v/>
      </c>
      <c r="R204" s="26" t="str">
        <f>IF($C204="","",IFERROR(INDEX(TblDynatrace[Métrique / période],MATCH($C204&amp;"|"&amp;$E204&amp;"|"&amp;$F204,TblDynatrace[Clé],0)),""))</f>
        <v/>
      </c>
      <c r="S204" s="60" t="str">
        <f>IF(OR($C204="",NOT(OR($G204="À migrer",$G204="À décommissionner")),$I204="",NOT(ISNUMBER($P204))),"",IF($AO204&lt;&gt;"",$AO204,IFERROR(SUMIFS(TblClusters[CPU initial (vCPU)],TblClusters[Cluster],$I204)*$P204/(SUMIFS(TblApplications[CPU Dynatrace (vCPU)],TblApplications[Cluster IKS source],$I204,TblApplications[Action],"À migrer")+SUMIFS(TblApplications[CPU Dynatrace (vCPU)],TblApplications[Cluster IKS source],$I204,TblApplications[Action],"À décommissionner")),0)))</f>
        <v/>
      </c>
      <c r="T204" s="60" t="str">
        <f>IF(OR($C204="",NOT(OR($G204="À migrer",$G204="À décommissionner")),$I204="",NOT(ISNUMBER($Q204))),"",IF($AP204&lt;&gt;"",$AP204,IFERROR(SUMIFS(TblClusters[RAM initiale (Go)],TblClusters[Cluster],$I204)*$Q204/(SUMIFS(TblApplications[RAM Dynatrace (Go)],TblApplications[Cluster IKS source],$I204,TblApplications[Action],"À migrer")+SUMIFS(TblApplications[RAM Dynatrace (Go)],TblApplications[Cluster IKS source],$I204,TblApplications[Action],"À décommissionner")),0)))</f>
        <v/>
      </c>
      <c r="U204" s="61"/>
      <c r="V204" s="61"/>
      <c r="W204" s="61"/>
      <c r="X204" s="59"/>
      <c r="Y204" s="26" t="str">
        <f t="shared" si="25"/>
        <v/>
      </c>
      <c r="Z204" s="26" t="str">
        <f t="shared" si="26"/>
        <v/>
      </c>
      <c r="AA204" s="33" t="str">
        <f t="shared" si="27"/>
        <v/>
      </c>
      <c r="AB204" s="33" t="str">
        <f t="shared" si="28"/>
        <v/>
      </c>
      <c r="AC204" s="26" t="str">
        <f t="shared" si="29"/>
        <v/>
      </c>
      <c r="AD204" s="26" t="str">
        <f>IF($C204="","",COUNTIF(TblApplications[ID],$C204))</f>
        <v/>
      </c>
      <c r="AE204" s="33" t="str">
        <f>IF($C204="","",IFERROR(1/(1/_xlfn.MINIFS(TblApplications[Mois prov (calc)],TblApplications[ID],$C204)),""))</f>
        <v/>
      </c>
      <c r="AF204" s="33" t="str">
        <f>IF($C204="","",IFERROR(1/(1/_xlfn.MAXIFS(TblApplications[Mois lib (calc)],TblApplications[ID],$C204)),""))</f>
        <v/>
      </c>
      <c r="AG204" s="26" t="str">
        <f>IF($C204="","",IF(OR(OR($A204="",$B204="",$D204="",$E204="",$F204="",$G204=""),AND($G204="À migrer",OR($H204="",$I204="",$O204="",$U204="",$V204="",$W204="")),AND($G204="Migré",OR($O204="")),AND($G204="À décommissionner",OR($I204="",$W204=""))),"Données manquantes (selon l’action)",IF(AND($G204&lt;&gt;"Migré",$G204&lt;&gt;"À migrer",$G204&lt;&gt;"À décommissionner",$G204&lt;&gt;"Décommissionné"),"Action invalide",IF(COUNTIF(TblDomaines[Domaine],$A204)=0,"Domaine inconnu (référentiel)",IF(COUNTIFS(TblTribes[Tribe],$B204,TblTribes[Domaine de la tribe],$A204)=0,"Tribe inconnue ou hors domaine",IF(AND($G204="À migrer",$H204&lt;&gt;"Oui",$H204&lt;&gt;"Non"),"Valeur Oui/Non invalide (Déjà incluse ROKS)",IF(AND($E204&lt;&gt;"PRD",$E204&lt;&gt;"NPRD"),"Environnement invalide",IF(COUNTIFS(TblApplications[ID],$C204,TblApplications[Environnement],$E204,TblApplications[Couloir],$F204)&gt;1,"Déploiement en doublon (ID + env + couloir)",IF(AND(OR(OR($G204="À migrer",$G204="Migré"),OR($G204="À migrer",$G204="À décommissionner")),N($P204)&lt;=0),"Conso Dynatrace absente (onglet Dynatrace)",IF(OR(AND($P204&lt;&gt;"",NOT(ISNUMBER($P204))),AND($Q204&lt;&gt;"",NOT(ISNUMBER($Q204)))),"Ressource non numérique",IF(MIN(N($P204),N($Q204))&lt;0,"Ressource négative",IF(OR(AND($AH204&lt;&gt;"",OR(NOT(ISNUMBER($AH204)),$AH204&lt;0,$AH204&gt;1)),AND($AI204&lt;&gt;"",OR(NOT(ISNUMBER($AI204)),$AI204&lt;0,$AI204&gt;1))),"Marge spécifique invalide (0–100 %)",IF(OR(AND($U204&lt;&gt;"",NOT(ISNUMBER($U204))),AND($V204&lt;&gt;"",NOT(ISNUMBER($V204))),AND($W204&lt;&gt;"",NOT(ISNUMBER($W204)))),"Mois invalide",IF(AND(OR($G204="À migrer",$G204="À décommissionner"),COUNTIFS(TblClusters[Cluster],$I204,TblClusters[Plateforme],"IKS")=0),"Cluster IKS inconnu",IF(AND(OR($G204="À migrer",$G204="Migré"),COUNTIFS(TblClusters[Cluster],$O204,TblClusters[Plateforme],"ROKS")=0),"Cluster ROKS inconnu",IF(AND(OR($G204="À migrer",$G204="À décommissionner"),COUNTIFS(TblClusters[Cluster],$I204,TblClusters[Environnement],$E204)=0),"Environnement ≠ cluster IKS",IF(AND(OR($G204="À migrer",$G204="Migré"),COUNTIFS(TblClusters[Cluster],$O204,TblClusters[Environnement],$E204)=0),"Environnement ≠ cluster ROKS",IF(AND($G204="À migrer",OR($U204&gt;$V204,$V204&gt;$W204)),"Dates incohérentes (prov ≤ bascule ≤ libération)",IF(AND(OR($G204="À migrer",$G204="À décommissionner"),OR(N($AO204)&gt;SUMIFS(TblClusters[CPU initial (vCPU)],TblClusters[Cluster],$I204),N($AP204)&gt;SUMIFS(TblClusters[RAM initiale (Go)],TblClusters[Cluster],$I204))),"Forçage &gt; capacité du cluster source",IF(OR(AND($AA204&lt;&gt;"",$AA204&lt;p_debut),AND($AB204&lt;&gt;"",$AB204&gt;p_fin)),"Hors horizon (info)",IF(AND($G204="À migrer",$E204="PRD",COUNTIFS(TblApplications[ID],$C204,TblApplications[Environnement],"NPRD",TblApplications[Action],"À migrer")&gt;0,$AA204&lt;_xlfn.MINIFS(TblApplications[Mois prov (calc)],TblApplications[ID],$C204,TblApplications[Environnement],"NPRD")),"PRD avant NPRD (info)","OK")))))))))))))))))))))</f>
        <v/>
      </c>
      <c r="AH204" s="62"/>
      <c r="AI204" s="62"/>
      <c r="AJ204" s="27" t="str">
        <f>IF(OR($C204="",NOT(OR($G204="À migrer",$G204="À décommissionner")),NOT(ISNUMBER($S204)),NOT(ISNUMBER($T204)),$AB204=""),"",($S204+p_poidsram*$T204)*SUMIFS(TblCalculs[Coût par unité],TblCalculs[Cluster],$I204,TblCalculs[Mois],"&lt;"&amp;$AB204))</f>
        <v/>
      </c>
      <c r="AK204" s="27" t="str">
        <f>IF($C204="","",IF(AND($G204="À migrer",$H204="Non",$Y204&lt;&gt;"",$AA204&lt;&gt;""),($Y204+p_poidsram*$Z204)*SUMIFS(TblCalculs[Coût par unité],TblCalculs[Cluster],$O204,TblCalculs[Mois],"&gt;="&amp;$AA204),IF(AND($G204="Migré",$Y204&lt;&gt;""),($Y204+p_poidsram*$Z204)*SUMIFS(TblCalculs[Coût par unité],TblCalculs[Cluster],$O204),"")))</f>
        <v/>
      </c>
      <c r="AL204" s="27" t="str">
        <f t="shared" si="30"/>
        <v/>
      </c>
      <c r="AM204" s="26" t="str">
        <f t="shared" si="31"/>
        <v/>
      </c>
      <c r="AN204" s="26" t="str">
        <f>IF(OR($C204="",$AM204&lt;&gt;1,COUNTIFS($E204,ex_envc,$A204,ex_domc,$B204,ex_tric)=0),"",COUNTIFS($AM$6:$AM204,1,$E$6:$E204,ex_envc,$A$6:$A204,ex_domc,$B$6:$B204,ex_tric))</f>
        <v/>
      </c>
      <c r="AO204" s="63"/>
      <c r="AP204" s="63"/>
      <c r="AQ204" s="63"/>
      <c r="AR204" s="63"/>
    </row>
    <row r="205" spans="1:44" x14ac:dyDescent="0.2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26" t="str">
        <f t="shared" si="24"/>
        <v/>
      </c>
      <c r="O205" s="59"/>
      <c r="P205" s="60" t="str">
        <f>IF($C205="","",IF($AQ205&lt;&gt;"",$AQ205,SUMIFS(TblDynatrace[CPU P95 (vCPU)],TblDynatrace[ID],$C205,TblDynatrace[Environnement],$E205,TblDynatrace[Couloir],$F205)))</f>
        <v/>
      </c>
      <c r="Q205" s="60" t="str">
        <f>IF($C205="","",IF($AR205&lt;&gt;"",$AR205,SUMIFS(TblDynatrace[RAM P95 (Go)],TblDynatrace[ID],$C205,TblDynatrace[Environnement],$E205,TblDynatrace[Couloir],$F205)))</f>
        <v/>
      </c>
      <c r="R205" s="26" t="str">
        <f>IF($C205="","",IFERROR(INDEX(TblDynatrace[Métrique / période],MATCH($C205&amp;"|"&amp;$E205&amp;"|"&amp;$F205,TblDynatrace[Clé],0)),""))</f>
        <v/>
      </c>
      <c r="S205" s="60" t="str">
        <f>IF(OR($C205="",NOT(OR($G205="À migrer",$G205="À décommissionner")),$I205="",NOT(ISNUMBER($P205))),"",IF($AO205&lt;&gt;"",$AO205,IFERROR(SUMIFS(TblClusters[CPU initial (vCPU)],TblClusters[Cluster],$I205)*$P205/(SUMIFS(TblApplications[CPU Dynatrace (vCPU)],TblApplications[Cluster IKS source],$I205,TblApplications[Action],"À migrer")+SUMIFS(TblApplications[CPU Dynatrace (vCPU)],TblApplications[Cluster IKS source],$I205,TblApplications[Action],"À décommissionner")),0)))</f>
        <v/>
      </c>
      <c r="T205" s="60" t="str">
        <f>IF(OR($C205="",NOT(OR($G205="À migrer",$G205="À décommissionner")),$I205="",NOT(ISNUMBER($Q205))),"",IF($AP205&lt;&gt;"",$AP205,IFERROR(SUMIFS(TblClusters[RAM initiale (Go)],TblClusters[Cluster],$I205)*$Q205/(SUMIFS(TblApplications[RAM Dynatrace (Go)],TblApplications[Cluster IKS source],$I205,TblApplications[Action],"À migrer")+SUMIFS(TblApplications[RAM Dynatrace (Go)],TblApplications[Cluster IKS source],$I205,TblApplications[Action],"À décommissionner")),0)))</f>
        <v/>
      </c>
      <c r="U205" s="61"/>
      <c r="V205" s="61"/>
      <c r="W205" s="61"/>
      <c r="X205" s="59"/>
      <c r="Y205" s="26" t="str">
        <f t="shared" si="25"/>
        <v/>
      </c>
      <c r="Z205" s="26" t="str">
        <f t="shared" si="26"/>
        <v/>
      </c>
      <c r="AA205" s="33" t="str">
        <f t="shared" si="27"/>
        <v/>
      </c>
      <c r="AB205" s="33" t="str">
        <f t="shared" si="28"/>
        <v/>
      </c>
      <c r="AC205" s="26" t="str">
        <f t="shared" si="29"/>
        <v/>
      </c>
      <c r="AD205" s="26" t="str">
        <f>IF($C205="","",COUNTIF(TblApplications[ID],$C205))</f>
        <v/>
      </c>
      <c r="AE205" s="33" t="str">
        <f>IF($C205="","",IFERROR(1/(1/_xlfn.MINIFS(TblApplications[Mois prov (calc)],TblApplications[ID],$C205)),""))</f>
        <v/>
      </c>
      <c r="AF205" s="33" t="str">
        <f>IF($C205="","",IFERROR(1/(1/_xlfn.MAXIFS(TblApplications[Mois lib (calc)],TblApplications[ID],$C205)),""))</f>
        <v/>
      </c>
      <c r="AG205" s="26" t="str">
        <f>IF($C205="","",IF(OR(OR($A205="",$B205="",$D205="",$E205="",$F205="",$G205=""),AND($G205="À migrer",OR($H205="",$I205="",$O205="",$U205="",$V205="",$W205="")),AND($G205="Migré",OR($O205="")),AND($G205="À décommissionner",OR($I205="",$W205=""))),"Données manquantes (selon l’action)",IF(AND($G205&lt;&gt;"Migré",$G205&lt;&gt;"À migrer",$G205&lt;&gt;"À décommissionner",$G205&lt;&gt;"Décommissionné"),"Action invalide",IF(COUNTIF(TblDomaines[Domaine],$A205)=0,"Domaine inconnu (référentiel)",IF(COUNTIFS(TblTribes[Tribe],$B205,TblTribes[Domaine de la tribe],$A205)=0,"Tribe inconnue ou hors domaine",IF(AND($G205="À migrer",$H205&lt;&gt;"Oui",$H205&lt;&gt;"Non"),"Valeur Oui/Non invalide (Déjà incluse ROKS)",IF(AND($E205&lt;&gt;"PRD",$E205&lt;&gt;"NPRD"),"Environnement invalide",IF(COUNTIFS(TblApplications[ID],$C205,TblApplications[Environnement],$E205,TblApplications[Couloir],$F205)&gt;1,"Déploiement en doublon (ID + env + couloir)",IF(AND(OR(OR($G205="À migrer",$G205="Migré"),OR($G205="À migrer",$G205="À décommissionner")),N($P205)&lt;=0),"Conso Dynatrace absente (onglet Dynatrace)",IF(OR(AND($P205&lt;&gt;"",NOT(ISNUMBER($P205))),AND($Q205&lt;&gt;"",NOT(ISNUMBER($Q205)))),"Ressource non numérique",IF(MIN(N($P205),N($Q205))&lt;0,"Ressource négative",IF(OR(AND($AH205&lt;&gt;"",OR(NOT(ISNUMBER($AH205)),$AH205&lt;0,$AH205&gt;1)),AND($AI205&lt;&gt;"",OR(NOT(ISNUMBER($AI205)),$AI205&lt;0,$AI205&gt;1))),"Marge spécifique invalide (0–100 %)",IF(OR(AND($U205&lt;&gt;"",NOT(ISNUMBER($U205))),AND($V205&lt;&gt;"",NOT(ISNUMBER($V205))),AND($W205&lt;&gt;"",NOT(ISNUMBER($W205)))),"Mois invalide",IF(AND(OR($G205="À migrer",$G205="À décommissionner"),COUNTIFS(TblClusters[Cluster],$I205,TblClusters[Plateforme],"IKS")=0),"Cluster IKS inconnu",IF(AND(OR($G205="À migrer",$G205="Migré"),COUNTIFS(TblClusters[Cluster],$O205,TblClusters[Plateforme],"ROKS")=0),"Cluster ROKS inconnu",IF(AND(OR($G205="À migrer",$G205="À décommissionner"),COUNTIFS(TblClusters[Cluster],$I205,TblClusters[Environnement],$E205)=0),"Environnement ≠ cluster IKS",IF(AND(OR($G205="À migrer",$G205="Migré"),COUNTIFS(TblClusters[Cluster],$O205,TblClusters[Environnement],$E205)=0),"Environnement ≠ cluster ROKS",IF(AND($G205="À migrer",OR($U205&gt;$V205,$V205&gt;$W205)),"Dates incohérentes (prov ≤ bascule ≤ libération)",IF(AND(OR($G205="À migrer",$G205="À décommissionner"),OR(N($AO205)&gt;SUMIFS(TblClusters[CPU initial (vCPU)],TblClusters[Cluster],$I205),N($AP205)&gt;SUMIFS(TblClusters[RAM initiale (Go)],TblClusters[Cluster],$I205))),"Forçage &gt; capacité du cluster source",IF(OR(AND($AA205&lt;&gt;"",$AA205&lt;p_debut),AND($AB205&lt;&gt;"",$AB205&gt;p_fin)),"Hors horizon (info)",IF(AND($G205="À migrer",$E205="PRD",COUNTIFS(TblApplications[ID],$C205,TblApplications[Environnement],"NPRD",TblApplications[Action],"À migrer")&gt;0,$AA205&lt;_xlfn.MINIFS(TblApplications[Mois prov (calc)],TblApplications[ID],$C205,TblApplications[Environnement],"NPRD")),"PRD avant NPRD (info)","OK")))))))))))))))))))))</f>
        <v/>
      </c>
      <c r="AH205" s="62"/>
      <c r="AI205" s="62"/>
      <c r="AJ205" s="27" t="str">
        <f>IF(OR($C205="",NOT(OR($G205="À migrer",$G205="À décommissionner")),NOT(ISNUMBER($S205)),NOT(ISNUMBER($T205)),$AB205=""),"",($S205+p_poidsram*$T205)*SUMIFS(TblCalculs[Coût par unité],TblCalculs[Cluster],$I205,TblCalculs[Mois],"&lt;"&amp;$AB205))</f>
        <v/>
      </c>
      <c r="AK205" s="27" t="str">
        <f>IF($C205="","",IF(AND($G205="À migrer",$H205="Non",$Y205&lt;&gt;"",$AA205&lt;&gt;""),($Y205+p_poidsram*$Z205)*SUMIFS(TblCalculs[Coût par unité],TblCalculs[Cluster],$O205,TblCalculs[Mois],"&gt;="&amp;$AA205),IF(AND($G205="Migré",$Y205&lt;&gt;""),($Y205+p_poidsram*$Z205)*SUMIFS(TblCalculs[Coût par unité],TblCalculs[Cluster],$O205),"")))</f>
        <v/>
      </c>
      <c r="AL205" s="27" t="str">
        <f t="shared" si="30"/>
        <v/>
      </c>
      <c r="AM205" s="26" t="str">
        <f t="shared" si="31"/>
        <v/>
      </c>
      <c r="AN205" s="26" t="str">
        <f>IF(OR($C205="",$AM205&lt;&gt;1,COUNTIFS($E205,ex_envc,$A205,ex_domc,$B205,ex_tric)=0),"",COUNTIFS($AM$6:$AM205,1,$E$6:$E205,ex_envc,$A$6:$A205,ex_domc,$B$6:$B205,ex_tric))</f>
        <v/>
      </c>
      <c r="AO205" s="63"/>
      <c r="AP205" s="63"/>
      <c r="AQ205" s="63"/>
      <c r="AR205" s="63"/>
    </row>
    <row r="206" spans="1:44" x14ac:dyDescent="0.2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26" t="str">
        <f t="shared" si="24"/>
        <v/>
      </c>
      <c r="O206" s="59"/>
      <c r="P206" s="60" t="str">
        <f>IF($C206="","",IF($AQ206&lt;&gt;"",$AQ206,SUMIFS(TblDynatrace[CPU P95 (vCPU)],TblDynatrace[ID],$C206,TblDynatrace[Environnement],$E206,TblDynatrace[Couloir],$F206)))</f>
        <v/>
      </c>
      <c r="Q206" s="60" t="str">
        <f>IF($C206="","",IF($AR206&lt;&gt;"",$AR206,SUMIFS(TblDynatrace[RAM P95 (Go)],TblDynatrace[ID],$C206,TblDynatrace[Environnement],$E206,TblDynatrace[Couloir],$F206)))</f>
        <v/>
      </c>
      <c r="R206" s="26" t="str">
        <f>IF($C206="","",IFERROR(INDEX(TblDynatrace[Métrique / période],MATCH($C206&amp;"|"&amp;$E206&amp;"|"&amp;$F206,TblDynatrace[Clé],0)),""))</f>
        <v/>
      </c>
      <c r="S206" s="60" t="str">
        <f>IF(OR($C206="",NOT(OR($G206="À migrer",$G206="À décommissionner")),$I206="",NOT(ISNUMBER($P206))),"",IF($AO206&lt;&gt;"",$AO206,IFERROR(SUMIFS(TblClusters[CPU initial (vCPU)],TblClusters[Cluster],$I206)*$P206/(SUMIFS(TblApplications[CPU Dynatrace (vCPU)],TblApplications[Cluster IKS source],$I206,TblApplications[Action],"À migrer")+SUMIFS(TblApplications[CPU Dynatrace (vCPU)],TblApplications[Cluster IKS source],$I206,TblApplications[Action],"À décommissionner")),0)))</f>
        <v/>
      </c>
      <c r="T206" s="60" t="str">
        <f>IF(OR($C206="",NOT(OR($G206="À migrer",$G206="À décommissionner")),$I206="",NOT(ISNUMBER($Q206))),"",IF($AP206&lt;&gt;"",$AP206,IFERROR(SUMIFS(TblClusters[RAM initiale (Go)],TblClusters[Cluster],$I206)*$Q206/(SUMIFS(TblApplications[RAM Dynatrace (Go)],TblApplications[Cluster IKS source],$I206,TblApplications[Action],"À migrer")+SUMIFS(TblApplications[RAM Dynatrace (Go)],TblApplications[Cluster IKS source],$I206,TblApplications[Action],"À décommissionner")),0)))</f>
        <v/>
      </c>
      <c r="U206" s="61"/>
      <c r="V206" s="61"/>
      <c r="W206" s="61"/>
      <c r="X206" s="59"/>
      <c r="Y206" s="26" t="str">
        <f t="shared" si="25"/>
        <v/>
      </c>
      <c r="Z206" s="26" t="str">
        <f t="shared" si="26"/>
        <v/>
      </c>
      <c r="AA206" s="33" t="str">
        <f t="shared" si="27"/>
        <v/>
      </c>
      <c r="AB206" s="33" t="str">
        <f t="shared" si="28"/>
        <v/>
      </c>
      <c r="AC206" s="26" t="str">
        <f t="shared" si="29"/>
        <v/>
      </c>
      <c r="AD206" s="26" t="str">
        <f>IF($C206="","",COUNTIF(TblApplications[ID],$C206))</f>
        <v/>
      </c>
      <c r="AE206" s="33" t="str">
        <f>IF($C206="","",IFERROR(1/(1/_xlfn.MINIFS(TblApplications[Mois prov (calc)],TblApplications[ID],$C206)),""))</f>
        <v/>
      </c>
      <c r="AF206" s="33" t="str">
        <f>IF($C206="","",IFERROR(1/(1/_xlfn.MAXIFS(TblApplications[Mois lib (calc)],TblApplications[ID],$C206)),""))</f>
        <v/>
      </c>
      <c r="AG206" s="26" t="str">
        <f>IF($C206="","",IF(OR(OR($A206="",$B206="",$D206="",$E206="",$F206="",$G206=""),AND($G206="À migrer",OR($H206="",$I206="",$O206="",$U206="",$V206="",$W206="")),AND($G206="Migré",OR($O206="")),AND($G206="À décommissionner",OR($I206="",$W206=""))),"Données manquantes (selon l’action)",IF(AND($G206&lt;&gt;"Migré",$G206&lt;&gt;"À migrer",$G206&lt;&gt;"À décommissionner",$G206&lt;&gt;"Décommissionné"),"Action invalide",IF(COUNTIF(TblDomaines[Domaine],$A206)=0,"Domaine inconnu (référentiel)",IF(COUNTIFS(TblTribes[Tribe],$B206,TblTribes[Domaine de la tribe],$A206)=0,"Tribe inconnue ou hors domaine",IF(AND($G206="À migrer",$H206&lt;&gt;"Oui",$H206&lt;&gt;"Non"),"Valeur Oui/Non invalide (Déjà incluse ROKS)",IF(AND($E206&lt;&gt;"PRD",$E206&lt;&gt;"NPRD"),"Environnement invalide",IF(COUNTIFS(TblApplications[ID],$C206,TblApplications[Environnement],$E206,TblApplications[Couloir],$F206)&gt;1,"Déploiement en doublon (ID + env + couloir)",IF(AND(OR(OR($G206="À migrer",$G206="Migré"),OR($G206="À migrer",$G206="À décommissionner")),N($P206)&lt;=0),"Conso Dynatrace absente (onglet Dynatrace)",IF(OR(AND($P206&lt;&gt;"",NOT(ISNUMBER($P206))),AND($Q206&lt;&gt;"",NOT(ISNUMBER($Q206)))),"Ressource non numérique",IF(MIN(N($P206),N($Q206))&lt;0,"Ressource négative",IF(OR(AND($AH206&lt;&gt;"",OR(NOT(ISNUMBER($AH206)),$AH206&lt;0,$AH206&gt;1)),AND($AI206&lt;&gt;"",OR(NOT(ISNUMBER($AI206)),$AI206&lt;0,$AI206&gt;1))),"Marge spécifique invalide (0–100 %)",IF(OR(AND($U206&lt;&gt;"",NOT(ISNUMBER($U206))),AND($V206&lt;&gt;"",NOT(ISNUMBER($V206))),AND($W206&lt;&gt;"",NOT(ISNUMBER($W206)))),"Mois invalide",IF(AND(OR($G206="À migrer",$G206="À décommissionner"),COUNTIFS(TblClusters[Cluster],$I206,TblClusters[Plateforme],"IKS")=0),"Cluster IKS inconnu",IF(AND(OR($G206="À migrer",$G206="Migré"),COUNTIFS(TblClusters[Cluster],$O206,TblClusters[Plateforme],"ROKS")=0),"Cluster ROKS inconnu",IF(AND(OR($G206="À migrer",$G206="À décommissionner"),COUNTIFS(TblClusters[Cluster],$I206,TblClusters[Environnement],$E206)=0),"Environnement ≠ cluster IKS",IF(AND(OR($G206="À migrer",$G206="Migré"),COUNTIFS(TblClusters[Cluster],$O206,TblClusters[Environnement],$E206)=0),"Environnement ≠ cluster ROKS",IF(AND($G206="À migrer",OR($U206&gt;$V206,$V206&gt;$W206)),"Dates incohérentes (prov ≤ bascule ≤ libération)",IF(AND(OR($G206="À migrer",$G206="À décommissionner"),OR(N($AO206)&gt;SUMIFS(TblClusters[CPU initial (vCPU)],TblClusters[Cluster],$I206),N($AP206)&gt;SUMIFS(TblClusters[RAM initiale (Go)],TblClusters[Cluster],$I206))),"Forçage &gt; capacité du cluster source",IF(OR(AND($AA206&lt;&gt;"",$AA206&lt;p_debut),AND($AB206&lt;&gt;"",$AB206&gt;p_fin)),"Hors horizon (info)",IF(AND($G206="À migrer",$E206="PRD",COUNTIFS(TblApplications[ID],$C206,TblApplications[Environnement],"NPRD",TblApplications[Action],"À migrer")&gt;0,$AA206&lt;_xlfn.MINIFS(TblApplications[Mois prov (calc)],TblApplications[ID],$C206,TblApplications[Environnement],"NPRD")),"PRD avant NPRD (info)","OK")))))))))))))))))))))</f>
        <v/>
      </c>
      <c r="AH206" s="62"/>
      <c r="AI206" s="62"/>
      <c r="AJ206" s="27" t="str">
        <f>IF(OR($C206="",NOT(OR($G206="À migrer",$G206="À décommissionner")),NOT(ISNUMBER($S206)),NOT(ISNUMBER($T206)),$AB206=""),"",($S206+p_poidsram*$T206)*SUMIFS(TblCalculs[Coût par unité],TblCalculs[Cluster],$I206,TblCalculs[Mois],"&lt;"&amp;$AB206))</f>
        <v/>
      </c>
      <c r="AK206" s="27" t="str">
        <f>IF($C206="","",IF(AND($G206="À migrer",$H206="Non",$Y206&lt;&gt;"",$AA206&lt;&gt;""),($Y206+p_poidsram*$Z206)*SUMIFS(TblCalculs[Coût par unité],TblCalculs[Cluster],$O206,TblCalculs[Mois],"&gt;="&amp;$AA206),IF(AND($G206="Migré",$Y206&lt;&gt;""),($Y206+p_poidsram*$Z206)*SUMIFS(TblCalculs[Coût par unité],TblCalculs[Cluster],$O206),"")))</f>
        <v/>
      </c>
      <c r="AL206" s="27" t="str">
        <f t="shared" si="30"/>
        <v/>
      </c>
      <c r="AM206" s="26" t="str">
        <f t="shared" si="31"/>
        <v/>
      </c>
      <c r="AN206" s="26" t="str">
        <f>IF(OR($C206="",$AM206&lt;&gt;1,COUNTIFS($E206,ex_envc,$A206,ex_domc,$B206,ex_tric)=0),"",COUNTIFS($AM$6:$AM206,1,$E$6:$E206,ex_envc,$A$6:$A206,ex_domc,$B$6:$B206,ex_tric))</f>
        <v/>
      </c>
      <c r="AO206" s="63"/>
      <c r="AP206" s="63"/>
      <c r="AQ206" s="63"/>
      <c r="AR206" s="63"/>
    </row>
    <row r="207" spans="1:44" x14ac:dyDescent="0.2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26" t="str">
        <f t="shared" si="24"/>
        <v/>
      </c>
      <c r="O207" s="59"/>
      <c r="P207" s="60" t="str">
        <f>IF($C207="","",IF($AQ207&lt;&gt;"",$AQ207,SUMIFS(TblDynatrace[CPU P95 (vCPU)],TblDynatrace[ID],$C207,TblDynatrace[Environnement],$E207,TblDynatrace[Couloir],$F207)))</f>
        <v/>
      </c>
      <c r="Q207" s="60" t="str">
        <f>IF($C207="","",IF($AR207&lt;&gt;"",$AR207,SUMIFS(TblDynatrace[RAM P95 (Go)],TblDynatrace[ID],$C207,TblDynatrace[Environnement],$E207,TblDynatrace[Couloir],$F207)))</f>
        <v/>
      </c>
      <c r="R207" s="26" t="str">
        <f>IF($C207="","",IFERROR(INDEX(TblDynatrace[Métrique / période],MATCH($C207&amp;"|"&amp;$E207&amp;"|"&amp;$F207,TblDynatrace[Clé],0)),""))</f>
        <v/>
      </c>
      <c r="S207" s="60" t="str">
        <f>IF(OR($C207="",NOT(OR($G207="À migrer",$G207="À décommissionner")),$I207="",NOT(ISNUMBER($P207))),"",IF($AO207&lt;&gt;"",$AO207,IFERROR(SUMIFS(TblClusters[CPU initial (vCPU)],TblClusters[Cluster],$I207)*$P207/(SUMIFS(TblApplications[CPU Dynatrace (vCPU)],TblApplications[Cluster IKS source],$I207,TblApplications[Action],"À migrer")+SUMIFS(TblApplications[CPU Dynatrace (vCPU)],TblApplications[Cluster IKS source],$I207,TblApplications[Action],"À décommissionner")),0)))</f>
        <v/>
      </c>
      <c r="T207" s="60" t="str">
        <f>IF(OR($C207="",NOT(OR($G207="À migrer",$G207="À décommissionner")),$I207="",NOT(ISNUMBER($Q207))),"",IF($AP207&lt;&gt;"",$AP207,IFERROR(SUMIFS(TblClusters[RAM initiale (Go)],TblClusters[Cluster],$I207)*$Q207/(SUMIFS(TblApplications[RAM Dynatrace (Go)],TblApplications[Cluster IKS source],$I207,TblApplications[Action],"À migrer")+SUMIFS(TblApplications[RAM Dynatrace (Go)],TblApplications[Cluster IKS source],$I207,TblApplications[Action],"À décommissionner")),0)))</f>
        <v/>
      </c>
      <c r="U207" s="61"/>
      <c r="V207" s="61"/>
      <c r="W207" s="61"/>
      <c r="X207" s="59"/>
      <c r="Y207" s="26" t="str">
        <f t="shared" si="25"/>
        <v/>
      </c>
      <c r="Z207" s="26" t="str">
        <f t="shared" si="26"/>
        <v/>
      </c>
      <c r="AA207" s="33" t="str">
        <f t="shared" si="27"/>
        <v/>
      </c>
      <c r="AB207" s="33" t="str">
        <f t="shared" si="28"/>
        <v/>
      </c>
      <c r="AC207" s="26" t="str">
        <f t="shared" si="29"/>
        <v/>
      </c>
      <c r="AD207" s="26" t="str">
        <f>IF($C207="","",COUNTIF(TblApplications[ID],$C207))</f>
        <v/>
      </c>
      <c r="AE207" s="33" t="str">
        <f>IF($C207="","",IFERROR(1/(1/_xlfn.MINIFS(TblApplications[Mois prov (calc)],TblApplications[ID],$C207)),""))</f>
        <v/>
      </c>
      <c r="AF207" s="33" t="str">
        <f>IF($C207="","",IFERROR(1/(1/_xlfn.MAXIFS(TblApplications[Mois lib (calc)],TblApplications[ID],$C207)),""))</f>
        <v/>
      </c>
      <c r="AG207" s="26" t="str">
        <f>IF($C207="","",IF(OR(OR($A207="",$B207="",$D207="",$E207="",$F207="",$G207=""),AND($G207="À migrer",OR($H207="",$I207="",$O207="",$U207="",$V207="",$W207="")),AND($G207="Migré",OR($O207="")),AND($G207="À décommissionner",OR($I207="",$W207=""))),"Données manquantes (selon l’action)",IF(AND($G207&lt;&gt;"Migré",$G207&lt;&gt;"À migrer",$G207&lt;&gt;"À décommissionner",$G207&lt;&gt;"Décommissionné"),"Action invalide",IF(COUNTIF(TblDomaines[Domaine],$A207)=0,"Domaine inconnu (référentiel)",IF(COUNTIFS(TblTribes[Tribe],$B207,TblTribes[Domaine de la tribe],$A207)=0,"Tribe inconnue ou hors domaine",IF(AND($G207="À migrer",$H207&lt;&gt;"Oui",$H207&lt;&gt;"Non"),"Valeur Oui/Non invalide (Déjà incluse ROKS)",IF(AND($E207&lt;&gt;"PRD",$E207&lt;&gt;"NPRD"),"Environnement invalide",IF(COUNTIFS(TblApplications[ID],$C207,TblApplications[Environnement],$E207,TblApplications[Couloir],$F207)&gt;1,"Déploiement en doublon (ID + env + couloir)",IF(AND(OR(OR($G207="À migrer",$G207="Migré"),OR($G207="À migrer",$G207="À décommissionner")),N($P207)&lt;=0),"Conso Dynatrace absente (onglet Dynatrace)",IF(OR(AND($P207&lt;&gt;"",NOT(ISNUMBER($P207))),AND($Q207&lt;&gt;"",NOT(ISNUMBER($Q207)))),"Ressource non numérique",IF(MIN(N($P207),N($Q207))&lt;0,"Ressource négative",IF(OR(AND($AH207&lt;&gt;"",OR(NOT(ISNUMBER($AH207)),$AH207&lt;0,$AH207&gt;1)),AND($AI207&lt;&gt;"",OR(NOT(ISNUMBER($AI207)),$AI207&lt;0,$AI207&gt;1))),"Marge spécifique invalide (0–100 %)",IF(OR(AND($U207&lt;&gt;"",NOT(ISNUMBER($U207))),AND($V207&lt;&gt;"",NOT(ISNUMBER($V207))),AND($W207&lt;&gt;"",NOT(ISNUMBER($W207)))),"Mois invalide",IF(AND(OR($G207="À migrer",$G207="À décommissionner"),COUNTIFS(TblClusters[Cluster],$I207,TblClusters[Plateforme],"IKS")=0),"Cluster IKS inconnu",IF(AND(OR($G207="À migrer",$G207="Migré"),COUNTIFS(TblClusters[Cluster],$O207,TblClusters[Plateforme],"ROKS")=0),"Cluster ROKS inconnu",IF(AND(OR($G207="À migrer",$G207="À décommissionner"),COUNTIFS(TblClusters[Cluster],$I207,TblClusters[Environnement],$E207)=0),"Environnement ≠ cluster IKS",IF(AND(OR($G207="À migrer",$G207="Migré"),COUNTIFS(TblClusters[Cluster],$O207,TblClusters[Environnement],$E207)=0),"Environnement ≠ cluster ROKS",IF(AND($G207="À migrer",OR($U207&gt;$V207,$V207&gt;$W207)),"Dates incohérentes (prov ≤ bascule ≤ libération)",IF(AND(OR($G207="À migrer",$G207="À décommissionner"),OR(N($AO207)&gt;SUMIFS(TblClusters[CPU initial (vCPU)],TblClusters[Cluster],$I207),N($AP207)&gt;SUMIFS(TblClusters[RAM initiale (Go)],TblClusters[Cluster],$I207))),"Forçage &gt; capacité du cluster source",IF(OR(AND($AA207&lt;&gt;"",$AA207&lt;p_debut),AND($AB207&lt;&gt;"",$AB207&gt;p_fin)),"Hors horizon (info)",IF(AND($G207="À migrer",$E207="PRD",COUNTIFS(TblApplications[ID],$C207,TblApplications[Environnement],"NPRD",TblApplications[Action],"À migrer")&gt;0,$AA207&lt;_xlfn.MINIFS(TblApplications[Mois prov (calc)],TblApplications[ID],$C207,TblApplications[Environnement],"NPRD")),"PRD avant NPRD (info)","OK")))))))))))))))))))))</f>
        <v/>
      </c>
      <c r="AH207" s="62"/>
      <c r="AI207" s="62"/>
      <c r="AJ207" s="27" t="str">
        <f>IF(OR($C207="",NOT(OR($G207="À migrer",$G207="À décommissionner")),NOT(ISNUMBER($S207)),NOT(ISNUMBER($T207)),$AB207=""),"",($S207+p_poidsram*$T207)*SUMIFS(TblCalculs[Coût par unité],TblCalculs[Cluster],$I207,TblCalculs[Mois],"&lt;"&amp;$AB207))</f>
        <v/>
      </c>
      <c r="AK207" s="27" t="str">
        <f>IF($C207="","",IF(AND($G207="À migrer",$H207="Non",$Y207&lt;&gt;"",$AA207&lt;&gt;""),($Y207+p_poidsram*$Z207)*SUMIFS(TblCalculs[Coût par unité],TblCalculs[Cluster],$O207,TblCalculs[Mois],"&gt;="&amp;$AA207),IF(AND($G207="Migré",$Y207&lt;&gt;""),($Y207+p_poidsram*$Z207)*SUMIFS(TblCalculs[Coût par unité],TblCalculs[Cluster],$O207),"")))</f>
        <v/>
      </c>
      <c r="AL207" s="27" t="str">
        <f t="shared" si="30"/>
        <v/>
      </c>
      <c r="AM207" s="26" t="str">
        <f t="shared" si="31"/>
        <v/>
      </c>
      <c r="AN207" s="26" t="str">
        <f>IF(OR($C207="",$AM207&lt;&gt;1,COUNTIFS($E207,ex_envc,$A207,ex_domc,$B207,ex_tric)=0),"",COUNTIFS($AM$6:$AM207,1,$E$6:$E207,ex_envc,$A$6:$A207,ex_domc,$B$6:$B207,ex_tric))</f>
        <v/>
      </c>
      <c r="AO207" s="63"/>
      <c r="AP207" s="63"/>
      <c r="AQ207" s="63"/>
      <c r="AR207" s="63"/>
    </row>
    <row r="208" spans="1:44" x14ac:dyDescent="0.2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26" t="str">
        <f t="shared" si="24"/>
        <v/>
      </c>
      <c r="O208" s="59"/>
      <c r="P208" s="60" t="str">
        <f>IF($C208="","",IF($AQ208&lt;&gt;"",$AQ208,SUMIFS(TblDynatrace[CPU P95 (vCPU)],TblDynatrace[ID],$C208,TblDynatrace[Environnement],$E208,TblDynatrace[Couloir],$F208)))</f>
        <v/>
      </c>
      <c r="Q208" s="60" t="str">
        <f>IF($C208="","",IF($AR208&lt;&gt;"",$AR208,SUMIFS(TblDynatrace[RAM P95 (Go)],TblDynatrace[ID],$C208,TblDynatrace[Environnement],$E208,TblDynatrace[Couloir],$F208)))</f>
        <v/>
      </c>
      <c r="R208" s="26" t="str">
        <f>IF($C208="","",IFERROR(INDEX(TblDynatrace[Métrique / période],MATCH($C208&amp;"|"&amp;$E208&amp;"|"&amp;$F208,TblDynatrace[Clé],0)),""))</f>
        <v/>
      </c>
      <c r="S208" s="60" t="str">
        <f>IF(OR($C208="",NOT(OR($G208="À migrer",$G208="À décommissionner")),$I208="",NOT(ISNUMBER($P208))),"",IF($AO208&lt;&gt;"",$AO208,IFERROR(SUMIFS(TblClusters[CPU initial (vCPU)],TblClusters[Cluster],$I208)*$P208/(SUMIFS(TblApplications[CPU Dynatrace (vCPU)],TblApplications[Cluster IKS source],$I208,TblApplications[Action],"À migrer")+SUMIFS(TblApplications[CPU Dynatrace (vCPU)],TblApplications[Cluster IKS source],$I208,TblApplications[Action],"À décommissionner")),0)))</f>
        <v/>
      </c>
      <c r="T208" s="60" t="str">
        <f>IF(OR($C208="",NOT(OR($G208="À migrer",$G208="À décommissionner")),$I208="",NOT(ISNUMBER($Q208))),"",IF($AP208&lt;&gt;"",$AP208,IFERROR(SUMIFS(TblClusters[RAM initiale (Go)],TblClusters[Cluster],$I208)*$Q208/(SUMIFS(TblApplications[RAM Dynatrace (Go)],TblApplications[Cluster IKS source],$I208,TblApplications[Action],"À migrer")+SUMIFS(TblApplications[RAM Dynatrace (Go)],TblApplications[Cluster IKS source],$I208,TblApplications[Action],"À décommissionner")),0)))</f>
        <v/>
      </c>
      <c r="U208" s="61"/>
      <c r="V208" s="61"/>
      <c r="W208" s="61"/>
      <c r="X208" s="59"/>
      <c r="Y208" s="26" t="str">
        <f t="shared" si="25"/>
        <v/>
      </c>
      <c r="Z208" s="26" t="str">
        <f t="shared" si="26"/>
        <v/>
      </c>
      <c r="AA208" s="33" t="str">
        <f t="shared" si="27"/>
        <v/>
      </c>
      <c r="AB208" s="33" t="str">
        <f t="shared" si="28"/>
        <v/>
      </c>
      <c r="AC208" s="26" t="str">
        <f t="shared" si="29"/>
        <v/>
      </c>
      <c r="AD208" s="26" t="str">
        <f>IF($C208="","",COUNTIF(TblApplications[ID],$C208))</f>
        <v/>
      </c>
      <c r="AE208" s="33" t="str">
        <f>IF($C208="","",IFERROR(1/(1/_xlfn.MINIFS(TblApplications[Mois prov (calc)],TblApplications[ID],$C208)),""))</f>
        <v/>
      </c>
      <c r="AF208" s="33" t="str">
        <f>IF($C208="","",IFERROR(1/(1/_xlfn.MAXIFS(TblApplications[Mois lib (calc)],TblApplications[ID],$C208)),""))</f>
        <v/>
      </c>
      <c r="AG208" s="26" t="str">
        <f>IF($C208="","",IF(OR(OR($A208="",$B208="",$D208="",$E208="",$F208="",$G208=""),AND($G208="À migrer",OR($H208="",$I208="",$O208="",$U208="",$V208="",$W208="")),AND($G208="Migré",OR($O208="")),AND($G208="À décommissionner",OR($I208="",$W208=""))),"Données manquantes (selon l’action)",IF(AND($G208&lt;&gt;"Migré",$G208&lt;&gt;"À migrer",$G208&lt;&gt;"À décommissionner",$G208&lt;&gt;"Décommissionné"),"Action invalide",IF(COUNTIF(TblDomaines[Domaine],$A208)=0,"Domaine inconnu (référentiel)",IF(COUNTIFS(TblTribes[Tribe],$B208,TblTribes[Domaine de la tribe],$A208)=0,"Tribe inconnue ou hors domaine",IF(AND($G208="À migrer",$H208&lt;&gt;"Oui",$H208&lt;&gt;"Non"),"Valeur Oui/Non invalide (Déjà incluse ROKS)",IF(AND($E208&lt;&gt;"PRD",$E208&lt;&gt;"NPRD"),"Environnement invalide",IF(COUNTIFS(TblApplications[ID],$C208,TblApplications[Environnement],$E208,TblApplications[Couloir],$F208)&gt;1,"Déploiement en doublon (ID + env + couloir)",IF(AND(OR(OR($G208="À migrer",$G208="Migré"),OR($G208="À migrer",$G208="À décommissionner")),N($P208)&lt;=0),"Conso Dynatrace absente (onglet Dynatrace)",IF(OR(AND($P208&lt;&gt;"",NOT(ISNUMBER($P208))),AND($Q208&lt;&gt;"",NOT(ISNUMBER($Q208)))),"Ressource non numérique",IF(MIN(N($P208),N($Q208))&lt;0,"Ressource négative",IF(OR(AND($AH208&lt;&gt;"",OR(NOT(ISNUMBER($AH208)),$AH208&lt;0,$AH208&gt;1)),AND($AI208&lt;&gt;"",OR(NOT(ISNUMBER($AI208)),$AI208&lt;0,$AI208&gt;1))),"Marge spécifique invalide (0–100 %)",IF(OR(AND($U208&lt;&gt;"",NOT(ISNUMBER($U208))),AND($V208&lt;&gt;"",NOT(ISNUMBER($V208))),AND($W208&lt;&gt;"",NOT(ISNUMBER($W208)))),"Mois invalide",IF(AND(OR($G208="À migrer",$G208="À décommissionner"),COUNTIFS(TblClusters[Cluster],$I208,TblClusters[Plateforme],"IKS")=0),"Cluster IKS inconnu",IF(AND(OR($G208="À migrer",$G208="Migré"),COUNTIFS(TblClusters[Cluster],$O208,TblClusters[Plateforme],"ROKS")=0),"Cluster ROKS inconnu",IF(AND(OR($G208="À migrer",$G208="À décommissionner"),COUNTIFS(TblClusters[Cluster],$I208,TblClusters[Environnement],$E208)=0),"Environnement ≠ cluster IKS",IF(AND(OR($G208="À migrer",$G208="Migré"),COUNTIFS(TblClusters[Cluster],$O208,TblClusters[Environnement],$E208)=0),"Environnement ≠ cluster ROKS",IF(AND($G208="À migrer",OR($U208&gt;$V208,$V208&gt;$W208)),"Dates incohérentes (prov ≤ bascule ≤ libération)",IF(AND(OR($G208="À migrer",$G208="À décommissionner"),OR(N($AO208)&gt;SUMIFS(TblClusters[CPU initial (vCPU)],TblClusters[Cluster],$I208),N($AP208)&gt;SUMIFS(TblClusters[RAM initiale (Go)],TblClusters[Cluster],$I208))),"Forçage &gt; capacité du cluster source",IF(OR(AND($AA208&lt;&gt;"",$AA208&lt;p_debut),AND($AB208&lt;&gt;"",$AB208&gt;p_fin)),"Hors horizon (info)",IF(AND($G208="À migrer",$E208="PRD",COUNTIFS(TblApplications[ID],$C208,TblApplications[Environnement],"NPRD",TblApplications[Action],"À migrer")&gt;0,$AA208&lt;_xlfn.MINIFS(TblApplications[Mois prov (calc)],TblApplications[ID],$C208,TblApplications[Environnement],"NPRD")),"PRD avant NPRD (info)","OK")))))))))))))))))))))</f>
        <v/>
      </c>
      <c r="AH208" s="62"/>
      <c r="AI208" s="62"/>
      <c r="AJ208" s="27" t="str">
        <f>IF(OR($C208="",NOT(OR($G208="À migrer",$G208="À décommissionner")),NOT(ISNUMBER($S208)),NOT(ISNUMBER($T208)),$AB208=""),"",($S208+p_poidsram*$T208)*SUMIFS(TblCalculs[Coût par unité],TblCalculs[Cluster],$I208,TblCalculs[Mois],"&lt;"&amp;$AB208))</f>
        <v/>
      </c>
      <c r="AK208" s="27" t="str">
        <f>IF($C208="","",IF(AND($G208="À migrer",$H208="Non",$Y208&lt;&gt;"",$AA208&lt;&gt;""),($Y208+p_poidsram*$Z208)*SUMIFS(TblCalculs[Coût par unité],TblCalculs[Cluster],$O208,TblCalculs[Mois],"&gt;="&amp;$AA208),IF(AND($G208="Migré",$Y208&lt;&gt;""),($Y208+p_poidsram*$Z208)*SUMIFS(TblCalculs[Coût par unité],TblCalculs[Cluster],$O208),"")))</f>
        <v/>
      </c>
      <c r="AL208" s="27" t="str">
        <f t="shared" si="30"/>
        <v/>
      </c>
      <c r="AM208" s="26" t="str">
        <f t="shared" si="31"/>
        <v/>
      </c>
      <c r="AN208" s="26" t="str">
        <f>IF(OR($C208="",$AM208&lt;&gt;1,COUNTIFS($E208,ex_envc,$A208,ex_domc,$B208,ex_tric)=0),"",COUNTIFS($AM$6:$AM208,1,$E$6:$E208,ex_envc,$A$6:$A208,ex_domc,$B$6:$B208,ex_tric))</f>
        <v/>
      </c>
      <c r="AO208" s="63"/>
      <c r="AP208" s="63"/>
      <c r="AQ208" s="63"/>
      <c r="AR208" s="63"/>
    </row>
    <row r="209" spans="1:44" x14ac:dyDescent="0.2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26" t="str">
        <f t="shared" si="24"/>
        <v/>
      </c>
      <c r="O209" s="59"/>
      <c r="P209" s="60" t="str">
        <f>IF($C209="","",IF($AQ209&lt;&gt;"",$AQ209,SUMIFS(TblDynatrace[CPU P95 (vCPU)],TblDynatrace[ID],$C209,TblDynatrace[Environnement],$E209,TblDynatrace[Couloir],$F209)))</f>
        <v/>
      </c>
      <c r="Q209" s="60" t="str">
        <f>IF($C209="","",IF($AR209&lt;&gt;"",$AR209,SUMIFS(TblDynatrace[RAM P95 (Go)],TblDynatrace[ID],$C209,TblDynatrace[Environnement],$E209,TblDynatrace[Couloir],$F209)))</f>
        <v/>
      </c>
      <c r="R209" s="26" t="str">
        <f>IF($C209="","",IFERROR(INDEX(TblDynatrace[Métrique / période],MATCH($C209&amp;"|"&amp;$E209&amp;"|"&amp;$F209,TblDynatrace[Clé],0)),""))</f>
        <v/>
      </c>
      <c r="S209" s="60" t="str">
        <f>IF(OR($C209="",NOT(OR($G209="À migrer",$G209="À décommissionner")),$I209="",NOT(ISNUMBER($P209))),"",IF($AO209&lt;&gt;"",$AO209,IFERROR(SUMIFS(TblClusters[CPU initial (vCPU)],TblClusters[Cluster],$I209)*$P209/(SUMIFS(TblApplications[CPU Dynatrace (vCPU)],TblApplications[Cluster IKS source],$I209,TblApplications[Action],"À migrer")+SUMIFS(TblApplications[CPU Dynatrace (vCPU)],TblApplications[Cluster IKS source],$I209,TblApplications[Action],"À décommissionner")),0)))</f>
        <v/>
      </c>
      <c r="T209" s="60" t="str">
        <f>IF(OR($C209="",NOT(OR($G209="À migrer",$G209="À décommissionner")),$I209="",NOT(ISNUMBER($Q209))),"",IF($AP209&lt;&gt;"",$AP209,IFERROR(SUMIFS(TblClusters[RAM initiale (Go)],TblClusters[Cluster],$I209)*$Q209/(SUMIFS(TblApplications[RAM Dynatrace (Go)],TblApplications[Cluster IKS source],$I209,TblApplications[Action],"À migrer")+SUMIFS(TblApplications[RAM Dynatrace (Go)],TblApplications[Cluster IKS source],$I209,TblApplications[Action],"À décommissionner")),0)))</f>
        <v/>
      </c>
      <c r="U209" s="61"/>
      <c r="V209" s="61"/>
      <c r="W209" s="61"/>
      <c r="X209" s="59"/>
      <c r="Y209" s="26" t="str">
        <f t="shared" si="25"/>
        <v/>
      </c>
      <c r="Z209" s="26" t="str">
        <f t="shared" si="26"/>
        <v/>
      </c>
      <c r="AA209" s="33" t="str">
        <f t="shared" si="27"/>
        <v/>
      </c>
      <c r="AB209" s="33" t="str">
        <f t="shared" si="28"/>
        <v/>
      </c>
      <c r="AC209" s="26" t="str">
        <f t="shared" si="29"/>
        <v/>
      </c>
      <c r="AD209" s="26" t="str">
        <f>IF($C209="","",COUNTIF(TblApplications[ID],$C209))</f>
        <v/>
      </c>
      <c r="AE209" s="33" t="str">
        <f>IF($C209="","",IFERROR(1/(1/_xlfn.MINIFS(TblApplications[Mois prov (calc)],TblApplications[ID],$C209)),""))</f>
        <v/>
      </c>
      <c r="AF209" s="33" t="str">
        <f>IF($C209="","",IFERROR(1/(1/_xlfn.MAXIFS(TblApplications[Mois lib (calc)],TblApplications[ID],$C209)),""))</f>
        <v/>
      </c>
      <c r="AG209" s="26" t="str">
        <f>IF($C209="","",IF(OR(OR($A209="",$B209="",$D209="",$E209="",$F209="",$G209=""),AND($G209="À migrer",OR($H209="",$I209="",$O209="",$U209="",$V209="",$W209="")),AND($G209="Migré",OR($O209="")),AND($G209="À décommissionner",OR($I209="",$W209=""))),"Données manquantes (selon l’action)",IF(AND($G209&lt;&gt;"Migré",$G209&lt;&gt;"À migrer",$G209&lt;&gt;"À décommissionner",$G209&lt;&gt;"Décommissionné"),"Action invalide",IF(COUNTIF(TblDomaines[Domaine],$A209)=0,"Domaine inconnu (référentiel)",IF(COUNTIFS(TblTribes[Tribe],$B209,TblTribes[Domaine de la tribe],$A209)=0,"Tribe inconnue ou hors domaine",IF(AND($G209="À migrer",$H209&lt;&gt;"Oui",$H209&lt;&gt;"Non"),"Valeur Oui/Non invalide (Déjà incluse ROKS)",IF(AND($E209&lt;&gt;"PRD",$E209&lt;&gt;"NPRD"),"Environnement invalide",IF(COUNTIFS(TblApplications[ID],$C209,TblApplications[Environnement],$E209,TblApplications[Couloir],$F209)&gt;1,"Déploiement en doublon (ID + env + couloir)",IF(AND(OR(OR($G209="À migrer",$G209="Migré"),OR($G209="À migrer",$G209="À décommissionner")),N($P209)&lt;=0),"Conso Dynatrace absente (onglet Dynatrace)",IF(OR(AND($P209&lt;&gt;"",NOT(ISNUMBER($P209))),AND($Q209&lt;&gt;"",NOT(ISNUMBER($Q209)))),"Ressource non numérique",IF(MIN(N($P209),N($Q209))&lt;0,"Ressource négative",IF(OR(AND($AH209&lt;&gt;"",OR(NOT(ISNUMBER($AH209)),$AH209&lt;0,$AH209&gt;1)),AND($AI209&lt;&gt;"",OR(NOT(ISNUMBER($AI209)),$AI209&lt;0,$AI209&gt;1))),"Marge spécifique invalide (0–100 %)",IF(OR(AND($U209&lt;&gt;"",NOT(ISNUMBER($U209))),AND($V209&lt;&gt;"",NOT(ISNUMBER($V209))),AND($W209&lt;&gt;"",NOT(ISNUMBER($W209)))),"Mois invalide",IF(AND(OR($G209="À migrer",$G209="À décommissionner"),COUNTIFS(TblClusters[Cluster],$I209,TblClusters[Plateforme],"IKS")=0),"Cluster IKS inconnu",IF(AND(OR($G209="À migrer",$G209="Migré"),COUNTIFS(TblClusters[Cluster],$O209,TblClusters[Plateforme],"ROKS")=0),"Cluster ROKS inconnu",IF(AND(OR($G209="À migrer",$G209="À décommissionner"),COUNTIFS(TblClusters[Cluster],$I209,TblClusters[Environnement],$E209)=0),"Environnement ≠ cluster IKS",IF(AND(OR($G209="À migrer",$G209="Migré"),COUNTIFS(TblClusters[Cluster],$O209,TblClusters[Environnement],$E209)=0),"Environnement ≠ cluster ROKS",IF(AND($G209="À migrer",OR($U209&gt;$V209,$V209&gt;$W209)),"Dates incohérentes (prov ≤ bascule ≤ libération)",IF(AND(OR($G209="À migrer",$G209="À décommissionner"),OR(N($AO209)&gt;SUMIFS(TblClusters[CPU initial (vCPU)],TblClusters[Cluster],$I209),N($AP209)&gt;SUMIFS(TblClusters[RAM initiale (Go)],TblClusters[Cluster],$I209))),"Forçage &gt; capacité du cluster source",IF(OR(AND($AA209&lt;&gt;"",$AA209&lt;p_debut),AND($AB209&lt;&gt;"",$AB209&gt;p_fin)),"Hors horizon (info)",IF(AND($G209="À migrer",$E209="PRD",COUNTIFS(TblApplications[ID],$C209,TblApplications[Environnement],"NPRD",TblApplications[Action],"À migrer")&gt;0,$AA209&lt;_xlfn.MINIFS(TblApplications[Mois prov (calc)],TblApplications[ID],$C209,TblApplications[Environnement],"NPRD")),"PRD avant NPRD (info)","OK")))))))))))))))))))))</f>
        <v/>
      </c>
      <c r="AH209" s="62"/>
      <c r="AI209" s="62"/>
      <c r="AJ209" s="27" t="str">
        <f>IF(OR($C209="",NOT(OR($G209="À migrer",$G209="À décommissionner")),NOT(ISNUMBER($S209)),NOT(ISNUMBER($T209)),$AB209=""),"",($S209+p_poidsram*$T209)*SUMIFS(TblCalculs[Coût par unité],TblCalculs[Cluster],$I209,TblCalculs[Mois],"&lt;"&amp;$AB209))</f>
        <v/>
      </c>
      <c r="AK209" s="27" t="str">
        <f>IF($C209="","",IF(AND($G209="À migrer",$H209="Non",$Y209&lt;&gt;"",$AA209&lt;&gt;""),($Y209+p_poidsram*$Z209)*SUMIFS(TblCalculs[Coût par unité],TblCalculs[Cluster],$O209,TblCalculs[Mois],"&gt;="&amp;$AA209),IF(AND($G209="Migré",$Y209&lt;&gt;""),($Y209+p_poidsram*$Z209)*SUMIFS(TblCalculs[Coût par unité],TblCalculs[Cluster],$O209),"")))</f>
        <v/>
      </c>
      <c r="AL209" s="27" t="str">
        <f t="shared" si="30"/>
        <v/>
      </c>
      <c r="AM209" s="26" t="str">
        <f t="shared" si="31"/>
        <v/>
      </c>
      <c r="AN209" s="26" t="str">
        <f>IF(OR($C209="",$AM209&lt;&gt;1,COUNTIFS($E209,ex_envc,$A209,ex_domc,$B209,ex_tric)=0),"",COUNTIFS($AM$6:$AM209,1,$E$6:$E209,ex_envc,$A$6:$A209,ex_domc,$B$6:$B209,ex_tric))</f>
        <v/>
      </c>
      <c r="AO209" s="63"/>
      <c r="AP209" s="63"/>
      <c r="AQ209" s="63"/>
      <c r="AR209" s="63"/>
    </row>
    <row r="210" spans="1:44" x14ac:dyDescent="0.2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26" t="str">
        <f t="shared" si="24"/>
        <v/>
      </c>
      <c r="O210" s="59"/>
      <c r="P210" s="60" t="str">
        <f>IF($C210="","",IF($AQ210&lt;&gt;"",$AQ210,SUMIFS(TblDynatrace[CPU P95 (vCPU)],TblDynatrace[ID],$C210,TblDynatrace[Environnement],$E210,TblDynatrace[Couloir],$F210)))</f>
        <v/>
      </c>
      <c r="Q210" s="60" t="str">
        <f>IF($C210="","",IF($AR210&lt;&gt;"",$AR210,SUMIFS(TblDynatrace[RAM P95 (Go)],TblDynatrace[ID],$C210,TblDynatrace[Environnement],$E210,TblDynatrace[Couloir],$F210)))</f>
        <v/>
      </c>
      <c r="R210" s="26" t="str">
        <f>IF($C210="","",IFERROR(INDEX(TblDynatrace[Métrique / période],MATCH($C210&amp;"|"&amp;$E210&amp;"|"&amp;$F210,TblDynatrace[Clé],0)),""))</f>
        <v/>
      </c>
      <c r="S210" s="60" t="str">
        <f>IF(OR($C210="",NOT(OR($G210="À migrer",$G210="À décommissionner")),$I210="",NOT(ISNUMBER($P210))),"",IF($AO210&lt;&gt;"",$AO210,IFERROR(SUMIFS(TblClusters[CPU initial (vCPU)],TblClusters[Cluster],$I210)*$P210/(SUMIFS(TblApplications[CPU Dynatrace (vCPU)],TblApplications[Cluster IKS source],$I210,TblApplications[Action],"À migrer")+SUMIFS(TblApplications[CPU Dynatrace (vCPU)],TblApplications[Cluster IKS source],$I210,TblApplications[Action],"À décommissionner")),0)))</f>
        <v/>
      </c>
      <c r="T210" s="60" t="str">
        <f>IF(OR($C210="",NOT(OR($G210="À migrer",$G210="À décommissionner")),$I210="",NOT(ISNUMBER($Q210))),"",IF($AP210&lt;&gt;"",$AP210,IFERROR(SUMIFS(TblClusters[RAM initiale (Go)],TblClusters[Cluster],$I210)*$Q210/(SUMIFS(TblApplications[RAM Dynatrace (Go)],TblApplications[Cluster IKS source],$I210,TblApplications[Action],"À migrer")+SUMIFS(TblApplications[RAM Dynatrace (Go)],TblApplications[Cluster IKS source],$I210,TblApplications[Action],"À décommissionner")),0)))</f>
        <v/>
      </c>
      <c r="U210" s="61"/>
      <c r="V210" s="61"/>
      <c r="W210" s="61"/>
      <c r="X210" s="59"/>
      <c r="Y210" s="26" t="str">
        <f t="shared" si="25"/>
        <v/>
      </c>
      <c r="Z210" s="26" t="str">
        <f t="shared" si="26"/>
        <v/>
      </c>
      <c r="AA210" s="33" t="str">
        <f t="shared" si="27"/>
        <v/>
      </c>
      <c r="AB210" s="33" t="str">
        <f t="shared" si="28"/>
        <v/>
      </c>
      <c r="AC210" s="26" t="str">
        <f t="shared" si="29"/>
        <v/>
      </c>
      <c r="AD210" s="26" t="str">
        <f>IF($C210="","",COUNTIF(TblApplications[ID],$C210))</f>
        <v/>
      </c>
      <c r="AE210" s="33" t="str">
        <f>IF($C210="","",IFERROR(1/(1/_xlfn.MINIFS(TblApplications[Mois prov (calc)],TblApplications[ID],$C210)),""))</f>
        <v/>
      </c>
      <c r="AF210" s="33" t="str">
        <f>IF($C210="","",IFERROR(1/(1/_xlfn.MAXIFS(TblApplications[Mois lib (calc)],TblApplications[ID],$C210)),""))</f>
        <v/>
      </c>
      <c r="AG210" s="26" t="str">
        <f>IF($C210="","",IF(OR(OR($A210="",$B210="",$D210="",$E210="",$F210="",$G210=""),AND($G210="À migrer",OR($H210="",$I210="",$O210="",$U210="",$V210="",$W210="")),AND($G210="Migré",OR($O210="")),AND($G210="À décommissionner",OR($I210="",$W210=""))),"Données manquantes (selon l’action)",IF(AND($G210&lt;&gt;"Migré",$G210&lt;&gt;"À migrer",$G210&lt;&gt;"À décommissionner",$G210&lt;&gt;"Décommissionné"),"Action invalide",IF(COUNTIF(TblDomaines[Domaine],$A210)=0,"Domaine inconnu (référentiel)",IF(COUNTIFS(TblTribes[Tribe],$B210,TblTribes[Domaine de la tribe],$A210)=0,"Tribe inconnue ou hors domaine",IF(AND($G210="À migrer",$H210&lt;&gt;"Oui",$H210&lt;&gt;"Non"),"Valeur Oui/Non invalide (Déjà incluse ROKS)",IF(AND($E210&lt;&gt;"PRD",$E210&lt;&gt;"NPRD"),"Environnement invalide",IF(COUNTIFS(TblApplications[ID],$C210,TblApplications[Environnement],$E210,TblApplications[Couloir],$F210)&gt;1,"Déploiement en doublon (ID + env + couloir)",IF(AND(OR(OR($G210="À migrer",$G210="Migré"),OR($G210="À migrer",$G210="À décommissionner")),N($P210)&lt;=0),"Conso Dynatrace absente (onglet Dynatrace)",IF(OR(AND($P210&lt;&gt;"",NOT(ISNUMBER($P210))),AND($Q210&lt;&gt;"",NOT(ISNUMBER($Q210)))),"Ressource non numérique",IF(MIN(N($P210),N($Q210))&lt;0,"Ressource négative",IF(OR(AND($AH210&lt;&gt;"",OR(NOT(ISNUMBER($AH210)),$AH210&lt;0,$AH210&gt;1)),AND($AI210&lt;&gt;"",OR(NOT(ISNUMBER($AI210)),$AI210&lt;0,$AI210&gt;1))),"Marge spécifique invalide (0–100 %)",IF(OR(AND($U210&lt;&gt;"",NOT(ISNUMBER($U210))),AND($V210&lt;&gt;"",NOT(ISNUMBER($V210))),AND($W210&lt;&gt;"",NOT(ISNUMBER($W210)))),"Mois invalide",IF(AND(OR($G210="À migrer",$G210="À décommissionner"),COUNTIFS(TblClusters[Cluster],$I210,TblClusters[Plateforme],"IKS")=0),"Cluster IKS inconnu",IF(AND(OR($G210="À migrer",$G210="Migré"),COUNTIFS(TblClusters[Cluster],$O210,TblClusters[Plateforme],"ROKS")=0),"Cluster ROKS inconnu",IF(AND(OR($G210="À migrer",$G210="À décommissionner"),COUNTIFS(TblClusters[Cluster],$I210,TblClusters[Environnement],$E210)=0),"Environnement ≠ cluster IKS",IF(AND(OR($G210="À migrer",$G210="Migré"),COUNTIFS(TblClusters[Cluster],$O210,TblClusters[Environnement],$E210)=0),"Environnement ≠ cluster ROKS",IF(AND($G210="À migrer",OR($U210&gt;$V210,$V210&gt;$W210)),"Dates incohérentes (prov ≤ bascule ≤ libération)",IF(AND(OR($G210="À migrer",$G210="À décommissionner"),OR(N($AO210)&gt;SUMIFS(TblClusters[CPU initial (vCPU)],TblClusters[Cluster],$I210),N($AP210)&gt;SUMIFS(TblClusters[RAM initiale (Go)],TblClusters[Cluster],$I210))),"Forçage &gt; capacité du cluster source",IF(OR(AND($AA210&lt;&gt;"",$AA210&lt;p_debut),AND($AB210&lt;&gt;"",$AB210&gt;p_fin)),"Hors horizon (info)",IF(AND($G210="À migrer",$E210="PRD",COUNTIFS(TblApplications[ID],$C210,TblApplications[Environnement],"NPRD",TblApplications[Action],"À migrer")&gt;0,$AA210&lt;_xlfn.MINIFS(TblApplications[Mois prov (calc)],TblApplications[ID],$C210,TblApplications[Environnement],"NPRD")),"PRD avant NPRD (info)","OK")))))))))))))))))))))</f>
        <v/>
      </c>
      <c r="AH210" s="62"/>
      <c r="AI210" s="62"/>
      <c r="AJ210" s="27" t="str">
        <f>IF(OR($C210="",NOT(OR($G210="À migrer",$G210="À décommissionner")),NOT(ISNUMBER($S210)),NOT(ISNUMBER($T210)),$AB210=""),"",($S210+p_poidsram*$T210)*SUMIFS(TblCalculs[Coût par unité],TblCalculs[Cluster],$I210,TblCalculs[Mois],"&lt;"&amp;$AB210))</f>
        <v/>
      </c>
      <c r="AK210" s="27" t="str">
        <f>IF($C210="","",IF(AND($G210="À migrer",$H210="Non",$Y210&lt;&gt;"",$AA210&lt;&gt;""),($Y210+p_poidsram*$Z210)*SUMIFS(TblCalculs[Coût par unité],TblCalculs[Cluster],$O210,TblCalculs[Mois],"&gt;="&amp;$AA210),IF(AND($G210="Migré",$Y210&lt;&gt;""),($Y210+p_poidsram*$Z210)*SUMIFS(TblCalculs[Coût par unité],TblCalculs[Cluster],$O210),"")))</f>
        <v/>
      </c>
      <c r="AL210" s="27" t="str">
        <f t="shared" si="30"/>
        <v/>
      </c>
      <c r="AM210" s="26" t="str">
        <f t="shared" si="31"/>
        <v/>
      </c>
      <c r="AN210" s="26" t="str">
        <f>IF(OR($C210="",$AM210&lt;&gt;1,COUNTIFS($E210,ex_envc,$A210,ex_domc,$B210,ex_tric)=0),"",COUNTIFS($AM$6:$AM210,1,$E$6:$E210,ex_envc,$A$6:$A210,ex_domc,$B$6:$B210,ex_tric))</f>
        <v/>
      </c>
      <c r="AO210" s="63"/>
      <c r="AP210" s="63"/>
      <c r="AQ210" s="63"/>
      <c r="AR210" s="63"/>
    </row>
    <row r="211" spans="1:44" x14ac:dyDescent="0.2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26" t="str">
        <f t="shared" si="24"/>
        <v/>
      </c>
      <c r="O211" s="59"/>
      <c r="P211" s="60" t="str">
        <f>IF($C211="","",IF($AQ211&lt;&gt;"",$AQ211,SUMIFS(TblDynatrace[CPU P95 (vCPU)],TblDynatrace[ID],$C211,TblDynatrace[Environnement],$E211,TblDynatrace[Couloir],$F211)))</f>
        <v/>
      </c>
      <c r="Q211" s="60" t="str">
        <f>IF($C211="","",IF($AR211&lt;&gt;"",$AR211,SUMIFS(TblDynatrace[RAM P95 (Go)],TblDynatrace[ID],$C211,TblDynatrace[Environnement],$E211,TblDynatrace[Couloir],$F211)))</f>
        <v/>
      </c>
      <c r="R211" s="26" t="str">
        <f>IF($C211="","",IFERROR(INDEX(TblDynatrace[Métrique / période],MATCH($C211&amp;"|"&amp;$E211&amp;"|"&amp;$F211,TblDynatrace[Clé],0)),""))</f>
        <v/>
      </c>
      <c r="S211" s="60" t="str">
        <f>IF(OR($C211="",NOT(OR($G211="À migrer",$G211="À décommissionner")),$I211="",NOT(ISNUMBER($P211))),"",IF($AO211&lt;&gt;"",$AO211,IFERROR(SUMIFS(TblClusters[CPU initial (vCPU)],TblClusters[Cluster],$I211)*$P211/(SUMIFS(TblApplications[CPU Dynatrace (vCPU)],TblApplications[Cluster IKS source],$I211,TblApplications[Action],"À migrer")+SUMIFS(TblApplications[CPU Dynatrace (vCPU)],TblApplications[Cluster IKS source],$I211,TblApplications[Action],"À décommissionner")),0)))</f>
        <v/>
      </c>
      <c r="T211" s="60" t="str">
        <f>IF(OR($C211="",NOT(OR($G211="À migrer",$G211="À décommissionner")),$I211="",NOT(ISNUMBER($Q211))),"",IF($AP211&lt;&gt;"",$AP211,IFERROR(SUMIFS(TblClusters[RAM initiale (Go)],TblClusters[Cluster],$I211)*$Q211/(SUMIFS(TblApplications[RAM Dynatrace (Go)],TblApplications[Cluster IKS source],$I211,TblApplications[Action],"À migrer")+SUMIFS(TblApplications[RAM Dynatrace (Go)],TblApplications[Cluster IKS source],$I211,TblApplications[Action],"À décommissionner")),0)))</f>
        <v/>
      </c>
      <c r="U211" s="61"/>
      <c r="V211" s="61"/>
      <c r="W211" s="61"/>
      <c r="X211" s="59"/>
      <c r="Y211" s="26" t="str">
        <f t="shared" si="25"/>
        <v/>
      </c>
      <c r="Z211" s="26" t="str">
        <f t="shared" si="26"/>
        <v/>
      </c>
      <c r="AA211" s="33" t="str">
        <f t="shared" si="27"/>
        <v/>
      </c>
      <c r="AB211" s="33" t="str">
        <f t="shared" si="28"/>
        <v/>
      </c>
      <c r="AC211" s="26" t="str">
        <f t="shared" si="29"/>
        <v/>
      </c>
      <c r="AD211" s="26" t="str">
        <f>IF($C211="","",COUNTIF(TblApplications[ID],$C211))</f>
        <v/>
      </c>
      <c r="AE211" s="33" t="str">
        <f>IF($C211="","",IFERROR(1/(1/_xlfn.MINIFS(TblApplications[Mois prov (calc)],TblApplications[ID],$C211)),""))</f>
        <v/>
      </c>
      <c r="AF211" s="33" t="str">
        <f>IF($C211="","",IFERROR(1/(1/_xlfn.MAXIFS(TblApplications[Mois lib (calc)],TblApplications[ID],$C211)),""))</f>
        <v/>
      </c>
      <c r="AG211" s="26" t="str">
        <f>IF($C211="","",IF(OR(OR($A211="",$B211="",$D211="",$E211="",$F211="",$G211=""),AND($G211="À migrer",OR($H211="",$I211="",$O211="",$U211="",$V211="",$W211="")),AND($G211="Migré",OR($O211="")),AND($G211="À décommissionner",OR($I211="",$W211=""))),"Données manquantes (selon l’action)",IF(AND($G211&lt;&gt;"Migré",$G211&lt;&gt;"À migrer",$G211&lt;&gt;"À décommissionner",$G211&lt;&gt;"Décommissionné"),"Action invalide",IF(COUNTIF(TblDomaines[Domaine],$A211)=0,"Domaine inconnu (référentiel)",IF(COUNTIFS(TblTribes[Tribe],$B211,TblTribes[Domaine de la tribe],$A211)=0,"Tribe inconnue ou hors domaine",IF(AND($G211="À migrer",$H211&lt;&gt;"Oui",$H211&lt;&gt;"Non"),"Valeur Oui/Non invalide (Déjà incluse ROKS)",IF(AND($E211&lt;&gt;"PRD",$E211&lt;&gt;"NPRD"),"Environnement invalide",IF(COUNTIFS(TblApplications[ID],$C211,TblApplications[Environnement],$E211,TblApplications[Couloir],$F211)&gt;1,"Déploiement en doublon (ID + env + couloir)",IF(AND(OR(OR($G211="À migrer",$G211="Migré"),OR($G211="À migrer",$G211="À décommissionner")),N($P211)&lt;=0),"Conso Dynatrace absente (onglet Dynatrace)",IF(OR(AND($P211&lt;&gt;"",NOT(ISNUMBER($P211))),AND($Q211&lt;&gt;"",NOT(ISNUMBER($Q211)))),"Ressource non numérique",IF(MIN(N($P211),N($Q211))&lt;0,"Ressource négative",IF(OR(AND($AH211&lt;&gt;"",OR(NOT(ISNUMBER($AH211)),$AH211&lt;0,$AH211&gt;1)),AND($AI211&lt;&gt;"",OR(NOT(ISNUMBER($AI211)),$AI211&lt;0,$AI211&gt;1))),"Marge spécifique invalide (0–100 %)",IF(OR(AND($U211&lt;&gt;"",NOT(ISNUMBER($U211))),AND($V211&lt;&gt;"",NOT(ISNUMBER($V211))),AND($W211&lt;&gt;"",NOT(ISNUMBER($W211)))),"Mois invalide",IF(AND(OR($G211="À migrer",$G211="À décommissionner"),COUNTIFS(TblClusters[Cluster],$I211,TblClusters[Plateforme],"IKS")=0),"Cluster IKS inconnu",IF(AND(OR($G211="À migrer",$G211="Migré"),COUNTIFS(TblClusters[Cluster],$O211,TblClusters[Plateforme],"ROKS")=0),"Cluster ROKS inconnu",IF(AND(OR($G211="À migrer",$G211="À décommissionner"),COUNTIFS(TblClusters[Cluster],$I211,TblClusters[Environnement],$E211)=0),"Environnement ≠ cluster IKS",IF(AND(OR($G211="À migrer",$G211="Migré"),COUNTIFS(TblClusters[Cluster],$O211,TblClusters[Environnement],$E211)=0),"Environnement ≠ cluster ROKS",IF(AND($G211="À migrer",OR($U211&gt;$V211,$V211&gt;$W211)),"Dates incohérentes (prov ≤ bascule ≤ libération)",IF(AND(OR($G211="À migrer",$G211="À décommissionner"),OR(N($AO211)&gt;SUMIFS(TblClusters[CPU initial (vCPU)],TblClusters[Cluster],$I211),N($AP211)&gt;SUMIFS(TblClusters[RAM initiale (Go)],TblClusters[Cluster],$I211))),"Forçage &gt; capacité du cluster source",IF(OR(AND($AA211&lt;&gt;"",$AA211&lt;p_debut),AND($AB211&lt;&gt;"",$AB211&gt;p_fin)),"Hors horizon (info)",IF(AND($G211="À migrer",$E211="PRD",COUNTIFS(TblApplications[ID],$C211,TblApplications[Environnement],"NPRD",TblApplications[Action],"À migrer")&gt;0,$AA211&lt;_xlfn.MINIFS(TblApplications[Mois prov (calc)],TblApplications[ID],$C211,TblApplications[Environnement],"NPRD")),"PRD avant NPRD (info)","OK")))))))))))))))))))))</f>
        <v/>
      </c>
      <c r="AH211" s="62"/>
      <c r="AI211" s="62"/>
      <c r="AJ211" s="27" t="str">
        <f>IF(OR($C211="",NOT(OR($G211="À migrer",$G211="À décommissionner")),NOT(ISNUMBER($S211)),NOT(ISNUMBER($T211)),$AB211=""),"",($S211+p_poidsram*$T211)*SUMIFS(TblCalculs[Coût par unité],TblCalculs[Cluster],$I211,TblCalculs[Mois],"&lt;"&amp;$AB211))</f>
        <v/>
      </c>
      <c r="AK211" s="27" t="str">
        <f>IF($C211="","",IF(AND($G211="À migrer",$H211="Non",$Y211&lt;&gt;"",$AA211&lt;&gt;""),($Y211+p_poidsram*$Z211)*SUMIFS(TblCalculs[Coût par unité],TblCalculs[Cluster],$O211,TblCalculs[Mois],"&gt;="&amp;$AA211),IF(AND($G211="Migré",$Y211&lt;&gt;""),($Y211+p_poidsram*$Z211)*SUMIFS(TblCalculs[Coût par unité],TblCalculs[Cluster],$O211),"")))</f>
        <v/>
      </c>
      <c r="AL211" s="27" t="str">
        <f t="shared" si="30"/>
        <v/>
      </c>
      <c r="AM211" s="26" t="str">
        <f t="shared" si="31"/>
        <v/>
      </c>
      <c r="AN211" s="26" t="str">
        <f>IF(OR($C211="",$AM211&lt;&gt;1,COUNTIFS($E211,ex_envc,$A211,ex_domc,$B211,ex_tric)=0),"",COUNTIFS($AM$6:$AM211,1,$E$6:$E211,ex_envc,$A$6:$A211,ex_domc,$B$6:$B211,ex_tric))</f>
        <v/>
      </c>
      <c r="AO211" s="63"/>
      <c r="AP211" s="63"/>
      <c r="AQ211" s="63"/>
      <c r="AR211" s="63"/>
    </row>
    <row r="212" spans="1:44" x14ac:dyDescent="0.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26" t="str">
        <f t="shared" si="24"/>
        <v/>
      </c>
      <c r="O212" s="59"/>
      <c r="P212" s="60" t="str">
        <f>IF($C212="","",IF($AQ212&lt;&gt;"",$AQ212,SUMIFS(TblDynatrace[CPU P95 (vCPU)],TblDynatrace[ID],$C212,TblDynatrace[Environnement],$E212,TblDynatrace[Couloir],$F212)))</f>
        <v/>
      </c>
      <c r="Q212" s="60" t="str">
        <f>IF($C212="","",IF($AR212&lt;&gt;"",$AR212,SUMIFS(TblDynatrace[RAM P95 (Go)],TblDynatrace[ID],$C212,TblDynatrace[Environnement],$E212,TblDynatrace[Couloir],$F212)))</f>
        <v/>
      </c>
      <c r="R212" s="26" t="str">
        <f>IF($C212="","",IFERROR(INDEX(TblDynatrace[Métrique / période],MATCH($C212&amp;"|"&amp;$E212&amp;"|"&amp;$F212,TblDynatrace[Clé],0)),""))</f>
        <v/>
      </c>
      <c r="S212" s="60" t="str">
        <f>IF(OR($C212="",NOT(OR($G212="À migrer",$G212="À décommissionner")),$I212="",NOT(ISNUMBER($P212))),"",IF($AO212&lt;&gt;"",$AO212,IFERROR(SUMIFS(TblClusters[CPU initial (vCPU)],TblClusters[Cluster],$I212)*$P212/(SUMIFS(TblApplications[CPU Dynatrace (vCPU)],TblApplications[Cluster IKS source],$I212,TblApplications[Action],"À migrer")+SUMIFS(TblApplications[CPU Dynatrace (vCPU)],TblApplications[Cluster IKS source],$I212,TblApplications[Action],"À décommissionner")),0)))</f>
        <v/>
      </c>
      <c r="T212" s="60" t="str">
        <f>IF(OR($C212="",NOT(OR($G212="À migrer",$G212="À décommissionner")),$I212="",NOT(ISNUMBER($Q212))),"",IF($AP212&lt;&gt;"",$AP212,IFERROR(SUMIFS(TblClusters[RAM initiale (Go)],TblClusters[Cluster],$I212)*$Q212/(SUMIFS(TblApplications[RAM Dynatrace (Go)],TblApplications[Cluster IKS source],$I212,TblApplications[Action],"À migrer")+SUMIFS(TblApplications[RAM Dynatrace (Go)],TblApplications[Cluster IKS source],$I212,TblApplications[Action],"À décommissionner")),0)))</f>
        <v/>
      </c>
      <c r="U212" s="61"/>
      <c r="V212" s="61"/>
      <c r="W212" s="61"/>
      <c r="X212" s="59"/>
      <c r="Y212" s="26" t="str">
        <f t="shared" si="25"/>
        <v/>
      </c>
      <c r="Z212" s="26" t="str">
        <f t="shared" si="26"/>
        <v/>
      </c>
      <c r="AA212" s="33" t="str">
        <f t="shared" si="27"/>
        <v/>
      </c>
      <c r="AB212" s="33" t="str">
        <f t="shared" si="28"/>
        <v/>
      </c>
      <c r="AC212" s="26" t="str">
        <f t="shared" si="29"/>
        <v/>
      </c>
      <c r="AD212" s="26" t="str">
        <f>IF($C212="","",COUNTIF(TblApplications[ID],$C212))</f>
        <v/>
      </c>
      <c r="AE212" s="33" t="str">
        <f>IF($C212="","",IFERROR(1/(1/_xlfn.MINIFS(TblApplications[Mois prov (calc)],TblApplications[ID],$C212)),""))</f>
        <v/>
      </c>
      <c r="AF212" s="33" t="str">
        <f>IF($C212="","",IFERROR(1/(1/_xlfn.MAXIFS(TblApplications[Mois lib (calc)],TblApplications[ID],$C212)),""))</f>
        <v/>
      </c>
      <c r="AG212" s="26" t="str">
        <f>IF($C212="","",IF(OR(OR($A212="",$B212="",$D212="",$E212="",$F212="",$G212=""),AND($G212="À migrer",OR($H212="",$I212="",$O212="",$U212="",$V212="",$W212="")),AND($G212="Migré",OR($O212="")),AND($G212="À décommissionner",OR($I212="",$W212=""))),"Données manquantes (selon l’action)",IF(AND($G212&lt;&gt;"Migré",$G212&lt;&gt;"À migrer",$G212&lt;&gt;"À décommissionner",$G212&lt;&gt;"Décommissionné"),"Action invalide",IF(COUNTIF(TblDomaines[Domaine],$A212)=0,"Domaine inconnu (référentiel)",IF(COUNTIFS(TblTribes[Tribe],$B212,TblTribes[Domaine de la tribe],$A212)=0,"Tribe inconnue ou hors domaine",IF(AND($G212="À migrer",$H212&lt;&gt;"Oui",$H212&lt;&gt;"Non"),"Valeur Oui/Non invalide (Déjà incluse ROKS)",IF(AND($E212&lt;&gt;"PRD",$E212&lt;&gt;"NPRD"),"Environnement invalide",IF(COUNTIFS(TblApplications[ID],$C212,TblApplications[Environnement],$E212,TblApplications[Couloir],$F212)&gt;1,"Déploiement en doublon (ID + env + couloir)",IF(AND(OR(OR($G212="À migrer",$G212="Migré"),OR($G212="À migrer",$G212="À décommissionner")),N($P212)&lt;=0),"Conso Dynatrace absente (onglet Dynatrace)",IF(OR(AND($P212&lt;&gt;"",NOT(ISNUMBER($P212))),AND($Q212&lt;&gt;"",NOT(ISNUMBER($Q212)))),"Ressource non numérique",IF(MIN(N($P212),N($Q212))&lt;0,"Ressource négative",IF(OR(AND($AH212&lt;&gt;"",OR(NOT(ISNUMBER($AH212)),$AH212&lt;0,$AH212&gt;1)),AND($AI212&lt;&gt;"",OR(NOT(ISNUMBER($AI212)),$AI212&lt;0,$AI212&gt;1))),"Marge spécifique invalide (0–100 %)",IF(OR(AND($U212&lt;&gt;"",NOT(ISNUMBER($U212))),AND($V212&lt;&gt;"",NOT(ISNUMBER($V212))),AND($W212&lt;&gt;"",NOT(ISNUMBER($W212)))),"Mois invalide",IF(AND(OR($G212="À migrer",$G212="À décommissionner"),COUNTIFS(TblClusters[Cluster],$I212,TblClusters[Plateforme],"IKS")=0),"Cluster IKS inconnu",IF(AND(OR($G212="À migrer",$G212="Migré"),COUNTIFS(TblClusters[Cluster],$O212,TblClusters[Plateforme],"ROKS")=0),"Cluster ROKS inconnu",IF(AND(OR($G212="À migrer",$G212="À décommissionner"),COUNTIFS(TblClusters[Cluster],$I212,TblClusters[Environnement],$E212)=0),"Environnement ≠ cluster IKS",IF(AND(OR($G212="À migrer",$G212="Migré"),COUNTIFS(TblClusters[Cluster],$O212,TblClusters[Environnement],$E212)=0),"Environnement ≠ cluster ROKS",IF(AND($G212="À migrer",OR($U212&gt;$V212,$V212&gt;$W212)),"Dates incohérentes (prov ≤ bascule ≤ libération)",IF(AND(OR($G212="À migrer",$G212="À décommissionner"),OR(N($AO212)&gt;SUMIFS(TblClusters[CPU initial (vCPU)],TblClusters[Cluster],$I212),N($AP212)&gt;SUMIFS(TblClusters[RAM initiale (Go)],TblClusters[Cluster],$I212))),"Forçage &gt; capacité du cluster source",IF(OR(AND($AA212&lt;&gt;"",$AA212&lt;p_debut),AND($AB212&lt;&gt;"",$AB212&gt;p_fin)),"Hors horizon (info)",IF(AND($G212="À migrer",$E212="PRD",COUNTIFS(TblApplications[ID],$C212,TblApplications[Environnement],"NPRD",TblApplications[Action],"À migrer")&gt;0,$AA212&lt;_xlfn.MINIFS(TblApplications[Mois prov (calc)],TblApplications[ID],$C212,TblApplications[Environnement],"NPRD")),"PRD avant NPRD (info)","OK")))))))))))))))))))))</f>
        <v/>
      </c>
      <c r="AH212" s="62"/>
      <c r="AI212" s="62"/>
      <c r="AJ212" s="27" t="str">
        <f>IF(OR($C212="",NOT(OR($G212="À migrer",$G212="À décommissionner")),NOT(ISNUMBER($S212)),NOT(ISNUMBER($T212)),$AB212=""),"",($S212+p_poidsram*$T212)*SUMIFS(TblCalculs[Coût par unité],TblCalculs[Cluster],$I212,TblCalculs[Mois],"&lt;"&amp;$AB212))</f>
        <v/>
      </c>
      <c r="AK212" s="27" t="str">
        <f>IF($C212="","",IF(AND($G212="À migrer",$H212="Non",$Y212&lt;&gt;"",$AA212&lt;&gt;""),($Y212+p_poidsram*$Z212)*SUMIFS(TblCalculs[Coût par unité],TblCalculs[Cluster],$O212,TblCalculs[Mois],"&gt;="&amp;$AA212),IF(AND($G212="Migré",$Y212&lt;&gt;""),($Y212+p_poidsram*$Z212)*SUMIFS(TblCalculs[Coût par unité],TblCalculs[Cluster],$O212),"")))</f>
        <v/>
      </c>
      <c r="AL212" s="27" t="str">
        <f t="shared" si="30"/>
        <v/>
      </c>
      <c r="AM212" s="26" t="str">
        <f t="shared" si="31"/>
        <v/>
      </c>
      <c r="AN212" s="26" t="str">
        <f>IF(OR($C212="",$AM212&lt;&gt;1,COUNTIFS($E212,ex_envc,$A212,ex_domc,$B212,ex_tric)=0),"",COUNTIFS($AM$6:$AM212,1,$E$6:$E212,ex_envc,$A$6:$A212,ex_domc,$B$6:$B212,ex_tric))</f>
        <v/>
      </c>
      <c r="AO212" s="63"/>
      <c r="AP212" s="63"/>
      <c r="AQ212" s="63"/>
      <c r="AR212" s="63"/>
    </row>
    <row r="213" spans="1:44" x14ac:dyDescent="0.2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26" t="str">
        <f t="shared" si="24"/>
        <v/>
      </c>
      <c r="O213" s="59"/>
      <c r="P213" s="60" t="str">
        <f>IF($C213="","",IF($AQ213&lt;&gt;"",$AQ213,SUMIFS(TblDynatrace[CPU P95 (vCPU)],TblDynatrace[ID],$C213,TblDynatrace[Environnement],$E213,TblDynatrace[Couloir],$F213)))</f>
        <v/>
      </c>
      <c r="Q213" s="60" t="str">
        <f>IF($C213="","",IF($AR213&lt;&gt;"",$AR213,SUMIFS(TblDynatrace[RAM P95 (Go)],TblDynatrace[ID],$C213,TblDynatrace[Environnement],$E213,TblDynatrace[Couloir],$F213)))</f>
        <v/>
      </c>
      <c r="R213" s="26" t="str">
        <f>IF($C213="","",IFERROR(INDEX(TblDynatrace[Métrique / période],MATCH($C213&amp;"|"&amp;$E213&amp;"|"&amp;$F213,TblDynatrace[Clé],0)),""))</f>
        <v/>
      </c>
      <c r="S213" s="60" t="str">
        <f>IF(OR($C213="",NOT(OR($G213="À migrer",$G213="À décommissionner")),$I213="",NOT(ISNUMBER($P213))),"",IF($AO213&lt;&gt;"",$AO213,IFERROR(SUMIFS(TblClusters[CPU initial (vCPU)],TblClusters[Cluster],$I213)*$P213/(SUMIFS(TblApplications[CPU Dynatrace (vCPU)],TblApplications[Cluster IKS source],$I213,TblApplications[Action],"À migrer")+SUMIFS(TblApplications[CPU Dynatrace (vCPU)],TblApplications[Cluster IKS source],$I213,TblApplications[Action],"À décommissionner")),0)))</f>
        <v/>
      </c>
      <c r="T213" s="60" t="str">
        <f>IF(OR($C213="",NOT(OR($G213="À migrer",$G213="À décommissionner")),$I213="",NOT(ISNUMBER($Q213))),"",IF($AP213&lt;&gt;"",$AP213,IFERROR(SUMIFS(TblClusters[RAM initiale (Go)],TblClusters[Cluster],$I213)*$Q213/(SUMIFS(TblApplications[RAM Dynatrace (Go)],TblApplications[Cluster IKS source],$I213,TblApplications[Action],"À migrer")+SUMIFS(TblApplications[RAM Dynatrace (Go)],TblApplications[Cluster IKS source],$I213,TblApplications[Action],"À décommissionner")),0)))</f>
        <v/>
      </c>
      <c r="U213" s="61"/>
      <c r="V213" s="61"/>
      <c r="W213" s="61"/>
      <c r="X213" s="59"/>
      <c r="Y213" s="26" t="str">
        <f t="shared" si="25"/>
        <v/>
      </c>
      <c r="Z213" s="26" t="str">
        <f t="shared" si="26"/>
        <v/>
      </c>
      <c r="AA213" s="33" t="str">
        <f t="shared" si="27"/>
        <v/>
      </c>
      <c r="AB213" s="33" t="str">
        <f t="shared" si="28"/>
        <v/>
      </c>
      <c r="AC213" s="26" t="str">
        <f t="shared" si="29"/>
        <v/>
      </c>
      <c r="AD213" s="26" t="str">
        <f>IF($C213="","",COUNTIF(TblApplications[ID],$C213))</f>
        <v/>
      </c>
      <c r="AE213" s="33" t="str">
        <f>IF($C213="","",IFERROR(1/(1/_xlfn.MINIFS(TblApplications[Mois prov (calc)],TblApplications[ID],$C213)),""))</f>
        <v/>
      </c>
      <c r="AF213" s="33" t="str">
        <f>IF($C213="","",IFERROR(1/(1/_xlfn.MAXIFS(TblApplications[Mois lib (calc)],TblApplications[ID],$C213)),""))</f>
        <v/>
      </c>
      <c r="AG213" s="26" t="str">
        <f>IF($C213="","",IF(OR(OR($A213="",$B213="",$D213="",$E213="",$F213="",$G213=""),AND($G213="À migrer",OR($H213="",$I213="",$O213="",$U213="",$V213="",$W213="")),AND($G213="Migré",OR($O213="")),AND($G213="À décommissionner",OR($I213="",$W213=""))),"Données manquantes (selon l’action)",IF(AND($G213&lt;&gt;"Migré",$G213&lt;&gt;"À migrer",$G213&lt;&gt;"À décommissionner",$G213&lt;&gt;"Décommissionné"),"Action invalide",IF(COUNTIF(TblDomaines[Domaine],$A213)=0,"Domaine inconnu (référentiel)",IF(COUNTIFS(TblTribes[Tribe],$B213,TblTribes[Domaine de la tribe],$A213)=0,"Tribe inconnue ou hors domaine",IF(AND($G213="À migrer",$H213&lt;&gt;"Oui",$H213&lt;&gt;"Non"),"Valeur Oui/Non invalide (Déjà incluse ROKS)",IF(AND($E213&lt;&gt;"PRD",$E213&lt;&gt;"NPRD"),"Environnement invalide",IF(COUNTIFS(TblApplications[ID],$C213,TblApplications[Environnement],$E213,TblApplications[Couloir],$F213)&gt;1,"Déploiement en doublon (ID + env + couloir)",IF(AND(OR(OR($G213="À migrer",$G213="Migré"),OR($G213="À migrer",$G213="À décommissionner")),N($P213)&lt;=0),"Conso Dynatrace absente (onglet Dynatrace)",IF(OR(AND($P213&lt;&gt;"",NOT(ISNUMBER($P213))),AND($Q213&lt;&gt;"",NOT(ISNUMBER($Q213)))),"Ressource non numérique",IF(MIN(N($P213),N($Q213))&lt;0,"Ressource négative",IF(OR(AND($AH213&lt;&gt;"",OR(NOT(ISNUMBER($AH213)),$AH213&lt;0,$AH213&gt;1)),AND($AI213&lt;&gt;"",OR(NOT(ISNUMBER($AI213)),$AI213&lt;0,$AI213&gt;1))),"Marge spécifique invalide (0–100 %)",IF(OR(AND($U213&lt;&gt;"",NOT(ISNUMBER($U213))),AND($V213&lt;&gt;"",NOT(ISNUMBER($V213))),AND($W213&lt;&gt;"",NOT(ISNUMBER($W213)))),"Mois invalide",IF(AND(OR($G213="À migrer",$G213="À décommissionner"),COUNTIFS(TblClusters[Cluster],$I213,TblClusters[Plateforme],"IKS")=0),"Cluster IKS inconnu",IF(AND(OR($G213="À migrer",$G213="Migré"),COUNTIFS(TblClusters[Cluster],$O213,TblClusters[Plateforme],"ROKS")=0),"Cluster ROKS inconnu",IF(AND(OR($G213="À migrer",$G213="À décommissionner"),COUNTIFS(TblClusters[Cluster],$I213,TblClusters[Environnement],$E213)=0),"Environnement ≠ cluster IKS",IF(AND(OR($G213="À migrer",$G213="Migré"),COUNTIFS(TblClusters[Cluster],$O213,TblClusters[Environnement],$E213)=0),"Environnement ≠ cluster ROKS",IF(AND($G213="À migrer",OR($U213&gt;$V213,$V213&gt;$W213)),"Dates incohérentes (prov ≤ bascule ≤ libération)",IF(AND(OR($G213="À migrer",$G213="À décommissionner"),OR(N($AO213)&gt;SUMIFS(TblClusters[CPU initial (vCPU)],TblClusters[Cluster],$I213),N($AP213)&gt;SUMIFS(TblClusters[RAM initiale (Go)],TblClusters[Cluster],$I213))),"Forçage &gt; capacité du cluster source",IF(OR(AND($AA213&lt;&gt;"",$AA213&lt;p_debut),AND($AB213&lt;&gt;"",$AB213&gt;p_fin)),"Hors horizon (info)",IF(AND($G213="À migrer",$E213="PRD",COUNTIFS(TblApplications[ID],$C213,TblApplications[Environnement],"NPRD",TblApplications[Action],"À migrer")&gt;0,$AA213&lt;_xlfn.MINIFS(TblApplications[Mois prov (calc)],TblApplications[ID],$C213,TblApplications[Environnement],"NPRD")),"PRD avant NPRD (info)","OK")))))))))))))))))))))</f>
        <v/>
      </c>
      <c r="AH213" s="62"/>
      <c r="AI213" s="62"/>
      <c r="AJ213" s="27" t="str">
        <f>IF(OR($C213="",NOT(OR($G213="À migrer",$G213="À décommissionner")),NOT(ISNUMBER($S213)),NOT(ISNUMBER($T213)),$AB213=""),"",($S213+p_poidsram*$T213)*SUMIFS(TblCalculs[Coût par unité],TblCalculs[Cluster],$I213,TblCalculs[Mois],"&lt;"&amp;$AB213))</f>
        <v/>
      </c>
      <c r="AK213" s="27" t="str">
        <f>IF($C213="","",IF(AND($G213="À migrer",$H213="Non",$Y213&lt;&gt;"",$AA213&lt;&gt;""),($Y213+p_poidsram*$Z213)*SUMIFS(TblCalculs[Coût par unité],TblCalculs[Cluster],$O213,TblCalculs[Mois],"&gt;="&amp;$AA213),IF(AND($G213="Migré",$Y213&lt;&gt;""),($Y213+p_poidsram*$Z213)*SUMIFS(TblCalculs[Coût par unité],TblCalculs[Cluster],$O213),"")))</f>
        <v/>
      </c>
      <c r="AL213" s="27" t="str">
        <f t="shared" si="30"/>
        <v/>
      </c>
      <c r="AM213" s="26" t="str">
        <f t="shared" si="31"/>
        <v/>
      </c>
      <c r="AN213" s="26" t="str">
        <f>IF(OR($C213="",$AM213&lt;&gt;1,COUNTIFS($E213,ex_envc,$A213,ex_domc,$B213,ex_tric)=0),"",COUNTIFS($AM$6:$AM213,1,$E$6:$E213,ex_envc,$A$6:$A213,ex_domc,$B$6:$B213,ex_tric))</f>
        <v/>
      </c>
      <c r="AO213" s="63"/>
      <c r="AP213" s="63"/>
      <c r="AQ213" s="63"/>
      <c r="AR213" s="63"/>
    </row>
    <row r="214" spans="1:44" x14ac:dyDescent="0.2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26" t="str">
        <f t="shared" si="24"/>
        <v/>
      </c>
      <c r="O214" s="59"/>
      <c r="P214" s="60" t="str">
        <f>IF($C214="","",IF($AQ214&lt;&gt;"",$AQ214,SUMIFS(TblDynatrace[CPU P95 (vCPU)],TblDynatrace[ID],$C214,TblDynatrace[Environnement],$E214,TblDynatrace[Couloir],$F214)))</f>
        <v/>
      </c>
      <c r="Q214" s="60" t="str">
        <f>IF($C214="","",IF($AR214&lt;&gt;"",$AR214,SUMIFS(TblDynatrace[RAM P95 (Go)],TblDynatrace[ID],$C214,TblDynatrace[Environnement],$E214,TblDynatrace[Couloir],$F214)))</f>
        <v/>
      </c>
      <c r="R214" s="26" t="str">
        <f>IF($C214="","",IFERROR(INDEX(TblDynatrace[Métrique / période],MATCH($C214&amp;"|"&amp;$E214&amp;"|"&amp;$F214,TblDynatrace[Clé],0)),""))</f>
        <v/>
      </c>
      <c r="S214" s="60" t="str">
        <f>IF(OR($C214="",NOT(OR($G214="À migrer",$G214="À décommissionner")),$I214="",NOT(ISNUMBER($P214))),"",IF($AO214&lt;&gt;"",$AO214,IFERROR(SUMIFS(TblClusters[CPU initial (vCPU)],TblClusters[Cluster],$I214)*$P214/(SUMIFS(TblApplications[CPU Dynatrace (vCPU)],TblApplications[Cluster IKS source],$I214,TblApplications[Action],"À migrer")+SUMIFS(TblApplications[CPU Dynatrace (vCPU)],TblApplications[Cluster IKS source],$I214,TblApplications[Action],"À décommissionner")),0)))</f>
        <v/>
      </c>
      <c r="T214" s="60" t="str">
        <f>IF(OR($C214="",NOT(OR($G214="À migrer",$G214="À décommissionner")),$I214="",NOT(ISNUMBER($Q214))),"",IF($AP214&lt;&gt;"",$AP214,IFERROR(SUMIFS(TblClusters[RAM initiale (Go)],TblClusters[Cluster],$I214)*$Q214/(SUMIFS(TblApplications[RAM Dynatrace (Go)],TblApplications[Cluster IKS source],$I214,TblApplications[Action],"À migrer")+SUMIFS(TblApplications[RAM Dynatrace (Go)],TblApplications[Cluster IKS source],$I214,TblApplications[Action],"À décommissionner")),0)))</f>
        <v/>
      </c>
      <c r="U214" s="61"/>
      <c r="V214" s="61"/>
      <c r="W214" s="61"/>
      <c r="X214" s="59"/>
      <c r="Y214" s="26" t="str">
        <f t="shared" si="25"/>
        <v/>
      </c>
      <c r="Z214" s="26" t="str">
        <f t="shared" si="26"/>
        <v/>
      </c>
      <c r="AA214" s="33" t="str">
        <f t="shared" si="27"/>
        <v/>
      </c>
      <c r="AB214" s="33" t="str">
        <f t="shared" si="28"/>
        <v/>
      </c>
      <c r="AC214" s="26" t="str">
        <f t="shared" si="29"/>
        <v/>
      </c>
      <c r="AD214" s="26" t="str">
        <f>IF($C214="","",COUNTIF(TblApplications[ID],$C214))</f>
        <v/>
      </c>
      <c r="AE214" s="33" t="str">
        <f>IF($C214="","",IFERROR(1/(1/_xlfn.MINIFS(TblApplications[Mois prov (calc)],TblApplications[ID],$C214)),""))</f>
        <v/>
      </c>
      <c r="AF214" s="33" t="str">
        <f>IF($C214="","",IFERROR(1/(1/_xlfn.MAXIFS(TblApplications[Mois lib (calc)],TblApplications[ID],$C214)),""))</f>
        <v/>
      </c>
      <c r="AG214" s="26" t="str">
        <f>IF($C214="","",IF(OR(OR($A214="",$B214="",$D214="",$E214="",$F214="",$G214=""),AND($G214="À migrer",OR($H214="",$I214="",$O214="",$U214="",$V214="",$W214="")),AND($G214="Migré",OR($O214="")),AND($G214="À décommissionner",OR($I214="",$W214=""))),"Données manquantes (selon l’action)",IF(AND($G214&lt;&gt;"Migré",$G214&lt;&gt;"À migrer",$G214&lt;&gt;"À décommissionner",$G214&lt;&gt;"Décommissionné"),"Action invalide",IF(COUNTIF(TblDomaines[Domaine],$A214)=0,"Domaine inconnu (référentiel)",IF(COUNTIFS(TblTribes[Tribe],$B214,TblTribes[Domaine de la tribe],$A214)=0,"Tribe inconnue ou hors domaine",IF(AND($G214="À migrer",$H214&lt;&gt;"Oui",$H214&lt;&gt;"Non"),"Valeur Oui/Non invalide (Déjà incluse ROKS)",IF(AND($E214&lt;&gt;"PRD",$E214&lt;&gt;"NPRD"),"Environnement invalide",IF(COUNTIFS(TblApplications[ID],$C214,TblApplications[Environnement],$E214,TblApplications[Couloir],$F214)&gt;1,"Déploiement en doublon (ID + env + couloir)",IF(AND(OR(OR($G214="À migrer",$G214="Migré"),OR($G214="À migrer",$G214="À décommissionner")),N($P214)&lt;=0),"Conso Dynatrace absente (onglet Dynatrace)",IF(OR(AND($P214&lt;&gt;"",NOT(ISNUMBER($P214))),AND($Q214&lt;&gt;"",NOT(ISNUMBER($Q214)))),"Ressource non numérique",IF(MIN(N($P214),N($Q214))&lt;0,"Ressource négative",IF(OR(AND($AH214&lt;&gt;"",OR(NOT(ISNUMBER($AH214)),$AH214&lt;0,$AH214&gt;1)),AND($AI214&lt;&gt;"",OR(NOT(ISNUMBER($AI214)),$AI214&lt;0,$AI214&gt;1))),"Marge spécifique invalide (0–100 %)",IF(OR(AND($U214&lt;&gt;"",NOT(ISNUMBER($U214))),AND($V214&lt;&gt;"",NOT(ISNUMBER($V214))),AND($W214&lt;&gt;"",NOT(ISNUMBER($W214)))),"Mois invalide",IF(AND(OR($G214="À migrer",$G214="À décommissionner"),COUNTIFS(TblClusters[Cluster],$I214,TblClusters[Plateforme],"IKS")=0),"Cluster IKS inconnu",IF(AND(OR($G214="À migrer",$G214="Migré"),COUNTIFS(TblClusters[Cluster],$O214,TblClusters[Plateforme],"ROKS")=0),"Cluster ROKS inconnu",IF(AND(OR($G214="À migrer",$G214="À décommissionner"),COUNTIFS(TblClusters[Cluster],$I214,TblClusters[Environnement],$E214)=0),"Environnement ≠ cluster IKS",IF(AND(OR($G214="À migrer",$G214="Migré"),COUNTIFS(TblClusters[Cluster],$O214,TblClusters[Environnement],$E214)=0),"Environnement ≠ cluster ROKS",IF(AND($G214="À migrer",OR($U214&gt;$V214,$V214&gt;$W214)),"Dates incohérentes (prov ≤ bascule ≤ libération)",IF(AND(OR($G214="À migrer",$G214="À décommissionner"),OR(N($AO214)&gt;SUMIFS(TblClusters[CPU initial (vCPU)],TblClusters[Cluster],$I214),N($AP214)&gt;SUMIFS(TblClusters[RAM initiale (Go)],TblClusters[Cluster],$I214))),"Forçage &gt; capacité du cluster source",IF(OR(AND($AA214&lt;&gt;"",$AA214&lt;p_debut),AND($AB214&lt;&gt;"",$AB214&gt;p_fin)),"Hors horizon (info)",IF(AND($G214="À migrer",$E214="PRD",COUNTIFS(TblApplications[ID],$C214,TblApplications[Environnement],"NPRD",TblApplications[Action],"À migrer")&gt;0,$AA214&lt;_xlfn.MINIFS(TblApplications[Mois prov (calc)],TblApplications[ID],$C214,TblApplications[Environnement],"NPRD")),"PRD avant NPRD (info)","OK")))))))))))))))))))))</f>
        <v/>
      </c>
      <c r="AH214" s="62"/>
      <c r="AI214" s="62"/>
      <c r="AJ214" s="27" t="str">
        <f>IF(OR($C214="",NOT(OR($G214="À migrer",$G214="À décommissionner")),NOT(ISNUMBER($S214)),NOT(ISNUMBER($T214)),$AB214=""),"",($S214+p_poidsram*$T214)*SUMIFS(TblCalculs[Coût par unité],TblCalculs[Cluster],$I214,TblCalculs[Mois],"&lt;"&amp;$AB214))</f>
        <v/>
      </c>
      <c r="AK214" s="27" t="str">
        <f>IF($C214="","",IF(AND($G214="À migrer",$H214="Non",$Y214&lt;&gt;"",$AA214&lt;&gt;""),($Y214+p_poidsram*$Z214)*SUMIFS(TblCalculs[Coût par unité],TblCalculs[Cluster],$O214,TblCalculs[Mois],"&gt;="&amp;$AA214),IF(AND($G214="Migré",$Y214&lt;&gt;""),($Y214+p_poidsram*$Z214)*SUMIFS(TblCalculs[Coût par unité],TblCalculs[Cluster],$O214),"")))</f>
        <v/>
      </c>
      <c r="AL214" s="27" t="str">
        <f t="shared" si="30"/>
        <v/>
      </c>
      <c r="AM214" s="26" t="str">
        <f t="shared" si="31"/>
        <v/>
      </c>
      <c r="AN214" s="26" t="str">
        <f>IF(OR($C214="",$AM214&lt;&gt;1,COUNTIFS($E214,ex_envc,$A214,ex_domc,$B214,ex_tric)=0),"",COUNTIFS($AM$6:$AM214,1,$E$6:$E214,ex_envc,$A$6:$A214,ex_domc,$B$6:$B214,ex_tric))</f>
        <v/>
      </c>
      <c r="AO214" s="63"/>
      <c r="AP214" s="63"/>
      <c r="AQ214" s="63"/>
      <c r="AR214" s="63"/>
    </row>
    <row r="215" spans="1:44" x14ac:dyDescent="0.2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26" t="str">
        <f t="shared" si="24"/>
        <v/>
      </c>
      <c r="O215" s="59"/>
      <c r="P215" s="60" t="str">
        <f>IF($C215="","",IF($AQ215&lt;&gt;"",$AQ215,SUMIFS(TblDynatrace[CPU P95 (vCPU)],TblDynatrace[ID],$C215,TblDynatrace[Environnement],$E215,TblDynatrace[Couloir],$F215)))</f>
        <v/>
      </c>
      <c r="Q215" s="60" t="str">
        <f>IF($C215="","",IF($AR215&lt;&gt;"",$AR215,SUMIFS(TblDynatrace[RAM P95 (Go)],TblDynatrace[ID],$C215,TblDynatrace[Environnement],$E215,TblDynatrace[Couloir],$F215)))</f>
        <v/>
      </c>
      <c r="R215" s="26" t="str">
        <f>IF($C215="","",IFERROR(INDEX(TblDynatrace[Métrique / période],MATCH($C215&amp;"|"&amp;$E215&amp;"|"&amp;$F215,TblDynatrace[Clé],0)),""))</f>
        <v/>
      </c>
      <c r="S215" s="60" t="str">
        <f>IF(OR($C215="",NOT(OR($G215="À migrer",$G215="À décommissionner")),$I215="",NOT(ISNUMBER($P215))),"",IF($AO215&lt;&gt;"",$AO215,IFERROR(SUMIFS(TblClusters[CPU initial (vCPU)],TblClusters[Cluster],$I215)*$P215/(SUMIFS(TblApplications[CPU Dynatrace (vCPU)],TblApplications[Cluster IKS source],$I215,TblApplications[Action],"À migrer")+SUMIFS(TblApplications[CPU Dynatrace (vCPU)],TblApplications[Cluster IKS source],$I215,TblApplications[Action],"À décommissionner")),0)))</f>
        <v/>
      </c>
      <c r="T215" s="60" t="str">
        <f>IF(OR($C215="",NOT(OR($G215="À migrer",$G215="À décommissionner")),$I215="",NOT(ISNUMBER($Q215))),"",IF($AP215&lt;&gt;"",$AP215,IFERROR(SUMIFS(TblClusters[RAM initiale (Go)],TblClusters[Cluster],$I215)*$Q215/(SUMIFS(TblApplications[RAM Dynatrace (Go)],TblApplications[Cluster IKS source],$I215,TblApplications[Action],"À migrer")+SUMIFS(TblApplications[RAM Dynatrace (Go)],TblApplications[Cluster IKS source],$I215,TblApplications[Action],"À décommissionner")),0)))</f>
        <v/>
      </c>
      <c r="U215" s="61"/>
      <c r="V215" s="61"/>
      <c r="W215" s="61"/>
      <c r="X215" s="59"/>
      <c r="Y215" s="26" t="str">
        <f t="shared" si="25"/>
        <v/>
      </c>
      <c r="Z215" s="26" t="str">
        <f t="shared" si="26"/>
        <v/>
      </c>
      <c r="AA215" s="33" t="str">
        <f t="shared" si="27"/>
        <v/>
      </c>
      <c r="AB215" s="33" t="str">
        <f t="shared" si="28"/>
        <v/>
      </c>
      <c r="AC215" s="26" t="str">
        <f t="shared" si="29"/>
        <v/>
      </c>
      <c r="AD215" s="26" t="str">
        <f>IF($C215="","",COUNTIF(TblApplications[ID],$C215))</f>
        <v/>
      </c>
      <c r="AE215" s="33" t="str">
        <f>IF($C215="","",IFERROR(1/(1/_xlfn.MINIFS(TblApplications[Mois prov (calc)],TblApplications[ID],$C215)),""))</f>
        <v/>
      </c>
      <c r="AF215" s="33" t="str">
        <f>IF($C215="","",IFERROR(1/(1/_xlfn.MAXIFS(TblApplications[Mois lib (calc)],TblApplications[ID],$C215)),""))</f>
        <v/>
      </c>
      <c r="AG215" s="26" t="str">
        <f>IF($C215="","",IF(OR(OR($A215="",$B215="",$D215="",$E215="",$F215="",$G215=""),AND($G215="À migrer",OR($H215="",$I215="",$O215="",$U215="",$V215="",$W215="")),AND($G215="Migré",OR($O215="")),AND($G215="À décommissionner",OR($I215="",$W215=""))),"Données manquantes (selon l’action)",IF(AND($G215&lt;&gt;"Migré",$G215&lt;&gt;"À migrer",$G215&lt;&gt;"À décommissionner",$G215&lt;&gt;"Décommissionné"),"Action invalide",IF(COUNTIF(TblDomaines[Domaine],$A215)=0,"Domaine inconnu (référentiel)",IF(COUNTIFS(TblTribes[Tribe],$B215,TblTribes[Domaine de la tribe],$A215)=0,"Tribe inconnue ou hors domaine",IF(AND($G215="À migrer",$H215&lt;&gt;"Oui",$H215&lt;&gt;"Non"),"Valeur Oui/Non invalide (Déjà incluse ROKS)",IF(AND($E215&lt;&gt;"PRD",$E215&lt;&gt;"NPRD"),"Environnement invalide",IF(COUNTIFS(TblApplications[ID],$C215,TblApplications[Environnement],$E215,TblApplications[Couloir],$F215)&gt;1,"Déploiement en doublon (ID + env + couloir)",IF(AND(OR(OR($G215="À migrer",$G215="Migré"),OR($G215="À migrer",$G215="À décommissionner")),N($P215)&lt;=0),"Conso Dynatrace absente (onglet Dynatrace)",IF(OR(AND($P215&lt;&gt;"",NOT(ISNUMBER($P215))),AND($Q215&lt;&gt;"",NOT(ISNUMBER($Q215)))),"Ressource non numérique",IF(MIN(N($P215),N($Q215))&lt;0,"Ressource négative",IF(OR(AND($AH215&lt;&gt;"",OR(NOT(ISNUMBER($AH215)),$AH215&lt;0,$AH215&gt;1)),AND($AI215&lt;&gt;"",OR(NOT(ISNUMBER($AI215)),$AI215&lt;0,$AI215&gt;1))),"Marge spécifique invalide (0–100 %)",IF(OR(AND($U215&lt;&gt;"",NOT(ISNUMBER($U215))),AND($V215&lt;&gt;"",NOT(ISNUMBER($V215))),AND($W215&lt;&gt;"",NOT(ISNUMBER($W215)))),"Mois invalide",IF(AND(OR($G215="À migrer",$G215="À décommissionner"),COUNTIFS(TblClusters[Cluster],$I215,TblClusters[Plateforme],"IKS")=0),"Cluster IKS inconnu",IF(AND(OR($G215="À migrer",$G215="Migré"),COUNTIFS(TblClusters[Cluster],$O215,TblClusters[Plateforme],"ROKS")=0),"Cluster ROKS inconnu",IF(AND(OR($G215="À migrer",$G215="À décommissionner"),COUNTIFS(TblClusters[Cluster],$I215,TblClusters[Environnement],$E215)=0),"Environnement ≠ cluster IKS",IF(AND(OR($G215="À migrer",$G215="Migré"),COUNTIFS(TblClusters[Cluster],$O215,TblClusters[Environnement],$E215)=0),"Environnement ≠ cluster ROKS",IF(AND($G215="À migrer",OR($U215&gt;$V215,$V215&gt;$W215)),"Dates incohérentes (prov ≤ bascule ≤ libération)",IF(AND(OR($G215="À migrer",$G215="À décommissionner"),OR(N($AO215)&gt;SUMIFS(TblClusters[CPU initial (vCPU)],TblClusters[Cluster],$I215),N($AP215)&gt;SUMIFS(TblClusters[RAM initiale (Go)],TblClusters[Cluster],$I215))),"Forçage &gt; capacité du cluster source",IF(OR(AND($AA215&lt;&gt;"",$AA215&lt;p_debut),AND($AB215&lt;&gt;"",$AB215&gt;p_fin)),"Hors horizon (info)",IF(AND($G215="À migrer",$E215="PRD",COUNTIFS(TblApplications[ID],$C215,TblApplications[Environnement],"NPRD",TblApplications[Action],"À migrer")&gt;0,$AA215&lt;_xlfn.MINIFS(TblApplications[Mois prov (calc)],TblApplications[ID],$C215,TblApplications[Environnement],"NPRD")),"PRD avant NPRD (info)","OK")))))))))))))))))))))</f>
        <v/>
      </c>
      <c r="AH215" s="62"/>
      <c r="AI215" s="62"/>
      <c r="AJ215" s="27" t="str">
        <f>IF(OR($C215="",NOT(OR($G215="À migrer",$G215="À décommissionner")),NOT(ISNUMBER($S215)),NOT(ISNUMBER($T215)),$AB215=""),"",($S215+p_poidsram*$T215)*SUMIFS(TblCalculs[Coût par unité],TblCalculs[Cluster],$I215,TblCalculs[Mois],"&lt;"&amp;$AB215))</f>
        <v/>
      </c>
      <c r="AK215" s="27" t="str">
        <f>IF($C215="","",IF(AND($G215="À migrer",$H215="Non",$Y215&lt;&gt;"",$AA215&lt;&gt;""),($Y215+p_poidsram*$Z215)*SUMIFS(TblCalculs[Coût par unité],TblCalculs[Cluster],$O215,TblCalculs[Mois],"&gt;="&amp;$AA215),IF(AND($G215="Migré",$Y215&lt;&gt;""),($Y215+p_poidsram*$Z215)*SUMIFS(TblCalculs[Coût par unité],TblCalculs[Cluster],$O215),"")))</f>
        <v/>
      </c>
      <c r="AL215" s="27" t="str">
        <f t="shared" si="30"/>
        <v/>
      </c>
      <c r="AM215" s="26" t="str">
        <f t="shared" si="31"/>
        <v/>
      </c>
      <c r="AN215" s="26" t="str">
        <f>IF(OR($C215="",$AM215&lt;&gt;1,COUNTIFS($E215,ex_envc,$A215,ex_domc,$B215,ex_tric)=0),"",COUNTIFS($AM$6:$AM215,1,$E$6:$E215,ex_envc,$A$6:$A215,ex_domc,$B$6:$B215,ex_tric))</f>
        <v/>
      </c>
      <c r="AO215" s="63"/>
      <c r="AP215" s="63"/>
      <c r="AQ215" s="63"/>
      <c r="AR215" s="63"/>
    </row>
    <row r="216" spans="1:44" x14ac:dyDescent="0.2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26" t="str">
        <f t="shared" si="24"/>
        <v/>
      </c>
      <c r="O216" s="59"/>
      <c r="P216" s="60" t="str">
        <f>IF($C216="","",IF($AQ216&lt;&gt;"",$AQ216,SUMIFS(TblDynatrace[CPU P95 (vCPU)],TblDynatrace[ID],$C216,TblDynatrace[Environnement],$E216,TblDynatrace[Couloir],$F216)))</f>
        <v/>
      </c>
      <c r="Q216" s="60" t="str">
        <f>IF($C216="","",IF($AR216&lt;&gt;"",$AR216,SUMIFS(TblDynatrace[RAM P95 (Go)],TblDynatrace[ID],$C216,TblDynatrace[Environnement],$E216,TblDynatrace[Couloir],$F216)))</f>
        <v/>
      </c>
      <c r="R216" s="26" t="str">
        <f>IF($C216="","",IFERROR(INDEX(TblDynatrace[Métrique / période],MATCH($C216&amp;"|"&amp;$E216&amp;"|"&amp;$F216,TblDynatrace[Clé],0)),""))</f>
        <v/>
      </c>
      <c r="S216" s="60" t="str">
        <f>IF(OR($C216="",NOT(OR($G216="À migrer",$G216="À décommissionner")),$I216="",NOT(ISNUMBER($P216))),"",IF($AO216&lt;&gt;"",$AO216,IFERROR(SUMIFS(TblClusters[CPU initial (vCPU)],TblClusters[Cluster],$I216)*$P216/(SUMIFS(TblApplications[CPU Dynatrace (vCPU)],TblApplications[Cluster IKS source],$I216,TblApplications[Action],"À migrer")+SUMIFS(TblApplications[CPU Dynatrace (vCPU)],TblApplications[Cluster IKS source],$I216,TblApplications[Action],"À décommissionner")),0)))</f>
        <v/>
      </c>
      <c r="T216" s="60" t="str">
        <f>IF(OR($C216="",NOT(OR($G216="À migrer",$G216="À décommissionner")),$I216="",NOT(ISNUMBER($Q216))),"",IF($AP216&lt;&gt;"",$AP216,IFERROR(SUMIFS(TblClusters[RAM initiale (Go)],TblClusters[Cluster],$I216)*$Q216/(SUMIFS(TblApplications[RAM Dynatrace (Go)],TblApplications[Cluster IKS source],$I216,TblApplications[Action],"À migrer")+SUMIFS(TblApplications[RAM Dynatrace (Go)],TblApplications[Cluster IKS source],$I216,TblApplications[Action],"À décommissionner")),0)))</f>
        <v/>
      </c>
      <c r="U216" s="61"/>
      <c r="V216" s="61"/>
      <c r="W216" s="61"/>
      <c r="X216" s="59"/>
      <c r="Y216" s="26" t="str">
        <f t="shared" si="25"/>
        <v/>
      </c>
      <c r="Z216" s="26" t="str">
        <f t="shared" si="26"/>
        <v/>
      </c>
      <c r="AA216" s="33" t="str">
        <f t="shared" si="27"/>
        <v/>
      </c>
      <c r="AB216" s="33" t="str">
        <f t="shared" si="28"/>
        <v/>
      </c>
      <c r="AC216" s="26" t="str">
        <f t="shared" si="29"/>
        <v/>
      </c>
      <c r="AD216" s="26" t="str">
        <f>IF($C216="","",COUNTIF(TblApplications[ID],$C216))</f>
        <v/>
      </c>
      <c r="AE216" s="33" t="str">
        <f>IF($C216="","",IFERROR(1/(1/_xlfn.MINIFS(TblApplications[Mois prov (calc)],TblApplications[ID],$C216)),""))</f>
        <v/>
      </c>
      <c r="AF216" s="33" t="str">
        <f>IF($C216="","",IFERROR(1/(1/_xlfn.MAXIFS(TblApplications[Mois lib (calc)],TblApplications[ID],$C216)),""))</f>
        <v/>
      </c>
      <c r="AG216" s="26" t="str">
        <f>IF($C216="","",IF(OR(OR($A216="",$B216="",$D216="",$E216="",$F216="",$G216=""),AND($G216="À migrer",OR($H216="",$I216="",$O216="",$U216="",$V216="",$W216="")),AND($G216="Migré",OR($O216="")),AND($G216="À décommissionner",OR($I216="",$W216=""))),"Données manquantes (selon l’action)",IF(AND($G216&lt;&gt;"Migré",$G216&lt;&gt;"À migrer",$G216&lt;&gt;"À décommissionner",$G216&lt;&gt;"Décommissionné"),"Action invalide",IF(COUNTIF(TblDomaines[Domaine],$A216)=0,"Domaine inconnu (référentiel)",IF(COUNTIFS(TblTribes[Tribe],$B216,TblTribes[Domaine de la tribe],$A216)=0,"Tribe inconnue ou hors domaine",IF(AND($G216="À migrer",$H216&lt;&gt;"Oui",$H216&lt;&gt;"Non"),"Valeur Oui/Non invalide (Déjà incluse ROKS)",IF(AND($E216&lt;&gt;"PRD",$E216&lt;&gt;"NPRD"),"Environnement invalide",IF(COUNTIFS(TblApplications[ID],$C216,TblApplications[Environnement],$E216,TblApplications[Couloir],$F216)&gt;1,"Déploiement en doublon (ID + env + couloir)",IF(AND(OR(OR($G216="À migrer",$G216="Migré"),OR($G216="À migrer",$G216="À décommissionner")),N($P216)&lt;=0),"Conso Dynatrace absente (onglet Dynatrace)",IF(OR(AND($P216&lt;&gt;"",NOT(ISNUMBER($P216))),AND($Q216&lt;&gt;"",NOT(ISNUMBER($Q216)))),"Ressource non numérique",IF(MIN(N($P216),N($Q216))&lt;0,"Ressource négative",IF(OR(AND($AH216&lt;&gt;"",OR(NOT(ISNUMBER($AH216)),$AH216&lt;0,$AH216&gt;1)),AND($AI216&lt;&gt;"",OR(NOT(ISNUMBER($AI216)),$AI216&lt;0,$AI216&gt;1))),"Marge spécifique invalide (0–100 %)",IF(OR(AND($U216&lt;&gt;"",NOT(ISNUMBER($U216))),AND($V216&lt;&gt;"",NOT(ISNUMBER($V216))),AND($W216&lt;&gt;"",NOT(ISNUMBER($W216)))),"Mois invalide",IF(AND(OR($G216="À migrer",$G216="À décommissionner"),COUNTIFS(TblClusters[Cluster],$I216,TblClusters[Plateforme],"IKS")=0),"Cluster IKS inconnu",IF(AND(OR($G216="À migrer",$G216="Migré"),COUNTIFS(TblClusters[Cluster],$O216,TblClusters[Plateforme],"ROKS")=0),"Cluster ROKS inconnu",IF(AND(OR($G216="À migrer",$G216="À décommissionner"),COUNTIFS(TblClusters[Cluster],$I216,TblClusters[Environnement],$E216)=0),"Environnement ≠ cluster IKS",IF(AND(OR($G216="À migrer",$G216="Migré"),COUNTIFS(TblClusters[Cluster],$O216,TblClusters[Environnement],$E216)=0),"Environnement ≠ cluster ROKS",IF(AND($G216="À migrer",OR($U216&gt;$V216,$V216&gt;$W216)),"Dates incohérentes (prov ≤ bascule ≤ libération)",IF(AND(OR($G216="À migrer",$G216="À décommissionner"),OR(N($AO216)&gt;SUMIFS(TblClusters[CPU initial (vCPU)],TblClusters[Cluster],$I216),N($AP216)&gt;SUMIFS(TblClusters[RAM initiale (Go)],TblClusters[Cluster],$I216))),"Forçage &gt; capacité du cluster source",IF(OR(AND($AA216&lt;&gt;"",$AA216&lt;p_debut),AND($AB216&lt;&gt;"",$AB216&gt;p_fin)),"Hors horizon (info)",IF(AND($G216="À migrer",$E216="PRD",COUNTIFS(TblApplications[ID],$C216,TblApplications[Environnement],"NPRD",TblApplications[Action],"À migrer")&gt;0,$AA216&lt;_xlfn.MINIFS(TblApplications[Mois prov (calc)],TblApplications[ID],$C216,TblApplications[Environnement],"NPRD")),"PRD avant NPRD (info)","OK")))))))))))))))))))))</f>
        <v/>
      </c>
      <c r="AH216" s="62"/>
      <c r="AI216" s="62"/>
      <c r="AJ216" s="27" t="str">
        <f>IF(OR($C216="",NOT(OR($G216="À migrer",$G216="À décommissionner")),NOT(ISNUMBER($S216)),NOT(ISNUMBER($T216)),$AB216=""),"",($S216+p_poidsram*$T216)*SUMIFS(TblCalculs[Coût par unité],TblCalculs[Cluster],$I216,TblCalculs[Mois],"&lt;"&amp;$AB216))</f>
        <v/>
      </c>
      <c r="AK216" s="27" t="str">
        <f>IF($C216="","",IF(AND($G216="À migrer",$H216="Non",$Y216&lt;&gt;"",$AA216&lt;&gt;""),($Y216+p_poidsram*$Z216)*SUMIFS(TblCalculs[Coût par unité],TblCalculs[Cluster],$O216,TblCalculs[Mois],"&gt;="&amp;$AA216),IF(AND($G216="Migré",$Y216&lt;&gt;""),($Y216+p_poidsram*$Z216)*SUMIFS(TblCalculs[Coût par unité],TblCalculs[Cluster],$O216),"")))</f>
        <v/>
      </c>
      <c r="AL216" s="27" t="str">
        <f t="shared" si="30"/>
        <v/>
      </c>
      <c r="AM216" s="26" t="str">
        <f t="shared" si="31"/>
        <v/>
      </c>
      <c r="AN216" s="26" t="str">
        <f>IF(OR($C216="",$AM216&lt;&gt;1,COUNTIFS($E216,ex_envc,$A216,ex_domc,$B216,ex_tric)=0),"",COUNTIFS($AM$6:$AM216,1,$E$6:$E216,ex_envc,$A$6:$A216,ex_domc,$B$6:$B216,ex_tric))</f>
        <v/>
      </c>
      <c r="AO216" s="63"/>
      <c r="AP216" s="63"/>
      <c r="AQ216" s="63"/>
      <c r="AR216" s="63"/>
    </row>
    <row r="217" spans="1:44" x14ac:dyDescent="0.2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26" t="str">
        <f t="shared" si="24"/>
        <v/>
      </c>
      <c r="O217" s="59"/>
      <c r="P217" s="60" t="str">
        <f>IF($C217="","",IF($AQ217&lt;&gt;"",$AQ217,SUMIFS(TblDynatrace[CPU P95 (vCPU)],TblDynatrace[ID],$C217,TblDynatrace[Environnement],$E217,TblDynatrace[Couloir],$F217)))</f>
        <v/>
      </c>
      <c r="Q217" s="60" t="str">
        <f>IF($C217="","",IF($AR217&lt;&gt;"",$AR217,SUMIFS(TblDynatrace[RAM P95 (Go)],TblDynatrace[ID],$C217,TblDynatrace[Environnement],$E217,TblDynatrace[Couloir],$F217)))</f>
        <v/>
      </c>
      <c r="R217" s="26" t="str">
        <f>IF($C217="","",IFERROR(INDEX(TblDynatrace[Métrique / période],MATCH($C217&amp;"|"&amp;$E217&amp;"|"&amp;$F217,TblDynatrace[Clé],0)),""))</f>
        <v/>
      </c>
      <c r="S217" s="60" t="str">
        <f>IF(OR($C217="",NOT(OR($G217="À migrer",$G217="À décommissionner")),$I217="",NOT(ISNUMBER($P217))),"",IF($AO217&lt;&gt;"",$AO217,IFERROR(SUMIFS(TblClusters[CPU initial (vCPU)],TblClusters[Cluster],$I217)*$P217/(SUMIFS(TblApplications[CPU Dynatrace (vCPU)],TblApplications[Cluster IKS source],$I217,TblApplications[Action],"À migrer")+SUMIFS(TblApplications[CPU Dynatrace (vCPU)],TblApplications[Cluster IKS source],$I217,TblApplications[Action],"À décommissionner")),0)))</f>
        <v/>
      </c>
      <c r="T217" s="60" t="str">
        <f>IF(OR($C217="",NOT(OR($G217="À migrer",$G217="À décommissionner")),$I217="",NOT(ISNUMBER($Q217))),"",IF($AP217&lt;&gt;"",$AP217,IFERROR(SUMIFS(TblClusters[RAM initiale (Go)],TblClusters[Cluster],$I217)*$Q217/(SUMIFS(TblApplications[RAM Dynatrace (Go)],TblApplications[Cluster IKS source],$I217,TblApplications[Action],"À migrer")+SUMIFS(TblApplications[RAM Dynatrace (Go)],TblApplications[Cluster IKS source],$I217,TblApplications[Action],"À décommissionner")),0)))</f>
        <v/>
      </c>
      <c r="U217" s="61"/>
      <c r="V217" s="61"/>
      <c r="W217" s="61"/>
      <c r="X217" s="59"/>
      <c r="Y217" s="26" t="str">
        <f t="shared" si="25"/>
        <v/>
      </c>
      <c r="Z217" s="26" t="str">
        <f t="shared" si="26"/>
        <v/>
      </c>
      <c r="AA217" s="33" t="str">
        <f t="shared" si="27"/>
        <v/>
      </c>
      <c r="AB217" s="33" t="str">
        <f t="shared" si="28"/>
        <v/>
      </c>
      <c r="AC217" s="26" t="str">
        <f t="shared" si="29"/>
        <v/>
      </c>
      <c r="AD217" s="26" t="str">
        <f>IF($C217="","",COUNTIF(TblApplications[ID],$C217))</f>
        <v/>
      </c>
      <c r="AE217" s="33" t="str">
        <f>IF($C217="","",IFERROR(1/(1/_xlfn.MINIFS(TblApplications[Mois prov (calc)],TblApplications[ID],$C217)),""))</f>
        <v/>
      </c>
      <c r="AF217" s="33" t="str">
        <f>IF($C217="","",IFERROR(1/(1/_xlfn.MAXIFS(TblApplications[Mois lib (calc)],TblApplications[ID],$C217)),""))</f>
        <v/>
      </c>
      <c r="AG217" s="26" t="str">
        <f>IF($C217="","",IF(OR(OR($A217="",$B217="",$D217="",$E217="",$F217="",$G217=""),AND($G217="À migrer",OR($H217="",$I217="",$O217="",$U217="",$V217="",$W217="")),AND($G217="Migré",OR($O217="")),AND($G217="À décommissionner",OR($I217="",$W217=""))),"Données manquantes (selon l’action)",IF(AND($G217&lt;&gt;"Migré",$G217&lt;&gt;"À migrer",$G217&lt;&gt;"À décommissionner",$G217&lt;&gt;"Décommissionné"),"Action invalide",IF(COUNTIF(TblDomaines[Domaine],$A217)=0,"Domaine inconnu (référentiel)",IF(COUNTIFS(TblTribes[Tribe],$B217,TblTribes[Domaine de la tribe],$A217)=0,"Tribe inconnue ou hors domaine",IF(AND($G217="À migrer",$H217&lt;&gt;"Oui",$H217&lt;&gt;"Non"),"Valeur Oui/Non invalide (Déjà incluse ROKS)",IF(AND($E217&lt;&gt;"PRD",$E217&lt;&gt;"NPRD"),"Environnement invalide",IF(COUNTIFS(TblApplications[ID],$C217,TblApplications[Environnement],$E217,TblApplications[Couloir],$F217)&gt;1,"Déploiement en doublon (ID + env + couloir)",IF(AND(OR(OR($G217="À migrer",$G217="Migré"),OR($G217="À migrer",$G217="À décommissionner")),N($P217)&lt;=0),"Conso Dynatrace absente (onglet Dynatrace)",IF(OR(AND($P217&lt;&gt;"",NOT(ISNUMBER($P217))),AND($Q217&lt;&gt;"",NOT(ISNUMBER($Q217)))),"Ressource non numérique",IF(MIN(N($P217),N($Q217))&lt;0,"Ressource négative",IF(OR(AND($AH217&lt;&gt;"",OR(NOT(ISNUMBER($AH217)),$AH217&lt;0,$AH217&gt;1)),AND($AI217&lt;&gt;"",OR(NOT(ISNUMBER($AI217)),$AI217&lt;0,$AI217&gt;1))),"Marge spécifique invalide (0–100 %)",IF(OR(AND($U217&lt;&gt;"",NOT(ISNUMBER($U217))),AND($V217&lt;&gt;"",NOT(ISNUMBER($V217))),AND($W217&lt;&gt;"",NOT(ISNUMBER($W217)))),"Mois invalide",IF(AND(OR($G217="À migrer",$G217="À décommissionner"),COUNTIFS(TblClusters[Cluster],$I217,TblClusters[Plateforme],"IKS")=0),"Cluster IKS inconnu",IF(AND(OR($G217="À migrer",$G217="Migré"),COUNTIFS(TblClusters[Cluster],$O217,TblClusters[Plateforme],"ROKS")=0),"Cluster ROKS inconnu",IF(AND(OR($G217="À migrer",$G217="À décommissionner"),COUNTIFS(TblClusters[Cluster],$I217,TblClusters[Environnement],$E217)=0),"Environnement ≠ cluster IKS",IF(AND(OR($G217="À migrer",$G217="Migré"),COUNTIFS(TblClusters[Cluster],$O217,TblClusters[Environnement],$E217)=0),"Environnement ≠ cluster ROKS",IF(AND($G217="À migrer",OR($U217&gt;$V217,$V217&gt;$W217)),"Dates incohérentes (prov ≤ bascule ≤ libération)",IF(AND(OR($G217="À migrer",$G217="À décommissionner"),OR(N($AO217)&gt;SUMIFS(TblClusters[CPU initial (vCPU)],TblClusters[Cluster],$I217),N($AP217)&gt;SUMIFS(TblClusters[RAM initiale (Go)],TblClusters[Cluster],$I217))),"Forçage &gt; capacité du cluster source",IF(OR(AND($AA217&lt;&gt;"",$AA217&lt;p_debut),AND($AB217&lt;&gt;"",$AB217&gt;p_fin)),"Hors horizon (info)",IF(AND($G217="À migrer",$E217="PRD",COUNTIFS(TblApplications[ID],$C217,TblApplications[Environnement],"NPRD",TblApplications[Action],"À migrer")&gt;0,$AA217&lt;_xlfn.MINIFS(TblApplications[Mois prov (calc)],TblApplications[ID],$C217,TblApplications[Environnement],"NPRD")),"PRD avant NPRD (info)","OK")))))))))))))))))))))</f>
        <v/>
      </c>
      <c r="AH217" s="62"/>
      <c r="AI217" s="62"/>
      <c r="AJ217" s="27" t="str">
        <f>IF(OR($C217="",NOT(OR($G217="À migrer",$G217="À décommissionner")),NOT(ISNUMBER($S217)),NOT(ISNUMBER($T217)),$AB217=""),"",($S217+p_poidsram*$T217)*SUMIFS(TblCalculs[Coût par unité],TblCalculs[Cluster],$I217,TblCalculs[Mois],"&lt;"&amp;$AB217))</f>
        <v/>
      </c>
      <c r="AK217" s="27" t="str">
        <f>IF($C217="","",IF(AND($G217="À migrer",$H217="Non",$Y217&lt;&gt;"",$AA217&lt;&gt;""),($Y217+p_poidsram*$Z217)*SUMIFS(TblCalculs[Coût par unité],TblCalculs[Cluster],$O217,TblCalculs[Mois],"&gt;="&amp;$AA217),IF(AND($G217="Migré",$Y217&lt;&gt;""),($Y217+p_poidsram*$Z217)*SUMIFS(TblCalculs[Coût par unité],TblCalculs[Cluster],$O217),"")))</f>
        <v/>
      </c>
      <c r="AL217" s="27" t="str">
        <f t="shared" si="30"/>
        <v/>
      </c>
      <c r="AM217" s="26" t="str">
        <f t="shared" si="31"/>
        <v/>
      </c>
      <c r="AN217" s="26" t="str">
        <f>IF(OR($C217="",$AM217&lt;&gt;1,COUNTIFS($E217,ex_envc,$A217,ex_domc,$B217,ex_tric)=0),"",COUNTIFS($AM$6:$AM217,1,$E$6:$E217,ex_envc,$A$6:$A217,ex_domc,$B$6:$B217,ex_tric))</f>
        <v/>
      </c>
      <c r="AO217" s="63"/>
      <c r="AP217" s="63"/>
      <c r="AQ217" s="63"/>
      <c r="AR217" s="63"/>
    </row>
    <row r="218" spans="1:44" x14ac:dyDescent="0.2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26" t="str">
        <f t="shared" si="24"/>
        <v/>
      </c>
      <c r="O218" s="59"/>
      <c r="P218" s="60" t="str">
        <f>IF($C218="","",IF($AQ218&lt;&gt;"",$AQ218,SUMIFS(TblDynatrace[CPU P95 (vCPU)],TblDynatrace[ID],$C218,TblDynatrace[Environnement],$E218,TblDynatrace[Couloir],$F218)))</f>
        <v/>
      </c>
      <c r="Q218" s="60" t="str">
        <f>IF($C218="","",IF($AR218&lt;&gt;"",$AR218,SUMIFS(TblDynatrace[RAM P95 (Go)],TblDynatrace[ID],$C218,TblDynatrace[Environnement],$E218,TblDynatrace[Couloir],$F218)))</f>
        <v/>
      </c>
      <c r="R218" s="26" t="str">
        <f>IF($C218="","",IFERROR(INDEX(TblDynatrace[Métrique / période],MATCH($C218&amp;"|"&amp;$E218&amp;"|"&amp;$F218,TblDynatrace[Clé],0)),""))</f>
        <v/>
      </c>
      <c r="S218" s="60" t="str">
        <f>IF(OR($C218="",NOT(OR($G218="À migrer",$G218="À décommissionner")),$I218="",NOT(ISNUMBER($P218))),"",IF($AO218&lt;&gt;"",$AO218,IFERROR(SUMIFS(TblClusters[CPU initial (vCPU)],TblClusters[Cluster],$I218)*$P218/(SUMIFS(TblApplications[CPU Dynatrace (vCPU)],TblApplications[Cluster IKS source],$I218,TblApplications[Action],"À migrer")+SUMIFS(TblApplications[CPU Dynatrace (vCPU)],TblApplications[Cluster IKS source],$I218,TblApplications[Action],"À décommissionner")),0)))</f>
        <v/>
      </c>
      <c r="T218" s="60" t="str">
        <f>IF(OR($C218="",NOT(OR($G218="À migrer",$G218="À décommissionner")),$I218="",NOT(ISNUMBER($Q218))),"",IF($AP218&lt;&gt;"",$AP218,IFERROR(SUMIFS(TblClusters[RAM initiale (Go)],TblClusters[Cluster],$I218)*$Q218/(SUMIFS(TblApplications[RAM Dynatrace (Go)],TblApplications[Cluster IKS source],$I218,TblApplications[Action],"À migrer")+SUMIFS(TblApplications[RAM Dynatrace (Go)],TblApplications[Cluster IKS source],$I218,TblApplications[Action],"À décommissionner")),0)))</f>
        <v/>
      </c>
      <c r="U218" s="61"/>
      <c r="V218" s="61"/>
      <c r="W218" s="61"/>
      <c r="X218" s="59"/>
      <c r="Y218" s="26" t="str">
        <f t="shared" si="25"/>
        <v/>
      </c>
      <c r="Z218" s="26" t="str">
        <f t="shared" si="26"/>
        <v/>
      </c>
      <c r="AA218" s="33" t="str">
        <f t="shared" si="27"/>
        <v/>
      </c>
      <c r="AB218" s="33" t="str">
        <f t="shared" si="28"/>
        <v/>
      </c>
      <c r="AC218" s="26" t="str">
        <f t="shared" si="29"/>
        <v/>
      </c>
      <c r="AD218" s="26" t="str">
        <f>IF($C218="","",COUNTIF(TblApplications[ID],$C218))</f>
        <v/>
      </c>
      <c r="AE218" s="33" t="str">
        <f>IF($C218="","",IFERROR(1/(1/_xlfn.MINIFS(TblApplications[Mois prov (calc)],TblApplications[ID],$C218)),""))</f>
        <v/>
      </c>
      <c r="AF218" s="33" t="str">
        <f>IF($C218="","",IFERROR(1/(1/_xlfn.MAXIFS(TblApplications[Mois lib (calc)],TblApplications[ID],$C218)),""))</f>
        <v/>
      </c>
      <c r="AG218" s="26" t="str">
        <f>IF($C218="","",IF(OR(OR($A218="",$B218="",$D218="",$E218="",$F218="",$G218=""),AND($G218="À migrer",OR($H218="",$I218="",$O218="",$U218="",$V218="",$W218="")),AND($G218="Migré",OR($O218="")),AND($G218="À décommissionner",OR($I218="",$W218=""))),"Données manquantes (selon l’action)",IF(AND($G218&lt;&gt;"Migré",$G218&lt;&gt;"À migrer",$G218&lt;&gt;"À décommissionner",$G218&lt;&gt;"Décommissionné"),"Action invalide",IF(COUNTIF(TblDomaines[Domaine],$A218)=0,"Domaine inconnu (référentiel)",IF(COUNTIFS(TblTribes[Tribe],$B218,TblTribes[Domaine de la tribe],$A218)=0,"Tribe inconnue ou hors domaine",IF(AND($G218="À migrer",$H218&lt;&gt;"Oui",$H218&lt;&gt;"Non"),"Valeur Oui/Non invalide (Déjà incluse ROKS)",IF(AND($E218&lt;&gt;"PRD",$E218&lt;&gt;"NPRD"),"Environnement invalide",IF(COUNTIFS(TblApplications[ID],$C218,TblApplications[Environnement],$E218,TblApplications[Couloir],$F218)&gt;1,"Déploiement en doublon (ID + env + couloir)",IF(AND(OR(OR($G218="À migrer",$G218="Migré"),OR($G218="À migrer",$G218="À décommissionner")),N($P218)&lt;=0),"Conso Dynatrace absente (onglet Dynatrace)",IF(OR(AND($P218&lt;&gt;"",NOT(ISNUMBER($P218))),AND($Q218&lt;&gt;"",NOT(ISNUMBER($Q218)))),"Ressource non numérique",IF(MIN(N($P218),N($Q218))&lt;0,"Ressource négative",IF(OR(AND($AH218&lt;&gt;"",OR(NOT(ISNUMBER($AH218)),$AH218&lt;0,$AH218&gt;1)),AND($AI218&lt;&gt;"",OR(NOT(ISNUMBER($AI218)),$AI218&lt;0,$AI218&gt;1))),"Marge spécifique invalide (0–100 %)",IF(OR(AND($U218&lt;&gt;"",NOT(ISNUMBER($U218))),AND($V218&lt;&gt;"",NOT(ISNUMBER($V218))),AND($W218&lt;&gt;"",NOT(ISNUMBER($W218)))),"Mois invalide",IF(AND(OR($G218="À migrer",$G218="À décommissionner"),COUNTIFS(TblClusters[Cluster],$I218,TblClusters[Plateforme],"IKS")=0),"Cluster IKS inconnu",IF(AND(OR($G218="À migrer",$G218="Migré"),COUNTIFS(TblClusters[Cluster],$O218,TblClusters[Plateforme],"ROKS")=0),"Cluster ROKS inconnu",IF(AND(OR($G218="À migrer",$G218="À décommissionner"),COUNTIFS(TblClusters[Cluster],$I218,TblClusters[Environnement],$E218)=0),"Environnement ≠ cluster IKS",IF(AND(OR($G218="À migrer",$G218="Migré"),COUNTIFS(TblClusters[Cluster],$O218,TblClusters[Environnement],$E218)=0),"Environnement ≠ cluster ROKS",IF(AND($G218="À migrer",OR($U218&gt;$V218,$V218&gt;$W218)),"Dates incohérentes (prov ≤ bascule ≤ libération)",IF(AND(OR($G218="À migrer",$G218="À décommissionner"),OR(N($AO218)&gt;SUMIFS(TblClusters[CPU initial (vCPU)],TblClusters[Cluster],$I218),N($AP218)&gt;SUMIFS(TblClusters[RAM initiale (Go)],TblClusters[Cluster],$I218))),"Forçage &gt; capacité du cluster source",IF(OR(AND($AA218&lt;&gt;"",$AA218&lt;p_debut),AND($AB218&lt;&gt;"",$AB218&gt;p_fin)),"Hors horizon (info)",IF(AND($G218="À migrer",$E218="PRD",COUNTIFS(TblApplications[ID],$C218,TblApplications[Environnement],"NPRD",TblApplications[Action],"À migrer")&gt;0,$AA218&lt;_xlfn.MINIFS(TblApplications[Mois prov (calc)],TblApplications[ID],$C218,TblApplications[Environnement],"NPRD")),"PRD avant NPRD (info)","OK")))))))))))))))))))))</f>
        <v/>
      </c>
      <c r="AH218" s="62"/>
      <c r="AI218" s="62"/>
      <c r="AJ218" s="27" t="str">
        <f>IF(OR($C218="",NOT(OR($G218="À migrer",$G218="À décommissionner")),NOT(ISNUMBER($S218)),NOT(ISNUMBER($T218)),$AB218=""),"",($S218+p_poidsram*$T218)*SUMIFS(TblCalculs[Coût par unité],TblCalculs[Cluster],$I218,TblCalculs[Mois],"&lt;"&amp;$AB218))</f>
        <v/>
      </c>
      <c r="AK218" s="27" t="str">
        <f>IF($C218="","",IF(AND($G218="À migrer",$H218="Non",$Y218&lt;&gt;"",$AA218&lt;&gt;""),($Y218+p_poidsram*$Z218)*SUMIFS(TblCalculs[Coût par unité],TblCalculs[Cluster],$O218,TblCalculs[Mois],"&gt;="&amp;$AA218),IF(AND($G218="Migré",$Y218&lt;&gt;""),($Y218+p_poidsram*$Z218)*SUMIFS(TblCalculs[Coût par unité],TblCalculs[Cluster],$O218),"")))</f>
        <v/>
      </c>
      <c r="AL218" s="27" t="str">
        <f t="shared" si="30"/>
        <v/>
      </c>
      <c r="AM218" s="26" t="str">
        <f t="shared" si="31"/>
        <v/>
      </c>
      <c r="AN218" s="26" t="str">
        <f>IF(OR($C218="",$AM218&lt;&gt;1,COUNTIFS($E218,ex_envc,$A218,ex_domc,$B218,ex_tric)=0),"",COUNTIFS($AM$6:$AM218,1,$E$6:$E218,ex_envc,$A$6:$A218,ex_domc,$B$6:$B218,ex_tric))</f>
        <v/>
      </c>
      <c r="AO218" s="63"/>
      <c r="AP218" s="63"/>
      <c r="AQ218" s="63"/>
      <c r="AR218" s="63"/>
    </row>
    <row r="219" spans="1:44" x14ac:dyDescent="0.2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26" t="str">
        <f t="shared" si="24"/>
        <v/>
      </c>
      <c r="O219" s="59"/>
      <c r="P219" s="60" t="str">
        <f>IF($C219="","",IF($AQ219&lt;&gt;"",$AQ219,SUMIFS(TblDynatrace[CPU P95 (vCPU)],TblDynatrace[ID],$C219,TblDynatrace[Environnement],$E219,TblDynatrace[Couloir],$F219)))</f>
        <v/>
      </c>
      <c r="Q219" s="60" t="str">
        <f>IF($C219="","",IF($AR219&lt;&gt;"",$AR219,SUMIFS(TblDynatrace[RAM P95 (Go)],TblDynatrace[ID],$C219,TblDynatrace[Environnement],$E219,TblDynatrace[Couloir],$F219)))</f>
        <v/>
      </c>
      <c r="R219" s="26" t="str">
        <f>IF($C219="","",IFERROR(INDEX(TblDynatrace[Métrique / période],MATCH($C219&amp;"|"&amp;$E219&amp;"|"&amp;$F219,TblDynatrace[Clé],0)),""))</f>
        <v/>
      </c>
      <c r="S219" s="60" t="str">
        <f>IF(OR($C219="",NOT(OR($G219="À migrer",$G219="À décommissionner")),$I219="",NOT(ISNUMBER($P219))),"",IF($AO219&lt;&gt;"",$AO219,IFERROR(SUMIFS(TblClusters[CPU initial (vCPU)],TblClusters[Cluster],$I219)*$P219/(SUMIFS(TblApplications[CPU Dynatrace (vCPU)],TblApplications[Cluster IKS source],$I219,TblApplications[Action],"À migrer")+SUMIFS(TblApplications[CPU Dynatrace (vCPU)],TblApplications[Cluster IKS source],$I219,TblApplications[Action],"À décommissionner")),0)))</f>
        <v/>
      </c>
      <c r="T219" s="60" t="str">
        <f>IF(OR($C219="",NOT(OR($G219="À migrer",$G219="À décommissionner")),$I219="",NOT(ISNUMBER($Q219))),"",IF($AP219&lt;&gt;"",$AP219,IFERROR(SUMIFS(TblClusters[RAM initiale (Go)],TblClusters[Cluster],$I219)*$Q219/(SUMIFS(TblApplications[RAM Dynatrace (Go)],TblApplications[Cluster IKS source],$I219,TblApplications[Action],"À migrer")+SUMIFS(TblApplications[RAM Dynatrace (Go)],TblApplications[Cluster IKS source],$I219,TblApplications[Action],"À décommissionner")),0)))</f>
        <v/>
      </c>
      <c r="U219" s="61"/>
      <c r="V219" s="61"/>
      <c r="W219" s="61"/>
      <c r="X219" s="59"/>
      <c r="Y219" s="26" t="str">
        <f t="shared" si="25"/>
        <v/>
      </c>
      <c r="Z219" s="26" t="str">
        <f t="shared" si="26"/>
        <v/>
      </c>
      <c r="AA219" s="33" t="str">
        <f t="shared" si="27"/>
        <v/>
      </c>
      <c r="AB219" s="33" t="str">
        <f t="shared" si="28"/>
        <v/>
      </c>
      <c r="AC219" s="26" t="str">
        <f t="shared" si="29"/>
        <v/>
      </c>
      <c r="AD219" s="26" t="str">
        <f>IF($C219="","",COUNTIF(TblApplications[ID],$C219))</f>
        <v/>
      </c>
      <c r="AE219" s="33" t="str">
        <f>IF($C219="","",IFERROR(1/(1/_xlfn.MINIFS(TblApplications[Mois prov (calc)],TblApplications[ID],$C219)),""))</f>
        <v/>
      </c>
      <c r="AF219" s="33" t="str">
        <f>IF($C219="","",IFERROR(1/(1/_xlfn.MAXIFS(TblApplications[Mois lib (calc)],TblApplications[ID],$C219)),""))</f>
        <v/>
      </c>
      <c r="AG219" s="26" t="str">
        <f>IF($C219="","",IF(OR(OR($A219="",$B219="",$D219="",$E219="",$F219="",$G219=""),AND($G219="À migrer",OR($H219="",$I219="",$O219="",$U219="",$V219="",$W219="")),AND($G219="Migré",OR($O219="")),AND($G219="À décommissionner",OR($I219="",$W219=""))),"Données manquantes (selon l’action)",IF(AND($G219&lt;&gt;"Migré",$G219&lt;&gt;"À migrer",$G219&lt;&gt;"À décommissionner",$G219&lt;&gt;"Décommissionné"),"Action invalide",IF(COUNTIF(TblDomaines[Domaine],$A219)=0,"Domaine inconnu (référentiel)",IF(COUNTIFS(TblTribes[Tribe],$B219,TblTribes[Domaine de la tribe],$A219)=0,"Tribe inconnue ou hors domaine",IF(AND($G219="À migrer",$H219&lt;&gt;"Oui",$H219&lt;&gt;"Non"),"Valeur Oui/Non invalide (Déjà incluse ROKS)",IF(AND($E219&lt;&gt;"PRD",$E219&lt;&gt;"NPRD"),"Environnement invalide",IF(COUNTIFS(TblApplications[ID],$C219,TblApplications[Environnement],$E219,TblApplications[Couloir],$F219)&gt;1,"Déploiement en doublon (ID + env + couloir)",IF(AND(OR(OR($G219="À migrer",$G219="Migré"),OR($G219="À migrer",$G219="À décommissionner")),N($P219)&lt;=0),"Conso Dynatrace absente (onglet Dynatrace)",IF(OR(AND($P219&lt;&gt;"",NOT(ISNUMBER($P219))),AND($Q219&lt;&gt;"",NOT(ISNUMBER($Q219)))),"Ressource non numérique",IF(MIN(N($P219),N($Q219))&lt;0,"Ressource négative",IF(OR(AND($AH219&lt;&gt;"",OR(NOT(ISNUMBER($AH219)),$AH219&lt;0,$AH219&gt;1)),AND($AI219&lt;&gt;"",OR(NOT(ISNUMBER($AI219)),$AI219&lt;0,$AI219&gt;1))),"Marge spécifique invalide (0–100 %)",IF(OR(AND($U219&lt;&gt;"",NOT(ISNUMBER($U219))),AND($V219&lt;&gt;"",NOT(ISNUMBER($V219))),AND($W219&lt;&gt;"",NOT(ISNUMBER($W219)))),"Mois invalide",IF(AND(OR($G219="À migrer",$G219="À décommissionner"),COUNTIFS(TblClusters[Cluster],$I219,TblClusters[Plateforme],"IKS")=0),"Cluster IKS inconnu",IF(AND(OR($G219="À migrer",$G219="Migré"),COUNTIFS(TblClusters[Cluster],$O219,TblClusters[Plateforme],"ROKS")=0),"Cluster ROKS inconnu",IF(AND(OR($G219="À migrer",$G219="À décommissionner"),COUNTIFS(TblClusters[Cluster],$I219,TblClusters[Environnement],$E219)=0),"Environnement ≠ cluster IKS",IF(AND(OR($G219="À migrer",$G219="Migré"),COUNTIFS(TblClusters[Cluster],$O219,TblClusters[Environnement],$E219)=0),"Environnement ≠ cluster ROKS",IF(AND($G219="À migrer",OR($U219&gt;$V219,$V219&gt;$W219)),"Dates incohérentes (prov ≤ bascule ≤ libération)",IF(AND(OR($G219="À migrer",$G219="À décommissionner"),OR(N($AO219)&gt;SUMIFS(TblClusters[CPU initial (vCPU)],TblClusters[Cluster],$I219),N($AP219)&gt;SUMIFS(TblClusters[RAM initiale (Go)],TblClusters[Cluster],$I219))),"Forçage &gt; capacité du cluster source",IF(OR(AND($AA219&lt;&gt;"",$AA219&lt;p_debut),AND($AB219&lt;&gt;"",$AB219&gt;p_fin)),"Hors horizon (info)",IF(AND($G219="À migrer",$E219="PRD",COUNTIFS(TblApplications[ID],$C219,TblApplications[Environnement],"NPRD",TblApplications[Action],"À migrer")&gt;0,$AA219&lt;_xlfn.MINIFS(TblApplications[Mois prov (calc)],TblApplications[ID],$C219,TblApplications[Environnement],"NPRD")),"PRD avant NPRD (info)","OK")))))))))))))))))))))</f>
        <v/>
      </c>
      <c r="AH219" s="62"/>
      <c r="AI219" s="62"/>
      <c r="AJ219" s="27" t="str">
        <f>IF(OR($C219="",NOT(OR($G219="À migrer",$G219="À décommissionner")),NOT(ISNUMBER($S219)),NOT(ISNUMBER($T219)),$AB219=""),"",($S219+p_poidsram*$T219)*SUMIFS(TblCalculs[Coût par unité],TblCalculs[Cluster],$I219,TblCalculs[Mois],"&lt;"&amp;$AB219))</f>
        <v/>
      </c>
      <c r="AK219" s="27" t="str">
        <f>IF($C219="","",IF(AND($G219="À migrer",$H219="Non",$Y219&lt;&gt;"",$AA219&lt;&gt;""),($Y219+p_poidsram*$Z219)*SUMIFS(TblCalculs[Coût par unité],TblCalculs[Cluster],$O219,TblCalculs[Mois],"&gt;="&amp;$AA219),IF(AND($G219="Migré",$Y219&lt;&gt;""),($Y219+p_poidsram*$Z219)*SUMIFS(TblCalculs[Coût par unité],TblCalculs[Cluster],$O219),"")))</f>
        <v/>
      </c>
      <c r="AL219" s="27" t="str">
        <f t="shared" si="30"/>
        <v/>
      </c>
      <c r="AM219" s="26" t="str">
        <f t="shared" si="31"/>
        <v/>
      </c>
      <c r="AN219" s="26" t="str">
        <f>IF(OR($C219="",$AM219&lt;&gt;1,COUNTIFS($E219,ex_envc,$A219,ex_domc,$B219,ex_tric)=0),"",COUNTIFS($AM$6:$AM219,1,$E$6:$E219,ex_envc,$A$6:$A219,ex_domc,$B$6:$B219,ex_tric))</f>
        <v/>
      </c>
      <c r="AO219" s="63"/>
      <c r="AP219" s="63"/>
      <c r="AQ219" s="63"/>
      <c r="AR219" s="63"/>
    </row>
    <row r="220" spans="1:44" x14ac:dyDescent="0.2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26" t="str">
        <f t="shared" si="24"/>
        <v/>
      </c>
      <c r="O220" s="59"/>
      <c r="P220" s="60" t="str">
        <f>IF($C220="","",IF($AQ220&lt;&gt;"",$AQ220,SUMIFS(TblDynatrace[CPU P95 (vCPU)],TblDynatrace[ID],$C220,TblDynatrace[Environnement],$E220,TblDynatrace[Couloir],$F220)))</f>
        <v/>
      </c>
      <c r="Q220" s="60" t="str">
        <f>IF($C220="","",IF($AR220&lt;&gt;"",$AR220,SUMIFS(TblDynatrace[RAM P95 (Go)],TblDynatrace[ID],$C220,TblDynatrace[Environnement],$E220,TblDynatrace[Couloir],$F220)))</f>
        <v/>
      </c>
      <c r="R220" s="26" t="str">
        <f>IF($C220="","",IFERROR(INDEX(TblDynatrace[Métrique / période],MATCH($C220&amp;"|"&amp;$E220&amp;"|"&amp;$F220,TblDynatrace[Clé],0)),""))</f>
        <v/>
      </c>
      <c r="S220" s="60" t="str">
        <f>IF(OR($C220="",NOT(OR($G220="À migrer",$G220="À décommissionner")),$I220="",NOT(ISNUMBER($P220))),"",IF($AO220&lt;&gt;"",$AO220,IFERROR(SUMIFS(TblClusters[CPU initial (vCPU)],TblClusters[Cluster],$I220)*$P220/(SUMIFS(TblApplications[CPU Dynatrace (vCPU)],TblApplications[Cluster IKS source],$I220,TblApplications[Action],"À migrer")+SUMIFS(TblApplications[CPU Dynatrace (vCPU)],TblApplications[Cluster IKS source],$I220,TblApplications[Action],"À décommissionner")),0)))</f>
        <v/>
      </c>
      <c r="T220" s="60" t="str">
        <f>IF(OR($C220="",NOT(OR($G220="À migrer",$G220="À décommissionner")),$I220="",NOT(ISNUMBER($Q220))),"",IF($AP220&lt;&gt;"",$AP220,IFERROR(SUMIFS(TblClusters[RAM initiale (Go)],TblClusters[Cluster],$I220)*$Q220/(SUMIFS(TblApplications[RAM Dynatrace (Go)],TblApplications[Cluster IKS source],$I220,TblApplications[Action],"À migrer")+SUMIFS(TblApplications[RAM Dynatrace (Go)],TblApplications[Cluster IKS source],$I220,TblApplications[Action],"À décommissionner")),0)))</f>
        <v/>
      </c>
      <c r="U220" s="61"/>
      <c r="V220" s="61"/>
      <c r="W220" s="61"/>
      <c r="X220" s="59"/>
      <c r="Y220" s="26" t="str">
        <f t="shared" si="25"/>
        <v/>
      </c>
      <c r="Z220" s="26" t="str">
        <f t="shared" si="26"/>
        <v/>
      </c>
      <c r="AA220" s="33" t="str">
        <f t="shared" si="27"/>
        <v/>
      </c>
      <c r="AB220" s="33" t="str">
        <f t="shared" si="28"/>
        <v/>
      </c>
      <c r="AC220" s="26" t="str">
        <f t="shared" si="29"/>
        <v/>
      </c>
      <c r="AD220" s="26" t="str">
        <f>IF($C220="","",COUNTIF(TblApplications[ID],$C220))</f>
        <v/>
      </c>
      <c r="AE220" s="33" t="str">
        <f>IF($C220="","",IFERROR(1/(1/_xlfn.MINIFS(TblApplications[Mois prov (calc)],TblApplications[ID],$C220)),""))</f>
        <v/>
      </c>
      <c r="AF220" s="33" t="str">
        <f>IF($C220="","",IFERROR(1/(1/_xlfn.MAXIFS(TblApplications[Mois lib (calc)],TblApplications[ID],$C220)),""))</f>
        <v/>
      </c>
      <c r="AG220" s="26" t="str">
        <f>IF($C220="","",IF(OR(OR($A220="",$B220="",$D220="",$E220="",$F220="",$G220=""),AND($G220="À migrer",OR($H220="",$I220="",$O220="",$U220="",$V220="",$W220="")),AND($G220="Migré",OR($O220="")),AND($G220="À décommissionner",OR($I220="",$W220=""))),"Données manquantes (selon l’action)",IF(AND($G220&lt;&gt;"Migré",$G220&lt;&gt;"À migrer",$G220&lt;&gt;"À décommissionner",$G220&lt;&gt;"Décommissionné"),"Action invalide",IF(COUNTIF(TblDomaines[Domaine],$A220)=0,"Domaine inconnu (référentiel)",IF(COUNTIFS(TblTribes[Tribe],$B220,TblTribes[Domaine de la tribe],$A220)=0,"Tribe inconnue ou hors domaine",IF(AND($G220="À migrer",$H220&lt;&gt;"Oui",$H220&lt;&gt;"Non"),"Valeur Oui/Non invalide (Déjà incluse ROKS)",IF(AND($E220&lt;&gt;"PRD",$E220&lt;&gt;"NPRD"),"Environnement invalide",IF(COUNTIFS(TblApplications[ID],$C220,TblApplications[Environnement],$E220,TblApplications[Couloir],$F220)&gt;1,"Déploiement en doublon (ID + env + couloir)",IF(AND(OR(OR($G220="À migrer",$G220="Migré"),OR($G220="À migrer",$G220="À décommissionner")),N($P220)&lt;=0),"Conso Dynatrace absente (onglet Dynatrace)",IF(OR(AND($P220&lt;&gt;"",NOT(ISNUMBER($P220))),AND($Q220&lt;&gt;"",NOT(ISNUMBER($Q220)))),"Ressource non numérique",IF(MIN(N($P220),N($Q220))&lt;0,"Ressource négative",IF(OR(AND($AH220&lt;&gt;"",OR(NOT(ISNUMBER($AH220)),$AH220&lt;0,$AH220&gt;1)),AND($AI220&lt;&gt;"",OR(NOT(ISNUMBER($AI220)),$AI220&lt;0,$AI220&gt;1))),"Marge spécifique invalide (0–100 %)",IF(OR(AND($U220&lt;&gt;"",NOT(ISNUMBER($U220))),AND($V220&lt;&gt;"",NOT(ISNUMBER($V220))),AND($W220&lt;&gt;"",NOT(ISNUMBER($W220)))),"Mois invalide",IF(AND(OR($G220="À migrer",$G220="À décommissionner"),COUNTIFS(TblClusters[Cluster],$I220,TblClusters[Plateforme],"IKS")=0),"Cluster IKS inconnu",IF(AND(OR($G220="À migrer",$G220="Migré"),COUNTIFS(TblClusters[Cluster],$O220,TblClusters[Plateforme],"ROKS")=0),"Cluster ROKS inconnu",IF(AND(OR($G220="À migrer",$G220="À décommissionner"),COUNTIFS(TblClusters[Cluster],$I220,TblClusters[Environnement],$E220)=0),"Environnement ≠ cluster IKS",IF(AND(OR($G220="À migrer",$G220="Migré"),COUNTIFS(TblClusters[Cluster],$O220,TblClusters[Environnement],$E220)=0),"Environnement ≠ cluster ROKS",IF(AND($G220="À migrer",OR($U220&gt;$V220,$V220&gt;$W220)),"Dates incohérentes (prov ≤ bascule ≤ libération)",IF(AND(OR($G220="À migrer",$G220="À décommissionner"),OR(N($AO220)&gt;SUMIFS(TblClusters[CPU initial (vCPU)],TblClusters[Cluster],$I220),N($AP220)&gt;SUMIFS(TblClusters[RAM initiale (Go)],TblClusters[Cluster],$I220))),"Forçage &gt; capacité du cluster source",IF(OR(AND($AA220&lt;&gt;"",$AA220&lt;p_debut),AND($AB220&lt;&gt;"",$AB220&gt;p_fin)),"Hors horizon (info)",IF(AND($G220="À migrer",$E220="PRD",COUNTIFS(TblApplications[ID],$C220,TblApplications[Environnement],"NPRD",TblApplications[Action],"À migrer")&gt;0,$AA220&lt;_xlfn.MINIFS(TblApplications[Mois prov (calc)],TblApplications[ID],$C220,TblApplications[Environnement],"NPRD")),"PRD avant NPRD (info)","OK")))))))))))))))))))))</f>
        <v/>
      </c>
      <c r="AH220" s="62"/>
      <c r="AI220" s="62"/>
      <c r="AJ220" s="27" t="str">
        <f>IF(OR($C220="",NOT(OR($G220="À migrer",$G220="À décommissionner")),NOT(ISNUMBER($S220)),NOT(ISNUMBER($T220)),$AB220=""),"",($S220+p_poidsram*$T220)*SUMIFS(TblCalculs[Coût par unité],TblCalculs[Cluster],$I220,TblCalculs[Mois],"&lt;"&amp;$AB220))</f>
        <v/>
      </c>
      <c r="AK220" s="27" t="str">
        <f>IF($C220="","",IF(AND($G220="À migrer",$H220="Non",$Y220&lt;&gt;"",$AA220&lt;&gt;""),($Y220+p_poidsram*$Z220)*SUMIFS(TblCalculs[Coût par unité],TblCalculs[Cluster],$O220,TblCalculs[Mois],"&gt;="&amp;$AA220),IF(AND($G220="Migré",$Y220&lt;&gt;""),($Y220+p_poidsram*$Z220)*SUMIFS(TblCalculs[Coût par unité],TblCalculs[Cluster],$O220),"")))</f>
        <v/>
      </c>
      <c r="AL220" s="27" t="str">
        <f t="shared" si="30"/>
        <v/>
      </c>
      <c r="AM220" s="26" t="str">
        <f t="shared" si="31"/>
        <v/>
      </c>
      <c r="AN220" s="26" t="str">
        <f>IF(OR($C220="",$AM220&lt;&gt;1,COUNTIFS($E220,ex_envc,$A220,ex_domc,$B220,ex_tric)=0),"",COUNTIFS($AM$6:$AM220,1,$E$6:$E220,ex_envc,$A$6:$A220,ex_domc,$B$6:$B220,ex_tric))</f>
        <v/>
      </c>
      <c r="AO220" s="63"/>
      <c r="AP220" s="63"/>
      <c r="AQ220" s="63"/>
      <c r="AR220" s="63"/>
    </row>
    <row r="221" spans="1:44" x14ac:dyDescent="0.2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26" t="str">
        <f t="shared" si="24"/>
        <v/>
      </c>
      <c r="O221" s="59"/>
      <c r="P221" s="60" t="str">
        <f>IF($C221="","",IF($AQ221&lt;&gt;"",$AQ221,SUMIFS(TblDynatrace[CPU P95 (vCPU)],TblDynatrace[ID],$C221,TblDynatrace[Environnement],$E221,TblDynatrace[Couloir],$F221)))</f>
        <v/>
      </c>
      <c r="Q221" s="60" t="str">
        <f>IF($C221="","",IF($AR221&lt;&gt;"",$AR221,SUMIFS(TblDynatrace[RAM P95 (Go)],TblDynatrace[ID],$C221,TblDynatrace[Environnement],$E221,TblDynatrace[Couloir],$F221)))</f>
        <v/>
      </c>
      <c r="R221" s="26" t="str">
        <f>IF($C221="","",IFERROR(INDEX(TblDynatrace[Métrique / période],MATCH($C221&amp;"|"&amp;$E221&amp;"|"&amp;$F221,TblDynatrace[Clé],0)),""))</f>
        <v/>
      </c>
      <c r="S221" s="60" t="str">
        <f>IF(OR($C221="",NOT(OR($G221="À migrer",$G221="À décommissionner")),$I221="",NOT(ISNUMBER($P221))),"",IF($AO221&lt;&gt;"",$AO221,IFERROR(SUMIFS(TblClusters[CPU initial (vCPU)],TblClusters[Cluster],$I221)*$P221/(SUMIFS(TblApplications[CPU Dynatrace (vCPU)],TblApplications[Cluster IKS source],$I221,TblApplications[Action],"À migrer")+SUMIFS(TblApplications[CPU Dynatrace (vCPU)],TblApplications[Cluster IKS source],$I221,TblApplications[Action],"À décommissionner")),0)))</f>
        <v/>
      </c>
      <c r="T221" s="60" t="str">
        <f>IF(OR($C221="",NOT(OR($G221="À migrer",$G221="À décommissionner")),$I221="",NOT(ISNUMBER($Q221))),"",IF($AP221&lt;&gt;"",$AP221,IFERROR(SUMIFS(TblClusters[RAM initiale (Go)],TblClusters[Cluster],$I221)*$Q221/(SUMIFS(TblApplications[RAM Dynatrace (Go)],TblApplications[Cluster IKS source],$I221,TblApplications[Action],"À migrer")+SUMIFS(TblApplications[RAM Dynatrace (Go)],TblApplications[Cluster IKS source],$I221,TblApplications[Action],"À décommissionner")),0)))</f>
        <v/>
      </c>
      <c r="U221" s="61"/>
      <c r="V221" s="61"/>
      <c r="W221" s="61"/>
      <c r="X221" s="59"/>
      <c r="Y221" s="26" t="str">
        <f t="shared" si="25"/>
        <v/>
      </c>
      <c r="Z221" s="26" t="str">
        <f t="shared" si="26"/>
        <v/>
      </c>
      <c r="AA221" s="33" t="str">
        <f t="shared" si="27"/>
        <v/>
      </c>
      <c r="AB221" s="33" t="str">
        <f t="shared" si="28"/>
        <v/>
      </c>
      <c r="AC221" s="26" t="str">
        <f t="shared" si="29"/>
        <v/>
      </c>
      <c r="AD221" s="26" t="str">
        <f>IF($C221="","",COUNTIF(TblApplications[ID],$C221))</f>
        <v/>
      </c>
      <c r="AE221" s="33" t="str">
        <f>IF($C221="","",IFERROR(1/(1/_xlfn.MINIFS(TblApplications[Mois prov (calc)],TblApplications[ID],$C221)),""))</f>
        <v/>
      </c>
      <c r="AF221" s="33" t="str">
        <f>IF($C221="","",IFERROR(1/(1/_xlfn.MAXIFS(TblApplications[Mois lib (calc)],TblApplications[ID],$C221)),""))</f>
        <v/>
      </c>
      <c r="AG221" s="26" t="str">
        <f>IF($C221="","",IF(OR(OR($A221="",$B221="",$D221="",$E221="",$F221="",$G221=""),AND($G221="À migrer",OR($H221="",$I221="",$O221="",$U221="",$V221="",$W221="")),AND($G221="Migré",OR($O221="")),AND($G221="À décommissionner",OR($I221="",$W221=""))),"Données manquantes (selon l’action)",IF(AND($G221&lt;&gt;"Migré",$G221&lt;&gt;"À migrer",$G221&lt;&gt;"À décommissionner",$G221&lt;&gt;"Décommissionné"),"Action invalide",IF(COUNTIF(TblDomaines[Domaine],$A221)=0,"Domaine inconnu (référentiel)",IF(COUNTIFS(TblTribes[Tribe],$B221,TblTribes[Domaine de la tribe],$A221)=0,"Tribe inconnue ou hors domaine",IF(AND($G221="À migrer",$H221&lt;&gt;"Oui",$H221&lt;&gt;"Non"),"Valeur Oui/Non invalide (Déjà incluse ROKS)",IF(AND($E221&lt;&gt;"PRD",$E221&lt;&gt;"NPRD"),"Environnement invalide",IF(COUNTIFS(TblApplications[ID],$C221,TblApplications[Environnement],$E221,TblApplications[Couloir],$F221)&gt;1,"Déploiement en doublon (ID + env + couloir)",IF(AND(OR(OR($G221="À migrer",$G221="Migré"),OR($G221="À migrer",$G221="À décommissionner")),N($P221)&lt;=0),"Conso Dynatrace absente (onglet Dynatrace)",IF(OR(AND($P221&lt;&gt;"",NOT(ISNUMBER($P221))),AND($Q221&lt;&gt;"",NOT(ISNUMBER($Q221)))),"Ressource non numérique",IF(MIN(N($P221),N($Q221))&lt;0,"Ressource négative",IF(OR(AND($AH221&lt;&gt;"",OR(NOT(ISNUMBER($AH221)),$AH221&lt;0,$AH221&gt;1)),AND($AI221&lt;&gt;"",OR(NOT(ISNUMBER($AI221)),$AI221&lt;0,$AI221&gt;1))),"Marge spécifique invalide (0–100 %)",IF(OR(AND($U221&lt;&gt;"",NOT(ISNUMBER($U221))),AND($V221&lt;&gt;"",NOT(ISNUMBER($V221))),AND($W221&lt;&gt;"",NOT(ISNUMBER($W221)))),"Mois invalide",IF(AND(OR($G221="À migrer",$G221="À décommissionner"),COUNTIFS(TblClusters[Cluster],$I221,TblClusters[Plateforme],"IKS")=0),"Cluster IKS inconnu",IF(AND(OR($G221="À migrer",$G221="Migré"),COUNTIFS(TblClusters[Cluster],$O221,TblClusters[Plateforme],"ROKS")=0),"Cluster ROKS inconnu",IF(AND(OR($G221="À migrer",$G221="À décommissionner"),COUNTIFS(TblClusters[Cluster],$I221,TblClusters[Environnement],$E221)=0),"Environnement ≠ cluster IKS",IF(AND(OR($G221="À migrer",$G221="Migré"),COUNTIFS(TblClusters[Cluster],$O221,TblClusters[Environnement],$E221)=0),"Environnement ≠ cluster ROKS",IF(AND($G221="À migrer",OR($U221&gt;$V221,$V221&gt;$W221)),"Dates incohérentes (prov ≤ bascule ≤ libération)",IF(AND(OR($G221="À migrer",$G221="À décommissionner"),OR(N($AO221)&gt;SUMIFS(TblClusters[CPU initial (vCPU)],TblClusters[Cluster],$I221),N($AP221)&gt;SUMIFS(TblClusters[RAM initiale (Go)],TblClusters[Cluster],$I221))),"Forçage &gt; capacité du cluster source",IF(OR(AND($AA221&lt;&gt;"",$AA221&lt;p_debut),AND($AB221&lt;&gt;"",$AB221&gt;p_fin)),"Hors horizon (info)",IF(AND($G221="À migrer",$E221="PRD",COUNTIFS(TblApplications[ID],$C221,TblApplications[Environnement],"NPRD",TblApplications[Action],"À migrer")&gt;0,$AA221&lt;_xlfn.MINIFS(TblApplications[Mois prov (calc)],TblApplications[ID],$C221,TblApplications[Environnement],"NPRD")),"PRD avant NPRD (info)","OK")))))))))))))))))))))</f>
        <v/>
      </c>
      <c r="AH221" s="62"/>
      <c r="AI221" s="62"/>
      <c r="AJ221" s="27" t="str">
        <f>IF(OR($C221="",NOT(OR($G221="À migrer",$G221="À décommissionner")),NOT(ISNUMBER($S221)),NOT(ISNUMBER($T221)),$AB221=""),"",($S221+p_poidsram*$T221)*SUMIFS(TblCalculs[Coût par unité],TblCalculs[Cluster],$I221,TblCalculs[Mois],"&lt;"&amp;$AB221))</f>
        <v/>
      </c>
      <c r="AK221" s="27" t="str">
        <f>IF($C221="","",IF(AND($G221="À migrer",$H221="Non",$Y221&lt;&gt;"",$AA221&lt;&gt;""),($Y221+p_poidsram*$Z221)*SUMIFS(TblCalculs[Coût par unité],TblCalculs[Cluster],$O221,TblCalculs[Mois],"&gt;="&amp;$AA221),IF(AND($G221="Migré",$Y221&lt;&gt;""),($Y221+p_poidsram*$Z221)*SUMIFS(TblCalculs[Coût par unité],TblCalculs[Cluster],$O221),"")))</f>
        <v/>
      </c>
      <c r="AL221" s="27" t="str">
        <f t="shared" si="30"/>
        <v/>
      </c>
      <c r="AM221" s="26" t="str">
        <f t="shared" si="31"/>
        <v/>
      </c>
      <c r="AN221" s="26" t="str">
        <f>IF(OR($C221="",$AM221&lt;&gt;1,COUNTIFS($E221,ex_envc,$A221,ex_domc,$B221,ex_tric)=0),"",COUNTIFS($AM$6:$AM221,1,$E$6:$E221,ex_envc,$A$6:$A221,ex_domc,$B$6:$B221,ex_tric))</f>
        <v/>
      </c>
      <c r="AO221" s="63"/>
      <c r="AP221" s="63"/>
      <c r="AQ221" s="63"/>
      <c r="AR221" s="63"/>
    </row>
    <row r="222" spans="1:44" x14ac:dyDescent="0.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26" t="str">
        <f t="shared" si="24"/>
        <v/>
      </c>
      <c r="O222" s="59"/>
      <c r="P222" s="60" t="str">
        <f>IF($C222="","",IF($AQ222&lt;&gt;"",$AQ222,SUMIFS(TblDynatrace[CPU P95 (vCPU)],TblDynatrace[ID],$C222,TblDynatrace[Environnement],$E222,TblDynatrace[Couloir],$F222)))</f>
        <v/>
      </c>
      <c r="Q222" s="60" t="str">
        <f>IF($C222="","",IF($AR222&lt;&gt;"",$AR222,SUMIFS(TblDynatrace[RAM P95 (Go)],TblDynatrace[ID],$C222,TblDynatrace[Environnement],$E222,TblDynatrace[Couloir],$F222)))</f>
        <v/>
      </c>
      <c r="R222" s="26" t="str">
        <f>IF($C222="","",IFERROR(INDEX(TblDynatrace[Métrique / période],MATCH($C222&amp;"|"&amp;$E222&amp;"|"&amp;$F222,TblDynatrace[Clé],0)),""))</f>
        <v/>
      </c>
      <c r="S222" s="60" t="str">
        <f>IF(OR($C222="",NOT(OR($G222="À migrer",$G222="À décommissionner")),$I222="",NOT(ISNUMBER($P222))),"",IF($AO222&lt;&gt;"",$AO222,IFERROR(SUMIFS(TblClusters[CPU initial (vCPU)],TblClusters[Cluster],$I222)*$P222/(SUMIFS(TblApplications[CPU Dynatrace (vCPU)],TblApplications[Cluster IKS source],$I222,TblApplications[Action],"À migrer")+SUMIFS(TblApplications[CPU Dynatrace (vCPU)],TblApplications[Cluster IKS source],$I222,TblApplications[Action],"À décommissionner")),0)))</f>
        <v/>
      </c>
      <c r="T222" s="60" t="str">
        <f>IF(OR($C222="",NOT(OR($G222="À migrer",$G222="À décommissionner")),$I222="",NOT(ISNUMBER($Q222))),"",IF($AP222&lt;&gt;"",$AP222,IFERROR(SUMIFS(TblClusters[RAM initiale (Go)],TblClusters[Cluster],$I222)*$Q222/(SUMIFS(TblApplications[RAM Dynatrace (Go)],TblApplications[Cluster IKS source],$I222,TblApplications[Action],"À migrer")+SUMIFS(TblApplications[RAM Dynatrace (Go)],TblApplications[Cluster IKS source],$I222,TblApplications[Action],"À décommissionner")),0)))</f>
        <v/>
      </c>
      <c r="U222" s="61"/>
      <c r="V222" s="61"/>
      <c r="W222" s="61"/>
      <c r="X222" s="59"/>
      <c r="Y222" s="26" t="str">
        <f t="shared" si="25"/>
        <v/>
      </c>
      <c r="Z222" s="26" t="str">
        <f t="shared" si="26"/>
        <v/>
      </c>
      <c r="AA222" s="33" t="str">
        <f t="shared" si="27"/>
        <v/>
      </c>
      <c r="AB222" s="33" t="str">
        <f t="shared" si="28"/>
        <v/>
      </c>
      <c r="AC222" s="26" t="str">
        <f t="shared" si="29"/>
        <v/>
      </c>
      <c r="AD222" s="26" t="str">
        <f>IF($C222="","",COUNTIF(TblApplications[ID],$C222))</f>
        <v/>
      </c>
      <c r="AE222" s="33" t="str">
        <f>IF($C222="","",IFERROR(1/(1/_xlfn.MINIFS(TblApplications[Mois prov (calc)],TblApplications[ID],$C222)),""))</f>
        <v/>
      </c>
      <c r="AF222" s="33" t="str">
        <f>IF($C222="","",IFERROR(1/(1/_xlfn.MAXIFS(TblApplications[Mois lib (calc)],TblApplications[ID],$C222)),""))</f>
        <v/>
      </c>
      <c r="AG222" s="26" t="str">
        <f>IF($C222="","",IF(OR(OR($A222="",$B222="",$D222="",$E222="",$F222="",$G222=""),AND($G222="À migrer",OR($H222="",$I222="",$O222="",$U222="",$V222="",$W222="")),AND($G222="Migré",OR($O222="")),AND($G222="À décommissionner",OR($I222="",$W222=""))),"Données manquantes (selon l’action)",IF(AND($G222&lt;&gt;"Migré",$G222&lt;&gt;"À migrer",$G222&lt;&gt;"À décommissionner",$G222&lt;&gt;"Décommissionné"),"Action invalide",IF(COUNTIF(TblDomaines[Domaine],$A222)=0,"Domaine inconnu (référentiel)",IF(COUNTIFS(TblTribes[Tribe],$B222,TblTribes[Domaine de la tribe],$A222)=0,"Tribe inconnue ou hors domaine",IF(AND($G222="À migrer",$H222&lt;&gt;"Oui",$H222&lt;&gt;"Non"),"Valeur Oui/Non invalide (Déjà incluse ROKS)",IF(AND($E222&lt;&gt;"PRD",$E222&lt;&gt;"NPRD"),"Environnement invalide",IF(COUNTIFS(TblApplications[ID],$C222,TblApplications[Environnement],$E222,TblApplications[Couloir],$F222)&gt;1,"Déploiement en doublon (ID + env + couloir)",IF(AND(OR(OR($G222="À migrer",$G222="Migré"),OR($G222="À migrer",$G222="À décommissionner")),N($P222)&lt;=0),"Conso Dynatrace absente (onglet Dynatrace)",IF(OR(AND($P222&lt;&gt;"",NOT(ISNUMBER($P222))),AND($Q222&lt;&gt;"",NOT(ISNUMBER($Q222)))),"Ressource non numérique",IF(MIN(N($P222),N($Q222))&lt;0,"Ressource négative",IF(OR(AND($AH222&lt;&gt;"",OR(NOT(ISNUMBER($AH222)),$AH222&lt;0,$AH222&gt;1)),AND($AI222&lt;&gt;"",OR(NOT(ISNUMBER($AI222)),$AI222&lt;0,$AI222&gt;1))),"Marge spécifique invalide (0–100 %)",IF(OR(AND($U222&lt;&gt;"",NOT(ISNUMBER($U222))),AND($V222&lt;&gt;"",NOT(ISNUMBER($V222))),AND($W222&lt;&gt;"",NOT(ISNUMBER($W222)))),"Mois invalide",IF(AND(OR($G222="À migrer",$G222="À décommissionner"),COUNTIFS(TblClusters[Cluster],$I222,TblClusters[Plateforme],"IKS")=0),"Cluster IKS inconnu",IF(AND(OR($G222="À migrer",$G222="Migré"),COUNTIFS(TblClusters[Cluster],$O222,TblClusters[Plateforme],"ROKS")=0),"Cluster ROKS inconnu",IF(AND(OR($G222="À migrer",$G222="À décommissionner"),COUNTIFS(TblClusters[Cluster],$I222,TblClusters[Environnement],$E222)=0),"Environnement ≠ cluster IKS",IF(AND(OR($G222="À migrer",$G222="Migré"),COUNTIFS(TblClusters[Cluster],$O222,TblClusters[Environnement],$E222)=0),"Environnement ≠ cluster ROKS",IF(AND($G222="À migrer",OR($U222&gt;$V222,$V222&gt;$W222)),"Dates incohérentes (prov ≤ bascule ≤ libération)",IF(AND(OR($G222="À migrer",$G222="À décommissionner"),OR(N($AO222)&gt;SUMIFS(TblClusters[CPU initial (vCPU)],TblClusters[Cluster],$I222),N($AP222)&gt;SUMIFS(TblClusters[RAM initiale (Go)],TblClusters[Cluster],$I222))),"Forçage &gt; capacité du cluster source",IF(OR(AND($AA222&lt;&gt;"",$AA222&lt;p_debut),AND($AB222&lt;&gt;"",$AB222&gt;p_fin)),"Hors horizon (info)",IF(AND($G222="À migrer",$E222="PRD",COUNTIFS(TblApplications[ID],$C222,TblApplications[Environnement],"NPRD",TblApplications[Action],"À migrer")&gt;0,$AA222&lt;_xlfn.MINIFS(TblApplications[Mois prov (calc)],TblApplications[ID],$C222,TblApplications[Environnement],"NPRD")),"PRD avant NPRD (info)","OK")))))))))))))))))))))</f>
        <v/>
      </c>
      <c r="AH222" s="62"/>
      <c r="AI222" s="62"/>
      <c r="AJ222" s="27" t="str">
        <f>IF(OR($C222="",NOT(OR($G222="À migrer",$G222="À décommissionner")),NOT(ISNUMBER($S222)),NOT(ISNUMBER($T222)),$AB222=""),"",($S222+p_poidsram*$T222)*SUMIFS(TblCalculs[Coût par unité],TblCalculs[Cluster],$I222,TblCalculs[Mois],"&lt;"&amp;$AB222))</f>
        <v/>
      </c>
      <c r="AK222" s="27" t="str">
        <f>IF($C222="","",IF(AND($G222="À migrer",$H222="Non",$Y222&lt;&gt;"",$AA222&lt;&gt;""),($Y222+p_poidsram*$Z222)*SUMIFS(TblCalculs[Coût par unité],TblCalculs[Cluster],$O222,TblCalculs[Mois],"&gt;="&amp;$AA222),IF(AND($G222="Migré",$Y222&lt;&gt;""),($Y222+p_poidsram*$Z222)*SUMIFS(TblCalculs[Coût par unité],TblCalculs[Cluster],$O222),"")))</f>
        <v/>
      </c>
      <c r="AL222" s="27" t="str">
        <f t="shared" si="30"/>
        <v/>
      </c>
      <c r="AM222" s="26" t="str">
        <f t="shared" si="31"/>
        <v/>
      </c>
      <c r="AN222" s="26" t="str">
        <f>IF(OR($C222="",$AM222&lt;&gt;1,COUNTIFS($E222,ex_envc,$A222,ex_domc,$B222,ex_tric)=0),"",COUNTIFS($AM$6:$AM222,1,$E$6:$E222,ex_envc,$A$6:$A222,ex_domc,$B$6:$B222,ex_tric))</f>
        <v/>
      </c>
      <c r="AO222" s="63"/>
      <c r="AP222" s="63"/>
      <c r="AQ222" s="63"/>
      <c r="AR222" s="63"/>
    </row>
    <row r="223" spans="1:44" x14ac:dyDescent="0.2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26" t="str">
        <f t="shared" si="24"/>
        <v/>
      </c>
      <c r="O223" s="59"/>
      <c r="P223" s="60" t="str">
        <f>IF($C223="","",IF($AQ223&lt;&gt;"",$AQ223,SUMIFS(TblDynatrace[CPU P95 (vCPU)],TblDynatrace[ID],$C223,TblDynatrace[Environnement],$E223,TblDynatrace[Couloir],$F223)))</f>
        <v/>
      </c>
      <c r="Q223" s="60" t="str">
        <f>IF($C223="","",IF($AR223&lt;&gt;"",$AR223,SUMIFS(TblDynatrace[RAM P95 (Go)],TblDynatrace[ID],$C223,TblDynatrace[Environnement],$E223,TblDynatrace[Couloir],$F223)))</f>
        <v/>
      </c>
      <c r="R223" s="26" t="str">
        <f>IF($C223="","",IFERROR(INDEX(TblDynatrace[Métrique / période],MATCH($C223&amp;"|"&amp;$E223&amp;"|"&amp;$F223,TblDynatrace[Clé],0)),""))</f>
        <v/>
      </c>
      <c r="S223" s="60" t="str">
        <f>IF(OR($C223="",NOT(OR($G223="À migrer",$G223="À décommissionner")),$I223="",NOT(ISNUMBER($P223))),"",IF($AO223&lt;&gt;"",$AO223,IFERROR(SUMIFS(TblClusters[CPU initial (vCPU)],TblClusters[Cluster],$I223)*$P223/(SUMIFS(TblApplications[CPU Dynatrace (vCPU)],TblApplications[Cluster IKS source],$I223,TblApplications[Action],"À migrer")+SUMIFS(TblApplications[CPU Dynatrace (vCPU)],TblApplications[Cluster IKS source],$I223,TblApplications[Action],"À décommissionner")),0)))</f>
        <v/>
      </c>
      <c r="T223" s="60" t="str">
        <f>IF(OR($C223="",NOT(OR($G223="À migrer",$G223="À décommissionner")),$I223="",NOT(ISNUMBER($Q223))),"",IF($AP223&lt;&gt;"",$AP223,IFERROR(SUMIFS(TblClusters[RAM initiale (Go)],TblClusters[Cluster],$I223)*$Q223/(SUMIFS(TblApplications[RAM Dynatrace (Go)],TblApplications[Cluster IKS source],$I223,TblApplications[Action],"À migrer")+SUMIFS(TblApplications[RAM Dynatrace (Go)],TblApplications[Cluster IKS source],$I223,TblApplications[Action],"À décommissionner")),0)))</f>
        <v/>
      </c>
      <c r="U223" s="61"/>
      <c r="V223" s="61"/>
      <c r="W223" s="61"/>
      <c r="X223" s="59"/>
      <c r="Y223" s="26" t="str">
        <f t="shared" si="25"/>
        <v/>
      </c>
      <c r="Z223" s="26" t="str">
        <f t="shared" si="26"/>
        <v/>
      </c>
      <c r="AA223" s="33" t="str">
        <f t="shared" si="27"/>
        <v/>
      </c>
      <c r="AB223" s="33" t="str">
        <f t="shared" si="28"/>
        <v/>
      </c>
      <c r="AC223" s="26" t="str">
        <f t="shared" si="29"/>
        <v/>
      </c>
      <c r="AD223" s="26" t="str">
        <f>IF($C223="","",COUNTIF(TblApplications[ID],$C223))</f>
        <v/>
      </c>
      <c r="AE223" s="33" t="str">
        <f>IF($C223="","",IFERROR(1/(1/_xlfn.MINIFS(TblApplications[Mois prov (calc)],TblApplications[ID],$C223)),""))</f>
        <v/>
      </c>
      <c r="AF223" s="33" t="str">
        <f>IF($C223="","",IFERROR(1/(1/_xlfn.MAXIFS(TblApplications[Mois lib (calc)],TblApplications[ID],$C223)),""))</f>
        <v/>
      </c>
      <c r="AG223" s="26" t="str">
        <f>IF($C223="","",IF(OR(OR($A223="",$B223="",$D223="",$E223="",$F223="",$G223=""),AND($G223="À migrer",OR($H223="",$I223="",$O223="",$U223="",$V223="",$W223="")),AND($G223="Migré",OR($O223="")),AND($G223="À décommissionner",OR($I223="",$W223=""))),"Données manquantes (selon l’action)",IF(AND($G223&lt;&gt;"Migré",$G223&lt;&gt;"À migrer",$G223&lt;&gt;"À décommissionner",$G223&lt;&gt;"Décommissionné"),"Action invalide",IF(COUNTIF(TblDomaines[Domaine],$A223)=0,"Domaine inconnu (référentiel)",IF(COUNTIFS(TblTribes[Tribe],$B223,TblTribes[Domaine de la tribe],$A223)=0,"Tribe inconnue ou hors domaine",IF(AND($G223="À migrer",$H223&lt;&gt;"Oui",$H223&lt;&gt;"Non"),"Valeur Oui/Non invalide (Déjà incluse ROKS)",IF(AND($E223&lt;&gt;"PRD",$E223&lt;&gt;"NPRD"),"Environnement invalide",IF(COUNTIFS(TblApplications[ID],$C223,TblApplications[Environnement],$E223,TblApplications[Couloir],$F223)&gt;1,"Déploiement en doublon (ID + env + couloir)",IF(AND(OR(OR($G223="À migrer",$G223="Migré"),OR($G223="À migrer",$G223="À décommissionner")),N($P223)&lt;=0),"Conso Dynatrace absente (onglet Dynatrace)",IF(OR(AND($P223&lt;&gt;"",NOT(ISNUMBER($P223))),AND($Q223&lt;&gt;"",NOT(ISNUMBER($Q223)))),"Ressource non numérique",IF(MIN(N($P223),N($Q223))&lt;0,"Ressource négative",IF(OR(AND($AH223&lt;&gt;"",OR(NOT(ISNUMBER($AH223)),$AH223&lt;0,$AH223&gt;1)),AND($AI223&lt;&gt;"",OR(NOT(ISNUMBER($AI223)),$AI223&lt;0,$AI223&gt;1))),"Marge spécifique invalide (0–100 %)",IF(OR(AND($U223&lt;&gt;"",NOT(ISNUMBER($U223))),AND($V223&lt;&gt;"",NOT(ISNUMBER($V223))),AND($W223&lt;&gt;"",NOT(ISNUMBER($W223)))),"Mois invalide",IF(AND(OR($G223="À migrer",$G223="À décommissionner"),COUNTIFS(TblClusters[Cluster],$I223,TblClusters[Plateforme],"IKS")=0),"Cluster IKS inconnu",IF(AND(OR($G223="À migrer",$G223="Migré"),COUNTIFS(TblClusters[Cluster],$O223,TblClusters[Plateforme],"ROKS")=0),"Cluster ROKS inconnu",IF(AND(OR($G223="À migrer",$G223="À décommissionner"),COUNTIFS(TblClusters[Cluster],$I223,TblClusters[Environnement],$E223)=0),"Environnement ≠ cluster IKS",IF(AND(OR($G223="À migrer",$G223="Migré"),COUNTIFS(TblClusters[Cluster],$O223,TblClusters[Environnement],$E223)=0),"Environnement ≠ cluster ROKS",IF(AND($G223="À migrer",OR($U223&gt;$V223,$V223&gt;$W223)),"Dates incohérentes (prov ≤ bascule ≤ libération)",IF(AND(OR($G223="À migrer",$G223="À décommissionner"),OR(N($AO223)&gt;SUMIFS(TblClusters[CPU initial (vCPU)],TblClusters[Cluster],$I223),N($AP223)&gt;SUMIFS(TblClusters[RAM initiale (Go)],TblClusters[Cluster],$I223))),"Forçage &gt; capacité du cluster source",IF(OR(AND($AA223&lt;&gt;"",$AA223&lt;p_debut),AND($AB223&lt;&gt;"",$AB223&gt;p_fin)),"Hors horizon (info)",IF(AND($G223="À migrer",$E223="PRD",COUNTIFS(TblApplications[ID],$C223,TblApplications[Environnement],"NPRD",TblApplications[Action],"À migrer")&gt;0,$AA223&lt;_xlfn.MINIFS(TblApplications[Mois prov (calc)],TblApplications[ID],$C223,TblApplications[Environnement],"NPRD")),"PRD avant NPRD (info)","OK")))))))))))))))))))))</f>
        <v/>
      </c>
      <c r="AH223" s="62"/>
      <c r="AI223" s="62"/>
      <c r="AJ223" s="27" t="str">
        <f>IF(OR($C223="",NOT(OR($G223="À migrer",$G223="À décommissionner")),NOT(ISNUMBER($S223)),NOT(ISNUMBER($T223)),$AB223=""),"",($S223+p_poidsram*$T223)*SUMIFS(TblCalculs[Coût par unité],TblCalculs[Cluster],$I223,TblCalculs[Mois],"&lt;"&amp;$AB223))</f>
        <v/>
      </c>
      <c r="AK223" s="27" t="str">
        <f>IF($C223="","",IF(AND($G223="À migrer",$H223="Non",$Y223&lt;&gt;"",$AA223&lt;&gt;""),($Y223+p_poidsram*$Z223)*SUMIFS(TblCalculs[Coût par unité],TblCalculs[Cluster],$O223,TblCalculs[Mois],"&gt;="&amp;$AA223),IF(AND($G223="Migré",$Y223&lt;&gt;""),($Y223+p_poidsram*$Z223)*SUMIFS(TblCalculs[Coût par unité],TblCalculs[Cluster],$O223),"")))</f>
        <v/>
      </c>
      <c r="AL223" s="27" t="str">
        <f t="shared" si="30"/>
        <v/>
      </c>
      <c r="AM223" s="26" t="str">
        <f t="shared" si="31"/>
        <v/>
      </c>
      <c r="AN223" s="26" t="str">
        <f>IF(OR($C223="",$AM223&lt;&gt;1,COUNTIFS($E223,ex_envc,$A223,ex_domc,$B223,ex_tric)=0),"",COUNTIFS($AM$6:$AM223,1,$E$6:$E223,ex_envc,$A$6:$A223,ex_domc,$B$6:$B223,ex_tric))</f>
        <v/>
      </c>
      <c r="AO223" s="63"/>
      <c r="AP223" s="63"/>
      <c r="AQ223" s="63"/>
      <c r="AR223" s="63"/>
    </row>
    <row r="224" spans="1:44" x14ac:dyDescent="0.2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26" t="str">
        <f t="shared" si="24"/>
        <v/>
      </c>
      <c r="O224" s="59"/>
      <c r="P224" s="60" t="str">
        <f>IF($C224="","",IF($AQ224&lt;&gt;"",$AQ224,SUMIFS(TblDynatrace[CPU P95 (vCPU)],TblDynatrace[ID],$C224,TblDynatrace[Environnement],$E224,TblDynatrace[Couloir],$F224)))</f>
        <v/>
      </c>
      <c r="Q224" s="60" t="str">
        <f>IF($C224="","",IF($AR224&lt;&gt;"",$AR224,SUMIFS(TblDynatrace[RAM P95 (Go)],TblDynatrace[ID],$C224,TblDynatrace[Environnement],$E224,TblDynatrace[Couloir],$F224)))</f>
        <v/>
      </c>
      <c r="R224" s="26" t="str">
        <f>IF($C224="","",IFERROR(INDEX(TblDynatrace[Métrique / période],MATCH($C224&amp;"|"&amp;$E224&amp;"|"&amp;$F224,TblDynatrace[Clé],0)),""))</f>
        <v/>
      </c>
      <c r="S224" s="60" t="str">
        <f>IF(OR($C224="",NOT(OR($G224="À migrer",$G224="À décommissionner")),$I224="",NOT(ISNUMBER($P224))),"",IF($AO224&lt;&gt;"",$AO224,IFERROR(SUMIFS(TblClusters[CPU initial (vCPU)],TblClusters[Cluster],$I224)*$P224/(SUMIFS(TblApplications[CPU Dynatrace (vCPU)],TblApplications[Cluster IKS source],$I224,TblApplications[Action],"À migrer")+SUMIFS(TblApplications[CPU Dynatrace (vCPU)],TblApplications[Cluster IKS source],$I224,TblApplications[Action],"À décommissionner")),0)))</f>
        <v/>
      </c>
      <c r="T224" s="60" t="str">
        <f>IF(OR($C224="",NOT(OR($G224="À migrer",$G224="À décommissionner")),$I224="",NOT(ISNUMBER($Q224))),"",IF($AP224&lt;&gt;"",$AP224,IFERROR(SUMIFS(TblClusters[RAM initiale (Go)],TblClusters[Cluster],$I224)*$Q224/(SUMIFS(TblApplications[RAM Dynatrace (Go)],TblApplications[Cluster IKS source],$I224,TblApplications[Action],"À migrer")+SUMIFS(TblApplications[RAM Dynatrace (Go)],TblApplications[Cluster IKS source],$I224,TblApplications[Action],"À décommissionner")),0)))</f>
        <v/>
      </c>
      <c r="U224" s="61"/>
      <c r="V224" s="61"/>
      <c r="W224" s="61"/>
      <c r="X224" s="59"/>
      <c r="Y224" s="26" t="str">
        <f t="shared" si="25"/>
        <v/>
      </c>
      <c r="Z224" s="26" t="str">
        <f t="shared" si="26"/>
        <v/>
      </c>
      <c r="AA224" s="33" t="str">
        <f t="shared" si="27"/>
        <v/>
      </c>
      <c r="AB224" s="33" t="str">
        <f t="shared" si="28"/>
        <v/>
      </c>
      <c r="AC224" s="26" t="str">
        <f t="shared" si="29"/>
        <v/>
      </c>
      <c r="AD224" s="26" t="str">
        <f>IF($C224="","",COUNTIF(TblApplications[ID],$C224))</f>
        <v/>
      </c>
      <c r="AE224" s="33" t="str">
        <f>IF($C224="","",IFERROR(1/(1/_xlfn.MINIFS(TblApplications[Mois prov (calc)],TblApplications[ID],$C224)),""))</f>
        <v/>
      </c>
      <c r="AF224" s="33" t="str">
        <f>IF($C224="","",IFERROR(1/(1/_xlfn.MAXIFS(TblApplications[Mois lib (calc)],TblApplications[ID],$C224)),""))</f>
        <v/>
      </c>
      <c r="AG224" s="26" t="str">
        <f>IF($C224="","",IF(OR(OR($A224="",$B224="",$D224="",$E224="",$F224="",$G224=""),AND($G224="À migrer",OR($H224="",$I224="",$O224="",$U224="",$V224="",$W224="")),AND($G224="Migré",OR($O224="")),AND($G224="À décommissionner",OR($I224="",$W224=""))),"Données manquantes (selon l’action)",IF(AND($G224&lt;&gt;"Migré",$G224&lt;&gt;"À migrer",$G224&lt;&gt;"À décommissionner",$G224&lt;&gt;"Décommissionné"),"Action invalide",IF(COUNTIF(TblDomaines[Domaine],$A224)=0,"Domaine inconnu (référentiel)",IF(COUNTIFS(TblTribes[Tribe],$B224,TblTribes[Domaine de la tribe],$A224)=0,"Tribe inconnue ou hors domaine",IF(AND($G224="À migrer",$H224&lt;&gt;"Oui",$H224&lt;&gt;"Non"),"Valeur Oui/Non invalide (Déjà incluse ROKS)",IF(AND($E224&lt;&gt;"PRD",$E224&lt;&gt;"NPRD"),"Environnement invalide",IF(COUNTIFS(TblApplications[ID],$C224,TblApplications[Environnement],$E224,TblApplications[Couloir],$F224)&gt;1,"Déploiement en doublon (ID + env + couloir)",IF(AND(OR(OR($G224="À migrer",$G224="Migré"),OR($G224="À migrer",$G224="À décommissionner")),N($P224)&lt;=0),"Conso Dynatrace absente (onglet Dynatrace)",IF(OR(AND($P224&lt;&gt;"",NOT(ISNUMBER($P224))),AND($Q224&lt;&gt;"",NOT(ISNUMBER($Q224)))),"Ressource non numérique",IF(MIN(N($P224),N($Q224))&lt;0,"Ressource négative",IF(OR(AND($AH224&lt;&gt;"",OR(NOT(ISNUMBER($AH224)),$AH224&lt;0,$AH224&gt;1)),AND($AI224&lt;&gt;"",OR(NOT(ISNUMBER($AI224)),$AI224&lt;0,$AI224&gt;1))),"Marge spécifique invalide (0–100 %)",IF(OR(AND($U224&lt;&gt;"",NOT(ISNUMBER($U224))),AND($V224&lt;&gt;"",NOT(ISNUMBER($V224))),AND($W224&lt;&gt;"",NOT(ISNUMBER($W224)))),"Mois invalide",IF(AND(OR($G224="À migrer",$G224="À décommissionner"),COUNTIFS(TblClusters[Cluster],$I224,TblClusters[Plateforme],"IKS")=0),"Cluster IKS inconnu",IF(AND(OR($G224="À migrer",$G224="Migré"),COUNTIFS(TblClusters[Cluster],$O224,TblClusters[Plateforme],"ROKS")=0),"Cluster ROKS inconnu",IF(AND(OR($G224="À migrer",$G224="À décommissionner"),COUNTIFS(TblClusters[Cluster],$I224,TblClusters[Environnement],$E224)=0),"Environnement ≠ cluster IKS",IF(AND(OR($G224="À migrer",$G224="Migré"),COUNTIFS(TblClusters[Cluster],$O224,TblClusters[Environnement],$E224)=0),"Environnement ≠ cluster ROKS",IF(AND($G224="À migrer",OR($U224&gt;$V224,$V224&gt;$W224)),"Dates incohérentes (prov ≤ bascule ≤ libération)",IF(AND(OR($G224="À migrer",$G224="À décommissionner"),OR(N($AO224)&gt;SUMIFS(TblClusters[CPU initial (vCPU)],TblClusters[Cluster],$I224),N($AP224)&gt;SUMIFS(TblClusters[RAM initiale (Go)],TblClusters[Cluster],$I224))),"Forçage &gt; capacité du cluster source",IF(OR(AND($AA224&lt;&gt;"",$AA224&lt;p_debut),AND($AB224&lt;&gt;"",$AB224&gt;p_fin)),"Hors horizon (info)",IF(AND($G224="À migrer",$E224="PRD",COUNTIFS(TblApplications[ID],$C224,TblApplications[Environnement],"NPRD",TblApplications[Action],"À migrer")&gt;0,$AA224&lt;_xlfn.MINIFS(TblApplications[Mois prov (calc)],TblApplications[ID],$C224,TblApplications[Environnement],"NPRD")),"PRD avant NPRD (info)","OK")))))))))))))))))))))</f>
        <v/>
      </c>
      <c r="AH224" s="62"/>
      <c r="AI224" s="62"/>
      <c r="AJ224" s="27" t="str">
        <f>IF(OR($C224="",NOT(OR($G224="À migrer",$G224="À décommissionner")),NOT(ISNUMBER($S224)),NOT(ISNUMBER($T224)),$AB224=""),"",($S224+p_poidsram*$T224)*SUMIFS(TblCalculs[Coût par unité],TblCalculs[Cluster],$I224,TblCalculs[Mois],"&lt;"&amp;$AB224))</f>
        <v/>
      </c>
      <c r="AK224" s="27" t="str">
        <f>IF($C224="","",IF(AND($G224="À migrer",$H224="Non",$Y224&lt;&gt;"",$AA224&lt;&gt;""),($Y224+p_poidsram*$Z224)*SUMIFS(TblCalculs[Coût par unité],TblCalculs[Cluster],$O224,TblCalculs[Mois],"&gt;="&amp;$AA224),IF(AND($G224="Migré",$Y224&lt;&gt;""),($Y224+p_poidsram*$Z224)*SUMIFS(TblCalculs[Coût par unité],TblCalculs[Cluster],$O224),"")))</f>
        <v/>
      </c>
      <c r="AL224" s="27" t="str">
        <f t="shared" si="30"/>
        <v/>
      </c>
      <c r="AM224" s="26" t="str">
        <f t="shared" si="31"/>
        <v/>
      </c>
      <c r="AN224" s="26" t="str">
        <f>IF(OR($C224="",$AM224&lt;&gt;1,COUNTIFS($E224,ex_envc,$A224,ex_domc,$B224,ex_tric)=0),"",COUNTIFS($AM$6:$AM224,1,$E$6:$E224,ex_envc,$A$6:$A224,ex_domc,$B$6:$B224,ex_tric))</f>
        <v/>
      </c>
      <c r="AO224" s="63"/>
      <c r="AP224" s="63"/>
      <c r="AQ224" s="63"/>
      <c r="AR224" s="63"/>
    </row>
    <row r="225" spans="1:44" x14ac:dyDescent="0.2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26" t="str">
        <f t="shared" si="24"/>
        <v/>
      </c>
      <c r="O225" s="59"/>
      <c r="P225" s="60" t="str">
        <f>IF($C225="","",IF($AQ225&lt;&gt;"",$AQ225,SUMIFS(TblDynatrace[CPU P95 (vCPU)],TblDynatrace[ID],$C225,TblDynatrace[Environnement],$E225,TblDynatrace[Couloir],$F225)))</f>
        <v/>
      </c>
      <c r="Q225" s="60" t="str">
        <f>IF($C225="","",IF($AR225&lt;&gt;"",$AR225,SUMIFS(TblDynatrace[RAM P95 (Go)],TblDynatrace[ID],$C225,TblDynatrace[Environnement],$E225,TblDynatrace[Couloir],$F225)))</f>
        <v/>
      </c>
      <c r="R225" s="26" t="str">
        <f>IF($C225="","",IFERROR(INDEX(TblDynatrace[Métrique / période],MATCH($C225&amp;"|"&amp;$E225&amp;"|"&amp;$F225,TblDynatrace[Clé],0)),""))</f>
        <v/>
      </c>
      <c r="S225" s="60" t="str">
        <f>IF(OR($C225="",NOT(OR($G225="À migrer",$G225="À décommissionner")),$I225="",NOT(ISNUMBER($P225))),"",IF($AO225&lt;&gt;"",$AO225,IFERROR(SUMIFS(TblClusters[CPU initial (vCPU)],TblClusters[Cluster],$I225)*$P225/(SUMIFS(TblApplications[CPU Dynatrace (vCPU)],TblApplications[Cluster IKS source],$I225,TblApplications[Action],"À migrer")+SUMIFS(TblApplications[CPU Dynatrace (vCPU)],TblApplications[Cluster IKS source],$I225,TblApplications[Action],"À décommissionner")),0)))</f>
        <v/>
      </c>
      <c r="T225" s="60" t="str">
        <f>IF(OR($C225="",NOT(OR($G225="À migrer",$G225="À décommissionner")),$I225="",NOT(ISNUMBER($Q225))),"",IF($AP225&lt;&gt;"",$AP225,IFERROR(SUMIFS(TblClusters[RAM initiale (Go)],TblClusters[Cluster],$I225)*$Q225/(SUMIFS(TblApplications[RAM Dynatrace (Go)],TblApplications[Cluster IKS source],$I225,TblApplications[Action],"À migrer")+SUMIFS(TblApplications[RAM Dynatrace (Go)],TblApplications[Cluster IKS source],$I225,TblApplications[Action],"À décommissionner")),0)))</f>
        <v/>
      </c>
      <c r="U225" s="61"/>
      <c r="V225" s="61"/>
      <c r="W225" s="61"/>
      <c r="X225" s="59"/>
      <c r="Y225" s="26" t="str">
        <f t="shared" si="25"/>
        <v/>
      </c>
      <c r="Z225" s="26" t="str">
        <f t="shared" si="26"/>
        <v/>
      </c>
      <c r="AA225" s="33" t="str">
        <f t="shared" si="27"/>
        <v/>
      </c>
      <c r="AB225" s="33" t="str">
        <f t="shared" si="28"/>
        <v/>
      </c>
      <c r="AC225" s="26" t="str">
        <f t="shared" si="29"/>
        <v/>
      </c>
      <c r="AD225" s="26" t="str">
        <f>IF($C225="","",COUNTIF(TblApplications[ID],$C225))</f>
        <v/>
      </c>
      <c r="AE225" s="33" t="str">
        <f>IF($C225="","",IFERROR(1/(1/_xlfn.MINIFS(TblApplications[Mois prov (calc)],TblApplications[ID],$C225)),""))</f>
        <v/>
      </c>
      <c r="AF225" s="33" t="str">
        <f>IF($C225="","",IFERROR(1/(1/_xlfn.MAXIFS(TblApplications[Mois lib (calc)],TblApplications[ID],$C225)),""))</f>
        <v/>
      </c>
      <c r="AG225" s="26" t="str">
        <f>IF($C225="","",IF(OR(OR($A225="",$B225="",$D225="",$E225="",$F225="",$G225=""),AND($G225="À migrer",OR($H225="",$I225="",$O225="",$U225="",$V225="",$W225="")),AND($G225="Migré",OR($O225="")),AND($G225="À décommissionner",OR($I225="",$W225=""))),"Données manquantes (selon l’action)",IF(AND($G225&lt;&gt;"Migré",$G225&lt;&gt;"À migrer",$G225&lt;&gt;"À décommissionner",$G225&lt;&gt;"Décommissionné"),"Action invalide",IF(COUNTIF(TblDomaines[Domaine],$A225)=0,"Domaine inconnu (référentiel)",IF(COUNTIFS(TblTribes[Tribe],$B225,TblTribes[Domaine de la tribe],$A225)=0,"Tribe inconnue ou hors domaine",IF(AND($G225="À migrer",$H225&lt;&gt;"Oui",$H225&lt;&gt;"Non"),"Valeur Oui/Non invalide (Déjà incluse ROKS)",IF(AND($E225&lt;&gt;"PRD",$E225&lt;&gt;"NPRD"),"Environnement invalide",IF(COUNTIFS(TblApplications[ID],$C225,TblApplications[Environnement],$E225,TblApplications[Couloir],$F225)&gt;1,"Déploiement en doublon (ID + env + couloir)",IF(AND(OR(OR($G225="À migrer",$G225="Migré"),OR($G225="À migrer",$G225="À décommissionner")),N($P225)&lt;=0),"Conso Dynatrace absente (onglet Dynatrace)",IF(OR(AND($P225&lt;&gt;"",NOT(ISNUMBER($P225))),AND($Q225&lt;&gt;"",NOT(ISNUMBER($Q225)))),"Ressource non numérique",IF(MIN(N($P225),N($Q225))&lt;0,"Ressource négative",IF(OR(AND($AH225&lt;&gt;"",OR(NOT(ISNUMBER($AH225)),$AH225&lt;0,$AH225&gt;1)),AND($AI225&lt;&gt;"",OR(NOT(ISNUMBER($AI225)),$AI225&lt;0,$AI225&gt;1))),"Marge spécifique invalide (0–100 %)",IF(OR(AND($U225&lt;&gt;"",NOT(ISNUMBER($U225))),AND($V225&lt;&gt;"",NOT(ISNUMBER($V225))),AND($W225&lt;&gt;"",NOT(ISNUMBER($W225)))),"Mois invalide",IF(AND(OR($G225="À migrer",$G225="À décommissionner"),COUNTIFS(TblClusters[Cluster],$I225,TblClusters[Plateforme],"IKS")=0),"Cluster IKS inconnu",IF(AND(OR($G225="À migrer",$G225="Migré"),COUNTIFS(TblClusters[Cluster],$O225,TblClusters[Plateforme],"ROKS")=0),"Cluster ROKS inconnu",IF(AND(OR($G225="À migrer",$G225="À décommissionner"),COUNTIFS(TblClusters[Cluster],$I225,TblClusters[Environnement],$E225)=0),"Environnement ≠ cluster IKS",IF(AND(OR($G225="À migrer",$G225="Migré"),COUNTIFS(TblClusters[Cluster],$O225,TblClusters[Environnement],$E225)=0),"Environnement ≠ cluster ROKS",IF(AND($G225="À migrer",OR($U225&gt;$V225,$V225&gt;$W225)),"Dates incohérentes (prov ≤ bascule ≤ libération)",IF(AND(OR($G225="À migrer",$G225="À décommissionner"),OR(N($AO225)&gt;SUMIFS(TblClusters[CPU initial (vCPU)],TblClusters[Cluster],$I225),N($AP225)&gt;SUMIFS(TblClusters[RAM initiale (Go)],TblClusters[Cluster],$I225))),"Forçage &gt; capacité du cluster source",IF(OR(AND($AA225&lt;&gt;"",$AA225&lt;p_debut),AND($AB225&lt;&gt;"",$AB225&gt;p_fin)),"Hors horizon (info)",IF(AND($G225="À migrer",$E225="PRD",COUNTIFS(TblApplications[ID],$C225,TblApplications[Environnement],"NPRD",TblApplications[Action],"À migrer")&gt;0,$AA225&lt;_xlfn.MINIFS(TblApplications[Mois prov (calc)],TblApplications[ID],$C225,TblApplications[Environnement],"NPRD")),"PRD avant NPRD (info)","OK")))))))))))))))))))))</f>
        <v/>
      </c>
      <c r="AH225" s="62"/>
      <c r="AI225" s="62"/>
      <c r="AJ225" s="27" t="str">
        <f>IF(OR($C225="",NOT(OR($G225="À migrer",$G225="À décommissionner")),NOT(ISNUMBER($S225)),NOT(ISNUMBER($T225)),$AB225=""),"",($S225+p_poidsram*$T225)*SUMIFS(TblCalculs[Coût par unité],TblCalculs[Cluster],$I225,TblCalculs[Mois],"&lt;"&amp;$AB225))</f>
        <v/>
      </c>
      <c r="AK225" s="27" t="str">
        <f>IF($C225="","",IF(AND($G225="À migrer",$H225="Non",$Y225&lt;&gt;"",$AA225&lt;&gt;""),($Y225+p_poidsram*$Z225)*SUMIFS(TblCalculs[Coût par unité],TblCalculs[Cluster],$O225,TblCalculs[Mois],"&gt;="&amp;$AA225),IF(AND($G225="Migré",$Y225&lt;&gt;""),($Y225+p_poidsram*$Z225)*SUMIFS(TblCalculs[Coût par unité],TblCalculs[Cluster],$O225),"")))</f>
        <v/>
      </c>
      <c r="AL225" s="27" t="str">
        <f t="shared" si="30"/>
        <v/>
      </c>
      <c r="AM225" s="26" t="str">
        <f t="shared" si="31"/>
        <v/>
      </c>
      <c r="AN225" s="26" t="str">
        <f>IF(OR($C225="",$AM225&lt;&gt;1,COUNTIFS($E225,ex_envc,$A225,ex_domc,$B225,ex_tric)=0),"",COUNTIFS($AM$6:$AM225,1,$E$6:$E225,ex_envc,$A$6:$A225,ex_domc,$B$6:$B225,ex_tric))</f>
        <v/>
      </c>
      <c r="AO225" s="63"/>
      <c r="AP225" s="63"/>
      <c r="AQ225" s="63"/>
      <c r="AR225" s="63"/>
    </row>
    <row r="226" spans="1:44" x14ac:dyDescent="0.2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26" t="str">
        <f t="shared" si="24"/>
        <v/>
      </c>
      <c r="O226" s="59"/>
      <c r="P226" s="60" t="str">
        <f>IF($C226="","",IF($AQ226&lt;&gt;"",$AQ226,SUMIFS(TblDynatrace[CPU P95 (vCPU)],TblDynatrace[ID],$C226,TblDynatrace[Environnement],$E226,TblDynatrace[Couloir],$F226)))</f>
        <v/>
      </c>
      <c r="Q226" s="60" t="str">
        <f>IF($C226="","",IF($AR226&lt;&gt;"",$AR226,SUMIFS(TblDynatrace[RAM P95 (Go)],TblDynatrace[ID],$C226,TblDynatrace[Environnement],$E226,TblDynatrace[Couloir],$F226)))</f>
        <v/>
      </c>
      <c r="R226" s="26" t="str">
        <f>IF($C226="","",IFERROR(INDEX(TblDynatrace[Métrique / période],MATCH($C226&amp;"|"&amp;$E226&amp;"|"&amp;$F226,TblDynatrace[Clé],0)),""))</f>
        <v/>
      </c>
      <c r="S226" s="60" t="str">
        <f>IF(OR($C226="",NOT(OR($G226="À migrer",$G226="À décommissionner")),$I226="",NOT(ISNUMBER($P226))),"",IF($AO226&lt;&gt;"",$AO226,IFERROR(SUMIFS(TblClusters[CPU initial (vCPU)],TblClusters[Cluster],$I226)*$P226/(SUMIFS(TblApplications[CPU Dynatrace (vCPU)],TblApplications[Cluster IKS source],$I226,TblApplications[Action],"À migrer")+SUMIFS(TblApplications[CPU Dynatrace (vCPU)],TblApplications[Cluster IKS source],$I226,TblApplications[Action],"À décommissionner")),0)))</f>
        <v/>
      </c>
      <c r="T226" s="60" t="str">
        <f>IF(OR($C226="",NOT(OR($G226="À migrer",$G226="À décommissionner")),$I226="",NOT(ISNUMBER($Q226))),"",IF($AP226&lt;&gt;"",$AP226,IFERROR(SUMIFS(TblClusters[RAM initiale (Go)],TblClusters[Cluster],$I226)*$Q226/(SUMIFS(TblApplications[RAM Dynatrace (Go)],TblApplications[Cluster IKS source],$I226,TblApplications[Action],"À migrer")+SUMIFS(TblApplications[RAM Dynatrace (Go)],TblApplications[Cluster IKS source],$I226,TblApplications[Action],"À décommissionner")),0)))</f>
        <v/>
      </c>
      <c r="U226" s="61"/>
      <c r="V226" s="61"/>
      <c r="W226" s="61"/>
      <c r="X226" s="59"/>
      <c r="Y226" s="26" t="str">
        <f t="shared" si="25"/>
        <v/>
      </c>
      <c r="Z226" s="26" t="str">
        <f t="shared" si="26"/>
        <v/>
      </c>
      <c r="AA226" s="33" t="str">
        <f t="shared" si="27"/>
        <v/>
      </c>
      <c r="AB226" s="33" t="str">
        <f t="shared" si="28"/>
        <v/>
      </c>
      <c r="AC226" s="26" t="str">
        <f t="shared" si="29"/>
        <v/>
      </c>
      <c r="AD226" s="26" t="str">
        <f>IF($C226="","",COUNTIF(TblApplications[ID],$C226))</f>
        <v/>
      </c>
      <c r="AE226" s="33" t="str">
        <f>IF($C226="","",IFERROR(1/(1/_xlfn.MINIFS(TblApplications[Mois prov (calc)],TblApplications[ID],$C226)),""))</f>
        <v/>
      </c>
      <c r="AF226" s="33" t="str">
        <f>IF($C226="","",IFERROR(1/(1/_xlfn.MAXIFS(TblApplications[Mois lib (calc)],TblApplications[ID],$C226)),""))</f>
        <v/>
      </c>
      <c r="AG226" s="26" t="str">
        <f>IF($C226="","",IF(OR(OR($A226="",$B226="",$D226="",$E226="",$F226="",$G226=""),AND($G226="À migrer",OR($H226="",$I226="",$O226="",$U226="",$V226="",$W226="")),AND($G226="Migré",OR($O226="")),AND($G226="À décommissionner",OR($I226="",$W226=""))),"Données manquantes (selon l’action)",IF(AND($G226&lt;&gt;"Migré",$G226&lt;&gt;"À migrer",$G226&lt;&gt;"À décommissionner",$G226&lt;&gt;"Décommissionné"),"Action invalide",IF(COUNTIF(TblDomaines[Domaine],$A226)=0,"Domaine inconnu (référentiel)",IF(COUNTIFS(TblTribes[Tribe],$B226,TblTribes[Domaine de la tribe],$A226)=0,"Tribe inconnue ou hors domaine",IF(AND($G226="À migrer",$H226&lt;&gt;"Oui",$H226&lt;&gt;"Non"),"Valeur Oui/Non invalide (Déjà incluse ROKS)",IF(AND($E226&lt;&gt;"PRD",$E226&lt;&gt;"NPRD"),"Environnement invalide",IF(COUNTIFS(TblApplications[ID],$C226,TblApplications[Environnement],$E226,TblApplications[Couloir],$F226)&gt;1,"Déploiement en doublon (ID + env + couloir)",IF(AND(OR(OR($G226="À migrer",$G226="Migré"),OR($G226="À migrer",$G226="À décommissionner")),N($P226)&lt;=0),"Conso Dynatrace absente (onglet Dynatrace)",IF(OR(AND($P226&lt;&gt;"",NOT(ISNUMBER($P226))),AND($Q226&lt;&gt;"",NOT(ISNUMBER($Q226)))),"Ressource non numérique",IF(MIN(N($P226),N($Q226))&lt;0,"Ressource négative",IF(OR(AND($AH226&lt;&gt;"",OR(NOT(ISNUMBER($AH226)),$AH226&lt;0,$AH226&gt;1)),AND($AI226&lt;&gt;"",OR(NOT(ISNUMBER($AI226)),$AI226&lt;0,$AI226&gt;1))),"Marge spécifique invalide (0–100 %)",IF(OR(AND($U226&lt;&gt;"",NOT(ISNUMBER($U226))),AND($V226&lt;&gt;"",NOT(ISNUMBER($V226))),AND($W226&lt;&gt;"",NOT(ISNUMBER($W226)))),"Mois invalide",IF(AND(OR($G226="À migrer",$G226="À décommissionner"),COUNTIFS(TblClusters[Cluster],$I226,TblClusters[Plateforme],"IKS")=0),"Cluster IKS inconnu",IF(AND(OR($G226="À migrer",$G226="Migré"),COUNTIFS(TblClusters[Cluster],$O226,TblClusters[Plateforme],"ROKS")=0),"Cluster ROKS inconnu",IF(AND(OR($G226="À migrer",$G226="À décommissionner"),COUNTIFS(TblClusters[Cluster],$I226,TblClusters[Environnement],$E226)=0),"Environnement ≠ cluster IKS",IF(AND(OR($G226="À migrer",$G226="Migré"),COUNTIFS(TblClusters[Cluster],$O226,TblClusters[Environnement],$E226)=0),"Environnement ≠ cluster ROKS",IF(AND($G226="À migrer",OR($U226&gt;$V226,$V226&gt;$W226)),"Dates incohérentes (prov ≤ bascule ≤ libération)",IF(AND(OR($G226="À migrer",$G226="À décommissionner"),OR(N($AO226)&gt;SUMIFS(TblClusters[CPU initial (vCPU)],TblClusters[Cluster],$I226),N($AP226)&gt;SUMIFS(TblClusters[RAM initiale (Go)],TblClusters[Cluster],$I226))),"Forçage &gt; capacité du cluster source",IF(OR(AND($AA226&lt;&gt;"",$AA226&lt;p_debut),AND($AB226&lt;&gt;"",$AB226&gt;p_fin)),"Hors horizon (info)",IF(AND($G226="À migrer",$E226="PRD",COUNTIFS(TblApplications[ID],$C226,TblApplications[Environnement],"NPRD",TblApplications[Action],"À migrer")&gt;0,$AA226&lt;_xlfn.MINIFS(TblApplications[Mois prov (calc)],TblApplications[ID],$C226,TblApplications[Environnement],"NPRD")),"PRD avant NPRD (info)","OK")))))))))))))))))))))</f>
        <v/>
      </c>
      <c r="AH226" s="62"/>
      <c r="AI226" s="62"/>
      <c r="AJ226" s="27" t="str">
        <f>IF(OR($C226="",NOT(OR($G226="À migrer",$G226="À décommissionner")),NOT(ISNUMBER($S226)),NOT(ISNUMBER($T226)),$AB226=""),"",($S226+p_poidsram*$T226)*SUMIFS(TblCalculs[Coût par unité],TblCalculs[Cluster],$I226,TblCalculs[Mois],"&lt;"&amp;$AB226))</f>
        <v/>
      </c>
      <c r="AK226" s="27" t="str">
        <f>IF($C226="","",IF(AND($G226="À migrer",$H226="Non",$Y226&lt;&gt;"",$AA226&lt;&gt;""),($Y226+p_poidsram*$Z226)*SUMIFS(TblCalculs[Coût par unité],TblCalculs[Cluster],$O226,TblCalculs[Mois],"&gt;="&amp;$AA226),IF(AND($G226="Migré",$Y226&lt;&gt;""),($Y226+p_poidsram*$Z226)*SUMIFS(TblCalculs[Coût par unité],TblCalculs[Cluster],$O226),"")))</f>
        <v/>
      </c>
      <c r="AL226" s="27" t="str">
        <f t="shared" si="30"/>
        <v/>
      </c>
      <c r="AM226" s="26" t="str">
        <f t="shared" si="31"/>
        <v/>
      </c>
      <c r="AN226" s="26" t="str">
        <f>IF(OR($C226="",$AM226&lt;&gt;1,COUNTIFS($E226,ex_envc,$A226,ex_domc,$B226,ex_tric)=0),"",COUNTIFS($AM$6:$AM226,1,$E$6:$E226,ex_envc,$A$6:$A226,ex_domc,$B$6:$B226,ex_tric))</f>
        <v/>
      </c>
      <c r="AO226" s="63"/>
      <c r="AP226" s="63"/>
      <c r="AQ226" s="63"/>
      <c r="AR226" s="63"/>
    </row>
    <row r="227" spans="1:44" x14ac:dyDescent="0.2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26" t="str">
        <f t="shared" si="24"/>
        <v/>
      </c>
      <c r="O227" s="59"/>
      <c r="P227" s="60" t="str">
        <f>IF($C227="","",IF($AQ227&lt;&gt;"",$AQ227,SUMIFS(TblDynatrace[CPU P95 (vCPU)],TblDynatrace[ID],$C227,TblDynatrace[Environnement],$E227,TblDynatrace[Couloir],$F227)))</f>
        <v/>
      </c>
      <c r="Q227" s="60" t="str">
        <f>IF($C227="","",IF($AR227&lt;&gt;"",$AR227,SUMIFS(TblDynatrace[RAM P95 (Go)],TblDynatrace[ID],$C227,TblDynatrace[Environnement],$E227,TblDynatrace[Couloir],$F227)))</f>
        <v/>
      </c>
      <c r="R227" s="26" t="str">
        <f>IF($C227="","",IFERROR(INDEX(TblDynatrace[Métrique / période],MATCH($C227&amp;"|"&amp;$E227&amp;"|"&amp;$F227,TblDynatrace[Clé],0)),""))</f>
        <v/>
      </c>
      <c r="S227" s="60" t="str">
        <f>IF(OR($C227="",NOT(OR($G227="À migrer",$G227="À décommissionner")),$I227="",NOT(ISNUMBER($P227))),"",IF($AO227&lt;&gt;"",$AO227,IFERROR(SUMIFS(TblClusters[CPU initial (vCPU)],TblClusters[Cluster],$I227)*$P227/(SUMIFS(TblApplications[CPU Dynatrace (vCPU)],TblApplications[Cluster IKS source],$I227,TblApplications[Action],"À migrer")+SUMIFS(TblApplications[CPU Dynatrace (vCPU)],TblApplications[Cluster IKS source],$I227,TblApplications[Action],"À décommissionner")),0)))</f>
        <v/>
      </c>
      <c r="T227" s="60" t="str">
        <f>IF(OR($C227="",NOT(OR($G227="À migrer",$G227="À décommissionner")),$I227="",NOT(ISNUMBER($Q227))),"",IF($AP227&lt;&gt;"",$AP227,IFERROR(SUMIFS(TblClusters[RAM initiale (Go)],TblClusters[Cluster],$I227)*$Q227/(SUMIFS(TblApplications[RAM Dynatrace (Go)],TblApplications[Cluster IKS source],$I227,TblApplications[Action],"À migrer")+SUMIFS(TblApplications[RAM Dynatrace (Go)],TblApplications[Cluster IKS source],$I227,TblApplications[Action],"À décommissionner")),0)))</f>
        <v/>
      </c>
      <c r="U227" s="61"/>
      <c r="V227" s="61"/>
      <c r="W227" s="61"/>
      <c r="X227" s="59"/>
      <c r="Y227" s="26" t="str">
        <f t="shared" si="25"/>
        <v/>
      </c>
      <c r="Z227" s="26" t="str">
        <f t="shared" si="26"/>
        <v/>
      </c>
      <c r="AA227" s="33" t="str">
        <f t="shared" si="27"/>
        <v/>
      </c>
      <c r="AB227" s="33" t="str">
        <f t="shared" si="28"/>
        <v/>
      </c>
      <c r="AC227" s="26" t="str">
        <f t="shared" si="29"/>
        <v/>
      </c>
      <c r="AD227" s="26" t="str">
        <f>IF($C227="","",COUNTIF(TblApplications[ID],$C227))</f>
        <v/>
      </c>
      <c r="AE227" s="33" t="str">
        <f>IF($C227="","",IFERROR(1/(1/_xlfn.MINIFS(TblApplications[Mois prov (calc)],TblApplications[ID],$C227)),""))</f>
        <v/>
      </c>
      <c r="AF227" s="33" t="str">
        <f>IF($C227="","",IFERROR(1/(1/_xlfn.MAXIFS(TblApplications[Mois lib (calc)],TblApplications[ID],$C227)),""))</f>
        <v/>
      </c>
      <c r="AG227" s="26" t="str">
        <f>IF($C227="","",IF(OR(OR($A227="",$B227="",$D227="",$E227="",$F227="",$G227=""),AND($G227="À migrer",OR($H227="",$I227="",$O227="",$U227="",$V227="",$W227="")),AND($G227="Migré",OR($O227="")),AND($G227="À décommissionner",OR($I227="",$W227=""))),"Données manquantes (selon l’action)",IF(AND($G227&lt;&gt;"Migré",$G227&lt;&gt;"À migrer",$G227&lt;&gt;"À décommissionner",$G227&lt;&gt;"Décommissionné"),"Action invalide",IF(COUNTIF(TblDomaines[Domaine],$A227)=0,"Domaine inconnu (référentiel)",IF(COUNTIFS(TblTribes[Tribe],$B227,TblTribes[Domaine de la tribe],$A227)=0,"Tribe inconnue ou hors domaine",IF(AND($G227="À migrer",$H227&lt;&gt;"Oui",$H227&lt;&gt;"Non"),"Valeur Oui/Non invalide (Déjà incluse ROKS)",IF(AND($E227&lt;&gt;"PRD",$E227&lt;&gt;"NPRD"),"Environnement invalide",IF(COUNTIFS(TblApplications[ID],$C227,TblApplications[Environnement],$E227,TblApplications[Couloir],$F227)&gt;1,"Déploiement en doublon (ID + env + couloir)",IF(AND(OR(OR($G227="À migrer",$G227="Migré"),OR($G227="À migrer",$G227="À décommissionner")),N($P227)&lt;=0),"Conso Dynatrace absente (onglet Dynatrace)",IF(OR(AND($P227&lt;&gt;"",NOT(ISNUMBER($P227))),AND($Q227&lt;&gt;"",NOT(ISNUMBER($Q227)))),"Ressource non numérique",IF(MIN(N($P227),N($Q227))&lt;0,"Ressource négative",IF(OR(AND($AH227&lt;&gt;"",OR(NOT(ISNUMBER($AH227)),$AH227&lt;0,$AH227&gt;1)),AND($AI227&lt;&gt;"",OR(NOT(ISNUMBER($AI227)),$AI227&lt;0,$AI227&gt;1))),"Marge spécifique invalide (0–100 %)",IF(OR(AND($U227&lt;&gt;"",NOT(ISNUMBER($U227))),AND($V227&lt;&gt;"",NOT(ISNUMBER($V227))),AND($W227&lt;&gt;"",NOT(ISNUMBER($W227)))),"Mois invalide",IF(AND(OR($G227="À migrer",$G227="À décommissionner"),COUNTIFS(TblClusters[Cluster],$I227,TblClusters[Plateforme],"IKS")=0),"Cluster IKS inconnu",IF(AND(OR($G227="À migrer",$G227="Migré"),COUNTIFS(TblClusters[Cluster],$O227,TblClusters[Plateforme],"ROKS")=0),"Cluster ROKS inconnu",IF(AND(OR($G227="À migrer",$G227="À décommissionner"),COUNTIFS(TblClusters[Cluster],$I227,TblClusters[Environnement],$E227)=0),"Environnement ≠ cluster IKS",IF(AND(OR($G227="À migrer",$G227="Migré"),COUNTIFS(TblClusters[Cluster],$O227,TblClusters[Environnement],$E227)=0),"Environnement ≠ cluster ROKS",IF(AND($G227="À migrer",OR($U227&gt;$V227,$V227&gt;$W227)),"Dates incohérentes (prov ≤ bascule ≤ libération)",IF(AND(OR($G227="À migrer",$G227="À décommissionner"),OR(N($AO227)&gt;SUMIFS(TblClusters[CPU initial (vCPU)],TblClusters[Cluster],$I227),N($AP227)&gt;SUMIFS(TblClusters[RAM initiale (Go)],TblClusters[Cluster],$I227))),"Forçage &gt; capacité du cluster source",IF(OR(AND($AA227&lt;&gt;"",$AA227&lt;p_debut),AND($AB227&lt;&gt;"",$AB227&gt;p_fin)),"Hors horizon (info)",IF(AND($G227="À migrer",$E227="PRD",COUNTIFS(TblApplications[ID],$C227,TblApplications[Environnement],"NPRD",TblApplications[Action],"À migrer")&gt;0,$AA227&lt;_xlfn.MINIFS(TblApplications[Mois prov (calc)],TblApplications[ID],$C227,TblApplications[Environnement],"NPRD")),"PRD avant NPRD (info)","OK")))))))))))))))))))))</f>
        <v/>
      </c>
      <c r="AH227" s="62"/>
      <c r="AI227" s="62"/>
      <c r="AJ227" s="27" t="str">
        <f>IF(OR($C227="",NOT(OR($G227="À migrer",$G227="À décommissionner")),NOT(ISNUMBER($S227)),NOT(ISNUMBER($T227)),$AB227=""),"",($S227+p_poidsram*$T227)*SUMIFS(TblCalculs[Coût par unité],TblCalculs[Cluster],$I227,TblCalculs[Mois],"&lt;"&amp;$AB227))</f>
        <v/>
      </c>
      <c r="AK227" s="27" t="str">
        <f>IF($C227="","",IF(AND($G227="À migrer",$H227="Non",$Y227&lt;&gt;"",$AA227&lt;&gt;""),($Y227+p_poidsram*$Z227)*SUMIFS(TblCalculs[Coût par unité],TblCalculs[Cluster],$O227,TblCalculs[Mois],"&gt;="&amp;$AA227),IF(AND($G227="Migré",$Y227&lt;&gt;""),($Y227+p_poidsram*$Z227)*SUMIFS(TblCalculs[Coût par unité],TblCalculs[Cluster],$O227),"")))</f>
        <v/>
      </c>
      <c r="AL227" s="27" t="str">
        <f t="shared" si="30"/>
        <v/>
      </c>
      <c r="AM227" s="26" t="str">
        <f t="shared" si="31"/>
        <v/>
      </c>
      <c r="AN227" s="26" t="str">
        <f>IF(OR($C227="",$AM227&lt;&gt;1,COUNTIFS($E227,ex_envc,$A227,ex_domc,$B227,ex_tric)=0),"",COUNTIFS($AM$6:$AM227,1,$E$6:$E227,ex_envc,$A$6:$A227,ex_domc,$B$6:$B227,ex_tric))</f>
        <v/>
      </c>
      <c r="AO227" s="63"/>
      <c r="AP227" s="63"/>
      <c r="AQ227" s="63"/>
      <c r="AR227" s="63"/>
    </row>
    <row r="228" spans="1:44" x14ac:dyDescent="0.2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26" t="str">
        <f t="shared" si="24"/>
        <v/>
      </c>
      <c r="O228" s="59"/>
      <c r="P228" s="60" t="str">
        <f>IF($C228="","",IF($AQ228&lt;&gt;"",$AQ228,SUMIFS(TblDynatrace[CPU P95 (vCPU)],TblDynatrace[ID],$C228,TblDynatrace[Environnement],$E228,TblDynatrace[Couloir],$F228)))</f>
        <v/>
      </c>
      <c r="Q228" s="60" t="str">
        <f>IF($C228="","",IF($AR228&lt;&gt;"",$AR228,SUMIFS(TblDynatrace[RAM P95 (Go)],TblDynatrace[ID],$C228,TblDynatrace[Environnement],$E228,TblDynatrace[Couloir],$F228)))</f>
        <v/>
      </c>
      <c r="R228" s="26" t="str">
        <f>IF($C228="","",IFERROR(INDEX(TblDynatrace[Métrique / période],MATCH($C228&amp;"|"&amp;$E228&amp;"|"&amp;$F228,TblDynatrace[Clé],0)),""))</f>
        <v/>
      </c>
      <c r="S228" s="60" t="str">
        <f>IF(OR($C228="",NOT(OR($G228="À migrer",$G228="À décommissionner")),$I228="",NOT(ISNUMBER($P228))),"",IF($AO228&lt;&gt;"",$AO228,IFERROR(SUMIFS(TblClusters[CPU initial (vCPU)],TblClusters[Cluster],$I228)*$P228/(SUMIFS(TblApplications[CPU Dynatrace (vCPU)],TblApplications[Cluster IKS source],$I228,TblApplications[Action],"À migrer")+SUMIFS(TblApplications[CPU Dynatrace (vCPU)],TblApplications[Cluster IKS source],$I228,TblApplications[Action],"À décommissionner")),0)))</f>
        <v/>
      </c>
      <c r="T228" s="60" t="str">
        <f>IF(OR($C228="",NOT(OR($G228="À migrer",$G228="À décommissionner")),$I228="",NOT(ISNUMBER($Q228))),"",IF($AP228&lt;&gt;"",$AP228,IFERROR(SUMIFS(TblClusters[RAM initiale (Go)],TblClusters[Cluster],$I228)*$Q228/(SUMIFS(TblApplications[RAM Dynatrace (Go)],TblApplications[Cluster IKS source],$I228,TblApplications[Action],"À migrer")+SUMIFS(TblApplications[RAM Dynatrace (Go)],TblApplications[Cluster IKS source],$I228,TblApplications[Action],"À décommissionner")),0)))</f>
        <v/>
      </c>
      <c r="U228" s="61"/>
      <c r="V228" s="61"/>
      <c r="W228" s="61"/>
      <c r="X228" s="59"/>
      <c r="Y228" s="26" t="str">
        <f t="shared" si="25"/>
        <v/>
      </c>
      <c r="Z228" s="26" t="str">
        <f t="shared" si="26"/>
        <v/>
      </c>
      <c r="AA228" s="33" t="str">
        <f t="shared" si="27"/>
        <v/>
      </c>
      <c r="AB228" s="33" t="str">
        <f t="shared" si="28"/>
        <v/>
      </c>
      <c r="AC228" s="26" t="str">
        <f t="shared" si="29"/>
        <v/>
      </c>
      <c r="AD228" s="26" t="str">
        <f>IF($C228="","",COUNTIF(TblApplications[ID],$C228))</f>
        <v/>
      </c>
      <c r="AE228" s="33" t="str">
        <f>IF($C228="","",IFERROR(1/(1/_xlfn.MINIFS(TblApplications[Mois prov (calc)],TblApplications[ID],$C228)),""))</f>
        <v/>
      </c>
      <c r="AF228" s="33" t="str">
        <f>IF($C228="","",IFERROR(1/(1/_xlfn.MAXIFS(TblApplications[Mois lib (calc)],TblApplications[ID],$C228)),""))</f>
        <v/>
      </c>
      <c r="AG228" s="26" t="str">
        <f>IF($C228="","",IF(OR(OR($A228="",$B228="",$D228="",$E228="",$F228="",$G228=""),AND($G228="À migrer",OR($H228="",$I228="",$O228="",$U228="",$V228="",$W228="")),AND($G228="Migré",OR($O228="")),AND($G228="À décommissionner",OR($I228="",$W228=""))),"Données manquantes (selon l’action)",IF(AND($G228&lt;&gt;"Migré",$G228&lt;&gt;"À migrer",$G228&lt;&gt;"À décommissionner",$G228&lt;&gt;"Décommissionné"),"Action invalide",IF(COUNTIF(TblDomaines[Domaine],$A228)=0,"Domaine inconnu (référentiel)",IF(COUNTIFS(TblTribes[Tribe],$B228,TblTribes[Domaine de la tribe],$A228)=0,"Tribe inconnue ou hors domaine",IF(AND($G228="À migrer",$H228&lt;&gt;"Oui",$H228&lt;&gt;"Non"),"Valeur Oui/Non invalide (Déjà incluse ROKS)",IF(AND($E228&lt;&gt;"PRD",$E228&lt;&gt;"NPRD"),"Environnement invalide",IF(COUNTIFS(TblApplications[ID],$C228,TblApplications[Environnement],$E228,TblApplications[Couloir],$F228)&gt;1,"Déploiement en doublon (ID + env + couloir)",IF(AND(OR(OR($G228="À migrer",$G228="Migré"),OR($G228="À migrer",$G228="À décommissionner")),N($P228)&lt;=0),"Conso Dynatrace absente (onglet Dynatrace)",IF(OR(AND($P228&lt;&gt;"",NOT(ISNUMBER($P228))),AND($Q228&lt;&gt;"",NOT(ISNUMBER($Q228)))),"Ressource non numérique",IF(MIN(N($P228),N($Q228))&lt;0,"Ressource négative",IF(OR(AND($AH228&lt;&gt;"",OR(NOT(ISNUMBER($AH228)),$AH228&lt;0,$AH228&gt;1)),AND($AI228&lt;&gt;"",OR(NOT(ISNUMBER($AI228)),$AI228&lt;0,$AI228&gt;1))),"Marge spécifique invalide (0–100 %)",IF(OR(AND($U228&lt;&gt;"",NOT(ISNUMBER($U228))),AND($V228&lt;&gt;"",NOT(ISNUMBER($V228))),AND($W228&lt;&gt;"",NOT(ISNUMBER($W228)))),"Mois invalide",IF(AND(OR($G228="À migrer",$G228="À décommissionner"),COUNTIFS(TblClusters[Cluster],$I228,TblClusters[Plateforme],"IKS")=0),"Cluster IKS inconnu",IF(AND(OR($G228="À migrer",$G228="Migré"),COUNTIFS(TblClusters[Cluster],$O228,TblClusters[Plateforme],"ROKS")=0),"Cluster ROKS inconnu",IF(AND(OR($G228="À migrer",$G228="À décommissionner"),COUNTIFS(TblClusters[Cluster],$I228,TblClusters[Environnement],$E228)=0),"Environnement ≠ cluster IKS",IF(AND(OR($G228="À migrer",$G228="Migré"),COUNTIFS(TblClusters[Cluster],$O228,TblClusters[Environnement],$E228)=0),"Environnement ≠ cluster ROKS",IF(AND($G228="À migrer",OR($U228&gt;$V228,$V228&gt;$W228)),"Dates incohérentes (prov ≤ bascule ≤ libération)",IF(AND(OR($G228="À migrer",$G228="À décommissionner"),OR(N($AO228)&gt;SUMIFS(TblClusters[CPU initial (vCPU)],TblClusters[Cluster],$I228),N($AP228)&gt;SUMIFS(TblClusters[RAM initiale (Go)],TblClusters[Cluster],$I228))),"Forçage &gt; capacité du cluster source",IF(OR(AND($AA228&lt;&gt;"",$AA228&lt;p_debut),AND($AB228&lt;&gt;"",$AB228&gt;p_fin)),"Hors horizon (info)",IF(AND($G228="À migrer",$E228="PRD",COUNTIFS(TblApplications[ID],$C228,TblApplications[Environnement],"NPRD",TblApplications[Action],"À migrer")&gt;0,$AA228&lt;_xlfn.MINIFS(TblApplications[Mois prov (calc)],TblApplications[ID],$C228,TblApplications[Environnement],"NPRD")),"PRD avant NPRD (info)","OK")))))))))))))))))))))</f>
        <v/>
      </c>
      <c r="AH228" s="62"/>
      <c r="AI228" s="62"/>
      <c r="AJ228" s="27" t="str">
        <f>IF(OR($C228="",NOT(OR($G228="À migrer",$G228="À décommissionner")),NOT(ISNUMBER($S228)),NOT(ISNUMBER($T228)),$AB228=""),"",($S228+p_poidsram*$T228)*SUMIFS(TblCalculs[Coût par unité],TblCalculs[Cluster],$I228,TblCalculs[Mois],"&lt;"&amp;$AB228))</f>
        <v/>
      </c>
      <c r="AK228" s="27" t="str">
        <f>IF($C228="","",IF(AND($G228="À migrer",$H228="Non",$Y228&lt;&gt;"",$AA228&lt;&gt;""),($Y228+p_poidsram*$Z228)*SUMIFS(TblCalculs[Coût par unité],TblCalculs[Cluster],$O228,TblCalculs[Mois],"&gt;="&amp;$AA228),IF(AND($G228="Migré",$Y228&lt;&gt;""),($Y228+p_poidsram*$Z228)*SUMIFS(TblCalculs[Coût par unité],TblCalculs[Cluster],$O228),"")))</f>
        <v/>
      </c>
      <c r="AL228" s="27" t="str">
        <f t="shared" si="30"/>
        <v/>
      </c>
      <c r="AM228" s="26" t="str">
        <f t="shared" si="31"/>
        <v/>
      </c>
      <c r="AN228" s="26" t="str">
        <f>IF(OR($C228="",$AM228&lt;&gt;1,COUNTIFS($E228,ex_envc,$A228,ex_domc,$B228,ex_tric)=0),"",COUNTIFS($AM$6:$AM228,1,$E$6:$E228,ex_envc,$A$6:$A228,ex_domc,$B$6:$B228,ex_tric))</f>
        <v/>
      </c>
      <c r="AO228" s="63"/>
      <c r="AP228" s="63"/>
      <c r="AQ228" s="63"/>
      <c r="AR228" s="63"/>
    </row>
    <row r="229" spans="1:44" x14ac:dyDescent="0.2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26" t="str">
        <f t="shared" si="24"/>
        <v/>
      </c>
      <c r="O229" s="59"/>
      <c r="P229" s="60" t="str">
        <f>IF($C229="","",IF($AQ229&lt;&gt;"",$AQ229,SUMIFS(TblDynatrace[CPU P95 (vCPU)],TblDynatrace[ID],$C229,TblDynatrace[Environnement],$E229,TblDynatrace[Couloir],$F229)))</f>
        <v/>
      </c>
      <c r="Q229" s="60" t="str">
        <f>IF($C229="","",IF($AR229&lt;&gt;"",$AR229,SUMIFS(TblDynatrace[RAM P95 (Go)],TblDynatrace[ID],$C229,TblDynatrace[Environnement],$E229,TblDynatrace[Couloir],$F229)))</f>
        <v/>
      </c>
      <c r="R229" s="26" t="str">
        <f>IF($C229="","",IFERROR(INDEX(TblDynatrace[Métrique / période],MATCH($C229&amp;"|"&amp;$E229&amp;"|"&amp;$F229,TblDynatrace[Clé],0)),""))</f>
        <v/>
      </c>
      <c r="S229" s="60" t="str">
        <f>IF(OR($C229="",NOT(OR($G229="À migrer",$G229="À décommissionner")),$I229="",NOT(ISNUMBER($P229))),"",IF($AO229&lt;&gt;"",$AO229,IFERROR(SUMIFS(TblClusters[CPU initial (vCPU)],TblClusters[Cluster],$I229)*$P229/(SUMIFS(TblApplications[CPU Dynatrace (vCPU)],TblApplications[Cluster IKS source],$I229,TblApplications[Action],"À migrer")+SUMIFS(TblApplications[CPU Dynatrace (vCPU)],TblApplications[Cluster IKS source],$I229,TblApplications[Action],"À décommissionner")),0)))</f>
        <v/>
      </c>
      <c r="T229" s="60" t="str">
        <f>IF(OR($C229="",NOT(OR($G229="À migrer",$G229="À décommissionner")),$I229="",NOT(ISNUMBER($Q229))),"",IF($AP229&lt;&gt;"",$AP229,IFERROR(SUMIFS(TblClusters[RAM initiale (Go)],TblClusters[Cluster],$I229)*$Q229/(SUMIFS(TblApplications[RAM Dynatrace (Go)],TblApplications[Cluster IKS source],$I229,TblApplications[Action],"À migrer")+SUMIFS(TblApplications[RAM Dynatrace (Go)],TblApplications[Cluster IKS source],$I229,TblApplications[Action],"À décommissionner")),0)))</f>
        <v/>
      </c>
      <c r="U229" s="61"/>
      <c r="V229" s="61"/>
      <c r="W229" s="61"/>
      <c r="X229" s="59"/>
      <c r="Y229" s="26" t="str">
        <f t="shared" si="25"/>
        <v/>
      </c>
      <c r="Z229" s="26" t="str">
        <f t="shared" si="26"/>
        <v/>
      </c>
      <c r="AA229" s="33" t="str">
        <f t="shared" si="27"/>
        <v/>
      </c>
      <c r="AB229" s="33" t="str">
        <f t="shared" si="28"/>
        <v/>
      </c>
      <c r="AC229" s="26" t="str">
        <f t="shared" si="29"/>
        <v/>
      </c>
      <c r="AD229" s="26" t="str">
        <f>IF($C229="","",COUNTIF(TblApplications[ID],$C229))</f>
        <v/>
      </c>
      <c r="AE229" s="33" t="str">
        <f>IF($C229="","",IFERROR(1/(1/_xlfn.MINIFS(TblApplications[Mois prov (calc)],TblApplications[ID],$C229)),""))</f>
        <v/>
      </c>
      <c r="AF229" s="33" t="str">
        <f>IF($C229="","",IFERROR(1/(1/_xlfn.MAXIFS(TblApplications[Mois lib (calc)],TblApplications[ID],$C229)),""))</f>
        <v/>
      </c>
      <c r="AG229" s="26" t="str">
        <f>IF($C229="","",IF(OR(OR($A229="",$B229="",$D229="",$E229="",$F229="",$G229=""),AND($G229="À migrer",OR($H229="",$I229="",$O229="",$U229="",$V229="",$W229="")),AND($G229="Migré",OR($O229="")),AND($G229="À décommissionner",OR($I229="",$W229=""))),"Données manquantes (selon l’action)",IF(AND($G229&lt;&gt;"Migré",$G229&lt;&gt;"À migrer",$G229&lt;&gt;"À décommissionner",$G229&lt;&gt;"Décommissionné"),"Action invalide",IF(COUNTIF(TblDomaines[Domaine],$A229)=0,"Domaine inconnu (référentiel)",IF(COUNTIFS(TblTribes[Tribe],$B229,TblTribes[Domaine de la tribe],$A229)=0,"Tribe inconnue ou hors domaine",IF(AND($G229="À migrer",$H229&lt;&gt;"Oui",$H229&lt;&gt;"Non"),"Valeur Oui/Non invalide (Déjà incluse ROKS)",IF(AND($E229&lt;&gt;"PRD",$E229&lt;&gt;"NPRD"),"Environnement invalide",IF(COUNTIFS(TblApplications[ID],$C229,TblApplications[Environnement],$E229,TblApplications[Couloir],$F229)&gt;1,"Déploiement en doublon (ID + env + couloir)",IF(AND(OR(OR($G229="À migrer",$G229="Migré"),OR($G229="À migrer",$G229="À décommissionner")),N($P229)&lt;=0),"Conso Dynatrace absente (onglet Dynatrace)",IF(OR(AND($P229&lt;&gt;"",NOT(ISNUMBER($P229))),AND($Q229&lt;&gt;"",NOT(ISNUMBER($Q229)))),"Ressource non numérique",IF(MIN(N($P229),N($Q229))&lt;0,"Ressource négative",IF(OR(AND($AH229&lt;&gt;"",OR(NOT(ISNUMBER($AH229)),$AH229&lt;0,$AH229&gt;1)),AND($AI229&lt;&gt;"",OR(NOT(ISNUMBER($AI229)),$AI229&lt;0,$AI229&gt;1))),"Marge spécifique invalide (0–100 %)",IF(OR(AND($U229&lt;&gt;"",NOT(ISNUMBER($U229))),AND($V229&lt;&gt;"",NOT(ISNUMBER($V229))),AND($W229&lt;&gt;"",NOT(ISNUMBER($W229)))),"Mois invalide",IF(AND(OR($G229="À migrer",$G229="À décommissionner"),COUNTIFS(TblClusters[Cluster],$I229,TblClusters[Plateforme],"IKS")=0),"Cluster IKS inconnu",IF(AND(OR($G229="À migrer",$G229="Migré"),COUNTIFS(TblClusters[Cluster],$O229,TblClusters[Plateforme],"ROKS")=0),"Cluster ROKS inconnu",IF(AND(OR($G229="À migrer",$G229="À décommissionner"),COUNTIFS(TblClusters[Cluster],$I229,TblClusters[Environnement],$E229)=0),"Environnement ≠ cluster IKS",IF(AND(OR($G229="À migrer",$G229="Migré"),COUNTIFS(TblClusters[Cluster],$O229,TblClusters[Environnement],$E229)=0),"Environnement ≠ cluster ROKS",IF(AND($G229="À migrer",OR($U229&gt;$V229,$V229&gt;$W229)),"Dates incohérentes (prov ≤ bascule ≤ libération)",IF(AND(OR($G229="À migrer",$G229="À décommissionner"),OR(N($AO229)&gt;SUMIFS(TblClusters[CPU initial (vCPU)],TblClusters[Cluster],$I229),N($AP229)&gt;SUMIFS(TblClusters[RAM initiale (Go)],TblClusters[Cluster],$I229))),"Forçage &gt; capacité du cluster source",IF(OR(AND($AA229&lt;&gt;"",$AA229&lt;p_debut),AND($AB229&lt;&gt;"",$AB229&gt;p_fin)),"Hors horizon (info)",IF(AND($G229="À migrer",$E229="PRD",COUNTIFS(TblApplications[ID],$C229,TblApplications[Environnement],"NPRD",TblApplications[Action],"À migrer")&gt;0,$AA229&lt;_xlfn.MINIFS(TblApplications[Mois prov (calc)],TblApplications[ID],$C229,TblApplications[Environnement],"NPRD")),"PRD avant NPRD (info)","OK")))))))))))))))))))))</f>
        <v/>
      </c>
      <c r="AH229" s="62"/>
      <c r="AI229" s="62"/>
      <c r="AJ229" s="27" t="str">
        <f>IF(OR($C229="",NOT(OR($G229="À migrer",$G229="À décommissionner")),NOT(ISNUMBER($S229)),NOT(ISNUMBER($T229)),$AB229=""),"",($S229+p_poidsram*$T229)*SUMIFS(TblCalculs[Coût par unité],TblCalculs[Cluster],$I229,TblCalculs[Mois],"&lt;"&amp;$AB229))</f>
        <v/>
      </c>
      <c r="AK229" s="27" t="str">
        <f>IF($C229="","",IF(AND($G229="À migrer",$H229="Non",$Y229&lt;&gt;"",$AA229&lt;&gt;""),($Y229+p_poidsram*$Z229)*SUMIFS(TblCalculs[Coût par unité],TblCalculs[Cluster],$O229,TblCalculs[Mois],"&gt;="&amp;$AA229),IF(AND($G229="Migré",$Y229&lt;&gt;""),($Y229+p_poidsram*$Z229)*SUMIFS(TblCalculs[Coût par unité],TblCalculs[Cluster],$O229),"")))</f>
        <v/>
      </c>
      <c r="AL229" s="27" t="str">
        <f t="shared" si="30"/>
        <v/>
      </c>
      <c r="AM229" s="26" t="str">
        <f t="shared" si="31"/>
        <v/>
      </c>
      <c r="AN229" s="26" t="str">
        <f>IF(OR($C229="",$AM229&lt;&gt;1,COUNTIFS($E229,ex_envc,$A229,ex_domc,$B229,ex_tric)=0),"",COUNTIFS($AM$6:$AM229,1,$E$6:$E229,ex_envc,$A$6:$A229,ex_domc,$B$6:$B229,ex_tric))</f>
        <v/>
      </c>
      <c r="AO229" s="63"/>
      <c r="AP229" s="63"/>
      <c r="AQ229" s="63"/>
      <c r="AR229" s="63"/>
    </row>
    <row r="230" spans="1:44" x14ac:dyDescent="0.2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26" t="str">
        <f t="shared" si="24"/>
        <v/>
      </c>
      <c r="O230" s="59"/>
      <c r="P230" s="60" t="str">
        <f>IF($C230="","",IF($AQ230&lt;&gt;"",$AQ230,SUMIFS(TblDynatrace[CPU P95 (vCPU)],TblDynatrace[ID],$C230,TblDynatrace[Environnement],$E230,TblDynatrace[Couloir],$F230)))</f>
        <v/>
      </c>
      <c r="Q230" s="60" t="str">
        <f>IF($C230="","",IF($AR230&lt;&gt;"",$AR230,SUMIFS(TblDynatrace[RAM P95 (Go)],TblDynatrace[ID],$C230,TblDynatrace[Environnement],$E230,TblDynatrace[Couloir],$F230)))</f>
        <v/>
      </c>
      <c r="R230" s="26" t="str">
        <f>IF($C230="","",IFERROR(INDEX(TblDynatrace[Métrique / période],MATCH($C230&amp;"|"&amp;$E230&amp;"|"&amp;$F230,TblDynatrace[Clé],0)),""))</f>
        <v/>
      </c>
      <c r="S230" s="60" t="str">
        <f>IF(OR($C230="",NOT(OR($G230="À migrer",$G230="À décommissionner")),$I230="",NOT(ISNUMBER($P230))),"",IF($AO230&lt;&gt;"",$AO230,IFERROR(SUMIFS(TblClusters[CPU initial (vCPU)],TblClusters[Cluster],$I230)*$P230/(SUMIFS(TblApplications[CPU Dynatrace (vCPU)],TblApplications[Cluster IKS source],$I230,TblApplications[Action],"À migrer")+SUMIFS(TblApplications[CPU Dynatrace (vCPU)],TblApplications[Cluster IKS source],$I230,TblApplications[Action],"À décommissionner")),0)))</f>
        <v/>
      </c>
      <c r="T230" s="60" t="str">
        <f>IF(OR($C230="",NOT(OR($G230="À migrer",$G230="À décommissionner")),$I230="",NOT(ISNUMBER($Q230))),"",IF($AP230&lt;&gt;"",$AP230,IFERROR(SUMIFS(TblClusters[RAM initiale (Go)],TblClusters[Cluster],$I230)*$Q230/(SUMIFS(TblApplications[RAM Dynatrace (Go)],TblApplications[Cluster IKS source],$I230,TblApplications[Action],"À migrer")+SUMIFS(TblApplications[RAM Dynatrace (Go)],TblApplications[Cluster IKS source],$I230,TblApplications[Action],"À décommissionner")),0)))</f>
        <v/>
      </c>
      <c r="U230" s="61"/>
      <c r="V230" s="61"/>
      <c r="W230" s="61"/>
      <c r="X230" s="59"/>
      <c r="Y230" s="26" t="str">
        <f t="shared" si="25"/>
        <v/>
      </c>
      <c r="Z230" s="26" t="str">
        <f t="shared" si="26"/>
        <v/>
      </c>
      <c r="AA230" s="33" t="str">
        <f t="shared" si="27"/>
        <v/>
      </c>
      <c r="AB230" s="33" t="str">
        <f t="shared" si="28"/>
        <v/>
      </c>
      <c r="AC230" s="26" t="str">
        <f t="shared" si="29"/>
        <v/>
      </c>
      <c r="AD230" s="26" t="str">
        <f>IF($C230="","",COUNTIF(TblApplications[ID],$C230))</f>
        <v/>
      </c>
      <c r="AE230" s="33" t="str">
        <f>IF($C230="","",IFERROR(1/(1/_xlfn.MINIFS(TblApplications[Mois prov (calc)],TblApplications[ID],$C230)),""))</f>
        <v/>
      </c>
      <c r="AF230" s="33" t="str">
        <f>IF($C230="","",IFERROR(1/(1/_xlfn.MAXIFS(TblApplications[Mois lib (calc)],TblApplications[ID],$C230)),""))</f>
        <v/>
      </c>
      <c r="AG230" s="26" t="str">
        <f>IF($C230="","",IF(OR(OR($A230="",$B230="",$D230="",$E230="",$F230="",$G230=""),AND($G230="À migrer",OR($H230="",$I230="",$O230="",$U230="",$V230="",$W230="")),AND($G230="Migré",OR($O230="")),AND($G230="À décommissionner",OR($I230="",$W230=""))),"Données manquantes (selon l’action)",IF(AND($G230&lt;&gt;"Migré",$G230&lt;&gt;"À migrer",$G230&lt;&gt;"À décommissionner",$G230&lt;&gt;"Décommissionné"),"Action invalide",IF(COUNTIF(TblDomaines[Domaine],$A230)=0,"Domaine inconnu (référentiel)",IF(COUNTIFS(TblTribes[Tribe],$B230,TblTribes[Domaine de la tribe],$A230)=0,"Tribe inconnue ou hors domaine",IF(AND($G230="À migrer",$H230&lt;&gt;"Oui",$H230&lt;&gt;"Non"),"Valeur Oui/Non invalide (Déjà incluse ROKS)",IF(AND($E230&lt;&gt;"PRD",$E230&lt;&gt;"NPRD"),"Environnement invalide",IF(COUNTIFS(TblApplications[ID],$C230,TblApplications[Environnement],$E230,TblApplications[Couloir],$F230)&gt;1,"Déploiement en doublon (ID + env + couloir)",IF(AND(OR(OR($G230="À migrer",$G230="Migré"),OR($G230="À migrer",$G230="À décommissionner")),N($P230)&lt;=0),"Conso Dynatrace absente (onglet Dynatrace)",IF(OR(AND($P230&lt;&gt;"",NOT(ISNUMBER($P230))),AND($Q230&lt;&gt;"",NOT(ISNUMBER($Q230)))),"Ressource non numérique",IF(MIN(N($P230),N($Q230))&lt;0,"Ressource négative",IF(OR(AND($AH230&lt;&gt;"",OR(NOT(ISNUMBER($AH230)),$AH230&lt;0,$AH230&gt;1)),AND($AI230&lt;&gt;"",OR(NOT(ISNUMBER($AI230)),$AI230&lt;0,$AI230&gt;1))),"Marge spécifique invalide (0–100 %)",IF(OR(AND($U230&lt;&gt;"",NOT(ISNUMBER($U230))),AND($V230&lt;&gt;"",NOT(ISNUMBER($V230))),AND($W230&lt;&gt;"",NOT(ISNUMBER($W230)))),"Mois invalide",IF(AND(OR($G230="À migrer",$G230="À décommissionner"),COUNTIFS(TblClusters[Cluster],$I230,TblClusters[Plateforme],"IKS")=0),"Cluster IKS inconnu",IF(AND(OR($G230="À migrer",$G230="Migré"),COUNTIFS(TblClusters[Cluster],$O230,TblClusters[Plateforme],"ROKS")=0),"Cluster ROKS inconnu",IF(AND(OR($G230="À migrer",$G230="À décommissionner"),COUNTIFS(TblClusters[Cluster],$I230,TblClusters[Environnement],$E230)=0),"Environnement ≠ cluster IKS",IF(AND(OR($G230="À migrer",$G230="Migré"),COUNTIFS(TblClusters[Cluster],$O230,TblClusters[Environnement],$E230)=0),"Environnement ≠ cluster ROKS",IF(AND($G230="À migrer",OR($U230&gt;$V230,$V230&gt;$W230)),"Dates incohérentes (prov ≤ bascule ≤ libération)",IF(AND(OR($G230="À migrer",$G230="À décommissionner"),OR(N($AO230)&gt;SUMIFS(TblClusters[CPU initial (vCPU)],TblClusters[Cluster],$I230),N($AP230)&gt;SUMIFS(TblClusters[RAM initiale (Go)],TblClusters[Cluster],$I230))),"Forçage &gt; capacité du cluster source",IF(OR(AND($AA230&lt;&gt;"",$AA230&lt;p_debut),AND($AB230&lt;&gt;"",$AB230&gt;p_fin)),"Hors horizon (info)",IF(AND($G230="À migrer",$E230="PRD",COUNTIFS(TblApplications[ID],$C230,TblApplications[Environnement],"NPRD",TblApplications[Action],"À migrer")&gt;0,$AA230&lt;_xlfn.MINIFS(TblApplications[Mois prov (calc)],TblApplications[ID],$C230,TblApplications[Environnement],"NPRD")),"PRD avant NPRD (info)","OK")))))))))))))))))))))</f>
        <v/>
      </c>
      <c r="AH230" s="62"/>
      <c r="AI230" s="62"/>
      <c r="AJ230" s="27" t="str">
        <f>IF(OR($C230="",NOT(OR($G230="À migrer",$G230="À décommissionner")),NOT(ISNUMBER($S230)),NOT(ISNUMBER($T230)),$AB230=""),"",($S230+p_poidsram*$T230)*SUMIFS(TblCalculs[Coût par unité],TblCalculs[Cluster],$I230,TblCalculs[Mois],"&lt;"&amp;$AB230))</f>
        <v/>
      </c>
      <c r="AK230" s="27" t="str">
        <f>IF($C230="","",IF(AND($G230="À migrer",$H230="Non",$Y230&lt;&gt;"",$AA230&lt;&gt;""),($Y230+p_poidsram*$Z230)*SUMIFS(TblCalculs[Coût par unité],TblCalculs[Cluster],$O230,TblCalculs[Mois],"&gt;="&amp;$AA230),IF(AND($G230="Migré",$Y230&lt;&gt;""),($Y230+p_poidsram*$Z230)*SUMIFS(TblCalculs[Coût par unité],TblCalculs[Cluster],$O230),"")))</f>
        <v/>
      </c>
      <c r="AL230" s="27" t="str">
        <f t="shared" si="30"/>
        <v/>
      </c>
      <c r="AM230" s="26" t="str">
        <f t="shared" si="31"/>
        <v/>
      </c>
      <c r="AN230" s="26" t="str">
        <f>IF(OR($C230="",$AM230&lt;&gt;1,COUNTIFS($E230,ex_envc,$A230,ex_domc,$B230,ex_tric)=0),"",COUNTIFS($AM$6:$AM230,1,$E$6:$E230,ex_envc,$A$6:$A230,ex_domc,$B$6:$B230,ex_tric))</f>
        <v/>
      </c>
      <c r="AO230" s="63"/>
      <c r="AP230" s="63"/>
      <c r="AQ230" s="63"/>
      <c r="AR230" s="63"/>
    </row>
    <row r="231" spans="1:44" x14ac:dyDescent="0.2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26" t="str">
        <f t="shared" si="24"/>
        <v/>
      </c>
      <c r="O231" s="59"/>
      <c r="P231" s="60" t="str">
        <f>IF($C231="","",IF($AQ231&lt;&gt;"",$AQ231,SUMIFS(TblDynatrace[CPU P95 (vCPU)],TblDynatrace[ID],$C231,TblDynatrace[Environnement],$E231,TblDynatrace[Couloir],$F231)))</f>
        <v/>
      </c>
      <c r="Q231" s="60" t="str">
        <f>IF($C231="","",IF($AR231&lt;&gt;"",$AR231,SUMIFS(TblDynatrace[RAM P95 (Go)],TblDynatrace[ID],$C231,TblDynatrace[Environnement],$E231,TblDynatrace[Couloir],$F231)))</f>
        <v/>
      </c>
      <c r="R231" s="26" t="str">
        <f>IF($C231="","",IFERROR(INDEX(TblDynatrace[Métrique / période],MATCH($C231&amp;"|"&amp;$E231&amp;"|"&amp;$F231,TblDynatrace[Clé],0)),""))</f>
        <v/>
      </c>
      <c r="S231" s="60" t="str">
        <f>IF(OR($C231="",NOT(OR($G231="À migrer",$G231="À décommissionner")),$I231="",NOT(ISNUMBER($P231))),"",IF($AO231&lt;&gt;"",$AO231,IFERROR(SUMIFS(TblClusters[CPU initial (vCPU)],TblClusters[Cluster],$I231)*$P231/(SUMIFS(TblApplications[CPU Dynatrace (vCPU)],TblApplications[Cluster IKS source],$I231,TblApplications[Action],"À migrer")+SUMIFS(TblApplications[CPU Dynatrace (vCPU)],TblApplications[Cluster IKS source],$I231,TblApplications[Action],"À décommissionner")),0)))</f>
        <v/>
      </c>
      <c r="T231" s="60" t="str">
        <f>IF(OR($C231="",NOT(OR($G231="À migrer",$G231="À décommissionner")),$I231="",NOT(ISNUMBER($Q231))),"",IF($AP231&lt;&gt;"",$AP231,IFERROR(SUMIFS(TblClusters[RAM initiale (Go)],TblClusters[Cluster],$I231)*$Q231/(SUMIFS(TblApplications[RAM Dynatrace (Go)],TblApplications[Cluster IKS source],$I231,TblApplications[Action],"À migrer")+SUMIFS(TblApplications[RAM Dynatrace (Go)],TblApplications[Cluster IKS source],$I231,TblApplications[Action],"À décommissionner")),0)))</f>
        <v/>
      </c>
      <c r="U231" s="61"/>
      <c r="V231" s="61"/>
      <c r="W231" s="61"/>
      <c r="X231" s="59"/>
      <c r="Y231" s="26" t="str">
        <f t="shared" si="25"/>
        <v/>
      </c>
      <c r="Z231" s="26" t="str">
        <f t="shared" si="26"/>
        <v/>
      </c>
      <c r="AA231" s="33" t="str">
        <f t="shared" si="27"/>
        <v/>
      </c>
      <c r="AB231" s="33" t="str">
        <f t="shared" si="28"/>
        <v/>
      </c>
      <c r="AC231" s="26" t="str">
        <f t="shared" si="29"/>
        <v/>
      </c>
      <c r="AD231" s="26" t="str">
        <f>IF($C231="","",COUNTIF(TblApplications[ID],$C231))</f>
        <v/>
      </c>
      <c r="AE231" s="33" t="str">
        <f>IF($C231="","",IFERROR(1/(1/_xlfn.MINIFS(TblApplications[Mois prov (calc)],TblApplications[ID],$C231)),""))</f>
        <v/>
      </c>
      <c r="AF231" s="33" t="str">
        <f>IF($C231="","",IFERROR(1/(1/_xlfn.MAXIFS(TblApplications[Mois lib (calc)],TblApplications[ID],$C231)),""))</f>
        <v/>
      </c>
      <c r="AG231" s="26" t="str">
        <f>IF($C231="","",IF(OR(OR($A231="",$B231="",$D231="",$E231="",$F231="",$G231=""),AND($G231="À migrer",OR($H231="",$I231="",$O231="",$U231="",$V231="",$W231="")),AND($G231="Migré",OR($O231="")),AND($G231="À décommissionner",OR($I231="",$W231=""))),"Données manquantes (selon l’action)",IF(AND($G231&lt;&gt;"Migré",$G231&lt;&gt;"À migrer",$G231&lt;&gt;"À décommissionner",$G231&lt;&gt;"Décommissionné"),"Action invalide",IF(COUNTIF(TblDomaines[Domaine],$A231)=0,"Domaine inconnu (référentiel)",IF(COUNTIFS(TblTribes[Tribe],$B231,TblTribes[Domaine de la tribe],$A231)=0,"Tribe inconnue ou hors domaine",IF(AND($G231="À migrer",$H231&lt;&gt;"Oui",$H231&lt;&gt;"Non"),"Valeur Oui/Non invalide (Déjà incluse ROKS)",IF(AND($E231&lt;&gt;"PRD",$E231&lt;&gt;"NPRD"),"Environnement invalide",IF(COUNTIFS(TblApplications[ID],$C231,TblApplications[Environnement],$E231,TblApplications[Couloir],$F231)&gt;1,"Déploiement en doublon (ID + env + couloir)",IF(AND(OR(OR($G231="À migrer",$G231="Migré"),OR($G231="À migrer",$G231="À décommissionner")),N($P231)&lt;=0),"Conso Dynatrace absente (onglet Dynatrace)",IF(OR(AND($P231&lt;&gt;"",NOT(ISNUMBER($P231))),AND($Q231&lt;&gt;"",NOT(ISNUMBER($Q231)))),"Ressource non numérique",IF(MIN(N($P231),N($Q231))&lt;0,"Ressource négative",IF(OR(AND($AH231&lt;&gt;"",OR(NOT(ISNUMBER($AH231)),$AH231&lt;0,$AH231&gt;1)),AND($AI231&lt;&gt;"",OR(NOT(ISNUMBER($AI231)),$AI231&lt;0,$AI231&gt;1))),"Marge spécifique invalide (0–100 %)",IF(OR(AND($U231&lt;&gt;"",NOT(ISNUMBER($U231))),AND($V231&lt;&gt;"",NOT(ISNUMBER($V231))),AND($W231&lt;&gt;"",NOT(ISNUMBER($W231)))),"Mois invalide",IF(AND(OR($G231="À migrer",$G231="À décommissionner"),COUNTIFS(TblClusters[Cluster],$I231,TblClusters[Plateforme],"IKS")=0),"Cluster IKS inconnu",IF(AND(OR($G231="À migrer",$G231="Migré"),COUNTIFS(TblClusters[Cluster],$O231,TblClusters[Plateforme],"ROKS")=0),"Cluster ROKS inconnu",IF(AND(OR($G231="À migrer",$G231="À décommissionner"),COUNTIFS(TblClusters[Cluster],$I231,TblClusters[Environnement],$E231)=0),"Environnement ≠ cluster IKS",IF(AND(OR($G231="À migrer",$G231="Migré"),COUNTIFS(TblClusters[Cluster],$O231,TblClusters[Environnement],$E231)=0),"Environnement ≠ cluster ROKS",IF(AND($G231="À migrer",OR($U231&gt;$V231,$V231&gt;$W231)),"Dates incohérentes (prov ≤ bascule ≤ libération)",IF(AND(OR($G231="À migrer",$G231="À décommissionner"),OR(N($AO231)&gt;SUMIFS(TblClusters[CPU initial (vCPU)],TblClusters[Cluster],$I231),N($AP231)&gt;SUMIFS(TblClusters[RAM initiale (Go)],TblClusters[Cluster],$I231))),"Forçage &gt; capacité du cluster source",IF(OR(AND($AA231&lt;&gt;"",$AA231&lt;p_debut),AND($AB231&lt;&gt;"",$AB231&gt;p_fin)),"Hors horizon (info)",IF(AND($G231="À migrer",$E231="PRD",COUNTIFS(TblApplications[ID],$C231,TblApplications[Environnement],"NPRD",TblApplications[Action],"À migrer")&gt;0,$AA231&lt;_xlfn.MINIFS(TblApplications[Mois prov (calc)],TblApplications[ID],$C231,TblApplications[Environnement],"NPRD")),"PRD avant NPRD (info)","OK")))))))))))))))))))))</f>
        <v/>
      </c>
      <c r="AH231" s="62"/>
      <c r="AI231" s="62"/>
      <c r="AJ231" s="27" t="str">
        <f>IF(OR($C231="",NOT(OR($G231="À migrer",$G231="À décommissionner")),NOT(ISNUMBER($S231)),NOT(ISNUMBER($T231)),$AB231=""),"",($S231+p_poidsram*$T231)*SUMIFS(TblCalculs[Coût par unité],TblCalculs[Cluster],$I231,TblCalculs[Mois],"&lt;"&amp;$AB231))</f>
        <v/>
      </c>
      <c r="AK231" s="27" t="str">
        <f>IF($C231="","",IF(AND($G231="À migrer",$H231="Non",$Y231&lt;&gt;"",$AA231&lt;&gt;""),($Y231+p_poidsram*$Z231)*SUMIFS(TblCalculs[Coût par unité],TblCalculs[Cluster],$O231,TblCalculs[Mois],"&gt;="&amp;$AA231),IF(AND($G231="Migré",$Y231&lt;&gt;""),($Y231+p_poidsram*$Z231)*SUMIFS(TblCalculs[Coût par unité],TblCalculs[Cluster],$O231),"")))</f>
        <v/>
      </c>
      <c r="AL231" s="27" t="str">
        <f t="shared" si="30"/>
        <v/>
      </c>
      <c r="AM231" s="26" t="str">
        <f t="shared" si="31"/>
        <v/>
      </c>
      <c r="AN231" s="26" t="str">
        <f>IF(OR($C231="",$AM231&lt;&gt;1,COUNTIFS($E231,ex_envc,$A231,ex_domc,$B231,ex_tric)=0),"",COUNTIFS($AM$6:$AM231,1,$E$6:$E231,ex_envc,$A$6:$A231,ex_domc,$B$6:$B231,ex_tric))</f>
        <v/>
      </c>
      <c r="AO231" s="63"/>
      <c r="AP231" s="63"/>
      <c r="AQ231" s="63"/>
      <c r="AR231" s="63"/>
    </row>
    <row r="232" spans="1:44" x14ac:dyDescent="0.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26" t="str">
        <f t="shared" si="24"/>
        <v/>
      </c>
      <c r="O232" s="59"/>
      <c r="P232" s="60" t="str">
        <f>IF($C232="","",IF($AQ232&lt;&gt;"",$AQ232,SUMIFS(TblDynatrace[CPU P95 (vCPU)],TblDynatrace[ID],$C232,TblDynatrace[Environnement],$E232,TblDynatrace[Couloir],$F232)))</f>
        <v/>
      </c>
      <c r="Q232" s="60" t="str">
        <f>IF($C232="","",IF($AR232&lt;&gt;"",$AR232,SUMIFS(TblDynatrace[RAM P95 (Go)],TblDynatrace[ID],$C232,TblDynatrace[Environnement],$E232,TblDynatrace[Couloir],$F232)))</f>
        <v/>
      </c>
      <c r="R232" s="26" t="str">
        <f>IF($C232="","",IFERROR(INDEX(TblDynatrace[Métrique / période],MATCH($C232&amp;"|"&amp;$E232&amp;"|"&amp;$F232,TblDynatrace[Clé],0)),""))</f>
        <v/>
      </c>
      <c r="S232" s="60" t="str">
        <f>IF(OR($C232="",NOT(OR($G232="À migrer",$G232="À décommissionner")),$I232="",NOT(ISNUMBER($P232))),"",IF($AO232&lt;&gt;"",$AO232,IFERROR(SUMIFS(TblClusters[CPU initial (vCPU)],TblClusters[Cluster],$I232)*$P232/(SUMIFS(TblApplications[CPU Dynatrace (vCPU)],TblApplications[Cluster IKS source],$I232,TblApplications[Action],"À migrer")+SUMIFS(TblApplications[CPU Dynatrace (vCPU)],TblApplications[Cluster IKS source],$I232,TblApplications[Action],"À décommissionner")),0)))</f>
        <v/>
      </c>
      <c r="T232" s="60" t="str">
        <f>IF(OR($C232="",NOT(OR($G232="À migrer",$G232="À décommissionner")),$I232="",NOT(ISNUMBER($Q232))),"",IF($AP232&lt;&gt;"",$AP232,IFERROR(SUMIFS(TblClusters[RAM initiale (Go)],TblClusters[Cluster],$I232)*$Q232/(SUMIFS(TblApplications[RAM Dynatrace (Go)],TblApplications[Cluster IKS source],$I232,TblApplications[Action],"À migrer")+SUMIFS(TblApplications[RAM Dynatrace (Go)],TblApplications[Cluster IKS source],$I232,TblApplications[Action],"À décommissionner")),0)))</f>
        <v/>
      </c>
      <c r="U232" s="61"/>
      <c r="V232" s="61"/>
      <c r="W232" s="61"/>
      <c r="X232" s="59"/>
      <c r="Y232" s="26" t="str">
        <f t="shared" si="25"/>
        <v/>
      </c>
      <c r="Z232" s="26" t="str">
        <f t="shared" si="26"/>
        <v/>
      </c>
      <c r="AA232" s="33" t="str">
        <f t="shared" si="27"/>
        <v/>
      </c>
      <c r="AB232" s="33" t="str">
        <f t="shared" si="28"/>
        <v/>
      </c>
      <c r="AC232" s="26" t="str">
        <f t="shared" si="29"/>
        <v/>
      </c>
      <c r="AD232" s="26" t="str">
        <f>IF($C232="","",COUNTIF(TblApplications[ID],$C232))</f>
        <v/>
      </c>
      <c r="AE232" s="33" t="str">
        <f>IF($C232="","",IFERROR(1/(1/_xlfn.MINIFS(TblApplications[Mois prov (calc)],TblApplications[ID],$C232)),""))</f>
        <v/>
      </c>
      <c r="AF232" s="33" t="str">
        <f>IF($C232="","",IFERROR(1/(1/_xlfn.MAXIFS(TblApplications[Mois lib (calc)],TblApplications[ID],$C232)),""))</f>
        <v/>
      </c>
      <c r="AG232" s="26" t="str">
        <f>IF($C232="","",IF(OR(OR($A232="",$B232="",$D232="",$E232="",$F232="",$G232=""),AND($G232="À migrer",OR($H232="",$I232="",$O232="",$U232="",$V232="",$W232="")),AND($G232="Migré",OR($O232="")),AND($G232="À décommissionner",OR($I232="",$W232=""))),"Données manquantes (selon l’action)",IF(AND($G232&lt;&gt;"Migré",$G232&lt;&gt;"À migrer",$G232&lt;&gt;"À décommissionner",$G232&lt;&gt;"Décommissionné"),"Action invalide",IF(COUNTIF(TblDomaines[Domaine],$A232)=0,"Domaine inconnu (référentiel)",IF(COUNTIFS(TblTribes[Tribe],$B232,TblTribes[Domaine de la tribe],$A232)=0,"Tribe inconnue ou hors domaine",IF(AND($G232="À migrer",$H232&lt;&gt;"Oui",$H232&lt;&gt;"Non"),"Valeur Oui/Non invalide (Déjà incluse ROKS)",IF(AND($E232&lt;&gt;"PRD",$E232&lt;&gt;"NPRD"),"Environnement invalide",IF(COUNTIFS(TblApplications[ID],$C232,TblApplications[Environnement],$E232,TblApplications[Couloir],$F232)&gt;1,"Déploiement en doublon (ID + env + couloir)",IF(AND(OR(OR($G232="À migrer",$G232="Migré"),OR($G232="À migrer",$G232="À décommissionner")),N($P232)&lt;=0),"Conso Dynatrace absente (onglet Dynatrace)",IF(OR(AND($P232&lt;&gt;"",NOT(ISNUMBER($P232))),AND($Q232&lt;&gt;"",NOT(ISNUMBER($Q232)))),"Ressource non numérique",IF(MIN(N($P232),N($Q232))&lt;0,"Ressource négative",IF(OR(AND($AH232&lt;&gt;"",OR(NOT(ISNUMBER($AH232)),$AH232&lt;0,$AH232&gt;1)),AND($AI232&lt;&gt;"",OR(NOT(ISNUMBER($AI232)),$AI232&lt;0,$AI232&gt;1))),"Marge spécifique invalide (0–100 %)",IF(OR(AND($U232&lt;&gt;"",NOT(ISNUMBER($U232))),AND($V232&lt;&gt;"",NOT(ISNUMBER($V232))),AND($W232&lt;&gt;"",NOT(ISNUMBER($W232)))),"Mois invalide",IF(AND(OR($G232="À migrer",$G232="À décommissionner"),COUNTIFS(TblClusters[Cluster],$I232,TblClusters[Plateforme],"IKS")=0),"Cluster IKS inconnu",IF(AND(OR($G232="À migrer",$G232="Migré"),COUNTIFS(TblClusters[Cluster],$O232,TblClusters[Plateforme],"ROKS")=0),"Cluster ROKS inconnu",IF(AND(OR($G232="À migrer",$G232="À décommissionner"),COUNTIFS(TblClusters[Cluster],$I232,TblClusters[Environnement],$E232)=0),"Environnement ≠ cluster IKS",IF(AND(OR($G232="À migrer",$G232="Migré"),COUNTIFS(TblClusters[Cluster],$O232,TblClusters[Environnement],$E232)=0),"Environnement ≠ cluster ROKS",IF(AND($G232="À migrer",OR($U232&gt;$V232,$V232&gt;$W232)),"Dates incohérentes (prov ≤ bascule ≤ libération)",IF(AND(OR($G232="À migrer",$G232="À décommissionner"),OR(N($AO232)&gt;SUMIFS(TblClusters[CPU initial (vCPU)],TblClusters[Cluster],$I232),N($AP232)&gt;SUMIFS(TblClusters[RAM initiale (Go)],TblClusters[Cluster],$I232))),"Forçage &gt; capacité du cluster source",IF(OR(AND($AA232&lt;&gt;"",$AA232&lt;p_debut),AND($AB232&lt;&gt;"",$AB232&gt;p_fin)),"Hors horizon (info)",IF(AND($G232="À migrer",$E232="PRD",COUNTIFS(TblApplications[ID],$C232,TblApplications[Environnement],"NPRD",TblApplications[Action],"À migrer")&gt;0,$AA232&lt;_xlfn.MINIFS(TblApplications[Mois prov (calc)],TblApplications[ID],$C232,TblApplications[Environnement],"NPRD")),"PRD avant NPRD (info)","OK")))))))))))))))))))))</f>
        <v/>
      </c>
      <c r="AH232" s="62"/>
      <c r="AI232" s="62"/>
      <c r="AJ232" s="27" t="str">
        <f>IF(OR($C232="",NOT(OR($G232="À migrer",$G232="À décommissionner")),NOT(ISNUMBER($S232)),NOT(ISNUMBER($T232)),$AB232=""),"",($S232+p_poidsram*$T232)*SUMIFS(TblCalculs[Coût par unité],TblCalculs[Cluster],$I232,TblCalculs[Mois],"&lt;"&amp;$AB232))</f>
        <v/>
      </c>
      <c r="AK232" s="27" t="str">
        <f>IF($C232="","",IF(AND($G232="À migrer",$H232="Non",$Y232&lt;&gt;"",$AA232&lt;&gt;""),($Y232+p_poidsram*$Z232)*SUMIFS(TblCalculs[Coût par unité],TblCalculs[Cluster],$O232,TblCalculs[Mois],"&gt;="&amp;$AA232),IF(AND($G232="Migré",$Y232&lt;&gt;""),($Y232+p_poidsram*$Z232)*SUMIFS(TblCalculs[Coût par unité],TblCalculs[Cluster],$O232),"")))</f>
        <v/>
      </c>
      <c r="AL232" s="27" t="str">
        <f t="shared" si="30"/>
        <v/>
      </c>
      <c r="AM232" s="26" t="str">
        <f t="shared" si="31"/>
        <v/>
      </c>
      <c r="AN232" s="26" t="str">
        <f>IF(OR($C232="",$AM232&lt;&gt;1,COUNTIFS($E232,ex_envc,$A232,ex_domc,$B232,ex_tric)=0),"",COUNTIFS($AM$6:$AM232,1,$E$6:$E232,ex_envc,$A$6:$A232,ex_domc,$B$6:$B232,ex_tric))</f>
        <v/>
      </c>
      <c r="AO232" s="63"/>
      <c r="AP232" s="63"/>
      <c r="AQ232" s="63"/>
      <c r="AR232" s="63"/>
    </row>
    <row r="233" spans="1:44" x14ac:dyDescent="0.2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26" t="str">
        <f t="shared" si="24"/>
        <v/>
      </c>
      <c r="O233" s="59"/>
      <c r="P233" s="60" t="str">
        <f>IF($C233="","",IF($AQ233&lt;&gt;"",$AQ233,SUMIFS(TblDynatrace[CPU P95 (vCPU)],TblDynatrace[ID],$C233,TblDynatrace[Environnement],$E233,TblDynatrace[Couloir],$F233)))</f>
        <v/>
      </c>
      <c r="Q233" s="60" t="str">
        <f>IF($C233="","",IF($AR233&lt;&gt;"",$AR233,SUMIFS(TblDynatrace[RAM P95 (Go)],TblDynatrace[ID],$C233,TblDynatrace[Environnement],$E233,TblDynatrace[Couloir],$F233)))</f>
        <v/>
      </c>
      <c r="R233" s="26" t="str">
        <f>IF($C233="","",IFERROR(INDEX(TblDynatrace[Métrique / période],MATCH($C233&amp;"|"&amp;$E233&amp;"|"&amp;$F233,TblDynatrace[Clé],0)),""))</f>
        <v/>
      </c>
      <c r="S233" s="60" t="str">
        <f>IF(OR($C233="",NOT(OR($G233="À migrer",$G233="À décommissionner")),$I233="",NOT(ISNUMBER($P233))),"",IF($AO233&lt;&gt;"",$AO233,IFERROR(SUMIFS(TblClusters[CPU initial (vCPU)],TblClusters[Cluster],$I233)*$P233/(SUMIFS(TblApplications[CPU Dynatrace (vCPU)],TblApplications[Cluster IKS source],$I233,TblApplications[Action],"À migrer")+SUMIFS(TblApplications[CPU Dynatrace (vCPU)],TblApplications[Cluster IKS source],$I233,TblApplications[Action],"À décommissionner")),0)))</f>
        <v/>
      </c>
      <c r="T233" s="60" t="str">
        <f>IF(OR($C233="",NOT(OR($G233="À migrer",$G233="À décommissionner")),$I233="",NOT(ISNUMBER($Q233))),"",IF($AP233&lt;&gt;"",$AP233,IFERROR(SUMIFS(TblClusters[RAM initiale (Go)],TblClusters[Cluster],$I233)*$Q233/(SUMIFS(TblApplications[RAM Dynatrace (Go)],TblApplications[Cluster IKS source],$I233,TblApplications[Action],"À migrer")+SUMIFS(TblApplications[RAM Dynatrace (Go)],TblApplications[Cluster IKS source],$I233,TblApplications[Action],"À décommissionner")),0)))</f>
        <v/>
      </c>
      <c r="U233" s="61"/>
      <c r="V233" s="61"/>
      <c r="W233" s="61"/>
      <c r="X233" s="59"/>
      <c r="Y233" s="26" t="str">
        <f t="shared" si="25"/>
        <v/>
      </c>
      <c r="Z233" s="26" t="str">
        <f t="shared" si="26"/>
        <v/>
      </c>
      <c r="AA233" s="33" t="str">
        <f t="shared" si="27"/>
        <v/>
      </c>
      <c r="AB233" s="33" t="str">
        <f t="shared" si="28"/>
        <v/>
      </c>
      <c r="AC233" s="26" t="str">
        <f t="shared" si="29"/>
        <v/>
      </c>
      <c r="AD233" s="26" t="str">
        <f>IF($C233="","",COUNTIF(TblApplications[ID],$C233))</f>
        <v/>
      </c>
      <c r="AE233" s="33" t="str">
        <f>IF($C233="","",IFERROR(1/(1/_xlfn.MINIFS(TblApplications[Mois prov (calc)],TblApplications[ID],$C233)),""))</f>
        <v/>
      </c>
      <c r="AF233" s="33" t="str">
        <f>IF($C233="","",IFERROR(1/(1/_xlfn.MAXIFS(TblApplications[Mois lib (calc)],TblApplications[ID],$C233)),""))</f>
        <v/>
      </c>
      <c r="AG233" s="26" t="str">
        <f>IF($C233="","",IF(OR(OR($A233="",$B233="",$D233="",$E233="",$F233="",$G233=""),AND($G233="À migrer",OR($H233="",$I233="",$O233="",$U233="",$V233="",$W233="")),AND($G233="Migré",OR($O233="")),AND($G233="À décommissionner",OR($I233="",$W233=""))),"Données manquantes (selon l’action)",IF(AND($G233&lt;&gt;"Migré",$G233&lt;&gt;"À migrer",$G233&lt;&gt;"À décommissionner",$G233&lt;&gt;"Décommissionné"),"Action invalide",IF(COUNTIF(TblDomaines[Domaine],$A233)=0,"Domaine inconnu (référentiel)",IF(COUNTIFS(TblTribes[Tribe],$B233,TblTribes[Domaine de la tribe],$A233)=0,"Tribe inconnue ou hors domaine",IF(AND($G233="À migrer",$H233&lt;&gt;"Oui",$H233&lt;&gt;"Non"),"Valeur Oui/Non invalide (Déjà incluse ROKS)",IF(AND($E233&lt;&gt;"PRD",$E233&lt;&gt;"NPRD"),"Environnement invalide",IF(COUNTIFS(TblApplications[ID],$C233,TblApplications[Environnement],$E233,TblApplications[Couloir],$F233)&gt;1,"Déploiement en doublon (ID + env + couloir)",IF(AND(OR(OR($G233="À migrer",$G233="Migré"),OR($G233="À migrer",$G233="À décommissionner")),N($P233)&lt;=0),"Conso Dynatrace absente (onglet Dynatrace)",IF(OR(AND($P233&lt;&gt;"",NOT(ISNUMBER($P233))),AND($Q233&lt;&gt;"",NOT(ISNUMBER($Q233)))),"Ressource non numérique",IF(MIN(N($P233),N($Q233))&lt;0,"Ressource négative",IF(OR(AND($AH233&lt;&gt;"",OR(NOT(ISNUMBER($AH233)),$AH233&lt;0,$AH233&gt;1)),AND($AI233&lt;&gt;"",OR(NOT(ISNUMBER($AI233)),$AI233&lt;0,$AI233&gt;1))),"Marge spécifique invalide (0–100 %)",IF(OR(AND($U233&lt;&gt;"",NOT(ISNUMBER($U233))),AND($V233&lt;&gt;"",NOT(ISNUMBER($V233))),AND($W233&lt;&gt;"",NOT(ISNUMBER($W233)))),"Mois invalide",IF(AND(OR($G233="À migrer",$G233="À décommissionner"),COUNTIFS(TblClusters[Cluster],$I233,TblClusters[Plateforme],"IKS")=0),"Cluster IKS inconnu",IF(AND(OR($G233="À migrer",$G233="Migré"),COUNTIFS(TblClusters[Cluster],$O233,TblClusters[Plateforme],"ROKS")=0),"Cluster ROKS inconnu",IF(AND(OR($G233="À migrer",$G233="À décommissionner"),COUNTIFS(TblClusters[Cluster],$I233,TblClusters[Environnement],$E233)=0),"Environnement ≠ cluster IKS",IF(AND(OR($G233="À migrer",$G233="Migré"),COUNTIFS(TblClusters[Cluster],$O233,TblClusters[Environnement],$E233)=0),"Environnement ≠ cluster ROKS",IF(AND($G233="À migrer",OR($U233&gt;$V233,$V233&gt;$W233)),"Dates incohérentes (prov ≤ bascule ≤ libération)",IF(AND(OR($G233="À migrer",$G233="À décommissionner"),OR(N($AO233)&gt;SUMIFS(TblClusters[CPU initial (vCPU)],TblClusters[Cluster],$I233),N($AP233)&gt;SUMIFS(TblClusters[RAM initiale (Go)],TblClusters[Cluster],$I233))),"Forçage &gt; capacité du cluster source",IF(OR(AND($AA233&lt;&gt;"",$AA233&lt;p_debut),AND($AB233&lt;&gt;"",$AB233&gt;p_fin)),"Hors horizon (info)",IF(AND($G233="À migrer",$E233="PRD",COUNTIFS(TblApplications[ID],$C233,TblApplications[Environnement],"NPRD",TblApplications[Action],"À migrer")&gt;0,$AA233&lt;_xlfn.MINIFS(TblApplications[Mois prov (calc)],TblApplications[ID],$C233,TblApplications[Environnement],"NPRD")),"PRD avant NPRD (info)","OK")))))))))))))))))))))</f>
        <v/>
      </c>
      <c r="AH233" s="62"/>
      <c r="AI233" s="62"/>
      <c r="AJ233" s="27" t="str">
        <f>IF(OR($C233="",NOT(OR($G233="À migrer",$G233="À décommissionner")),NOT(ISNUMBER($S233)),NOT(ISNUMBER($T233)),$AB233=""),"",($S233+p_poidsram*$T233)*SUMIFS(TblCalculs[Coût par unité],TblCalculs[Cluster],$I233,TblCalculs[Mois],"&lt;"&amp;$AB233))</f>
        <v/>
      </c>
      <c r="AK233" s="27" t="str">
        <f>IF($C233="","",IF(AND($G233="À migrer",$H233="Non",$Y233&lt;&gt;"",$AA233&lt;&gt;""),($Y233+p_poidsram*$Z233)*SUMIFS(TblCalculs[Coût par unité],TblCalculs[Cluster],$O233,TblCalculs[Mois],"&gt;="&amp;$AA233),IF(AND($G233="Migré",$Y233&lt;&gt;""),($Y233+p_poidsram*$Z233)*SUMIFS(TblCalculs[Coût par unité],TblCalculs[Cluster],$O233),"")))</f>
        <v/>
      </c>
      <c r="AL233" s="27" t="str">
        <f t="shared" si="30"/>
        <v/>
      </c>
      <c r="AM233" s="26" t="str">
        <f t="shared" si="31"/>
        <v/>
      </c>
      <c r="AN233" s="26" t="str">
        <f>IF(OR($C233="",$AM233&lt;&gt;1,COUNTIFS($E233,ex_envc,$A233,ex_domc,$B233,ex_tric)=0),"",COUNTIFS($AM$6:$AM233,1,$E$6:$E233,ex_envc,$A$6:$A233,ex_domc,$B$6:$B233,ex_tric))</f>
        <v/>
      </c>
      <c r="AO233" s="63"/>
      <c r="AP233" s="63"/>
      <c r="AQ233" s="63"/>
      <c r="AR233" s="63"/>
    </row>
    <row r="234" spans="1:44" x14ac:dyDescent="0.2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26" t="str">
        <f t="shared" si="24"/>
        <v/>
      </c>
      <c r="O234" s="59"/>
      <c r="P234" s="60" t="str">
        <f>IF($C234="","",IF($AQ234&lt;&gt;"",$AQ234,SUMIFS(TblDynatrace[CPU P95 (vCPU)],TblDynatrace[ID],$C234,TblDynatrace[Environnement],$E234,TblDynatrace[Couloir],$F234)))</f>
        <v/>
      </c>
      <c r="Q234" s="60" t="str">
        <f>IF($C234="","",IF($AR234&lt;&gt;"",$AR234,SUMIFS(TblDynatrace[RAM P95 (Go)],TblDynatrace[ID],$C234,TblDynatrace[Environnement],$E234,TblDynatrace[Couloir],$F234)))</f>
        <v/>
      </c>
      <c r="R234" s="26" t="str">
        <f>IF($C234="","",IFERROR(INDEX(TblDynatrace[Métrique / période],MATCH($C234&amp;"|"&amp;$E234&amp;"|"&amp;$F234,TblDynatrace[Clé],0)),""))</f>
        <v/>
      </c>
      <c r="S234" s="60" t="str">
        <f>IF(OR($C234="",NOT(OR($G234="À migrer",$G234="À décommissionner")),$I234="",NOT(ISNUMBER($P234))),"",IF($AO234&lt;&gt;"",$AO234,IFERROR(SUMIFS(TblClusters[CPU initial (vCPU)],TblClusters[Cluster],$I234)*$P234/(SUMIFS(TblApplications[CPU Dynatrace (vCPU)],TblApplications[Cluster IKS source],$I234,TblApplications[Action],"À migrer")+SUMIFS(TblApplications[CPU Dynatrace (vCPU)],TblApplications[Cluster IKS source],$I234,TblApplications[Action],"À décommissionner")),0)))</f>
        <v/>
      </c>
      <c r="T234" s="60" t="str">
        <f>IF(OR($C234="",NOT(OR($G234="À migrer",$G234="À décommissionner")),$I234="",NOT(ISNUMBER($Q234))),"",IF($AP234&lt;&gt;"",$AP234,IFERROR(SUMIFS(TblClusters[RAM initiale (Go)],TblClusters[Cluster],$I234)*$Q234/(SUMIFS(TblApplications[RAM Dynatrace (Go)],TblApplications[Cluster IKS source],$I234,TblApplications[Action],"À migrer")+SUMIFS(TblApplications[RAM Dynatrace (Go)],TblApplications[Cluster IKS source],$I234,TblApplications[Action],"À décommissionner")),0)))</f>
        <v/>
      </c>
      <c r="U234" s="61"/>
      <c r="V234" s="61"/>
      <c r="W234" s="61"/>
      <c r="X234" s="59"/>
      <c r="Y234" s="26" t="str">
        <f t="shared" si="25"/>
        <v/>
      </c>
      <c r="Z234" s="26" t="str">
        <f t="shared" si="26"/>
        <v/>
      </c>
      <c r="AA234" s="33" t="str">
        <f t="shared" si="27"/>
        <v/>
      </c>
      <c r="AB234" s="33" t="str">
        <f t="shared" si="28"/>
        <v/>
      </c>
      <c r="AC234" s="26" t="str">
        <f t="shared" si="29"/>
        <v/>
      </c>
      <c r="AD234" s="26" t="str">
        <f>IF($C234="","",COUNTIF(TblApplications[ID],$C234))</f>
        <v/>
      </c>
      <c r="AE234" s="33" t="str">
        <f>IF($C234="","",IFERROR(1/(1/_xlfn.MINIFS(TblApplications[Mois prov (calc)],TblApplications[ID],$C234)),""))</f>
        <v/>
      </c>
      <c r="AF234" s="33" t="str">
        <f>IF($C234="","",IFERROR(1/(1/_xlfn.MAXIFS(TblApplications[Mois lib (calc)],TblApplications[ID],$C234)),""))</f>
        <v/>
      </c>
      <c r="AG234" s="26" t="str">
        <f>IF($C234="","",IF(OR(OR($A234="",$B234="",$D234="",$E234="",$F234="",$G234=""),AND($G234="À migrer",OR($H234="",$I234="",$O234="",$U234="",$V234="",$W234="")),AND($G234="Migré",OR($O234="")),AND($G234="À décommissionner",OR($I234="",$W234=""))),"Données manquantes (selon l’action)",IF(AND($G234&lt;&gt;"Migré",$G234&lt;&gt;"À migrer",$G234&lt;&gt;"À décommissionner",$G234&lt;&gt;"Décommissionné"),"Action invalide",IF(COUNTIF(TblDomaines[Domaine],$A234)=0,"Domaine inconnu (référentiel)",IF(COUNTIFS(TblTribes[Tribe],$B234,TblTribes[Domaine de la tribe],$A234)=0,"Tribe inconnue ou hors domaine",IF(AND($G234="À migrer",$H234&lt;&gt;"Oui",$H234&lt;&gt;"Non"),"Valeur Oui/Non invalide (Déjà incluse ROKS)",IF(AND($E234&lt;&gt;"PRD",$E234&lt;&gt;"NPRD"),"Environnement invalide",IF(COUNTIFS(TblApplications[ID],$C234,TblApplications[Environnement],$E234,TblApplications[Couloir],$F234)&gt;1,"Déploiement en doublon (ID + env + couloir)",IF(AND(OR(OR($G234="À migrer",$G234="Migré"),OR($G234="À migrer",$G234="À décommissionner")),N($P234)&lt;=0),"Conso Dynatrace absente (onglet Dynatrace)",IF(OR(AND($P234&lt;&gt;"",NOT(ISNUMBER($P234))),AND($Q234&lt;&gt;"",NOT(ISNUMBER($Q234)))),"Ressource non numérique",IF(MIN(N($P234),N($Q234))&lt;0,"Ressource négative",IF(OR(AND($AH234&lt;&gt;"",OR(NOT(ISNUMBER($AH234)),$AH234&lt;0,$AH234&gt;1)),AND($AI234&lt;&gt;"",OR(NOT(ISNUMBER($AI234)),$AI234&lt;0,$AI234&gt;1))),"Marge spécifique invalide (0–100 %)",IF(OR(AND($U234&lt;&gt;"",NOT(ISNUMBER($U234))),AND($V234&lt;&gt;"",NOT(ISNUMBER($V234))),AND($W234&lt;&gt;"",NOT(ISNUMBER($W234)))),"Mois invalide",IF(AND(OR($G234="À migrer",$G234="À décommissionner"),COUNTIFS(TblClusters[Cluster],$I234,TblClusters[Plateforme],"IKS")=0),"Cluster IKS inconnu",IF(AND(OR($G234="À migrer",$G234="Migré"),COUNTIFS(TblClusters[Cluster],$O234,TblClusters[Plateforme],"ROKS")=0),"Cluster ROKS inconnu",IF(AND(OR($G234="À migrer",$G234="À décommissionner"),COUNTIFS(TblClusters[Cluster],$I234,TblClusters[Environnement],$E234)=0),"Environnement ≠ cluster IKS",IF(AND(OR($G234="À migrer",$G234="Migré"),COUNTIFS(TblClusters[Cluster],$O234,TblClusters[Environnement],$E234)=0),"Environnement ≠ cluster ROKS",IF(AND($G234="À migrer",OR($U234&gt;$V234,$V234&gt;$W234)),"Dates incohérentes (prov ≤ bascule ≤ libération)",IF(AND(OR($G234="À migrer",$G234="À décommissionner"),OR(N($AO234)&gt;SUMIFS(TblClusters[CPU initial (vCPU)],TblClusters[Cluster],$I234),N($AP234)&gt;SUMIFS(TblClusters[RAM initiale (Go)],TblClusters[Cluster],$I234))),"Forçage &gt; capacité du cluster source",IF(OR(AND($AA234&lt;&gt;"",$AA234&lt;p_debut),AND($AB234&lt;&gt;"",$AB234&gt;p_fin)),"Hors horizon (info)",IF(AND($G234="À migrer",$E234="PRD",COUNTIFS(TblApplications[ID],$C234,TblApplications[Environnement],"NPRD",TblApplications[Action],"À migrer")&gt;0,$AA234&lt;_xlfn.MINIFS(TblApplications[Mois prov (calc)],TblApplications[ID],$C234,TblApplications[Environnement],"NPRD")),"PRD avant NPRD (info)","OK")))))))))))))))))))))</f>
        <v/>
      </c>
      <c r="AH234" s="62"/>
      <c r="AI234" s="62"/>
      <c r="AJ234" s="27" t="str">
        <f>IF(OR($C234="",NOT(OR($G234="À migrer",$G234="À décommissionner")),NOT(ISNUMBER($S234)),NOT(ISNUMBER($T234)),$AB234=""),"",($S234+p_poidsram*$T234)*SUMIFS(TblCalculs[Coût par unité],TblCalculs[Cluster],$I234,TblCalculs[Mois],"&lt;"&amp;$AB234))</f>
        <v/>
      </c>
      <c r="AK234" s="27" t="str">
        <f>IF($C234="","",IF(AND($G234="À migrer",$H234="Non",$Y234&lt;&gt;"",$AA234&lt;&gt;""),($Y234+p_poidsram*$Z234)*SUMIFS(TblCalculs[Coût par unité],TblCalculs[Cluster],$O234,TblCalculs[Mois],"&gt;="&amp;$AA234),IF(AND($G234="Migré",$Y234&lt;&gt;""),($Y234+p_poidsram*$Z234)*SUMIFS(TblCalculs[Coût par unité],TblCalculs[Cluster],$O234),"")))</f>
        <v/>
      </c>
      <c r="AL234" s="27" t="str">
        <f t="shared" si="30"/>
        <v/>
      </c>
      <c r="AM234" s="26" t="str">
        <f t="shared" si="31"/>
        <v/>
      </c>
      <c r="AN234" s="26" t="str">
        <f>IF(OR($C234="",$AM234&lt;&gt;1,COUNTIFS($E234,ex_envc,$A234,ex_domc,$B234,ex_tric)=0),"",COUNTIFS($AM$6:$AM234,1,$E$6:$E234,ex_envc,$A$6:$A234,ex_domc,$B$6:$B234,ex_tric))</f>
        <v/>
      </c>
      <c r="AO234" s="63"/>
      <c r="AP234" s="63"/>
      <c r="AQ234" s="63"/>
      <c r="AR234" s="63"/>
    </row>
    <row r="235" spans="1:44" x14ac:dyDescent="0.2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26" t="str">
        <f t="shared" si="24"/>
        <v/>
      </c>
      <c r="O235" s="59"/>
      <c r="P235" s="60" t="str">
        <f>IF($C235="","",IF($AQ235&lt;&gt;"",$AQ235,SUMIFS(TblDynatrace[CPU P95 (vCPU)],TblDynatrace[ID],$C235,TblDynatrace[Environnement],$E235,TblDynatrace[Couloir],$F235)))</f>
        <v/>
      </c>
      <c r="Q235" s="60" t="str">
        <f>IF($C235="","",IF($AR235&lt;&gt;"",$AR235,SUMIFS(TblDynatrace[RAM P95 (Go)],TblDynatrace[ID],$C235,TblDynatrace[Environnement],$E235,TblDynatrace[Couloir],$F235)))</f>
        <v/>
      </c>
      <c r="R235" s="26" t="str">
        <f>IF($C235="","",IFERROR(INDEX(TblDynatrace[Métrique / période],MATCH($C235&amp;"|"&amp;$E235&amp;"|"&amp;$F235,TblDynatrace[Clé],0)),""))</f>
        <v/>
      </c>
      <c r="S235" s="60" t="str">
        <f>IF(OR($C235="",NOT(OR($G235="À migrer",$G235="À décommissionner")),$I235="",NOT(ISNUMBER($P235))),"",IF($AO235&lt;&gt;"",$AO235,IFERROR(SUMIFS(TblClusters[CPU initial (vCPU)],TblClusters[Cluster],$I235)*$P235/(SUMIFS(TblApplications[CPU Dynatrace (vCPU)],TblApplications[Cluster IKS source],$I235,TblApplications[Action],"À migrer")+SUMIFS(TblApplications[CPU Dynatrace (vCPU)],TblApplications[Cluster IKS source],$I235,TblApplications[Action],"À décommissionner")),0)))</f>
        <v/>
      </c>
      <c r="T235" s="60" t="str">
        <f>IF(OR($C235="",NOT(OR($G235="À migrer",$G235="À décommissionner")),$I235="",NOT(ISNUMBER($Q235))),"",IF($AP235&lt;&gt;"",$AP235,IFERROR(SUMIFS(TblClusters[RAM initiale (Go)],TblClusters[Cluster],$I235)*$Q235/(SUMIFS(TblApplications[RAM Dynatrace (Go)],TblApplications[Cluster IKS source],$I235,TblApplications[Action],"À migrer")+SUMIFS(TblApplications[RAM Dynatrace (Go)],TblApplications[Cluster IKS source],$I235,TblApplications[Action],"À décommissionner")),0)))</f>
        <v/>
      </c>
      <c r="U235" s="61"/>
      <c r="V235" s="61"/>
      <c r="W235" s="61"/>
      <c r="X235" s="59"/>
      <c r="Y235" s="26" t="str">
        <f t="shared" si="25"/>
        <v/>
      </c>
      <c r="Z235" s="26" t="str">
        <f t="shared" si="26"/>
        <v/>
      </c>
      <c r="AA235" s="33" t="str">
        <f t="shared" si="27"/>
        <v/>
      </c>
      <c r="AB235" s="33" t="str">
        <f t="shared" si="28"/>
        <v/>
      </c>
      <c r="AC235" s="26" t="str">
        <f t="shared" si="29"/>
        <v/>
      </c>
      <c r="AD235" s="26" t="str">
        <f>IF($C235="","",COUNTIF(TblApplications[ID],$C235))</f>
        <v/>
      </c>
      <c r="AE235" s="33" t="str">
        <f>IF($C235="","",IFERROR(1/(1/_xlfn.MINIFS(TblApplications[Mois prov (calc)],TblApplications[ID],$C235)),""))</f>
        <v/>
      </c>
      <c r="AF235" s="33" t="str">
        <f>IF($C235="","",IFERROR(1/(1/_xlfn.MAXIFS(TblApplications[Mois lib (calc)],TblApplications[ID],$C235)),""))</f>
        <v/>
      </c>
      <c r="AG235" s="26" t="str">
        <f>IF($C235="","",IF(OR(OR($A235="",$B235="",$D235="",$E235="",$F235="",$G235=""),AND($G235="À migrer",OR($H235="",$I235="",$O235="",$U235="",$V235="",$W235="")),AND($G235="Migré",OR($O235="")),AND($G235="À décommissionner",OR($I235="",$W235=""))),"Données manquantes (selon l’action)",IF(AND($G235&lt;&gt;"Migré",$G235&lt;&gt;"À migrer",$G235&lt;&gt;"À décommissionner",$G235&lt;&gt;"Décommissionné"),"Action invalide",IF(COUNTIF(TblDomaines[Domaine],$A235)=0,"Domaine inconnu (référentiel)",IF(COUNTIFS(TblTribes[Tribe],$B235,TblTribes[Domaine de la tribe],$A235)=0,"Tribe inconnue ou hors domaine",IF(AND($G235="À migrer",$H235&lt;&gt;"Oui",$H235&lt;&gt;"Non"),"Valeur Oui/Non invalide (Déjà incluse ROKS)",IF(AND($E235&lt;&gt;"PRD",$E235&lt;&gt;"NPRD"),"Environnement invalide",IF(COUNTIFS(TblApplications[ID],$C235,TblApplications[Environnement],$E235,TblApplications[Couloir],$F235)&gt;1,"Déploiement en doublon (ID + env + couloir)",IF(AND(OR(OR($G235="À migrer",$G235="Migré"),OR($G235="À migrer",$G235="À décommissionner")),N($P235)&lt;=0),"Conso Dynatrace absente (onglet Dynatrace)",IF(OR(AND($P235&lt;&gt;"",NOT(ISNUMBER($P235))),AND($Q235&lt;&gt;"",NOT(ISNUMBER($Q235)))),"Ressource non numérique",IF(MIN(N($P235),N($Q235))&lt;0,"Ressource négative",IF(OR(AND($AH235&lt;&gt;"",OR(NOT(ISNUMBER($AH235)),$AH235&lt;0,$AH235&gt;1)),AND($AI235&lt;&gt;"",OR(NOT(ISNUMBER($AI235)),$AI235&lt;0,$AI235&gt;1))),"Marge spécifique invalide (0–100 %)",IF(OR(AND($U235&lt;&gt;"",NOT(ISNUMBER($U235))),AND($V235&lt;&gt;"",NOT(ISNUMBER($V235))),AND($W235&lt;&gt;"",NOT(ISNUMBER($W235)))),"Mois invalide",IF(AND(OR($G235="À migrer",$G235="À décommissionner"),COUNTIFS(TblClusters[Cluster],$I235,TblClusters[Plateforme],"IKS")=0),"Cluster IKS inconnu",IF(AND(OR($G235="À migrer",$G235="Migré"),COUNTIFS(TblClusters[Cluster],$O235,TblClusters[Plateforme],"ROKS")=0),"Cluster ROKS inconnu",IF(AND(OR($G235="À migrer",$G235="À décommissionner"),COUNTIFS(TblClusters[Cluster],$I235,TblClusters[Environnement],$E235)=0),"Environnement ≠ cluster IKS",IF(AND(OR($G235="À migrer",$G235="Migré"),COUNTIFS(TblClusters[Cluster],$O235,TblClusters[Environnement],$E235)=0),"Environnement ≠ cluster ROKS",IF(AND($G235="À migrer",OR($U235&gt;$V235,$V235&gt;$W235)),"Dates incohérentes (prov ≤ bascule ≤ libération)",IF(AND(OR($G235="À migrer",$G235="À décommissionner"),OR(N($AO235)&gt;SUMIFS(TblClusters[CPU initial (vCPU)],TblClusters[Cluster],$I235),N($AP235)&gt;SUMIFS(TblClusters[RAM initiale (Go)],TblClusters[Cluster],$I235))),"Forçage &gt; capacité du cluster source",IF(OR(AND($AA235&lt;&gt;"",$AA235&lt;p_debut),AND($AB235&lt;&gt;"",$AB235&gt;p_fin)),"Hors horizon (info)",IF(AND($G235="À migrer",$E235="PRD",COUNTIFS(TblApplications[ID],$C235,TblApplications[Environnement],"NPRD",TblApplications[Action],"À migrer")&gt;0,$AA235&lt;_xlfn.MINIFS(TblApplications[Mois prov (calc)],TblApplications[ID],$C235,TblApplications[Environnement],"NPRD")),"PRD avant NPRD (info)","OK")))))))))))))))))))))</f>
        <v/>
      </c>
      <c r="AH235" s="62"/>
      <c r="AI235" s="62"/>
      <c r="AJ235" s="27" t="str">
        <f>IF(OR($C235="",NOT(OR($G235="À migrer",$G235="À décommissionner")),NOT(ISNUMBER($S235)),NOT(ISNUMBER($T235)),$AB235=""),"",($S235+p_poidsram*$T235)*SUMIFS(TblCalculs[Coût par unité],TblCalculs[Cluster],$I235,TblCalculs[Mois],"&lt;"&amp;$AB235))</f>
        <v/>
      </c>
      <c r="AK235" s="27" t="str">
        <f>IF($C235="","",IF(AND($G235="À migrer",$H235="Non",$Y235&lt;&gt;"",$AA235&lt;&gt;""),($Y235+p_poidsram*$Z235)*SUMIFS(TblCalculs[Coût par unité],TblCalculs[Cluster],$O235,TblCalculs[Mois],"&gt;="&amp;$AA235),IF(AND($G235="Migré",$Y235&lt;&gt;""),($Y235+p_poidsram*$Z235)*SUMIFS(TblCalculs[Coût par unité],TblCalculs[Cluster],$O235),"")))</f>
        <v/>
      </c>
      <c r="AL235" s="27" t="str">
        <f t="shared" si="30"/>
        <v/>
      </c>
      <c r="AM235" s="26" t="str">
        <f t="shared" si="31"/>
        <v/>
      </c>
      <c r="AN235" s="26" t="str">
        <f>IF(OR($C235="",$AM235&lt;&gt;1,COUNTIFS($E235,ex_envc,$A235,ex_domc,$B235,ex_tric)=0),"",COUNTIFS($AM$6:$AM235,1,$E$6:$E235,ex_envc,$A$6:$A235,ex_domc,$B$6:$B235,ex_tric))</f>
        <v/>
      </c>
      <c r="AO235" s="63"/>
      <c r="AP235" s="63"/>
      <c r="AQ235" s="63"/>
      <c r="AR235" s="63"/>
    </row>
    <row r="236" spans="1:44" x14ac:dyDescent="0.2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26" t="str">
        <f t="shared" si="24"/>
        <v/>
      </c>
      <c r="O236" s="59"/>
      <c r="P236" s="60" t="str">
        <f>IF($C236="","",IF($AQ236&lt;&gt;"",$AQ236,SUMIFS(TblDynatrace[CPU P95 (vCPU)],TblDynatrace[ID],$C236,TblDynatrace[Environnement],$E236,TblDynatrace[Couloir],$F236)))</f>
        <v/>
      </c>
      <c r="Q236" s="60" t="str">
        <f>IF($C236="","",IF($AR236&lt;&gt;"",$AR236,SUMIFS(TblDynatrace[RAM P95 (Go)],TblDynatrace[ID],$C236,TblDynatrace[Environnement],$E236,TblDynatrace[Couloir],$F236)))</f>
        <v/>
      </c>
      <c r="R236" s="26" t="str">
        <f>IF($C236="","",IFERROR(INDEX(TblDynatrace[Métrique / période],MATCH($C236&amp;"|"&amp;$E236&amp;"|"&amp;$F236,TblDynatrace[Clé],0)),""))</f>
        <v/>
      </c>
      <c r="S236" s="60" t="str">
        <f>IF(OR($C236="",NOT(OR($G236="À migrer",$G236="À décommissionner")),$I236="",NOT(ISNUMBER($P236))),"",IF($AO236&lt;&gt;"",$AO236,IFERROR(SUMIFS(TblClusters[CPU initial (vCPU)],TblClusters[Cluster],$I236)*$P236/(SUMIFS(TblApplications[CPU Dynatrace (vCPU)],TblApplications[Cluster IKS source],$I236,TblApplications[Action],"À migrer")+SUMIFS(TblApplications[CPU Dynatrace (vCPU)],TblApplications[Cluster IKS source],$I236,TblApplications[Action],"À décommissionner")),0)))</f>
        <v/>
      </c>
      <c r="T236" s="60" t="str">
        <f>IF(OR($C236="",NOT(OR($G236="À migrer",$G236="À décommissionner")),$I236="",NOT(ISNUMBER($Q236))),"",IF($AP236&lt;&gt;"",$AP236,IFERROR(SUMIFS(TblClusters[RAM initiale (Go)],TblClusters[Cluster],$I236)*$Q236/(SUMIFS(TblApplications[RAM Dynatrace (Go)],TblApplications[Cluster IKS source],$I236,TblApplications[Action],"À migrer")+SUMIFS(TblApplications[RAM Dynatrace (Go)],TblApplications[Cluster IKS source],$I236,TblApplications[Action],"À décommissionner")),0)))</f>
        <v/>
      </c>
      <c r="U236" s="61"/>
      <c r="V236" s="61"/>
      <c r="W236" s="61"/>
      <c r="X236" s="59"/>
      <c r="Y236" s="26" t="str">
        <f t="shared" si="25"/>
        <v/>
      </c>
      <c r="Z236" s="26" t="str">
        <f t="shared" si="26"/>
        <v/>
      </c>
      <c r="AA236" s="33" t="str">
        <f t="shared" si="27"/>
        <v/>
      </c>
      <c r="AB236" s="33" t="str">
        <f t="shared" si="28"/>
        <v/>
      </c>
      <c r="AC236" s="26" t="str">
        <f t="shared" si="29"/>
        <v/>
      </c>
      <c r="AD236" s="26" t="str">
        <f>IF($C236="","",COUNTIF(TblApplications[ID],$C236))</f>
        <v/>
      </c>
      <c r="AE236" s="33" t="str">
        <f>IF($C236="","",IFERROR(1/(1/_xlfn.MINIFS(TblApplications[Mois prov (calc)],TblApplications[ID],$C236)),""))</f>
        <v/>
      </c>
      <c r="AF236" s="33" t="str">
        <f>IF($C236="","",IFERROR(1/(1/_xlfn.MAXIFS(TblApplications[Mois lib (calc)],TblApplications[ID],$C236)),""))</f>
        <v/>
      </c>
      <c r="AG236" s="26" t="str">
        <f>IF($C236="","",IF(OR(OR($A236="",$B236="",$D236="",$E236="",$F236="",$G236=""),AND($G236="À migrer",OR($H236="",$I236="",$O236="",$U236="",$V236="",$W236="")),AND($G236="Migré",OR($O236="")),AND($G236="À décommissionner",OR($I236="",$W236=""))),"Données manquantes (selon l’action)",IF(AND($G236&lt;&gt;"Migré",$G236&lt;&gt;"À migrer",$G236&lt;&gt;"À décommissionner",$G236&lt;&gt;"Décommissionné"),"Action invalide",IF(COUNTIF(TblDomaines[Domaine],$A236)=0,"Domaine inconnu (référentiel)",IF(COUNTIFS(TblTribes[Tribe],$B236,TblTribes[Domaine de la tribe],$A236)=0,"Tribe inconnue ou hors domaine",IF(AND($G236="À migrer",$H236&lt;&gt;"Oui",$H236&lt;&gt;"Non"),"Valeur Oui/Non invalide (Déjà incluse ROKS)",IF(AND($E236&lt;&gt;"PRD",$E236&lt;&gt;"NPRD"),"Environnement invalide",IF(COUNTIFS(TblApplications[ID],$C236,TblApplications[Environnement],$E236,TblApplications[Couloir],$F236)&gt;1,"Déploiement en doublon (ID + env + couloir)",IF(AND(OR(OR($G236="À migrer",$G236="Migré"),OR($G236="À migrer",$G236="À décommissionner")),N($P236)&lt;=0),"Conso Dynatrace absente (onglet Dynatrace)",IF(OR(AND($P236&lt;&gt;"",NOT(ISNUMBER($P236))),AND($Q236&lt;&gt;"",NOT(ISNUMBER($Q236)))),"Ressource non numérique",IF(MIN(N($P236),N($Q236))&lt;0,"Ressource négative",IF(OR(AND($AH236&lt;&gt;"",OR(NOT(ISNUMBER($AH236)),$AH236&lt;0,$AH236&gt;1)),AND($AI236&lt;&gt;"",OR(NOT(ISNUMBER($AI236)),$AI236&lt;0,$AI236&gt;1))),"Marge spécifique invalide (0–100 %)",IF(OR(AND($U236&lt;&gt;"",NOT(ISNUMBER($U236))),AND($V236&lt;&gt;"",NOT(ISNUMBER($V236))),AND($W236&lt;&gt;"",NOT(ISNUMBER($W236)))),"Mois invalide",IF(AND(OR($G236="À migrer",$G236="À décommissionner"),COUNTIFS(TblClusters[Cluster],$I236,TblClusters[Plateforme],"IKS")=0),"Cluster IKS inconnu",IF(AND(OR($G236="À migrer",$G236="Migré"),COUNTIFS(TblClusters[Cluster],$O236,TblClusters[Plateforme],"ROKS")=0),"Cluster ROKS inconnu",IF(AND(OR($G236="À migrer",$G236="À décommissionner"),COUNTIFS(TblClusters[Cluster],$I236,TblClusters[Environnement],$E236)=0),"Environnement ≠ cluster IKS",IF(AND(OR($G236="À migrer",$G236="Migré"),COUNTIFS(TblClusters[Cluster],$O236,TblClusters[Environnement],$E236)=0),"Environnement ≠ cluster ROKS",IF(AND($G236="À migrer",OR($U236&gt;$V236,$V236&gt;$W236)),"Dates incohérentes (prov ≤ bascule ≤ libération)",IF(AND(OR($G236="À migrer",$G236="À décommissionner"),OR(N($AO236)&gt;SUMIFS(TblClusters[CPU initial (vCPU)],TblClusters[Cluster],$I236),N($AP236)&gt;SUMIFS(TblClusters[RAM initiale (Go)],TblClusters[Cluster],$I236))),"Forçage &gt; capacité du cluster source",IF(OR(AND($AA236&lt;&gt;"",$AA236&lt;p_debut),AND($AB236&lt;&gt;"",$AB236&gt;p_fin)),"Hors horizon (info)",IF(AND($G236="À migrer",$E236="PRD",COUNTIFS(TblApplications[ID],$C236,TblApplications[Environnement],"NPRD",TblApplications[Action],"À migrer")&gt;0,$AA236&lt;_xlfn.MINIFS(TblApplications[Mois prov (calc)],TblApplications[ID],$C236,TblApplications[Environnement],"NPRD")),"PRD avant NPRD (info)","OK")))))))))))))))))))))</f>
        <v/>
      </c>
      <c r="AH236" s="62"/>
      <c r="AI236" s="62"/>
      <c r="AJ236" s="27" t="str">
        <f>IF(OR($C236="",NOT(OR($G236="À migrer",$G236="À décommissionner")),NOT(ISNUMBER($S236)),NOT(ISNUMBER($T236)),$AB236=""),"",($S236+p_poidsram*$T236)*SUMIFS(TblCalculs[Coût par unité],TblCalculs[Cluster],$I236,TblCalculs[Mois],"&lt;"&amp;$AB236))</f>
        <v/>
      </c>
      <c r="AK236" s="27" t="str">
        <f>IF($C236="","",IF(AND($G236="À migrer",$H236="Non",$Y236&lt;&gt;"",$AA236&lt;&gt;""),($Y236+p_poidsram*$Z236)*SUMIFS(TblCalculs[Coût par unité],TblCalculs[Cluster],$O236,TblCalculs[Mois],"&gt;="&amp;$AA236),IF(AND($G236="Migré",$Y236&lt;&gt;""),($Y236+p_poidsram*$Z236)*SUMIFS(TblCalculs[Coût par unité],TblCalculs[Cluster],$O236),"")))</f>
        <v/>
      </c>
      <c r="AL236" s="27" t="str">
        <f t="shared" si="30"/>
        <v/>
      </c>
      <c r="AM236" s="26" t="str">
        <f t="shared" si="31"/>
        <v/>
      </c>
      <c r="AN236" s="26" t="str">
        <f>IF(OR($C236="",$AM236&lt;&gt;1,COUNTIFS($E236,ex_envc,$A236,ex_domc,$B236,ex_tric)=0),"",COUNTIFS($AM$6:$AM236,1,$E$6:$E236,ex_envc,$A$6:$A236,ex_domc,$B$6:$B236,ex_tric))</f>
        <v/>
      </c>
      <c r="AO236" s="63"/>
      <c r="AP236" s="63"/>
      <c r="AQ236" s="63"/>
      <c r="AR236" s="63"/>
    </row>
    <row r="237" spans="1:44" x14ac:dyDescent="0.2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26" t="str">
        <f t="shared" si="24"/>
        <v/>
      </c>
      <c r="O237" s="59"/>
      <c r="P237" s="60" t="str">
        <f>IF($C237="","",IF($AQ237&lt;&gt;"",$AQ237,SUMIFS(TblDynatrace[CPU P95 (vCPU)],TblDynatrace[ID],$C237,TblDynatrace[Environnement],$E237,TblDynatrace[Couloir],$F237)))</f>
        <v/>
      </c>
      <c r="Q237" s="60" t="str">
        <f>IF($C237="","",IF($AR237&lt;&gt;"",$AR237,SUMIFS(TblDynatrace[RAM P95 (Go)],TblDynatrace[ID],$C237,TblDynatrace[Environnement],$E237,TblDynatrace[Couloir],$F237)))</f>
        <v/>
      </c>
      <c r="R237" s="26" t="str">
        <f>IF($C237="","",IFERROR(INDEX(TblDynatrace[Métrique / période],MATCH($C237&amp;"|"&amp;$E237&amp;"|"&amp;$F237,TblDynatrace[Clé],0)),""))</f>
        <v/>
      </c>
      <c r="S237" s="60" t="str">
        <f>IF(OR($C237="",NOT(OR($G237="À migrer",$G237="À décommissionner")),$I237="",NOT(ISNUMBER($P237))),"",IF($AO237&lt;&gt;"",$AO237,IFERROR(SUMIFS(TblClusters[CPU initial (vCPU)],TblClusters[Cluster],$I237)*$P237/(SUMIFS(TblApplications[CPU Dynatrace (vCPU)],TblApplications[Cluster IKS source],$I237,TblApplications[Action],"À migrer")+SUMIFS(TblApplications[CPU Dynatrace (vCPU)],TblApplications[Cluster IKS source],$I237,TblApplications[Action],"À décommissionner")),0)))</f>
        <v/>
      </c>
      <c r="T237" s="60" t="str">
        <f>IF(OR($C237="",NOT(OR($G237="À migrer",$G237="À décommissionner")),$I237="",NOT(ISNUMBER($Q237))),"",IF($AP237&lt;&gt;"",$AP237,IFERROR(SUMIFS(TblClusters[RAM initiale (Go)],TblClusters[Cluster],$I237)*$Q237/(SUMIFS(TblApplications[RAM Dynatrace (Go)],TblApplications[Cluster IKS source],$I237,TblApplications[Action],"À migrer")+SUMIFS(TblApplications[RAM Dynatrace (Go)],TblApplications[Cluster IKS source],$I237,TblApplications[Action],"À décommissionner")),0)))</f>
        <v/>
      </c>
      <c r="U237" s="61"/>
      <c r="V237" s="61"/>
      <c r="W237" s="61"/>
      <c r="X237" s="59"/>
      <c r="Y237" s="26" t="str">
        <f t="shared" si="25"/>
        <v/>
      </c>
      <c r="Z237" s="26" t="str">
        <f t="shared" si="26"/>
        <v/>
      </c>
      <c r="AA237" s="33" t="str">
        <f t="shared" si="27"/>
        <v/>
      </c>
      <c r="AB237" s="33" t="str">
        <f t="shared" si="28"/>
        <v/>
      </c>
      <c r="AC237" s="26" t="str">
        <f t="shared" si="29"/>
        <v/>
      </c>
      <c r="AD237" s="26" t="str">
        <f>IF($C237="","",COUNTIF(TblApplications[ID],$C237))</f>
        <v/>
      </c>
      <c r="AE237" s="33" t="str">
        <f>IF($C237="","",IFERROR(1/(1/_xlfn.MINIFS(TblApplications[Mois prov (calc)],TblApplications[ID],$C237)),""))</f>
        <v/>
      </c>
      <c r="AF237" s="33" t="str">
        <f>IF($C237="","",IFERROR(1/(1/_xlfn.MAXIFS(TblApplications[Mois lib (calc)],TblApplications[ID],$C237)),""))</f>
        <v/>
      </c>
      <c r="AG237" s="26" t="str">
        <f>IF($C237="","",IF(OR(OR($A237="",$B237="",$D237="",$E237="",$F237="",$G237=""),AND($G237="À migrer",OR($H237="",$I237="",$O237="",$U237="",$V237="",$W237="")),AND($G237="Migré",OR($O237="")),AND($G237="À décommissionner",OR($I237="",$W237=""))),"Données manquantes (selon l’action)",IF(AND($G237&lt;&gt;"Migré",$G237&lt;&gt;"À migrer",$G237&lt;&gt;"À décommissionner",$G237&lt;&gt;"Décommissionné"),"Action invalide",IF(COUNTIF(TblDomaines[Domaine],$A237)=0,"Domaine inconnu (référentiel)",IF(COUNTIFS(TblTribes[Tribe],$B237,TblTribes[Domaine de la tribe],$A237)=0,"Tribe inconnue ou hors domaine",IF(AND($G237="À migrer",$H237&lt;&gt;"Oui",$H237&lt;&gt;"Non"),"Valeur Oui/Non invalide (Déjà incluse ROKS)",IF(AND($E237&lt;&gt;"PRD",$E237&lt;&gt;"NPRD"),"Environnement invalide",IF(COUNTIFS(TblApplications[ID],$C237,TblApplications[Environnement],$E237,TblApplications[Couloir],$F237)&gt;1,"Déploiement en doublon (ID + env + couloir)",IF(AND(OR(OR($G237="À migrer",$G237="Migré"),OR($G237="À migrer",$G237="À décommissionner")),N($P237)&lt;=0),"Conso Dynatrace absente (onglet Dynatrace)",IF(OR(AND($P237&lt;&gt;"",NOT(ISNUMBER($P237))),AND($Q237&lt;&gt;"",NOT(ISNUMBER($Q237)))),"Ressource non numérique",IF(MIN(N($P237),N($Q237))&lt;0,"Ressource négative",IF(OR(AND($AH237&lt;&gt;"",OR(NOT(ISNUMBER($AH237)),$AH237&lt;0,$AH237&gt;1)),AND($AI237&lt;&gt;"",OR(NOT(ISNUMBER($AI237)),$AI237&lt;0,$AI237&gt;1))),"Marge spécifique invalide (0–100 %)",IF(OR(AND($U237&lt;&gt;"",NOT(ISNUMBER($U237))),AND($V237&lt;&gt;"",NOT(ISNUMBER($V237))),AND($W237&lt;&gt;"",NOT(ISNUMBER($W237)))),"Mois invalide",IF(AND(OR($G237="À migrer",$G237="À décommissionner"),COUNTIFS(TblClusters[Cluster],$I237,TblClusters[Plateforme],"IKS")=0),"Cluster IKS inconnu",IF(AND(OR($G237="À migrer",$G237="Migré"),COUNTIFS(TblClusters[Cluster],$O237,TblClusters[Plateforme],"ROKS")=0),"Cluster ROKS inconnu",IF(AND(OR($G237="À migrer",$G237="À décommissionner"),COUNTIFS(TblClusters[Cluster],$I237,TblClusters[Environnement],$E237)=0),"Environnement ≠ cluster IKS",IF(AND(OR($G237="À migrer",$G237="Migré"),COUNTIFS(TblClusters[Cluster],$O237,TblClusters[Environnement],$E237)=0),"Environnement ≠ cluster ROKS",IF(AND($G237="À migrer",OR($U237&gt;$V237,$V237&gt;$W237)),"Dates incohérentes (prov ≤ bascule ≤ libération)",IF(AND(OR($G237="À migrer",$G237="À décommissionner"),OR(N($AO237)&gt;SUMIFS(TblClusters[CPU initial (vCPU)],TblClusters[Cluster],$I237),N($AP237)&gt;SUMIFS(TblClusters[RAM initiale (Go)],TblClusters[Cluster],$I237))),"Forçage &gt; capacité du cluster source",IF(OR(AND($AA237&lt;&gt;"",$AA237&lt;p_debut),AND($AB237&lt;&gt;"",$AB237&gt;p_fin)),"Hors horizon (info)",IF(AND($G237="À migrer",$E237="PRD",COUNTIFS(TblApplications[ID],$C237,TblApplications[Environnement],"NPRD",TblApplications[Action],"À migrer")&gt;0,$AA237&lt;_xlfn.MINIFS(TblApplications[Mois prov (calc)],TblApplications[ID],$C237,TblApplications[Environnement],"NPRD")),"PRD avant NPRD (info)","OK")))))))))))))))))))))</f>
        <v/>
      </c>
      <c r="AH237" s="62"/>
      <c r="AI237" s="62"/>
      <c r="AJ237" s="27" t="str">
        <f>IF(OR($C237="",NOT(OR($G237="À migrer",$G237="À décommissionner")),NOT(ISNUMBER($S237)),NOT(ISNUMBER($T237)),$AB237=""),"",($S237+p_poidsram*$T237)*SUMIFS(TblCalculs[Coût par unité],TblCalculs[Cluster],$I237,TblCalculs[Mois],"&lt;"&amp;$AB237))</f>
        <v/>
      </c>
      <c r="AK237" s="27" t="str">
        <f>IF($C237="","",IF(AND($G237="À migrer",$H237="Non",$Y237&lt;&gt;"",$AA237&lt;&gt;""),($Y237+p_poidsram*$Z237)*SUMIFS(TblCalculs[Coût par unité],TblCalculs[Cluster],$O237,TblCalculs[Mois],"&gt;="&amp;$AA237),IF(AND($G237="Migré",$Y237&lt;&gt;""),($Y237+p_poidsram*$Z237)*SUMIFS(TblCalculs[Coût par unité],TblCalculs[Cluster],$O237),"")))</f>
        <v/>
      </c>
      <c r="AL237" s="27" t="str">
        <f t="shared" si="30"/>
        <v/>
      </c>
      <c r="AM237" s="26" t="str">
        <f t="shared" si="31"/>
        <v/>
      </c>
      <c r="AN237" s="26" t="str">
        <f>IF(OR($C237="",$AM237&lt;&gt;1,COUNTIFS($E237,ex_envc,$A237,ex_domc,$B237,ex_tric)=0),"",COUNTIFS($AM$6:$AM237,1,$E$6:$E237,ex_envc,$A$6:$A237,ex_domc,$B$6:$B237,ex_tric))</f>
        <v/>
      </c>
      <c r="AO237" s="63"/>
      <c r="AP237" s="63"/>
      <c r="AQ237" s="63"/>
      <c r="AR237" s="63"/>
    </row>
    <row r="238" spans="1:44" x14ac:dyDescent="0.2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26" t="str">
        <f t="shared" si="24"/>
        <v/>
      </c>
      <c r="O238" s="59"/>
      <c r="P238" s="60" t="str">
        <f>IF($C238="","",IF($AQ238&lt;&gt;"",$AQ238,SUMIFS(TblDynatrace[CPU P95 (vCPU)],TblDynatrace[ID],$C238,TblDynatrace[Environnement],$E238,TblDynatrace[Couloir],$F238)))</f>
        <v/>
      </c>
      <c r="Q238" s="60" t="str">
        <f>IF($C238="","",IF($AR238&lt;&gt;"",$AR238,SUMIFS(TblDynatrace[RAM P95 (Go)],TblDynatrace[ID],$C238,TblDynatrace[Environnement],$E238,TblDynatrace[Couloir],$F238)))</f>
        <v/>
      </c>
      <c r="R238" s="26" t="str">
        <f>IF($C238="","",IFERROR(INDEX(TblDynatrace[Métrique / période],MATCH($C238&amp;"|"&amp;$E238&amp;"|"&amp;$F238,TblDynatrace[Clé],0)),""))</f>
        <v/>
      </c>
      <c r="S238" s="60" t="str">
        <f>IF(OR($C238="",NOT(OR($G238="À migrer",$G238="À décommissionner")),$I238="",NOT(ISNUMBER($P238))),"",IF($AO238&lt;&gt;"",$AO238,IFERROR(SUMIFS(TblClusters[CPU initial (vCPU)],TblClusters[Cluster],$I238)*$P238/(SUMIFS(TblApplications[CPU Dynatrace (vCPU)],TblApplications[Cluster IKS source],$I238,TblApplications[Action],"À migrer")+SUMIFS(TblApplications[CPU Dynatrace (vCPU)],TblApplications[Cluster IKS source],$I238,TblApplications[Action],"À décommissionner")),0)))</f>
        <v/>
      </c>
      <c r="T238" s="60" t="str">
        <f>IF(OR($C238="",NOT(OR($G238="À migrer",$G238="À décommissionner")),$I238="",NOT(ISNUMBER($Q238))),"",IF($AP238&lt;&gt;"",$AP238,IFERROR(SUMIFS(TblClusters[RAM initiale (Go)],TblClusters[Cluster],$I238)*$Q238/(SUMIFS(TblApplications[RAM Dynatrace (Go)],TblApplications[Cluster IKS source],$I238,TblApplications[Action],"À migrer")+SUMIFS(TblApplications[RAM Dynatrace (Go)],TblApplications[Cluster IKS source],$I238,TblApplications[Action],"À décommissionner")),0)))</f>
        <v/>
      </c>
      <c r="U238" s="61"/>
      <c r="V238" s="61"/>
      <c r="W238" s="61"/>
      <c r="X238" s="59"/>
      <c r="Y238" s="26" t="str">
        <f t="shared" si="25"/>
        <v/>
      </c>
      <c r="Z238" s="26" t="str">
        <f t="shared" si="26"/>
        <v/>
      </c>
      <c r="AA238" s="33" t="str">
        <f t="shared" si="27"/>
        <v/>
      </c>
      <c r="AB238" s="33" t="str">
        <f t="shared" si="28"/>
        <v/>
      </c>
      <c r="AC238" s="26" t="str">
        <f t="shared" si="29"/>
        <v/>
      </c>
      <c r="AD238" s="26" t="str">
        <f>IF($C238="","",COUNTIF(TblApplications[ID],$C238))</f>
        <v/>
      </c>
      <c r="AE238" s="33" t="str">
        <f>IF($C238="","",IFERROR(1/(1/_xlfn.MINIFS(TblApplications[Mois prov (calc)],TblApplications[ID],$C238)),""))</f>
        <v/>
      </c>
      <c r="AF238" s="33" t="str">
        <f>IF($C238="","",IFERROR(1/(1/_xlfn.MAXIFS(TblApplications[Mois lib (calc)],TblApplications[ID],$C238)),""))</f>
        <v/>
      </c>
      <c r="AG238" s="26" t="str">
        <f>IF($C238="","",IF(OR(OR($A238="",$B238="",$D238="",$E238="",$F238="",$G238=""),AND($G238="À migrer",OR($H238="",$I238="",$O238="",$U238="",$V238="",$W238="")),AND($G238="Migré",OR($O238="")),AND($G238="À décommissionner",OR($I238="",$W238=""))),"Données manquantes (selon l’action)",IF(AND($G238&lt;&gt;"Migré",$G238&lt;&gt;"À migrer",$G238&lt;&gt;"À décommissionner",$G238&lt;&gt;"Décommissionné"),"Action invalide",IF(COUNTIF(TblDomaines[Domaine],$A238)=0,"Domaine inconnu (référentiel)",IF(COUNTIFS(TblTribes[Tribe],$B238,TblTribes[Domaine de la tribe],$A238)=0,"Tribe inconnue ou hors domaine",IF(AND($G238="À migrer",$H238&lt;&gt;"Oui",$H238&lt;&gt;"Non"),"Valeur Oui/Non invalide (Déjà incluse ROKS)",IF(AND($E238&lt;&gt;"PRD",$E238&lt;&gt;"NPRD"),"Environnement invalide",IF(COUNTIFS(TblApplications[ID],$C238,TblApplications[Environnement],$E238,TblApplications[Couloir],$F238)&gt;1,"Déploiement en doublon (ID + env + couloir)",IF(AND(OR(OR($G238="À migrer",$G238="Migré"),OR($G238="À migrer",$G238="À décommissionner")),N($P238)&lt;=0),"Conso Dynatrace absente (onglet Dynatrace)",IF(OR(AND($P238&lt;&gt;"",NOT(ISNUMBER($P238))),AND($Q238&lt;&gt;"",NOT(ISNUMBER($Q238)))),"Ressource non numérique",IF(MIN(N($P238),N($Q238))&lt;0,"Ressource négative",IF(OR(AND($AH238&lt;&gt;"",OR(NOT(ISNUMBER($AH238)),$AH238&lt;0,$AH238&gt;1)),AND($AI238&lt;&gt;"",OR(NOT(ISNUMBER($AI238)),$AI238&lt;0,$AI238&gt;1))),"Marge spécifique invalide (0–100 %)",IF(OR(AND($U238&lt;&gt;"",NOT(ISNUMBER($U238))),AND($V238&lt;&gt;"",NOT(ISNUMBER($V238))),AND($W238&lt;&gt;"",NOT(ISNUMBER($W238)))),"Mois invalide",IF(AND(OR($G238="À migrer",$G238="À décommissionner"),COUNTIFS(TblClusters[Cluster],$I238,TblClusters[Plateforme],"IKS")=0),"Cluster IKS inconnu",IF(AND(OR($G238="À migrer",$G238="Migré"),COUNTIFS(TblClusters[Cluster],$O238,TblClusters[Plateforme],"ROKS")=0),"Cluster ROKS inconnu",IF(AND(OR($G238="À migrer",$G238="À décommissionner"),COUNTIFS(TblClusters[Cluster],$I238,TblClusters[Environnement],$E238)=0),"Environnement ≠ cluster IKS",IF(AND(OR($G238="À migrer",$G238="Migré"),COUNTIFS(TblClusters[Cluster],$O238,TblClusters[Environnement],$E238)=0),"Environnement ≠ cluster ROKS",IF(AND($G238="À migrer",OR($U238&gt;$V238,$V238&gt;$W238)),"Dates incohérentes (prov ≤ bascule ≤ libération)",IF(AND(OR($G238="À migrer",$G238="À décommissionner"),OR(N($AO238)&gt;SUMIFS(TblClusters[CPU initial (vCPU)],TblClusters[Cluster],$I238),N($AP238)&gt;SUMIFS(TblClusters[RAM initiale (Go)],TblClusters[Cluster],$I238))),"Forçage &gt; capacité du cluster source",IF(OR(AND($AA238&lt;&gt;"",$AA238&lt;p_debut),AND($AB238&lt;&gt;"",$AB238&gt;p_fin)),"Hors horizon (info)",IF(AND($G238="À migrer",$E238="PRD",COUNTIFS(TblApplications[ID],$C238,TblApplications[Environnement],"NPRD",TblApplications[Action],"À migrer")&gt;0,$AA238&lt;_xlfn.MINIFS(TblApplications[Mois prov (calc)],TblApplications[ID],$C238,TblApplications[Environnement],"NPRD")),"PRD avant NPRD (info)","OK")))))))))))))))))))))</f>
        <v/>
      </c>
      <c r="AH238" s="62"/>
      <c r="AI238" s="62"/>
      <c r="AJ238" s="27" t="str">
        <f>IF(OR($C238="",NOT(OR($G238="À migrer",$G238="À décommissionner")),NOT(ISNUMBER($S238)),NOT(ISNUMBER($T238)),$AB238=""),"",($S238+p_poidsram*$T238)*SUMIFS(TblCalculs[Coût par unité],TblCalculs[Cluster],$I238,TblCalculs[Mois],"&lt;"&amp;$AB238))</f>
        <v/>
      </c>
      <c r="AK238" s="27" t="str">
        <f>IF($C238="","",IF(AND($G238="À migrer",$H238="Non",$Y238&lt;&gt;"",$AA238&lt;&gt;""),($Y238+p_poidsram*$Z238)*SUMIFS(TblCalculs[Coût par unité],TblCalculs[Cluster],$O238,TblCalculs[Mois],"&gt;="&amp;$AA238),IF(AND($G238="Migré",$Y238&lt;&gt;""),($Y238+p_poidsram*$Z238)*SUMIFS(TblCalculs[Coût par unité],TblCalculs[Cluster],$O238),"")))</f>
        <v/>
      </c>
      <c r="AL238" s="27" t="str">
        <f t="shared" si="30"/>
        <v/>
      </c>
      <c r="AM238" s="26" t="str">
        <f t="shared" si="31"/>
        <v/>
      </c>
      <c r="AN238" s="26" t="str">
        <f>IF(OR($C238="",$AM238&lt;&gt;1,COUNTIFS($E238,ex_envc,$A238,ex_domc,$B238,ex_tric)=0),"",COUNTIFS($AM$6:$AM238,1,$E$6:$E238,ex_envc,$A$6:$A238,ex_domc,$B$6:$B238,ex_tric))</f>
        <v/>
      </c>
      <c r="AO238" s="63"/>
      <c r="AP238" s="63"/>
      <c r="AQ238" s="63"/>
      <c r="AR238" s="63"/>
    </row>
    <row r="239" spans="1:44" x14ac:dyDescent="0.2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26" t="str">
        <f t="shared" si="24"/>
        <v/>
      </c>
      <c r="O239" s="59"/>
      <c r="P239" s="60" t="str">
        <f>IF($C239="","",IF($AQ239&lt;&gt;"",$AQ239,SUMIFS(TblDynatrace[CPU P95 (vCPU)],TblDynatrace[ID],$C239,TblDynatrace[Environnement],$E239,TblDynatrace[Couloir],$F239)))</f>
        <v/>
      </c>
      <c r="Q239" s="60" t="str">
        <f>IF($C239="","",IF($AR239&lt;&gt;"",$AR239,SUMIFS(TblDynatrace[RAM P95 (Go)],TblDynatrace[ID],$C239,TblDynatrace[Environnement],$E239,TblDynatrace[Couloir],$F239)))</f>
        <v/>
      </c>
      <c r="R239" s="26" t="str">
        <f>IF($C239="","",IFERROR(INDEX(TblDynatrace[Métrique / période],MATCH($C239&amp;"|"&amp;$E239&amp;"|"&amp;$F239,TblDynatrace[Clé],0)),""))</f>
        <v/>
      </c>
      <c r="S239" s="60" t="str">
        <f>IF(OR($C239="",NOT(OR($G239="À migrer",$G239="À décommissionner")),$I239="",NOT(ISNUMBER($P239))),"",IF($AO239&lt;&gt;"",$AO239,IFERROR(SUMIFS(TblClusters[CPU initial (vCPU)],TblClusters[Cluster],$I239)*$P239/(SUMIFS(TblApplications[CPU Dynatrace (vCPU)],TblApplications[Cluster IKS source],$I239,TblApplications[Action],"À migrer")+SUMIFS(TblApplications[CPU Dynatrace (vCPU)],TblApplications[Cluster IKS source],$I239,TblApplications[Action],"À décommissionner")),0)))</f>
        <v/>
      </c>
      <c r="T239" s="60" t="str">
        <f>IF(OR($C239="",NOT(OR($G239="À migrer",$G239="À décommissionner")),$I239="",NOT(ISNUMBER($Q239))),"",IF($AP239&lt;&gt;"",$AP239,IFERROR(SUMIFS(TblClusters[RAM initiale (Go)],TblClusters[Cluster],$I239)*$Q239/(SUMIFS(TblApplications[RAM Dynatrace (Go)],TblApplications[Cluster IKS source],$I239,TblApplications[Action],"À migrer")+SUMIFS(TblApplications[RAM Dynatrace (Go)],TblApplications[Cluster IKS source],$I239,TblApplications[Action],"À décommissionner")),0)))</f>
        <v/>
      </c>
      <c r="U239" s="61"/>
      <c r="V239" s="61"/>
      <c r="W239" s="61"/>
      <c r="X239" s="59"/>
      <c r="Y239" s="26" t="str">
        <f t="shared" si="25"/>
        <v/>
      </c>
      <c r="Z239" s="26" t="str">
        <f t="shared" si="26"/>
        <v/>
      </c>
      <c r="AA239" s="33" t="str">
        <f t="shared" si="27"/>
        <v/>
      </c>
      <c r="AB239" s="33" t="str">
        <f t="shared" si="28"/>
        <v/>
      </c>
      <c r="AC239" s="26" t="str">
        <f t="shared" si="29"/>
        <v/>
      </c>
      <c r="AD239" s="26" t="str">
        <f>IF($C239="","",COUNTIF(TblApplications[ID],$C239))</f>
        <v/>
      </c>
      <c r="AE239" s="33" t="str">
        <f>IF($C239="","",IFERROR(1/(1/_xlfn.MINIFS(TblApplications[Mois prov (calc)],TblApplications[ID],$C239)),""))</f>
        <v/>
      </c>
      <c r="AF239" s="33" t="str">
        <f>IF($C239="","",IFERROR(1/(1/_xlfn.MAXIFS(TblApplications[Mois lib (calc)],TblApplications[ID],$C239)),""))</f>
        <v/>
      </c>
      <c r="AG239" s="26" t="str">
        <f>IF($C239="","",IF(OR(OR($A239="",$B239="",$D239="",$E239="",$F239="",$G239=""),AND($G239="À migrer",OR($H239="",$I239="",$O239="",$U239="",$V239="",$W239="")),AND($G239="Migré",OR($O239="")),AND($G239="À décommissionner",OR($I239="",$W239=""))),"Données manquantes (selon l’action)",IF(AND($G239&lt;&gt;"Migré",$G239&lt;&gt;"À migrer",$G239&lt;&gt;"À décommissionner",$G239&lt;&gt;"Décommissionné"),"Action invalide",IF(COUNTIF(TblDomaines[Domaine],$A239)=0,"Domaine inconnu (référentiel)",IF(COUNTIFS(TblTribes[Tribe],$B239,TblTribes[Domaine de la tribe],$A239)=0,"Tribe inconnue ou hors domaine",IF(AND($G239="À migrer",$H239&lt;&gt;"Oui",$H239&lt;&gt;"Non"),"Valeur Oui/Non invalide (Déjà incluse ROKS)",IF(AND($E239&lt;&gt;"PRD",$E239&lt;&gt;"NPRD"),"Environnement invalide",IF(COUNTIFS(TblApplications[ID],$C239,TblApplications[Environnement],$E239,TblApplications[Couloir],$F239)&gt;1,"Déploiement en doublon (ID + env + couloir)",IF(AND(OR(OR($G239="À migrer",$G239="Migré"),OR($G239="À migrer",$G239="À décommissionner")),N($P239)&lt;=0),"Conso Dynatrace absente (onglet Dynatrace)",IF(OR(AND($P239&lt;&gt;"",NOT(ISNUMBER($P239))),AND($Q239&lt;&gt;"",NOT(ISNUMBER($Q239)))),"Ressource non numérique",IF(MIN(N($P239),N($Q239))&lt;0,"Ressource négative",IF(OR(AND($AH239&lt;&gt;"",OR(NOT(ISNUMBER($AH239)),$AH239&lt;0,$AH239&gt;1)),AND($AI239&lt;&gt;"",OR(NOT(ISNUMBER($AI239)),$AI239&lt;0,$AI239&gt;1))),"Marge spécifique invalide (0–100 %)",IF(OR(AND($U239&lt;&gt;"",NOT(ISNUMBER($U239))),AND($V239&lt;&gt;"",NOT(ISNUMBER($V239))),AND($W239&lt;&gt;"",NOT(ISNUMBER($W239)))),"Mois invalide",IF(AND(OR($G239="À migrer",$G239="À décommissionner"),COUNTIFS(TblClusters[Cluster],$I239,TblClusters[Plateforme],"IKS")=0),"Cluster IKS inconnu",IF(AND(OR($G239="À migrer",$G239="Migré"),COUNTIFS(TblClusters[Cluster],$O239,TblClusters[Plateforme],"ROKS")=0),"Cluster ROKS inconnu",IF(AND(OR($G239="À migrer",$G239="À décommissionner"),COUNTIFS(TblClusters[Cluster],$I239,TblClusters[Environnement],$E239)=0),"Environnement ≠ cluster IKS",IF(AND(OR($G239="À migrer",$G239="Migré"),COUNTIFS(TblClusters[Cluster],$O239,TblClusters[Environnement],$E239)=0),"Environnement ≠ cluster ROKS",IF(AND($G239="À migrer",OR($U239&gt;$V239,$V239&gt;$W239)),"Dates incohérentes (prov ≤ bascule ≤ libération)",IF(AND(OR($G239="À migrer",$G239="À décommissionner"),OR(N($AO239)&gt;SUMIFS(TblClusters[CPU initial (vCPU)],TblClusters[Cluster],$I239),N($AP239)&gt;SUMIFS(TblClusters[RAM initiale (Go)],TblClusters[Cluster],$I239))),"Forçage &gt; capacité du cluster source",IF(OR(AND($AA239&lt;&gt;"",$AA239&lt;p_debut),AND($AB239&lt;&gt;"",$AB239&gt;p_fin)),"Hors horizon (info)",IF(AND($G239="À migrer",$E239="PRD",COUNTIFS(TblApplications[ID],$C239,TblApplications[Environnement],"NPRD",TblApplications[Action],"À migrer")&gt;0,$AA239&lt;_xlfn.MINIFS(TblApplications[Mois prov (calc)],TblApplications[ID],$C239,TblApplications[Environnement],"NPRD")),"PRD avant NPRD (info)","OK")))))))))))))))))))))</f>
        <v/>
      </c>
      <c r="AH239" s="62"/>
      <c r="AI239" s="62"/>
      <c r="AJ239" s="27" t="str">
        <f>IF(OR($C239="",NOT(OR($G239="À migrer",$G239="À décommissionner")),NOT(ISNUMBER($S239)),NOT(ISNUMBER($T239)),$AB239=""),"",($S239+p_poidsram*$T239)*SUMIFS(TblCalculs[Coût par unité],TblCalculs[Cluster],$I239,TblCalculs[Mois],"&lt;"&amp;$AB239))</f>
        <v/>
      </c>
      <c r="AK239" s="27" t="str">
        <f>IF($C239="","",IF(AND($G239="À migrer",$H239="Non",$Y239&lt;&gt;"",$AA239&lt;&gt;""),($Y239+p_poidsram*$Z239)*SUMIFS(TblCalculs[Coût par unité],TblCalculs[Cluster],$O239,TblCalculs[Mois],"&gt;="&amp;$AA239),IF(AND($G239="Migré",$Y239&lt;&gt;""),($Y239+p_poidsram*$Z239)*SUMIFS(TblCalculs[Coût par unité],TblCalculs[Cluster],$O239),"")))</f>
        <v/>
      </c>
      <c r="AL239" s="27" t="str">
        <f t="shared" si="30"/>
        <v/>
      </c>
      <c r="AM239" s="26" t="str">
        <f t="shared" si="31"/>
        <v/>
      </c>
      <c r="AN239" s="26" t="str">
        <f>IF(OR($C239="",$AM239&lt;&gt;1,COUNTIFS($E239,ex_envc,$A239,ex_domc,$B239,ex_tric)=0),"",COUNTIFS($AM$6:$AM239,1,$E$6:$E239,ex_envc,$A$6:$A239,ex_domc,$B$6:$B239,ex_tric))</f>
        <v/>
      </c>
      <c r="AO239" s="63"/>
      <c r="AP239" s="63"/>
      <c r="AQ239" s="63"/>
      <c r="AR239" s="63"/>
    </row>
    <row r="240" spans="1:44" x14ac:dyDescent="0.2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26" t="str">
        <f t="shared" si="24"/>
        <v/>
      </c>
      <c r="O240" s="59"/>
      <c r="P240" s="60" t="str">
        <f>IF($C240="","",IF($AQ240&lt;&gt;"",$AQ240,SUMIFS(TblDynatrace[CPU P95 (vCPU)],TblDynatrace[ID],$C240,TblDynatrace[Environnement],$E240,TblDynatrace[Couloir],$F240)))</f>
        <v/>
      </c>
      <c r="Q240" s="60" t="str">
        <f>IF($C240="","",IF($AR240&lt;&gt;"",$AR240,SUMIFS(TblDynatrace[RAM P95 (Go)],TblDynatrace[ID],$C240,TblDynatrace[Environnement],$E240,TblDynatrace[Couloir],$F240)))</f>
        <v/>
      </c>
      <c r="R240" s="26" t="str">
        <f>IF($C240="","",IFERROR(INDEX(TblDynatrace[Métrique / période],MATCH($C240&amp;"|"&amp;$E240&amp;"|"&amp;$F240,TblDynatrace[Clé],0)),""))</f>
        <v/>
      </c>
      <c r="S240" s="60" t="str">
        <f>IF(OR($C240="",NOT(OR($G240="À migrer",$G240="À décommissionner")),$I240="",NOT(ISNUMBER($P240))),"",IF($AO240&lt;&gt;"",$AO240,IFERROR(SUMIFS(TblClusters[CPU initial (vCPU)],TblClusters[Cluster],$I240)*$P240/(SUMIFS(TblApplications[CPU Dynatrace (vCPU)],TblApplications[Cluster IKS source],$I240,TblApplications[Action],"À migrer")+SUMIFS(TblApplications[CPU Dynatrace (vCPU)],TblApplications[Cluster IKS source],$I240,TblApplications[Action],"À décommissionner")),0)))</f>
        <v/>
      </c>
      <c r="T240" s="60" t="str">
        <f>IF(OR($C240="",NOT(OR($G240="À migrer",$G240="À décommissionner")),$I240="",NOT(ISNUMBER($Q240))),"",IF($AP240&lt;&gt;"",$AP240,IFERROR(SUMIFS(TblClusters[RAM initiale (Go)],TblClusters[Cluster],$I240)*$Q240/(SUMIFS(TblApplications[RAM Dynatrace (Go)],TblApplications[Cluster IKS source],$I240,TblApplications[Action],"À migrer")+SUMIFS(TblApplications[RAM Dynatrace (Go)],TblApplications[Cluster IKS source],$I240,TblApplications[Action],"À décommissionner")),0)))</f>
        <v/>
      </c>
      <c r="U240" s="61"/>
      <c r="V240" s="61"/>
      <c r="W240" s="61"/>
      <c r="X240" s="59"/>
      <c r="Y240" s="26" t="str">
        <f t="shared" si="25"/>
        <v/>
      </c>
      <c r="Z240" s="26" t="str">
        <f t="shared" si="26"/>
        <v/>
      </c>
      <c r="AA240" s="33" t="str">
        <f t="shared" si="27"/>
        <v/>
      </c>
      <c r="AB240" s="33" t="str">
        <f t="shared" si="28"/>
        <v/>
      </c>
      <c r="AC240" s="26" t="str">
        <f t="shared" si="29"/>
        <v/>
      </c>
      <c r="AD240" s="26" t="str">
        <f>IF($C240="","",COUNTIF(TblApplications[ID],$C240))</f>
        <v/>
      </c>
      <c r="AE240" s="33" t="str">
        <f>IF($C240="","",IFERROR(1/(1/_xlfn.MINIFS(TblApplications[Mois prov (calc)],TblApplications[ID],$C240)),""))</f>
        <v/>
      </c>
      <c r="AF240" s="33" t="str">
        <f>IF($C240="","",IFERROR(1/(1/_xlfn.MAXIFS(TblApplications[Mois lib (calc)],TblApplications[ID],$C240)),""))</f>
        <v/>
      </c>
      <c r="AG240" s="26" t="str">
        <f>IF($C240="","",IF(OR(OR($A240="",$B240="",$D240="",$E240="",$F240="",$G240=""),AND($G240="À migrer",OR($H240="",$I240="",$O240="",$U240="",$V240="",$W240="")),AND($G240="Migré",OR($O240="")),AND($G240="À décommissionner",OR($I240="",$W240=""))),"Données manquantes (selon l’action)",IF(AND($G240&lt;&gt;"Migré",$G240&lt;&gt;"À migrer",$G240&lt;&gt;"À décommissionner",$G240&lt;&gt;"Décommissionné"),"Action invalide",IF(COUNTIF(TblDomaines[Domaine],$A240)=0,"Domaine inconnu (référentiel)",IF(COUNTIFS(TblTribes[Tribe],$B240,TblTribes[Domaine de la tribe],$A240)=0,"Tribe inconnue ou hors domaine",IF(AND($G240="À migrer",$H240&lt;&gt;"Oui",$H240&lt;&gt;"Non"),"Valeur Oui/Non invalide (Déjà incluse ROKS)",IF(AND($E240&lt;&gt;"PRD",$E240&lt;&gt;"NPRD"),"Environnement invalide",IF(COUNTIFS(TblApplications[ID],$C240,TblApplications[Environnement],$E240,TblApplications[Couloir],$F240)&gt;1,"Déploiement en doublon (ID + env + couloir)",IF(AND(OR(OR($G240="À migrer",$G240="Migré"),OR($G240="À migrer",$G240="À décommissionner")),N($P240)&lt;=0),"Conso Dynatrace absente (onglet Dynatrace)",IF(OR(AND($P240&lt;&gt;"",NOT(ISNUMBER($P240))),AND($Q240&lt;&gt;"",NOT(ISNUMBER($Q240)))),"Ressource non numérique",IF(MIN(N($P240),N($Q240))&lt;0,"Ressource négative",IF(OR(AND($AH240&lt;&gt;"",OR(NOT(ISNUMBER($AH240)),$AH240&lt;0,$AH240&gt;1)),AND($AI240&lt;&gt;"",OR(NOT(ISNUMBER($AI240)),$AI240&lt;0,$AI240&gt;1))),"Marge spécifique invalide (0–100 %)",IF(OR(AND($U240&lt;&gt;"",NOT(ISNUMBER($U240))),AND($V240&lt;&gt;"",NOT(ISNUMBER($V240))),AND($W240&lt;&gt;"",NOT(ISNUMBER($W240)))),"Mois invalide",IF(AND(OR($G240="À migrer",$G240="À décommissionner"),COUNTIFS(TblClusters[Cluster],$I240,TblClusters[Plateforme],"IKS")=0),"Cluster IKS inconnu",IF(AND(OR($G240="À migrer",$G240="Migré"),COUNTIFS(TblClusters[Cluster],$O240,TblClusters[Plateforme],"ROKS")=0),"Cluster ROKS inconnu",IF(AND(OR($G240="À migrer",$G240="À décommissionner"),COUNTIFS(TblClusters[Cluster],$I240,TblClusters[Environnement],$E240)=0),"Environnement ≠ cluster IKS",IF(AND(OR($G240="À migrer",$G240="Migré"),COUNTIFS(TblClusters[Cluster],$O240,TblClusters[Environnement],$E240)=0),"Environnement ≠ cluster ROKS",IF(AND($G240="À migrer",OR($U240&gt;$V240,$V240&gt;$W240)),"Dates incohérentes (prov ≤ bascule ≤ libération)",IF(AND(OR($G240="À migrer",$G240="À décommissionner"),OR(N($AO240)&gt;SUMIFS(TblClusters[CPU initial (vCPU)],TblClusters[Cluster],$I240),N($AP240)&gt;SUMIFS(TblClusters[RAM initiale (Go)],TblClusters[Cluster],$I240))),"Forçage &gt; capacité du cluster source",IF(OR(AND($AA240&lt;&gt;"",$AA240&lt;p_debut),AND($AB240&lt;&gt;"",$AB240&gt;p_fin)),"Hors horizon (info)",IF(AND($G240="À migrer",$E240="PRD",COUNTIFS(TblApplications[ID],$C240,TblApplications[Environnement],"NPRD",TblApplications[Action],"À migrer")&gt;0,$AA240&lt;_xlfn.MINIFS(TblApplications[Mois prov (calc)],TblApplications[ID],$C240,TblApplications[Environnement],"NPRD")),"PRD avant NPRD (info)","OK")))))))))))))))))))))</f>
        <v/>
      </c>
      <c r="AH240" s="62"/>
      <c r="AI240" s="62"/>
      <c r="AJ240" s="27" t="str">
        <f>IF(OR($C240="",NOT(OR($G240="À migrer",$G240="À décommissionner")),NOT(ISNUMBER($S240)),NOT(ISNUMBER($T240)),$AB240=""),"",($S240+p_poidsram*$T240)*SUMIFS(TblCalculs[Coût par unité],TblCalculs[Cluster],$I240,TblCalculs[Mois],"&lt;"&amp;$AB240))</f>
        <v/>
      </c>
      <c r="AK240" s="27" t="str">
        <f>IF($C240="","",IF(AND($G240="À migrer",$H240="Non",$Y240&lt;&gt;"",$AA240&lt;&gt;""),($Y240+p_poidsram*$Z240)*SUMIFS(TblCalculs[Coût par unité],TblCalculs[Cluster],$O240,TblCalculs[Mois],"&gt;="&amp;$AA240),IF(AND($G240="Migré",$Y240&lt;&gt;""),($Y240+p_poidsram*$Z240)*SUMIFS(TblCalculs[Coût par unité],TblCalculs[Cluster],$O240),"")))</f>
        <v/>
      </c>
      <c r="AL240" s="27" t="str">
        <f t="shared" si="30"/>
        <v/>
      </c>
      <c r="AM240" s="26" t="str">
        <f t="shared" si="31"/>
        <v/>
      </c>
      <c r="AN240" s="26" t="str">
        <f>IF(OR($C240="",$AM240&lt;&gt;1,COUNTIFS($E240,ex_envc,$A240,ex_domc,$B240,ex_tric)=0),"",COUNTIFS($AM$6:$AM240,1,$E$6:$E240,ex_envc,$A$6:$A240,ex_domc,$B$6:$B240,ex_tric))</f>
        <v/>
      </c>
      <c r="AO240" s="63"/>
      <c r="AP240" s="63"/>
      <c r="AQ240" s="63"/>
      <c r="AR240" s="63"/>
    </row>
    <row r="241" spans="1:44" x14ac:dyDescent="0.2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26" t="str">
        <f t="shared" si="24"/>
        <v/>
      </c>
      <c r="O241" s="59"/>
      <c r="P241" s="60" t="str">
        <f>IF($C241="","",IF($AQ241&lt;&gt;"",$AQ241,SUMIFS(TblDynatrace[CPU P95 (vCPU)],TblDynatrace[ID],$C241,TblDynatrace[Environnement],$E241,TblDynatrace[Couloir],$F241)))</f>
        <v/>
      </c>
      <c r="Q241" s="60" t="str">
        <f>IF($C241="","",IF($AR241&lt;&gt;"",$AR241,SUMIFS(TblDynatrace[RAM P95 (Go)],TblDynatrace[ID],$C241,TblDynatrace[Environnement],$E241,TblDynatrace[Couloir],$F241)))</f>
        <v/>
      </c>
      <c r="R241" s="26" t="str">
        <f>IF($C241="","",IFERROR(INDEX(TblDynatrace[Métrique / période],MATCH($C241&amp;"|"&amp;$E241&amp;"|"&amp;$F241,TblDynatrace[Clé],0)),""))</f>
        <v/>
      </c>
      <c r="S241" s="60" t="str">
        <f>IF(OR($C241="",NOT(OR($G241="À migrer",$G241="À décommissionner")),$I241="",NOT(ISNUMBER($P241))),"",IF($AO241&lt;&gt;"",$AO241,IFERROR(SUMIFS(TblClusters[CPU initial (vCPU)],TblClusters[Cluster],$I241)*$P241/(SUMIFS(TblApplications[CPU Dynatrace (vCPU)],TblApplications[Cluster IKS source],$I241,TblApplications[Action],"À migrer")+SUMIFS(TblApplications[CPU Dynatrace (vCPU)],TblApplications[Cluster IKS source],$I241,TblApplications[Action],"À décommissionner")),0)))</f>
        <v/>
      </c>
      <c r="T241" s="60" t="str">
        <f>IF(OR($C241="",NOT(OR($G241="À migrer",$G241="À décommissionner")),$I241="",NOT(ISNUMBER($Q241))),"",IF($AP241&lt;&gt;"",$AP241,IFERROR(SUMIFS(TblClusters[RAM initiale (Go)],TblClusters[Cluster],$I241)*$Q241/(SUMIFS(TblApplications[RAM Dynatrace (Go)],TblApplications[Cluster IKS source],$I241,TblApplications[Action],"À migrer")+SUMIFS(TblApplications[RAM Dynatrace (Go)],TblApplications[Cluster IKS source],$I241,TblApplications[Action],"À décommissionner")),0)))</f>
        <v/>
      </c>
      <c r="U241" s="61"/>
      <c r="V241" s="61"/>
      <c r="W241" s="61"/>
      <c r="X241" s="59"/>
      <c r="Y241" s="26" t="str">
        <f t="shared" si="25"/>
        <v/>
      </c>
      <c r="Z241" s="26" t="str">
        <f t="shared" si="26"/>
        <v/>
      </c>
      <c r="AA241" s="33" t="str">
        <f t="shared" si="27"/>
        <v/>
      </c>
      <c r="AB241" s="33" t="str">
        <f t="shared" si="28"/>
        <v/>
      </c>
      <c r="AC241" s="26" t="str">
        <f t="shared" si="29"/>
        <v/>
      </c>
      <c r="AD241" s="26" t="str">
        <f>IF($C241="","",COUNTIF(TblApplications[ID],$C241))</f>
        <v/>
      </c>
      <c r="AE241" s="33" t="str">
        <f>IF($C241="","",IFERROR(1/(1/_xlfn.MINIFS(TblApplications[Mois prov (calc)],TblApplications[ID],$C241)),""))</f>
        <v/>
      </c>
      <c r="AF241" s="33" t="str">
        <f>IF($C241="","",IFERROR(1/(1/_xlfn.MAXIFS(TblApplications[Mois lib (calc)],TblApplications[ID],$C241)),""))</f>
        <v/>
      </c>
      <c r="AG241" s="26" t="str">
        <f>IF($C241="","",IF(OR(OR($A241="",$B241="",$D241="",$E241="",$F241="",$G241=""),AND($G241="À migrer",OR($H241="",$I241="",$O241="",$U241="",$V241="",$W241="")),AND($G241="Migré",OR($O241="")),AND($G241="À décommissionner",OR($I241="",$W241=""))),"Données manquantes (selon l’action)",IF(AND($G241&lt;&gt;"Migré",$G241&lt;&gt;"À migrer",$G241&lt;&gt;"À décommissionner",$G241&lt;&gt;"Décommissionné"),"Action invalide",IF(COUNTIF(TblDomaines[Domaine],$A241)=0,"Domaine inconnu (référentiel)",IF(COUNTIFS(TblTribes[Tribe],$B241,TblTribes[Domaine de la tribe],$A241)=0,"Tribe inconnue ou hors domaine",IF(AND($G241="À migrer",$H241&lt;&gt;"Oui",$H241&lt;&gt;"Non"),"Valeur Oui/Non invalide (Déjà incluse ROKS)",IF(AND($E241&lt;&gt;"PRD",$E241&lt;&gt;"NPRD"),"Environnement invalide",IF(COUNTIFS(TblApplications[ID],$C241,TblApplications[Environnement],$E241,TblApplications[Couloir],$F241)&gt;1,"Déploiement en doublon (ID + env + couloir)",IF(AND(OR(OR($G241="À migrer",$G241="Migré"),OR($G241="À migrer",$G241="À décommissionner")),N($P241)&lt;=0),"Conso Dynatrace absente (onglet Dynatrace)",IF(OR(AND($P241&lt;&gt;"",NOT(ISNUMBER($P241))),AND($Q241&lt;&gt;"",NOT(ISNUMBER($Q241)))),"Ressource non numérique",IF(MIN(N($P241),N($Q241))&lt;0,"Ressource négative",IF(OR(AND($AH241&lt;&gt;"",OR(NOT(ISNUMBER($AH241)),$AH241&lt;0,$AH241&gt;1)),AND($AI241&lt;&gt;"",OR(NOT(ISNUMBER($AI241)),$AI241&lt;0,$AI241&gt;1))),"Marge spécifique invalide (0–100 %)",IF(OR(AND($U241&lt;&gt;"",NOT(ISNUMBER($U241))),AND($V241&lt;&gt;"",NOT(ISNUMBER($V241))),AND($W241&lt;&gt;"",NOT(ISNUMBER($W241)))),"Mois invalide",IF(AND(OR($G241="À migrer",$G241="À décommissionner"),COUNTIFS(TblClusters[Cluster],$I241,TblClusters[Plateforme],"IKS")=0),"Cluster IKS inconnu",IF(AND(OR($G241="À migrer",$G241="Migré"),COUNTIFS(TblClusters[Cluster],$O241,TblClusters[Plateforme],"ROKS")=0),"Cluster ROKS inconnu",IF(AND(OR($G241="À migrer",$G241="À décommissionner"),COUNTIFS(TblClusters[Cluster],$I241,TblClusters[Environnement],$E241)=0),"Environnement ≠ cluster IKS",IF(AND(OR($G241="À migrer",$G241="Migré"),COUNTIFS(TblClusters[Cluster],$O241,TblClusters[Environnement],$E241)=0),"Environnement ≠ cluster ROKS",IF(AND($G241="À migrer",OR($U241&gt;$V241,$V241&gt;$W241)),"Dates incohérentes (prov ≤ bascule ≤ libération)",IF(AND(OR($G241="À migrer",$G241="À décommissionner"),OR(N($AO241)&gt;SUMIFS(TblClusters[CPU initial (vCPU)],TblClusters[Cluster],$I241),N($AP241)&gt;SUMIFS(TblClusters[RAM initiale (Go)],TblClusters[Cluster],$I241))),"Forçage &gt; capacité du cluster source",IF(OR(AND($AA241&lt;&gt;"",$AA241&lt;p_debut),AND($AB241&lt;&gt;"",$AB241&gt;p_fin)),"Hors horizon (info)",IF(AND($G241="À migrer",$E241="PRD",COUNTIFS(TblApplications[ID],$C241,TblApplications[Environnement],"NPRD",TblApplications[Action],"À migrer")&gt;0,$AA241&lt;_xlfn.MINIFS(TblApplications[Mois prov (calc)],TblApplications[ID],$C241,TblApplications[Environnement],"NPRD")),"PRD avant NPRD (info)","OK")))))))))))))))))))))</f>
        <v/>
      </c>
      <c r="AH241" s="62"/>
      <c r="AI241" s="62"/>
      <c r="AJ241" s="27" t="str">
        <f>IF(OR($C241="",NOT(OR($G241="À migrer",$G241="À décommissionner")),NOT(ISNUMBER($S241)),NOT(ISNUMBER($T241)),$AB241=""),"",($S241+p_poidsram*$T241)*SUMIFS(TblCalculs[Coût par unité],TblCalculs[Cluster],$I241,TblCalculs[Mois],"&lt;"&amp;$AB241))</f>
        <v/>
      </c>
      <c r="AK241" s="27" t="str">
        <f>IF($C241="","",IF(AND($G241="À migrer",$H241="Non",$Y241&lt;&gt;"",$AA241&lt;&gt;""),($Y241+p_poidsram*$Z241)*SUMIFS(TblCalculs[Coût par unité],TblCalculs[Cluster],$O241,TblCalculs[Mois],"&gt;="&amp;$AA241),IF(AND($G241="Migré",$Y241&lt;&gt;""),($Y241+p_poidsram*$Z241)*SUMIFS(TblCalculs[Coût par unité],TblCalculs[Cluster],$O241),"")))</f>
        <v/>
      </c>
      <c r="AL241" s="27" t="str">
        <f t="shared" si="30"/>
        <v/>
      </c>
      <c r="AM241" s="26" t="str">
        <f t="shared" si="31"/>
        <v/>
      </c>
      <c r="AN241" s="26" t="str">
        <f>IF(OR($C241="",$AM241&lt;&gt;1,COUNTIFS($E241,ex_envc,$A241,ex_domc,$B241,ex_tric)=0),"",COUNTIFS($AM$6:$AM241,1,$E$6:$E241,ex_envc,$A$6:$A241,ex_domc,$B$6:$B241,ex_tric))</f>
        <v/>
      </c>
      <c r="AO241" s="63"/>
      <c r="AP241" s="63"/>
      <c r="AQ241" s="63"/>
      <c r="AR241" s="63"/>
    </row>
    <row r="242" spans="1:44" x14ac:dyDescent="0.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26" t="str">
        <f t="shared" si="24"/>
        <v/>
      </c>
      <c r="O242" s="59"/>
      <c r="P242" s="60" t="str">
        <f>IF($C242="","",IF($AQ242&lt;&gt;"",$AQ242,SUMIFS(TblDynatrace[CPU P95 (vCPU)],TblDynatrace[ID],$C242,TblDynatrace[Environnement],$E242,TblDynatrace[Couloir],$F242)))</f>
        <v/>
      </c>
      <c r="Q242" s="60" t="str">
        <f>IF($C242="","",IF($AR242&lt;&gt;"",$AR242,SUMIFS(TblDynatrace[RAM P95 (Go)],TblDynatrace[ID],$C242,TblDynatrace[Environnement],$E242,TblDynatrace[Couloir],$F242)))</f>
        <v/>
      </c>
      <c r="R242" s="26" t="str">
        <f>IF($C242="","",IFERROR(INDEX(TblDynatrace[Métrique / période],MATCH($C242&amp;"|"&amp;$E242&amp;"|"&amp;$F242,TblDynatrace[Clé],0)),""))</f>
        <v/>
      </c>
      <c r="S242" s="60" t="str">
        <f>IF(OR($C242="",NOT(OR($G242="À migrer",$G242="À décommissionner")),$I242="",NOT(ISNUMBER($P242))),"",IF($AO242&lt;&gt;"",$AO242,IFERROR(SUMIFS(TblClusters[CPU initial (vCPU)],TblClusters[Cluster],$I242)*$P242/(SUMIFS(TblApplications[CPU Dynatrace (vCPU)],TblApplications[Cluster IKS source],$I242,TblApplications[Action],"À migrer")+SUMIFS(TblApplications[CPU Dynatrace (vCPU)],TblApplications[Cluster IKS source],$I242,TblApplications[Action],"À décommissionner")),0)))</f>
        <v/>
      </c>
      <c r="T242" s="60" t="str">
        <f>IF(OR($C242="",NOT(OR($G242="À migrer",$G242="À décommissionner")),$I242="",NOT(ISNUMBER($Q242))),"",IF($AP242&lt;&gt;"",$AP242,IFERROR(SUMIFS(TblClusters[RAM initiale (Go)],TblClusters[Cluster],$I242)*$Q242/(SUMIFS(TblApplications[RAM Dynatrace (Go)],TblApplications[Cluster IKS source],$I242,TblApplications[Action],"À migrer")+SUMIFS(TblApplications[RAM Dynatrace (Go)],TblApplications[Cluster IKS source],$I242,TblApplications[Action],"À décommissionner")),0)))</f>
        <v/>
      </c>
      <c r="U242" s="61"/>
      <c r="V242" s="61"/>
      <c r="W242" s="61"/>
      <c r="X242" s="59"/>
      <c r="Y242" s="26" t="str">
        <f t="shared" si="25"/>
        <v/>
      </c>
      <c r="Z242" s="26" t="str">
        <f t="shared" si="26"/>
        <v/>
      </c>
      <c r="AA242" s="33" t="str">
        <f t="shared" si="27"/>
        <v/>
      </c>
      <c r="AB242" s="33" t="str">
        <f t="shared" si="28"/>
        <v/>
      </c>
      <c r="AC242" s="26" t="str">
        <f t="shared" si="29"/>
        <v/>
      </c>
      <c r="AD242" s="26" t="str">
        <f>IF($C242="","",COUNTIF(TblApplications[ID],$C242))</f>
        <v/>
      </c>
      <c r="AE242" s="33" t="str">
        <f>IF($C242="","",IFERROR(1/(1/_xlfn.MINIFS(TblApplications[Mois prov (calc)],TblApplications[ID],$C242)),""))</f>
        <v/>
      </c>
      <c r="AF242" s="33" t="str">
        <f>IF($C242="","",IFERROR(1/(1/_xlfn.MAXIFS(TblApplications[Mois lib (calc)],TblApplications[ID],$C242)),""))</f>
        <v/>
      </c>
      <c r="AG242" s="26" t="str">
        <f>IF($C242="","",IF(OR(OR($A242="",$B242="",$D242="",$E242="",$F242="",$G242=""),AND($G242="À migrer",OR($H242="",$I242="",$O242="",$U242="",$V242="",$W242="")),AND($G242="Migré",OR($O242="")),AND($G242="À décommissionner",OR($I242="",$W242=""))),"Données manquantes (selon l’action)",IF(AND($G242&lt;&gt;"Migré",$G242&lt;&gt;"À migrer",$G242&lt;&gt;"À décommissionner",$G242&lt;&gt;"Décommissionné"),"Action invalide",IF(COUNTIF(TblDomaines[Domaine],$A242)=0,"Domaine inconnu (référentiel)",IF(COUNTIFS(TblTribes[Tribe],$B242,TblTribes[Domaine de la tribe],$A242)=0,"Tribe inconnue ou hors domaine",IF(AND($G242="À migrer",$H242&lt;&gt;"Oui",$H242&lt;&gt;"Non"),"Valeur Oui/Non invalide (Déjà incluse ROKS)",IF(AND($E242&lt;&gt;"PRD",$E242&lt;&gt;"NPRD"),"Environnement invalide",IF(COUNTIFS(TblApplications[ID],$C242,TblApplications[Environnement],$E242,TblApplications[Couloir],$F242)&gt;1,"Déploiement en doublon (ID + env + couloir)",IF(AND(OR(OR($G242="À migrer",$G242="Migré"),OR($G242="À migrer",$G242="À décommissionner")),N($P242)&lt;=0),"Conso Dynatrace absente (onglet Dynatrace)",IF(OR(AND($P242&lt;&gt;"",NOT(ISNUMBER($P242))),AND($Q242&lt;&gt;"",NOT(ISNUMBER($Q242)))),"Ressource non numérique",IF(MIN(N($P242),N($Q242))&lt;0,"Ressource négative",IF(OR(AND($AH242&lt;&gt;"",OR(NOT(ISNUMBER($AH242)),$AH242&lt;0,$AH242&gt;1)),AND($AI242&lt;&gt;"",OR(NOT(ISNUMBER($AI242)),$AI242&lt;0,$AI242&gt;1))),"Marge spécifique invalide (0–100 %)",IF(OR(AND($U242&lt;&gt;"",NOT(ISNUMBER($U242))),AND($V242&lt;&gt;"",NOT(ISNUMBER($V242))),AND($W242&lt;&gt;"",NOT(ISNUMBER($W242)))),"Mois invalide",IF(AND(OR($G242="À migrer",$G242="À décommissionner"),COUNTIFS(TblClusters[Cluster],$I242,TblClusters[Plateforme],"IKS")=0),"Cluster IKS inconnu",IF(AND(OR($G242="À migrer",$G242="Migré"),COUNTIFS(TblClusters[Cluster],$O242,TblClusters[Plateforme],"ROKS")=0),"Cluster ROKS inconnu",IF(AND(OR($G242="À migrer",$G242="À décommissionner"),COUNTIFS(TblClusters[Cluster],$I242,TblClusters[Environnement],$E242)=0),"Environnement ≠ cluster IKS",IF(AND(OR($G242="À migrer",$G242="Migré"),COUNTIFS(TblClusters[Cluster],$O242,TblClusters[Environnement],$E242)=0),"Environnement ≠ cluster ROKS",IF(AND($G242="À migrer",OR($U242&gt;$V242,$V242&gt;$W242)),"Dates incohérentes (prov ≤ bascule ≤ libération)",IF(AND(OR($G242="À migrer",$G242="À décommissionner"),OR(N($AO242)&gt;SUMIFS(TblClusters[CPU initial (vCPU)],TblClusters[Cluster],$I242),N($AP242)&gt;SUMIFS(TblClusters[RAM initiale (Go)],TblClusters[Cluster],$I242))),"Forçage &gt; capacité du cluster source",IF(OR(AND($AA242&lt;&gt;"",$AA242&lt;p_debut),AND($AB242&lt;&gt;"",$AB242&gt;p_fin)),"Hors horizon (info)",IF(AND($G242="À migrer",$E242="PRD",COUNTIFS(TblApplications[ID],$C242,TblApplications[Environnement],"NPRD",TblApplications[Action],"À migrer")&gt;0,$AA242&lt;_xlfn.MINIFS(TblApplications[Mois prov (calc)],TblApplications[ID],$C242,TblApplications[Environnement],"NPRD")),"PRD avant NPRD (info)","OK")))))))))))))))))))))</f>
        <v/>
      </c>
      <c r="AH242" s="62"/>
      <c r="AI242" s="62"/>
      <c r="AJ242" s="27" t="str">
        <f>IF(OR($C242="",NOT(OR($G242="À migrer",$G242="À décommissionner")),NOT(ISNUMBER($S242)),NOT(ISNUMBER($T242)),$AB242=""),"",($S242+p_poidsram*$T242)*SUMIFS(TblCalculs[Coût par unité],TblCalculs[Cluster],$I242,TblCalculs[Mois],"&lt;"&amp;$AB242))</f>
        <v/>
      </c>
      <c r="AK242" s="27" t="str">
        <f>IF($C242="","",IF(AND($G242="À migrer",$H242="Non",$Y242&lt;&gt;"",$AA242&lt;&gt;""),($Y242+p_poidsram*$Z242)*SUMIFS(TblCalculs[Coût par unité],TblCalculs[Cluster],$O242,TblCalculs[Mois],"&gt;="&amp;$AA242),IF(AND($G242="Migré",$Y242&lt;&gt;""),($Y242+p_poidsram*$Z242)*SUMIFS(TblCalculs[Coût par unité],TblCalculs[Cluster],$O242),"")))</f>
        <v/>
      </c>
      <c r="AL242" s="27" t="str">
        <f t="shared" si="30"/>
        <v/>
      </c>
      <c r="AM242" s="26" t="str">
        <f t="shared" si="31"/>
        <v/>
      </c>
      <c r="AN242" s="26" t="str">
        <f>IF(OR($C242="",$AM242&lt;&gt;1,COUNTIFS($E242,ex_envc,$A242,ex_domc,$B242,ex_tric)=0),"",COUNTIFS($AM$6:$AM242,1,$E$6:$E242,ex_envc,$A$6:$A242,ex_domc,$B$6:$B242,ex_tric))</f>
        <v/>
      </c>
      <c r="AO242" s="63"/>
      <c r="AP242" s="63"/>
      <c r="AQ242" s="63"/>
      <c r="AR242" s="63"/>
    </row>
    <row r="243" spans="1:44" x14ac:dyDescent="0.2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26" t="str">
        <f t="shared" si="24"/>
        <v/>
      </c>
      <c r="O243" s="59"/>
      <c r="P243" s="60" t="str">
        <f>IF($C243="","",IF($AQ243&lt;&gt;"",$AQ243,SUMIFS(TblDynatrace[CPU P95 (vCPU)],TblDynatrace[ID],$C243,TblDynatrace[Environnement],$E243,TblDynatrace[Couloir],$F243)))</f>
        <v/>
      </c>
      <c r="Q243" s="60" t="str">
        <f>IF($C243="","",IF($AR243&lt;&gt;"",$AR243,SUMIFS(TblDynatrace[RAM P95 (Go)],TblDynatrace[ID],$C243,TblDynatrace[Environnement],$E243,TblDynatrace[Couloir],$F243)))</f>
        <v/>
      </c>
      <c r="R243" s="26" t="str">
        <f>IF($C243="","",IFERROR(INDEX(TblDynatrace[Métrique / période],MATCH($C243&amp;"|"&amp;$E243&amp;"|"&amp;$F243,TblDynatrace[Clé],0)),""))</f>
        <v/>
      </c>
      <c r="S243" s="60" t="str">
        <f>IF(OR($C243="",NOT(OR($G243="À migrer",$G243="À décommissionner")),$I243="",NOT(ISNUMBER($P243))),"",IF($AO243&lt;&gt;"",$AO243,IFERROR(SUMIFS(TblClusters[CPU initial (vCPU)],TblClusters[Cluster],$I243)*$P243/(SUMIFS(TblApplications[CPU Dynatrace (vCPU)],TblApplications[Cluster IKS source],$I243,TblApplications[Action],"À migrer")+SUMIFS(TblApplications[CPU Dynatrace (vCPU)],TblApplications[Cluster IKS source],$I243,TblApplications[Action],"À décommissionner")),0)))</f>
        <v/>
      </c>
      <c r="T243" s="60" t="str">
        <f>IF(OR($C243="",NOT(OR($G243="À migrer",$G243="À décommissionner")),$I243="",NOT(ISNUMBER($Q243))),"",IF($AP243&lt;&gt;"",$AP243,IFERROR(SUMIFS(TblClusters[RAM initiale (Go)],TblClusters[Cluster],$I243)*$Q243/(SUMIFS(TblApplications[RAM Dynatrace (Go)],TblApplications[Cluster IKS source],$I243,TblApplications[Action],"À migrer")+SUMIFS(TblApplications[RAM Dynatrace (Go)],TblApplications[Cluster IKS source],$I243,TblApplications[Action],"À décommissionner")),0)))</f>
        <v/>
      </c>
      <c r="U243" s="61"/>
      <c r="V243" s="61"/>
      <c r="W243" s="61"/>
      <c r="X243" s="59"/>
      <c r="Y243" s="26" t="str">
        <f t="shared" si="25"/>
        <v/>
      </c>
      <c r="Z243" s="26" t="str">
        <f t="shared" si="26"/>
        <v/>
      </c>
      <c r="AA243" s="33" t="str">
        <f t="shared" si="27"/>
        <v/>
      </c>
      <c r="AB243" s="33" t="str">
        <f t="shared" si="28"/>
        <v/>
      </c>
      <c r="AC243" s="26" t="str">
        <f t="shared" si="29"/>
        <v/>
      </c>
      <c r="AD243" s="26" t="str">
        <f>IF($C243="","",COUNTIF(TblApplications[ID],$C243))</f>
        <v/>
      </c>
      <c r="AE243" s="33" t="str">
        <f>IF($C243="","",IFERROR(1/(1/_xlfn.MINIFS(TblApplications[Mois prov (calc)],TblApplications[ID],$C243)),""))</f>
        <v/>
      </c>
      <c r="AF243" s="33" t="str">
        <f>IF($C243="","",IFERROR(1/(1/_xlfn.MAXIFS(TblApplications[Mois lib (calc)],TblApplications[ID],$C243)),""))</f>
        <v/>
      </c>
      <c r="AG243" s="26" t="str">
        <f>IF($C243="","",IF(OR(OR($A243="",$B243="",$D243="",$E243="",$F243="",$G243=""),AND($G243="À migrer",OR($H243="",$I243="",$O243="",$U243="",$V243="",$W243="")),AND($G243="Migré",OR($O243="")),AND($G243="À décommissionner",OR($I243="",$W243=""))),"Données manquantes (selon l’action)",IF(AND($G243&lt;&gt;"Migré",$G243&lt;&gt;"À migrer",$G243&lt;&gt;"À décommissionner",$G243&lt;&gt;"Décommissionné"),"Action invalide",IF(COUNTIF(TblDomaines[Domaine],$A243)=0,"Domaine inconnu (référentiel)",IF(COUNTIFS(TblTribes[Tribe],$B243,TblTribes[Domaine de la tribe],$A243)=0,"Tribe inconnue ou hors domaine",IF(AND($G243="À migrer",$H243&lt;&gt;"Oui",$H243&lt;&gt;"Non"),"Valeur Oui/Non invalide (Déjà incluse ROKS)",IF(AND($E243&lt;&gt;"PRD",$E243&lt;&gt;"NPRD"),"Environnement invalide",IF(COUNTIFS(TblApplications[ID],$C243,TblApplications[Environnement],$E243,TblApplications[Couloir],$F243)&gt;1,"Déploiement en doublon (ID + env + couloir)",IF(AND(OR(OR($G243="À migrer",$G243="Migré"),OR($G243="À migrer",$G243="À décommissionner")),N($P243)&lt;=0),"Conso Dynatrace absente (onglet Dynatrace)",IF(OR(AND($P243&lt;&gt;"",NOT(ISNUMBER($P243))),AND($Q243&lt;&gt;"",NOT(ISNUMBER($Q243)))),"Ressource non numérique",IF(MIN(N($P243),N($Q243))&lt;0,"Ressource négative",IF(OR(AND($AH243&lt;&gt;"",OR(NOT(ISNUMBER($AH243)),$AH243&lt;0,$AH243&gt;1)),AND($AI243&lt;&gt;"",OR(NOT(ISNUMBER($AI243)),$AI243&lt;0,$AI243&gt;1))),"Marge spécifique invalide (0–100 %)",IF(OR(AND($U243&lt;&gt;"",NOT(ISNUMBER($U243))),AND($V243&lt;&gt;"",NOT(ISNUMBER($V243))),AND($W243&lt;&gt;"",NOT(ISNUMBER($W243)))),"Mois invalide",IF(AND(OR($G243="À migrer",$G243="À décommissionner"),COUNTIFS(TblClusters[Cluster],$I243,TblClusters[Plateforme],"IKS")=0),"Cluster IKS inconnu",IF(AND(OR($G243="À migrer",$G243="Migré"),COUNTIFS(TblClusters[Cluster],$O243,TblClusters[Plateforme],"ROKS")=0),"Cluster ROKS inconnu",IF(AND(OR($G243="À migrer",$G243="À décommissionner"),COUNTIFS(TblClusters[Cluster],$I243,TblClusters[Environnement],$E243)=0),"Environnement ≠ cluster IKS",IF(AND(OR($G243="À migrer",$G243="Migré"),COUNTIFS(TblClusters[Cluster],$O243,TblClusters[Environnement],$E243)=0),"Environnement ≠ cluster ROKS",IF(AND($G243="À migrer",OR($U243&gt;$V243,$V243&gt;$W243)),"Dates incohérentes (prov ≤ bascule ≤ libération)",IF(AND(OR($G243="À migrer",$G243="À décommissionner"),OR(N($AO243)&gt;SUMIFS(TblClusters[CPU initial (vCPU)],TblClusters[Cluster],$I243),N($AP243)&gt;SUMIFS(TblClusters[RAM initiale (Go)],TblClusters[Cluster],$I243))),"Forçage &gt; capacité du cluster source",IF(OR(AND($AA243&lt;&gt;"",$AA243&lt;p_debut),AND($AB243&lt;&gt;"",$AB243&gt;p_fin)),"Hors horizon (info)",IF(AND($G243="À migrer",$E243="PRD",COUNTIFS(TblApplications[ID],$C243,TblApplications[Environnement],"NPRD",TblApplications[Action],"À migrer")&gt;0,$AA243&lt;_xlfn.MINIFS(TblApplications[Mois prov (calc)],TblApplications[ID],$C243,TblApplications[Environnement],"NPRD")),"PRD avant NPRD (info)","OK")))))))))))))))))))))</f>
        <v/>
      </c>
      <c r="AH243" s="62"/>
      <c r="AI243" s="62"/>
      <c r="AJ243" s="27" t="str">
        <f>IF(OR($C243="",NOT(OR($G243="À migrer",$G243="À décommissionner")),NOT(ISNUMBER($S243)),NOT(ISNUMBER($T243)),$AB243=""),"",($S243+p_poidsram*$T243)*SUMIFS(TblCalculs[Coût par unité],TblCalculs[Cluster],$I243,TblCalculs[Mois],"&lt;"&amp;$AB243))</f>
        <v/>
      </c>
      <c r="AK243" s="27" t="str">
        <f>IF($C243="","",IF(AND($G243="À migrer",$H243="Non",$Y243&lt;&gt;"",$AA243&lt;&gt;""),($Y243+p_poidsram*$Z243)*SUMIFS(TblCalculs[Coût par unité],TblCalculs[Cluster],$O243,TblCalculs[Mois],"&gt;="&amp;$AA243),IF(AND($G243="Migré",$Y243&lt;&gt;""),($Y243+p_poidsram*$Z243)*SUMIFS(TblCalculs[Coût par unité],TblCalculs[Cluster],$O243),"")))</f>
        <v/>
      </c>
      <c r="AL243" s="27" t="str">
        <f t="shared" si="30"/>
        <v/>
      </c>
      <c r="AM243" s="26" t="str">
        <f t="shared" si="31"/>
        <v/>
      </c>
      <c r="AN243" s="26" t="str">
        <f>IF(OR($C243="",$AM243&lt;&gt;1,COUNTIFS($E243,ex_envc,$A243,ex_domc,$B243,ex_tric)=0),"",COUNTIFS($AM$6:$AM243,1,$E$6:$E243,ex_envc,$A$6:$A243,ex_domc,$B$6:$B243,ex_tric))</f>
        <v/>
      </c>
      <c r="AO243" s="63"/>
      <c r="AP243" s="63"/>
      <c r="AQ243" s="63"/>
      <c r="AR243" s="63"/>
    </row>
    <row r="244" spans="1:44" x14ac:dyDescent="0.2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26" t="str">
        <f t="shared" si="24"/>
        <v/>
      </c>
      <c r="O244" s="59"/>
      <c r="P244" s="60" t="str">
        <f>IF($C244="","",IF($AQ244&lt;&gt;"",$AQ244,SUMIFS(TblDynatrace[CPU P95 (vCPU)],TblDynatrace[ID],$C244,TblDynatrace[Environnement],$E244,TblDynatrace[Couloir],$F244)))</f>
        <v/>
      </c>
      <c r="Q244" s="60" t="str">
        <f>IF($C244="","",IF($AR244&lt;&gt;"",$AR244,SUMIFS(TblDynatrace[RAM P95 (Go)],TblDynatrace[ID],$C244,TblDynatrace[Environnement],$E244,TblDynatrace[Couloir],$F244)))</f>
        <v/>
      </c>
      <c r="R244" s="26" t="str">
        <f>IF($C244="","",IFERROR(INDEX(TblDynatrace[Métrique / période],MATCH($C244&amp;"|"&amp;$E244&amp;"|"&amp;$F244,TblDynatrace[Clé],0)),""))</f>
        <v/>
      </c>
      <c r="S244" s="60" t="str">
        <f>IF(OR($C244="",NOT(OR($G244="À migrer",$G244="À décommissionner")),$I244="",NOT(ISNUMBER($P244))),"",IF($AO244&lt;&gt;"",$AO244,IFERROR(SUMIFS(TblClusters[CPU initial (vCPU)],TblClusters[Cluster],$I244)*$P244/(SUMIFS(TblApplications[CPU Dynatrace (vCPU)],TblApplications[Cluster IKS source],$I244,TblApplications[Action],"À migrer")+SUMIFS(TblApplications[CPU Dynatrace (vCPU)],TblApplications[Cluster IKS source],$I244,TblApplications[Action],"À décommissionner")),0)))</f>
        <v/>
      </c>
      <c r="T244" s="60" t="str">
        <f>IF(OR($C244="",NOT(OR($G244="À migrer",$G244="À décommissionner")),$I244="",NOT(ISNUMBER($Q244))),"",IF($AP244&lt;&gt;"",$AP244,IFERROR(SUMIFS(TblClusters[RAM initiale (Go)],TblClusters[Cluster],$I244)*$Q244/(SUMIFS(TblApplications[RAM Dynatrace (Go)],TblApplications[Cluster IKS source],$I244,TblApplications[Action],"À migrer")+SUMIFS(TblApplications[RAM Dynatrace (Go)],TblApplications[Cluster IKS source],$I244,TblApplications[Action],"À décommissionner")),0)))</f>
        <v/>
      </c>
      <c r="U244" s="61"/>
      <c r="V244" s="61"/>
      <c r="W244" s="61"/>
      <c r="X244" s="59"/>
      <c r="Y244" s="26" t="str">
        <f t="shared" si="25"/>
        <v/>
      </c>
      <c r="Z244" s="26" t="str">
        <f t="shared" si="26"/>
        <v/>
      </c>
      <c r="AA244" s="33" t="str">
        <f t="shared" si="27"/>
        <v/>
      </c>
      <c r="AB244" s="33" t="str">
        <f t="shared" si="28"/>
        <v/>
      </c>
      <c r="AC244" s="26" t="str">
        <f t="shared" si="29"/>
        <v/>
      </c>
      <c r="AD244" s="26" t="str">
        <f>IF($C244="","",COUNTIF(TblApplications[ID],$C244))</f>
        <v/>
      </c>
      <c r="AE244" s="33" t="str">
        <f>IF($C244="","",IFERROR(1/(1/_xlfn.MINIFS(TblApplications[Mois prov (calc)],TblApplications[ID],$C244)),""))</f>
        <v/>
      </c>
      <c r="AF244" s="33" t="str">
        <f>IF($C244="","",IFERROR(1/(1/_xlfn.MAXIFS(TblApplications[Mois lib (calc)],TblApplications[ID],$C244)),""))</f>
        <v/>
      </c>
      <c r="AG244" s="26" t="str">
        <f>IF($C244="","",IF(OR(OR($A244="",$B244="",$D244="",$E244="",$F244="",$G244=""),AND($G244="À migrer",OR($H244="",$I244="",$O244="",$U244="",$V244="",$W244="")),AND($G244="Migré",OR($O244="")),AND($G244="À décommissionner",OR($I244="",$W244=""))),"Données manquantes (selon l’action)",IF(AND($G244&lt;&gt;"Migré",$G244&lt;&gt;"À migrer",$G244&lt;&gt;"À décommissionner",$G244&lt;&gt;"Décommissionné"),"Action invalide",IF(COUNTIF(TblDomaines[Domaine],$A244)=0,"Domaine inconnu (référentiel)",IF(COUNTIFS(TblTribes[Tribe],$B244,TblTribes[Domaine de la tribe],$A244)=0,"Tribe inconnue ou hors domaine",IF(AND($G244="À migrer",$H244&lt;&gt;"Oui",$H244&lt;&gt;"Non"),"Valeur Oui/Non invalide (Déjà incluse ROKS)",IF(AND($E244&lt;&gt;"PRD",$E244&lt;&gt;"NPRD"),"Environnement invalide",IF(COUNTIFS(TblApplications[ID],$C244,TblApplications[Environnement],$E244,TblApplications[Couloir],$F244)&gt;1,"Déploiement en doublon (ID + env + couloir)",IF(AND(OR(OR($G244="À migrer",$G244="Migré"),OR($G244="À migrer",$G244="À décommissionner")),N($P244)&lt;=0),"Conso Dynatrace absente (onglet Dynatrace)",IF(OR(AND($P244&lt;&gt;"",NOT(ISNUMBER($P244))),AND($Q244&lt;&gt;"",NOT(ISNUMBER($Q244)))),"Ressource non numérique",IF(MIN(N($P244),N($Q244))&lt;0,"Ressource négative",IF(OR(AND($AH244&lt;&gt;"",OR(NOT(ISNUMBER($AH244)),$AH244&lt;0,$AH244&gt;1)),AND($AI244&lt;&gt;"",OR(NOT(ISNUMBER($AI244)),$AI244&lt;0,$AI244&gt;1))),"Marge spécifique invalide (0–100 %)",IF(OR(AND($U244&lt;&gt;"",NOT(ISNUMBER($U244))),AND($V244&lt;&gt;"",NOT(ISNUMBER($V244))),AND($W244&lt;&gt;"",NOT(ISNUMBER($W244)))),"Mois invalide",IF(AND(OR($G244="À migrer",$G244="À décommissionner"),COUNTIFS(TblClusters[Cluster],$I244,TblClusters[Plateforme],"IKS")=0),"Cluster IKS inconnu",IF(AND(OR($G244="À migrer",$G244="Migré"),COUNTIFS(TblClusters[Cluster],$O244,TblClusters[Plateforme],"ROKS")=0),"Cluster ROKS inconnu",IF(AND(OR($G244="À migrer",$G244="À décommissionner"),COUNTIFS(TblClusters[Cluster],$I244,TblClusters[Environnement],$E244)=0),"Environnement ≠ cluster IKS",IF(AND(OR($G244="À migrer",$G244="Migré"),COUNTIFS(TblClusters[Cluster],$O244,TblClusters[Environnement],$E244)=0),"Environnement ≠ cluster ROKS",IF(AND($G244="À migrer",OR($U244&gt;$V244,$V244&gt;$W244)),"Dates incohérentes (prov ≤ bascule ≤ libération)",IF(AND(OR($G244="À migrer",$G244="À décommissionner"),OR(N($AO244)&gt;SUMIFS(TblClusters[CPU initial (vCPU)],TblClusters[Cluster],$I244),N($AP244)&gt;SUMIFS(TblClusters[RAM initiale (Go)],TblClusters[Cluster],$I244))),"Forçage &gt; capacité du cluster source",IF(OR(AND($AA244&lt;&gt;"",$AA244&lt;p_debut),AND($AB244&lt;&gt;"",$AB244&gt;p_fin)),"Hors horizon (info)",IF(AND($G244="À migrer",$E244="PRD",COUNTIFS(TblApplications[ID],$C244,TblApplications[Environnement],"NPRD",TblApplications[Action],"À migrer")&gt;0,$AA244&lt;_xlfn.MINIFS(TblApplications[Mois prov (calc)],TblApplications[ID],$C244,TblApplications[Environnement],"NPRD")),"PRD avant NPRD (info)","OK")))))))))))))))))))))</f>
        <v/>
      </c>
      <c r="AH244" s="62"/>
      <c r="AI244" s="62"/>
      <c r="AJ244" s="27" t="str">
        <f>IF(OR($C244="",NOT(OR($G244="À migrer",$G244="À décommissionner")),NOT(ISNUMBER($S244)),NOT(ISNUMBER($T244)),$AB244=""),"",($S244+p_poidsram*$T244)*SUMIFS(TblCalculs[Coût par unité],TblCalculs[Cluster],$I244,TblCalculs[Mois],"&lt;"&amp;$AB244))</f>
        <v/>
      </c>
      <c r="AK244" s="27" t="str">
        <f>IF($C244="","",IF(AND($G244="À migrer",$H244="Non",$Y244&lt;&gt;"",$AA244&lt;&gt;""),($Y244+p_poidsram*$Z244)*SUMIFS(TblCalculs[Coût par unité],TblCalculs[Cluster],$O244,TblCalculs[Mois],"&gt;="&amp;$AA244),IF(AND($G244="Migré",$Y244&lt;&gt;""),($Y244+p_poidsram*$Z244)*SUMIFS(TblCalculs[Coût par unité],TblCalculs[Cluster],$O244),"")))</f>
        <v/>
      </c>
      <c r="AL244" s="27" t="str">
        <f t="shared" si="30"/>
        <v/>
      </c>
      <c r="AM244" s="26" t="str">
        <f t="shared" si="31"/>
        <v/>
      </c>
      <c r="AN244" s="26" t="str">
        <f>IF(OR($C244="",$AM244&lt;&gt;1,COUNTIFS($E244,ex_envc,$A244,ex_domc,$B244,ex_tric)=0),"",COUNTIFS($AM$6:$AM244,1,$E$6:$E244,ex_envc,$A$6:$A244,ex_domc,$B$6:$B244,ex_tric))</f>
        <v/>
      </c>
      <c r="AO244" s="63"/>
      <c r="AP244" s="63"/>
      <c r="AQ244" s="63"/>
      <c r="AR244" s="63"/>
    </row>
    <row r="245" spans="1:44" x14ac:dyDescent="0.2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26" t="str">
        <f t="shared" si="24"/>
        <v/>
      </c>
      <c r="O245" s="59"/>
      <c r="P245" s="60" t="str">
        <f>IF($C245="","",IF($AQ245&lt;&gt;"",$AQ245,SUMIFS(TblDynatrace[CPU P95 (vCPU)],TblDynatrace[ID],$C245,TblDynatrace[Environnement],$E245,TblDynatrace[Couloir],$F245)))</f>
        <v/>
      </c>
      <c r="Q245" s="60" t="str">
        <f>IF($C245="","",IF($AR245&lt;&gt;"",$AR245,SUMIFS(TblDynatrace[RAM P95 (Go)],TblDynatrace[ID],$C245,TblDynatrace[Environnement],$E245,TblDynatrace[Couloir],$F245)))</f>
        <v/>
      </c>
      <c r="R245" s="26" t="str">
        <f>IF($C245="","",IFERROR(INDEX(TblDynatrace[Métrique / période],MATCH($C245&amp;"|"&amp;$E245&amp;"|"&amp;$F245,TblDynatrace[Clé],0)),""))</f>
        <v/>
      </c>
      <c r="S245" s="60" t="str">
        <f>IF(OR($C245="",NOT(OR($G245="À migrer",$G245="À décommissionner")),$I245="",NOT(ISNUMBER($P245))),"",IF($AO245&lt;&gt;"",$AO245,IFERROR(SUMIFS(TblClusters[CPU initial (vCPU)],TblClusters[Cluster],$I245)*$P245/(SUMIFS(TblApplications[CPU Dynatrace (vCPU)],TblApplications[Cluster IKS source],$I245,TblApplications[Action],"À migrer")+SUMIFS(TblApplications[CPU Dynatrace (vCPU)],TblApplications[Cluster IKS source],$I245,TblApplications[Action],"À décommissionner")),0)))</f>
        <v/>
      </c>
      <c r="T245" s="60" t="str">
        <f>IF(OR($C245="",NOT(OR($G245="À migrer",$G245="À décommissionner")),$I245="",NOT(ISNUMBER($Q245))),"",IF($AP245&lt;&gt;"",$AP245,IFERROR(SUMIFS(TblClusters[RAM initiale (Go)],TblClusters[Cluster],$I245)*$Q245/(SUMIFS(TblApplications[RAM Dynatrace (Go)],TblApplications[Cluster IKS source],$I245,TblApplications[Action],"À migrer")+SUMIFS(TblApplications[RAM Dynatrace (Go)],TblApplications[Cluster IKS source],$I245,TblApplications[Action],"À décommissionner")),0)))</f>
        <v/>
      </c>
      <c r="U245" s="61"/>
      <c r="V245" s="61"/>
      <c r="W245" s="61"/>
      <c r="X245" s="59"/>
      <c r="Y245" s="26" t="str">
        <f t="shared" si="25"/>
        <v/>
      </c>
      <c r="Z245" s="26" t="str">
        <f t="shared" si="26"/>
        <v/>
      </c>
      <c r="AA245" s="33" t="str">
        <f t="shared" si="27"/>
        <v/>
      </c>
      <c r="AB245" s="33" t="str">
        <f t="shared" si="28"/>
        <v/>
      </c>
      <c r="AC245" s="26" t="str">
        <f t="shared" si="29"/>
        <v/>
      </c>
      <c r="AD245" s="26" t="str">
        <f>IF($C245="","",COUNTIF(TblApplications[ID],$C245))</f>
        <v/>
      </c>
      <c r="AE245" s="33" t="str">
        <f>IF($C245="","",IFERROR(1/(1/_xlfn.MINIFS(TblApplications[Mois prov (calc)],TblApplications[ID],$C245)),""))</f>
        <v/>
      </c>
      <c r="AF245" s="33" t="str">
        <f>IF($C245="","",IFERROR(1/(1/_xlfn.MAXIFS(TblApplications[Mois lib (calc)],TblApplications[ID],$C245)),""))</f>
        <v/>
      </c>
      <c r="AG245" s="26" t="str">
        <f>IF($C245="","",IF(OR(OR($A245="",$B245="",$D245="",$E245="",$F245="",$G245=""),AND($G245="À migrer",OR($H245="",$I245="",$O245="",$U245="",$V245="",$W245="")),AND($G245="Migré",OR($O245="")),AND($G245="À décommissionner",OR($I245="",$W245=""))),"Données manquantes (selon l’action)",IF(AND($G245&lt;&gt;"Migré",$G245&lt;&gt;"À migrer",$G245&lt;&gt;"À décommissionner",$G245&lt;&gt;"Décommissionné"),"Action invalide",IF(COUNTIF(TblDomaines[Domaine],$A245)=0,"Domaine inconnu (référentiel)",IF(COUNTIFS(TblTribes[Tribe],$B245,TblTribes[Domaine de la tribe],$A245)=0,"Tribe inconnue ou hors domaine",IF(AND($G245="À migrer",$H245&lt;&gt;"Oui",$H245&lt;&gt;"Non"),"Valeur Oui/Non invalide (Déjà incluse ROKS)",IF(AND($E245&lt;&gt;"PRD",$E245&lt;&gt;"NPRD"),"Environnement invalide",IF(COUNTIFS(TblApplications[ID],$C245,TblApplications[Environnement],$E245,TblApplications[Couloir],$F245)&gt;1,"Déploiement en doublon (ID + env + couloir)",IF(AND(OR(OR($G245="À migrer",$G245="Migré"),OR($G245="À migrer",$G245="À décommissionner")),N($P245)&lt;=0),"Conso Dynatrace absente (onglet Dynatrace)",IF(OR(AND($P245&lt;&gt;"",NOT(ISNUMBER($P245))),AND($Q245&lt;&gt;"",NOT(ISNUMBER($Q245)))),"Ressource non numérique",IF(MIN(N($P245),N($Q245))&lt;0,"Ressource négative",IF(OR(AND($AH245&lt;&gt;"",OR(NOT(ISNUMBER($AH245)),$AH245&lt;0,$AH245&gt;1)),AND($AI245&lt;&gt;"",OR(NOT(ISNUMBER($AI245)),$AI245&lt;0,$AI245&gt;1))),"Marge spécifique invalide (0–100 %)",IF(OR(AND($U245&lt;&gt;"",NOT(ISNUMBER($U245))),AND($V245&lt;&gt;"",NOT(ISNUMBER($V245))),AND($W245&lt;&gt;"",NOT(ISNUMBER($W245)))),"Mois invalide",IF(AND(OR($G245="À migrer",$G245="À décommissionner"),COUNTIFS(TblClusters[Cluster],$I245,TblClusters[Plateforme],"IKS")=0),"Cluster IKS inconnu",IF(AND(OR($G245="À migrer",$G245="Migré"),COUNTIFS(TblClusters[Cluster],$O245,TblClusters[Plateforme],"ROKS")=0),"Cluster ROKS inconnu",IF(AND(OR($G245="À migrer",$G245="À décommissionner"),COUNTIFS(TblClusters[Cluster],$I245,TblClusters[Environnement],$E245)=0),"Environnement ≠ cluster IKS",IF(AND(OR($G245="À migrer",$G245="Migré"),COUNTIFS(TblClusters[Cluster],$O245,TblClusters[Environnement],$E245)=0),"Environnement ≠ cluster ROKS",IF(AND($G245="À migrer",OR($U245&gt;$V245,$V245&gt;$W245)),"Dates incohérentes (prov ≤ bascule ≤ libération)",IF(AND(OR($G245="À migrer",$G245="À décommissionner"),OR(N($AO245)&gt;SUMIFS(TblClusters[CPU initial (vCPU)],TblClusters[Cluster],$I245),N($AP245)&gt;SUMIFS(TblClusters[RAM initiale (Go)],TblClusters[Cluster],$I245))),"Forçage &gt; capacité du cluster source",IF(OR(AND($AA245&lt;&gt;"",$AA245&lt;p_debut),AND($AB245&lt;&gt;"",$AB245&gt;p_fin)),"Hors horizon (info)",IF(AND($G245="À migrer",$E245="PRD",COUNTIFS(TblApplications[ID],$C245,TblApplications[Environnement],"NPRD",TblApplications[Action],"À migrer")&gt;0,$AA245&lt;_xlfn.MINIFS(TblApplications[Mois prov (calc)],TblApplications[ID],$C245,TblApplications[Environnement],"NPRD")),"PRD avant NPRD (info)","OK")))))))))))))))))))))</f>
        <v/>
      </c>
      <c r="AH245" s="62"/>
      <c r="AI245" s="62"/>
      <c r="AJ245" s="27" t="str">
        <f>IF(OR($C245="",NOT(OR($G245="À migrer",$G245="À décommissionner")),NOT(ISNUMBER($S245)),NOT(ISNUMBER($T245)),$AB245=""),"",($S245+p_poidsram*$T245)*SUMIFS(TblCalculs[Coût par unité],TblCalculs[Cluster],$I245,TblCalculs[Mois],"&lt;"&amp;$AB245))</f>
        <v/>
      </c>
      <c r="AK245" s="27" t="str">
        <f>IF($C245="","",IF(AND($G245="À migrer",$H245="Non",$Y245&lt;&gt;"",$AA245&lt;&gt;""),($Y245+p_poidsram*$Z245)*SUMIFS(TblCalculs[Coût par unité],TblCalculs[Cluster],$O245,TblCalculs[Mois],"&gt;="&amp;$AA245),IF(AND($G245="Migré",$Y245&lt;&gt;""),($Y245+p_poidsram*$Z245)*SUMIFS(TblCalculs[Coût par unité],TblCalculs[Cluster],$O245),"")))</f>
        <v/>
      </c>
      <c r="AL245" s="27" t="str">
        <f t="shared" si="30"/>
        <v/>
      </c>
      <c r="AM245" s="26" t="str">
        <f t="shared" si="31"/>
        <v/>
      </c>
      <c r="AN245" s="26" t="str">
        <f>IF(OR($C245="",$AM245&lt;&gt;1,COUNTIFS($E245,ex_envc,$A245,ex_domc,$B245,ex_tric)=0),"",COUNTIFS($AM$6:$AM245,1,$E$6:$E245,ex_envc,$A$6:$A245,ex_domc,$B$6:$B245,ex_tric))</f>
        <v/>
      </c>
      <c r="AO245" s="63"/>
      <c r="AP245" s="63"/>
      <c r="AQ245" s="63"/>
      <c r="AR245" s="63"/>
    </row>
    <row r="246" spans="1:44" x14ac:dyDescent="0.2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26" t="str">
        <f t="shared" si="24"/>
        <v/>
      </c>
      <c r="O246" s="59"/>
      <c r="P246" s="60" t="str">
        <f>IF($C246="","",IF($AQ246&lt;&gt;"",$AQ246,SUMIFS(TblDynatrace[CPU P95 (vCPU)],TblDynatrace[ID],$C246,TblDynatrace[Environnement],$E246,TblDynatrace[Couloir],$F246)))</f>
        <v/>
      </c>
      <c r="Q246" s="60" t="str">
        <f>IF($C246="","",IF($AR246&lt;&gt;"",$AR246,SUMIFS(TblDynatrace[RAM P95 (Go)],TblDynatrace[ID],$C246,TblDynatrace[Environnement],$E246,TblDynatrace[Couloir],$F246)))</f>
        <v/>
      </c>
      <c r="R246" s="26" t="str">
        <f>IF($C246="","",IFERROR(INDEX(TblDynatrace[Métrique / période],MATCH($C246&amp;"|"&amp;$E246&amp;"|"&amp;$F246,TblDynatrace[Clé],0)),""))</f>
        <v/>
      </c>
      <c r="S246" s="60" t="str">
        <f>IF(OR($C246="",NOT(OR($G246="À migrer",$G246="À décommissionner")),$I246="",NOT(ISNUMBER($P246))),"",IF($AO246&lt;&gt;"",$AO246,IFERROR(SUMIFS(TblClusters[CPU initial (vCPU)],TblClusters[Cluster],$I246)*$P246/(SUMIFS(TblApplications[CPU Dynatrace (vCPU)],TblApplications[Cluster IKS source],$I246,TblApplications[Action],"À migrer")+SUMIFS(TblApplications[CPU Dynatrace (vCPU)],TblApplications[Cluster IKS source],$I246,TblApplications[Action],"À décommissionner")),0)))</f>
        <v/>
      </c>
      <c r="T246" s="60" t="str">
        <f>IF(OR($C246="",NOT(OR($G246="À migrer",$G246="À décommissionner")),$I246="",NOT(ISNUMBER($Q246))),"",IF($AP246&lt;&gt;"",$AP246,IFERROR(SUMIFS(TblClusters[RAM initiale (Go)],TblClusters[Cluster],$I246)*$Q246/(SUMIFS(TblApplications[RAM Dynatrace (Go)],TblApplications[Cluster IKS source],$I246,TblApplications[Action],"À migrer")+SUMIFS(TblApplications[RAM Dynatrace (Go)],TblApplications[Cluster IKS source],$I246,TblApplications[Action],"À décommissionner")),0)))</f>
        <v/>
      </c>
      <c r="U246" s="61"/>
      <c r="V246" s="61"/>
      <c r="W246" s="61"/>
      <c r="X246" s="59"/>
      <c r="Y246" s="26" t="str">
        <f t="shared" si="25"/>
        <v/>
      </c>
      <c r="Z246" s="26" t="str">
        <f t="shared" si="26"/>
        <v/>
      </c>
      <c r="AA246" s="33" t="str">
        <f t="shared" si="27"/>
        <v/>
      </c>
      <c r="AB246" s="33" t="str">
        <f t="shared" si="28"/>
        <v/>
      </c>
      <c r="AC246" s="26" t="str">
        <f t="shared" si="29"/>
        <v/>
      </c>
      <c r="AD246" s="26" t="str">
        <f>IF($C246="","",COUNTIF(TblApplications[ID],$C246))</f>
        <v/>
      </c>
      <c r="AE246" s="33" t="str">
        <f>IF($C246="","",IFERROR(1/(1/_xlfn.MINIFS(TblApplications[Mois prov (calc)],TblApplications[ID],$C246)),""))</f>
        <v/>
      </c>
      <c r="AF246" s="33" t="str">
        <f>IF($C246="","",IFERROR(1/(1/_xlfn.MAXIFS(TblApplications[Mois lib (calc)],TblApplications[ID],$C246)),""))</f>
        <v/>
      </c>
      <c r="AG246" s="26" t="str">
        <f>IF($C246="","",IF(OR(OR($A246="",$B246="",$D246="",$E246="",$F246="",$G246=""),AND($G246="À migrer",OR($H246="",$I246="",$O246="",$U246="",$V246="",$W246="")),AND($G246="Migré",OR($O246="")),AND($G246="À décommissionner",OR($I246="",$W246=""))),"Données manquantes (selon l’action)",IF(AND($G246&lt;&gt;"Migré",$G246&lt;&gt;"À migrer",$G246&lt;&gt;"À décommissionner",$G246&lt;&gt;"Décommissionné"),"Action invalide",IF(COUNTIF(TblDomaines[Domaine],$A246)=0,"Domaine inconnu (référentiel)",IF(COUNTIFS(TblTribes[Tribe],$B246,TblTribes[Domaine de la tribe],$A246)=0,"Tribe inconnue ou hors domaine",IF(AND($G246="À migrer",$H246&lt;&gt;"Oui",$H246&lt;&gt;"Non"),"Valeur Oui/Non invalide (Déjà incluse ROKS)",IF(AND($E246&lt;&gt;"PRD",$E246&lt;&gt;"NPRD"),"Environnement invalide",IF(COUNTIFS(TblApplications[ID],$C246,TblApplications[Environnement],$E246,TblApplications[Couloir],$F246)&gt;1,"Déploiement en doublon (ID + env + couloir)",IF(AND(OR(OR($G246="À migrer",$G246="Migré"),OR($G246="À migrer",$G246="À décommissionner")),N($P246)&lt;=0),"Conso Dynatrace absente (onglet Dynatrace)",IF(OR(AND($P246&lt;&gt;"",NOT(ISNUMBER($P246))),AND($Q246&lt;&gt;"",NOT(ISNUMBER($Q246)))),"Ressource non numérique",IF(MIN(N($P246),N($Q246))&lt;0,"Ressource négative",IF(OR(AND($AH246&lt;&gt;"",OR(NOT(ISNUMBER($AH246)),$AH246&lt;0,$AH246&gt;1)),AND($AI246&lt;&gt;"",OR(NOT(ISNUMBER($AI246)),$AI246&lt;0,$AI246&gt;1))),"Marge spécifique invalide (0–100 %)",IF(OR(AND($U246&lt;&gt;"",NOT(ISNUMBER($U246))),AND($V246&lt;&gt;"",NOT(ISNUMBER($V246))),AND($W246&lt;&gt;"",NOT(ISNUMBER($W246)))),"Mois invalide",IF(AND(OR($G246="À migrer",$G246="À décommissionner"),COUNTIFS(TblClusters[Cluster],$I246,TblClusters[Plateforme],"IKS")=0),"Cluster IKS inconnu",IF(AND(OR($G246="À migrer",$G246="Migré"),COUNTIFS(TblClusters[Cluster],$O246,TblClusters[Plateforme],"ROKS")=0),"Cluster ROKS inconnu",IF(AND(OR($G246="À migrer",$G246="À décommissionner"),COUNTIFS(TblClusters[Cluster],$I246,TblClusters[Environnement],$E246)=0),"Environnement ≠ cluster IKS",IF(AND(OR($G246="À migrer",$G246="Migré"),COUNTIFS(TblClusters[Cluster],$O246,TblClusters[Environnement],$E246)=0),"Environnement ≠ cluster ROKS",IF(AND($G246="À migrer",OR($U246&gt;$V246,$V246&gt;$W246)),"Dates incohérentes (prov ≤ bascule ≤ libération)",IF(AND(OR($G246="À migrer",$G246="À décommissionner"),OR(N($AO246)&gt;SUMIFS(TblClusters[CPU initial (vCPU)],TblClusters[Cluster],$I246),N($AP246)&gt;SUMIFS(TblClusters[RAM initiale (Go)],TblClusters[Cluster],$I246))),"Forçage &gt; capacité du cluster source",IF(OR(AND($AA246&lt;&gt;"",$AA246&lt;p_debut),AND($AB246&lt;&gt;"",$AB246&gt;p_fin)),"Hors horizon (info)",IF(AND($G246="À migrer",$E246="PRD",COUNTIFS(TblApplications[ID],$C246,TblApplications[Environnement],"NPRD",TblApplications[Action],"À migrer")&gt;0,$AA246&lt;_xlfn.MINIFS(TblApplications[Mois prov (calc)],TblApplications[ID],$C246,TblApplications[Environnement],"NPRD")),"PRD avant NPRD (info)","OK")))))))))))))))))))))</f>
        <v/>
      </c>
      <c r="AH246" s="62"/>
      <c r="AI246" s="62"/>
      <c r="AJ246" s="27" t="str">
        <f>IF(OR($C246="",NOT(OR($G246="À migrer",$G246="À décommissionner")),NOT(ISNUMBER($S246)),NOT(ISNUMBER($T246)),$AB246=""),"",($S246+p_poidsram*$T246)*SUMIFS(TblCalculs[Coût par unité],TblCalculs[Cluster],$I246,TblCalculs[Mois],"&lt;"&amp;$AB246))</f>
        <v/>
      </c>
      <c r="AK246" s="27" t="str">
        <f>IF($C246="","",IF(AND($G246="À migrer",$H246="Non",$Y246&lt;&gt;"",$AA246&lt;&gt;""),($Y246+p_poidsram*$Z246)*SUMIFS(TblCalculs[Coût par unité],TblCalculs[Cluster],$O246,TblCalculs[Mois],"&gt;="&amp;$AA246),IF(AND($G246="Migré",$Y246&lt;&gt;""),($Y246+p_poidsram*$Z246)*SUMIFS(TblCalculs[Coût par unité],TblCalculs[Cluster],$O246),"")))</f>
        <v/>
      </c>
      <c r="AL246" s="27" t="str">
        <f t="shared" si="30"/>
        <v/>
      </c>
      <c r="AM246" s="26" t="str">
        <f t="shared" si="31"/>
        <v/>
      </c>
      <c r="AN246" s="26" t="str">
        <f>IF(OR($C246="",$AM246&lt;&gt;1,COUNTIFS($E246,ex_envc,$A246,ex_domc,$B246,ex_tric)=0),"",COUNTIFS($AM$6:$AM246,1,$E$6:$E246,ex_envc,$A$6:$A246,ex_domc,$B$6:$B246,ex_tric))</f>
        <v/>
      </c>
      <c r="AO246" s="63"/>
      <c r="AP246" s="63"/>
      <c r="AQ246" s="63"/>
      <c r="AR246" s="63"/>
    </row>
    <row r="247" spans="1:44" x14ac:dyDescent="0.2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26" t="str">
        <f t="shared" si="24"/>
        <v/>
      </c>
      <c r="O247" s="59"/>
      <c r="P247" s="60" t="str">
        <f>IF($C247="","",IF($AQ247&lt;&gt;"",$AQ247,SUMIFS(TblDynatrace[CPU P95 (vCPU)],TblDynatrace[ID],$C247,TblDynatrace[Environnement],$E247,TblDynatrace[Couloir],$F247)))</f>
        <v/>
      </c>
      <c r="Q247" s="60" t="str">
        <f>IF($C247="","",IF($AR247&lt;&gt;"",$AR247,SUMIFS(TblDynatrace[RAM P95 (Go)],TblDynatrace[ID],$C247,TblDynatrace[Environnement],$E247,TblDynatrace[Couloir],$F247)))</f>
        <v/>
      </c>
      <c r="R247" s="26" t="str">
        <f>IF($C247="","",IFERROR(INDEX(TblDynatrace[Métrique / période],MATCH($C247&amp;"|"&amp;$E247&amp;"|"&amp;$F247,TblDynatrace[Clé],0)),""))</f>
        <v/>
      </c>
      <c r="S247" s="60" t="str">
        <f>IF(OR($C247="",NOT(OR($G247="À migrer",$G247="À décommissionner")),$I247="",NOT(ISNUMBER($P247))),"",IF($AO247&lt;&gt;"",$AO247,IFERROR(SUMIFS(TblClusters[CPU initial (vCPU)],TblClusters[Cluster],$I247)*$P247/(SUMIFS(TblApplications[CPU Dynatrace (vCPU)],TblApplications[Cluster IKS source],$I247,TblApplications[Action],"À migrer")+SUMIFS(TblApplications[CPU Dynatrace (vCPU)],TblApplications[Cluster IKS source],$I247,TblApplications[Action],"À décommissionner")),0)))</f>
        <v/>
      </c>
      <c r="T247" s="60" t="str">
        <f>IF(OR($C247="",NOT(OR($G247="À migrer",$G247="À décommissionner")),$I247="",NOT(ISNUMBER($Q247))),"",IF($AP247&lt;&gt;"",$AP247,IFERROR(SUMIFS(TblClusters[RAM initiale (Go)],TblClusters[Cluster],$I247)*$Q247/(SUMIFS(TblApplications[RAM Dynatrace (Go)],TblApplications[Cluster IKS source],$I247,TblApplications[Action],"À migrer")+SUMIFS(TblApplications[RAM Dynatrace (Go)],TblApplications[Cluster IKS source],$I247,TblApplications[Action],"À décommissionner")),0)))</f>
        <v/>
      </c>
      <c r="U247" s="61"/>
      <c r="V247" s="61"/>
      <c r="W247" s="61"/>
      <c r="X247" s="59"/>
      <c r="Y247" s="26" t="str">
        <f t="shared" si="25"/>
        <v/>
      </c>
      <c r="Z247" s="26" t="str">
        <f t="shared" si="26"/>
        <v/>
      </c>
      <c r="AA247" s="33" t="str">
        <f t="shared" si="27"/>
        <v/>
      </c>
      <c r="AB247" s="33" t="str">
        <f t="shared" si="28"/>
        <v/>
      </c>
      <c r="AC247" s="26" t="str">
        <f t="shared" si="29"/>
        <v/>
      </c>
      <c r="AD247" s="26" t="str">
        <f>IF($C247="","",COUNTIF(TblApplications[ID],$C247))</f>
        <v/>
      </c>
      <c r="AE247" s="33" t="str">
        <f>IF($C247="","",IFERROR(1/(1/_xlfn.MINIFS(TblApplications[Mois prov (calc)],TblApplications[ID],$C247)),""))</f>
        <v/>
      </c>
      <c r="AF247" s="33" t="str">
        <f>IF($C247="","",IFERROR(1/(1/_xlfn.MAXIFS(TblApplications[Mois lib (calc)],TblApplications[ID],$C247)),""))</f>
        <v/>
      </c>
      <c r="AG247" s="26" t="str">
        <f>IF($C247="","",IF(OR(OR($A247="",$B247="",$D247="",$E247="",$F247="",$G247=""),AND($G247="À migrer",OR($H247="",$I247="",$O247="",$U247="",$V247="",$W247="")),AND($G247="Migré",OR($O247="")),AND($G247="À décommissionner",OR($I247="",$W247=""))),"Données manquantes (selon l’action)",IF(AND($G247&lt;&gt;"Migré",$G247&lt;&gt;"À migrer",$G247&lt;&gt;"À décommissionner",$G247&lt;&gt;"Décommissionné"),"Action invalide",IF(COUNTIF(TblDomaines[Domaine],$A247)=0,"Domaine inconnu (référentiel)",IF(COUNTIFS(TblTribes[Tribe],$B247,TblTribes[Domaine de la tribe],$A247)=0,"Tribe inconnue ou hors domaine",IF(AND($G247="À migrer",$H247&lt;&gt;"Oui",$H247&lt;&gt;"Non"),"Valeur Oui/Non invalide (Déjà incluse ROKS)",IF(AND($E247&lt;&gt;"PRD",$E247&lt;&gt;"NPRD"),"Environnement invalide",IF(COUNTIFS(TblApplications[ID],$C247,TblApplications[Environnement],$E247,TblApplications[Couloir],$F247)&gt;1,"Déploiement en doublon (ID + env + couloir)",IF(AND(OR(OR($G247="À migrer",$G247="Migré"),OR($G247="À migrer",$G247="À décommissionner")),N($P247)&lt;=0),"Conso Dynatrace absente (onglet Dynatrace)",IF(OR(AND($P247&lt;&gt;"",NOT(ISNUMBER($P247))),AND($Q247&lt;&gt;"",NOT(ISNUMBER($Q247)))),"Ressource non numérique",IF(MIN(N($P247),N($Q247))&lt;0,"Ressource négative",IF(OR(AND($AH247&lt;&gt;"",OR(NOT(ISNUMBER($AH247)),$AH247&lt;0,$AH247&gt;1)),AND($AI247&lt;&gt;"",OR(NOT(ISNUMBER($AI247)),$AI247&lt;0,$AI247&gt;1))),"Marge spécifique invalide (0–100 %)",IF(OR(AND($U247&lt;&gt;"",NOT(ISNUMBER($U247))),AND($V247&lt;&gt;"",NOT(ISNUMBER($V247))),AND($W247&lt;&gt;"",NOT(ISNUMBER($W247)))),"Mois invalide",IF(AND(OR($G247="À migrer",$G247="À décommissionner"),COUNTIFS(TblClusters[Cluster],$I247,TblClusters[Plateforme],"IKS")=0),"Cluster IKS inconnu",IF(AND(OR($G247="À migrer",$G247="Migré"),COUNTIFS(TblClusters[Cluster],$O247,TblClusters[Plateforme],"ROKS")=0),"Cluster ROKS inconnu",IF(AND(OR($G247="À migrer",$G247="À décommissionner"),COUNTIFS(TblClusters[Cluster],$I247,TblClusters[Environnement],$E247)=0),"Environnement ≠ cluster IKS",IF(AND(OR($G247="À migrer",$G247="Migré"),COUNTIFS(TblClusters[Cluster],$O247,TblClusters[Environnement],$E247)=0),"Environnement ≠ cluster ROKS",IF(AND($G247="À migrer",OR($U247&gt;$V247,$V247&gt;$W247)),"Dates incohérentes (prov ≤ bascule ≤ libération)",IF(AND(OR($G247="À migrer",$G247="À décommissionner"),OR(N($AO247)&gt;SUMIFS(TblClusters[CPU initial (vCPU)],TblClusters[Cluster],$I247),N($AP247)&gt;SUMIFS(TblClusters[RAM initiale (Go)],TblClusters[Cluster],$I247))),"Forçage &gt; capacité du cluster source",IF(OR(AND($AA247&lt;&gt;"",$AA247&lt;p_debut),AND($AB247&lt;&gt;"",$AB247&gt;p_fin)),"Hors horizon (info)",IF(AND($G247="À migrer",$E247="PRD",COUNTIFS(TblApplications[ID],$C247,TblApplications[Environnement],"NPRD",TblApplications[Action],"À migrer")&gt;0,$AA247&lt;_xlfn.MINIFS(TblApplications[Mois prov (calc)],TblApplications[ID],$C247,TblApplications[Environnement],"NPRD")),"PRD avant NPRD (info)","OK")))))))))))))))))))))</f>
        <v/>
      </c>
      <c r="AH247" s="62"/>
      <c r="AI247" s="62"/>
      <c r="AJ247" s="27" t="str">
        <f>IF(OR($C247="",NOT(OR($G247="À migrer",$G247="À décommissionner")),NOT(ISNUMBER($S247)),NOT(ISNUMBER($T247)),$AB247=""),"",($S247+p_poidsram*$T247)*SUMIFS(TblCalculs[Coût par unité],TblCalculs[Cluster],$I247,TblCalculs[Mois],"&lt;"&amp;$AB247))</f>
        <v/>
      </c>
      <c r="AK247" s="27" t="str">
        <f>IF($C247="","",IF(AND($G247="À migrer",$H247="Non",$Y247&lt;&gt;"",$AA247&lt;&gt;""),($Y247+p_poidsram*$Z247)*SUMIFS(TblCalculs[Coût par unité],TblCalculs[Cluster],$O247,TblCalculs[Mois],"&gt;="&amp;$AA247),IF(AND($G247="Migré",$Y247&lt;&gt;""),($Y247+p_poidsram*$Z247)*SUMIFS(TblCalculs[Coût par unité],TblCalculs[Cluster],$O247),"")))</f>
        <v/>
      </c>
      <c r="AL247" s="27" t="str">
        <f t="shared" si="30"/>
        <v/>
      </c>
      <c r="AM247" s="26" t="str">
        <f t="shared" si="31"/>
        <v/>
      </c>
      <c r="AN247" s="26" t="str">
        <f>IF(OR($C247="",$AM247&lt;&gt;1,COUNTIFS($E247,ex_envc,$A247,ex_domc,$B247,ex_tric)=0),"",COUNTIFS($AM$6:$AM247,1,$E$6:$E247,ex_envc,$A$6:$A247,ex_domc,$B$6:$B247,ex_tric))</f>
        <v/>
      </c>
      <c r="AO247" s="63"/>
      <c r="AP247" s="63"/>
      <c r="AQ247" s="63"/>
      <c r="AR247" s="63"/>
    </row>
    <row r="248" spans="1:44" x14ac:dyDescent="0.2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26" t="str">
        <f t="shared" si="24"/>
        <v/>
      </c>
      <c r="O248" s="59"/>
      <c r="P248" s="60" t="str">
        <f>IF($C248="","",IF($AQ248&lt;&gt;"",$AQ248,SUMIFS(TblDynatrace[CPU P95 (vCPU)],TblDynatrace[ID],$C248,TblDynatrace[Environnement],$E248,TblDynatrace[Couloir],$F248)))</f>
        <v/>
      </c>
      <c r="Q248" s="60" t="str">
        <f>IF($C248="","",IF($AR248&lt;&gt;"",$AR248,SUMIFS(TblDynatrace[RAM P95 (Go)],TblDynatrace[ID],$C248,TblDynatrace[Environnement],$E248,TblDynatrace[Couloir],$F248)))</f>
        <v/>
      </c>
      <c r="R248" s="26" t="str">
        <f>IF($C248="","",IFERROR(INDEX(TblDynatrace[Métrique / période],MATCH($C248&amp;"|"&amp;$E248&amp;"|"&amp;$F248,TblDynatrace[Clé],0)),""))</f>
        <v/>
      </c>
      <c r="S248" s="60" t="str">
        <f>IF(OR($C248="",NOT(OR($G248="À migrer",$G248="À décommissionner")),$I248="",NOT(ISNUMBER($P248))),"",IF($AO248&lt;&gt;"",$AO248,IFERROR(SUMIFS(TblClusters[CPU initial (vCPU)],TblClusters[Cluster],$I248)*$P248/(SUMIFS(TblApplications[CPU Dynatrace (vCPU)],TblApplications[Cluster IKS source],$I248,TblApplications[Action],"À migrer")+SUMIFS(TblApplications[CPU Dynatrace (vCPU)],TblApplications[Cluster IKS source],$I248,TblApplications[Action],"À décommissionner")),0)))</f>
        <v/>
      </c>
      <c r="T248" s="60" t="str">
        <f>IF(OR($C248="",NOT(OR($G248="À migrer",$G248="À décommissionner")),$I248="",NOT(ISNUMBER($Q248))),"",IF($AP248&lt;&gt;"",$AP248,IFERROR(SUMIFS(TblClusters[RAM initiale (Go)],TblClusters[Cluster],$I248)*$Q248/(SUMIFS(TblApplications[RAM Dynatrace (Go)],TblApplications[Cluster IKS source],$I248,TblApplications[Action],"À migrer")+SUMIFS(TblApplications[RAM Dynatrace (Go)],TblApplications[Cluster IKS source],$I248,TblApplications[Action],"À décommissionner")),0)))</f>
        <v/>
      </c>
      <c r="U248" s="61"/>
      <c r="V248" s="61"/>
      <c r="W248" s="61"/>
      <c r="X248" s="59"/>
      <c r="Y248" s="26" t="str">
        <f t="shared" si="25"/>
        <v/>
      </c>
      <c r="Z248" s="26" t="str">
        <f t="shared" si="26"/>
        <v/>
      </c>
      <c r="AA248" s="33" t="str">
        <f t="shared" si="27"/>
        <v/>
      </c>
      <c r="AB248" s="33" t="str">
        <f t="shared" si="28"/>
        <v/>
      </c>
      <c r="AC248" s="26" t="str">
        <f t="shared" si="29"/>
        <v/>
      </c>
      <c r="AD248" s="26" t="str">
        <f>IF($C248="","",COUNTIF(TblApplications[ID],$C248))</f>
        <v/>
      </c>
      <c r="AE248" s="33" t="str">
        <f>IF($C248="","",IFERROR(1/(1/_xlfn.MINIFS(TblApplications[Mois prov (calc)],TblApplications[ID],$C248)),""))</f>
        <v/>
      </c>
      <c r="AF248" s="33" t="str">
        <f>IF($C248="","",IFERROR(1/(1/_xlfn.MAXIFS(TblApplications[Mois lib (calc)],TblApplications[ID],$C248)),""))</f>
        <v/>
      </c>
      <c r="AG248" s="26" t="str">
        <f>IF($C248="","",IF(OR(OR($A248="",$B248="",$D248="",$E248="",$F248="",$G248=""),AND($G248="À migrer",OR($H248="",$I248="",$O248="",$U248="",$V248="",$W248="")),AND($G248="Migré",OR($O248="")),AND($G248="À décommissionner",OR($I248="",$W248=""))),"Données manquantes (selon l’action)",IF(AND($G248&lt;&gt;"Migré",$G248&lt;&gt;"À migrer",$G248&lt;&gt;"À décommissionner",$G248&lt;&gt;"Décommissionné"),"Action invalide",IF(COUNTIF(TblDomaines[Domaine],$A248)=0,"Domaine inconnu (référentiel)",IF(COUNTIFS(TblTribes[Tribe],$B248,TblTribes[Domaine de la tribe],$A248)=0,"Tribe inconnue ou hors domaine",IF(AND($G248="À migrer",$H248&lt;&gt;"Oui",$H248&lt;&gt;"Non"),"Valeur Oui/Non invalide (Déjà incluse ROKS)",IF(AND($E248&lt;&gt;"PRD",$E248&lt;&gt;"NPRD"),"Environnement invalide",IF(COUNTIFS(TblApplications[ID],$C248,TblApplications[Environnement],$E248,TblApplications[Couloir],$F248)&gt;1,"Déploiement en doublon (ID + env + couloir)",IF(AND(OR(OR($G248="À migrer",$G248="Migré"),OR($G248="À migrer",$G248="À décommissionner")),N($P248)&lt;=0),"Conso Dynatrace absente (onglet Dynatrace)",IF(OR(AND($P248&lt;&gt;"",NOT(ISNUMBER($P248))),AND($Q248&lt;&gt;"",NOT(ISNUMBER($Q248)))),"Ressource non numérique",IF(MIN(N($P248),N($Q248))&lt;0,"Ressource négative",IF(OR(AND($AH248&lt;&gt;"",OR(NOT(ISNUMBER($AH248)),$AH248&lt;0,$AH248&gt;1)),AND($AI248&lt;&gt;"",OR(NOT(ISNUMBER($AI248)),$AI248&lt;0,$AI248&gt;1))),"Marge spécifique invalide (0–100 %)",IF(OR(AND($U248&lt;&gt;"",NOT(ISNUMBER($U248))),AND($V248&lt;&gt;"",NOT(ISNUMBER($V248))),AND($W248&lt;&gt;"",NOT(ISNUMBER($W248)))),"Mois invalide",IF(AND(OR($G248="À migrer",$G248="À décommissionner"),COUNTIFS(TblClusters[Cluster],$I248,TblClusters[Plateforme],"IKS")=0),"Cluster IKS inconnu",IF(AND(OR($G248="À migrer",$G248="Migré"),COUNTIFS(TblClusters[Cluster],$O248,TblClusters[Plateforme],"ROKS")=0),"Cluster ROKS inconnu",IF(AND(OR($G248="À migrer",$G248="À décommissionner"),COUNTIFS(TblClusters[Cluster],$I248,TblClusters[Environnement],$E248)=0),"Environnement ≠ cluster IKS",IF(AND(OR($G248="À migrer",$G248="Migré"),COUNTIFS(TblClusters[Cluster],$O248,TblClusters[Environnement],$E248)=0),"Environnement ≠ cluster ROKS",IF(AND($G248="À migrer",OR($U248&gt;$V248,$V248&gt;$W248)),"Dates incohérentes (prov ≤ bascule ≤ libération)",IF(AND(OR($G248="À migrer",$G248="À décommissionner"),OR(N($AO248)&gt;SUMIFS(TblClusters[CPU initial (vCPU)],TblClusters[Cluster],$I248),N($AP248)&gt;SUMIFS(TblClusters[RAM initiale (Go)],TblClusters[Cluster],$I248))),"Forçage &gt; capacité du cluster source",IF(OR(AND($AA248&lt;&gt;"",$AA248&lt;p_debut),AND($AB248&lt;&gt;"",$AB248&gt;p_fin)),"Hors horizon (info)",IF(AND($G248="À migrer",$E248="PRD",COUNTIFS(TblApplications[ID],$C248,TblApplications[Environnement],"NPRD",TblApplications[Action],"À migrer")&gt;0,$AA248&lt;_xlfn.MINIFS(TblApplications[Mois prov (calc)],TblApplications[ID],$C248,TblApplications[Environnement],"NPRD")),"PRD avant NPRD (info)","OK")))))))))))))))))))))</f>
        <v/>
      </c>
      <c r="AH248" s="62"/>
      <c r="AI248" s="62"/>
      <c r="AJ248" s="27" t="str">
        <f>IF(OR($C248="",NOT(OR($G248="À migrer",$G248="À décommissionner")),NOT(ISNUMBER($S248)),NOT(ISNUMBER($T248)),$AB248=""),"",($S248+p_poidsram*$T248)*SUMIFS(TblCalculs[Coût par unité],TblCalculs[Cluster],$I248,TblCalculs[Mois],"&lt;"&amp;$AB248))</f>
        <v/>
      </c>
      <c r="AK248" s="27" t="str">
        <f>IF($C248="","",IF(AND($G248="À migrer",$H248="Non",$Y248&lt;&gt;"",$AA248&lt;&gt;""),($Y248+p_poidsram*$Z248)*SUMIFS(TblCalculs[Coût par unité],TblCalculs[Cluster],$O248,TblCalculs[Mois],"&gt;="&amp;$AA248),IF(AND($G248="Migré",$Y248&lt;&gt;""),($Y248+p_poidsram*$Z248)*SUMIFS(TblCalculs[Coût par unité],TblCalculs[Cluster],$O248),"")))</f>
        <v/>
      </c>
      <c r="AL248" s="27" t="str">
        <f t="shared" si="30"/>
        <v/>
      </c>
      <c r="AM248" s="26" t="str">
        <f t="shared" si="31"/>
        <v/>
      </c>
      <c r="AN248" s="26" t="str">
        <f>IF(OR($C248="",$AM248&lt;&gt;1,COUNTIFS($E248,ex_envc,$A248,ex_domc,$B248,ex_tric)=0),"",COUNTIFS($AM$6:$AM248,1,$E$6:$E248,ex_envc,$A$6:$A248,ex_domc,$B$6:$B248,ex_tric))</f>
        <v/>
      </c>
      <c r="AO248" s="63"/>
      <c r="AP248" s="63"/>
      <c r="AQ248" s="63"/>
      <c r="AR248" s="63"/>
    </row>
    <row r="249" spans="1:44" x14ac:dyDescent="0.2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26" t="str">
        <f t="shared" si="24"/>
        <v/>
      </c>
      <c r="O249" s="59"/>
      <c r="P249" s="60" t="str">
        <f>IF($C249="","",IF($AQ249&lt;&gt;"",$AQ249,SUMIFS(TblDynatrace[CPU P95 (vCPU)],TblDynatrace[ID],$C249,TblDynatrace[Environnement],$E249,TblDynatrace[Couloir],$F249)))</f>
        <v/>
      </c>
      <c r="Q249" s="60" t="str">
        <f>IF($C249="","",IF($AR249&lt;&gt;"",$AR249,SUMIFS(TblDynatrace[RAM P95 (Go)],TblDynatrace[ID],$C249,TblDynatrace[Environnement],$E249,TblDynatrace[Couloir],$F249)))</f>
        <v/>
      </c>
      <c r="R249" s="26" t="str">
        <f>IF($C249="","",IFERROR(INDEX(TblDynatrace[Métrique / période],MATCH($C249&amp;"|"&amp;$E249&amp;"|"&amp;$F249,TblDynatrace[Clé],0)),""))</f>
        <v/>
      </c>
      <c r="S249" s="60" t="str">
        <f>IF(OR($C249="",NOT(OR($G249="À migrer",$G249="À décommissionner")),$I249="",NOT(ISNUMBER($P249))),"",IF($AO249&lt;&gt;"",$AO249,IFERROR(SUMIFS(TblClusters[CPU initial (vCPU)],TblClusters[Cluster],$I249)*$P249/(SUMIFS(TblApplications[CPU Dynatrace (vCPU)],TblApplications[Cluster IKS source],$I249,TblApplications[Action],"À migrer")+SUMIFS(TblApplications[CPU Dynatrace (vCPU)],TblApplications[Cluster IKS source],$I249,TblApplications[Action],"À décommissionner")),0)))</f>
        <v/>
      </c>
      <c r="T249" s="60" t="str">
        <f>IF(OR($C249="",NOT(OR($G249="À migrer",$G249="À décommissionner")),$I249="",NOT(ISNUMBER($Q249))),"",IF($AP249&lt;&gt;"",$AP249,IFERROR(SUMIFS(TblClusters[RAM initiale (Go)],TblClusters[Cluster],$I249)*$Q249/(SUMIFS(TblApplications[RAM Dynatrace (Go)],TblApplications[Cluster IKS source],$I249,TblApplications[Action],"À migrer")+SUMIFS(TblApplications[RAM Dynatrace (Go)],TblApplications[Cluster IKS source],$I249,TblApplications[Action],"À décommissionner")),0)))</f>
        <v/>
      </c>
      <c r="U249" s="61"/>
      <c r="V249" s="61"/>
      <c r="W249" s="61"/>
      <c r="X249" s="59"/>
      <c r="Y249" s="26" t="str">
        <f t="shared" si="25"/>
        <v/>
      </c>
      <c r="Z249" s="26" t="str">
        <f t="shared" si="26"/>
        <v/>
      </c>
      <c r="AA249" s="33" t="str">
        <f t="shared" si="27"/>
        <v/>
      </c>
      <c r="AB249" s="33" t="str">
        <f t="shared" si="28"/>
        <v/>
      </c>
      <c r="AC249" s="26" t="str">
        <f t="shared" si="29"/>
        <v/>
      </c>
      <c r="AD249" s="26" t="str">
        <f>IF($C249="","",COUNTIF(TblApplications[ID],$C249))</f>
        <v/>
      </c>
      <c r="AE249" s="33" t="str">
        <f>IF($C249="","",IFERROR(1/(1/_xlfn.MINIFS(TblApplications[Mois prov (calc)],TblApplications[ID],$C249)),""))</f>
        <v/>
      </c>
      <c r="AF249" s="33" t="str">
        <f>IF($C249="","",IFERROR(1/(1/_xlfn.MAXIFS(TblApplications[Mois lib (calc)],TblApplications[ID],$C249)),""))</f>
        <v/>
      </c>
      <c r="AG249" s="26" t="str">
        <f>IF($C249="","",IF(OR(OR($A249="",$B249="",$D249="",$E249="",$F249="",$G249=""),AND($G249="À migrer",OR($H249="",$I249="",$O249="",$U249="",$V249="",$W249="")),AND($G249="Migré",OR($O249="")),AND($G249="À décommissionner",OR($I249="",$W249=""))),"Données manquantes (selon l’action)",IF(AND($G249&lt;&gt;"Migré",$G249&lt;&gt;"À migrer",$G249&lt;&gt;"À décommissionner",$G249&lt;&gt;"Décommissionné"),"Action invalide",IF(COUNTIF(TblDomaines[Domaine],$A249)=0,"Domaine inconnu (référentiel)",IF(COUNTIFS(TblTribes[Tribe],$B249,TblTribes[Domaine de la tribe],$A249)=0,"Tribe inconnue ou hors domaine",IF(AND($G249="À migrer",$H249&lt;&gt;"Oui",$H249&lt;&gt;"Non"),"Valeur Oui/Non invalide (Déjà incluse ROKS)",IF(AND($E249&lt;&gt;"PRD",$E249&lt;&gt;"NPRD"),"Environnement invalide",IF(COUNTIFS(TblApplications[ID],$C249,TblApplications[Environnement],$E249,TblApplications[Couloir],$F249)&gt;1,"Déploiement en doublon (ID + env + couloir)",IF(AND(OR(OR($G249="À migrer",$G249="Migré"),OR($G249="À migrer",$G249="À décommissionner")),N($P249)&lt;=0),"Conso Dynatrace absente (onglet Dynatrace)",IF(OR(AND($P249&lt;&gt;"",NOT(ISNUMBER($P249))),AND($Q249&lt;&gt;"",NOT(ISNUMBER($Q249)))),"Ressource non numérique",IF(MIN(N($P249),N($Q249))&lt;0,"Ressource négative",IF(OR(AND($AH249&lt;&gt;"",OR(NOT(ISNUMBER($AH249)),$AH249&lt;0,$AH249&gt;1)),AND($AI249&lt;&gt;"",OR(NOT(ISNUMBER($AI249)),$AI249&lt;0,$AI249&gt;1))),"Marge spécifique invalide (0–100 %)",IF(OR(AND($U249&lt;&gt;"",NOT(ISNUMBER($U249))),AND($V249&lt;&gt;"",NOT(ISNUMBER($V249))),AND($W249&lt;&gt;"",NOT(ISNUMBER($W249)))),"Mois invalide",IF(AND(OR($G249="À migrer",$G249="À décommissionner"),COUNTIFS(TblClusters[Cluster],$I249,TblClusters[Plateforme],"IKS")=0),"Cluster IKS inconnu",IF(AND(OR($G249="À migrer",$G249="Migré"),COUNTIFS(TblClusters[Cluster],$O249,TblClusters[Plateforme],"ROKS")=0),"Cluster ROKS inconnu",IF(AND(OR($G249="À migrer",$G249="À décommissionner"),COUNTIFS(TblClusters[Cluster],$I249,TblClusters[Environnement],$E249)=0),"Environnement ≠ cluster IKS",IF(AND(OR($G249="À migrer",$G249="Migré"),COUNTIFS(TblClusters[Cluster],$O249,TblClusters[Environnement],$E249)=0),"Environnement ≠ cluster ROKS",IF(AND($G249="À migrer",OR($U249&gt;$V249,$V249&gt;$W249)),"Dates incohérentes (prov ≤ bascule ≤ libération)",IF(AND(OR($G249="À migrer",$G249="À décommissionner"),OR(N($AO249)&gt;SUMIFS(TblClusters[CPU initial (vCPU)],TblClusters[Cluster],$I249),N($AP249)&gt;SUMIFS(TblClusters[RAM initiale (Go)],TblClusters[Cluster],$I249))),"Forçage &gt; capacité du cluster source",IF(OR(AND($AA249&lt;&gt;"",$AA249&lt;p_debut),AND($AB249&lt;&gt;"",$AB249&gt;p_fin)),"Hors horizon (info)",IF(AND($G249="À migrer",$E249="PRD",COUNTIFS(TblApplications[ID],$C249,TblApplications[Environnement],"NPRD",TblApplications[Action],"À migrer")&gt;0,$AA249&lt;_xlfn.MINIFS(TblApplications[Mois prov (calc)],TblApplications[ID],$C249,TblApplications[Environnement],"NPRD")),"PRD avant NPRD (info)","OK")))))))))))))))))))))</f>
        <v/>
      </c>
      <c r="AH249" s="62"/>
      <c r="AI249" s="62"/>
      <c r="AJ249" s="27" t="str">
        <f>IF(OR($C249="",NOT(OR($G249="À migrer",$G249="À décommissionner")),NOT(ISNUMBER($S249)),NOT(ISNUMBER($T249)),$AB249=""),"",($S249+p_poidsram*$T249)*SUMIFS(TblCalculs[Coût par unité],TblCalculs[Cluster],$I249,TblCalculs[Mois],"&lt;"&amp;$AB249))</f>
        <v/>
      </c>
      <c r="AK249" s="27" t="str">
        <f>IF($C249="","",IF(AND($G249="À migrer",$H249="Non",$Y249&lt;&gt;"",$AA249&lt;&gt;""),($Y249+p_poidsram*$Z249)*SUMIFS(TblCalculs[Coût par unité],TblCalculs[Cluster],$O249,TblCalculs[Mois],"&gt;="&amp;$AA249),IF(AND($G249="Migré",$Y249&lt;&gt;""),($Y249+p_poidsram*$Z249)*SUMIFS(TblCalculs[Coût par unité],TblCalculs[Cluster],$O249),"")))</f>
        <v/>
      </c>
      <c r="AL249" s="27" t="str">
        <f t="shared" si="30"/>
        <v/>
      </c>
      <c r="AM249" s="26" t="str">
        <f t="shared" si="31"/>
        <v/>
      </c>
      <c r="AN249" s="26" t="str">
        <f>IF(OR($C249="",$AM249&lt;&gt;1,COUNTIFS($E249,ex_envc,$A249,ex_domc,$B249,ex_tric)=0),"",COUNTIFS($AM$6:$AM249,1,$E$6:$E249,ex_envc,$A$6:$A249,ex_domc,$B$6:$B249,ex_tric))</f>
        <v/>
      </c>
      <c r="AO249" s="63"/>
      <c r="AP249" s="63"/>
      <c r="AQ249" s="63"/>
      <c r="AR249" s="63"/>
    </row>
    <row r="250" spans="1:44" x14ac:dyDescent="0.2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26" t="str">
        <f t="shared" si="24"/>
        <v/>
      </c>
      <c r="O250" s="59"/>
      <c r="P250" s="60" t="str">
        <f>IF($C250="","",IF($AQ250&lt;&gt;"",$AQ250,SUMIFS(TblDynatrace[CPU P95 (vCPU)],TblDynatrace[ID],$C250,TblDynatrace[Environnement],$E250,TblDynatrace[Couloir],$F250)))</f>
        <v/>
      </c>
      <c r="Q250" s="60" t="str">
        <f>IF($C250="","",IF($AR250&lt;&gt;"",$AR250,SUMIFS(TblDynatrace[RAM P95 (Go)],TblDynatrace[ID],$C250,TblDynatrace[Environnement],$E250,TblDynatrace[Couloir],$F250)))</f>
        <v/>
      </c>
      <c r="R250" s="26" t="str">
        <f>IF($C250="","",IFERROR(INDEX(TblDynatrace[Métrique / période],MATCH($C250&amp;"|"&amp;$E250&amp;"|"&amp;$F250,TblDynatrace[Clé],0)),""))</f>
        <v/>
      </c>
      <c r="S250" s="60" t="str">
        <f>IF(OR($C250="",NOT(OR($G250="À migrer",$G250="À décommissionner")),$I250="",NOT(ISNUMBER($P250))),"",IF($AO250&lt;&gt;"",$AO250,IFERROR(SUMIFS(TblClusters[CPU initial (vCPU)],TblClusters[Cluster],$I250)*$P250/(SUMIFS(TblApplications[CPU Dynatrace (vCPU)],TblApplications[Cluster IKS source],$I250,TblApplications[Action],"À migrer")+SUMIFS(TblApplications[CPU Dynatrace (vCPU)],TblApplications[Cluster IKS source],$I250,TblApplications[Action],"À décommissionner")),0)))</f>
        <v/>
      </c>
      <c r="T250" s="60" t="str">
        <f>IF(OR($C250="",NOT(OR($G250="À migrer",$G250="À décommissionner")),$I250="",NOT(ISNUMBER($Q250))),"",IF($AP250&lt;&gt;"",$AP250,IFERROR(SUMIFS(TblClusters[RAM initiale (Go)],TblClusters[Cluster],$I250)*$Q250/(SUMIFS(TblApplications[RAM Dynatrace (Go)],TblApplications[Cluster IKS source],$I250,TblApplications[Action],"À migrer")+SUMIFS(TblApplications[RAM Dynatrace (Go)],TblApplications[Cluster IKS source],$I250,TblApplications[Action],"À décommissionner")),0)))</f>
        <v/>
      </c>
      <c r="U250" s="61"/>
      <c r="V250" s="61"/>
      <c r="W250" s="61"/>
      <c r="X250" s="59"/>
      <c r="Y250" s="26" t="str">
        <f t="shared" si="25"/>
        <v/>
      </c>
      <c r="Z250" s="26" t="str">
        <f t="shared" si="26"/>
        <v/>
      </c>
      <c r="AA250" s="33" t="str">
        <f t="shared" si="27"/>
        <v/>
      </c>
      <c r="AB250" s="33" t="str">
        <f t="shared" si="28"/>
        <v/>
      </c>
      <c r="AC250" s="26" t="str">
        <f t="shared" si="29"/>
        <v/>
      </c>
      <c r="AD250" s="26" t="str">
        <f>IF($C250="","",COUNTIF(TblApplications[ID],$C250))</f>
        <v/>
      </c>
      <c r="AE250" s="33" t="str">
        <f>IF($C250="","",IFERROR(1/(1/_xlfn.MINIFS(TblApplications[Mois prov (calc)],TblApplications[ID],$C250)),""))</f>
        <v/>
      </c>
      <c r="AF250" s="33" t="str">
        <f>IF($C250="","",IFERROR(1/(1/_xlfn.MAXIFS(TblApplications[Mois lib (calc)],TblApplications[ID],$C250)),""))</f>
        <v/>
      </c>
      <c r="AG250" s="26" t="str">
        <f>IF($C250="","",IF(OR(OR($A250="",$B250="",$D250="",$E250="",$F250="",$G250=""),AND($G250="À migrer",OR($H250="",$I250="",$O250="",$U250="",$V250="",$W250="")),AND($G250="Migré",OR($O250="")),AND($G250="À décommissionner",OR($I250="",$W250=""))),"Données manquantes (selon l’action)",IF(AND($G250&lt;&gt;"Migré",$G250&lt;&gt;"À migrer",$G250&lt;&gt;"À décommissionner",$G250&lt;&gt;"Décommissionné"),"Action invalide",IF(COUNTIF(TblDomaines[Domaine],$A250)=0,"Domaine inconnu (référentiel)",IF(COUNTIFS(TblTribes[Tribe],$B250,TblTribes[Domaine de la tribe],$A250)=0,"Tribe inconnue ou hors domaine",IF(AND($G250="À migrer",$H250&lt;&gt;"Oui",$H250&lt;&gt;"Non"),"Valeur Oui/Non invalide (Déjà incluse ROKS)",IF(AND($E250&lt;&gt;"PRD",$E250&lt;&gt;"NPRD"),"Environnement invalide",IF(COUNTIFS(TblApplications[ID],$C250,TblApplications[Environnement],$E250,TblApplications[Couloir],$F250)&gt;1,"Déploiement en doublon (ID + env + couloir)",IF(AND(OR(OR($G250="À migrer",$G250="Migré"),OR($G250="À migrer",$G250="À décommissionner")),N($P250)&lt;=0),"Conso Dynatrace absente (onglet Dynatrace)",IF(OR(AND($P250&lt;&gt;"",NOT(ISNUMBER($P250))),AND($Q250&lt;&gt;"",NOT(ISNUMBER($Q250)))),"Ressource non numérique",IF(MIN(N($P250),N($Q250))&lt;0,"Ressource négative",IF(OR(AND($AH250&lt;&gt;"",OR(NOT(ISNUMBER($AH250)),$AH250&lt;0,$AH250&gt;1)),AND($AI250&lt;&gt;"",OR(NOT(ISNUMBER($AI250)),$AI250&lt;0,$AI250&gt;1))),"Marge spécifique invalide (0–100 %)",IF(OR(AND($U250&lt;&gt;"",NOT(ISNUMBER($U250))),AND($V250&lt;&gt;"",NOT(ISNUMBER($V250))),AND($W250&lt;&gt;"",NOT(ISNUMBER($W250)))),"Mois invalide",IF(AND(OR($G250="À migrer",$G250="À décommissionner"),COUNTIFS(TblClusters[Cluster],$I250,TblClusters[Plateforme],"IKS")=0),"Cluster IKS inconnu",IF(AND(OR($G250="À migrer",$G250="Migré"),COUNTIFS(TblClusters[Cluster],$O250,TblClusters[Plateforme],"ROKS")=0),"Cluster ROKS inconnu",IF(AND(OR($G250="À migrer",$G250="À décommissionner"),COUNTIFS(TblClusters[Cluster],$I250,TblClusters[Environnement],$E250)=0),"Environnement ≠ cluster IKS",IF(AND(OR($G250="À migrer",$G250="Migré"),COUNTIFS(TblClusters[Cluster],$O250,TblClusters[Environnement],$E250)=0),"Environnement ≠ cluster ROKS",IF(AND($G250="À migrer",OR($U250&gt;$V250,$V250&gt;$W250)),"Dates incohérentes (prov ≤ bascule ≤ libération)",IF(AND(OR($G250="À migrer",$G250="À décommissionner"),OR(N($AO250)&gt;SUMIFS(TblClusters[CPU initial (vCPU)],TblClusters[Cluster],$I250),N($AP250)&gt;SUMIFS(TblClusters[RAM initiale (Go)],TblClusters[Cluster],$I250))),"Forçage &gt; capacité du cluster source",IF(OR(AND($AA250&lt;&gt;"",$AA250&lt;p_debut),AND($AB250&lt;&gt;"",$AB250&gt;p_fin)),"Hors horizon (info)",IF(AND($G250="À migrer",$E250="PRD",COUNTIFS(TblApplications[ID],$C250,TblApplications[Environnement],"NPRD",TblApplications[Action],"À migrer")&gt;0,$AA250&lt;_xlfn.MINIFS(TblApplications[Mois prov (calc)],TblApplications[ID],$C250,TblApplications[Environnement],"NPRD")),"PRD avant NPRD (info)","OK")))))))))))))))))))))</f>
        <v/>
      </c>
      <c r="AH250" s="62"/>
      <c r="AI250" s="62"/>
      <c r="AJ250" s="27" t="str">
        <f>IF(OR($C250="",NOT(OR($G250="À migrer",$G250="À décommissionner")),NOT(ISNUMBER($S250)),NOT(ISNUMBER($T250)),$AB250=""),"",($S250+p_poidsram*$T250)*SUMIFS(TblCalculs[Coût par unité],TblCalculs[Cluster],$I250,TblCalculs[Mois],"&lt;"&amp;$AB250))</f>
        <v/>
      </c>
      <c r="AK250" s="27" t="str">
        <f>IF($C250="","",IF(AND($G250="À migrer",$H250="Non",$Y250&lt;&gt;"",$AA250&lt;&gt;""),($Y250+p_poidsram*$Z250)*SUMIFS(TblCalculs[Coût par unité],TblCalculs[Cluster],$O250,TblCalculs[Mois],"&gt;="&amp;$AA250),IF(AND($G250="Migré",$Y250&lt;&gt;""),($Y250+p_poidsram*$Z250)*SUMIFS(TblCalculs[Coût par unité],TblCalculs[Cluster],$O250),"")))</f>
        <v/>
      </c>
      <c r="AL250" s="27" t="str">
        <f t="shared" si="30"/>
        <v/>
      </c>
      <c r="AM250" s="26" t="str">
        <f t="shared" si="31"/>
        <v/>
      </c>
      <c r="AN250" s="26" t="str">
        <f>IF(OR($C250="",$AM250&lt;&gt;1,COUNTIFS($E250,ex_envc,$A250,ex_domc,$B250,ex_tric)=0),"",COUNTIFS($AM$6:$AM250,1,$E$6:$E250,ex_envc,$A$6:$A250,ex_domc,$B$6:$B250,ex_tric))</f>
        <v/>
      </c>
      <c r="AO250" s="63"/>
      <c r="AP250" s="63"/>
      <c r="AQ250" s="63"/>
      <c r="AR250" s="63"/>
    </row>
    <row r="251" spans="1:44" x14ac:dyDescent="0.2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26" t="str">
        <f t="shared" si="24"/>
        <v/>
      </c>
      <c r="O251" s="59"/>
      <c r="P251" s="60" t="str">
        <f>IF($C251="","",IF($AQ251&lt;&gt;"",$AQ251,SUMIFS(TblDynatrace[CPU P95 (vCPU)],TblDynatrace[ID],$C251,TblDynatrace[Environnement],$E251,TblDynatrace[Couloir],$F251)))</f>
        <v/>
      </c>
      <c r="Q251" s="60" t="str">
        <f>IF($C251="","",IF($AR251&lt;&gt;"",$AR251,SUMIFS(TblDynatrace[RAM P95 (Go)],TblDynatrace[ID],$C251,TblDynatrace[Environnement],$E251,TblDynatrace[Couloir],$F251)))</f>
        <v/>
      </c>
      <c r="R251" s="26" t="str">
        <f>IF($C251="","",IFERROR(INDEX(TblDynatrace[Métrique / période],MATCH($C251&amp;"|"&amp;$E251&amp;"|"&amp;$F251,TblDynatrace[Clé],0)),""))</f>
        <v/>
      </c>
      <c r="S251" s="60" t="str">
        <f>IF(OR($C251="",NOT(OR($G251="À migrer",$G251="À décommissionner")),$I251="",NOT(ISNUMBER($P251))),"",IF($AO251&lt;&gt;"",$AO251,IFERROR(SUMIFS(TblClusters[CPU initial (vCPU)],TblClusters[Cluster],$I251)*$P251/(SUMIFS(TblApplications[CPU Dynatrace (vCPU)],TblApplications[Cluster IKS source],$I251,TblApplications[Action],"À migrer")+SUMIFS(TblApplications[CPU Dynatrace (vCPU)],TblApplications[Cluster IKS source],$I251,TblApplications[Action],"À décommissionner")),0)))</f>
        <v/>
      </c>
      <c r="T251" s="60" t="str">
        <f>IF(OR($C251="",NOT(OR($G251="À migrer",$G251="À décommissionner")),$I251="",NOT(ISNUMBER($Q251))),"",IF($AP251&lt;&gt;"",$AP251,IFERROR(SUMIFS(TblClusters[RAM initiale (Go)],TblClusters[Cluster],$I251)*$Q251/(SUMIFS(TblApplications[RAM Dynatrace (Go)],TblApplications[Cluster IKS source],$I251,TblApplications[Action],"À migrer")+SUMIFS(TblApplications[RAM Dynatrace (Go)],TblApplications[Cluster IKS source],$I251,TblApplications[Action],"À décommissionner")),0)))</f>
        <v/>
      </c>
      <c r="U251" s="61"/>
      <c r="V251" s="61"/>
      <c r="W251" s="61"/>
      <c r="X251" s="59"/>
      <c r="Y251" s="26" t="str">
        <f t="shared" si="25"/>
        <v/>
      </c>
      <c r="Z251" s="26" t="str">
        <f t="shared" si="26"/>
        <v/>
      </c>
      <c r="AA251" s="33" t="str">
        <f t="shared" si="27"/>
        <v/>
      </c>
      <c r="AB251" s="33" t="str">
        <f t="shared" si="28"/>
        <v/>
      </c>
      <c r="AC251" s="26" t="str">
        <f t="shared" si="29"/>
        <v/>
      </c>
      <c r="AD251" s="26" t="str">
        <f>IF($C251="","",COUNTIF(TblApplications[ID],$C251))</f>
        <v/>
      </c>
      <c r="AE251" s="33" t="str">
        <f>IF($C251="","",IFERROR(1/(1/_xlfn.MINIFS(TblApplications[Mois prov (calc)],TblApplications[ID],$C251)),""))</f>
        <v/>
      </c>
      <c r="AF251" s="33" t="str">
        <f>IF($C251="","",IFERROR(1/(1/_xlfn.MAXIFS(TblApplications[Mois lib (calc)],TblApplications[ID],$C251)),""))</f>
        <v/>
      </c>
      <c r="AG251" s="26" t="str">
        <f>IF($C251="","",IF(OR(OR($A251="",$B251="",$D251="",$E251="",$F251="",$G251=""),AND($G251="À migrer",OR($H251="",$I251="",$O251="",$U251="",$V251="",$W251="")),AND($G251="Migré",OR($O251="")),AND($G251="À décommissionner",OR($I251="",$W251=""))),"Données manquantes (selon l’action)",IF(AND($G251&lt;&gt;"Migré",$G251&lt;&gt;"À migrer",$G251&lt;&gt;"À décommissionner",$G251&lt;&gt;"Décommissionné"),"Action invalide",IF(COUNTIF(TblDomaines[Domaine],$A251)=0,"Domaine inconnu (référentiel)",IF(COUNTIFS(TblTribes[Tribe],$B251,TblTribes[Domaine de la tribe],$A251)=0,"Tribe inconnue ou hors domaine",IF(AND($G251="À migrer",$H251&lt;&gt;"Oui",$H251&lt;&gt;"Non"),"Valeur Oui/Non invalide (Déjà incluse ROKS)",IF(AND($E251&lt;&gt;"PRD",$E251&lt;&gt;"NPRD"),"Environnement invalide",IF(COUNTIFS(TblApplications[ID],$C251,TblApplications[Environnement],$E251,TblApplications[Couloir],$F251)&gt;1,"Déploiement en doublon (ID + env + couloir)",IF(AND(OR(OR($G251="À migrer",$G251="Migré"),OR($G251="À migrer",$G251="À décommissionner")),N($P251)&lt;=0),"Conso Dynatrace absente (onglet Dynatrace)",IF(OR(AND($P251&lt;&gt;"",NOT(ISNUMBER($P251))),AND($Q251&lt;&gt;"",NOT(ISNUMBER($Q251)))),"Ressource non numérique",IF(MIN(N($P251),N($Q251))&lt;0,"Ressource négative",IF(OR(AND($AH251&lt;&gt;"",OR(NOT(ISNUMBER($AH251)),$AH251&lt;0,$AH251&gt;1)),AND($AI251&lt;&gt;"",OR(NOT(ISNUMBER($AI251)),$AI251&lt;0,$AI251&gt;1))),"Marge spécifique invalide (0–100 %)",IF(OR(AND($U251&lt;&gt;"",NOT(ISNUMBER($U251))),AND($V251&lt;&gt;"",NOT(ISNUMBER($V251))),AND($W251&lt;&gt;"",NOT(ISNUMBER($W251)))),"Mois invalide",IF(AND(OR($G251="À migrer",$G251="À décommissionner"),COUNTIFS(TblClusters[Cluster],$I251,TblClusters[Plateforme],"IKS")=0),"Cluster IKS inconnu",IF(AND(OR($G251="À migrer",$G251="Migré"),COUNTIFS(TblClusters[Cluster],$O251,TblClusters[Plateforme],"ROKS")=0),"Cluster ROKS inconnu",IF(AND(OR($G251="À migrer",$G251="À décommissionner"),COUNTIFS(TblClusters[Cluster],$I251,TblClusters[Environnement],$E251)=0),"Environnement ≠ cluster IKS",IF(AND(OR($G251="À migrer",$G251="Migré"),COUNTIFS(TblClusters[Cluster],$O251,TblClusters[Environnement],$E251)=0),"Environnement ≠ cluster ROKS",IF(AND($G251="À migrer",OR($U251&gt;$V251,$V251&gt;$W251)),"Dates incohérentes (prov ≤ bascule ≤ libération)",IF(AND(OR($G251="À migrer",$G251="À décommissionner"),OR(N($AO251)&gt;SUMIFS(TblClusters[CPU initial (vCPU)],TblClusters[Cluster],$I251),N($AP251)&gt;SUMIFS(TblClusters[RAM initiale (Go)],TblClusters[Cluster],$I251))),"Forçage &gt; capacité du cluster source",IF(OR(AND($AA251&lt;&gt;"",$AA251&lt;p_debut),AND($AB251&lt;&gt;"",$AB251&gt;p_fin)),"Hors horizon (info)",IF(AND($G251="À migrer",$E251="PRD",COUNTIFS(TblApplications[ID],$C251,TblApplications[Environnement],"NPRD",TblApplications[Action],"À migrer")&gt;0,$AA251&lt;_xlfn.MINIFS(TblApplications[Mois prov (calc)],TblApplications[ID],$C251,TblApplications[Environnement],"NPRD")),"PRD avant NPRD (info)","OK")))))))))))))))))))))</f>
        <v/>
      </c>
      <c r="AH251" s="62"/>
      <c r="AI251" s="62"/>
      <c r="AJ251" s="27" t="str">
        <f>IF(OR($C251="",NOT(OR($G251="À migrer",$G251="À décommissionner")),NOT(ISNUMBER($S251)),NOT(ISNUMBER($T251)),$AB251=""),"",($S251+p_poidsram*$T251)*SUMIFS(TblCalculs[Coût par unité],TblCalculs[Cluster],$I251,TblCalculs[Mois],"&lt;"&amp;$AB251))</f>
        <v/>
      </c>
      <c r="AK251" s="27" t="str">
        <f>IF($C251="","",IF(AND($G251="À migrer",$H251="Non",$Y251&lt;&gt;"",$AA251&lt;&gt;""),($Y251+p_poidsram*$Z251)*SUMIFS(TblCalculs[Coût par unité],TblCalculs[Cluster],$O251,TblCalculs[Mois],"&gt;="&amp;$AA251),IF(AND($G251="Migré",$Y251&lt;&gt;""),($Y251+p_poidsram*$Z251)*SUMIFS(TblCalculs[Coût par unité],TblCalculs[Cluster],$O251),"")))</f>
        <v/>
      </c>
      <c r="AL251" s="27" t="str">
        <f t="shared" si="30"/>
        <v/>
      </c>
      <c r="AM251" s="26" t="str">
        <f t="shared" si="31"/>
        <v/>
      </c>
      <c r="AN251" s="26" t="str">
        <f>IF(OR($C251="",$AM251&lt;&gt;1,COUNTIFS($E251,ex_envc,$A251,ex_domc,$B251,ex_tric)=0),"",COUNTIFS($AM$6:$AM251,1,$E$6:$E251,ex_envc,$A$6:$A251,ex_domc,$B$6:$B251,ex_tric))</f>
        <v/>
      </c>
      <c r="AO251" s="63"/>
      <c r="AP251" s="63"/>
      <c r="AQ251" s="63"/>
      <c r="AR251" s="63"/>
    </row>
    <row r="252" spans="1:44" x14ac:dyDescent="0.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26" t="str">
        <f t="shared" si="24"/>
        <v/>
      </c>
      <c r="O252" s="59"/>
      <c r="P252" s="60" t="str">
        <f>IF($C252="","",IF($AQ252&lt;&gt;"",$AQ252,SUMIFS(TblDynatrace[CPU P95 (vCPU)],TblDynatrace[ID],$C252,TblDynatrace[Environnement],$E252,TblDynatrace[Couloir],$F252)))</f>
        <v/>
      </c>
      <c r="Q252" s="60" t="str">
        <f>IF($C252="","",IF($AR252&lt;&gt;"",$AR252,SUMIFS(TblDynatrace[RAM P95 (Go)],TblDynatrace[ID],$C252,TblDynatrace[Environnement],$E252,TblDynatrace[Couloir],$F252)))</f>
        <v/>
      </c>
      <c r="R252" s="26" t="str">
        <f>IF($C252="","",IFERROR(INDEX(TblDynatrace[Métrique / période],MATCH($C252&amp;"|"&amp;$E252&amp;"|"&amp;$F252,TblDynatrace[Clé],0)),""))</f>
        <v/>
      </c>
      <c r="S252" s="60" t="str">
        <f>IF(OR($C252="",NOT(OR($G252="À migrer",$G252="À décommissionner")),$I252="",NOT(ISNUMBER($P252))),"",IF($AO252&lt;&gt;"",$AO252,IFERROR(SUMIFS(TblClusters[CPU initial (vCPU)],TblClusters[Cluster],$I252)*$P252/(SUMIFS(TblApplications[CPU Dynatrace (vCPU)],TblApplications[Cluster IKS source],$I252,TblApplications[Action],"À migrer")+SUMIFS(TblApplications[CPU Dynatrace (vCPU)],TblApplications[Cluster IKS source],$I252,TblApplications[Action],"À décommissionner")),0)))</f>
        <v/>
      </c>
      <c r="T252" s="60" t="str">
        <f>IF(OR($C252="",NOT(OR($G252="À migrer",$G252="À décommissionner")),$I252="",NOT(ISNUMBER($Q252))),"",IF($AP252&lt;&gt;"",$AP252,IFERROR(SUMIFS(TblClusters[RAM initiale (Go)],TblClusters[Cluster],$I252)*$Q252/(SUMIFS(TblApplications[RAM Dynatrace (Go)],TblApplications[Cluster IKS source],$I252,TblApplications[Action],"À migrer")+SUMIFS(TblApplications[RAM Dynatrace (Go)],TblApplications[Cluster IKS source],$I252,TblApplications[Action],"À décommissionner")),0)))</f>
        <v/>
      </c>
      <c r="U252" s="61"/>
      <c r="V252" s="61"/>
      <c r="W252" s="61"/>
      <c r="X252" s="59"/>
      <c r="Y252" s="26" t="str">
        <f t="shared" si="25"/>
        <v/>
      </c>
      <c r="Z252" s="26" t="str">
        <f t="shared" si="26"/>
        <v/>
      </c>
      <c r="AA252" s="33" t="str">
        <f t="shared" si="27"/>
        <v/>
      </c>
      <c r="AB252" s="33" t="str">
        <f t="shared" si="28"/>
        <v/>
      </c>
      <c r="AC252" s="26" t="str">
        <f t="shared" si="29"/>
        <v/>
      </c>
      <c r="AD252" s="26" t="str">
        <f>IF($C252="","",COUNTIF(TblApplications[ID],$C252))</f>
        <v/>
      </c>
      <c r="AE252" s="33" t="str">
        <f>IF($C252="","",IFERROR(1/(1/_xlfn.MINIFS(TblApplications[Mois prov (calc)],TblApplications[ID],$C252)),""))</f>
        <v/>
      </c>
      <c r="AF252" s="33" t="str">
        <f>IF($C252="","",IFERROR(1/(1/_xlfn.MAXIFS(TblApplications[Mois lib (calc)],TblApplications[ID],$C252)),""))</f>
        <v/>
      </c>
      <c r="AG252" s="26" t="str">
        <f>IF($C252="","",IF(OR(OR($A252="",$B252="",$D252="",$E252="",$F252="",$G252=""),AND($G252="À migrer",OR($H252="",$I252="",$O252="",$U252="",$V252="",$W252="")),AND($G252="Migré",OR($O252="")),AND($G252="À décommissionner",OR($I252="",$W252=""))),"Données manquantes (selon l’action)",IF(AND($G252&lt;&gt;"Migré",$G252&lt;&gt;"À migrer",$G252&lt;&gt;"À décommissionner",$G252&lt;&gt;"Décommissionné"),"Action invalide",IF(COUNTIF(TblDomaines[Domaine],$A252)=0,"Domaine inconnu (référentiel)",IF(COUNTIFS(TblTribes[Tribe],$B252,TblTribes[Domaine de la tribe],$A252)=0,"Tribe inconnue ou hors domaine",IF(AND($G252="À migrer",$H252&lt;&gt;"Oui",$H252&lt;&gt;"Non"),"Valeur Oui/Non invalide (Déjà incluse ROKS)",IF(AND($E252&lt;&gt;"PRD",$E252&lt;&gt;"NPRD"),"Environnement invalide",IF(COUNTIFS(TblApplications[ID],$C252,TblApplications[Environnement],$E252,TblApplications[Couloir],$F252)&gt;1,"Déploiement en doublon (ID + env + couloir)",IF(AND(OR(OR($G252="À migrer",$G252="Migré"),OR($G252="À migrer",$G252="À décommissionner")),N($P252)&lt;=0),"Conso Dynatrace absente (onglet Dynatrace)",IF(OR(AND($P252&lt;&gt;"",NOT(ISNUMBER($P252))),AND($Q252&lt;&gt;"",NOT(ISNUMBER($Q252)))),"Ressource non numérique",IF(MIN(N($P252),N($Q252))&lt;0,"Ressource négative",IF(OR(AND($AH252&lt;&gt;"",OR(NOT(ISNUMBER($AH252)),$AH252&lt;0,$AH252&gt;1)),AND($AI252&lt;&gt;"",OR(NOT(ISNUMBER($AI252)),$AI252&lt;0,$AI252&gt;1))),"Marge spécifique invalide (0–100 %)",IF(OR(AND($U252&lt;&gt;"",NOT(ISNUMBER($U252))),AND($V252&lt;&gt;"",NOT(ISNUMBER($V252))),AND($W252&lt;&gt;"",NOT(ISNUMBER($W252)))),"Mois invalide",IF(AND(OR($G252="À migrer",$G252="À décommissionner"),COUNTIFS(TblClusters[Cluster],$I252,TblClusters[Plateforme],"IKS")=0),"Cluster IKS inconnu",IF(AND(OR($G252="À migrer",$G252="Migré"),COUNTIFS(TblClusters[Cluster],$O252,TblClusters[Plateforme],"ROKS")=0),"Cluster ROKS inconnu",IF(AND(OR($G252="À migrer",$G252="À décommissionner"),COUNTIFS(TblClusters[Cluster],$I252,TblClusters[Environnement],$E252)=0),"Environnement ≠ cluster IKS",IF(AND(OR($G252="À migrer",$G252="Migré"),COUNTIFS(TblClusters[Cluster],$O252,TblClusters[Environnement],$E252)=0),"Environnement ≠ cluster ROKS",IF(AND($G252="À migrer",OR($U252&gt;$V252,$V252&gt;$W252)),"Dates incohérentes (prov ≤ bascule ≤ libération)",IF(AND(OR($G252="À migrer",$G252="À décommissionner"),OR(N($AO252)&gt;SUMIFS(TblClusters[CPU initial (vCPU)],TblClusters[Cluster],$I252),N($AP252)&gt;SUMIFS(TblClusters[RAM initiale (Go)],TblClusters[Cluster],$I252))),"Forçage &gt; capacité du cluster source",IF(OR(AND($AA252&lt;&gt;"",$AA252&lt;p_debut),AND($AB252&lt;&gt;"",$AB252&gt;p_fin)),"Hors horizon (info)",IF(AND($G252="À migrer",$E252="PRD",COUNTIFS(TblApplications[ID],$C252,TblApplications[Environnement],"NPRD",TblApplications[Action],"À migrer")&gt;0,$AA252&lt;_xlfn.MINIFS(TblApplications[Mois prov (calc)],TblApplications[ID],$C252,TblApplications[Environnement],"NPRD")),"PRD avant NPRD (info)","OK")))))))))))))))))))))</f>
        <v/>
      </c>
      <c r="AH252" s="62"/>
      <c r="AI252" s="62"/>
      <c r="AJ252" s="27" t="str">
        <f>IF(OR($C252="",NOT(OR($G252="À migrer",$G252="À décommissionner")),NOT(ISNUMBER($S252)),NOT(ISNUMBER($T252)),$AB252=""),"",($S252+p_poidsram*$T252)*SUMIFS(TblCalculs[Coût par unité],TblCalculs[Cluster],$I252,TblCalculs[Mois],"&lt;"&amp;$AB252))</f>
        <v/>
      </c>
      <c r="AK252" s="27" t="str">
        <f>IF($C252="","",IF(AND($G252="À migrer",$H252="Non",$Y252&lt;&gt;"",$AA252&lt;&gt;""),($Y252+p_poidsram*$Z252)*SUMIFS(TblCalculs[Coût par unité],TblCalculs[Cluster],$O252,TblCalculs[Mois],"&gt;="&amp;$AA252),IF(AND($G252="Migré",$Y252&lt;&gt;""),($Y252+p_poidsram*$Z252)*SUMIFS(TblCalculs[Coût par unité],TblCalculs[Cluster],$O252),"")))</f>
        <v/>
      </c>
      <c r="AL252" s="27" t="str">
        <f t="shared" si="30"/>
        <v/>
      </c>
      <c r="AM252" s="26" t="str">
        <f t="shared" si="31"/>
        <v/>
      </c>
      <c r="AN252" s="26" t="str">
        <f>IF(OR($C252="",$AM252&lt;&gt;1,COUNTIFS($E252,ex_envc,$A252,ex_domc,$B252,ex_tric)=0),"",COUNTIFS($AM$6:$AM252,1,$E$6:$E252,ex_envc,$A$6:$A252,ex_domc,$B$6:$B252,ex_tric))</f>
        <v/>
      </c>
      <c r="AO252" s="63"/>
      <c r="AP252" s="63"/>
      <c r="AQ252" s="63"/>
      <c r="AR252" s="63"/>
    </row>
    <row r="253" spans="1:44" x14ac:dyDescent="0.2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26" t="str">
        <f t="shared" si="24"/>
        <v/>
      </c>
      <c r="O253" s="59"/>
      <c r="P253" s="60" t="str">
        <f>IF($C253="","",IF($AQ253&lt;&gt;"",$AQ253,SUMIFS(TblDynatrace[CPU P95 (vCPU)],TblDynatrace[ID],$C253,TblDynatrace[Environnement],$E253,TblDynatrace[Couloir],$F253)))</f>
        <v/>
      </c>
      <c r="Q253" s="60" t="str">
        <f>IF($C253="","",IF($AR253&lt;&gt;"",$AR253,SUMIFS(TblDynatrace[RAM P95 (Go)],TblDynatrace[ID],$C253,TblDynatrace[Environnement],$E253,TblDynatrace[Couloir],$F253)))</f>
        <v/>
      </c>
      <c r="R253" s="26" t="str">
        <f>IF($C253="","",IFERROR(INDEX(TblDynatrace[Métrique / période],MATCH($C253&amp;"|"&amp;$E253&amp;"|"&amp;$F253,TblDynatrace[Clé],0)),""))</f>
        <v/>
      </c>
      <c r="S253" s="60" t="str">
        <f>IF(OR($C253="",NOT(OR($G253="À migrer",$G253="À décommissionner")),$I253="",NOT(ISNUMBER($P253))),"",IF($AO253&lt;&gt;"",$AO253,IFERROR(SUMIFS(TblClusters[CPU initial (vCPU)],TblClusters[Cluster],$I253)*$P253/(SUMIFS(TblApplications[CPU Dynatrace (vCPU)],TblApplications[Cluster IKS source],$I253,TblApplications[Action],"À migrer")+SUMIFS(TblApplications[CPU Dynatrace (vCPU)],TblApplications[Cluster IKS source],$I253,TblApplications[Action],"À décommissionner")),0)))</f>
        <v/>
      </c>
      <c r="T253" s="60" t="str">
        <f>IF(OR($C253="",NOT(OR($G253="À migrer",$G253="À décommissionner")),$I253="",NOT(ISNUMBER($Q253))),"",IF($AP253&lt;&gt;"",$AP253,IFERROR(SUMIFS(TblClusters[RAM initiale (Go)],TblClusters[Cluster],$I253)*$Q253/(SUMIFS(TblApplications[RAM Dynatrace (Go)],TblApplications[Cluster IKS source],$I253,TblApplications[Action],"À migrer")+SUMIFS(TblApplications[RAM Dynatrace (Go)],TblApplications[Cluster IKS source],$I253,TblApplications[Action],"À décommissionner")),0)))</f>
        <v/>
      </c>
      <c r="U253" s="61"/>
      <c r="V253" s="61"/>
      <c r="W253" s="61"/>
      <c r="X253" s="59"/>
      <c r="Y253" s="26" t="str">
        <f t="shared" si="25"/>
        <v/>
      </c>
      <c r="Z253" s="26" t="str">
        <f t="shared" si="26"/>
        <v/>
      </c>
      <c r="AA253" s="33" t="str">
        <f t="shared" si="27"/>
        <v/>
      </c>
      <c r="AB253" s="33" t="str">
        <f t="shared" si="28"/>
        <v/>
      </c>
      <c r="AC253" s="26" t="str">
        <f t="shared" si="29"/>
        <v/>
      </c>
      <c r="AD253" s="26" t="str">
        <f>IF($C253="","",COUNTIF(TblApplications[ID],$C253))</f>
        <v/>
      </c>
      <c r="AE253" s="33" t="str">
        <f>IF($C253="","",IFERROR(1/(1/_xlfn.MINIFS(TblApplications[Mois prov (calc)],TblApplications[ID],$C253)),""))</f>
        <v/>
      </c>
      <c r="AF253" s="33" t="str">
        <f>IF($C253="","",IFERROR(1/(1/_xlfn.MAXIFS(TblApplications[Mois lib (calc)],TblApplications[ID],$C253)),""))</f>
        <v/>
      </c>
      <c r="AG253" s="26" t="str">
        <f>IF($C253="","",IF(OR(OR($A253="",$B253="",$D253="",$E253="",$F253="",$G253=""),AND($G253="À migrer",OR($H253="",$I253="",$O253="",$U253="",$V253="",$W253="")),AND($G253="Migré",OR($O253="")),AND($G253="À décommissionner",OR($I253="",$W253=""))),"Données manquantes (selon l’action)",IF(AND($G253&lt;&gt;"Migré",$G253&lt;&gt;"À migrer",$G253&lt;&gt;"À décommissionner",$G253&lt;&gt;"Décommissionné"),"Action invalide",IF(COUNTIF(TblDomaines[Domaine],$A253)=0,"Domaine inconnu (référentiel)",IF(COUNTIFS(TblTribes[Tribe],$B253,TblTribes[Domaine de la tribe],$A253)=0,"Tribe inconnue ou hors domaine",IF(AND($G253="À migrer",$H253&lt;&gt;"Oui",$H253&lt;&gt;"Non"),"Valeur Oui/Non invalide (Déjà incluse ROKS)",IF(AND($E253&lt;&gt;"PRD",$E253&lt;&gt;"NPRD"),"Environnement invalide",IF(COUNTIFS(TblApplications[ID],$C253,TblApplications[Environnement],$E253,TblApplications[Couloir],$F253)&gt;1,"Déploiement en doublon (ID + env + couloir)",IF(AND(OR(OR($G253="À migrer",$G253="Migré"),OR($G253="À migrer",$G253="À décommissionner")),N($P253)&lt;=0),"Conso Dynatrace absente (onglet Dynatrace)",IF(OR(AND($P253&lt;&gt;"",NOT(ISNUMBER($P253))),AND($Q253&lt;&gt;"",NOT(ISNUMBER($Q253)))),"Ressource non numérique",IF(MIN(N($P253),N($Q253))&lt;0,"Ressource négative",IF(OR(AND($AH253&lt;&gt;"",OR(NOT(ISNUMBER($AH253)),$AH253&lt;0,$AH253&gt;1)),AND($AI253&lt;&gt;"",OR(NOT(ISNUMBER($AI253)),$AI253&lt;0,$AI253&gt;1))),"Marge spécifique invalide (0–100 %)",IF(OR(AND($U253&lt;&gt;"",NOT(ISNUMBER($U253))),AND($V253&lt;&gt;"",NOT(ISNUMBER($V253))),AND($W253&lt;&gt;"",NOT(ISNUMBER($W253)))),"Mois invalide",IF(AND(OR($G253="À migrer",$G253="À décommissionner"),COUNTIFS(TblClusters[Cluster],$I253,TblClusters[Plateforme],"IKS")=0),"Cluster IKS inconnu",IF(AND(OR($G253="À migrer",$G253="Migré"),COUNTIFS(TblClusters[Cluster],$O253,TblClusters[Plateforme],"ROKS")=0),"Cluster ROKS inconnu",IF(AND(OR($G253="À migrer",$G253="À décommissionner"),COUNTIFS(TblClusters[Cluster],$I253,TblClusters[Environnement],$E253)=0),"Environnement ≠ cluster IKS",IF(AND(OR($G253="À migrer",$G253="Migré"),COUNTIFS(TblClusters[Cluster],$O253,TblClusters[Environnement],$E253)=0),"Environnement ≠ cluster ROKS",IF(AND($G253="À migrer",OR($U253&gt;$V253,$V253&gt;$W253)),"Dates incohérentes (prov ≤ bascule ≤ libération)",IF(AND(OR($G253="À migrer",$G253="À décommissionner"),OR(N($AO253)&gt;SUMIFS(TblClusters[CPU initial (vCPU)],TblClusters[Cluster],$I253),N($AP253)&gt;SUMIFS(TblClusters[RAM initiale (Go)],TblClusters[Cluster],$I253))),"Forçage &gt; capacité du cluster source",IF(OR(AND($AA253&lt;&gt;"",$AA253&lt;p_debut),AND($AB253&lt;&gt;"",$AB253&gt;p_fin)),"Hors horizon (info)",IF(AND($G253="À migrer",$E253="PRD",COUNTIFS(TblApplications[ID],$C253,TblApplications[Environnement],"NPRD",TblApplications[Action],"À migrer")&gt;0,$AA253&lt;_xlfn.MINIFS(TblApplications[Mois prov (calc)],TblApplications[ID],$C253,TblApplications[Environnement],"NPRD")),"PRD avant NPRD (info)","OK")))))))))))))))))))))</f>
        <v/>
      </c>
      <c r="AH253" s="62"/>
      <c r="AI253" s="62"/>
      <c r="AJ253" s="27" t="str">
        <f>IF(OR($C253="",NOT(OR($G253="À migrer",$G253="À décommissionner")),NOT(ISNUMBER($S253)),NOT(ISNUMBER($T253)),$AB253=""),"",($S253+p_poidsram*$T253)*SUMIFS(TblCalculs[Coût par unité],TblCalculs[Cluster],$I253,TblCalculs[Mois],"&lt;"&amp;$AB253))</f>
        <v/>
      </c>
      <c r="AK253" s="27" t="str">
        <f>IF($C253="","",IF(AND($G253="À migrer",$H253="Non",$Y253&lt;&gt;"",$AA253&lt;&gt;""),($Y253+p_poidsram*$Z253)*SUMIFS(TblCalculs[Coût par unité],TblCalculs[Cluster],$O253,TblCalculs[Mois],"&gt;="&amp;$AA253),IF(AND($G253="Migré",$Y253&lt;&gt;""),($Y253+p_poidsram*$Z253)*SUMIFS(TblCalculs[Coût par unité],TblCalculs[Cluster],$O253),"")))</f>
        <v/>
      </c>
      <c r="AL253" s="27" t="str">
        <f t="shared" si="30"/>
        <v/>
      </c>
      <c r="AM253" s="26" t="str">
        <f t="shared" si="31"/>
        <v/>
      </c>
      <c r="AN253" s="26" t="str">
        <f>IF(OR($C253="",$AM253&lt;&gt;1,COUNTIFS($E253,ex_envc,$A253,ex_domc,$B253,ex_tric)=0),"",COUNTIFS($AM$6:$AM253,1,$E$6:$E253,ex_envc,$A$6:$A253,ex_domc,$B$6:$B253,ex_tric))</f>
        <v/>
      </c>
      <c r="AO253" s="63"/>
      <c r="AP253" s="63"/>
      <c r="AQ253" s="63"/>
      <c r="AR253" s="63"/>
    </row>
    <row r="254" spans="1:44" x14ac:dyDescent="0.2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26" t="str">
        <f t="shared" si="24"/>
        <v/>
      </c>
      <c r="O254" s="59"/>
      <c r="P254" s="60" t="str">
        <f>IF($C254="","",IF($AQ254&lt;&gt;"",$AQ254,SUMIFS(TblDynatrace[CPU P95 (vCPU)],TblDynatrace[ID],$C254,TblDynatrace[Environnement],$E254,TblDynatrace[Couloir],$F254)))</f>
        <v/>
      </c>
      <c r="Q254" s="60" t="str">
        <f>IF($C254="","",IF($AR254&lt;&gt;"",$AR254,SUMIFS(TblDynatrace[RAM P95 (Go)],TblDynatrace[ID],$C254,TblDynatrace[Environnement],$E254,TblDynatrace[Couloir],$F254)))</f>
        <v/>
      </c>
      <c r="R254" s="26" t="str">
        <f>IF($C254="","",IFERROR(INDEX(TblDynatrace[Métrique / période],MATCH($C254&amp;"|"&amp;$E254&amp;"|"&amp;$F254,TblDynatrace[Clé],0)),""))</f>
        <v/>
      </c>
      <c r="S254" s="60" t="str">
        <f>IF(OR($C254="",NOT(OR($G254="À migrer",$G254="À décommissionner")),$I254="",NOT(ISNUMBER($P254))),"",IF($AO254&lt;&gt;"",$AO254,IFERROR(SUMIFS(TblClusters[CPU initial (vCPU)],TblClusters[Cluster],$I254)*$P254/(SUMIFS(TblApplications[CPU Dynatrace (vCPU)],TblApplications[Cluster IKS source],$I254,TblApplications[Action],"À migrer")+SUMIFS(TblApplications[CPU Dynatrace (vCPU)],TblApplications[Cluster IKS source],$I254,TblApplications[Action],"À décommissionner")),0)))</f>
        <v/>
      </c>
      <c r="T254" s="60" t="str">
        <f>IF(OR($C254="",NOT(OR($G254="À migrer",$G254="À décommissionner")),$I254="",NOT(ISNUMBER($Q254))),"",IF($AP254&lt;&gt;"",$AP254,IFERROR(SUMIFS(TblClusters[RAM initiale (Go)],TblClusters[Cluster],$I254)*$Q254/(SUMIFS(TblApplications[RAM Dynatrace (Go)],TblApplications[Cluster IKS source],$I254,TblApplications[Action],"À migrer")+SUMIFS(TblApplications[RAM Dynatrace (Go)],TblApplications[Cluster IKS source],$I254,TblApplications[Action],"À décommissionner")),0)))</f>
        <v/>
      </c>
      <c r="U254" s="61"/>
      <c r="V254" s="61"/>
      <c r="W254" s="61"/>
      <c r="X254" s="59"/>
      <c r="Y254" s="26" t="str">
        <f t="shared" si="25"/>
        <v/>
      </c>
      <c r="Z254" s="26" t="str">
        <f t="shared" si="26"/>
        <v/>
      </c>
      <c r="AA254" s="33" t="str">
        <f t="shared" si="27"/>
        <v/>
      </c>
      <c r="AB254" s="33" t="str">
        <f t="shared" si="28"/>
        <v/>
      </c>
      <c r="AC254" s="26" t="str">
        <f t="shared" si="29"/>
        <v/>
      </c>
      <c r="AD254" s="26" t="str">
        <f>IF($C254="","",COUNTIF(TblApplications[ID],$C254))</f>
        <v/>
      </c>
      <c r="AE254" s="33" t="str">
        <f>IF($C254="","",IFERROR(1/(1/_xlfn.MINIFS(TblApplications[Mois prov (calc)],TblApplications[ID],$C254)),""))</f>
        <v/>
      </c>
      <c r="AF254" s="33" t="str">
        <f>IF($C254="","",IFERROR(1/(1/_xlfn.MAXIFS(TblApplications[Mois lib (calc)],TblApplications[ID],$C254)),""))</f>
        <v/>
      </c>
      <c r="AG254" s="26" t="str">
        <f>IF($C254="","",IF(OR(OR($A254="",$B254="",$D254="",$E254="",$F254="",$G254=""),AND($G254="À migrer",OR($H254="",$I254="",$O254="",$U254="",$V254="",$W254="")),AND($G254="Migré",OR($O254="")),AND($G254="À décommissionner",OR($I254="",$W254=""))),"Données manquantes (selon l’action)",IF(AND($G254&lt;&gt;"Migré",$G254&lt;&gt;"À migrer",$G254&lt;&gt;"À décommissionner",$G254&lt;&gt;"Décommissionné"),"Action invalide",IF(COUNTIF(TblDomaines[Domaine],$A254)=0,"Domaine inconnu (référentiel)",IF(COUNTIFS(TblTribes[Tribe],$B254,TblTribes[Domaine de la tribe],$A254)=0,"Tribe inconnue ou hors domaine",IF(AND($G254="À migrer",$H254&lt;&gt;"Oui",$H254&lt;&gt;"Non"),"Valeur Oui/Non invalide (Déjà incluse ROKS)",IF(AND($E254&lt;&gt;"PRD",$E254&lt;&gt;"NPRD"),"Environnement invalide",IF(COUNTIFS(TblApplications[ID],$C254,TblApplications[Environnement],$E254,TblApplications[Couloir],$F254)&gt;1,"Déploiement en doublon (ID + env + couloir)",IF(AND(OR(OR($G254="À migrer",$G254="Migré"),OR($G254="À migrer",$G254="À décommissionner")),N($P254)&lt;=0),"Conso Dynatrace absente (onglet Dynatrace)",IF(OR(AND($P254&lt;&gt;"",NOT(ISNUMBER($P254))),AND($Q254&lt;&gt;"",NOT(ISNUMBER($Q254)))),"Ressource non numérique",IF(MIN(N($P254),N($Q254))&lt;0,"Ressource négative",IF(OR(AND($AH254&lt;&gt;"",OR(NOT(ISNUMBER($AH254)),$AH254&lt;0,$AH254&gt;1)),AND($AI254&lt;&gt;"",OR(NOT(ISNUMBER($AI254)),$AI254&lt;0,$AI254&gt;1))),"Marge spécifique invalide (0–100 %)",IF(OR(AND($U254&lt;&gt;"",NOT(ISNUMBER($U254))),AND($V254&lt;&gt;"",NOT(ISNUMBER($V254))),AND($W254&lt;&gt;"",NOT(ISNUMBER($W254)))),"Mois invalide",IF(AND(OR($G254="À migrer",$G254="À décommissionner"),COUNTIFS(TblClusters[Cluster],$I254,TblClusters[Plateforme],"IKS")=0),"Cluster IKS inconnu",IF(AND(OR($G254="À migrer",$G254="Migré"),COUNTIFS(TblClusters[Cluster],$O254,TblClusters[Plateforme],"ROKS")=0),"Cluster ROKS inconnu",IF(AND(OR($G254="À migrer",$G254="À décommissionner"),COUNTIFS(TblClusters[Cluster],$I254,TblClusters[Environnement],$E254)=0),"Environnement ≠ cluster IKS",IF(AND(OR($G254="À migrer",$G254="Migré"),COUNTIFS(TblClusters[Cluster],$O254,TblClusters[Environnement],$E254)=0),"Environnement ≠ cluster ROKS",IF(AND($G254="À migrer",OR($U254&gt;$V254,$V254&gt;$W254)),"Dates incohérentes (prov ≤ bascule ≤ libération)",IF(AND(OR($G254="À migrer",$G254="À décommissionner"),OR(N($AO254)&gt;SUMIFS(TblClusters[CPU initial (vCPU)],TblClusters[Cluster],$I254),N($AP254)&gt;SUMIFS(TblClusters[RAM initiale (Go)],TblClusters[Cluster],$I254))),"Forçage &gt; capacité du cluster source",IF(OR(AND($AA254&lt;&gt;"",$AA254&lt;p_debut),AND($AB254&lt;&gt;"",$AB254&gt;p_fin)),"Hors horizon (info)",IF(AND($G254="À migrer",$E254="PRD",COUNTIFS(TblApplications[ID],$C254,TblApplications[Environnement],"NPRD",TblApplications[Action],"À migrer")&gt;0,$AA254&lt;_xlfn.MINIFS(TblApplications[Mois prov (calc)],TblApplications[ID],$C254,TblApplications[Environnement],"NPRD")),"PRD avant NPRD (info)","OK")))))))))))))))))))))</f>
        <v/>
      </c>
      <c r="AH254" s="62"/>
      <c r="AI254" s="62"/>
      <c r="AJ254" s="27" t="str">
        <f>IF(OR($C254="",NOT(OR($G254="À migrer",$G254="À décommissionner")),NOT(ISNUMBER($S254)),NOT(ISNUMBER($T254)),$AB254=""),"",($S254+p_poidsram*$T254)*SUMIFS(TblCalculs[Coût par unité],TblCalculs[Cluster],$I254,TblCalculs[Mois],"&lt;"&amp;$AB254))</f>
        <v/>
      </c>
      <c r="AK254" s="27" t="str">
        <f>IF($C254="","",IF(AND($G254="À migrer",$H254="Non",$Y254&lt;&gt;"",$AA254&lt;&gt;""),($Y254+p_poidsram*$Z254)*SUMIFS(TblCalculs[Coût par unité],TblCalculs[Cluster],$O254,TblCalculs[Mois],"&gt;="&amp;$AA254),IF(AND($G254="Migré",$Y254&lt;&gt;""),($Y254+p_poidsram*$Z254)*SUMIFS(TblCalculs[Coût par unité],TblCalculs[Cluster],$O254),"")))</f>
        <v/>
      </c>
      <c r="AL254" s="27" t="str">
        <f t="shared" si="30"/>
        <v/>
      </c>
      <c r="AM254" s="26" t="str">
        <f t="shared" si="31"/>
        <v/>
      </c>
      <c r="AN254" s="26" t="str">
        <f>IF(OR($C254="",$AM254&lt;&gt;1,COUNTIFS($E254,ex_envc,$A254,ex_domc,$B254,ex_tric)=0),"",COUNTIFS($AM$6:$AM254,1,$E$6:$E254,ex_envc,$A$6:$A254,ex_domc,$B$6:$B254,ex_tric))</f>
        <v/>
      </c>
      <c r="AO254" s="63"/>
      <c r="AP254" s="63"/>
      <c r="AQ254" s="63"/>
      <c r="AR254" s="63"/>
    </row>
    <row r="255" spans="1:44" x14ac:dyDescent="0.2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26" t="str">
        <f t="shared" si="24"/>
        <v/>
      </c>
      <c r="O255" s="59"/>
      <c r="P255" s="60" t="str">
        <f>IF($C255="","",IF($AQ255&lt;&gt;"",$AQ255,SUMIFS(TblDynatrace[CPU P95 (vCPU)],TblDynatrace[ID],$C255,TblDynatrace[Environnement],$E255,TblDynatrace[Couloir],$F255)))</f>
        <v/>
      </c>
      <c r="Q255" s="60" t="str">
        <f>IF($C255="","",IF($AR255&lt;&gt;"",$AR255,SUMIFS(TblDynatrace[RAM P95 (Go)],TblDynatrace[ID],$C255,TblDynatrace[Environnement],$E255,TblDynatrace[Couloir],$F255)))</f>
        <v/>
      </c>
      <c r="R255" s="26" t="str">
        <f>IF($C255="","",IFERROR(INDEX(TblDynatrace[Métrique / période],MATCH($C255&amp;"|"&amp;$E255&amp;"|"&amp;$F255,TblDynatrace[Clé],0)),""))</f>
        <v/>
      </c>
      <c r="S255" s="60" t="str">
        <f>IF(OR($C255="",NOT(OR($G255="À migrer",$G255="À décommissionner")),$I255="",NOT(ISNUMBER($P255))),"",IF($AO255&lt;&gt;"",$AO255,IFERROR(SUMIFS(TblClusters[CPU initial (vCPU)],TblClusters[Cluster],$I255)*$P255/(SUMIFS(TblApplications[CPU Dynatrace (vCPU)],TblApplications[Cluster IKS source],$I255,TblApplications[Action],"À migrer")+SUMIFS(TblApplications[CPU Dynatrace (vCPU)],TblApplications[Cluster IKS source],$I255,TblApplications[Action],"À décommissionner")),0)))</f>
        <v/>
      </c>
      <c r="T255" s="60" t="str">
        <f>IF(OR($C255="",NOT(OR($G255="À migrer",$G255="À décommissionner")),$I255="",NOT(ISNUMBER($Q255))),"",IF($AP255&lt;&gt;"",$AP255,IFERROR(SUMIFS(TblClusters[RAM initiale (Go)],TblClusters[Cluster],$I255)*$Q255/(SUMIFS(TblApplications[RAM Dynatrace (Go)],TblApplications[Cluster IKS source],$I255,TblApplications[Action],"À migrer")+SUMIFS(TblApplications[RAM Dynatrace (Go)],TblApplications[Cluster IKS source],$I255,TblApplications[Action],"À décommissionner")),0)))</f>
        <v/>
      </c>
      <c r="U255" s="61"/>
      <c r="V255" s="61"/>
      <c r="W255" s="61"/>
      <c r="X255" s="59"/>
      <c r="Y255" s="26" t="str">
        <f t="shared" si="25"/>
        <v/>
      </c>
      <c r="Z255" s="26" t="str">
        <f t="shared" si="26"/>
        <v/>
      </c>
      <c r="AA255" s="33" t="str">
        <f t="shared" si="27"/>
        <v/>
      </c>
      <c r="AB255" s="33" t="str">
        <f t="shared" si="28"/>
        <v/>
      </c>
      <c r="AC255" s="26" t="str">
        <f t="shared" si="29"/>
        <v/>
      </c>
      <c r="AD255" s="26" t="str">
        <f>IF($C255="","",COUNTIF(TblApplications[ID],$C255))</f>
        <v/>
      </c>
      <c r="AE255" s="33" t="str">
        <f>IF($C255="","",IFERROR(1/(1/_xlfn.MINIFS(TblApplications[Mois prov (calc)],TblApplications[ID],$C255)),""))</f>
        <v/>
      </c>
      <c r="AF255" s="33" t="str">
        <f>IF($C255="","",IFERROR(1/(1/_xlfn.MAXIFS(TblApplications[Mois lib (calc)],TblApplications[ID],$C255)),""))</f>
        <v/>
      </c>
      <c r="AG255" s="26" t="str">
        <f>IF($C255="","",IF(OR(OR($A255="",$B255="",$D255="",$E255="",$F255="",$G255=""),AND($G255="À migrer",OR($H255="",$I255="",$O255="",$U255="",$V255="",$W255="")),AND($G255="Migré",OR($O255="")),AND($G255="À décommissionner",OR($I255="",$W255=""))),"Données manquantes (selon l’action)",IF(AND($G255&lt;&gt;"Migré",$G255&lt;&gt;"À migrer",$G255&lt;&gt;"À décommissionner",$G255&lt;&gt;"Décommissionné"),"Action invalide",IF(COUNTIF(TblDomaines[Domaine],$A255)=0,"Domaine inconnu (référentiel)",IF(COUNTIFS(TblTribes[Tribe],$B255,TblTribes[Domaine de la tribe],$A255)=0,"Tribe inconnue ou hors domaine",IF(AND($G255="À migrer",$H255&lt;&gt;"Oui",$H255&lt;&gt;"Non"),"Valeur Oui/Non invalide (Déjà incluse ROKS)",IF(AND($E255&lt;&gt;"PRD",$E255&lt;&gt;"NPRD"),"Environnement invalide",IF(COUNTIFS(TblApplications[ID],$C255,TblApplications[Environnement],$E255,TblApplications[Couloir],$F255)&gt;1,"Déploiement en doublon (ID + env + couloir)",IF(AND(OR(OR($G255="À migrer",$G255="Migré"),OR($G255="À migrer",$G255="À décommissionner")),N($P255)&lt;=0),"Conso Dynatrace absente (onglet Dynatrace)",IF(OR(AND($P255&lt;&gt;"",NOT(ISNUMBER($P255))),AND($Q255&lt;&gt;"",NOT(ISNUMBER($Q255)))),"Ressource non numérique",IF(MIN(N($P255),N($Q255))&lt;0,"Ressource négative",IF(OR(AND($AH255&lt;&gt;"",OR(NOT(ISNUMBER($AH255)),$AH255&lt;0,$AH255&gt;1)),AND($AI255&lt;&gt;"",OR(NOT(ISNUMBER($AI255)),$AI255&lt;0,$AI255&gt;1))),"Marge spécifique invalide (0–100 %)",IF(OR(AND($U255&lt;&gt;"",NOT(ISNUMBER($U255))),AND($V255&lt;&gt;"",NOT(ISNUMBER($V255))),AND($W255&lt;&gt;"",NOT(ISNUMBER($W255)))),"Mois invalide",IF(AND(OR($G255="À migrer",$G255="À décommissionner"),COUNTIFS(TblClusters[Cluster],$I255,TblClusters[Plateforme],"IKS")=0),"Cluster IKS inconnu",IF(AND(OR($G255="À migrer",$G255="Migré"),COUNTIFS(TblClusters[Cluster],$O255,TblClusters[Plateforme],"ROKS")=0),"Cluster ROKS inconnu",IF(AND(OR($G255="À migrer",$G255="À décommissionner"),COUNTIFS(TblClusters[Cluster],$I255,TblClusters[Environnement],$E255)=0),"Environnement ≠ cluster IKS",IF(AND(OR($G255="À migrer",$G255="Migré"),COUNTIFS(TblClusters[Cluster],$O255,TblClusters[Environnement],$E255)=0),"Environnement ≠ cluster ROKS",IF(AND($G255="À migrer",OR($U255&gt;$V255,$V255&gt;$W255)),"Dates incohérentes (prov ≤ bascule ≤ libération)",IF(AND(OR($G255="À migrer",$G255="À décommissionner"),OR(N($AO255)&gt;SUMIFS(TblClusters[CPU initial (vCPU)],TblClusters[Cluster],$I255),N($AP255)&gt;SUMIFS(TblClusters[RAM initiale (Go)],TblClusters[Cluster],$I255))),"Forçage &gt; capacité du cluster source",IF(OR(AND($AA255&lt;&gt;"",$AA255&lt;p_debut),AND($AB255&lt;&gt;"",$AB255&gt;p_fin)),"Hors horizon (info)",IF(AND($G255="À migrer",$E255="PRD",COUNTIFS(TblApplications[ID],$C255,TblApplications[Environnement],"NPRD",TblApplications[Action],"À migrer")&gt;0,$AA255&lt;_xlfn.MINIFS(TblApplications[Mois prov (calc)],TblApplications[ID],$C255,TblApplications[Environnement],"NPRD")),"PRD avant NPRD (info)","OK")))))))))))))))))))))</f>
        <v/>
      </c>
      <c r="AH255" s="62"/>
      <c r="AI255" s="62"/>
      <c r="AJ255" s="27" t="str">
        <f>IF(OR($C255="",NOT(OR($G255="À migrer",$G255="À décommissionner")),NOT(ISNUMBER($S255)),NOT(ISNUMBER($T255)),$AB255=""),"",($S255+p_poidsram*$T255)*SUMIFS(TblCalculs[Coût par unité],TblCalculs[Cluster],$I255,TblCalculs[Mois],"&lt;"&amp;$AB255))</f>
        <v/>
      </c>
      <c r="AK255" s="27" t="str">
        <f>IF($C255="","",IF(AND($G255="À migrer",$H255="Non",$Y255&lt;&gt;"",$AA255&lt;&gt;""),($Y255+p_poidsram*$Z255)*SUMIFS(TblCalculs[Coût par unité],TblCalculs[Cluster],$O255,TblCalculs[Mois],"&gt;="&amp;$AA255),IF(AND($G255="Migré",$Y255&lt;&gt;""),($Y255+p_poidsram*$Z255)*SUMIFS(TblCalculs[Coût par unité],TblCalculs[Cluster],$O255),"")))</f>
        <v/>
      </c>
      <c r="AL255" s="27" t="str">
        <f t="shared" si="30"/>
        <v/>
      </c>
      <c r="AM255" s="26" t="str">
        <f t="shared" si="31"/>
        <v/>
      </c>
      <c r="AN255" s="26" t="str">
        <f>IF(OR($C255="",$AM255&lt;&gt;1,COUNTIFS($E255,ex_envc,$A255,ex_domc,$B255,ex_tric)=0),"",COUNTIFS($AM$6:$AM255,1,$E$6:$E255,ex_envc,$A$6:$A255,ex_domc,$B$6:$B255,ex_tric))</f>
        <v/>
      </c>
      <c r="AO255" s="63"/>
      <c r="AP255" s="63"/>
      <c r="AQ255" s="63"/>
      <c r="AR255" s="63"/>
    </row>
    <row r="256" spans="1:44" x14ac:dyDescent="0.2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26" t="str">
        <f t="shared" si="24"/>
        <v/>
      </c>
      <c r="O256" s="59"/>
      <c r="P256" s="60" t="str">
        <f>IF($C256="","",IF($AQ256&lt;&gt;"",$AQ256,SUMIFS(TblDynatrace[CPU P95 (vCPU)],TblDynatrace[ID],$C256,TblDynatrace[Environnement],$E256,TblDynatrace[Couloir],$F256)))</f>
        <v/>
      </c>
      <c r="Q256" s="60" t="str">
        <f>IF($C256="","",IF($AR256&lt;&gt;"",$AR256,SUMIFS(TblDynatrace[RAM P95 (Go)],TblDynatrace[ID],$C256,TblDynatrace[Environnement],$E256,TblDynatrace[Couloir],$F256)))</f>
        <v/>
      </c>
      <c r="R256" s="26" t="str">
        <f>IF($C256="","",IFERROR(INDEX(TblDynatrace[Métrique / période],MATCH($C256&amp;"|"&amp;$E256&amp;"|"&amp;$F256,TblDynatrace[Clé],0)),""))</f>
        <v/>
      </c>
      <c r="S256" s="60" t="str">
        <f>IF(OR($C256="",NOT(OR($G256="À migrer",$G256="À décommissionner")),$I256="",NOT(ISNUMBER($P256))),"",IF($AO256&lt;&gt;"",$AO256,IFERROR(SUMIFS(TblClusters[CPU initial (vCPU)],TblClusters[Cluster],$I256)*$P256/(SUMIFS(TblApplications[CPU Dynatrace (vCPU)],TblApplications[Cluster IKS source],$I256,TblApplications[Action],"À migrer")+SUMIFS(TblApplications[CPU Dynatrace (vCPU)],TblApplications[Cluster IKS source],$I256,TblApplications[Action],"À décommissionner")),0)))</f>
        <v/>
      </c>
      <c r="T256" s="60" t="str">
        <f>IF(OR($C256="",NOT(OR($G256="À migrer",$G256="À décommissionner")),$I256="",NOT(ISNUMBER($Q256))),"",IF($AP256&lt;&gt;"",$AP256,IFERROR(SUMIFS(TblClusters[RAM initiale (Go)],TblClusters[Cluster],$I256)*$Q256/(SUMIFS(TblApplications[RAM Dynatrace (Go)],TblApplications[Cluster IKS source],$I256,TblApplications[Action],"À migrer")+SUMIFS(TblApplications[RAM Dynatrace (Go)],TblApplications[Cluster IKS source],$I256,TblApplications[Action],"À décommissionner")),0)))</f>
        <v/>
      </c>
      <c r="U256" s="61"/>
      <c r="V256" s="61"/>
      <c r="W256" s="61"/>
      <c r="X256" s="59"/>
      <c r="Y256" s="26" t="str">
        <f t="shared" si="25"/>
        <v/>
      </c>
      <c r="Z256" s="26" t="str">
        <f t="shared" si="26"/>
        <v/>
      </c>
      <c r="AA256" s="33" t="str">
        <f t="shared" si="27"/>
        <v/>
      </c>
      <c r="AB256" s="33" t="str">
        <f t="shared" si="28"/>
        <v/>
      </c>
      <c r="AC256" s="26" t="str">
        <f t="shared" si="29"/>
        <v/>
      </c>
      <c r="AD256" s="26" t="str">
        <f>IF($C256="","",COUNTIF(TblApplications[ID],$C256))</f>
        <v/>
      </c>
      <c r="AE256" s="33" t="str">
        <f>IF($C256="","",IFERROR(1/(1/_xlfn.MINIFS(TblApplications[Mois prov (calc)],TblApplications[ID],$C256)),""))</f>
        <v/>
      </c>
      <c r="AF256" s="33" t="str">
        <f>IF($C256="","",IFERROR(1/(1/_xlfn.MAXIFS(TblApplications[Mois lib (calc)],TblApplications[ID],$C256)),""))</f>
        <v/>
      </c>
      <c r="AG256" s="26" t="str">
        <f>IF($C256="","",IF(OR(OR($A256="",$B256="",$D256="",$E256="",$F256="",$G256=""),AND($G256="À migrer",OR($H256="",$I256="",$O256="",$U256="",$V256="",$W256="")),AND($G256="Migré",OR($O256="")),AND($G256="À décommissionner",OR($I256="",$W256=""))),"Données manquantes (selon l’action)",IF(AND($G256&lt;&gt;"Migré",$G256&lt;&gt;"À migrer",$G256&lt;&gt;"À décommissionner",$G256&lt;&gt;"Décommissionné"),"Action invalide",IF(COUNTIF(TblDomaines[Domaine],$A256)=0,"Domaine inconnu (référentiel)",IF(COUNTIFS(TblTribes[Tribe],$B256,TblTribes[Domaine de la tribe],$A256)=0,"Tribe inconnue ou hors domaine",IF(AND($G256="À migrer",$H256&lt;&gt;"Oui",$H256&lt;&gt;"Non"),"Valeur Oui/Non invalide (Déjà incluse ROKS)",IF(AND($E256&lt;&gt;"PRD",$E256&lt;&gt;"NPRD"),"Environnement invalide",IF(COUNTIFS(TblApplications[ID],$C256,TblApplications[Environnement],$E256,TblApplications[Couloir],$F256)&gt;1,"Déploiement en doublon (ID + env + couloir)",IF(AND(OR(OR($G256="À migrer",$G256="Migré"),OR($G256="À migrer",$G256="À décommissionner")),N($P256)&lt;=0),"Conso Dynatrace absente (onglet Dynatrace)",IF(OR(AND($P256&lt;&gt;"",NOT(ISNUMBER($P256))),AND($Q256&lt;&gt;"",NOT(ISNUMBER($Q256)))),"Ressource non numérique",IF(MIN(N($P256),N($Q256))&lt;0,"Ressource négative",IF(OR(AND($AH256&lt;&gt;"",OR(NOT(ISNUMBER($AH256)),$AH256&lt;0,$AH256&gt;1)),AND($AI256&lt;&gt;"",OR(NOT(ISNUMBER($AI256)),$AI256&lt;0,$AI256&gt;1))),"Marge spécifique invalide (0–100 %)",IF(OR(AND($U256&lt;&gt;"",NOT(ISNUMBER($U256))),AND($V256&lt;&gt;"",NOT(ISNUMBER($V256))),AND($W256&lt;&gt;"",NOT(ISNUMBER($W256)))),"Mois invalide",IF(AND(OR($G256="À migrer",$G256="À décommissionner"),COUNTIFS(TblClusters[Cluster],$I256,TblClusters[Plateforme],"IKS")=0),"Cluster IKS inconnu",IF(AND(OR($G256="À migrer",$G256="Migré"),COUNTIFS(TblClusters[Cluster],$O256,TblClusters[Plateforme],"ROKS")=0),"Cluster ROKS inconnu",IF(AND(OR($G256="À migrer",$G256="À décommissionner"),COUNTIFS(TblClusters[Cluster],$I256,TblClusters[Environnement],$E256)=0),"Environnement ≠ cluster IKS",IF(AND(OR($G256="À migrer",$G256="Migré"),COUNTIFS(TblClusters[Cluster],$O256,TblClusters[Environnement],$E256)=0),"Environnement ≠ cluster ROKS",IF(AND($G256="À migrer",OR($U256&gt;$V256,$V256&gt;$W256)),"Dates incohérentes (prov ≤ bascule ≤ libération)",IF(AND(OR($G256="À migrer",$G256="À décommissionner"),OR(N($AO256)&gt;SUMIFS(TblClusters[CPU initial (vCPU)],TblClusters[Cluster],$I256),N($AP256)&gt;SUMIFS(TblClusters[RAM initiale (Go)],TblClusters[Cluster],$I256))),"Forçage &gt; capacité du cluster source",IF(OR(AND($AA256&lt;&gt;"",$AA256&lt;p_debut),AND($AB256&lt;&gt;"",$AB256&gt;p_fin)),"Hors horizon (info)",IF(AND($G256="À migrer",$E256="PRD",COUNTIFS(TblApplications[ID],$C256,TblApplications[Environnement],"NPRD",TblApplications[Action],"À migrer")&gt;0,$AA256&lt;_xlfn.MINIFS(TblApplications[Mois prov (calc)],TblApplications[ID],$C256,TblApplications[Environnement],"NPRD")),"PRD avant NPRD (info)","OK")))))))))))))))))))))</f>
        <v/>
      </c>
      <c r="AH256" s="62"/>
      <c r="AI256" s="62"/>
      <c r="AJ256" s="27" t="str">
        <f>IF(OR($C256="",NOT(OR($G256="À migrer",$G256="À décommissionner")),NOT(ISNUMBER($S256)),NOT(ISNUMBER($T256)),$AB256=""),"",($S256+p_poidsram*$T256)*SUMIFS(TblCalculs[Coût par unité],TblCalculs[Cluster],$I256,TblCalculs[Mois],"&lt;"&amp;$AB256))</f>
        <v/>
      </c>
      <c r="AK256" s="27" t="str">
        <f>IF($C256="","",IF(AND($G256="À migrer",$H256="Non",$Y256&lt;&gt;"",$AA256&lt;&gt;""),($Y256+p_poidsram*$Z256)*SUMIFS(TblCalculs[Coût par unité],TblCalculs[Cluster],$O256,TblCalculs[Mois],"&gt;="&amp;$AA256),IF(AND($G256="Migré",$Y256&lt;&gt;""),($Y256+p_poidsram*$Z256)*SUMIFS(TblCalculs[Coût par unité],TblCalculs[Cluster],$O256),"")))</f>
        <v/>
      </c>
      <c r="AL256" s="27" t="str">
        <f t="shared" si="30"/>
        <v/>
      </c>
      <c r="AM256" s="26" t="str">
        <f t="shared" si="31"/>
        <v/>
      </c>
      <c r="AN256" s="26" t="str">
        <f>IF(OR($C256="",$AM256&lt;&gt;1,COUNTIFS($E256,ex_envc,$A256,ex_domc,$B256,ex_tric)=0),"",COUNTIFS($AM$6:$AM256,1,$E$6:$E256,ex_envc,$A$6:$A256,ex_domc,$B$6:$B256,ex_tric))</f>
        <v/>
      </c>
      <c r="AO256" s="63"/>
      <c r="AP256" s="63"/>
      <c r="AQ256" s="63"/>
      <c r="AR256" s="63"/>
    </row>
    <row r="257" spans="1:44" x14ac:dyDescent="0.2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26" t="str">
        <f t="shared" si="24"/>
        <v/>
      </c>
      <c r="O257" s="59"/>
      <c r="P257" s="60" t="str">
        <f>IF($C257="","",IF($AQ257&lt;&gt;"",$AQ257,SUMIFS(TblDynatrace[CPU P95 (vCPU)],TblDynatrace[ID],$C257,TblDynatrace[Environnement],$E257,TblDynatrace[Couloir],$F257)))</f>
        <v/>
      </c>
      <c r="Q257" s="60" t="str">
        <f>IF($C257="","",IF($AR257&lt;&gt;"",$AR257,SUMIFS(TblDynatrace[RAM P95 (Go)],TblDynatrace[ID],$C257,TblDynatrace[Environnement],$E257,TblDynatrace[Couloir],$F257)))</f>
        <v/>
      </c>
      <c r="R257" s="26" t="str">
        <f>IF($C257="","",IFERROR(INDEX(TblDynatrace[Métrique / période],MATCH($C257&amp;"|"&amp;$E257&amp;"|"&amp;$F257,TblDynatrace[Clé],0)),""))</f>
        <v/>
      </c>
      <c r="S257" s="60" t="str">
        <f>IF(OR($C257="",NOT(OR($G257="À migrer",$G257="À décommissionner")),$I257="",NOT(ISNUMBER($P257))),"",IF($AO257&lt;&gt;"",$AO257,IFERROR(SUMIFS(TblClusters[CPU initial (vCPU)],TblClusters[Cluster],$I257)*$P257/(SUMIFS(TblApplications[CPU Dynatrace (vCPU)],TblApplications[Cluster IKS source],$I257,TblApplications[Action],"À migrer")+SUMIFS(TblApplications[CPU Dynatrace (vCPU)],TblApplications[Cluster IKS source],$I257,TblApplications[Action],"À décommissionner")),0)))</f>
        <v/>
      </c>
      <c r="T257" s="60" t="str">
        <f>IF(OR($C257="",NOT(OR($G257="À migrer",$G257="À décommissionner")),$I257="",NOT(ISNUMBER($Q257))),"",IF($AP257&lt;&gt;"",$AP257,IFERROR(SUMIFS(TblClusters[RAM initiale (Go)],TblClusters[Cluster],$I257)*$Q257/(SUMIFS(TblApplications[RAM Dynatrace (Go)],TblApplications[Cluster IKS source],$I257,TblApplications[Action],"À migrer")+SUMIFS(TblApplications[RAM Dynatrace (Go)],TblApplications[Cluster IKS source],$I257,TblApplications[Action],"À décommissionner")),0)))</f>
        <v/>
      </c>
      <c r="U257" s="61"/>
      <c r="V257" s="61"/>
      <c r="W257" s="61"/>
      <c r="X257" s="59"/>
      <c r="Y257" s="26" t="str">
        <f t="shared" si="25"/>
        <v/>
      </c>
      <c r="Z257" s="26" t="str">
        <f t="shared" si="26"/>
        <v/>
      </c>
      <c r="AA257" s="33" t="str">
        <f t="shared" si="27"/>
        <v/>
      </c>
      <c r="AB257" s="33" t="str">
        <f t="shared" si="28"/>
        <v/>
      </c>
      <c r="AC257" s="26" t="str">
        <f t="shared" si="29"/>
        <v/>
      </c>
      <c r="AD257" s="26" t="str">
        <f>IF($C257="","",COUNTIF(TblApplications[ID],$C257))</f>
        <v/>
      </c>
      <c r="AE257" s="33" t="str">
        <f>IF($C257="","",IFERROR(1/(1/_xlfn.MINIFS(TblApplications[Mois prov (calc)],TblApplications[ID],$C257)),""))</f>
        <v/>
      </c>
      <c r="AF257" s="33" t="str">
        <f>IF($C257="","",IFERROR(1/(1/_xlfn.MAXIFS(TblApplications[Mois lib (calc)],TblApplications[ID],$C257)),""))</f>
        <v/>
      </c>
      <c r="AG257" s="26" t="str">
        <f>IF($C257="","",IF(OR(OR($A257="",$B257="",$D257="",$E257="",$F257="",$G257=""),AND($G257="À migrer",OR($H257="",$I257="",$O257="",$U257="",$V257="",$W257="")),AND($G257="Migré",OR($O257="")),AND($G257="À décommissionner",OR($I257="",$W257=""))),"Données manquantes (selon l’action)",IF(AND($G257&lt;&gt;"Migré",$G257&lt;&gt;"À migrer",$G257&lt;&gt;"À décommissionner",$G257&lt;&gt;"Décommissionné"),"Action invalide",IF(COUNTIF(TblDomaines[Domaine],$A257)=0,"Domaine inconnu (référentiel)",IF(COUNTIFS(TblTribes[Tribe],$B257,TblTribes[Domaine de la tribe],$A257)=0,"Tribe inconnue ou hors domaine",IF(AND($G257="À migrer",$H257&lt;&gt;"Oui",$H257&lt;&gt;"Non"),"Valeur Oui/Non invalide (Déjà incluse ROKS)",IF(AND($E257&lt;&gt;"PRD",$E257&lt;&gt;"NPRD"),"Environnement invalide",IF(COUNTIFS(TblApplications[ID],$C257,TblApplications[Environnement],$E257,TblApplications[Couloir],$F257)&gt;1,"Déploiement en doublon (ID + env + couloir)",IF(AND(OR(OR($G257="À migrer",$G257="Migré"),OR($G257="À migrer",$G257="À décommissionner")),N($P257)&lt;=0),"Conso Dynatrace absente (onglet Dynatrace)",IF(OR(AND($P257&lt;&gt;"",NOT(ISNUMBER($P257))),AND($Q257&lt;&gt;"",NOT(ISNUMBER($Q257)))),"Ressource non numérique",IF(MIN(N($P257),N($Q257))&lt;0,"Ressource négative",IF(OR(AND($AH257&lt;&gt;"",OR(NOT(ISNUMBER($AH257)),$AH257&lt;0,$AH257&gt;1)),AND($AI257&lt;&gt;"",OR(NOT(ISNUMBER($AI257)),$AI257&lt;0,$AI257&gt;1))),"Marge spécifique invalide (0–100 %)",IF(OR(AND($U257&lt;&gt;"",NOT(ISNUMBER($U257))),AND($V257&lt;&gt;"",NOT(ISNUMBER($V257))),AND($W257&lt;&gt;"",NOT(ISNUMBER($W257)))),"Mois invalide",IF(AND(OR($G257="À migrer",$G257="À décommissionner"),COUNTIFS(TblClusters[Cluster],$I257,TblClusters[Plateforme],"IKS")=0),"Cluster IKS inconnu",IF(AND(OR($G257="À migrer",$G257="Migré"),COUNTIFS(TblClusters[Cluster],$O257,TblClusters[Plateforme],"ROKS")=0),"Cluster ROKS inconnu",IF(AND(OR($G257="À migrer",$G257="À décommissionner"),COUNTIFS(TblClusters[Cluster],$I257,TblClusters[Environnement],$E257)=0),"Environnement ≠ cluster IKS",IF(AND(OR($G257="À migrer",$G257="Migré"),COUNTIFS(TblClusters[Cluster],$O257,TblClusters[Environnement],$E257)=0),"Environnement ≠ cluster ROKS",IF(AND($G257="À migrer",OR($U257&gt;$V257,$V257&gt;$W257)),"Dates incohérentes (prov ≤ bascule ≤ libération)",IF(AND(OR($G257="À migrer",$G257="À décommissionner"),OR(N($AO257)&gt;SUMIFS(TblClusters[CPU initial (vCPU)],TblClusters[Cluster],$I257),N($AP257)&gt;SUMIFS(TblClusters[RAM initiale (Go)],TblClusters[Cluster],$I257))),"Forçage &gt; capacité du cluster source",IF(OR(AND($AA257&lt;&gt;"",$AA257&lt;p_debut),AND($AB257&lt;&gt;"",$AB257&gt;p_fin)),"Hors horizon (info)",IF(AND($G257="À migrer",$E257="PRD",COUNTIFS(TblApplications[ID],$C257,TblApplications[Environnement],"NPRD",TblApplications[Action],"À migrer")&gt;0,$AA257&lt;_xlfn.MINIFS(TblApplications[Mois prov (calc)],TblApplications[ID],$C257,TblApplications[Environnement],"NPRD")),"PRD avant NPRD (info)","OK")))))))))))))))))))))</f>
        <v/>
      </c>
      <c r="AH257" s="62"/>
      <c r="AI257" s="62"/>
      <c r="AJ257" s="27" t="str">
        <f>IF(OR($C257="",NOT(OR($G257="À migrer",$G257="À décommissionner")),NOT(ISNUMBER($S257)),NOT(ISNUMBER($T257)),$AB257=""),"",($S257+p_poidsram*$T257)*SUMIFS(TblCalculs[Coût par unité],TblCalculs[Cluster],$I257,TblCalculs[Mois],"&lt;"&amp;$AB257))</f>
        <v/>
      </c>
      <c r="AK257" s="27" t="str">
        <f>IF($C257="","",IF(AND($G257="À migrer",$H257="Non",$Y257&lt;&gt;"",$AA257&lt;&gt;""),($Y257+p_poidsram*$Z257)*SUMIFS(TblCalculs[Coût par unité],TblCalculs[Cluster],$O257,TblCalculs[Mois],"&gt;="&amp;$AA257),IF(AND($G257="Migré",$Y257&lt;&gt;""),($Y257+p_poidsram*$Z257)*SUMIFS(TblCalculs[Coût par unité],TblCalculs[Cluster],$O257),"")))</f>
        <v/>
      </c>
      <c r="AL257" s="27" t="str">
        <f t="shared" si="30"/>
        <v/>
      </c>
      <c r="AM257" s="26" t="str">
        <f t="shared" si="31"/>
        <v/>
      </c>
      <c r="AN257" s="26" t="str">
        <f>IF(OR($C257="",$AM257&lt;&gt;1,COUNTIFS($E257,ex_envc,$A257,ex_domc,$B257,ex_tric)=0),"",COUNTIFS($AM$6:$AM257,1,$E$6:$E257,ex_envc,$A$6:$A257,ex_domc,$B$6:$B257,ex_tric))</f>
        <v/>
      </c>
      <c r="AO257" s="63"/>
      <c r="AP257" s="63"/>
      <c r="AQ257" s="63"/>
      <c r="AR257" s="63"/>
    </row>
    <row r="258" spans="1:44" x14ac:dyDescent="0.2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26" t="str">
        <f t="shared" si="24"/>
        <v/>
      </c>
      <c r="O258" s="59"/>
      <c r="P258" s="60" t="str">
        <f>IF($C258="","",IF($AQ258&lt;&gt;"",$AQ258,SUMIFS(TblDynatrace[CPU P95 (vCPU)],TblDynatrace[ID],$C258,TblDynatrace[Environnement],$E258,TblDynatrace[Couloir],$F258)))</f>
        <v/>
      </c>
      <c r="Q258" s="60" t="str">
        <f>IF($C258="","",IF($AR258&lt;&gt;"",$AR258,SUMIFS(TblDynatrace[RAM P95 (Go)],TblDynatrace[ID],$C258,TblDynatrace[Environnement],$E258,TblDynatrace[Couloir],$F258)))</f>
        <v/>
      </c>
      <c r="R258" s="26" t="str">
        <f>IF($C258="","",IFERROR(INDEX(TblDynatrace[Métrique / période],MATCH($C258&amp;"|"&amp;$E258&amp;"|"&amp;$F258,TblDynatrace[Clé],0)),""))</f>
        <v/>
      </c>
      <c r="S258" s="60" t="str">
        <f>IF(OR($C258="",NOT(OR($G258="À migrer",$G258="À décommissionner")),$I258="",NOT(ISNUMBER($P258))),"",IF($AO258&lt;&gt;"",$AO258,IFERROR(SUMIFS(TblClusters[CPU initial (vCPU)],TblClusters[Cluster],$I258)*$P258/(SUMIFS(TblApplications[CPU Dynatrace (vCPU)],TblApplications[Cluster IKS source],$I258,TblApplications[Action],"À migrer")+SUMIFS(TblApplications[CPU Dynatrace (vCPU)],TblApplications[Cluster IKS source],$I258,TblApplications[Action],"À décommissionner")),0)))</f>
        <v/>
      </c>
      <c r="T258" s="60" t="str">
        <f>IF(OR($C258="",NOT(OR($G258="À migrer",$G258="À décommissionner")),$I258="",NOT(ISNUMBER($Q258))),"",IF($AP258&lt;&gt;"",$AP258,IFERROR(SUMIFS(TblClusters[RAM initiale (Go)],TblClusters[Cluster],$I258)*$Q258/(SUMIFS(TblApplications[RAM Dynatrace (Go)],TblApplications[Cluster IKS source],$I258,TblApplications[Action],"À migrer")+SUMIFS(TblApplications[RAM Dynatrace (Go)],TblApplications[Cluster IKS source],$I258,TblApplications[Action],"À décommissionner")),0)))</f>
        <v/>
      </c>
      <c r="U258" s="61"/>
      <c r="V258" s="61"/>
      <c r="W258" s="61"/>
      <c r="X258" s="59"/>
      <c r="Y258" s="26" t="str">
        <f t="shared" si="25"/>
        <v/>
      </c>
      <c r="Z258" s="26" t="str">
        <f t="shared" si="26"/>
        <v/>
      </c>
      <c r="AA258" s="33" t="str">
        <f t="shared" si="27"/>
        <v/>
      </c>
      <c r="AB258" s="33" t="str">
        <f t="shared" si="28"/>
        <v/>
      </c>
      <c r="AC258" s="26" t="str">
        <f t="shared" si="29"/>
        <v/>
      </c>
      <c r="AD258" s="26" t="str">
        <f>IF($C258="","",COUNTIF(TblApplications[ID],$C258))</f>
        <v/>
      </c>
      <c r="AE258" s="33" t="str">
        <f>IF($C258="","",IFERROR(1/(1/_xlfn.MINIFS(TblApplications[Mois prov (calc)],TblApplications[ID],$C258)),""))</f>
        <v/>
      </c>
      <c r="AF258" s="33" t="str">
        <f>IF($C258="","",IFERROR(1/(1/_xlfn.MAXIFS(TblApplications[Mois lib (calc)],TblApplications[ID],$C258)),""))</f>
        <v/>
      </c>
      <c r="AG258" s="26" t="str">
        <f>IF($C258="","",IF(OR(OR($A258="",$B258="",$D258="",$E258="",$F258="",$G258=""),AND($G258="À migrer",OR($H258="",$I258="",$O258="",$U258="",$V258="",$W258="")),AND($G258="Migré",OR($O258="")),AND($G258="À décommissionner",OR($I258="",$W258=""))),"Données manquantes (selon l’action)",IF(AND($G258&lt;&gt;"Migré",$G258&lt;&gt;"À migrer",$G258&lt;&gt;"À décommissionner",$G258&lt;&gt;"Décommissionné"),"Action invalide",IF(COUNTIF(TblDomaines[Domaine],$A258)=0,"Domaine inconnu (référentiel)",IF(COUNTIFS(TblTribes[Tribe],$B258,TblTribes[Domaine de la tribe],$A258)=0,"Tribe inconnue ou hors domaine",IF(AND($G258="À migrer",$H258&lt;&gt;"Oui",$H258&lt;&gt;"Non"),"Valeur Oui/Non invalide (Déjà incluse ROKS)",IF(AND($E258&lt;&gt;"PRD",$E258&lt;&gt;"NPRD"),"Environnement invalide",IF(COUNTIFS(TblApplications[ID],$C258,TblApplications[Environnement],$E258,TblApplications[Couloir],$F258)&gt;1,"Déploiement en doublon (ID + env + couloir)",IF(AND(OR(OR($G258="À migrer",$G258="Migré"),OR($G258="À migrer",$G258="À décommissionner")),N($P258)&lt;=0),"Conso Dynatrace absente (onglet Dynatrace)",IF(OR(AND($P258&lt;&gt;"",NOT(ISNUMBER($P258))),AND($Q258&lt;&gt;"",NOT(ISNUMBER($Q258)))),"Ressource non numérique",IF(MIN(N($P258),N($Q258))&lt;0,"Ressource négative",IF(OR(AND($AH258&lt;&gt;"",OR(NOT(ISNUMBER($AH258)),$AH258&lt;0,$AH258&gt;1)),AND($AI258&lt;&gt;"",OR(NOT(ISNUMBER($AI258)),$AI258&lt;0,$AI258&gt;1))),"Marge spécifique invalide (0–100 %)",IF(OR(AND($U258&lt;&gt;"",NOT(ISNUMBER($U258))),AND($V258&lt;&gt;"",NOT(ISNUMBER($V258))),AND($W258&lt;&gt;"",NOT(ISNUMBER($W258)))),"Mois invalide",IF(AND(OR($G258="À migrer",$G258="À décommissionner"),COUNTIFS(TblClusters[Cluster],$I258,TblClusters[Plateforme],"IKS")=0),"Cluster IKS inconnu",IF(AND(OR($G258="À migrer",$G258="Migré"),COUNTIFS(TblClusters[Cluster],$O258,TblClusters[Plateforme],"ROKS")=0),"Cluster ROKS inconnu",IF(AND(OR($G258="À migrer",$G258="À décommissionner"),COUNTIFS(TblClusters[Cluster],$I258,TblClusters[Environnement],$E258)=0),"Environnement ≠ cluster IKS",IF(AND(OR($G258="À migrer",$G258="Migré"),COUNTIFS(TblClusters[Cluster],$O258,TblClusters[Environnement],$E258)=0),"Environnement ≠ cluster ROKS",IF(AND($G258="À migrer",OR($U258&gt;$V258,$V258&gt;$W258)),"Dates incohérentes (prov ≤ bascule ≤ libération)",IF(AND(OR($G258="À migrer",$G258="À décommissionner"),OR(N($AO258)&gt;SUMIFS(TblClusters[CPU initial (vCPU)],TblClusters[Cluster],$I258),N($AP258)&gt;SUMIFS(TblClusters[RAM initiale (Go)],TblClusters[Cluster],$I258))),"Forçage &gt; capacité du cluster source",IF(OR(AND($AA258&lt;&gt;"",$AA258&lt;p_debut),AND($AB258&lt;&gt;"",$AB258&gt;p_fin)),"Hors horizon (info)",IF(AND($G258="À migrer",$E258="PRD",COUNTIFS(TblApplications[ID],$C258,TblApplications[Environnement],"NPRD",TblApplications[Action],"À migrer")&gt;0,$AA258&lt;_xlfn.MINIFS(TblApplications[Mois prov (calc)],TblApplications[ID],$C258,TblApplications[Environnement],"NPRD")),"PRD avant NPRD (info)","OK")))))))))))))))))))))</f>
        <v/>
      </c>
      <c r="AH258" s="62"/>
      <c r="AI258" s="62"/>
      <c r="AJ258" s="27" t="str">
        <f>IF(OR($C258="",NOT(OR($G258="À migrer",$G258="À décommissionner")),NOT(ISNUMBER($S258)),NOT(ISNUMBER($T258)),$AB258=""),"",($S258+p_poidsram*$T258)*SUMIFS(TblCalculs[Coût par unité],TblCalculs[Cluster],$I258,TblCalculs[Mois],"&lt;"&amp;$AB258))</f>
        <v/>
      </c>
      <c r="AK258" s="27" t="str">
        <f>IF($C258="","",IF(AND($G258="À migrer",$H258="Non",$Y258&lt;&gt;"",$AA258&lt;&gt;""),($Y258+p_poidsram*$Z258)*SUMIFS(TblCalculs[Coût par unité],TblCalculs[Cluster],$O258,TblCalculs[Mois],"&gt;="&amp;$AA258),IF(AND($G258="Migré",$Y258&lt;&gt;""),($Y258+p_poidsram*$Z258)*SUMIFS(TblCalculs[Coût par unité],TblCalculs[Cluster],$O258),"")))</f>
        <v/>
      </c>
      <c r="AL258" s="27" t="str">
        <f t="shared" si="30"/>
        <v/>
      </c>
      <c r="AM258" s="26" t="str">
        <f t="shared" si="31"/>
        <v/>
      </c>
      <c r="AN258" s="26" t="str">
        <f>IF(OR($C258="",$AM258&lt;&gt;1,COUNTIFS($E258,ex_envc,$A258,ex_domc,$B258,ex_tric)=0),"",COUNTIFS($AM$6:$AM258,1,$E$6:$E258,ex_envc,$A$6:$A258,ex_domc,$B$6:$B258,ex_tric))</f>
        <v/>
      </c>
      <c r="AO258" s="63"/>
      <c r="AP258" s="63"/>
      <c r="AQ258" s="63"/>
      <c r="AR258" s="63"/>
    </row>
    <row r="259" spans="1:44" x14ac:dyDescent="0.2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26" t="str">
        <f t="shared" si="24"/>
        <v/>
      </c>
      <c r="O259" s="59"/>
      <c r="P259" s="60" t="str">
        <f>IF($C259="","",IF($AQ259&lt;&gt;"",$AQ259,SUMIFS(TblDynatrace[CPU P95 (vCPU)],TblDynatrace[ID],$C259,TblDynatrace[Environnement],$E259,TblDynatrace[Couloir],$F259)))</f>
        <v/>
      </c>
      <c r="Q259" s="60" t="str">
        <f>IF($C259="","",IF($AR259&lt;&gt;"",$AR259,SUMIFS(TblDynatrace[RAM P95 (Go)],TblDynatrace[ID],$C259,TblDynatrace[Environnement],$E259,TblDynatrace[Couloir],$F259)))</f>
        <v/>
      </c>
      <c r="R259" s="26" t="str">
        <f>IF($C259="","",IFERROR(INDEX(TblDynatrace[Métrique / période],MATCH($C259&amp;"|"&amp;$E259&amp;"|"&amp;$F259,TblDynatrace[Clé],0)),""))</f>
        <v/>
      </c>
      <c r="S259" s="60" t="str">
        <f>IF(OR($C259="",NOT(OR($G259="À migrer",$G259="À décommissionner")),$I259="",NOT(ISNUMBER($P259))),"",IF($AO259&lt;&gt;"",$AO259,IFERROR(SUMIFS(TblClusters[CPU initial (vCPU)],TblClusters[Cluster],$I259)*$P259/(SUMIFS(TblApplications[CPU Dynatrace (vCPU)],TblApplications[Cluster IKS source],$I259,TblApplications[Action],"À migrer")+SUMIFS(TblApplications[CPU Dynatrace (vCPU)],TblApplications[Cluster IKS source],$I259,TblApplications[Action],"À décommissionner")),0)))</f>
        <v/>
      </c>
      <c r="T259" s="60" t="str">
        <f>IF(OR($C259="",NOT(OR($G259="À migrer",$G259="À décommissionner")),$I259="",NOT(ISNUMBER($Q259))),"",IF($AP259&lt;&gt;"",$AP259,IFERROR(SUMIFS(TblClusters[RAM initiale (Go)],TblClusters[Cluster],$I259)*$Q259/(SUMIFS(TblApplications[RAM Dynatrace (Go)],TblApplications[Cluster IKS source],$I259,TblApplications[Action],"À migrer")+SUMIFS(TblApplications[RAM Dynatrace (Go)],TblApplications[Cluster IKS source],$I259,TblApplications[Action],"À décommissionner")),0)))</f>
        <v/>
      </c>
      <c r="U259" s="61"/>
      <c r="V259" s="61"/>
      <c r="W259" s="61"/>
      <c r="X259" s="59"/>
      <c r="Y259" s="26" t="str">
        <f t="shared" si="25"/>
        <v/>
      </c>
      <c r="Z259" s="26" t="str">
        <f t="shared" si="26"/>
        <v/>
      </c>
      <c r="AA259" s="33" t="str">
        <f t="shared" si="27"/>
        <v/>
      </c>
      <c r="AB259" s="33" t="str">
        <f t="shared" si="28"/>
        <v/>
      </c>
      <c r="AC259" s="26" t="str">
        <f t="shared" si="29"/>
        <v/>
      </c>
      <c r="AD259" s="26" t="str">
        <f>IF($C259="","",COUNTIF(TblApplications[ID],$C259))</f>
        <v/>
      </c>
      <c r="AE259" s="33" t="str">
        <f>IF($C259="","",IFERROR(1/(1/_xlfn.MINIFS(TblApplications[Mois prov (calc)],TblApplications[ID],$C259)),""))</f>
        <v/>
      </c>
      <c r="AF259" s="33" t="str">
        <f>IF($C259="","",IFERROR(1/(1/_xlfn.MAXIFS(TblApplications[Mois lib (calc)],TblApplications[ID],$C259)),""))</f>
        <v/>
      </c>
      <c r="AG259" s="26" t="str">
        <f>IF($C259="","",IF(OR(OR($A259="",$B259="",$D259="",$E259="",$F259="",$G259=""),AND($G259="À migrer",OR($H259="",$I259="",$O259="",$U259="",$V259="",$W259="")),AND($G259="Migré",OR($O259="")),AND($G259="À décommissionner",OR($I259="",$W259=""))),"Données manquantes (selon l’action)",IF(AND($G259&lt;&gt;"Migré",$G259&lt;&gt;"À migrer",$G259&lt;&gt;"À décommissionner",$G259&lt;&gt;"Décommissionné"),"Action invalide",IF(COUNTIF(TblDomaines[Domaine],$A259)=0,"Domaine inconnu (référentiel)",IF(COUNTIFS(TblTribes[Tribe],$B259,TblTribes[Domaine de la tribe],$A259)=0,"Tribe inconnue ou hors domaine",IF(AND($G259="À migrer",$H259&lt;&gt;"Oui",$H259&lt;&gt;"Non"),"Valeur Oui/Non invalide (Déjà incluse ROKS)",IF(AND($E259&lt;&gt;"PRD",$E259&lt;&gt;"NPRD"),"Environnement invalide",IF(COUNTIFS(TblApplications[ID],$C259,TblApplications[Environnement],$E259,TblApplications[Couloir],$F259)&gt;1,"Déploiement en doublon (ID + env + couloir)",IF(AND(OR(OR($G259="À migrer",$G259="Migré"),OR($G259="À migrer",$G259="À décommissionner")),N($P259)&lt;=0),"Conso Dynatrace absente (onglet Dynatrace)",IF(OR(AND($P259&lt;&gt;"",NOT(ISNUMBER($P259))),AND($Q259&lt;&gt;"",NOT(ISNUMBER($Q259)))),"Ressource non numérique",IF(MIN(N($P259),N($Q259))&lt;0,"Ressource négative",IF(OR(AND($AH259&lt;&gt;"",OR(NOT(ISNUMBER($AH259)),$AH259&lt;0,$AH259&gt;1)),AND($AI259&lt;&gt;"",OR(NOT(ISNUMBER($AI259)),$AI259&lt;0,$AI259&gt;1))),"Marge spécifique invalide (0–100 %)",IF(OR(AND($U259&lt;&gt;"",NOT(ISNUMBER($U259))),AND($V259&lt;&gt;"",NOT(ISNUMBER($V259))),AND($W259&lt;&gt;"",NOT(ISNUMBER($W259)))),"Mois invalide",IF(AND(OR($G259="À migrer",$G259="À décommissionner"),COUNTIFS(TblClusters[Cluster],$I259,TblClusters[Plateforme],"IKS")=0),"Cluster IKS inconnu",IF(AND(OR($G259="À migrer",$G259="Migré"),COUNTIFS(TblClusters[Cluster],$O259,TblClusters[Plateforme],"ROKS")=0),"Cluster ROKS inconnu",IF(AND(OR($G259="À migrer",$G259="À décommissionner"),COUNTIFS(TblClusters[Cluster],$I259,TblClusters[Environnement],$E259)=0),"Environnement ≠ cluster IKS",IF(AND(OR($G259="À migrer",$G259="Migré"),COUNTIFS(TblClusters[Cluster],$O259,TblClusters[Environnement],$E259)=0),"Environnement ≠ cluster ROKS",IF(AND($G259="À migrer",OR($U259&gt;$V259,$V259&gt;$W259)),"Dates incohérentes (prov ≤ bascule ≤ libération)",IF(AND(OR($G259="À migrer",$G259="À décommissionner"),OR(N($AO259)&gt;SUMIFS(TblClusters[CPU initial (vCPU)],TblClusters[Cluster],$I259),N($AP259)&gt;SUMIFS(TblClusters[RAM initiale (Go)],TblClusters[Cluster],$I259))),"Forçage &gt; capacité du cluster source",IF(OR(AND($AA259&lt;&gt;"",$AA259&lt;p_debut),AND($AB259&lt;&gt;"",$AB259&gt;p_fin)),"Hors horizon (info)",IF(AND($G259="À migrer",$E259="PRD",COUNTIFS(TblApplications[ID],$C259,TblApplications[Environnement],"NPRD",TblApplications[Action],"À migrer")&gt;0,$AA259&lt;_xlfn.MINIFS(TblApplications[Mois prov (calc)],TblApplications[ID],$C259,TblApplications[Environnement],"NPRD")),"PRD avant NPRD (info)","OK")))))))))))))))))))))</f>
        <v/>
      </c>
      <c r="AH259" s="62"/>
      <c r="AI259" s="62"/>
      <c r="AJ259" s="27" t="str">
        <f>IF(OR($C259="",NOT(OR($G259="À migrer",$G259="À décommissionner")),NOT(ISNUMBER($S259)),NOT(ISNUMBER($T259)),$AB259=""),"",($S259+p_poidsram*$T259)*SUMIFS(TblCalculs[Coût par unité],TblCalculs[Cluster],$I259,TblCalculs[Mois],"&lt;"&amp;$AB259))</f>
        <v/>
      </c>
      <c r="AK259" s="27" t="str">
        <f>IF($C259="","",IF(AND($G259="À migrer",$H259="Non",$Y259&lt;&gt;"",$AA259&lt;&gt;""),($Y259+p_poidsram*$Z259)*SUMIFS(TblCalculs[Coût par unité],TblCalculs[Cluster],$O259,TblCalculs[Mois],"&gt;="&amp;$AA259),IF(AND($G259="Migré",$Y259&lt;&gt;""),($Y259+p_poidsram*$Z259)*SUMIFS(TblCalculs[Coût par unité],TblCalculs[Cluster],$O259),"")))</f>
        <v/>
      </c>
      <c r="AL259" s="27" t="str">
        <f t="shared" si="30"/>
        <v/>
      </c>
      <c r="AM259" s="26" t="str">
        <f t="shared" si="31"/>
        <v/>
      </c>
      <c r="AN259" s="26" t="str">
        <f>IF(OR($C259="",$AM259&lt;&gt;1,COUNTIFS($E259,ex_envc,$A259,ex_domc,$B259,ex_tric)=0),"",COUNTIFS($AM$6:$AM259,1,$E$6:$E259,ex_envc,$A$6:$A259,ex_domc,$B$6:$B259,ex_tric))</f>
        <v/>
      </c>
      <c r="AO259" s="63"/>
      <c r="AP259" s="63"/>
      <c r="AQ259" s="63"/>
      <c r="AR259" s="63"/>
    </row>
    <row r="260" spans="1:44" x14ac:dyDescent="0.2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26" t="str">
        <f t="shared" si="24"/>
        <v/>
      </c>
      <c r="O260" s="59"/>
      <c r="P260" s="60" t="str">
        <f>IF($C260="","",IF($AQ260&lt;&gt;"",$AQ260,SUMIFS(TblDynatrace[CPU P95 (vCPU)],TblDynatrace[ID],$C260,TblDynatrace[Environnement],$E260,TblDynatrace[Couloir],$F260)))</f>
        <v/>
      </c>
      <c r="Q260" s="60" t="str">
        <f>IF($C260="","",IF($AR260&lt;&gt;"",$AR260,SUMIFS(TblDynatrace[RAM P95 (Go)],TblDynatrace[ID],$C260,TblDynatrace[Environnement],$E260,TblDynatrace[Couloir],$F260)))</f>
        <v/>
      </c>
      <c r="R260" s="26" t="str">
        <f>IF($C260="","",IFERROR(INDEX(TblDynatrace[Métrique / période],MATCH($C260&amp;"|"&amp;$E260&amp;"|"&amp;$F260,TblDynatrace[Clé],0)),""))</f>
        <v/>
      </c>
      <c r="S260" s="60" t="str">
        <f>IF(OR($C260="",NOT(OR($G260="À migrer",$G260="À décommissionner")),$I260="",NOT(ISNUMBER($P260))),"",IF($AO260&lt;&gt;"",$AO260,IFERROR(SUMIFS(TblClusters[CPU initial (vCPU)],TblClusters[Cluster],$I260)*$P260/(SUMIFS(TblApplications[CPU Dynatrace (vCPU)],TblApplications[Cluster IKS source],$I260,TblApplications[Action],"À migrer")+SUMIFS(TblApplications[CPU Dynatrace (vCPU)],TblApplications[Cluster IKS source],$I260,TblApplications[Action],"À décommissionner")),0)))</f>
        <v/>
      </c>
      <c r="T260" s="60" t="str">
        <f>IF(OR($C260="",NOT(OR($G260="À migrer",$G260="À décommissionner")),$I260="",NOT(ISNUMBER($Q260))),"",IF($AP260&lt;&gt;"",$AP260,IFERROR(SUMIFS(TblClusters[RAM initiale (Go)],TblClusters[Cluster],$I260)*$Q260/(SUMIFS(TblApplications[RAM Dynatrace (Go)],TblApplications[Cluster IKS source],$I260,TblApplications[Action],"À migrer")+SUMIFS(TblApplications[RAM Dynatrace (Go)],TblApplications[Cluster IKS source],$I260,TblApplications[Action],"À décommissionner")),0)))</f>
        <v/>
      </c>
      <c r="U260" s="61"/>
      <c r="V260" s="61"/>
      <c r="W260" s="61"/>
      <c r="X260" s="59"/>
      <c r="Y260" s="26" t="str">
        <f t="shared" si="25"/>
        <v/>
      </c>
      <c r="Z260" s="26" t="str">
        <f t="shared" si="26"/>
        <v/>
      </c>
      <c r="AA260" s="33" t="str">
        <f t="shared" si="27"/>
        <v/>
      </c>
      <c r="AB260" s="33" t="str">
        <f t="shared" si="28"/>
        <v/>
      </c>
      <c r="AC260" s="26" t="str">
        <f t="shared" si="29"/>
        <v/>
      </c>
      <c r="AD260" s="26" t="str">
        <f>IF($C260="","",COUNTIF(TblApplications[ID],$C260))</f>
        <v/>
      </c>
      <c r="AE260" s="33" t="str">
        <f>IF($C260="","",IFERROR(1/(1/_xlfn.MINIFS(TblApplications[Mois prov (calc)],TblApplications[ID],$C260)),""))</f>
        <v/>
      </c>
      <c r="AF260" s="33" t="str">
        <f>IF($C260="","",IFERROR(1/(1/_xlfn.MAXIFS(TblApplications[Mois lib (calc)],TblApplications[ID],$C260)),""))</f>
        <v/>
      </c>
      <c r="AG260" s="26" t="str">
        <f>IF($C260="","",IF(OR(OR($A260="",$B260="",$D260="",$E260="",$F260="",$G260=""),AND($G260="À migrer",OR($H260="",$I260="",$O260="",$U260="",$V260="",$W260="")),AND($G260="Migré",OR($O260="")),AND($G260="À décommissionner",OR($I260="",$W260=""))),"Données manquantes (selon l’action)",IF(AND($G260&lt;&gt;"Migré",$G260&lt;&gt;"À migrer",$G260&lt;&gt;"À décommissionner",$G260&lt;&gt;"Décommissionné"),"Action invalide",IF(COUNTIF(TblDomaines[Domaine],$A260)=0,"Domaine inconnu (référentiel)",IF(COUNTIFS(TblTribes[Tribe],$B260,TblTribes[Domaine de la tribe],$A260)=0,"Tribe inconnue ou hors domaine",IF(AND($G260="À migrer",$H260&lt;&gt;"Oui",$H260&lt;&gt;"Non"),"Valeur Oui/Non invalide (Déjà incluse ROKS)",IF(AND($E260&lt;&gt;"PRD",$E260&lt;&gt;"NPRD"),"Environnement invalide",IF(COUNTIFS(TblApplications[ID],$C260,TblApplications[Environnement],$E260,TblApplications[Couloir],$F260)&gt;1,"Déploiement en doublon (ID + env + couloir)",IF(AND(OR(OR($G260="À migrer",$G260="Migré"),OR($G260="À migrer",$G260="À décommissionner")),N($P260)&lt;=0),"Conso Dynatrace absente (onglet Dynatrace)",IF(OR(AND($P260&lt;&gt;"",NOT(ISNUMBER($P260))),AND($Q260&lt;&gt;"",NOT(ISNUMBER($Q260)))),"Ressource non numérique",IF(MIN(N($P260),N($Q260))&lt;0,"Ressource négative",IF(OR(AND($AH260&lt;&gt;"",OR(NOT(ISNUMBER($AH260)),$AH260&lt;0,$AH260&gt;1)),AND($AI260&lt;&gt;"",OR(NOT(ISNUMBER($AI260)),$AI260&lt;0,$AI260&gt;1))),"Marge spécifique invalide (0–100 %)",IF(OR(AND($U260&lt;&gt;"",NOT(ISNUMBER($U260))),AND($V260&lt;&gt;"",NOT(ISNUMBER($V260))),AND($W260&lt;&gt;"",NOT(ISNUMBER($W260)))),"Mois invalide",IF(AND(OR($G260="À migrer",$G260="À décommissionner"),COUNTIFS(TblClusters[Cluster],$I260,TblClusters[Plateforme],"IKS")=0),"Cluster IKS inconnu",IF(AND(OR($G260="À migrer",$G260="Migré"),COUNTIFS(TblClusters[Cluster],$O260,TblClusters[Plateforme],"ROKS")=0),"Cluster ROKS inconnu",IF(AND(OR($G260="À migrer",$G260="À décommissionner"),COUNTIFS(TblClusters[Cluster],$I260,TblClusters[Environnement],$E260)=0),"Environnement ≠ cluster IKS",IF(AND(OR($G260="À migrer",$G260="Migré"),COUNTIFS(TblClusters[Cluster],$O260,TblClusters[Environnement],$E260)=0),"Environnement ≠ cluster ROKS",IF(AND($G260="À migrer",OR($U260&gt;$V260,$V260&gt;$W260)),"Dates incohérentes (prov ≤ bascule ≤ libération)",IF(AND(OR($G260="À migrer",$G260="À décommissionner"),OR(N($AO260)&gt;SUMIFS(TblClusters[CPU initial (vCPU)],TblClusters[Cluster],$I260),N($AP260)&gt;SUMIFS(TblClusters[RAM initiale (Go)],TblClusters[Cluster],$I260))),"Forçage &gt; capacité du cluster source",IF(OR(AND($AA260&lt;&gt;"",$AA260&lt;p_debut),AND($AB260&lt;&gt;"",$AB260&gt;p_fin)),"Hors horizon (info)",IF(AND($G260="À migrer",$E260="PRD",COUNTIFS(TblApplications[ID],$C260,TblApplications[Environnement],"NPRD",TblApplications[Action],"À migrer")&gt;0,$AA260&lt;_xlfn.MINIFS(TblApplications[Mois prov (calc)],TblApplications[ID],$C260,TblApplications[Environnement],"NPRD")),"PRD avant NPRD (info)","OK")))))))))))))))))))))</f>
        <v/>
      </c>
      <c r="AH260" s="62"/>
      <c r="AI260" s="62"/>
      <c r="AJ260" s="27" t="str">
        <f>IF(OR($C260="",NOT(OR($G260="À migrer",$G260="À décommissionner")),NOT(ISNUMBER($S260)),NOT(ISNUMBER($T260)),$AB260=""),"",($S260+p_poidsram*$T260)*SUMIFS(TblCalculs[Coût par unité],TblCalculs[Cluster],$I260,TblCalculs[Mois],"&lt;"&amp;$AB260))</f>
        <v/>
      </c>
      <c r="AK260" s="27" t="str">
        <f>IF($C260="","",IF(AND($G260="À migrer",$H260="Non",$Y260&lt;&gt;"",$AA260&lt;&gt;""),($Y260+p_poidsram*$Z260)*SUMIFS(TblCalculs[Coût par unité],TblCalculs[Cluster],$O260,TblCalculs[Mois],"&gt;="&amp;$AA260),IF(AND($G260="Migré",$Y260&lt;&gt;""),($Y260+p_poidsram*$Z260)*SUMIFS(TblCalculs[Coût par unité],TblCalculs[Cluster],$O260),"")))</f>
        <v/>
      </c>
      <c r="AL260" s="27" t="str">
        <f t="shared" si="30"/>
        <v/>
      </c>
      <c r="AM260" s="26" t="str">
        <f t="shared" si="31"/>
        <v/>
      </c>
      <c r="AN260" s="26" t="str">
        <f>IF(OR($C260="",$AM260&lt;&gt;1,COUNTIFS($E260,ex_envc,$A260,ex_domc,$B260,ex_tric)=0),"",COUNTIFS($AM$6:$AM260,1,$E$6:$E260,ex_envc,$A$6:$A260,ex_domc,$B$6:$B260,ex_tric))</f>
        <v/>
      </c>
      <c r="AO260" s="63"/>
      <c r="AP260" s="63"/>
      <c r="AQ260" s="63"/>
      <c r="AR260" s="63"/>
    </row>
    <row r="261" spans="1:44" x14ac:dyDescent="0.2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26" t="str">
        <f t="shared" si="24"/>
        <v/>
      </c>
      <c r="O261" s="59"/>
      <c r="P261" s="60" t="str">
        <f>IF($C261="","",IF($AQ261&lt;&gt;"",$AQ261,SUMIFS(TblDynatrace[CPU P95 (vCPU)],TblDynatrace[ID],$C261,TblDynatrace[Environnement],$E261,TblDynatrace[Couloir],$F261)))</f>
        <v/>
      </c>
      <c r="Q261" s="60" t="str">
        <f>IF($C261="","",IF($AR261&lt;&gt;"",$AR261,SUMIFS(TblDynatrace[RAM P95 (Go)],TblDynatrace[ID],$C261,TblDynatrace[Environnement],$E261,TblDynatrace[Couloir],$F261)))</f>
        <v/>
      </c>
      <c r="R261" s="26" t="str">
        <f>IF($C261="","",IFERROR(INDEX(TblDynatrace[Métrique / période],MATCH($C261&amp;"|"&amp;$E261&amp;"|"&amp;$F261,TblDynatrace[Clé],0)),""))</f>
        <v/>
      </c>
      <c r="S261" s="60" t="str">
        <f>IF(OR($C261="",NOT(OR($G261="À migrer",$G261="À décommissionner")),$I261="",NOT(ISNUMBER($P261))),"",IF($AO261&lt;&gt;"",$AO261,IFERROR(SUMIFS(TblClusters[CPU initial (vCPU)],TblClusters[Cluster],$I261)*$P261/(SUMIFS(TblApplications[CPU Dynatrace (vCPU)],TblApplications[Cluster IKS source],$I261,TblApplications[Action],"À migrer")+SUMIFS(TblApplications[CPU Dynatrace (vCPU)],TblApplications[Cluster IKS source],$I261,TblApplications[Action],"À décommissionner")),0)))</f>
        <v/>
      </c>
      <c r="T261" s="60" t="str">
        <f>IF(OR($C261="",NOT(OR($G261="À migrer",$G261="À décommissionner")),$I261="",NOT(ISNUMBER($Q261))),"",IF($AP261&lt;&gt;"",$AP261,IFERROR(SUMIFS(TblClusters[RAM initiale (Go)],TblClusters[Cluster],$I261)*$Q261/(SUMIFS(TblApplications[RAM Dynatrace (Go)],TblApplications[Cluster IKS source],$I261,TblApplications[Action],"À migrer")+SUMIFS(TblApplications[RAM Dynatrace (Go)],TblApplications[Cluster IKS source],$I261,TblApplications[Action],"À décommissionner")),0)))</f>
        <v/>
      </c>
      <c r="U261" s="61"/>
      <c r="V261" s="61"/>
      <c r="W261" s="61"/>
      <c r="X261" s="59"/>
      <c r="Y261" s="26" t="str">
        <f t="shared" si="25"/>
        <v/>
      </c>
      <c r="Z261" s="26" t="str">
        <f t="shared" si="26"/>
        <v/>
      </c>
      <c r="AA261" s="33" t="str">
        <f t="shared" si="27"/>
        <v/>
      </c>
      <c r="AB261" s="33" t="str">
        <f t="shared" si="28"/>
        <v/>
      </c>
      <c r="AC261" s="26" t="str">
        <f t="shared" si="29"/>
        <v/>
      </c>
      <c r="AD261" s="26" t="str">
        <f>IF($C261="","",COUNTIF(TblApplications[ID],$C261))</f>
        <v/>
      </c>
      <c r="AE261" s="33" t="str">
        <f>IF($C261="","",IFERROR(1/(1/_xlfn.MINIFS(TblApplications[Mois prov (calc)],TblApplications[ID],$C261)),""))</f>
        <v/>
      </c>
      <c r="AF261" s="33" t="str">
        <f>IF($C261="","",IFERROR(1/(1/_xlfn.MAXIFS(TblApplications[Mois lib (calc)],TblApplications[ID],$C261)),""))</f>
        <v/>
      </c>
      <c r="AG261" s="26" t="str">
        <f>IF($C261="","",IF(OR(OR($A261="",$B261="",$D261="",$E261="",$F261="",$G261=""),AND($G261="À migrer",OR($H261="",$I261="",$O261="",$U261="",$V261="",$W261="")),AND($G261="Migré",OR($O261="")),AND($G261="À décommissionner",OR($I261="",$W261=""))),"Données manquantes (selon l’action)",IF(AND($G261&lt;&gt;"Migré",$G261&lt;&gt;"À migrer",$G261&lt;&gt;"À décommissionner",$G261&lt;&gt;"Décommissionné"),"Action invalide",IF(COUNTIF(TblDomaines[Domaine],$A261)=0,"Domaine inconnu (référentiel)",IF(COUNTIFS(TblTribes[Tribe],$B261,TblTribes[Domaine de la tribe],$A261)=0,"Tribe inconnue ou hors domaine",IF(AND($G261="À migrer",$H261&lt;&gt;"Oui",$H261&lt;&gt;"Non"),"Valeur Oui/Non invalide (Déjà incluse ROKS)",IF(AND($E261&lt;&gt;"PRD",$E261&lt;&gt;"NPRD"),"Environnement invalide",IF(COUNTIFS(TblApplications[ID],$C261,TblApplications[Environnement],$E261,TblApplications[Couloir],$F261)&gt;1,"Déploiement en doublon (ID + env + couloir)",IF(AND(OR(OR($G261="À migrer",$G261="Migré"),OR($G261="À migrer",$G261="À décommissionner")),N($P261)&lt;=0),"Conso Dynatrace absente (onglet Dynatrace)",IF(OR(AND($P261&lt;&gt;"",NOT(ISNUMBER($P261))),AND($Q261&lt;&gt;"",NOT(ISNUMBER($Q261)))),"Ressource non numérique",IF(MIN(N($P261),N($Q261))&lt;0,"Ressource négative",IF(OR(AND($AH261&lt;&gt;"",OR(NOT(ISNUMBER($AH261)),$AH261&lt;0,$AH261&gt;1)),AND($AI261&lt;&gt;"",OR(NOT(ISNUMBER($AI261)),$AI261&lt;0,$AI261&gt;1))),"Marge spécifique invalide (0–100 %)",IF(OR(AND($U261&lt;&gt;"",NOT(ISNUMBER($U261))),AND($V261&lt;&gt;"",NOT(ISNUMBER($V261))),AND($W261&lt;&gt;"",NOT(ISNUMBER($W261)))),"Mois invalide",IF(AND(OR($G261="À migrer",$G261="À décommissionner"),COUNTIFS(TblClusters[Cluster],$I261,TblClusters[Plateforme],"IKS")=0),"Cluster IKS inconnu",IF(AND(OR($G261="À migrer",$G261="Migré"),COUNTIFS(TblClusters[Cluster],$O261,TblClusters[Plateforme],"ROKS")=0),"Cluster ROKS inconnu",IF(AND(OR($G261="À migrer",$G261="À décommissionner"),COUNTIFS(TblClusters[Cluster],$I261,TblClusters[Environnement],$E261)=0),"Environnement ≠ cluster IKS",IF(AND(OR($G261="À migrer",$G261="Migré"),COUNTIFS(TblClusters[Cluster],$O261,TblClusters[Environnement],$E261)=0),"Environnement ≠ cluster ROKS",IF(AND($G261="À migrer",OR($U261&gt;$V261,$V261&gt;$W261)),"Dates incohérentes (prov ≤ bascule ≤ libération)",IF(AND(OR($G261="À migrer",$G261="À décommissionner"),OR(N($AO261)&gt;SUMIFS(TblClusters[CPU initial (vCPU)],TblClusters[Cluster],$I261),N($AP261)&gt;SUMIFS(TblClusters[RAM initiale (Go)],TblClusters[Cluster],$I261))),"Forçage &gt; capacité du cluster source",IF(OR(AND($AA261&lt;&gt;"",$AA261&lt;p_debut),AND($AB261&lt;&gt;"",$AB261&gt;p_fin)),"Hors horizon (info)",IF(AND($G261="À migrer",$E261="PRD",COUNTIFS(TblApplications[ID],$C261,TblApplications[Environnement],"NPRD",TblApplications[Action],"À migrer")&gt;0,$AA261&lt;_xlfn.MINIFS(TblApplications[Mois prov (calc)],TblApplications[ID],$C261,TblApplications[Environnement],"NPRD")),"PRD avant NPRD (info)","OK")))))))))))))))))))))</f>
        <v/>
      </c>
      <c r="AH261" s="62"/>
      <c r="AI261" s="62"/>
      <c r="AJ261" s="27" t="str">
        <f>IF(OR($C261="",NOT(OR($G261="À migrer",$G261="À décommissionner")),NOT(ISNUMBER($S261)),NOT(ISNUMBER($T261)),$AB261=""),"",($S261+p_poidsram*$T261)*SUMIFS(TblCalculs[Coût par unité],TblCalculs[Cluster],$I261,TblCalculs[Mois],"&lt;"&amp;$AB261))</f>
        <v/>
      </c>
      <c r="AK261" s="27" t="str">
        <f>IF($C261="","",IF(AND($G261="À migrer",$H261="Non",$Y261&lt;&gt;"",$AA261&lt;&gt;""),($Y261+p_poidsram*$Z261)*SUMIFS(TblCalculs[Coût par unité],TblCalculs[Cluster],$O261,TblCalculs[Mois],"&gt;="&amp;$AA261),IF(AND($G261="Migré",$Y261&lt;&gt;""),($Y261+p_poidsram*$Z261)*SUMIFS(TblCalculs[Coût par unité],TblCalculs[Cluster],$O261),"")))</f>
        <v/>
      </c>
      <c r="AL261" s="27" t="str">
        <f t="shared" si="30"/>
        <v/>
      </c>
      <c r="AM261" s="26" t="str">
        <f t="shared" si="31"/>
        <v/>
      </c>
      <c r="AN261" s="26" t="str">
        <f>IF(OR($C261="",$AM261&lt;&gt;1,COUNTIFS($E261,ex_envc,$A261,ex_domc,$B261,ex_tric)=0),"",COUNTIFS($AM$6:$AM261,1,$E$6:$E261,ex_envc,$A$6:$A261,ex_domc,$B$6:$B261,ex_tric))</f>
        <v/>
      </c>
      <c r="AO261" s="63"/>
      <c r="AP261" s="63"/>
      <c r="AQ261" s="63"/>
      <c r="AR261" s="63"/>
    </row>
    <row r="262" spans="1:44" x14ac:dyDescent="0.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26" t="str">
        <f t="shared" ref="N262:N305" si="32">IF($C262="","",IF($J262="Oui","Dédié (données secrètes)",IF($K262="Oui","Dédié (RGPD / sécurité)",IF($L262="Oui","Dédié (isolement fort)",IF(OR($M262="Oui",AND(ISNUMBER($P262),$P262&gt;=p_seuil_cpu_dedie),AND(ISNUMBER($Q262),$Q262&gt;=p_seuil_ram_dedie)),"Dédié (volume / atypique)","Mutualisé")))))</f>
        <v/>
      </c>
      <c r="O262" s="59"/>
      <c r="P262" s="60" t="str">
        <f>IF($C262="","",IF($AQ262&lt;&gt;"",$AQ262,SUMIFS(TblDynatrace[CPU P95 (vCPU)],TblDynatrace[ID],$C262,TblDynatrace[Environnement],$E262,TblDynatrace[Couloir],$F262)))</f>
        <v/>
      </c>
      <c r="Q262" s="60" t="str">
        <f>IF($C262="","",IF($AR262&lt;&gt;"",$AR262,SUMIFS(TblDynatrace[RAM P95 (Go)],TblDynatrace[ID],$C262,TblDynatrace[Environnement],$E262,TblDynatrace[Couloir],$F262)))</f>
        <v/>
      </c>
      <c r="R262" s="26" t="str">
        <f>IF($C262="","",IFERROR(INDEX(TblDynatrace[Métrique / période],MATCH($C262&amp;"|"&amp;$E262&amp;"|"&amp;$F262,TblDynatrace[Clé],0)),""))</f>
        <v/>
      </c>
      <c r="S262" s="60" t="str">
        <f>IF(OR($C262="",NOT(OR($G262="À migrer",$G262="À décommissionner")),$I262="",NOT(ISNUMBER($P262))),"",IF($AO262&lt;&gt;"",$AO262,IFERROR(SUMIFS(TblClusters[CPU initial (vCPU)],TblClusters[Cluster],$I262)*$P262/(SUMIFS(TblApplications[CPU Dynatrace (vCPU)],TblApplications[Cluster IKS source],$I262,TblApplications[Action],"À migrer")+SUMIFS(TblApplications[CPU Dynatrace (vCPU)],TblApplications[Cluster IKS source],$I262,TblApplications[Action],"À décommissionner")),0)))</f>
        <v/>
      </c>
      <c r="T262" s="60" t="str">
        <f>IF(OR($C262="",NOT(OR($G262="À migrer",$G262="À décommissionner")),$I262="",NOT(ISNUMBER($Q262))),"",IF($AP262&lt;&gt;"",$AP262,IFERROR(SUMIFS(TblClusters[RAM initiale (Go)],TblClusters[Cluster],$I262)*$Q262/(SUMIFS(TblApplications[RAM Dynatrace (Go)],TblApplications[Cluster IKS source],$I262,TblApplications[Action],"À migrer")+SUMIFS(TblApplications[RAM Dynatrace (Go)],TblApplications[Cluster IKS source],$I262,TblApplications[Action],"À décommissionner")),0)))</f>
        <v/>
      </c>
      <c r="U262" s="61"/>
      <c r="V262" s="61"/>
      <c r="W262" s="61"/>
      <c r="X262" s="59"/>
      <c r="Y262" s="26" t="str">
        <f t="shared" ref="Y262:Y305" si="33">IF(OR($C262="",NOT(OR($G262="À migrer",$G262="Migré")),NOT(ISNUMBER($P262))),"",ROUNDUP($P262*(1+IF($AH262="",p_margeCPU,$AH262)),0))</f>
        <v/>
      </c>
      <c r="Z262" s="26" t="str">
        <f t="shared" ref="Z262:Z305" si="34">IF(OR($C262="",NOT(OR($G262="À migrer",$G262="Migré")),NOT(ISNUMBER($Q262))),"",ROUNDUP($Q262*(1+IF($AI262="",p_margeRAM,$AI262)),0))</f>
        <v/>
      </c>
      <c r="AA262" s="33" t="str">
        <f t="shared" ref="AA262:AA305" si="35">IF(OR(NOT($G262="À migrer"),$U262=""),"",IFERROR(DATE(YEAR($U262),MONTH($U262),1),""))</f>
        <v/>
      </c>
      <c r="AB262" s="33" t="str">
        <f t="shared" ref="AB262:AB305" si="36">IF(OR(NOT(OR($G262="À migrer",$G262="À décommissionner")),$W262=""),"",IFERROR(DATE(YEAR($W262),MONTH($W262),1),""))</f>
        <v/>
      </c>
      <c r="AC262" s="26" t="str">
        <f t="shared" ref="AC262:AC305" si="37">IF(OR($AA262="",$AB262=""),"",MAX(0,(YEAR($AB262)-YEAR($AA262))*12+MONTH($AB262)-MONTH($AA262)))</f>
        <v/>
      </c>
      <c r="AD262" s="26" t="str">
        <f>IF($C262="","",COUNTIF(TblApplications[ID],$C262))</f>
        <v/>
      </c>
      <c r="AE262" s="33" t="str">
        <f>IF($C262="","",IFERROR(1/(1/_xlfn.MINIFS(TblApplications[Mois prov (calc)],TblApplications[ID],$C262)),""))</f>
        <v/>
      </c>
      <c r="AF262" s="33" t="str">
        <f>IF($C262="","",IFERROR(1/(1/_xlfn.MAXIFS(TblApplications[Mois lib (calc)],TblApplications[ID],$C262)),""))</f>
        <v/>
      </c>
      <c r="AG262" s="26" t="str">
        <f>IF($C262="","",IF(OR(OR($A262="",$B262="",$D262="",$E262="",$F262="",$G262=""),AND($G262="À migrer",OR($H262="",$I262="",$O262="",$U262="",$V262="",$W262="")),AND($G262="Migré",OR($O262="")),AND($G262="À décommissionner",OR($I262="",$W262=""))),"Données manquantes (selon l’action)",IF(AND($G262&lt;&gt;"Migré",$G262&lt;&gt;"À migrer",$G262&lt;&gt;"À décommissionner",$G262&lt;&gt;"Décommissionné"),"Action invalide",IF(COUNTIF(TblDomaines[Domaine],$A262)=0,"Domaine inconnu (référentiel)",IF(COUNTIFS(TblTribes[Tribe],$B262,TblTribes[Domaine de la tribe],$A262)=0,"Tribe inconnue ou hors domaine",IF(AND($G262="À migrer",$H262&lt;&gt;"Oui",$H262&lt;&gt;"Non"),"Valeur Oui/Non invalide (Déjà incluse ROKS)",IF(AND($E262&lt;&gt;"PRD",$E262&lt;&gt;"NPRD"),"Environnement invalide",IF(COUNTIFS(TblApplications[ID],$C262,TblApplications[Environnement],$E262,TblApplications[Couloir],$F262)&gt;1,"Déploiement en doublon (ID + env + couloir)",IF(AND(OR(OR($G262="À migrer",$G262="Migré"),OR($G262="À migrer",$G262="À décommissionner")),N($P262)&lt;=0),"Conso Dynatrace absente (onglet Dynatrace)",IF(OR(AND($P262&lt;&gt;"",NOT(ISNUMBER($P262))),AND($Q262&lt;&gt;"",NOT(ISNUMBER($Q262)))),"Ressource non numérique",IF(MIN(N($P262),N($Q262))&lt;0,"Ressource négative",IF(OR(AND($AH262&lt;&gt;"",OR(NOT(ISNUMBER($AH262)),$AH262&lt;0,$AH262&gt;1)),AND($AI262&lt;&gt;"",OR(NOT(ISNUMBER($AI262)),$AI262&lt;0,$AI262&gt;1))),"Marge spécifique invalide (0–100 %)",IF(OR(AND($U262&lt;&gt;"",NOT(ISNUMBER($U262))),AND($V262&lt;&gt;"",NOT(ISNUMBER($V262))),AND($W262&lt;&gt;"",NOT(ISNUMBER($W262)))),"Mois invalide",IF(AND(OR($G262="À migrer",$G262="À décommissionner"),COUNTIFS(TblClusters[Cluster],$I262,TblClusters[Plateforme],"IKS")=0),"Cluster IKS inconnu",IF(AND(OR($G262="À migrer",$G262="Migré"),COUNTIFS(TblClusters[Cluster],$O262,TblClusters[Plateforme],"ROKS")=0),"Cluster ROKS inconnu",IF(AND(OR($G262="À migrer",$G262="À décommissionner"),COUNTIFS(TblClusters[Cluster],$I262,TblClusters[Environnement],$E262)=0),"Environnement ≠ cluster IKS",IF(AND(OR($G262="À migrer",$G262="Migré"),COUNTIFS(TblClusters[Cluster],$O262,TblClusters[Environnement],$E262)=0),"Environnement ≠ cluster ROKS",IF(AND($G262="À migrer",OR($U262&gt;$V262,$V262&gt;$W262)),"Dates incohérentes (prov ≤ bascule ≤ libération)",IF(AND(OR($G262="À migrer",$G262="À décommissionner"),OR(N($AO262)&gt;SUMIFS(TblClusters[CPU initial (vCPU)],TblClusters[Cluster],$I262),N($AP262)&gt;SUMIFS(TblClusters[RAM initiale (Go)],TblClusters[Cluster],$I262))),"Forçage &gt; capacité du cluster source",IF(OR(AND($AA262&lt;&gt;"",$AA262&lt;p_debut),AND($AB262&lt;&gt;"",$AB262&gt;p_fin)),"Hors horizon (info)",IF(AND($G262="À migrer",$E262="PRD",COUNTIFS(TblApplications[ID],$C262,TblApplications[Environnement],"NPRD",TblApplications[Action],"À migrer")&gt;0,$AA262&lt;_xlfn.MINIFS(TblApplications[Mois prov (calc)],TblApplications[ID],$C262,TblApplications[Environnement],"NPRD")),"PRD avant NPRD (info)","OK")))))))))))))))))))))</f>
        <v/>
      </c>
      <c r="AH262" s="62"/>
      <c r="AI262" s="62"/>
      <c r="AJ262" s="27" t="str">
        <f>IF(OR($C262="",NOT(OR($G262="À migrer",$G262="À décommissionner")),NOT(ISNUMBER($S262)),NOT(ISNUMBER($T262)),$AB262=""),"",($S262+p_poidsram*$T262)*SUMIFS(TblCalculs[Coût par unité],TblCalculs[Cluster],$I262,TblCalculs[Mois],"&lt;"&amp;$AB262))</f>
        <v/>
      </c>
      <c r="AK262" s="27" t="str">
        <f>IF($C262="","",IF(AND($G262="À migrer",$H262="Non",$Y262&lt;&gt;"",$AA262&lt;&gt;""),($Y262+p_poidsram*$Z262)*SUMIFS(TblCalculs[Coût par unité],TblCalculs[Cluster],$O262,TblCalculs[Mois],"&gt;="&amp;$AA262),IF(AND($G262="Migré",$Y262&lt;&gt;""),($Y262+p_poidsram*$Z262)*SUMIFS(TblCalculs[Coût par unité],TblCalculs[Cluster],$O262),"")))</f>
        <v/>
      </c>
      <c r="AL262" s="27" t="str">
        <f t="shared" ref="AL262:AL305" si="38">IF($C262="","",N($AJ262)+N($AK262))</f>
        <v/>
      </c>
      <c r="AM262" s="26" t="str">
        <f t="shared" ref="AM262:AM305" si="39">IF($C262="","",IF(AND(OR($G262="À migrer",$G262="À décommissionner"),$AB262&lt;&gt;"",$AB262&gt;ex_mois),1,0))</f>
        <v/>
      </c>
      <c r="AN262" s="26" t="str">
        <f>IF(OR($C262="",$AM262&lt;&gt;1,COUNTIFS($E262,ex_envc,$A262,ex_domc,$B262,ex_tric)=0),"",COUNTIFS($AM$6:$AM262,1,$E$6:$E262,ex_envc,$A$6:$A262,ex_domc,$B$6:$B262,ex_tric))</f>
        <v/>
      </c>
      <c r="AO262" s="63"/>
      <c r="AP262" s="63"/>
      <c r="AQ262" s="63"/>
      <c r="AR262" s="63"/>
    </row>
    <row r="263" spans="1:44" x14ac:dyDescent="0.2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26" t="str">
        <f t="shared" si="32"/>
        <v/>
      </c>
      <c r="O263" s="59"/>
      <c r="P263" s="60" t="str">
        <f>IF($C263="","",IF($AQ263&lt;&gt;"",$AQ263,SUMIFS(TblDynatrace[CPU P95 (vCPU)],TblDynatrace[ID],$C263,TblDynatrace[Environnement],$E263,TblDynatrace[Couloir],$F263)))</f>
        <v/>
      </c>
      <c r="Q263" s="60" t="str">
        <f>IF($C263="","",IF($AR263&lt;&gt;"",$AR263,SUMIFS(TblDynatrace[RAM P95 (Go)],TblDynatrace[ID],$C263,TblDynatrace[Environnement],$E263,TblDynatrace[Couloir],$F263)))</f>
        <v/>
      </c>
      <c r="R263" s="26" t="str">
        <f>IF($C263="","",IFERROR(INDEX(TblDynatrace[Métrique / période],MATCH($C263&amp;"|"&amp;$E263&amp;"|"&amp;$F263,TblDynatrace[Clé],0)),""))</f>
        <v/>
      </c>
      <c r="S263" s="60" t="str">
        <f>IF(OR($C263="",NOT(OR($G263="À migrer",$G263="À décommissionner")),$I263="",NOT(ISNUMBER($P263))),"",IF($AO263&lt;&gt;"",$AO263,IFERROR(SUMIFS(TblClusters[CPU initial (vCPU)],TblClusters[Cluster],$I263)*$P263/(SUMIFS(TblApplications[CPU Dynatrace (vCPU)],TblApplications[Cluster IKS source],$I263,TblApplications[Action],"À migrer")+SUMIFS(TblApplications[CPU Dynatrace (vCPU)],TblApplications[Cluster IKS source],$I263,TblApplications[Action],"À décommissionner")),0)))</f>
        <v/>
      </c>
      <c r="T263" s="60" t="str">
        <f>IF(OR($C263="",NOT(OR($G263="À migrer",$G263="À décommissionner")),$I263="",NOT(ISNUMBER($Q263))),"",IF($AP263&lt;&gt;"",$AP263,IFERROR(SUMIFS(TblClusters[RAM initiale (Go)],TblClusters[Cluster],$I263)*$Q263/(SUMIFS(TblApplications[RAM Dynatrace (Go)],TblApplications[Cluster IKS source],$I263,TblApplications[Action],"À migrer")+SUMIFS(TblApplications[RAM Dynatrace (Go)],TblApplications[Cluster IKS source],$I263,TblApplications[Action],"À décommissionner")),0)))</f>
        <v/>
      </c>
      <c r="U263" s="61"/>
      <c r="V263" s="61"/>
      <c r="W263" s="61"/>
      <c r="X263" s="59"/>
      <c r="Y263" s="26" t="str">
        <f t="shared" si="33"/>
        <v/>
      </c>
      <c r="Z263" s="26" t="str">
        <f t="shared" si="34"/>
        <v/>
      </c>
      <c r="AA263" s="33" t="str">
        <f t="shared" si="35"/>
        <v/>
      </c>
      <c r="AB263" s="33" t="str">
        <f t="shared" si="36"/>
        <v/>
      </c>
      <c r="AC263" s="26" t="str">
        <f t="shared" si="37"/>
        <v/>
      </c>
      <c r="AD263" s="26" t="str">
        <f>IF($C263="","",COUNTIF(TblApplications[ID],$C263))</f>
        <v/>
      </c>
      <c r="AE263" s="33" t="str">
        <f>IF($C263="","",IFERROR(1/(1/_xlfn.MINIFS(TblApplications[Mois prov (calc)],TblApplications[ID],$C263)),""))</f>
        <v/>
      </c>
      <c r="AF263" s="33" t="str">
        <f>IF($C263="","",IFERROR(1/(1/_xlfn.MAXIFS(TblApplications[Mois lib (calc)],TblApplications[ID],$C263)),""))</f>
        <v/>
      </c>
      <c r="AG263" s="26" t="str">
        <f>IF($C263="","",IF(OR(OR($A263="",$B263="",$D263="",$E263="",$F263="",$G263=""),AND($G263="À migrer",OR($H263="",$I263="",$O263="",$U263="",$V263="",$W263="")),AND($G263="Migré",OR($O263="")),AND($G263="À décommissionner",OR($I263="",$W263=""))),"Données manquantes (selon l’action)",IF(AND($G263&lt;&gt;"Migré",$G263&lt;&gt;"À migrer",$G263&lt;&gt;"À décommissionner",$G263&lt;&gt;"Décommissionné"),"Action invalide",IF(COUNTIF(TblDomaines[Domaine],$A263)=0,"Domaine inconnu (référentiel)",IF(COUNTIFS(TblTribes[Tribe],$B263,TblTribes[Domaine de la tribe],$A263)=0,"Tribe inconnue ou hors domaine",IF(AND($G263="À migrer",$H263&lt;&gt;"Oui",$H263&lt;&gt;"Non"),"Valeur Oui/Non invalide (Déjà incluse ROKS)",IF(AND($E263&lt;&gt;"PRD",$E263&lt;&gt;"NPRD"),"Environnement invalide",IF(COUNTIFS(TblApplications[ID],$C263,TblApplications[Environnement],$E263,TblApplications[Couloir],$F263)&gt;1,"Déploiement en doublon (ID + env + couloir)",IF(AND(OR(OR($G263="À migrer",$G263="Migré"),OR($G263="À migrer",$G263="À décommissionner")),N($P263)&lt;=0),"Conso Dynatrace absente (onglet Dynatrace)",IF(OR(AND($P263&lt;&gt;"",NOT(ISNUMBER($P263))),AND($Q263&lt;&gt;"",NOT(ISNUMBER($Q263)))),"Ressource non numérique",IF(MIN(N($P263),N($Q263))&lt;0,"Ressource négative",IF(OR(AND($AH263&lt;&gt;"",OR(NOT(ISNUMBER($AH263)),$AH263&lt;0,$AH263&gt;1)),AND($AI263&lt;&gt;"",OR(NOT(ISNUMBER($AI263)),$AI263&lt;0,$AI263&gt;1))),"Marge spécifique invalide (0–100 %)",IF(OR(AND($U263&lt;&gt;"",NOT(ISNUMBER($U263))),AND($V263&lt;&gt;"",NOT(ISNUMBER($V263))),AND($W263&lt;&gt;"",NOT(ISNUMBER($W263)))),"Mois invalide",IF(AND(OR($G263="À migrer",$G263="À décommissionner"),COUNTIFS(TblClusters[Cluster],$I263,TblClusters[Plateforme],"IKS")=0),"Cluster IKS inconnu",IF(AND(OR($G263="À migrer",$G263="Migré"),COUNTIFS(TblClusters[Cluster],$O263,TblClusters[Plateforme],"ROKS")=0),"Cluster ROKS inconnu",IF(AND(OR($G263="À migrer",$G263="À décommissionner"),COUNTIFS(TblClusters[Cluster],$I263,TblClusters[Environnement],$E263)=0),"Environnement ≠ cluster IKS",IF(AND(OR($G263="À migrer",$G263="Migré"),COUNTIFS(TblClusters[Cluster],$O263,TblClusters[Environnement],$E263)=0),"Environnement ≠ cluster ROKS",IF(AND($G263="À migrer",OR($U263&gt;$V263,$V263&gt;$W263)),"Dates incohérentes (prov ≤ bascule ≤ libération)",IF(AND(OR($G263="À migrer",$G263="À décommissionner"),OR(N($AO263)&gt;SUMIFS(TblClusters[CPU initial (vCPU)],TblClusters[Cluster],$I263),N($AP263)&gt;SUMIFS(TblClusters[RAM initiale (Go)],TblClusters[Cluster],$I263))),"Forçage &gt; capacité du cluster source",IF(OR(AND($AA263&lt;&gt;"",$AA263&lt;p_debut),AND($AB263&lt;&gt;"",$AB263&gt;p_fin)),"Hors horizon (info)",IF(AND($G263="À migrer",$E263="PRD",COUNTIFS(TblApplications[ID],$C263,TblApplications[Environnement],"NPRD",TblApplications[Action],"À migrer")&gt;0,$AA263&lt;_xlfn.MINIFS(TblApplications[Mois prov (calc)],TblApplications[ID],$C263,TblApplications[Environnement],"NPRD")),"PRD avant NPRD (info)","OK")))))))))))))))))))))</f>
        <v/>
      </c>
      <c r="AH263" s="62"/>
      <c r="AI263" s="62"/>
      <c r="AJ263" s="27" t="str">
        <f>IF(OR($C263="",NOT(OR($G263="À migrer",$G263="À décommissionner")),NOT(ISNUMBER($S263)),NOT(ISNUMBER($T263)),$AB263=""),"",($S263+p_poidsram*$T263)*SUMIFS(TblCalculs[Coût par unité],TblCalculs[Cluster],$I263,TblCalculs[Mois],"&lt;"&amp;$AB263))</f>
        <v/>
      </c>
      <c r="AK263" s="27" t="str">
        <f>IF($C263="","",IF(AND($G263="À migrer",$H263="Non",$Y263&lt;&gt;"",$AA263&lt;&gt;""),($Y263+p_poidsram*$Z263)*SUMIFS(TblCalculs[Coût par unité],TblCalculs[Cluster],$O263,TblCalculs[Mois],"&gt;="&amp;$AA263),IF(AND($G263="Migré",$Y263&lt;&gt;""),($Y263+p_poidsram*$Z263)*SUMIFS(TblCalculs[Coût par unité],TblCalculs[Cluster],$O263),"")))</f>
        <v/>
      </c>
      <c r="AL263" s="27" t="str">
        <f t="shared" si="38"/>
        <v/>
      </c>
      <c r="AM263" s="26" t="str">
        <f t="shared" si="39"/>
        <v/>
      </c>
      <c r="AN263" s="26" t="str">
        <f>IF(OR($C263="",$AM263&lt;&gt;1,COUNTIFS($E263,ex_envc,$A263,ex_domc,$B263,ex_tric)=0),"",COUNTIFS($AM$6:$AM263,1,$E$6:$E263,ex_envc,$A$6:$A263,ex_domc,$B$6:$B263,ex_tric))</f>
        <v/>
      </c>
      <c r="AO263" s="63"/>
      <c r="AP263" s="63"/>
      <c r="AQ263" s="63"/>
      <c r="AR263" s="63"/>
    </row>
    <row r="264" spans="1:44" x14ac:dyDescent="0.2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26" t="str">
        <f t="shared" si="32"/>
        <v/>
      </c>
      <c r="O264" s="59"/>
      <c r="P264" s="60" t="str">
        <f>IF($C264="","",IF($AQ264&lt;&gt;"",$AQ264,SUMIFS(TblDynatrace[CPU P95 (vCPU)],TblDynatrace[ID],$C264,TblDynatrace[Environnement],$E264,TblDynatrace[Couloir],$F264)))</f>
        <v/>
      </c>
      <c r="Q264" s="60" t="str">
        <f>IF($C264="","",IF($AR264&lt;&gt;"",$AR264,SUMIFS(TblDynatrace[RAM P95 (Go)],TblDynatrace[ID],$C264,TblDynatrace[Environnement],$E264,TblDynatrace[Couloir],$F264)))</f>
        <v/>
      </c>
      <c r="R264" s="26" t="str">
        <f>IF($C264="","",IFERROR(INDEX(TblDynatrace[Métrique / période],MATCH($C264&amp;"|"&amp;$E264&amp;"|"&amp;$F264,TblDynatrace[Clé],0)),""))</f>
        <v/>
      </c>
      <c r="S264" s="60" t="str">
        <f>IF(OR($C264="",NOT(OR($G264="À migrer",$G264="À décommissionner")),$I264="",NOT(ISNUMBER($P264))),"",IF($AO264&lt;&gt;"",$AO264,IFERROR(SUMIFS(TblClusters[CPU initial (vCPU)],TblClusters[Cluster],$I264)*$P264/(SUMIFS(TblApplications[CPU Dynatrace (vCPU)],TblApplications[Cluster IKS source],$I264,TblApplications[Action],"À migrer")+SUMIFS(TblApplications[CPU Dynatrace (vCPU)],TblApplications[Cluster IKS source],$I264,TblApplications[Action],"À décommissionner")),0)))</f>
        <v/>
      </c>
      <c r="T264" s="60" t="str">
        <f>IF(OR($C264="",NOT(OR($G264="À migrer",$G264="À décommissionner")),$I264="",NOT(ISNUMBER($Q264))),"",IF($AP264&lt;&gt;"",$AP264,IFERROR(SUMIFS(TblClusters[RAM initiale (Go)],TblClusters[Cluster],$I264)*$Q264/(SUMIFS(TblApplications[RAM Dynatrace (Go)],TblApplications[Cluster IKS source],$I264,TblApplications[Action],"À migrer")+SUMIFS(TblApplications[RAM Dynatrace (Go)],TblApplications[Cluster IKS source],$I264,TblApplications[Action],"À décommissionner")),0)))</f>
        <v/>
      </c>
      <c r="U264" s="61"/>
      <c r="V264" s="61"/>
      <c r="W264" s="61"/>
      <c r="X264" s="59"/>
      <c r="Y264" s="26" t="str">
        <f t="shared" si="33"/>
        <v/>
      </c>
      <c r="Z264" s="26" t="str">
        <f t="shared" si="34"/>
        <v/>
      </c>
      <c r="AA264" s="33" t="str">
        <f t="shared" si="35"/>
        <v/>
      </c>
      <c r="AB264" s="33" t="str">
        <f t="shared" si="36"/>
        <v/>
      </c>
      <c r="AC264" s="26" t="str">
        <f t="shared" si="37"/>
        <v/>
      </c>
      <c r="AD264" s="26" t="str">
        <f>IF($C264="","",COUNTIF(TblApplications[ID],$C264))</f>
        <v/>
      </c>
      <c r="AE264" s="33" t="str">
        <f>IF($C264="","",IFERROR(1/(1/_xlfn.MINIFS(TblApplications[Mois prov (calc)],TblApplications[ID],$C264)),""))</f>
        <v/>
      </c>
      <c r="AF264" s="33" t="str">
        <f>IF($C264="","",IFERROR(1/(1/_xlfn.MAXIFS(TblApplications[Mois lib (calc)],TblApplications[ID],$C264)),""))</f>
        <v/>
      </c>
      <c r="AG264" s="26" t="str">
        <f>IF($C264="","",IF(OR(OR($A264="",$B264="",$D264="",$E264="",$F264="",$G264=""),AND($G264="À migrer",OR($H264="",$I264="",$O264="",$U264="",$V264="",$W264="")),AND($G264="Migré",OR($O264="")),AND($G264="À décommissionner",OR($I264="",$W264=""))),"Données manquantes (selon l’action)",IF(AND($G264&lt;&gt;"Migré",$G264&lt;&gt;"À migrer",$G264&lt;&gt;"À décommissionner",$G264&lt;&gt;"Décommissionné"),"Action invalide",IF(COUNTIF(TblDomaines[Domaine],$A264)=0,"Domaine inconnu (référentiel)",IF(COUNTIFS(TblTribes[Tribe],$B264,TblTribes[Domaine de la tribe],$A264)=0,"Tribe inconnue ou hors domaine",IF(AND($G264="À migrer",$H264&lt;&gt;"Oui",$H264&lt;&gt;"Non"),"Valeur Oui/Non invalide (Déjà incluse ROKS)",IF(AND($E264&lt;&gt;"PRD",$E264&lt;&gt;"NPRD"),"Environnement invalide",IF(COUNTIFS(TblApplications[ID],$C264,TblApplications[Environnement],$E264,TblApplications[Couloir],$F264)&gt;1,"Déploiement en doublon (ID + env + couloir)",IF(AND(OR(OR($G264="À migrer",$G264="Migré"),OR($G264="À migrer",$G264="À décommissionner")),N($P264)&lt;=0),"Conso Dynatrace absente (onglet Dynatrace)",IF(OR(AND($P264&lt;&gt;"",NOT(ISNUMBER($P264))),AND($Q264&lt;&gt;"",NOT(ISNUMBER($Q264)))),"Ressource non numérique",IF(MIN(N($P264),N($Q264))&lt;0,"Ressource négative",IF(OR(AND($AH264&lt;&gt;"",OR(NOT(ISNUMBER($AH264)),$AH264&lt;0,$AH264&gt;1)),AND($AI264&lt;&gt;"",OR(NOT(ISNUMBER($AI264)),$AI264&lt;0,$AI264&gt;1))),"Marge spécifique invalide (0–100 %)",IF(OR(AND($U264&lt;&gt;"",NOT(ISNUMBER($U264))),AND($V264&lt;&gt;"",NOT(ISNUMBER($V264))),AND($W264&lt;&gt;"",NOT(ISNUMBER($W264)))),"Mois invalide",IF(AND(OR($G264="À migrer",$G264="À décommissionner"),COUNTIFS(TblClusters[Cluster],$I264,TblClusters[Plateforme],"IKS")=0),"Cluster IKS inconnu",IF(AND(OR($G264="À migrer",$G264="Migré"),COUNTIFS(TblClusters[Cluster],$O264,TblClusters[Plateforme],"ROKS")=0),"Cluster ROKS inconnu",IF(AND(OR($G264="À migrer",$G264="À décommissionner"),COUNTIFS(TblClusters[Cluster],$I264,TblClusters[Environnement],$E264)=0),"Environnement ≠ cluster IKS",IF(AND(OR($G264="À migrer",$G264="Migré"),COUNTIFS(TblClusters[Cluster],$O264,TblClusters[Environnement],$E264)=0),"Environnement ≠ cluster ROKS",IF(AND($G264="À migrer",OR($U264&gt;$V264,$V264&gt;$W264)),"Dates incohérentes (prov ≤ bascule ≤ libération)",IF(AND(OR($G264="À migrer",$G264="À décommissionner"),OR(N($AO264)&gt;SUMIFS(TblClusters[CPU initial (vCPU)],TblClusters[Cluster],$I264),N($AP264)&gt;SUMIFS(TblClusters[RAM initiale (Go)],TblClusters[Cluster],$I264))),"Forçage &gt; capacité du cluster source",IF(OR(AND($AA264&lt;&gt;"",$AA264&lt;p_debut),AND($AB264&lt;&gt;"",$AB264&gt;p_fin)),"Hors horizon (info)",IF(AND($G264="À migrer",$E264="PRD",COUNTIFS(TblApplications[ID],$C264,TblApplications[Environnement],"NPRD",TblApplications[Action],"À migrer")&gt;0,$AA264&lt;_xlfn.MINIFS(TblApplications[Mois prov (calc)],TblApplications[ID],$C264,TblApplications[Environnement],"NPRD")),"PRD avant NPRD (info)","OK")))))))))))))))))))))</f>
        <v/>
      </c>
      <c r="AH264" s="62"/>
      <c r="AI264" s="62"/>
      <c r="AJ264" s="27" t="str">
        <f>IF(OR($C264="",NOT(OR($G264="À migrer",$G264="À décommissionner")),NOT(ISNUMBER($S264)),NOT(ISNUMBER($T264)),$AB264=""),"",($S264+p_poidsram*$T264)*SUMIFS(TblCalculs[Coût par unité],TblCalculs[Cluster],$I264,TblCalculs[Mois],"&lt;"&amp;$AB264))</f>
        <v/>
      </c>
      <c r="AK264" s="27" t="str">
        <f>IF($C264="","",IF(AND($G264="À migrer",$H264="Non",$Y264&lt;&gt;"",$AA264&lt;&gt;""),($Y264+p_poidsram*$Z264)*SUMIFS(TblCalculs[Coût par unité],TblCalculs[Cluster],$O264,TblCalculs[Mois],"&gt;="&amp;$AA264),IF(AND($G264="Migré",$Y264&lt;&gt;""),($Y264+p_poidsram*$Z264)*SUMIFS(TblCalculs[Coût par unité],TblCalculs[Cluster],$O264),"")))</f>
        <v/>
      </c>
      <c r="AL264" s="27" t="str">
        <f t="shared" si="38"/>
        <v/>
      </c>
      <c r="AM264" s="26" t="str">
        <f t="shared" si="39"/>
        <v/>
      </c>
      <c r="AN264" s="26" t="str">
        <f>IF(OR($C264="",$AM264&lt;&gt;1,COUNTIFS($E264,ex_envc,$A264,ex_domc,$B264,ex_tric)=0),"",COUNTIFS($AM$6:$AM264,1,$E$6:$E264,ex_envc,$A$6:$A264,ex_domc,$B$6:$B264,ex_tric))</f>
        <v/>
      </c>
      <c r="AO264" s="63"/>
      <c r="AP264" s="63"/>
      <c r="AQ264" s="63"/>
      <c r="AR264" s="63"/>
    </row>
    <row r="265" spans="1:44" x14ac:dyDescent="0.2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26" t="str">
        <f t="shared" si="32"/>
        <v/>
      </c>
      <c r="O265" s="59"/>
      <c r="P265" s="60" t="str">
        <f>IF($C265="","",IF($AQ265&lt;&gt;"",$AQ265,SUMIFS(TblDynatrace[CPU P95 (vCPU)],TblDynatrace[ID],$C265,TblDynatrace[Environnement],$E265,TblDynatrace[Couloir],$F265)))</f>
        <v/>
      </c>
      <c r="Q265" s="60" t="str">
        <f>IF($C265="","",IF($AR265&lt;&gt;"",$AR265,SUMIFS(TblDynatrace[RAM P95 (Go)],TblDynatrace[ID],$C265,TblDynatrace[Environnement],$E265,TblDynatrace[Couloir],$F265)))</f>
        <v/>
      </c>
      <c r="R265" s="26" t="str">
        <f>IF($C265="","",IFERROR(INDEX(TblDynatrace[Métrique / période],MATCH($C265&amp;"|"&amp;$E265&amp;"|"&amp;$F265,TblDynatrace[Clé],0)),""))</f>
        <v/>
      </c>
      <c r="S265" s="60" t="str">
        <f>IF(OR($C265="",NOT(OR($G265="À migrer",$G265="À décommissionner")),$I265="",NOT(ISNUMBER($P265))),"",IF($AO265&lt;&gt;"",$AO265,IFERROR(SUMIFS(TblClusters[CPU initial (vCPU)],TblClusters[Cluster],$I265)*$P265/(SUMIFS(TblApplications[CPU Dynatrace (vCPU)],TblApplications[Cluster IKS source],$I265,TblApplications[Action],"À migrer")+SUMIFS(TblApplications[CPU Dynatrace (vCPU)],TblApplications[Cluster IKS source],$I265,TblApplications[Action],"À décommissionner")),0)))</f>
        <v/>
      </c>
      <c r="T265" s="60" t="str">
        <f>IF(OR($C265="",NOT(OR($G265="À migrer",$G265="À décommissionner")),$I265="",NOT(ISNUMBER($Q265))),"",IF($AP265&lt;&gt;"",$AP265,IFERROR(SUMIFS(TblClusters[RAM initiale (Go)],TblClusters[Cluster],$I265)*$Q265/(SUMIFS(TblApplications[RAM Dynatrace (Go)],TblApplications[Cluster IKS source],$I265,TblApplications[Action],"À migrer")+SUMIFS(TblApplications[RAM Dynatrace (Go)],TblApplications[Cluster IKS source],$I265,TblApplications[Action],"À décommissionner")),0)))</f>
        <v/>
      </c>
      <c r="U265" s="61"/>
      <c r="V265" s="61"/>
      <c r="W265" s="61"/>
      <c r="X265" s="59"/>
      <c r="Y265" s="26" t="str">
        <f t="shared" si="33"/>
        <v/>
      </c>
      <c r="Z265" s="26" t="str">
        <f t="shared" si="34"/>
        <v/>
      </c>
      <c r="AA265" s="33" t="str">
        <f t="shared" si="35"/>
        <v/>
      </c>
      <c r="AB265" s="33" t="str">
        <f t="shared" si="36"/>
        <v/>
      </c>
      <c r="AC265" s="26" t="str">
        <f t="shared" si="37"/>
        <v/>
      </c>
      <c r="AD265" s="26" t="str">
        <f>IF($C265="","",COUNTIF(TblApplications[ID],$C265))</f>
        <v/>
      </c>
      <c r="AE265" s="33" t="str">
        <f>IF($C265="","",IFERROR(1/(1/_xlfn.MINIFS(TblApplications[Mois prov (calc)],TblApplications[ID],$C265)),""))</f>
        <v/>
      </c>
      <c r="AF265" s="33" t="str">
        <f>IF($C265="","",IFERROR(1/(1/_xlfn.MAXIFS(TblApplications[Mois lib (calc)],TblApplications[ID],$C265)),""))</f>
        <v/>
      </c>
      <c r="AG265" s="26" t="str">
        <f>IF($C265="","",IF(OR(OR($A265="",$B265="",$D265="",$E265="",$F265="",$G265=""),AND($G265="À migrer",OR($H265="",$I265="",$O265="",$U265="",$V265="",$W265="")),AND($G265="Migré",OR($O265="")),AND($G265="À décommissionner",OR($I265="",$W265=""))),"Données manquantes (selon l’action)",IF(AND($G265&lt;&gt;"Migré",$G265&lt;&gt;"À migrer",$G265&lt;&gt;"À décommissionner",$G265&lt;&gt;"Décommissionné"),"Action invalide",IF(COUNTIF(TblDomaines[Domaine],$A265)=0,"Domaine inconnu (référentiel)",IF(COUNTIFS(TblTribes[Tribe],$B265,TblTribes[Domaine de la tribe],$A265)=0,"Tribe inconnue ou hors domaine",IF(AND($G265="À migrer",$H265&lt;&gt;"Oui",$H265&lt;&gt;"Non"),"Valeur Oui/Non invalide (Déjà incluse ROKS)",IF(AND($E265&lt;&gt;"PRD",$E265&lt;&gt;"NPRD"),"Environnement invalide",IF(COUNTIFS(TblApplications[ID],$C265,TblApplications[Environnement],$E265,TblApplications[Couloir],$F265)&gt;1,"Déploiement en doublon (ID + env + couloir)",IF(AND(OR(OR($G265="À migrer",$G265="Migré"),OR($G265="À migrer",$G265="À décommissionner")),N($P265)&lt;=0),"Conso Dynatrace absente (onglet Dynatrace)",IF(OR(AND($P265&lt;&gt;"",NOT(ISNUMBER($P265))),AND($Q265&lt;&gt;"",NOT(ISNUMBER($Q265)))),"Ressource non numérique",IF(MIN(N($P265),N($Q265))&lt;0,"Ressource négative",IF(OR(AND($AH265&lt;&gt;"",OR(NOT(ISNUMBER($AH265)),$AH265&lt;0,$AH265&gt;1)),AND($AI265&lt;&gt;"",OR(NOT(ISNUMBER($AI265)),$AI265&lt;0,$AI265&gt;1))),"Marge spécifique invalide (0–100 %)",IF(OR(AND($U265&lt;&gt;"",NOT(ISNUMBER($U265))),AND($V265&lt;&gt;"",NOT(ISNUMBER($V265))),AND($W265&lt;&gt;"",NOT(ISNUMBER($W265)))),"Mois invalide",IF(AND(OR($G265="À migrer",$G265="À décommissionner"),COUNTIFS(TblClusters[Cluster],$I265,TblClusters[Plateforme],"IKS")=0),"Cluster IKS inconnu",IF(AND(OR($G265="À migrer",$G265="Migré"),COUNTIFS(TblClusters[Cluster],$O265,TblClusters[Plateforme],"ROKS")=0),"Cluster ROKS inconnu",IF(AND(OR($G265="À migrer",$G265="À décommissionner"),COUNTIFS(TblClusters[Cluster],$I265,TblClusters[Environnement],$E265)=0),"Environnement ≠ cluster IKS",IF(AND(OR($G265="À migrer",$G265="Migré"),COUNTIFS(TblClusters[Cluster],$O265,TblClusters[Environnement],$E265)=0),"Environnement ≠ cluster ROKS",IF(AND($G265="À migrer",OR($U265&gt;$V265,$V265&gt;$W265)),"Dates incohérentes (prov ≤ bascule ≤ libération)",IF(AND(OR($G265="À migrer",$G265="À décommissionner"),OR(N($AO265)&gt;SUMIFS(TblClusters[CPU initial (vCPU)],TblClusters[Cluster],$I265),N($AP265)&gt;SUMIFS(TblClusters[RAM initiale (Go)],TblClusters[Cluster],$I265))),"Forçage &gt; capacité du cluster source",IF(OR(AND($AA265&lt;&gt;"",$AA265&lt;p_debut),AND($AB265&lt;&gt;"",$AB265&gt;p_fin)),"Hors horizon (info)",IF(AND($G265="À migrer",$E265="PRD",COUNTIFS(TblApplications[ID],$C265,TblApplications[Environnement],"NPRD",TblApplications[Action],"À migrer")&gt;0,$AA265&lt;_xlfn.MINIFS(TblApplications[Mois prov (calc)],TblApplications[ID],$C265,TblApplications[Environnement],"NPRD")),"PRD avant NPRD (info)","OK")))))))))))))))))))))</f>
        <v/>
      </c>
      <c r="AH265" s="62"/>
      <c r="AI265" s="62"/>
      <c r="AJ265" s="27" t="str">
        <f>IF(OR($C265="",NOT(OR($G265="À migrer",$G265="À décommissionner")),NOT(ISNUMBER($S265)),NOT(ISNUMBER($T265)),$AB265=""),"",($S265+p_poidsram*$T265)*SUMIFS(TblCalculs[Coût par unité],TblCalculs[Cluster],$I265,TblCalculs[Mois],"&lt;"&amp;$AB265))</f>
        <v/>
      </c>
      <c r="AK265" s="27" t="str">
        <f>IF($C265="","",IF(AND($G265="À migrer",$H265="Non",$Y265&lt;&gt;"",$AA265&lt;&gt;""),($Y265+p_poidsram*$Z265)*SUMIFS(TblCalculs[Coût par unité],TblCalculs[Cluster],$O265,TblCalculs[Mois],"&gt;="&amp;$AA265),IF(AND($G265="Migré",$Y265&lt;&gt;""),($Y265+p_poidsram*$Z265)*SUMIFS(TblCalculs[Coût par unité],TblCalculs[Cluster],$O265),"")))</f>
        <v/>
      </c>
      <c r="AL265" s="27" t="str">
        <f t="shared" si="38"/>
        <v/>
      </c>
      <c r="AM265" s="26" t="str">
        <f t="shared" si="39"/>
        <v/>
      </c>
      <c r="AN265" s="26" t="str">
        <f>IF(OR($C265="",$AM265&lt;&gt;1,COUNTIFS($E265,ex_envc,$A265,ex_domc,$B265,ex_tric)=0),"",COUNTIFS($AM$6:$AM265,1,$E$6:$E265,ex_envc,$A$6:$A265,ex_domc,$B$6:$B265,ex_tric))</f>
        <v/>
      </c>
      <c r="AO265" s="63"/>
      <c r="AP265" s="63"/>
      <c r="AQ265" s="63"/>
      <c r="AR265" s="63"/>
    </row>
    <row r="266" spans="1:44" x14ac:dyDescent="0.2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26" t="str">
        <f t="shared" si="32"/>
        <v/>
      </c>
      <c r="O266" s="59"/>
      <c r="P266" s="60" t="str">
        <f>IF($C266="","",IF($AQ266&lt;&gt;"",$AQ266,SUMIFS(TblDynatrace[CPU P95 (vCPU)],TblDynatrace[ID],$C266,TblDynatrace[Environnement],$E266,TblDynatrace[Couloir],$F266)))</f>
        <v/>
      </c>
      <c r="Q266" s="60" t="str">
        <f>IF($C266="","",IF($AR266&lt;&gt;"",$AR266,SUMIFS(TblDynatrace[RAM P95 (Go)],TblDynatrace[ID],$C266,TblDynatrace[Environnement],$E266,TblDynatrace[Couloir],$F266)))</f>
        <v/>
      </c>
      <c r="R266" s="26" t="str">
        <f>IF($C266="","",IFERROR(INDEX(TblDynatrace[Métrique / période],MATCH($C266&amp;"|"&amp;$E266&amp;"|"&amp;$F266,TblDynatrace[Clé],0)),""))</f>
        <v/>
      </c>
      <c r="S266" s="60" t="str">
        <f>IF(OR($C266="",NOT(OR($G266="À migrer",$G266="À décommissionner")),$I266="",NOT(ISNUMBER($P266))),"",IF($AO266&lt;&gt;"",$AO266,IFERROR(SUMIFS(TblClusters[CPU initial (vCPU)],TblClusters[Cluster],$I266)*$P266/(SUMIFS(TblApplications[CPU Dynatrace (vCPU)],TblApplications[Cluster IKS source],$I266,TblApplications[Action],"À migrer")+SUMIFS(TblApplications[CPU Dynatrace (vCPU)],TblApplications[Cluster IKS source],$I266,TblApplications[Action],"À décommissionner")),0)))</f>
        <v/>
      </c>
      <c r="T266" s="60" t="str">
        <f>IF(OR($C266="",NOT(OR($G266="À migrer",$G266="À décommissionner")),$I266="",NOT(ISNUMBER($Q266))),"",IF($AP266&lt;&gt;"",$AP266,IFERROR(SUMIFS(TblClusters[RAM initiale (Go)],TblClusters[Cluster],$I266)*$Q266/(SUMIFS(TblApplications[RAM Dynatrace (Go)],TblApplications[Cluster IKS source],$I266,TblApplications[Action],"À migrer")+SUMIFS(TblApplications[RAM Dynatrace (Go)],TblApplications[Cluster IKS source],$I266,TblApplications[Action],"À décommissionner")),0)))</f>
        <v/>
      </c>
      <c r="U266" s="61"/>
      <c r="V266" s="61"/>
      <c r="W266" s="61"/>
      <c r="X266" s="59"/>
      <c r="Y266" s="26" t="str">
        <f t="shared" si="33"/>
        <v/>
      </c>
      <c r="Z266" s="26" t="str">
        <f t="shared" si="34"/>
        <v/>
      </c>
      <c r="AA266" s="33" t="str">
        <f t="shared" si="35"/>
        <v/>
      </c>
      <c r="AB266" s="33" t="str">
        <f t="shared" si="36"/>
        <v/>
      </c>
      <c r="AC266" s="26" t="str">
        <f t="shared" si="37"/>
        <v/>
      </c>
      <c r="AD266" s="26" t="str">
        <f>IF($C266="","",COUNTIF(TblApplications[ID],$C266))</f>
        <v/>
      </c>
      <c r="AE266" s="33" t="str">
        <f>IF($C266="","",IFERROR(1/(1/_xlfn.MINIFS(TblApplications[Mois prov (calc)],TblApplications[ID],$C266)),""))</f>
        <v/>
      </c>
      <c r="AF266" s="33" t="str">
        <f>IF($C266="","",IFERROR(1/(1/_xlfn.MAXIFS(TblApplications[Mois lib (calc)],TblApplications[ID],$C266)),""))</f>
        <v/>
      </c>
      <c r="AG266" s="26" t="str">
        <f>IF($C266="","",IF(OR(OR($A266="",$B266="",$D266="",$E266="",$F266="",$G266=""),AND($G266="À migrer",OR($H266="",$I266="",$O266="",$U266="",$V266="",$W266="")),AND($G266="Migré",OR($O266="")),AND($G266="À décommissionner",OR($I266="",$W266=""))),"Données manquantes (selon l’action)",IF(AND($G266&lt;&gt;"Migré",$G266&lt;&gt;"À migrer",$G266&lt;&gt;"À décommissionner",$G266&lt;&gt;"Décommissionné"),"Action invalide",IF(COUNTIF(TblDomaines[Domaine],$A266)=0,"Domaine inconnu (référentiel)",IF(COUNTIFS(TblTribes[Tribe],$B266,TblTribes[Domaine de la tribe],$A266)=0,"Tribe inconnue ou hors domaine",IF(AND($G266="À migrer",$H266&lt;&gt;"Oui",$H266&lt;&gt;"Non"),"Valeur Oui/Non invalide (Déjà incluse ROKS)",IF(AND($E266&lt;&gt;"PRD",$E266&lt;&gt;"NPRD"),"Environnement invalide",IF(COUNTIFS(TblApplications[ID],$C266,TblApplications[Environnement],$E266,TblApplications[Couloir],$F266)&gt;1,"Déploiement en doublon (ID + env + couloir)",IF(AND(OR(OR($G266="À migrer",$G266="Migré"),OR($G266="À migrer",$G266="À décommissionner")),N($P266)&lt;=0),"Conso Dynatrace absente (onglet Dynatrace)",IF(OR(AND($P266&lt;&gt;"",NOT(ISNUMBER($P266))),AND($Q266&lt;&gt;"",NOT(ISNUMBER($Q266)))),"Ressource non numérique",IF(MIN(N($P266),N($Q266))&lt;0,"Ressource négative",IF(OR(AND($AH266&lt;&gt;"",OR(NOT(ISNUMBER($AH266)),$AH266&lt;0,$AH266&gt;1)),AND($AI266&lt;&gt;"",OR(NOT(ISNUMBER($AI266)),$AI266&lt;0,$AI266&gt;1))),"Marge spécifique invalide (0–100 %)",IF(OR(AND($U266&lt;&gt;"",NOT(ISNUMBER($U266))),AND($V266&lt;&gt;"",NOT(ISNUMBER($V266))),AND($W266&lt;&gt;"",NOT(ISNUMBER($W266)))),"Mois invalide",IF(AND(OR($G266="À migrer",$G266="À décommissionner"),COUNTIFS(TblClusters[Cluster],$I266,TblClusters[Plateforme],"IKS")=0),"Cluster IKS inconnu",IF(AND(OR($G266="À migrer",$G266="Migré"),COUNTIFS(TblClusters[Cluster],$O266,TblClusters[Plateforme],"ROKS")=0),"Cluster ROKS inconnu",IF(AND(OR($G266="À migrer",$G266="À décommissionner"),COUNTIFS(TblClusters[Cluster],$I266,TblClusters[Environnement],$E266)=0),"Environnement ≠ cluster IKS",IF(AND(OR($G266="À migrer",$G266="Migré"),COUNTIFS(TblClusters[Cluster],$O266,TblClusters[Environnement],$E266)=0),"Environnement ≠ cluster ROKS",IF(AND($G266="À migrer",OR($U266&gt;$V266,$V266&gt;$W266)),"Dates incohérentes (prov ≤ bascule ≤ libération)",IF(AND(OR($G266="À migrer",$G266="À décommissionner"),OR(N($AO266)&gt;SUMIFS(TblClusters[CPU initial (vCPU)],TblClusters[Cluster],$I266),N($AP266)&gt;SUMIFS(TblClusters[RAM initiale (Go)],TblClusters[Cluster],$I266))),"Forçage &gt; capacité du cluster source",IF(OR(AND($AA266&lt;&gt;"",$AA266&lt;p_debut),AND($AB266&lt;&gt;"",$AB266&gt;p_fin)),"Hors horizon (info)",IF(AND($G266="À migrer",$E266="PRD",COUNTIFS(TblApplications[ID],$C266,TblApplications[Environnement],"NPRD",TblApplications[Action],"À migrer")&gt;0,$AA266&lt;_xlfn.MINIFS(TblApplications[Mois prov (calc)],TblApplications[ID],$C266,TblApplications[Environnement],"NPRD")),"PRD avant NPRD (info)","OK")))))))))))))))))))))</f>
        <v/>
      </c>
      <c r="AH266" s="62"/>
      <c r="AI266" s="62"/>
      <c r="AJ266" s="27" t="str">
        <f>IF(OR($C266="",NOT(OR($G266="À migrer",$G266="À décommissionner")),NOT(ISNUMBER($S266)),NOT(ISNUMBER($T266)),$AB266=""),"",($S266+p_poidsram*$T266)*SUMIFS(TblCalculs[Coût par unité],TblCalculs[Cluster],$I266,TblCalculs[Mois],"&lt;"&amp;$AB266))</f>
        <v/>
      </c>
      <c r="AK266" s="27" t="str">
        <f>IF($C266="","",IF(AND($G266="À migrer",$H266="Non",$Y266&lt;&gt;"",$AA266&lt;&gt;""),($Y266+p_poidsram*$Z266)*SUMIFS(TblCalculs[Coût par unité],TblCalculs[Cluster],$O266,TblCalculs[Mois],"&gt;="&amp;$AA266),IF(AND($G266="Migré",$Y266&lt;&gt;""),($Y266+p_poidsram*$Z266)*SUMIFS(TblCalculs[Coût par unité],TblCalculs[Cluster],$O266),"")))</f>
        <v/>
      </c>
      <c r="AL266" s="27" t="str">
        <f t="shared" si="38"/>
        <v/>
      </c>
      <c r="AM266" s="26" t="str">
        <f t="shared" si="39"/>
        <v/>
      </c>
      <c r="AN266" s="26" t="str">
        <f>IF(OR($C266="",$AM266&lt;&gt;1,COUNTIFS($E266,ex_envc,$A266,ex_domc,$B266,ex_tric)=0),"",COUNTIFS($AM$6:$AM266,1,$E$6:$E266,ex_envc,$A$6:$A266,ex_domc,$B$6:$B266,ex_tric))</f>
        <v/>
      </c>
      <c r="AO266" s="63"/>
      <c r="AP266" s="63"/>
      <c r="AQ266" s="63"/>
      <c r="AR266" s="63"/>
    </row>
    <row r="267" spans="1:44" x14ac:dyDescent="0.2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26" t="str">
        <f t="shared" si="32"/>
        <v/>
      </c>
      <c r="O267" s="59"/>
      <c r="P267" s="60" t="str">
        <f>IF($C267="","",IF($AQ267&lt;&gt;"",$AQ267,SUMIFS(TblDynatrace[CPU P95 (vCPU)],TblDynatrace[ID],$C267,TblDynatrace[Environnement],$E267,TblDynatrace[Couloir],$F267)))</f>
        <v/>
      </c>
      <c r="Q267" s="60" t="str">
        <f>IF($C267="","",IF($AR267&lt;&gt;"",$AR267,SUMIFS(TblDynatrace[RAM P95 (Go)],TblDynatrace[ID],$C267,TblDynatrace[Environnement],$E267,TblDynatrace[Couloir],$F267)))</f>
        <v/>
      </c>
      <c r="R267" s="26" t="str">
        <f>IF($C267="","",IFERROR(INDEX(TblDynatrace[Métrique / période],MATCH($C267&amp;"|"&amp;$E267&amp;"|"&amp;$F267,TblDynatrace[Clé],0)),""))</f>
        <v/>
      </c>
      <c r="S267" s="60" t="str">
        <f>IF(OR($C267="",NOT(OR($G267="À migrer",$G267="À décommissionner")),$I267="",NOT(ISNUMBER($P267))),"",IF($AO267&lt;&gt;"",$AO267,IFERROR(SUMIFS(TblClusters[CPU initial (vCPU)],TblClusters[Cluster],$I267)*$P267/(SUMIFS(TblApplications[CPU Dynatrace (vCPU)],TblApplications[Cluster IKS source],$I267,TblApplications[Action],"À migrer")+SUMIFS(TblApplications[CPU Dynatrace (vCPU)],TblApplications[Cluster IKS source],$I267,TblApplications[Action],"À décommissionner")),0)))</f>
        <v/>
      </c>
      <c r="T267" s="60" t="str">
        <f>IF(OR($C267="",NOT(OR($G267="À migrer",$G267="À décommissionner")),$I267="",NOT(ISNUMBER($Q267))),"",IF($AP267&lt;&gt;"",$AP267,IFERROR(SUMIFS(TblClusters[RAM initiale (Go)],TblClusters[Cluster],$I267)*$Q267/(SUMIFS(TblApplications[RAM Dynatrace (Go)],TblApplications[Cluster IKS source],$I267,TblApplications[Action],"À migrer")+SUMIFS(TblApplications[RAM Dynatrace (Go)],TblApplications[Cluster IKS source],$I267,TblApplications[Action],"À décommissionner")),0)))</f>
        <v/>
      </c>
      <c r="U267" s="61"/>
      <c r="V267" s="61"/>
      <c r="W267" s="61"/>
      <c r="X267" s="59"/>
      <c r="Y267" s="26" t="str">
        <f t="shared" si="33"/>
        <v/>
      </c>
      <c r="Z267" s="26" t="str">
        <f t="shared" si="34"/>
        <v/>
      </c>
      <c r="AA267" s="33" t="str">
        <f t="shared" si="35"/>
        <v/>
      </c>
      <c r="AB267" s="33" t="str">
        <f t="shared" si="36"/>
        <v/>
      </c>
      <c r="AC267" s="26" t="str">
        <f t="shared" si="37"/>
        <v/>
      </c>
      <c r="AD267" s="26" t="str">
        <f>IF($C267="","",COUNTIF(TblApplications[ID],$C267))</f>
        <v/>
      </c>
      <c r="AE267" s="33" t="str">
        <f>IF($C267="","",IFERROR(1/(1/_xlfn.MINIFS(TblApplications[Mois prov (calc)],TblApplications[ID],$C267)),""))</f>
        <v/>
      </c>
      <c r="AF267" s="33" t="str">
        <f>IF($C267="","",IFERROR(1/(1/_xlfn.MAXIFS(TblApplications[Mois lib (calc)],TblApplications[ID],$C267)),""))</f>
        <v/>
      </c>
      <c r="AG267" s="26" t="str">
        <f>IF($C267="","",IF(OR(OR($A267="",$B267="",$D267="",$E267="",$F267="",$G267=""),AND($G267="À migrer",OR($H267="",$I267="",$O267="",$U267="",$V267="",$W267="")),AND($G267="Migré",OR($O267="")),AND($G267="À décommissionner",OR($I267="",$W267=""))),"Données manquantes (selon l’action)",IF(AND($G267&lt;&gt;"Migré",$G267&lt;&gt;"À migrer",$G267&lt;&gt;"À décommissionner",$G267&lt;&gt;"Décommissionné"),"Action invalide",IF(COUNTIF(TblDomaines[Domaine],$A267)=0,"Domaine inconnu (référentiel)",IF(COUNTIFS(TblTribes[Tribe],$B267,TblTribes[Domaine de la tribe],$A267)=0,"Tribe inconnue ou hors domaine",IF(AND($G267="À migrer",$H267&lt;&gt;"Oui",$H267&lt;&gt;"Non"),"Valeur Oui/Non invalide (Déjà incluse ROKS)",IF(AND($E267&lt;&gt;"PRD",$E267&lt;&gt;"NPRD"),"Environnement invalide",IF(COUNTIFS(TblApplications[ID],$C267,TblApplications[Environnement],$E267,TblApplications[Couloir],$F267)&gt;1,"Déploiement en doublon (ID + env + couloir)",IF(AND(OR(OR($G267="À migrer",$G267="Migré"),OR($G267="À migrer",$G267="À décommissionner")),N($P267)&lt;=0),"Conso Dynatrace absente (onglet Dynatrace)",IF(OR(AND($P267&lt;&gt;"",NOT(ISNUMBER($P267))),AND($Q267&lt;&gt;"",NOT(ISNUMBER($Q267)))),"Ressource non numérique",IF(MIN(N($P267),N($Q267))&lt;0,"Ressource négative",IF(OR(AND($AH267&lt;&gt;"",OR(NOT(ISNUMBER($AH267)),$AH267&lt;0,$AH267&gt;1)),AND($AI267&lt;&gt;"",OR(NOT(ISNUMBER($AI267)),$AI267&lt;0,$AI267&gt;1))),"Marge spécifique invalide (0–100 %)",IF(OR(AND($U267&lt;&gt;"",NOT(ISNUMBER($U267))),AND($V267&lt;&gt;"",NOT(ISNUMBER($V267))),AND($W267&lt;&gt;"",NOT(ISNUMBER($W267)))),"Mois invalide",IF(AND(OR($G267="À migrer",$G267="À décommissionner"),COUNTIFS(TblClusters[Cluster],$I267,TblClusters[Plateforme],"IKS")=0),"Cluster IKS inconnu",IF(AND(OR($G267="À migrer",$G267="Migré"),COUNTIFS(TblClusters[Cluster],$O267,TblClusters[Plateforme],"ROKS")=0),"Cluster ROKS inconnu",IF(AND(OR($G267="À migrer",$G267="À décommissionner"),COUNTIFS(TblClusters[Cluster],$I267,TblClusters[Environnement],$E267)=0),"Environnement ≠ cluster IKS",IF(AND(OR($G267="À migrer",$G267="Migré"),COUNTIFS(TblClusters[Cluster],$O267,TblClusters[Environnement],$E267)=0),"Environnement ≠ cluster ROKS",IF(AND($G267="À migrer",OR($U267&gt;$V267,$V267&gt;$W267)),"Dates incohérentes (prov ≤ bascule ≤ libération)",IF(AND(OR($G267="À migrer",$G267="À décommissionner"),OR(N($AO267)&gt;SUMIFS(TblClusters[CPU initial (vCPU)],TblClusters[Cluster],$I267),N($AP267)&gt;SUMIFS(TblClusters[RAM initiale (Go)],TblClusters[Cluster],$I267))),"Forçage &gt; capacité du cluster source",IF(OR(AND($AA267&lt;&gt;"",$AA267&lt;p_debut),AND($AB267&lt;&gt;"",$AB267&gt;p_fin)),"Hors horizon (info)",IF(AND($G267="À migrer",$E267="PRD",COUNTIFS(TblApplications[ID],$C267,TblApplications[Environnement],"NPRD",TblApplications[Action],"À migrer")&gt;0,$AA267&lt;_xlfn.MINIFS(TblApplications[Mois prov (calc)],TblApplications[ID],$C267,TblApplications[Environnement],"NPRD")),"PRD avant NPRD (info)","OK")))))))))))))))))))))</f>
        <v/>
      </c>
      <c r="AH267" s="62"/>
      <c r="AI267" s="62"/>
      <c r="AJ267" s="27" t="str">
        <f>IF(OR($C267="",NOT(OR($G267="À migrer",$G267="À décommissionner")),NOT(ISNUMBER($S267)),NOT(ISNUMBER($T267)),$AB267=""),"",($S267+p_poidsram*$T267)*SUMIFS(TblCalculs[Coût par unité],TblCalculs[Cluster],$I267,TblCalculs[Mois],"&lt;"&amp;$AB267))</f>
        <v/>
      </c>
      <c r="AK267" s="27" t="str">
        <f>IF($C267="","",IF(AND($G267="À migrer",$H267="Non",$Y267&lt;&gt;"",$AA267&lt;&gt;""),($Y267+p_poidsram*$Z267)*SUMIFS(TblCalculs[Coût par unité],TblCalculs[Cluster],$O267,TblCalculs[Mois],"&gt;="&amp;$AA267),IF(AND($G267="Migré",$Y267&lt;&gt;""),($Y267+p_poidsram*$Z267)*SUMIFS(TblCalculs[Coût par unité],TblCalculs[Cluster],$O267),"")))</f>
        <v/>
      </c>
      <c r="AL267" s="27" t="str">
        <f t="shared" si="38"/>
        <v/>
      </c>
      <c r="AM267" s="26" t="str">
        <f t="shared" si="39"/>
        <v/>
      </c>
      <c r="AN267" s="26" t="str">
        <f>IF(OR($C267="",$AM267&lt;&gt;1,COUNTIFS($E267,ex_envc,$A267,ex_domc,$B267,ex_tric)=0),"",COUNTIFS($AM$6:$AM267,1,$E$6:$E267,ex_envc,$A$6:$A267,ex_domc,$B$6:$B267,ex_tric))</f>
        <v/>
      </c>
      <c r="AO267" s="63"/>
      <c r="AP267" s="63"/>
      <c r="AQ267" s="63"/>
      <c r="AR267" s="63"/>
    </row>
    <row r="268" spans="1:44" x14ac:dyDescent="0.2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26" t="str">
        <f t="shared" si="32"/>
        <v/>
      </c>
      <c r="O268" s="59"/>
      <c r="P268" s="60" t="str">
        <f>IF($C268="","",IF($AQ268&lt;&gt;"",$AQ268,SUMIFS(TblDynatrace[CPU P95 (vCPU)],TblDynatrace[ID],$C268,TblDynatrace[Environnement],$E268,TblDynatrace[Couloir],$F268)))</f>
        <v/>
      </c>
      <c r="Q268" s="60" t="str">
        <f>IF($C268="","",IF($AR268&lt;&gt;"",$AR268,SUMIFS(TblDynatrace[RAM P95 (Go)],TblDynatrace[ID],$C268,TblDynatrace[Environnement],$E268,TblDynatrace[Couloir],$F268)))</f>
        <v/>
      </c>
      <c r="R268" s="26" t="str">
        <f>IF($C268="","",IFERROR(INDEX(TblDynatrace[Métrique / période],MATCH($C268&amp;"|"&amp;$E268&amp;"|"&amp;$F268,TblDynatrace[Clé],0)),""))</f>
        <v/>
      </c>
      <c r="S268" s="60" t="str">
        <f>IF(OR($C268="",NOT(OR($G268="À migrer",$G268="À décommissionner")),$I268="",NOT(ISNUMBER($P268))),"",IF($AO268&lt;&gt;"",$AO268,IFERROR(SUMIFS(TblClusters[CPU initial (vCPU)],TblClusters[Cluster],$I268)*$P268/(SUMIFS(TblApplications[CPU Dynatrace (vCPU)],TblApplications[Cluster IKS source],$I268,TblApplications[Action],"À migrer")+SUMIFS(TblApplications[CPU Dynatrace (vCPU)],TblApplications[Cluster IKS source],$I268,TblApplications[Action],"À décommissionner")),0)))</f>
        <v/>
      </c>
      <c r="T268" s="60" t="str">
        <f>IF(OR($C268="",NOT(OR($G268="À migrer",$G268="À décommissionner")),$I268="",NOT(ISNUMBER($Q268))),"",IF($AP268&lt;&gt;"",$AP268,IFERROR(SUMIFS(TblClusters[RAM initiale (Go)],TblClusters[Cluster],$I268)*$Q268/(SUMIFS(TblApplications[RAM Dynatrace (Go)],TblApplications[Cluster IKS source],$I268,TblApplications[Action],"À migrer")+SUMIFS(TblApplications[RAM Dynatrace (Go)],TblApplications[Cluster IKS source],$I268,TblApplications[Action],"À décommissionner")),0)))</f>
        <v/>
      </c>
      <c r="U268" s="61"/>
      <c r="V268" s="61"/>
      <c r="W268" s="61"/>
      <c r="X268" s="59"/>
      <c r="Y268" s="26" t="str">
        <f t="shared" si="33"/>
        <v/>
      </c>
      <c r="Z268" s="26" t="str">
        <f t="shared" si="34"/>
        <v/>
      </c>
      <c r="AA268" s="33" t="str">
        <f t="shared" si="35"/>
        <v/>
      </c>
      <c r="AB268" s="33" t="str">
        <f t="shared" si="36"/>
        <v/>
      </c>
      <c r="AC268" s="26" t="str">
        <f t="shared" si="37"/>
        <v/>
      </c>
      <c r="AD268" s="26" t="str">
        <f>IF($C268="","",COUNTIF(TblApplications[ID],$C268))</f>
        <v/>
      </c>
      <c r="AE268" s="33" t="str">
        <f>IF($C268="","",IFERROR(1/(1/_xlfn.MINIFS(TblApplications[Mois prov (calc)],TblApplications[ID],$C268)),""))</f>
        <v/>
      </c>
      <c r="AF268" s="33" t="str">
        <f>IF($C268="","",IFERROR(1/(1/_xlfn.MAXIFS(TblApplications[Mois lib (calc)],TblApplications[ID],$C268)),""))</f>
        <v/>
      </c>
      <c r="AG268" s="26" t="str">
        <f>IF($C268="","",IF(OR(OR($A268="",$B268="",$D268="",$E268="",$F268="",$G268=""),AND($G268="À migrer",OR($H268="",$I268="",$O268="",$U268="",$V268="",$W268="")),AND($G268="Migré",OR($O268="")),AND($G268="À décommissionner",OR($I268="",$W268=""))),"Données manquantes (selon l’action)",IF(AND($G268&lt;&gt;"Migré",$G268&lt;&gt;"À migrer",$G268&lt;&gt;"À décommissionner",$G268&lt;&gt;"Décommissionné"),"Action invalide",IF(COUNTIF(TblDomaines[Domaine],$A268)=0,"Domaine inconnu (référentiel)",IF(COUNTIFS(TblTribes[Tribe],$B268,TblTribes[Domaine de la tribe],$A268)=0,"Tribe inconnue ou hors domaine",IF(AND($G268="À migrer",$H268&lt;&gt;"Oui",$H268&lt;&gt;"Non"),"Valeur Oui/Non invalide (Déjà incluse ROKS)",IF(AND($E268&lt;&gt;"PRD",$E268&lt;&gt;"NPRD"),"Environnement invalide",IF(COUNTIFS(TblApplications[ID],$C268,TblApplications[Environnement],$E268,TblApplications[Couloir],$F268)&gt;1,"Déploiement en doublon (ID + env + couloir)",IF(AND(OR(OR($G268="À migrer",$G268="Migré"),OR($G268="À migrer",$G268="À décommissionner")),N($P268)&lt;=0),"Conso Dynatrace absente (onglet Dynatrace)",IF(OR(AND($P268&lt;&gt;"",NOT(ISNUMBER($P268))),AND($Q268&lt;&gt;"",NOT(ISNUMBER($Q268)))),"Ressource non numérique",IF(MIN(N($P268),N($Q268))&lt;0,"Ressource négative",IF(OR(AND($AH268&lt;&gt;"",OR(NOT(ISNUMBER($AH268)),$AH268&lt;0,$AH268&gt;1)),AND($AI268&lt;&gt;"",OR(NOT(ISNUMBER($AI268)),$AI268&lt;0,$AI268&gt;1))),"Marge spécifique invalide (0–100 %)",IF(OR(AND($U268&lt;&gt;"",NOT(ISNUMBER($U268))),AND($V268&lt;&gt;"",NOT(ISNUMBER($V268))),AND($W268&lt;&gt;"",NOT(ISNUMBER($W268)))),"Mois invalide",IF(AND(OR($G268="À migrer",$G268="À décommissionner"),COUNTIFS(TblClusters[Cluster],$I268,TblClusters[Plateforme],"IKS")=0),"Cluster IKS inconnu",IF(AND(OR($G268="À migrer",$G268="Migré"),COUNTIFS(TblClusters[Cluster],$O268,TblClusters[Plateforme],"ROKS")=0),"Cluster ROKS inconnu",IF(AND(OR($G268="À migrer",$G268="À décommissionner"),COUNTIFS(TblClusters[Cluster],$I268,TblClusters[Environnement],$E268)=0),"Environnement ≠ cluster IKS",IF(AND(OR($G268="À migrer",$G268="Migré"),COUNTIFS(TblClusters[Cluster],$O268,TblClusters[Environnement],$E268)=0),"Environnement ≠ cluster ROKS",IF(AND($G268="À migrer",OR($U268&gt;$V268,$V268&gt;$W268)),"Dates incohérentes (prov ≤ bascule ≤ libération)",IF(AND(OR($G268="À migrer",$G268="À décommissionner"),OR(N($AO268)&gt;SUMIFS(TblClusters[CPU initial (vCPU)],TblClusters[Cluster],$I268),N($AP268)&gt;SUMIFS(TblClusters[RAM initiale (Go)],TblClusters[Cluster],$I268))),"Forçage &gt; capacité du cluster source",IF(OR(AND($AA268&lt;&gt;"",$AA268&lt;p_debut),AND($AB268&lt;&gt;"",$AB268&gt;p_fin)),"Hors horizon (info)",IF(AND($G268="À migrer",$E268="PRD",COUNTIFS(TblApplications[ID],$C268,TblApplications[Environnement],"NPRD",TblApplications[Action],"À migrer")&gt;0,$AA268&lt;_xlfn.MINIFS(TblApplications[Mois prov (calc)],TblApplications[ID],$C268,TblApplications[Environnement],"NPRD")),"PRD avant NPRD (info)","OK")))))))))))))))))))))</f>
        <v/>
      </c>
      <c r="AH268" s="62"/>
      <c r="AI268" s="62"/>
      <c r="AJ268" s="27" t="str">
        <f>IF(OR($C268="",NOT(OR($G268="À migrer",$G268="À décommissionner")),NOT(ISNUMBER($S268)),NOT(ISNUMBER($T268)),$AB268=""),"",($S268+p_poidsram*$T268)*SUMIFS(TblCalculs[Coût par unité],TblCalculs[Cluster],$I268,TblCalculs[Mois],"&lt;"&amp;$AB268))</f>
        <v/>
      </c>
      <c r="AK268" s="27" t="str">
        <f>IF($C268="","",IF(AND($G268="À migrer",$H268="Non",$Y268&lt;&gt;"",$AA268&lt;&gt;""),($Y268+p_poidsram*$Z268)*SUMIFS(TblCalculs[Coût par unité],TblCalculs[Cluster],$O268,TblCalculs[Mois],"&gt;="&amp;$AA268),IF(AND($G268="Migré",$Y268&lt;&gt;""),($Y268+p_poidsram*$Z268)*SUMIFS(TblCalculs[Coût par unité],TblCalculs[Cluster],$O268),"")))</f>
        <v/>
      </c>
      <c r="AL268" s="27" t="str">
        <f t="shared" si="38"/>
        <v/>
      </c>
      <c r="AM268" s="26" t="str">
        <f t="shared" si="39"/>
        <v/>
      </c>
      <c r="AN268" s="26" t="str">
        <f>IF(OR($C268="",$AM268&lt;&gt;1,COUNTIFS($E268,ex_envc,$A268,ex_domc,$B268,ex_tric)=0),"",COUNTIFS($AM$6:$AM268,1,$E$6:$E268,ex_envc,$A$6:$A268,ex_domc,$B$6:$B268,ex_tric))</f>
        <v/>
      </c>
      <c r="AO268" s="63"/>
      <c r="AP268" s="63"/>
      <c r="AQ268" s="63"/>
      <c r="AR268" s="63"/>
    </row>
    <row r="269" spans="1:44" x14ac:dyDescent="0.2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26" t="str">
        <f t="shared" si="32"/>
        <v/>
      </c>
      <c r="O269" s="59"/>
      <c r="P269" s="60" t="str">
        <f>IF($C269="","",IF($AQ269&lt;&gt;"",$AQ269,SUMIFS(TblDynatrace[CPU P95 (vCPU)],TblDynatrace[ID],$C269,TblDynatrace[Environnement],$E269,TblDynatrace[Couloir],$F269)))</f>
        <v/>
      </c>
      <c r="Q269" s="60" t="str">
        <f>IF($C269="","",IF($AR269&lt;&gt;"",$AR269,SUMIFS(TblDynatrace[RAM P95 (Go)],TblDynatrace[ID],$C269,TblDynatrace[Environnement],$E269,TblDynatrace[Couloir],$F269)))</f>
        <v/>
      </c>
      <c r="R269" s="26" t="str">
        <f>IF($C269="","",IFERROR(INDEX(TblDynatrace[Métrique / période],MATCH($C269&amp;"|"&amp;$E269&amp;"|"&amp;$F269,TblDynatrace[Clé],0)),""))</f>
        <v/>
      </c>
      <c r="S269" s="60" t="str">
        <f>IF(OR($C269="",NOT(OR($G269="À migrer",$G269="À décommissionner")),$I269="",NOT(ISNUMBER($P269))),"",IF($AO269&lt;&gt;"",$AO269,IFERROR(SUMIFS(TblClusters[CPU initial (vCPU)],TblClusters[Cluster],$I269)*$P269/(SUMIFS(TblApplications[CPU Dynatrace (vCPU)],TblApplications[Cluster IKS source],$I269,TblApplications[Action],"À migrer")+SUMIFS(TblApplications[CPU Dynatrace (vCPU)],TblApplications[Cluster IKS source],$I269,TblApplications[Action],"À décommissionner")),0)))</f>
        <v/>
      </c>
      <c r="T269" s="60" t="str">
        <f>IF(OR($C269="",NOT(OR($G269="À migrer",$G269="À décommissionner")),$I269="",NOT(ISNUMBER($Q269))),"",IF($AP269&lt;&gt;"",$AP269,IFERROR(SUMIFS(TblClusters[RAM initiale (Go)],TblClusters[Cluster],$I269)*$Q269/(SUMIFS(TblApplications[RAM Dynatrace (Go)],TblApplications[Cluster IKS source],$I269,TblApplications[Action],"À migrer")+SUMIFS(TblApplications[RAM Dynatrace (Go)],TblApplications[Cluster IKS source],$I269,TblApplications[Action],"À décommissionner")),0)))</f>
        <v/>
      </c>
      <c r="U269" s="61"/>
      <c r="V269" s="61"/>
      <c r="W269" s="61"/>
      <c r="X269" s="59"/>
      <c r="Y269" s="26" t="str">
        <f t="shared" si="33"/>
        <v/>
      </c>
      <c r="Z269" s="26" t="str">
        <f t="shared" si="34"/>
        <v/>
      </c>
      <c r="AA269" s="33" t="str">
        <f t="shared" si="35"/>
        <v/>
      </c>
      <c r="AB269" s="33" t="str">
        <f t="shared" si="36"/>
        <v/>
      </c>
      <c r="AC269" s="26" t="str">
        <f t="shared" si="37"/>
        <v/>
      </c>
      <c r="AD269" s="26" t="str">
        <f>IF($C269="","",COUNTIF(TblApplications[ID],$C269))</f>
        <v/>
      </c>
      <c r="AE269" s="33" t="str">
        <f>IF($C269="","",IFERROR(1/(1/_xlfn.MINIFS(TblApplications[Mois prov (calc)],TblApplications[ID],$C269)),""))</f>
        <v/>
      </c>
      <c r="AF269" s="33" t="str">
        <f>IF($C269="","",IFERROR(1/(1/_xlfn.MAXIFS(TblApplications[Mois lib (calc)],TblApplications[ID],$C269)),""))</f>
        <v/>
      </c>
      <c r="AG269" s="26" t="str">
        <f>IF($C269="","",IF(OR(OR($A269="",$B269="",$D269="",$E269="",$F269="",$G269=""),AND($G269="À migrer",OR($H269="",$I269="",$O269="",$U269="",$V269="",$W269="")),AND($G269="Migré",OR($O269="")),AND($G269="À décommissionner",OR($I269="",$W269=""))),"Données manquantes (selon l’action)",IF(AND($G269&lt;&gt;"Migré",$G269&lt;&gt;"À migrer",$G269&lt;&gt;"À décommissionner",$G269&lt;&gt;"Décommissionné"),"Action invalide",IF(COUNTIF(TblDomaines[Domaine],$A269)=0,"Domaine inconnu (référentiel)",IF(COUNTIFS(TblTribes[Tribe],$B269,TblTribes[Domaine de la tribe],$A269)=0,"Tribe inconnue ou hors domaine",IF(AND($G269="À migrer",$H269&lt;&gt;"Oui",$H269&lt;&gt;"Non"),"Valeur Oui/Non invalide (Déjà incluse ROKS)",IF(AND($E269&lt;&gt;"PRD",$E269&lt;&gt;"NPRD"),"Environnement invalide",IF(COUNTIFS(TblApplications[ID],$C269,TblApplications[Environnement],$E269,TblApplications[Couloir],$F269)&gt;1,"Déploiement en doublon (ID + env + couloir)",IF(AND(OR(OR($G269="À migrer",$G269="Migré"),OR($G269="À migrer",$G269="À décommissionner")),N($P269)&lt;=0),"Conso Dynatrace absente (onglet Dynatrace)",IF(OR(AND($P269&lt;&gt;"",NOT(ISNUMBER($P269))),AND($Q269&lt;&gt;"",NOT(ISNUMBER($Q269)))),"Ressource non numérique",IF(MIN(N($P269),N($Q269))&lt;0,"Ressource négative",IF(OR(AND($AH269&lt;&gt;"",OR(NOT(ISNUMBER($AH269)),$AH269&lt;0,$AH269&gt;1)),AND($AI269&lt;&gt;"",OR(NOT(ISNUMBER($AI269)),$AI269&lt;0,$AI269&gt;1))),"Marge spécifique invalide (0–100 %)",IF(OR(AND($U269&lt;&gt;"",NOT(ISNUMBER($U269))),AND($V269&lt;&gt;"",NOT(ISNUMBER($V269))),AND($W269&lt;&gt;"",NOT(ISNUMBER($W269)))),"Mois invalide",IF(AND(OR($G269="À migrer",$G269="À décommissionner"),COUNTIFS(TblClusters[Cluster],$I269,TblClusters[Plateforme],"IKS")=0),"Cluster IKS inconnu",IF(AND(OR($G269="À migrer",$G269="Migré"),COUNTIFS(TblClusters[Cluster],$O269,TblClusters[Plateforme],"ROKS")=0),"Cluster ROKS inconnu",IF(AND(OR($G269="À migrer",$G269="À décommissionner"),COUNTIFS(TblClusters[Cluster],$I269,TblClusters[Environnement],$E269)=0),"Environnement ≠ cluster IKS",IF(AND(OR($G269="À migrer",$G269="Migré"),COUNTIFS(TblClusters[Cluster],$O269,TblClusters[Environnement],$E269)=0),"Environnement ≠ cluster ROKS",IF(AND($G269="À migrer",OR($U269&gt;$V269,$V269&gt;$W269)),"Dates incohérentes (prov ≤ bascule ≤ libération)",IF(AND(OR($G269="À migrer",$G269="À décommissionner"),OR(N($AO269)&gt;SUMIFS(TblClusters[CPU initial (vCPU)],TblClusters[Cluster],$I269),N($AP269)&gt;SUMIFS(TblClusters[RAM initiale (Go)],TblClusters[Cluster],$I269))),"Forçage &gt; capacité du cluster source",IF(OR(AND($AA269&lt;&gt;"",$AA269&lt;p_debut),AND($AB269&lt;&gt;"",$AB269&gt;p_fin)),"Hors horizon (info)",IF(AND($G269="À migrer",$E269="PRD",COUNTIFS(TblApplications[ID],$C269,TblApplications[Environnement],"NPRD",TblApplications[Action],"À migrer")&gt;0,$AA269&lt;_xlfn.MINIFS(TblApplications[Mois prov (calc)],TblApplications[ID],$C269,TblApplications[Environnement],"NPRD")),"PRD avant NPRD (info)","OK")))))))))))))))))))))</f>
        <v/>
      </c>
      <c r="AH269" s="62"/>
      <c r="AI269" s="62"/>
      <c r="AJ269" s="27" t="str">
        <f>IF(OR($C269="",NOT(OR($G269="À migrer",$G269="À décommissionner")),NOT(ISNUMBER($S269)),NOT(ISNUMBER($T269)),$AB269=""),"",($S269+p_poidsram*$T269)*SUMIFS(TblCalculs[Coût par unité],TblCalculs[Cluster],$I269,TblCalculs[Mois],"&lt;"&amp;$AB269))</f>
        <v/>
      </c>
      <c r="AK269" s="27" t="str">
        <f>IF($C269="","",IF(AND($G269="À migrer",$H269="Non",$Y269&lt;&gt;"",$AA269&lt;&gt;""),($Y269+p_poidsram*$Z269)*SUMIFS(TblCalculs[Coût par unité],TblCalculs[Cluster],$O269,TblCalculs[Mois],"&gt;="&amp;$AA269),IF(AND($G269="Migré",$Y269&lt;&gt;""),($Y269+p_poidsram*$Z269)*SUMIFS(TblCalculs[Coût par unité],TblCalculs[Cluster],$O269),"")))</f>
        <v/>
      </c>
      <c r="AL269" s="27" t="str">
        <f t="shared" si="38"/>
        <v/>
      </c>
      <c r="AM269" s="26" t="str">
        <f t="shared" si="39"/>
        <v/>
      </c>
      <c r="AN269" s="26" t="str">
        <f>IF(OR($C269="",$AM269&lt;&gt;1,COUNTIFS($E269,ex_envc,$A269,ex_domc,$B269,ex_tric)=0),"",COUNTIFS($AM$6:$AM269,1,$E$6:$E269,ex_envc,$A$6:$A269,ex_domc,$B$6:$B269,ex_tric))</f>
        <v/>
      </c>
      <c r="AO269" s="63"/>
      <c r="AP269" s="63"/>
      <c r="AQ269" s="63"/>
      <c r="AR269" s="63"/>
    </row>
    <row r="270" spans="1:44" x14ac:dyDescent="0.2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26" t="str">
        <f t="shared" si="32"/>
        <v/>
      </c>
      <c r="O270" s="59"/>
      <c r="P270" s="60" t="str">
        <f>IF($C270="","",IF($AQ270&lt;&gt;"",$AQ270,SUMIFS(TblDynatrace[CPU P95 (vCPU)],TblDynatrace[ID],$C270,TblDynatrace[Environnement],$E270,TblDynatrace[Couloir],$F270)))</f>
        <v/>
      </c>
      <c r="Q270" s="60" t="str">
        <f>IF($C270="","",IF($AR270&lt;&gt;"",$AR270,SUMIFS(TblDynatrace[RAM P95 (Go)],TblDynatrace[ID],$C270,TblDynatrace[Environnement],$E270,TblDynatrace[Couloir],$F270)))</f>
        <v/>
      </c>
      <c r="R270" s="26" t="str">
        <f>IF($C270="","",IFERROR(INDEX(TblDynatrace[Métrique / période],MATCH($C270&amp;"|"&amp;$E270&amp;"|"&amp;$F270,TblDynatrace[Clé],0)),""))</f>
        <v/>
      </c>
      <c r="S270" s="60" t="str">
        <f>IF(OR($C270="",NOT(OR($G270="À migrer",$G270="À décommissionner")),$I270="",NOT(ISNUMBER($P270))),"",IF($AO270&lt;&gt;"",$AO270,IFERROR(SUMIFS(TblClusters[CPU initial (vCPU)],TblClusters[Cluster],$I270)*$P270/(SUMIFS(TblApplications[CPU Dynatrace (vCPU)],TblApplications[Cluster IKS source],$I270,TblApplications[Action],"À migrer")+SUMIFS(TblApplications[CPU Dynatrace (vCPU)],TblApplications[Cluster IKS source],$I270,TblApplications[Action],"À décommissionner")),0)))</f>
        <v/>
      </c>
      <c r="T270" s="60" t="str">
        <f>IF(OR($C270="",NOT(OR($G270="À migrer",$G270="À décommissionner")),$I270="",NOT(ISNUMBER($Q270))),"",IF($AP270&lt;&gt;"",$AP270,IFERROR(SUMIFS(TblClusters[RAM initiale (Go)],TblClusters[Cluster],$I270)*$Q270/(SUMIFS(TblApplications[RAM Dynatrace (Go)],TblApplications[Cluster IKS source],$I270,TblApplications[Action],"À migrer")+SUMIFS(TblApplications[RAM Dynatrace (Go)],TblApplications[Cluster IKS source],$I270,TblApplications[Action],"À décommissionner")),0)))</f>
        <v/>
      </c>
      <c r="U270" s="61"/>
      <c r="V270" s="61"/>
      <c r="W270" s="61"/>
      <c r="X270" s="59"/>
      <c r="Y270" s="26" t="str">
        <f t="shared" si="33"/>
        <v/>
      </c>
      <c r="Z270" s="26" t="str">
        <f t="shared" si="34"/>
        <v/>
      </c>
      <c r="AA270" s="33" t="str">
        <f t="shared" si="35"/>
        <v/>
      </c>
      <c r="AB270" s="33" t="str">
        <f t="shared" si="36"/>
        <v/>
      </c>
      <c r="AC270" s="26" t="str">
        <f t="shared" si="37"/>
        <v/>
      </c>
      <c r="AD270" s="26" t="str">
        <f>IF($C270="","",COUNTIF(TblApplications[ID],$C270))</f>
        <v/>
      </c>
      <c r="AE270" s="33" t="str">
        <f>IF($C270="","",IFERROR(1/(1/_xlfn.MINIFS(TblApplications[Mois prov (calc)],TblApplications[ID],$C270)),""))</f>
        <v/>
      </c>
      <c r="AF270" s="33" t="str">
        <f>IF($C270="","",IFERROR(1/(1/_xlfn.MAXIFS(TblApplications[Mois lib (calc)],TblApplications[ID],$C270)),""))</f>
        <v/>
      </c>
      <c r="AG270" s="26" t="str">
        <f>IF($C270="","",IF(OR(OR($A270="",$B270="",$D270="",$E270="",$F270="",$G270=""),AND($G270="À migrer",OR($H270="",$I270="",$O270="",$U270="",$V270="",$W270="")),AND($G270="Migré",OR($O270="")),AND($G270="À décommissionner",OR($I270="",$W270=""))),"Données manquantes (selon l’action)",IF(AND($G270&lt;&gt;"Migré",$G270&lt;&gt;"À migrer",$G270&lt;&gt;"À décommissionner",$G270&lt;&gt;"Décommissionné"),"Action invalide",IF(COUNTIF(TblDomaines[Domaine],$A270)=0,"Domaine inconnu (référentiel)",IF(COUNTIFS(TblTribes[Tribe],$B270,TblTribes[Domaine de la tribe],$A270)=0,"Tribe inconnue ou hors domaine",IF(AND($G270="À migrer",$H270&lt;&gt;"Oui",$H270&lt;&gt;"Non"),"Valeur Oui/Non invalide (Déjà incluse ROKS)",IF(AND($E270&lt;&gt;"PRD",$E270&lt;&gt;"NPRD"),"Environnement invalide",IF(COUNTIFS(TblApplications[ID],$C270,TblApplications[Environnement],$E270,TblApplications[Couloir],$F270)&gt;1,"Déploiement en doublon (ID + env + couloir)",IF(AND(OR(OR($G270="À migrer",$G270="Migré"),OR($G270="À migrer",$G270="À décommissionner")),N($P270)&lt;=0),"Conso Dynatrace absente (onglet Dynatrace)",IF(OR(AND($P270&lt;&gt;"",NOT(ISNUMBER($P270))),AND($Q270&lt;&gt;"",NOT(ISNUMBER($Q270)))),"Ressource non numérique",IF(MIN(N($P270),N($Q270))&lt;0,"Ressource négative",IF(OR(AND($AH270&lt;&gt;"",OR(NOT(ISNUMBER($AH270)),$AH270&lt;0,$AH270&gt;1)),AND($AI270&lt;&gt;"",OR(NOT(ISNUMBER($AI270)),$AI270&lt;0,$AI270&gt;1))),"Marge spécifique invalide (0–100 %)",IF(OR(AND($U270&lt;&gt;"",NOT(ISNUMBER($U270))),AND($V270&lt;&gt;"",NOT(ISNUMBER($V270))),AND($W270&lt;&gt;"",NOT(ISNUMBER($W270)))),"Mois invalide",IF(AND(OR($G270="À migrer",$G270="À décommissionner"),COUNTIFS(TblClusters[Cluster],$I270,TblClusters[Plateforme],"IKS")=0),"Cluster IKS inconnu",IF(AND(OR($G270="À migrer",$G270="Migré"),COUNTIFS(TblClusters[Cluster],$O270,TblClusters[Plateforme],"ROKS")=0),"Cluster ROKS inconnu",IF(AND(OR($G270="À migrer",$G270="À décommissionner"),COUNTIFS(TblClusters[Cluster],$I270,TblClusters[Environnement],$E270)=0),"Environnement ≠ cluster IKS",IF(AND(OR($G270="À migrer",$G270="Migré"),COUNTIFS(TblClusters[Cluster],$O270,TblClusters[Environnement],$E270)=0),"Environnement ≠ cluster ROKS",IF(AND($G270="À migrer",OR($U270&gt;$V270,$V270&gt;$W270)),"Dates incohérentes (prov ≤ bascule ≤ libération)",IF(AND(OR($G270="À migrer",$G270="À décommissionner"),OR(N($AO270)&gt;SUMIFS(TblClusters[CPU initial (vCPU)],TblClusters[Cluster],$I270),N($AP270)&gt;SUMIFS(TblClusters[RAM initiale (Go)],TblClusters[Cluster],$I270))),"Forçage &gt; capacité du cluster source",IF(OR(AND($AA270&lt;&gt;"",$AA270&lt;p_debut),AND($AB270&lt;&gt;"",$AB270&gt;p_fin)),"Hors horizon (info)",IF(AND($G270="À migrer",$E270="PRD",COUNTIFS(TblApplications[ID],$C270,TblApplications[Environnement],"NPRD",TblApplications[Action],"À migrer")&gt;0,$AA270&lt;_xlfn.MINIFS(TblApplications[Mois prov (calc)],TblApplications[ID],$C270,TblApplications[Environnement],"NPRD")),"PRD avant NPRD (info)","OK")))))))))))))))))))))</f>
        <v/>
      </c>
      <c r="AH270" s="62"/>
      <c r="AI270" s="62"/>
      <c r="AJ270" s="27" t="str">
        <f>IF(OR($C270="",NOT(OR($G270="À migrer",$G270="À décommissionner")),NOT(ISNUMBER($S270)),NOT(ISNUMBER($T270)),$AB270=""),"",($S270+p_poidsram*$T270)*SUMIFS(TblCalculs[Coût par unité],TblCalculs[Cluster],$I270,TblCalculs[Mois],"&lt;"&amp;$AB270))</f>
        <v/>
      </c>
      <c r="AK270" s="27" t="str">
        <f>IF($C270="","",IF(AND($G270="À migrer",$H270="Non",$Y270&lt;&gt;"",$AA270&lt;&gt;""),($Y270+p_poidsram*$Z270)*SUMIFS(TblCalculs[Coût par unité],TblCalculs[Cluster],$O270,TblCalculs[Mois],"&gt;="&amp;$AA270),IF(AND($G270="Migré",$Y270&lt;&gt;""),($Y270+p_poidsram*$Z270)*SUMIFS(TblCalculs[Coût par unité],TblCalculs[Cluster],$O270),"")))</f>
        <v/>
      </c>
      <c r="AL270" s="27" t="str">
        <f t="shared" si="38"/>
        <v/>
      </c>
      <c r="AM270" s="26" t="str">
        <f t="shared" si="39"/>
        <v/>
      </c>
      <c r="AN270" s="26" t="str">
        <f>IF(OR($C270="",$AM270&lt;&gt;1,COUNTIFS($E270,ex_envc,$A270,ex_domc,$B270,ex_tric)=0),"",COUNTIFS($AM$6:$AM270,1,$E$6:$E270,ex_envc,$A$6:$A270,ex_domc,$B$6:$B270,ex_tric))</f>
        <v/>
      </c>
      <c r="AO270" s="63"/>
      <c r="AP270" s="63"/>
      <c r="AQ270" s="63"/>
      <c r="AR270" s="63"/>
    </row>
    <row r="271" spans="1:44" x14ac:dyDescent="0.2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26" t="str">
        <f t="shared" si="32"/>
        <v/>
      </c>
      <c r="O271" s="59"/>
      <c r="P271" s="60" t="str">
        <f>IF($C271="","",IF($AQ271&lt;&gt;"",$AQ271,SUMIFS(TblDynatrace[CPU P95 (vCPU)],TblDynatrace[ID],$C271,TblDynatrace[Environnement],$E271,TblDynatrace[Couloir],$F271)))</f>
        <v/>
      </c>
      <c r="Q271" s="60" t="str">
        <f>IF($C271="","",IF($AR271&lt;&gt;"",$AR271,SUMIFS(TblDynatrace[RAM P95 (Go)],TblDynatrace[ID],$C271,TblDynatrace[Environnement],$E271,TblDynatrace[Couloir],$F271)))</f>
        <v/>
      </c>
      <c r="R271" s="26" t="str">
        <f>IF($C271="","",IFERROR(INDEX(TblDynatrace[Métrique / période],MATCH($C271&amp;"|"&amp;$E271&amp;"|"&amp;$F271,TblDynatrace[Clé],0)),""))</f>
        <v/>
      </c>
      <c r="S271" s="60" t="str">
        <f>IF(OR($C271="",NOT(OR($G271="À migrer",$G271="À décommissionner")),$I271="",NOT(ISNUMBER($P271))),"",IF($AO271&lt;&gt;"",$AO271,IFERROR(SUMIFS(TblClusters[CPU initial (vCPU)],TblClusters[Cluster],$I271)*$P271/(SUMIFS(TblApplications[CPU Dynatrace (vCPU)],TblApplications[Cluster IKS source],$I271,TblApplications[Action],"À migrer")+SUMIFS(TblApplications[CPU Dynatrace (vCPU)],TblApplications[Cluster IKS source],$I271,TblApplications[Action],"À décommissionner")),0)))</f>
        <v/>
      </c>
      <c r="T271" s="60" t="str">
        <f>IF(OR($C271="",NOT(OR($G271="À migrer",$G271="À décommissionner")),$I271="",NOT(ISNUMBER($Q271))),"",IF($AP271&lt;&gt;"",$AP271,IFERROR(SUMIFS(TblClusters[RAM initiale (Go)],TblClusters[Cluster],$I271)*$Q271/(SUMIFS(TblApplications[RAM Dynatrace (Go)],TblApplications[Cluster IKS source],$I271,TblApplications[Action],"À migrer")+SUMIFS(TblApplications[RAM Dynatrace (Go)],TblApplications[Cluster IKS source],$I271,TblApplications[Action],"À décommissionner")),0)))</f>
        <v/>
      </c>
      <c r="U271" s="61"/>
      <c r="V271" s="61"/>
      <c r="W271" s="61"/>
      <c r="X271" s="59"/>
      <c r="Y271" s="26" t="str">
        <f t="shared" si="33"/>
        <v/>
      </c>
      <c r="Z271" s="26" t="str">
        <f t="shared" si="34"/>
        <v/>
      </c>
      <c r="AA271" s="33" t="str">
        <f t="shared" si="35"/>
        <v/>
      </c>
      <c r="AB271" s="33" t="str">
        <f t="shared" si="36"/>
        <v/>
      </c>
      <c r="AC271" s="26" t="str">
        <f t="shared" si="37"/>
        <v/>
      </c>
      <c r="AD271" s="26" t="str">
        <f>IF($C271="","",COUNTIF(TblApplications[ID],$C271))</f>
        <v/>
      </c>
      <c r="AE271" s="33" t="str">
        <f>IF($C271="","",IFERROR(1/(1/_xlfn.MINIFS(TblApplications[Mois prov (calc)],TblApplications[ID],$C271)),""))</f>
        <v/>
      </c>
      <c r="AF271" s="33" t="str">
        <f>IF($C271="","",IFERROR(1/(1/_xlfn.MAXIFS(TblApplications[Mois lib (calc)],TblApplications[ID],$C271)),""))</f>
        <v/>
      </c>
      <c r="AG271" s="26" t="str">
        <f>IF($C271="","",IF(OR(OR($A271="",$B271="",$D271="",$E271="",$F271="",$G271=""),AND($G271="À migrer",OR($H271="",$I271="",$O271="",$U271="",$V271="",$W271="")),AND($G271="Migré",OR($O271="")),AND($G271="À décommissionner",OR($I271="",$W271=""))),"Données manquantes (selon l’action)",IF(AND($G271&lt;&gt;"Migré",$G271&lt;&gt;"À migrer",$G271&lt;&gt;"À décommissionner",$G271&lt;&gt;"Décommissionné"),"Action invalide",IF(COUNTIF(TblDomaines[Domaine],$A271)=0,"Domaine inconnu (référentiel)",IF(COUNTIFS(TblTribes[Tribe],$B271,TblTribes[Domaine de la tribe],$A271)=0,"Tribe inconnue ou hors domaine",IF(AND($G271="À migrer",$H271&lt;&gt;"Oui",$H271&lt;&gt;"Non"),"Valeur Oui/Non invalide (Déjà incluse ROKS)",IF(AND($E271&lt;&gt;"PRD",$E271&lt;&gt;"NPRD"),"Environnement invalide",IF(COUNTIFS(TblApplications[ID],$C271,TblApplications[Environnement],$E271,TblApplications[Couloir],$F271)&gt;1,"Déploiement en doublon (ID + env + couloir)",IF(AND(OR(OR($G271="À migrer",$G271="Migré"),OR($G271="À migrer",$G271="À décommissionner")),N($P271)&lt;=0),"Conso Dynatrace absente (onglet Dynatrace)",IF(OR(AND($P271&lt;&gt;"",NOT(ISNUMBER($P271))),AND($Q271&lt;&gt;"",NOT(ISNUMBER($Q271)))),"Ressource non numérique",IF(MIN(N($P271),N($Q271))&lt;0,"Ressource négative",IF(OR(AND($AH271&lt;&gt;"",OR(NOT(ISNUMBER($AH271)),$AH271&lt;0,$AH271&gt;1)),AND($AI271&lt;&gt;"",OR(NOT(ISNUMBER($AI271)),$AI271&lt;0,$AI271&gt;1))),"Marge spécifique invalide (0–100 %)",IF(OR(AND($U271&lt;&gt;"",NOT(ISNUMBER($U271))),AND($V271&lt;&gt;"",NOT(ISNUMBER($V271))),AND($W271&lt;&gt;"",NOT(ISNUMBER($W271)))),"Mois invalide",IF(AND(OR($G271="À migrer",$G271="À décommissionner"),COUNTIFS(TblClusters[Cluster],$I271,TblClusters[Plateforme],"IKS")=0),"Cluster IKS inconnu",IF(AND(OR($G271="À migrer",$G271="Migré"),COUNTIFS(TblClusters[Cluster],$O271,TblClusters[Plateforme],"ROKS")=0),"Cluster ROKS inconnu",IF(AND(OR($G271="À migrer",$G271="À décommissionner"),COUNTIFS(TblClusters[Cluster],$I271,TblClusters[Environnement],$E271)=0),"Environnement ≠ cluster IKS",IF(AND(OR($G271="À migrer",$G271="Migré"),COUNTIFS(TblClusters[Cluster],$O271,TblClusters[Environnement],$E271)=0),"Environnement ≠ cluster ROKS",IF(AND($G271="À migrer",OR($U271&gt;$V271,$V271&gt;$W271)),"Dates incohérentes (prov ≤ bascule ≤ libération)",IF(AND(OR($G271="À migrer",$G271="À décommissionner"),OR(N($AO271)&gt;SUMIFS(TblClusters[CPU initial (vCPU)],TblClusters[Cluster],$I271),N($AP271)&gt;SUMIFS(TblClusters[RAM initiale (Go)],TblClusters[Cluster],$I271))),"Forçage &gt; capacité du cluster source",IF(OR(AND($AA271&lt;&gt;"",$AA271&lt;p_debut),AND($AB271&lt;&gt;"",$AB271&gt;p_fin)),"Hors horizon (info)",IF(AND($G271="À migrer",$E271="PRD",COUNTIFS(TblApplications[ID],$C271,TblApplications[Environnement],"NPRD",TblApplications[Action],"À migrer")&gt;0,$AA271&lt;_xlfn.MINIFS(TblApplications[Mois prov (calc)],TblApplications[ID],$C271,TblApplications[Environnement],"NPRD")),"PRD avant NPRD (info)","OK")))))))))))))))))))))</f>
        <v/>
      </c>
      <c r="AH271" s="62"/>
      <c r="AI271" s="62"/>
      <c r="AJ271" s="27" t="str">
        <f>IF(OR($C271="",NOT(OR($G271="À migrer",$G271="À décommissionner")),NOT(ISNUMBER($S271)),NOT(ISNUMBER($T271)),$AB271=""),"",($S271+p_poidsram*$T271)*SUMIFS(TblCalculs[Coût par unité],TblCalculs[Cluster],$I271,TblCalculs[Mois],"&lt;"&amp;$AB271))</f>
        <v/>
      </c>
      <c r="AK271" s="27" t="str">
        <f>IF($C271="","",IF(AND($G271="À migrer",$H271="Non",$Y271&lt;&gt;"",$AA271&lt;&gt;""),($Y271+p_poidsram*$Z271)*SUMIFS(TblCalculs[Coût par unité],TblCalculs[Cluster],$O271,TblCalculs[Mois],"&gt;="&amp;$AA271),IF(AND($G271="Migré",$Y271&lt;&gt;""),($Y271+p_poidsram*$Z271)*SUMIFS(TblCalculs[Coût par unité],TblCalculs[Cluster],$O271),"")))</f>
        <v/>
      </c>
      <c r="AL271" s="27" t="str">
        <f t="shared" si="38"/>
        <v/>
      </c>
      <c r="AM271" s="26" t="str">
        <f t="shared" si="39"/>
        <v/>
      </c>
      <c r="AN271" s="26" t="str">
        <f>IF(OR($C271="",$AM271&lt;&gt;1,COUNTIFS($E271,ex_envc,$A271,ex_domc,$B271,ex_tric)=0),"",COUNTIFS($AM$6:$AM271,1,$E$6:$E271,ex_envc,$A$6:$A271,ex_domc,$B$6:$B271,ex_tric))</f>
        <v/>
      </c>
      <c r="AO271" s="63"/>
      <c r="AP271" s="63"/>
      <c r="AQ271" s="63"/>
      <c r="AR271" s="63"/>
    </row>
    <row r="272" spans="1:44" x14ac:dyDescent="0.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26" t="str">
        <f t="shared" si="32"/>
        <v/>
      </c>
      <c r="O272" s="59"/>
      <c r="P272" s="60" t="str">
        <f>IF($C272="","",IF($AQ272&lt;&gt;"",$AQ272,SUMIFS(TblDynatrace[CPU P95 (vCPU)],TblDynatrace[ID],$C272,TblDynatrace[Environnement],$E272,TblDynatrace[Couloir],$F272)))</f>
        <v/>
      </c>
      <c r="Q272" s="60" t="str">
        <f>IF($C272="","",IF($AR272&lt;&gt;"",$AR272,SUMIFS(TblDynatrace[RAM P95 (Go)],TblDynatrace[ID],$C272,TblDynatrace[Environnement],$E272,TblDynatrace[Couloir],$F272)))</f>
        <v/>
      </c>
      <c r="R272" s="26" t="str">
        <f>IF($C272="","",IFERROR(INDEX(TblDynatrace[Métrique / période],MATCH($C272&amp;"|"&amp;$E272&amp;"|"&amp;$F272,TblDynatrace[Clé],0)),""))</f>
        <v/>
      </c>
      <c r="S272" s="60" t="str">
        <f>IF(OR($C272="",NOT(OR($G272="À migrer",$G272="À décommissionner")),$I272="",NOT(ISNUMBER($P272))),"",IF($AO272&lt;&gt;"",$AO272,IFERROR(SUMIFS(TblClusters[CPU initial (vCPU)],TblClusters[Cluster],$I272)*$P272/(SUMIFS(TblApplications[CPU Dynatrace (vCPU)],TblApplications[Cluster IKS source],$I272,TblApplications[Action],"À migrer")+SUMIFS(TblApplications[CPU Dynatrace (vCPU)],TblApplications[Cluster IKS source],$I272,TblApplications[Action],"À décommissionner")),0)))</f>
        <v/>
      </c>
      <c r="T272" s="60" t="str">
        <f>IF(OR($C272="",NOT(OR($G272="À migrer",$G272="À décommissionner")),$I272="",NOT(ISNUMBER($Q272))),"",IF($AP272&lt;&gt;"",$AP272,IFERROR(SUMIFS(TblClusters[RAM initiale (Go)],TblClusters[Cluster],$I272)*$Q272/(SUMIFS(TblApplications[RAM Dynatrace (Go)],TblApplications[Cluster IKS source],$I272,TblApplications[Action],"À migrer")+SUMIFS(TblApplications[RAM Dynatrace (Go)],TblApplications[Cluster IKS source],$I272,TblApplications[Action],"À décommissionner")),0)))</f>
        <v/>
      </c>
      <c r="U272" s="61"/>
      <c r="V272" s="61"/>
      <c r="W272" s="61"/>
      <c r="X272" s="59"/>
      <c r="Y272" s="26" t="str">
        <f t="shared" si="33"/>
        <v/>
      </c>
      <c r="Z272" s="26" t="str">
        <f t="shared" si="34"/>
        <v/>
      </c>
      <c r="AA272" s="33" t="str">
        <f t="shared" si="35"/>
        <v/>
      </c>
      <c r="AB272" s="33" t="str">
        <f t="shared" si="36"/>
        <v/>
      </c>
      <c r="AC272" s="26" t="str">
        <f t="shared" si="37"/>
        <v/>
      </c>
      <c r="AD272" s="26" t="str">
        <f>IF($C272="","",COUNTIF(TblApplications[ID],$C272))</f>
        <v/>
      </c>
      <c r="AE272" s="33" t="str">
        <f>IF($C272="","",IFERROR(1/(1/_xlfn.MINIFS(TblApplications[Mois prov (calc)],TblApplications[ID],$C272)),""))</f>
        <v/>
      </c>
      <c r="AF272" s="33" t="str">
        <f>IF($C272="","",IFERROR(1/(1/_xlfn.MAXIFS(TblApplications[Mois lib (calc)],TblApplications[ID],$C272)),""))</f>
        <v/>
      </c>
      <c r="AG272" s="26" t="str">
        <f>IF($C272="","",IF(OR(OR($A272="",$B272="",$D272="",$E272="",$F272="",$G272=""),AND($G272="À migrer",OR($H272="",$I272="",$O272="",$U272="",$V272="",$W272="")),AND($G272="Migré",OR($O272="")),AND($G272="À décommissionner",OR($I272="",$W272=""))),"Données manquantes (selon l’action)",IF(AND($G272&lt;&gt;"Migré",$G272&lt;&gt;"À migrer",$G272&lt;&gt;"À décommissionner",$G272&lt;&gt;"Décommissionné"),"Action invalide",IF(COUNTIF(TblDomaines[Domaine],$A272)=0,"Domaine inconnu (référentiel)",IF(COUNTIFS(TblTribes[Tribe],$B272,TblTribes[Domaine de la tribe],$A272)=0,"Tribe inconnue ou hors domaine",IF(AND($G272="À migrer",$H272&lt;&gt;"Oui",$H272&lt;&gt;"Non"),"Valeur Oui/Non invalide (Déjà incluse ROKS)",IF(AND($E272&lt;&gt;"PRD",$E272&lt;&gt;"NPRD"),"Environnement invalide",IF(COUNTIFS(TblApplications[ID],$C272,TblApplications[Environnement],$E272,TblApplications[Couloir],$F272)&gt;1,"Déploiement en doublon (ID + env + couloir)",IF(AND(OR(OR($G272="À migrer",$G272="Migré"),OR($G272="À migrer",$G272="À décommissionner")),N($P272)&lt;=0),"Conso Dynatrace absente (onglet Dynatrace)",IF(OR(AND($P272&lt;&gt;"",NOT(ISNUMBER($P272))),AND($Q272&lt;&gt;"",NOT(ISNUMBER($Q272)))),"Ressource non numérique",IF(MIN(N($P272),N($Q272))&lt;0,"Ressource négative",IF(OR(AND($AH272&lt;&gt;"",OR(NOT(ISNUMBER($AH272)),$AH272&lt;0,$AH272&gt;1)),AND($AI272&lt;&gt;"",OR(NOT(ISNUMBER($AI272)),$AI272&lt;0,$AI272&gt;1))),"Marge spécifique invalide (0–100 %)",IF(OR(AND($U272&lt;&gt;"",NOT(ISNUMBER($U272))),AND($V272&lt;&gt;"",NOT(ISNUMBER($V272))),AND($W272&lt;&gt;"",NOT(ISNUMBER($W272)))),"Mois invalide",IF(AND(OR($G272="À migrer",$G272="À décommissionner"),COUNTIFS(TblClusters[Cluster],$I272,TblClusters[Plateforme],"IKS")=0),"Cluster IKS inconnu",IF(AND(OR($G272="À migrer",$G272="Migré"),COUNTIFS(TblClusters[Cluster],$O272,TblClusters[Plateforme],"ROKS")=0),"Cluster ROKS inconnu",IF(AND(OR($G272="À migrer",$G272="À décommissionner"),COUNTIFS(TblClusters[Cluster],$I272,TblClusters[Environnement],$E272)=0),"Environnement ≠ cluster IKS",IF(AND(OR($G272="À migrer",$G272="Migré"),COUNTIFS(TblClusters[Cluster],$O272,TblClusters[Environnement],$E272)=0),"Environnement ≠ cluster ROKS",IF(AND($G272="À migrer",OR($U272&gt;$V272,$V272&gt;$W272)),"Dates incohérentes (prov ≤ bascule ≤ libération)",IF(AND(OR($G272="À migrer",$G272="À décommissionner"),OR(N($AO272)&gt;SUMIFS(TblClusters[CPU initial (vCPU)],TblClusters[Cluster],$I272),N($AP272)&gt;SUMIFS(TblClusters[RAM initiale (Go)],TblClusters[Cluster],$I272))),"Forçage &gt; capacité du cluster source",IF(OR(AND($AA272&lt;&gt;"",$AA272&lt;p_debut),AND($AB272&lt;&gt;"",$AB272&gt;p_fin)),"Hors horizon (info)",IF(AND($G272="À migrer",$E272="PRD",COUNTIFS(TblApplications[ID],$C272,TblApplications[Environnement],"NPRD",TblApplications[Action],"À migrer")&gt;0,$AA272&lt;_xlfn.MINIFS(TblApplications[Mois prov (calc)],TblApplications[ID],$C272,TblApplications[Environnement],"NPRD")),"PRD avant NPRD (info)","OK")))))))))))))))))))))</f>
        <v/>
      </c>
      <c r="AH272" s="62"/>
      <c r="AI272" s="62"/>
      <c r="AJ272" s="27" t="str">
        <f>IF(OR($C272="",NOT(OR($G272="À migrer",$G272="À décommissionner")),NOT(ISNUMBER($S272)),NOT(ISNUMBER($T272)),$AB272=""),"",($S272+p_poidsram*$T272)*SUMIFS(TblCalculs[Coût par unité],TblCalculs[Cluster],$I272,TblCalculs[Mois],"&lt;"&amp;$AB272))</f>
        <v/>
      </c>
      <c r="AK272" s="27" t="str">
        <f>IF($C272="","",IF(AND($G272="À migrer",$H272="Non",$Y272&lt;&gt;"",$AA272&lt;&gt;""),($Y272+p_poidsram*$Z272)*SUMIFS(TblCalculs[Coût par unité],TblCalculs[Cluster],$O272,TblCalculs[Mois],"&gt;="&amp;$AA272),IF(AND($G272="Migré",$Y272&lt;&gt;""),($Y272+p_poidsram*$Z272)*SUMIFS(TblCalculs[Coût par unité],TblCalculs[Cluster],$O272),"")))</f>
        <v/>
      </c>
      <c r="AL272" s="27" t="str">
        <f t="shared" si="38"/>
        <v/>
      </c>
      <c r="AM272" s="26" t="str">
        <f t="shared" si="39"/>
        <v/>
      </c>
      <c r="AN272" s="26" t="str">
        <f>IF(OR($C272="",$AM272&lt;&gt;1,COUNTIFS($E272,ex_envc,$A272,ex_domc,$B272,ex_tric)=0),"",COUNTIFS($AM$6:$AM272,1,$E$6:$E272,ex_envc,$A$6:$A272,ex_domc,$B$6:$B272,ex_tric))</f>
        <v/>
      </c>
      <c r="AO272" s="63"/>
      <c r="AP272" s="63"/>
      <c r="AQ272" s="63"/>
      <c r="AR272" s="63"/>
    </row>
    <row r="273" spans="1:44" x14ac:dyDescent="0.2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26" t="str">
        <f t="shared" si="32"/>
        <v/>
      </c>
      <c r="O273" s="59"/>
      <c r="P273" s="60" t="str">
        <f>IF($C273="","",IF($AQ273&lt;&gt;"",$AQ273,SUMIFS(TblDynatrace[CPU P95 (vCPU)],TblDynatrace[ID],$C273,TblDynatrace[Environnement],$E273,TblDynatrace[Couloir],$F273)))</f>
        <v/>
      </c>
      <c r="Q273" s="60" t="str">
        <f>IF($C273="","",IF($AR273&lt;&gt;"",$AR273,SUMIFS(TblDynatrace[RAM P95 (Go)],TblDynatrace[ID],$C273,TblDynatrace[Environnement],$E273,TblDynatrace[Couloir],$F273)))</f>
        <v/>
      </c>
      <c r="R273" s="26" t="str">
        <f>IF($C273="","",IFERROR(INDEX(TblDynatrace[Métrique / période],MATCH($C273&amp;"|"&amp;$E273&amp;"|"&amp;$F273,TblDynatrace[Clé],0)),""))</f>
        <v/>
      </c>
      <c r="S273" s="60" t="str">
        <f>IF(OR($C273="",NOT(OR($G273="À migrer",$G273="À décommissionner")),$I273="",NOT(ISNUMBER($P273))),"",IF($AO273&lt;&gt;"",$AO273,IFERROR(SUMIFS(TblClusters[CPU initial (vCPU)],TblClusters[Cluster],$I273)*$P273/(SUMIFS(TblApplications[CPU Dynatrace (vCPU)],TblApplications[Cluster IKS source],$I273,TblApplications[Action],"À migrer")+SUMIFS(TblApplications[CPU Dynatrace (vCPU)],TblApplications[Cluster IKS source],$I273,TblApplications[Action],"À décommissionner")),0)))</f>
        <v/>
      </c>
      <c r="T273" s="60" t="str">
        <f>IF(OR($C273="",NOT(OR($G273="À migrer",$G273="À décommissionner")),$I273="",NOT(ISNUMBER($Q273))),"",IF($AP273&lt;&gt;"",$AP273,IFERROR(SUMIFS(TblClusters[RAM initiale (Go)],TblClusters[Cluster],$I273)*$Q273/(SUMIFS(TblApplications[RAM Dynatrace (Go)],TblApplications[Cluster IKS source],$I273,TblApplications[Action],"À migrer")+SUMIFS(TblApplications[RAM Dynatrace (Go)],TblApplications[Cluster IKS source],$I273,TblApplications[Action],"À décommissionner")),0)))</f>
        <v/>
      </c>
      <c r="U273" s="61"/>
      <c r="V273" s="61"/>
      <c r="W273" s="61"/>
      <c r="X273" s="59"/>
      <c r="Y273" s="26" t="str">
        <f t="shared" si="33"/>
        <v/>
      </c>
      <c r="Z273" s="26" t="str">
        <f t="shared" si="34"/>
        <v/>
      </c>
      <c r="AA273" s="33" t="str">
        <f t="shared" si="35"/>
        <v/>
      </c>
      <c r="AB273" s="33" t="str">
        <f t="shared" si="36"/>
        <v/>
      </c>
      <c r="AC273" s="26" t="str">
        <f t="shared" si="37"/>
        <v/>
      </c>
      <c r="AD273" s="26" t="str">
        <f>IF($C273="","",COUNTIF(TblApplications[ID],$C273))</f>
        <v/>
      </c>
      <c r="AE273" s="33" t="str">
        <f>IF($C273="","",IFERROR(1/(1/_xlfn.MINIFS(TblApplications[Mois prov (calc)],TblApplications[ID],$C273)),""))</f>
        <v/>
      </c>
      <c r="AF273" s="33" t="str">
        <f>IF($C273="","",IFERROR(1/(1/_xlfn.MAXIFS(TblApplications[Mois lib (calc)],TblApplications[ID],$C273)),""))</f>
        <v/>
      </c>
      <c r="AG273" s="26" t="str">
        <f>IF($C273="","",IF(OR(OR($A273="",$B273="",$D273="",$E273="",$F273="",$G273=""),AND($G273="À migrer",OR($H273="",$I273="",$O273="",$U273="",$V273="",$W273="")),AND($G273="Migré",OR($O273="")),AND($G273="À décommissionner",OR($I273="",$W273=""))),"Données manquantes (selon l’action)",IF(AND($G273&lt;&gt;"Migré",$G273&lt;&gt;"À migrer",$G273&lt;&gt;"À décommissionner",$G273&lt;&gt;"Décommissionné"),"Action invalide",IF(COUNTIF(TblDomaines[Domaine],$A273)=0,"Domaine inconnu (référentiel)",IF(COUNTIFS(TblTribes[Tribe],$B273,TblTribes[Domaine de la tribe],$A273)=0,"Tribe inconnue ou hors domaine",IF(AND($G273="À migrer",$H273&lt;&gt;"Oui",$H273&lt;&gt;"Non"),"Valeur Oui/Non invalide (Déjà incluse ROKS)",IF(AND($E273&lt;&gt;"PRD",$E273&lt;&gt;"NPRD"),"Environnement invalide",IF(COUNTIFS(TblApplications[ID],$C273,TblApplications[Environnement],$E273,TblApplications[Couloir],$F273)&gt;1,"Déploiement en doublon (ID + env + couloir)",IF(AND(OR(OR($G273="À migrer",$G273="Migré"),OR($G273="À migrer",$G273="À décommissionner")),N($P273)&lt;=0),"Conso Dynatrace absente (onglet Dynatrace)",IF(OR(AND($P273&lt;&gt;"",NOT(ISNUMBER($P273))),AND($Q273&lt;&gt;"",NOT(ISNUMBER($Q273)))),"Ressource non numérique",IF(MIN(N($P273),N($Q273))&lt;0,"Ressource négative",IF(OR(AND($AH273&lt;&gt;"",OR(NOT(ISNUMBER($AH273)),$AH273&lt;0,$AH273&gt;1)),AND($AI273&lt;&gt;"",OR(NOT(ISNUMBER($AI273)),$AI273&lt;0,$AI273&gt;1))),"Marge spécifique invalide (0–100 %)",IF(OR(AND($U273&lt;&gt;"",NOT(ISNUMBER($U273))),AND($V273&lt;&gt;"",NOT(ISNUMBER($V273))),AND($W273&lt;&gt;"",NOT(ISNUMBER($W273)))),"Mois invalide",IF(AND(OR($G273="À migrer",$G273="À décommissionner"),COUNTIFS(TblClusters[Cluster],$I273,TblClusters[Plateforme],"IKS")=0),"Cluster IKS inconnu",IF(AND(OR($G273="À migrer",$G273="Migré"),COUNTIFS(TblClusters[Cluster],$O273,TblClusters[Plateforme],"ROKS")=0),"Cluster ROKS inconnu",IF(AND(OR($G273="À migrer",$G273="À décommissionner"),COUNTIFS(TblClusters[Cluster],$I273,TblClusters[Environnement],$E273)=0),"Environnement ≠ cluster IKS",IF(AND(OR($G273="À migrer",$G273="Migré"),COUNTIFS(TblClusters[Cluster],$O273,TblClusters[Environnement],$E273)=0),"Environnement ≠ cluster ROKS",IF(AND($G273="À migrer",OR($U273&gt;$V273,$V273&gt;$W273)),"Dates incohérentes (prov ≤ bascule ≤ libération)",IF(AND(OR($G273="À migrer",$G273="À décommissionner"),OR(N($AO273)&gt;SUMIFS(TblClusters[CPU initial (vCPU)],TblClusters[Cluster],$I273),N($AP273)&gt;SUMIFS(TblClusters[RAM initiale (Go)],TblClusters[Cluster],$I273))),"Forçage &gt; capacité du cluster source",IF(OR(AND($AA273&lt;&gt;"",$AA273&lt;p_debut),AND($AB273&lt;&gt;"",$AB273&gt;p_fin)),"Hors horizon (info)",IF(AND($G273="À migrer",$E273="PRD",COUNTIFS(TblApplications[ID],$C273,TblApplications[Environnement],"NPRD",TblApplications[Action],"À migrer")&gt;0,$AA273&lt;_xlfn.MINIFS(TblApplications[Mois prov (calc)],TblApplications[ID],$C273,TblApplications[Environnement],"NPRD")),"PRD avant NPRD (info)","OK")))))))))))))))))))))</f>
        <v/>
      </c>
      <c r="AH273" s="62"/>
      <c r="AI273" s="62"/>
      <c r="AJ273" s="27" t="str">
        <f>IF(OR($C273="",NOT(OR($G273="À migrer",$G273="À décommissionner")),NOT(ISNUMBER($S273)),NOT(ISNUMBER($T273)),$AB273=""),"",($S273+p_poidsram*$T273)*SUMIFS(TblCalculs[Coût par unité],TblCalculs[Cluster],$I273,TblCalculs[Mois],"&lt;"&amp;$AB273))</f>
        <v/>
      </c>
      <c r="AK273" s="27" t="str">
        <f>IF($C273="","",IF(AND($G273="À migrer",$H273="Non",$Y273&lt;&gt;"",$AA273&lt;&gt;""),($Y273+p_poidsram*$Z273)*SUMIFS(TblCalculs[Coût par unité],TblCalculs[Cluster],$O273,TblCalculs[Mois],"&gt;="&amp;$AA273),IF(AND($G273="Migré",$Y273&lt;&gt;""),($Y273+p_poidsram*$Z273)*SUMIFS(TblCalculs[Coût par unité],TblCalculs[Cluster],$O273),"")))</f>
        <v/>
      </c>
      <c r="AL273" s="27" t="str">
        <f t="shared" si="38"/>
        <v/>
      </c>
      <c r="AM273" s="26" t="str">
        <f t="shared" si="39"/>
        <v/>
      </c>
      <c r="AN273" s="26" t="str">
        <f>IF(OR($C273="",$AM273&lt;&gt;1,COUNTIFS($E273,ex_envc,$A273,ex_domc,$B273,ex_tric)=0),"",COUNTIFS($AM$6:$AM273,1,$E$6:$E273,ex_envc,$A$6:$A273,ex_domc,$B$6:$B273,ex_tric))</f>
        <v/>
      </c>
      <c r="AO273" s="63"/>
      <c r="AP273" s="63"/>
      <c r="AQ273" s="63"/>
      <c r="AR273" s="63"/>
    </row>
    <row r="274" spans="1:44" x14ac:dyDescent="0.2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26" t="str">
        <f t="shared" si="32"/>
        <v/>
      </c>
      <c r="O274" s="59"/>
      <c r="P274" s="60" t="str">
        <f>IF($C274="","",IF($AQ274&lt;&gt;"",$AQ274,SUMIFS(TblDynatrace[CPU P95 (vCPU)],TblDynatrace[ID],$C274,TblDynatrace[Environnement],$E274,TblDynatrace[Couloir],$F274)))</f>
        <v/>
      </c>
      <c r="Q274" s="60" t="str">
        <f>IF($C274="","",IF($AR274&lt;&gt;"",$AR274,SUMIFS(TblDynatrace[RAM P95 (Go)],TblDynatrace[ID],$C274,TblDynatrace[Environnement],$E274,TblDynatrace[Couloir],$F274)))</f>
        <v/>
      </c>
      <c r="R274" s="26" t="str">
        <f>IF($C274="","",IFERROR(INDEX(TblDynatrace[Métrique / période],MATCH($C274&amp;"|"&amp;$E274&amp;"|"&amp;$F274,TblDynatrace[Clé],0)),""))</f>
        <v/>
      </c>
      <c r="S274" s="60" t="str">
        <f>IF(OR($C274="",NOT(OR($G274="À migrer",$G274="À décommissionner")),$I274="",NOT(ISNUMBER($P274))),"",IF($AO274&lt;&gt;"",$AO274,IFERROR(SUMIFS(TblClusters[CPU initial (vCPU)],TblClusters[Cluster],$I274)*$P274/(SUMIFS(TblApplications[CPU Dynatrace (vCPU)],TblApplications[Cluster IKS source],$I274,TblApplications[Action],"À migrer")+SUMIFS(TblApplications[CPU Dynatrace (vCPU)],TblApplications[Cluster IKS source],$I274,TblApplications[Action],"À décommissionner")),0)))</f>
        <v/>
      </c>
      <c r="T274" s="60" t="str">
        <f>IF(OR($C274="",NOT(OR($G274="À migrer",$G274="À décommissionner")),$I274="",NOT(ISNUMBER($Q274))),"",IF($AP274&lt;&gt;"",$AP274,IFERROR(SUMIFS(TblClusters[RAM initiale (Go)],TblClusters[Cluster],$I274)*$Q274/(SUMIFS(TblApplications[RAM Dynatrace (Go)],TblApplications[Cluster IKS source],$I274,TblApplications[Action],"À migrer")+SUMIFS(TblApplications[RAM Dynatrace (Go)],TblApplications[Cluster IKS source],$I274,TblApplications[Action],"À décommissionner")),0)))</f>
        <v/>
      </c>
      <c r="U274" s="61"/>
      <c r="V274" s="61"/>
      <c r="W274" s="61"/>
      <c r="X274" s="59"/>
      <c r="Y274" s="26" t="str">
        <f t="shared" si="33"/>
        <v/>
      </c>
      <c r="Z274" s="26" t="str">
        <f t="shared" si="34"/>
        <v/>
      </c>
      <c r="AA274" s="33" t="str">
        <f t="shared" si="35"/>
        <v/>
      </c>
      <c r="AB274" s="33" t="str">
        <f t="shared" si="36"/>
        <v/>
      </c>
      <c r="AC274" s="26" t="str">
        <f t="shared" si="37"/>
        <v/>
      </c>
      <c r="AD274" s="26" t="str">
        <f>IF($C274="","",COUNTIF(TblApplications[ID],$C274))</f>
        <v/>
      </c>
      <c r="AE274" s="33" t="str">
        <f>IF($C274="","",IFERROR(1/(1/_xlfn.MINIFS(TblApplications[Mois prov (calc)],TblApplications[ID],$C274)),""))</f>
        <v/>
      </c>
      <c r="AF274" s="33" t="str">
        <f>IF($C274="","",IFERROR(1/(1/_xlfn.MAXIFS(TblApplications[Mois lib (calc)],TblApplications[ID],$C274)),""))</f>
        <v/>
      </c>
      <c r="AG274" s="26" t="str">
        <f>IF($C274="","",IF(OR(OR($A274="",$B274="",$D274="",$E274="",$F274="",$G274=""),AND($G274="À migrer",OR($H274="",$I274="",$O274="",$U274="",$V274="",$W274="")),AND($G274="Migré",OR($O274="")),AND($G274="À décommissionner",OR($I274="",$W274=""))),"Données manquantes (selon l’action)",IF(AND($G274&lt;&gt;"Migré",$G274&lt;&gt;"À migrer",$G274&lt;&gt;"À décommissionner",$G274&lt;&gt;"Décommissionné"),"Action invalide",IF(COUNTIF(TblDomaines[Domaine],$A274)=0,"Domaine inconnu (référentiel)",IF(COUNTIFS(TblTribes[Tribe],$B274,TblTribes[Domaine de la tribe],$A274)=0,"Tribe inconnue ou hors domaine",IF(AND($G274="À migrer",$H274&lt;&gt;"Oui",$H274&lt;&gt;"Non"),"Valeur Oui/Non invalide (Déjà incluse ROKS)",IF(AND($E274&lt;&gt;"PRD",$E274&lt;&gt;"NPRD"),"Environnement invalide",IF(COUNTIFS(TblApplications[ID],$C274,TblApplications[Environnement],$E274,TblApplications[Couloir],$F274)&gt;1,"Déploiement en doublon (ID + env + couloir)",IF(AND(OR(OR($G274="À migrer",$G274="Migré"),OR($G274="À migrer",$G274="À décommissionner")),N($P274)&lt;=0),"Conso Dynatrace absente (onglet Dynatrace)",IF(OR(AND($P274&lt;&gt;"",NOT(ISNUMBER($P274))),AND($Q274&lt;&gt;"",NOT(ISNUMBER($Q274)))),"Ressource non numérique",IF(MIN(N($P274),N($Q274))&lt;0,"Ressource négative",IF(OR(AND($AH274&lt;&gt;"",OR(NOT(ISNUMBER($AH274)),$AH274&lt;0,$AH274&gt;1)),AND($AI274&lt;&gt;"",OR(NOT(ISNUMBER($AI274)),$AI274&lt;0,$AI274&gt;1))),"Marge spécifique invalide (0–100 %)",IF(OR(AND($U274&lt;&gt;"",NOT(ISNUMBER($U274))),AND($V274&lt;&gt;"",NOT(ISNUMBER($V274))),AND($W274&lt;&gt;"",NOT(ISNUMBER($W274)))),"Mois invalide",IF(AND(OR($G274="À migrer",$G274="À décommissionner"),COUNTIFS(TblClusters[Cluster],$I274,TblClusters[Plateforme],"IKS")=0),"Cluster IKS inconnu",IF(AND(OR($G274="À migrer",$G274="Migré"),COUNTIFS(TblClusters[Cluster],$O274,TblClusters[Plateforme],"ROKS")=0),"Cluster ROKS inconnu",IF(AND(OR($G274="À migrer",$G274="À décommissionner"),COUNTIFS(TblClusters[Cluster],$I274,TblClusters[Environnement],$E274)=0),"Environnement ≠ cluster IKS",IF(AND(OR($G274="À migrer",$G274="Migré"),COUNTIFS(TblClusters[Cluster],$O274,TblClusters[Environnement],$E274)=0),"Environnement ≠ cluster ROKS",IF(AND($G274="À migrer",OR($U274&gt;$V274,$V274&gt;$W274)),"Dates incohérentes (prov ≤ bascule ≤ libération)",IF(AND(OR($G274="À migrer",$G274="À décommissionner"),OR(N($AO274)&gt;SUMIFS(TblClusters[CPU initial (vCPU)],TblClusters[Cluster],$I274),N($AP274)&gt;SUMIFS(TblClusters[RAM initiale (Go)],TblClusters[Cluster],$I274))),"Forçage &gt; capacité du cluster source",IF(OR(AND($AA274&lt;&gt;"",$AA274&lt;p_debut),AND($AB274&lt;&gt;"",$AB274&gt;p_fin)),"Hors horizon (info)",IF(AND($G274="À migrer",$E274="PRD",COUNTIFS(TblApplications[ID],$C274,TblApplications[Environnement],"NPRD",TblApplications[Action],"À migrer")&gt;0,$AA274&lt;_xlfn.MINIFS(TblApplications[Mois prov (calc)],TblApplications[ID],$C274,TblApplications[Environnement],"NPRD")),"PRD avant NPRD (info)","OK")))))))))))))))))))))</f>
        <v/>
      </c>
      <c r="AH274" s="62"/>
      <c r="AI274" s="62"/>
      <c r="AJ274" s="27" t="str">
        <f>IF(OR($C274="",NOT(OR($G274="À migrer",$G274="À décommissionner")),NOT(ISNUMBER($S274)),NOT(ISNUMBER($T274)),$AB274=""),"",($S274+p_poidsram*$T274)*SUMIFS(TblCalculs[Coût par unité],TblCalculs[Cluster],$I274,TblCalculs[Mois],"&lt;"&amp;$AB274))</f>
        <v/>
      </c>
      <c r="AK274" s="27" t="str">
        <f>IF($C274="","",IF(AND($G274="À migrer",$H274="Non",$Y274&lt;&gt;"",$AA274&lt;&gt;""),($Y274+p_poidsram*$Z274)*SUMIFS(TblCalculs[Coût par unité],TblCalculs[Cluster],$O274,TblCalculs[Mois],"&gt;="&amp;$AA274),IF(AND($G274="Migré",$Y274&lt;&gt;""),($Y274+p_poidsram*$Z274)*SUMIFS(TblCalculs[Coût par unité],TblCalculs[Cluster],$O274),"")))</f>
        <v/>
      </c>
      <c r="AL274" s="27" t="str">
        <f t="shared" si="38"/>
        <v/>
      </c>
      <c r="AM274" s="26" t="str">
        <f t="shared" si="39"/>
        <v/>
      </c>
      <c r="AN274" s="26" t="str">
        <f>IF(OR($C274="",$AM274&lt;&gt;1,COUNTIFS($E274,ex_envc,$A274,ex_domc,$B274,ex_tric)=0),"",COUNTIFS($AM$6:$AM274,1,$E$6:$E274,ex_envc,$A$6:$A274,ex_domc,$B$6:$B274,ex_tric))</f>
        <v/>
      </c>
      <c r="AO274" s="63"/>
      <c r="AP274" s="63"/>
      <c r="AQ274" s="63"/>
      <c r="AR274" s="63"/>
    </row>
    <row r="275" spans="1:44" x14ac:dyDescent="0.2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26" t="str">
        <f t="shared" si="32"/>
        <v/>
      </c>
      <c r="O275" s="59"/>
      <c r="P275" s="60" t="str">
        <f>IF($C275="","",IF($AQ275&lt;&gt;"",$AQ275,SUMIFS(TblDynatrace[CPU P95 (vCPU)],TblDynatrace[ID],$C275,TblDynatrace[Environnement],$E275,TblDynatrace[Couloir],$F275)))</f>
        <v/>
      </c>
      <c r="Q275" s="60" t="str">
        <f>IF($C275="","",IF($AR275&lt;&gt;"",$AR275,SUMIFS(TblDynatrace[RAM P95 (Go)],TblDynatrace[ID],$C275,TblDynatrace[Environnement],$E275,TblDynatrace[Couloir],$F275)))</f>
        <v/>
      </c>
      <c r="R275" s="26" t="str">
        <f>IF($C275="","",IFERROR(INDEX(TblDynatrace[Métrique / période],MATCH($C275&amp;"|"&amp;$E275&amp;"|"&amp;$F275,TblDynatrace[Clé],0)),""))</f>
        <v/>
      </c>
      <c r="S275" s="60" t="str">
        <f>IF(OR($C275="",NOT(OR($G275="À migrer",$G275="À décommissionner")),$I275="",NOT(ISNUMBER($P275))),"",IF($AO275&lt;&gt;"",$AO275,IFERROR(SUMIFS(TblClusters[CPU initial (vCPU)],TblClusters[Cluster],$I275)*$P275/(SUMIFS(TblApplications[CPU Dynatrace (vCPU)],TblApplications[Cluster IKS source],$I275,TblApplications[Action],"À migrer")+SUMIFS(TblApplications[CPU Dynatrace (vCPU)],TblApplications[Cluster IKS source],$I275,TblApplications[Action],"À décommissionner")),0)))</f>
        <v/>
      </c>
      <c r="T275" s="60" t="str">
        <f>IF(OR($C275="",NOT(OR($G275="À migrer",$G275="À décommissionner")),$I275="",NOT(ISNUMBER($Q275))),"",IF($AP275&lt;&gt;"",$AP275,IFERROR(SUMIFS(TblClusters[RAM initiale (Go)],TblClusters[Cluster],$I275)*$Q275/(SUMIFS(TblApplications[RAM Dynatrace (Go)],TblApplications[Cluster IKS source],$I275,TblApplications[Action],"À migrer")+SUMIFS(TblApplications[RAM Dynatrace (Go)],TblApplications[Cluster IKS source],$I275,TblApplications[Action],"À décommissionner")),0)))</f>
        <v/>
      </c>
      <c r="U275" s="61"/>
      <c r="V275" s="61"/>
      <c r="W275" s="61"/>
      <c r="X275" s="59"/>
      <c r="Y275" s="26" t="str">
        <f t="shared" si="33"/>
        <v/>
      </c>
      <c r="Z275" s="26" t="str">
        <f t="shared" si="34"/>
        <v/>
      </c>
      <c r="AA275" s="33" t="str">
        <f t="shared" si="35"/>
        <v/>
      </c>
      <c r="AB275" s="33" t="str">
        <f t="shared" si="36"/>
        <v/>
      </c>
      <c r="AC275" s="26" t="str">
        <f t="shared" si="37"/>
        <v/>
      </c>
      <c r="AD275" s="26" t="str">
        <f>IF($C275="","",COUNTIF(TblApplications[ID],$C275))</f>
        <v/>
      </c>
      <c r="AE275" s="33" t="str">
        <f>IF($C275="","",IFERROR(1/(1/_xlfn.MINIFS(TblApplications[Mois prov (calc)],TblApplications[ID],$C275)),""))</f>
        <v/>
      </c>
      <c r="AF275" s="33" t="str">
        <f>IF($C275="","",IFERROR(1/(1/_xlfn.MAXIFS(TblApplications[Mois lib (calc)],TblApplications[ID],$C275)),""))</f>
        <v/>
      </c>
      <c r="AG275" s="26" t="str">
        <f>IF($C275="","",IF(OR(OR($A275="",$B275="",$D275="",$E275="",$F275="",$G275=""),AND($G275="À migrer",OR($H275="",$I275="",$O275="",$U275="",$V275="",$W275="")),AND($G275="Migré",OR($O275="")),AND($G275="À décommissionner",OR($I275="",$W275=""))),"Données manquantes (selon l’action)",IF(AND($G275&lt;&gt;"Migré",$G275&lt;&gt;"À migrer",$G275&lt;&gt;"À décommissionner",$G275&lt;&gt;"Décommissionné"),"Action invalide",IF(COUNTIF(TblDomaines[Domaine],$A275)=0,"Domaine inconnu (référentiel)",IF(COUNTIFS(TblTribes[Tribe],$B275,TblTribes[Domaine de la tribe],$A275)=0,"Tribe inconnue ou hors domaine",IF(AND($G275="À migrer",$H275&lt;&gt;"Oui",$H275&lt;&gt;"Non"),"Valeur Oui/Non invalide (Déjà incluse ROKS)",IF(AND($E275&lt;&gt;"PRD",$E275&lt;&gt;"NPRD"),"Environnement invalide",IF(COUNTIFS(TblApplications[ID],$C275,TblApplications[Environnement],$E275,TblApplications[Couloir],$F275)&gt;1,"Déploiement en doublon (ID + env + couloir)",IF(AND(OR(OR($G275="À migrer",$G275="Migré"),OR($G275="À migrer",$G275="À décommissionner")),N($P275)&lt;=0),"Conso Dynatrace absente (onglet Dynatrace)",IF(OR(AND($P275&lt;&gt;"",NOT(ISNUMBER($P275))),AND($Q275&lt;&gt;"",NOT(ISNUMBER($Q275)))),"Ressource non numérique",IF(MIN(N($P275),N($Q275))&lt;0,"Ressource négative",IF(OR(AND($AH275&lt;&gt;"",OR(NOT(ISNUMBER($AH275)),$AH275&lt;0,$AH275&gt;1)),AND($AI275&lt;&gt;"",OR(NOT(ISNUMBER($AI275)),$AI275&lt;0,$AI275&gt;1))),"Marge spécifique invalide (0–100 %)",IF(OR(AND($U275&lt;&gt;"",NOT(ISNUMBER($U275))),AND($V275&lt;&gt;"",NOT(ISNUMBER($V275))),AND($W275&lt;&gt;"",NOT(ISNUMBER($W275)))),"Mois invalide",IF(AND(OR($G275="À migrer",$G275="À décommissionner"),COUNTIFS(TblClusters[Cluster],$I275,TblClusters[Plateforme],"IKS")=0),"Cluster IKS inconnu",IF(AND(OR($G275="À migrer",$G275="Migré"),COUNTIFS(TblClusters[Cluster],$O275,TblClusters[Plateforme],"ROKS")=0),"Cluster ROKS inconnu",IF(AND(OR($G275="À migrer",$G275="À décommissionner"),COUNTIFS(TblClusters[Cluster],$I275,TblClusters[Environnement],$E275)=0),"Environnement ≠ cluster IKS",IF(AND(OR($G275="À migrer",$G275="Migré"),COUNTIFS(TblClusters[Cluster],$O275,TblClusters[Environnement],$E275)=0),"Environnement ≠ cluster ROKS",IF(AND($G275="À migrer",OR($U275&gt;$V275,$V275&gt;$W275)),"Dates incohérentes (prov ≤ bascule ≤ libération)",IF(AND(OR($G275="À migrer",$G275="À décommissionner"),OR(N($AO275)&gt;SUMIFS(TblClusters[CPU initial (vCPU)],TblClusters[Cluster],$I275),N($AP275)&gt;SUMIFS(TblClusters[RAM initiale (Go)],TblClusters[Cluster],$I275))),"Forçage &gt; capacité du cluster source",IF(OR(AND($AA275&lt;&gt;"",$AA275&lt;p_debut),AND($AB275&lt;&gt;"",$AB275&gt;p_fin)),"Hors horizon (info)",IF(AND($G275="À migrer",$E275="PRD",COUNTIFS(TblApplications[ID],$C275,TblApplications[Environnement],"NPRD",TblApplications[Action],"À migrer")&gt;0,$AA275&lt;_xlfn.MINIFS(TblApplications[Mois prov (calc)],TblApplications[ID],$C275,TblApplications[Environnement],"NPRD")),"PRD avant NPRD (info)","OK")))))))))))))))))))))</f>
        <v/>
      </c>
      <c r="AH275" s="62"/>
      <c r="AI275" s="62"/>
      <c r="AJ275" s="27" t="str">
        <f>IF(OR($C275="",NOT(OR($G275="À migrer",$G275="À décommissionner")),NOT(ISNUMBER($S275)),NOT(ISNUMBER($T275)),$AB275=""),"",($S275+p_poidsram*$T275)*SUMIFS(TblCalculs[Coût par unité],TblCalculs[Cluster],$I275,TblCalculs[Mois],"&lt;"&amp;$AB275))</f>
        <v/>
      </c>
      <c r="AK275" s="27" t="str">
        <f>IF($C275="","",IF(AND($G275="À migrer",$H275="Non",$Y275&lt;&gt;"",$AA275&lt;&gt;""),($Y275+p_poidsram*$Z275)*SUMIFS(TblCalculs[Coût par unité],TblCalculs[Cluster],$O275,TblCalculs[Mois],"&gt;="&amp;$AA275),IF(AND($G275="Migré",$Y275&lt;&gt;""),($Y275+p_poidsram*$Z275)*SUMIFS(TblCalculs[Coût par unité],TblCalculs[Cluster],$O275),"")))</f>
        <v/>
      </c>
      <c r="AL275" s="27" t="str">
        <f t="shared" si="38"/>
        <v/>
      </c>
      <c r="AM275" s="26" t="str">
        <f t="shared" si="39"/>
        <v/>
      </c>
      <c r="AN275" s="26" t="str">
        <f>IF(OR($C275="",$AM275&lt;&gt;1,COUNTIFS($E275,ex_envc,$A275,ex_domc,$B275,ex_tric)=0),"",COUNTIFS($AM$6:$AM275,1,$E$6:$E275,ex_envc,$A$6:$A275,ex_domc,$B$6:$B275,ex_tric))</f>
        <v/>
      </c>
      <c r="AO275" s="63"/>
      <c r="AP275" s="63"/>
      <c r="AQ275" s="63"/>
      <c r="AR275" s="63"/>
    </row>
    <row r="276" spans="1:44" x14ac:dyDescent="0.2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26" t="str">
        <f t="shared" si="32"/>
        <v/>
      </c>
      <c r="O276" s="59"/>
      <c r="P276" s="60" t="str">
        <f>IF($C276="","",IF($AQ276&lt;&gt;"",$AQ276,SUMIFS(TblDynatrace[CPU P95 (vCPU)],TblDynatrace[ID],$C276,TblDynatrace[Environnement],$E276,TblDynatrace[Couloir],$F276)))</f>
        <v/>
      </c>
      <c r="Q276" s="60" t="str">
        <f>IF($C276="","",IF($AR276&lt;&gt;"",$AR276,SUMIFS(TblDynatrace[RAM P95 (Go)],TblDynatrace[ID],$C276,TblDynatrace[Environnement],$E276,TblDynatrace[Couloir],$F276)))</f>
        <v/>
      </c>
      <c r="R276" s="26" t="str">
        <f>IF($C276="","",IFERROR(INDEX(TblDynatrace[Métrique / période],MATCH($C276&amp;"|"&amp;$E276&amp;"|"&amp;$F276,TblDynatrace[Clé],0)),""))</f>
        <v/>
      </c>
      <c r="S276" s="60" t="str">
        <f>IF(OR($C276="",NOT(OR($G276="À migrer",$G276="À décommissionner")),$I276="",NOT(ISNUMBER($P276))),"",IF($AO276&lt;&gt;"",$AO276,IFERROR(SUMIFS(TblClusters[CPU initial (vCPU)],TblClusters[Cluster],$I276)*$P276/(SUMIFS(TblApplications[CPU Dynatrace (vCPU)],TblApplications[Cluster IKS source],$I276,TblApplications[Action],"À migrer")+SUMIFS(TblApplications[CPU Dynatrace (vCPU)],TblApplications[Cluster IKS source],$I276,TblApplications[Action],"À décommissionner")),0)))</f>
        <v/>
      </c>
      <c r="T276" s="60" t="str">
        <f>IF(OR($C276="",NOT(OR($G276="À migrer",$G276="À décommissionner")),$I276="",NOT(ISNUMBER($Q276))),"",IF($AP276&lt;&gt;"",$AP276,IFERROR(SUMIFS(TblClusters[RAM initiale (Go)],TblClusters[Cluster],$I276)*$Q276/(SUMIFS(TblApplications[RAM Dynatrace (Go)],TblApplications[Cluster IKS source],$I276,TblApplications[Action],"À migrer")+SUMIFS(TblApplications[RAM Dynatrace (Go)],TblApplications[Cluster IKS source],$I276,TblApplications[Action],"À décommissionner")),0)))</f>
        <v/>
      </c>
      <c r="U276" s="61"/>
      <c r="V276" s="61"/>
      <c r="W276" s="61"/>
      <c r="X276" s="59"/>
      <c r="Y276" s="26" t="str">
        <f t="shared" si="33"/>
        <v/>
      </c>
      <c r="Z276" s="26" t="str">
        <f t="shared" si="34"/>
        <v/>
      </c>
      <c r="AA276" s="33" t="str">
        <f t="shared" si="35"/>
        <v/>
      </c>
      <c r="AB276" s="33" t="str">
        <f t="shared" si="36"/>
        <v/>
      </c>
      <c r="AC276" s="26" t="str">
        <f t="shared" si="37"/>
        <v/>
      </c>
      <c r="AD276" s="26" t="str">
        <f>IF($C276="","",COUNTIF(TblApplications[ID],$C276))</f>
        <v/>
      </c>
      <c r="AE276" s="33" t="str">
        <f>IF($C276="","",IFERROR(1/(1/_xlfn.MINIFS(TblApplications[Mois prov (calc)],TblApplications[ID],$C276)),""))</f>
        <v/>
      </c>
      <c r="AF276" s="33" t="str">
        <f>IF($C276="","",IFERROR(1/(1/_xlfn.MAXIFS(TblApplications[Mois lib (calc)],TblApplications[ID],$C276)),""))</f>
        <v/>
      </c>
      <c r="AG276" s="26" t="str">
        <f>IF($C276="","",IF(OR(OR($A276="",$B276="",$D276="",$E276="",$F276="",$G276=""),AND($G276="À migrer",OR($H276="",$I276="",$O276="",$U276="",$V276="",$W276="")),AND($G276="Migré",OR($O276="")),AND($G276="À décommissionner",OR($I276="",$W276=""))),"Données manquantes (selon l’action)",IF(AND($G276&lt;&gt;"Migré",$G276&lt;&gt;"À migrer",$G276&lt;&gt;"À décommissionner",$G276&lt;&gt;"Décommissionné"),"Action invalide",IF(COUNTIF(TblDomaines[Domaine],$A276)=0,"Domaine inconnu (référentiel)",IF(COUNTIFS(TblTribes[Tribe],$B276,TblTribes[Domaine de la tribe],$A276)=0,"Tribe inconnue ou hors domaine",IF(AND($G276="À migrer",$H276&lt;&gt;"Oui",$H276&lt;&gt;"Non"),"Valeur Oui/Non invalide (Déjà incluse ROKS)",IF(AND($E276&lt;&gt;"PRD",$E276&lt;&gt;"NPRD"),"Environnement invalide",IF(COUNTIFS(TblApplications[ID],$C276,TblApplications[Environnement],$E276,TblApplications[Couloir],$F276)&gt;1,"Déploiement en doublon (ID + env + couloir)",IF(AND(OR(OR($G276="À migrer",$G276="Migré"),OR($G276="À migrer",$G276="À décommissionner")),N($P276)&lt;=0),"Conso Dynatrace absente (onglet Dynatrace)",IF(OR(AND($P276&lt;&gt;"",NOT(ISNUMBER($P276))),AND($Q276&lt;&gt;"",NOT(ISNUMBER($Q276)))),"Ressource non numérique",IF(MIN(N($P276),N($Q276))&lt;0,"Ressource négative",IF(OR(AND($AH276&lt;&gt;"",OR(NOT(ISNUMBER($AH276)),$AH276&lt;0,$AH276&gt;1)),AND($AI276&lt;&gt;"",OR(NOT(ISNUMBER($AI276)),$AI276&lt;0,$AI276&gt;1))),"Marge spécifique invalide (0–100 %)",IF(OR(AND($U276&lt;&gt;"",NOT(ISNUMBER($U276))),AND($V276&lt;&gt;"",NOT(ISNUMBER($V276))),AND($W276&lt;&gt;"",NOT(ISNUMBER($W276)))),"Mois invalide",IF(AND(OR($G276="À migrer",$G276="À décommissionner"),COUNTIFS(TblClusters[Cluster],$I276,TblClusters[Plateforme],"IKS")=0),"Cluster IKS inconnu",IF(AND(OR($G276="À migrer",$G276="Migré"),COUNTIFS(TblClusters[Cluster],$O276,TblClusters[Plateforme],"ROKS")=0),"Cluster ROKS inconnu",IF(AND(OR($G276="À migrer",$G276="À décommissionner"),COUNTIFS(TblClusters[Cluster],$I276,TblClusters[Environnement],$E276)=0),"Environnement ≠ cluster IKS",IF(AND(OR($G276="À migrer",$G276="Migré"),COUNTIFS(TblClusters[Cluster],$O276,TblClusters[Environnement],$E276)=0),"Environnement ≠ cluster ROKS",IF(AND($G276="À migrer",OR($U276&gt;$V276,$V276&gt;$W276)),"Dates incohérentes (prov ≤ bascule ≤ libération)",IF(AND(OR($G276="À migrer",$G276="À décommissionner"),OR(N($AO276)&gt;SUMIFS(TblClusters[CPU initial (vCPU)],TblClusters[Cluster],$I276),N($AP276)&gt;SUMIFS(TblClusters[RAM initiale (Go)],TblClusters[Cluster],$I276))),"Forçage &gt; capacité du cluster source",IF(OR(AND($AA276&lt;&gt;"",$AA276&lt;p_debut),AND($AB276&lt;&gt;"",$AB276&gt;p_fin)),"Hors horizon (info)",IF(AND($G276="À migrer",$E276="PRD",COUNTIFS(TblApplications[ID],$C276,TblApplications[Environnement],"NPRD",TblApplications[Action],"À migrer")&gt;0,$AA276&lt;_xlfn.MINIFS(TblApplications[Mois prov (calc)],TblApplications[ID],$C276,TblApplications[Environnement],"NPRD")),"PRD avant NPRD (info)","OK")))))))))))))))))))))</f>
        <v/>
      </c>
      <c r="AH276" s="62"/>
      <c r="AI276" s="62"/>
      <c r="AJ276" s="27" t="str">
        <f>IF(OR($C276="",NOT(OR($G276="À migrer",$G276="À décommissionner")),NOT(ISNUMBER($S276)),NOT(ISNUMBER($T276)),$AB276=""),"",($S276+p_poidsram*$T276)*SUMIFS(TblCalculs[Coût par unité],TblCalculs[Cluster],$I276,TblCalculs[Mois],"&lt;"&amp;$AB276))</f>
        <v/>
      </c>
      <c r="AK276" s="27" t="str">
        <f>IF($C276="","",IF(AND($G276="À migrer",$H276="Non",$Y276&lt;&gt;"",$AA276&lt;&gt;""),($Y276+p_poidsram*$Z276)*SUMIFS(TblCalculs[Coût par unité],TblCalculs[Cluster],$O276,TblCalculs[Mois],"&gt;="&amp;$AA276),IF(AND($G276="Migré",$Y276&lt;&gt;""),($Y276+p_poidsram*$Z276)*SUMIFS(TblCalculs[Coût par unité],TblCalculs[Cluster],$O276),"")))</f>
        <v/>
      </c>
      <c r="AL276" s="27" t="str">
        <f t="shared" si="38"/>
        <v/>
      </c>
      <c r="AM276" s="26" t="str">
        <f t="shared" si="39"/>
        <v/>
      </c>
      <c r="AN276" s="26" t="str">
        <f>IF(OR($C276="",$AM276&lt;&gt;1,COUNTIFS($E276,ex_envc,$A276,ex_domc,$B276,ex_tric)=0),"",COUNTIFS($AM$6:$AM276,1,$E$6:$E276,ex_envc,$A$6:$A276,ex_domc,$B$6:$B276,ex_tric))</f>
        <v/>
      </c>
      <c r="AO276" s="63"/>
      <c r="AP276" s="63"/>
      <c r="AQ276" s="63"/>
      <c r="AR276" s="63"/>
    </row>
    <row r="277" spans="1:44" x14ac:dyDescent="0.2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26" t="str">
        <f t="shared" si="32"/>
        <v/>
      </c>
      <c r="O277" s="59"/>
      <c r="P277" s="60" t="str">
        <f>IF($C277="","",IF($AQ277&lt;&gt;"",$AQ277,SUMIFS(TblDynatrace[CPU P95 (vCPU)],TblDynatrace[ID],$C277,TblDynatrace[Environnement],$E277,TblDynatrace[Couloir],$F277)))</f>
        <v/>
      </c>
      <c r="Q277" s="60" t="str">
        <f>IF($C277="","",IF($AR277&lt;&gt;"",$AR277,SUMIFS(TblDynatrace[RAM P95 (Go)],TblDynatrace[ID],$C277,TblDynatrace[Environnement],$E277,TblDynatrace[Couloir],$F277)))</f>
        <v/>
      </c>
      <c r="R277" s="26" t="str">
        <f>IF($C277="","",IFERROR(INDEX(TblDynatrace[Métrique / période],MATCH($C277&amp;"|"&amp;$E277&amp;"|"&amp;$F277,TblDynatrace[Clé],0)),""))</f>
        <v/>
      </c>
      <c r="S277" s="60" t="str">
        <f>IF(OR($C277="",NOT(OR($G277="À migrer",$G277="À décommissionner")),$I277="",NOT(ISNUMBER($P277))),"",IF($AO277&lt;&gt;"",$AO277,IFERROR(SUMIFS(TblClusters[CPU initial (vCPU)],TblClusters[Cluster],$I277)*$P277/(SUMIFS(TblApplications[CPU Dynatrace (vCPU)],TblApplications[Cluster IKS source],$I277,TblApplications[Action],"À migrer")+SUMIFS(TblApplications[CPU Dynatrace (vCPU)],TblApplications[Cluster IKS source],$I277,TblApplications[Action],"À décommissionner")),0)))</f>
        <v/>
      </c>
      <c r="T277" s="60" t="str">
        <f>IF(OR($C277="",NOT(OR($G277="À migrer",$G277="À décommissionner")),$I277="",NOT(ISNUMBER($Q277))),"",IF($AP277&lt;&gt;"",$AP277,IFERROR(SUMIFS(TblClusters[RAM initiale (Go)],TblClusters[Cluster],$I277)*$Q277/(SUMIFS(TblApplications[RAM Dynatrace (Go)],TblApplications[Cluster IKS source],$I277,TblApplications[Action],"À migrer")+SUMIFS(TblApplications[RAM Dynatrace (Go)],TblApplications[Cluster IKS source],$I277,TblApplications[Action],"À décommissionner")),0)))</f>
        <v/>
      </c>
      <c r="U277" s="61"/>
      <c r="V277" s="61"/>
      <c r="W277" s="61"/>
      <c r="X277" s="59"/>
      <c r="Y277" s="26" t="str">
        <f t="shared" si="33"/>
        <v/>
      </c>
      <c r="Z277" s="26" t="str">
        <f t="shared" si="34"/>
        <v/>
      </c>
      <c r="AA277" s="33" t="str">
        <f t="shared" si="35"/>
        <v/>
      </c>
      <c r="AB277" s="33" t="str">
        <f t="shared" si="36"/>
        <v/>
      </c>
      <c r="AC277" s="26" t="str">
        <f t="shared" si="37"/>
        <v/>
      </c>
      <c r="AD277" s="26" t="str">
        <f>IF($C277="","",COUNTIF(TblApplications[ID],$C277))</f>
        <v/>
      </c>
      <c r="AE277" s="33" t="str">
        <f>IF($C277="","",IFERROR(1/(1/_xlfn.MINIFS(TblApplications[Mois prov (calc)],TblApplications[ID],$C277)),""))</f>
        <v/>
      </c>
      <c r="AF277" s="33" t="str">
        <f>IF($C277="","",IFERROR(1/(1/_xlfn.MAXIFS(TblApplications[Mois lib (calc)],TblApplications[ID],$C277)),""))</f>
        <v/>
      </c>
      <c r="AG277" s="26" t="str">
        <f>IF($C277="","",IF(OR(OR($A277="",$B277="",$D277="",$E277="",$F277="",$G277=""),AND($G277="À migrer",OR($H277="",$I277="",$O277="",$U277="",$V277="",$W277="")),AND($G277="Migré",OR($O277="")),AND($G277="À décommissionner",OR($I277="",$W277=""))),"Données manquantes (selon l’action)",IF(AND($G277&lt;&gt;"Migré",$G277&lt;&gt;"À migrer",$G277&lt;&gt;"À décommissionner",$G277&lt;&gt;"Décommissionné"),"Action invalide",IF(COUNTIF(TblDomaines[Domaine],$A277)=0,"Domaine inconnu (référentiel)",IF(COUNTIFS(TblTribes[Tribe],$B277,TblTribes[Domaine de la tribe],$A277)=0,"Tribe inconnue ou hors domaine",IF(AND($G277="À migrer",$H277&lt;&gt;"Oui",$H277&lt;&gt;"Non"),"Valeur Oui/Non invalide (Déjà incluse ROKS)",IF(AND($E277&lt;&gt;"PRD",$E277&lt;&gt;"NPRD"),"Environnement invalide",IF(COUNTIFS(TblApplications[ID],$C277,TblApplications[Environnement],$E277,TblApplications[Couloir],$F277)&gt;1,"Déploiement en doublon (ID + env + couloir)",IF(AND(OR(OR($G277="À migrer",$G277="Migré"),OR($G277="À migrer",$G277="À décommissionner")),N($P277)&lt;=0),"Conso Dynatrace absente (onglet Dynatrace)",IF(OR(AND($P277&lt;&gt;"",NOT(ISNUMBER($P277))),AND($Q277&lt;&gt;"",NOT(ISNUMBER($Q277)))),"Ressource non numérique",IF(MIN(N($P277),N($Q277))&lt;0,"Ressource négative",IF(OR(AND($AH277&lt;&gt;"",OR(NOT(ISNUMBER($AH277)),$AH277&lt;0,$AH277&gt;1)),AND($AI277&lt;&gt;"",OR(NOT(ISNUMBER($AI277)),$AI277&lt;0,$AI277&gt;1))),"Marge spécifique invalide (0–100 %)",IF(OR(AND($U277&lt;&gt;"",NOT(ISNUMBER($U277))),AND($V277&lt;&gt;"",NOT(ISNUMBER($V277))),AND($W277&lt;&gt;"",NOT(ISNUMBER($W277)))),"Mois invalide",IF(AND(OR($G277="À migrer",$G277="À décommissionner"),COUNTIFS(TblClusters[Cluster],$I277,TblClusters[Plateforme],"IKS")=0),"Cluster IKS inconnu",IF(AND(OR($G277="À migrer",$G277="Migré"),COUNTIFS(TblClusters[Cluster],$O277,TblClusters[Plateforme],"ROKS")=0),"Cluster ROKS inconnu",IF(AND(OR($G277="À migrer",$G277="À décommissionner"),COUNTIFS(TblClusters[Cluster],$I277,TblClusters[Environnement],$E277)=0),"Environnement ≠ cluster IKS",IF(AND(OR($G277="À migrer",$G277="Migré"),COUNTIFS(TblClusters[Cluster],$O277,TblClusters[Environnement],$E277)=0),"Environnement ≠ cluster ROKS",IF(AND($G277="À migrer",OR($U277&gt;$V277,$V277&gt;$W277)),"Dates incohérentes (prov ≤ bascule ≤ libération)",IF(AND(OR($G277="À migrer",$G277="À décommissionner"),OR(N($AO277)&gt;SUMIFS(TblClusters[CPU initial (vCPU)],TblClusters[Cluster],$I277),N($AP277)&gt;SUMIFS(TblClusters[RAM initiale (Go)],TblClusters[Cluster],$I277))),"Forçage &gt; capacité du cluster source",IF(OR(AND($AA277&lt;&gt;"",$AA277&lt;p_debut),AND($AB277&lt;&gt;"",$AB277&gt;p_fin)),"Hors horizon (info)",IF(AND($G277="À migrer",$E277="PRD",COUNTIFS(TblApplications[ID],$C277,TblApplications[Environnement],"NPRD",TblApplications[Action],"À migrer")&gt;0,$AA277&lt;_xlfn.MINIFS(TblApplications[Mois prov (calc)],TblApplications[ID],$C277,TblApplications[Environnement],"NPRD")),"PRD avant NPRD (info)","OK")))))))))))))))))))))</f>
        <v/>
      </c>
      <c r="AH277" s="62"/>
      <c r="AI277" s="62"/>
      <c r="AJ277" s="27" t="str">
        <f>IF(OR($C277="",NOT(OR($G277="À migrer",$G277="À décommissionner")),NOT(ISNUMBER($S277)),NOT(ISNUMBER($T277)),$AB277=""),"",($S277+p_poidsram*$T277)*SUMIFS(TblCalculs[Coût par unité],TblCalculs[Cluster],$I277,TblCalculs[Mois],"&lt;"&amp;$AB277))</f>
        <v/>
      </c>
      <c r="AK277" s="27" t="str">
        <f>IF($C277="","",IF(AND($G277="À migrer",$H277="Non",$Y277&lt;&gt;"",$AA277&lt;&gt;""),($Y277+p_poidsram*$Z277)*SUMIFS(TblCalculs[Coût par unité],TblCalculs[Cluster],$O277,TblCalculs[Mois],"&gt;="&amp;$AA277),IF(AND($G277="Migré",$Y277&lt;&gt;""),($Y277+p_poidsram*$Z277)*SUMIFS(TblCalculs[Coût par unité],TblCalculs[Cluster],$O277),"")))</f>
        <v/>
      </c>
      <c r="AL277" s="27" t="str">
        <f t="shared" si="38"/>
        <v/>
      </c>
      <c r="AM277" s="26" t="str">
        <f t="shared" si="39"/>
        <v/>
      </c>
      <c r="AN277" s="26" t="str">
        <f>IF(OR($C277="",$AM277&lt;&gt;1,COUNTIFS($E277,ex_envc,$A277,ex_domc,$B277,ex_tric)=0),"",COUNTIFS($AM$6:$AM277,1,$E$6:$E277,ex_envc,$A$6:$A277,ex_domc,$B$6:$B277,ex_tric))</f>
        <v/>
      </c>
      <c r="AO277" s="63"/>
      <c r="AP277" s="63"/>
      <c r="AQ277" s="63"/>
      <c r="AR277" s="63"/>
    </row>
    <row r="278" spans="1:44" x14ac:dyDescent="0.2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26" t="str">
        <f t="shared" si="32"/>
        <v/>
      </c>
      <c r="O278" s="59"/>
      <c r="P278" s="60" t="str">
        <f>IF($C278="","",IF($AQ278&lt;&gt;"",$AQ278,SUMIFS(TblDynatrace[CPU P95 (vCPU)],TblDynatrace[ID],$C278,TblDynatrace[Environnement],$E278,TblDynatrace[Couloir],$F278)))</f>
        <v/>
      </c>
      <c r="Q278" s="60" t="str">
        <f>IF($C278="","",IF($AR278&lt;&gt;"",$AR278,SUMIFS(TblDynatrace[RAM P95 (Go)],TblDynatrace[ID],$C278,TblDynatrace[Environnement],$E278,TblDynatrace[Couloir],$F278)))</f>
        <v/>
      </c>
      <c r="R278" s="26" t="str">
        <f>IF($C278="","",IFERROR(INDEX(TblDynatrace[Métrique / période],MATCH($C278&amp;"|"&amp;$E278&amp;"|"&amp;$F278,TblDynatrace[Clé],0)),""))</f>
        <v/>
      </c>
      <c r="S278" s="60" t="str">
        <f>IF(OR($C278="",NOT(OR($G278="À migrer",$G278="À décommissionner")),$I278="",NOT(ISNUMBER($P278))),"",IF($AO278&lt;&gt;"",$AO278,IFERROR(SUMIFS(TblClusters[CPU initial (vCPU)],TblClusters[Cluster],$I278)*$P278/(SUMIFS(TblApplications[CPU Dynatrace (vCPU)],TblApplications[Cluster IKS source],$I278,TblApplications[Action],"À migrer")+SUMIFS(TblApplications[CPU Dynatrace (vCPU)],TblApplications[Cluster IKS source],$I278,TblApplications[Action],"À décommissionner")),0)))</f>
        <v/>
      </c>
      <c r="T278" s="60" t="str">
        <f>IF(OR($C278="",NOT(OR($G278="À migrer",$G278="À décommissionner")),$I278="",NOT(ISNUMBER($Q278))),"",IF($AP278&lt;&gt;"",$AP278,IFERROR(SUMIFS(TblClusters[RAM initiale (Go)],TblClusters[Cluster],$I278)*$Q278/(SUMIFS(TblApplications[RAM Dynatrace (Go)],TblApplications[Cluster IKS source],$I278,TblApplications[Action],"À migrer")+SUMIFS(TblApplications[RAM Dynatrace (Go)],TblApplications[Cluster IKS source],$I278,TblApplications[Action],"À décommissionner")),0)))</f>
        <v/>
      </c>
      <c r="U278" s="61"/>
      <c r="V278" s="61"/>
      <c r="W278" s="61"/>
      <c r="X278" s="59"/>
      <c r="Y278" s="26" t="str">
        <f t="shared" si="33"/>
        <v/>
      </c>
      <c r="Z278" s="26" t="str">
        <f t="shared" si="34"/>
        <v/>
      </c>
      <c r="AA278" s="33" t="str">
        <f t="shared" si="35"/>
        <v/>
      </c>
      <c r="AB278" s="33" t="str">
        <f t="shared" si="36"/>
        <v/>
      </c>
      <c r="AC278" s="26" t="str">
        <f t="shared" si="37"/>
        <v/>
      </c>
      <c r="AD278" s="26" t="str">
        <f>IF($C278="","",COUNTIF(TblApplications[ID],$C278))</f>
        <v/>
      </c>
      <c r="AE278" s="33" t="str">
        <f>IF($C278="","",IFERROR(1/(1/_xlfn.MINIFS(TblApplications[Mois prov (calc)],TblApplications[ID],$C278)),""))</f>
        <v/>
      </c>
      <c r="AF278" s="33" t="str">
        <f>IF($C278="","",IFERROR(1/(1/_xlfn.MAXIFS(TblApplications[Mois lib (calc)],TblApplications[ID],$C278)),""))</f>
        <v/>
      </c>
      <c r="AG278" s="26" t="str">
        <f>IF($C278="","",IF(OR(OR($A278="",$B278="",$D278="",$E278="",$F278="",$G278=""),AND($G278="À migrer",OR($H278="",$I278="",$O278="",$U278="",$V278="",$W278="")),AND($G278="Migré",OR($O278="")),AND($G278="À décommissionner",OR($I278="",$W278=""))),"Données manquantes (selon l’action)",IF(AND($G278&lt;&gt;"Migré",$G278&lt;&gt;"À migrer",$G278&lt;&gt;"À décommissionner",$G278&lt;&gt;"Décommissionné"),"Action invalide",IF(COUNTIF(TblDomaines[Domaine],$A278)=0,"Domaine inconnu (référentiel)",IF(COUNTIFS(TblTribes[Tribe],$B278,TblTribes[Domaine de la tribe],$A278)=0,"Tribe inconnue ou hors domaine",IF(AND($G278="À migrer",$H278&lt;&gt;"Oui",$H278&lt;&gt;"Non"),"Valeur Oui/Non invalide (Déjà incluse ROKS)",IF(AND($E278&lt;&gt;"PRD",$E278&lt;&gt;"NPRD"),"Environnement invalide",IF(COUNTIFS(TblApplications[ID],$C278,TblApplications[Environnement],$E278,TblApplications[Couloir],$F278)&gt;1,"Déploiement en doublon (ID + env + couloir)",IF(AND(OR(OR($G278="À migrer",$G278="Migré"),OR($G278="À migrer",$G278="À décommissionner")),N($P278)&lt;=0),"Conso Dynatrace absente (onglet Dynatrace)",IF(OR(AND($P278&lt;&gt;"",NOT(ISNUMBER($P278))),AND($Q278&lt;&gt;"",NOT(ISNUMBER($Q278)))),"Ressource non numérique",IF(MIN(N($P278),N($Q278))&lt;0,"Ressource négative",IF(OR(AND($AH278&lt;&gt;"",OR(NOT(ISNUMBER($AH278)),$AH278&lt;0,$AH278&gt;1)),AND($AI278&lt;&gt;"",OR(NOT(ISNUMBER($AI278)),$AI278&lt;0,$AI278&gt;1))),"Marge spécifique invalide (0–100 %)",IF(OR(AND($U278&lt;&gt;"",NOT(ISNUMBER($U278))),AND($V278&lt;&gt;"",NOT(ISNUMBER($V278))),AND($W278&lt;&gt;"",NOT(ISNUMBER($W278)))),"Mois invalide",IF(AND(OR($G278="À migrer",$G278="À décommissionner"),COUNTIFS(TblClusters[Cluster],$I278,TblClusters[Plateforme],"IKS")=0),"Cluster IKS inconnu",IF(AND(OR($G278="À migrer",$G278="Migré"),COUNTIFS(TblClusters[Cluster],$O278,TblClusters[Plateforme],"ROKS")=0),"Cluster ROKS inconnu",IF(AND(OR($G278="À migrer",$G278="À décommissionner"),COUNTIFS(TblClusters[Cluster],$I278,TblClusters[Environnement],$E278)=0),"Environnement ≠ cluster IKS",IF(AND(OR($G278="À migrer",$G278="Migré"),COUNTIFS(TblClusters[Cluster],$O278,TblClusters[Environnement],$E278)=0),"Environnement ≠ cluster ROKS",IF(AND($G278="À migrer",OR($U278&gt;$V278,$V278&gt;$W278)),"Dates incohérentes (prov ≤ bascule ≤ libération)",IF(AND(OR($G278="À migrer",$G278="À décommissionner"),OR(N($AO278)&gt;SUMIFS(TblClusters[CPU initial (vCPU)],TblClusters[Cluster],$I278),N($AP278)&gt;SUMIFS(TblClusters[RAM initiale (Go)],TblClusters[Cluster],$I278))),"Forçage &gt; capacité du cluster source",IF(OR(AND($AA278&lt;&gt;"",$AA278&lt;p_debut),AND($AB278&lt;&gt;"",$AB278&gt;p_fin)),"Hors horizon (info)",IF(AND($G278="À migrer",$E278="PRD",COUNTIFS(TblApplications[ID],$C278,TblApplications[Environnement],"NPRD",TblApplications[Action],"À migrer")&gt;0,$AA278&lt;_xlfn.MINIFS(TblApplications[Mois prov (calc)],TblApplications[ID],$C278,TblApplications[Environnement],"NPRD")),"PRD avant NPRD (info)","OK")))))))))))))))))))))</f>
        <v/>
      </c>
      <c r="AH278" s="62"/>
      <c r="AI278" s="62"/>
      <c r="AJ278" s="27" t="str">
        <f>IF(OR($C278="",NOT(OR($G278="À migrer",$G278="À décommissionner")),NOT(ISNUMBER($S278)),NOT(ISNUMBER($T278)),$AB278=""),"",($S278+p_poidsram*$T278)*SUMIFS(TblCalculs[Coût par unité],TblCalculs[Cluster],$I278,TblCalculs[Mois],"&lt;"&amp;$AB278))</f>
        <v/>
      </c>
      <c r="AK278" s="27" t="str">
        <f>IF($C278="","",IF(AND($G278="À migrer",$H278="Non",$Y278&lt;&gt;"",$AA278&lt;&gt;""),($Y278+p_poidsram*$Z278)*SUMIFS(TblCalculs[Coût par unité],TblCalculs[Cluster],$O278,TblCalculs[Mois],"&gt;="&amp;$AA278),IF(AND($G278="Migré",$Y278&lt;&gt;""),($Y278+p_poidsram*$Z278)*SUMIFS(TblCalculs[Coût par unité],TblCalculs[Cluster],$O278),"")))</f>
        <v/>
      </c>
      <c r="AL278" s="27" t="str">
        <f t="shared" si="38"/>
        <v/>
      </c>
      <c r="AM278" s="26" t="str">
        <f t="shared" si="39"/>
        <v/>
      </c>
      <c r="AN278" s="26" t="str">
        <f>IF(OR($C278="",$AM278&lt;&gt;1,COUNTIFS($E278,ex_envc,$A278,ex_domc,$B278,ex_tric)=0),"",COUNTIFS($AM$6:$AM278,1,$E$6:$E278,ex_envc,$A$6:$A278,ex_domc,$B$6:$B278,ex_tric))</f>
        <v/>
      </c>
      <c r="AO278" s="63"/>
      <c r="AP278" s="63"/>
      <c r="AQ278" s="63"/>
      <c r="AR278" s="63"/>
    </row>
    <row r="279" spans="1:44" x14ac:dyDescent="0.2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26" t="str">
        <f t="shared" si="32"/>
        <v/>
      </c>
      <c r="O279" s="59"/>
      <c r="P279" s="60" t="str">
        <f>IF($C279="","",IF($AQ279&lt;&gt;"",$AQ279,SUMIFS(TblDynatrace[CPU P95 (vCPU)],TblDynatrace[ID],$C279,TblDynatrace[Environnement],$E279,TblDynatrace[Couloir],$F279)))</f>
        <v/>
      </c>
      <c r="Q279" s="60" t="str">
        <f>IF($C279="","",IF($AR279&lt;&gt;"",$AR279,SUMIFS(TblDynatrace[RAM P95 (Go)],TblDynatrace[ID],$C279,TblDynatrace[Environnement],$E279,TblDynatrace[Couloir],$F279)))</f>
        <v/>
      </c>
      <c r="R279" s="26" t="str">
        <f>IF($C279="","",IFERROR(INDEX(TblDynatrace[Métrique / période],MATCH($C279&amp;"|"&amp;$E279&amp;"|"&amp;$F279,TblDynatrace[Clé],0)),""))</f>
        <v/>
      </c>
      <c r="S279" s="60" t="str">
        <f>IF(OR($C279="",NOT(OR($G279="À migrer",$G279="À décommissionner")),$I279="",NOT(ISNUMBER($P279))),"",IF($AO279&lt;&gt;"",$AO279,IFERROR(SUMIFS(TblClusters[CPU initial (vCPU)],TblClusters[Cluster],$I279)*$P279/(SUMIFS(TblApplications[CPU Dynatrace (vCPU)],TblApplications[Cluster IKS source],$I279,TblApplications[Action],"À migrer")+SUMIFS(TblApplications[CPU Dynatrace (vCPU)],TblApplications[Cluster IKS source],$I279,TblApplications[Action],"À décommissionner")),0)))</f>
        <v/>
      </c>
      <c r="T279" s="60" t="str">
        <f>IF(OR($C279="",NOT(OR($G279="À migrer",$G279="À décommissionner")),$I279="",NOT(ISNUMBER($Q279))),"",IF($AP279&lt;&gt;"",$AP279,IFERROR(SUMIFS(TblClusters[RAM initiale (Go)],TblClusters[Cluster],$I279)*$Q279/(SUMIFS(TblApplications[RAM Dynatrace (Go)],TblApplications[Cluster IKS source],$I279,TblApplications[Action],"À migrer")+SUMIFS(TblApplications[RAM Dynatrace (Go)],TblApplications[Cluster IKS source],$I279,TblApplications[Action],"À décommissionner")),0)))</f>
        <v/>
      </c>
      <c r="U279" s="61"/>
      <c r="V279" s="61"/>
      <c r="W279" s="61"/>
      <c r="X279" s="59"/>
      <c r="Y279" s="26" t="str">
        <f t="shared" si="33"/>
        <v/>
      </c>
      <c r="Z279" s="26" t="str">
        <f t="shared" si="34"/>
        <v/>
      </c>
      <c r="AA279" s="33" t="str">
        <f t="shared" si="35"/>
        <v/>
      </c>
      <c r="AB279" s="33" t="str">
        <f t="shared" si="36"/>
        <v/>
      </c>
      <c r="AC279" s="26" t="str">
        <f t="shared" si="37"/>
        <v/>
      </c>
      <c r="AD279" s="26" t="str">
        <f>IF($C279="","",COUNTIF(TblApplications[ID],$C279))</f>
        <v/>
      </c>
      <c r="AE279" s="33" t="str">
        <f>IF($C279="","",IFERROR(1/(1/_xlfn.MINIFS(TblApplications[Mois prov (calc)],TblApplications[ID],$C279)),""))</f>
        <v/>
      </c>
      <c r="AF279" s="33" t="str">
        <f>IF($C279="","",IFERROR(1/(1/_xlfn.MAXIFS(TblApplications[Mois lib (calc)],TblApplications[ID],$C279)),""))</f>
        <v/>
      </c>
      <c r="AG279" s="26" t="str">
        <f>IF($C279="","",IF(OR(OR($A279="",$B279="",$D279="",$E279="",$F279="",$G279=""),AND($G279="À migrer",OR($H279="",$I279="",$O279="",$U279="",$V279="",$W279="")),AND($G279="Migré",OR($O279="")),AND($G279="À décommissionner",OR($I279="",$W279=""))),"Données manquantes (selon l’action)",IF(AND($G279&lt;&gt;"Migré",$G279&lt;&gt;"À migrer",$G279&lt;&gt;"À décommissionner",$G279&lt;&gt;"Décommissionné"),"Action invalide",IF(COUNTIF(TblDomaines[Domaine],$A279)=0,"Domaine inconnu (référentiel)",IF(COUNTIFS(TblTribes[Tribe],$B279,TblTribes[Domaine de la tribe],$A279)=0,"Tribe inconnue ou hors domaine",IF(AND($G279="À migrer",$H279&lt;&gt;"Oui",$H279&lt;&gt;"Non"),"Valeur Oui/Non invalide (Déjà incluse ROKS)",IF(AND($E279&lt;&gt;"PRD",$E279&lt;&gt;"NPRD"),"Environnement invalide",IF(COUNTIFS(TblApplications[ID],$C279,TblApplications[Environnement],$E279,TblApplications[Couloir],$F279)&gt;1,"Déploiement en doublon (ID + env + couloir)",IF(AND(OR(OR($G279="À migrer",$G279="Migré"),OR($G279="À migrer",$G279="À décommissionner")),N($P279)&lt;=0),"Conso Dynatrace absente (onglet Dynatrace)",IF(OR(AND($P279&lt;&gt;"",NOT(ISNUMBER($P279))),AND($Q279&lt;&gt;"",NOT(ISNUMBER($Q279)))),"Ressource non numérique",IF(MIN(N($P279),N($Q279))&lt;0,"Ressource négative",IF(OR(AND($AH279&lt;&gt;"",OR(NOT(ISNUMBER($AH279)),$AH279&lt;0,$AH279&gt;1)),AND($AI279&lt;&gt;"",OR(NOT(ISNUMBER($AI279)),$AI279&lt;0,$AI279&gt;1))),"Marge spécifique invalide (0–100 %)",IF(OR(AND($U279&lt;&gt;"",NOT(ISNUMBER($U279))),AND($V279&lt;&gt;"",NOT(ISNUMBER($V279))),AND($W279&lt;&gt;"",NOT(ISNUMBER($W279)))),"Mois invalide",IF(AND(OR($G279="À migrer",$G279="À décommissionner"),COUNTIFS(TblClusters[Cluster],$I279,TblClusters[Plateforme],"IKS")=0),"Cluster IKS inconnu",IF(AND(OR($G279="À migrer",$G279="Migré"),COUNTIFS(TblClusters[Cluster],$O279,TblClusters[Plateforme],"ROKS")=0),"Cluster ROKS inconnu",IF(AND(OR($G279="À migrer",$G279="À décommissionner"),COUNTIFS(TblClusters[Cluster],$I279,TblClusters[Environnement],$E279)=0),"Environnement ≠ cluster IKS",IF(AND(OR($G279="À migrer",$G279="Migré"),COUNTIFS(TblClusters[Cluster],$O279,TblClusters[Environnement],$E279)=0),"Environnement ≠ cluster ROKS",IF(AND($G279="À migrer",OR($U279&gt;$V279,$V279&gt;$W279)),"Dates incohérentes (prov ≤ bascule ≤ libération)",IF(AND(OR($G279="À migrer",$G279="À décommissionner"),OR(N($AO279)&gt;SUMIFS(TblClusters[CPU initial (vCPU)],TblClusters[Cluster],$I279),N($AP279)&gt;SUMIFS(TblClusters[RAM initiale (Go)],TblClusters[Cluster],$I279))),"Forçage &gt; capacité du cluster source",IF(OR(AND($AA279&lt;&gt;"",$AA279&lt;p_debut),AND($AB279&lt;&gt;"",$AB279&gt;p_fin)),"Hors horizon (info)",IF(AND($G279="À migrer",$E279="PRD",COUNTIFS(TblApplications[ID],$C279,TblApplications[Environnement],"NPRD",TblApplications[Action],"À migrer")&gt;0,$AA279&lt;_xlfn.MINIFS(TblApplications[Mois prov (calc)],TblApplications[ID],$C279,TblApplications[Environnement],"NPRD")),"PRD avant NPRD (info)","OK")))))))))))))))))))))</f>
        <v/>
      </c>
      <c r="AH279" s="62"/>
      <c r="AI279" s="62"/>
      <c r="AJ279" s="27" t="str">
        <f>IF(OR($C279="",NOT(OR($G279="À migrer",$G279="À décommissionner")),NOT(ISNUMBER($S279)),NOT(ISNUMBER($T279)),$AB279=""),"",($S279+p_poidsram*$T279)*SUMIFS(TblCalculs[Coût par unité],TblCalculs[Cluster],$I279,TblCalculs[Mois],"&lt;"&amp;$AB279))</f>
        <v/>
      </c>
      <c r="AK279" s="27" t="str">
        <f>IF($C279="","",IF(AND($G279="À migrer",$H279="Non",$Y279&lt;&gt;"",$AA279&lt;&gt;""),($Y279+p_poidsram*$Z279)*SUMIFS(TblCalculs[Coût par unité],TblCalculs[Cluster],$O279,TblCalculs[Mois],"&gt;="&amp;$AA279),IF(AND($G279="Migré",$Y279&lt;&gt;""),($Y279+p_poidsram*$Z279)*SUMIFS(TblCalculs[Coût par unité],TblCalculs[Cluster],$O279),"")))</f>
        <v/>
      </c>
      <c r="AL279" s="27" t="str">
        <f t="shared" si="38"/>
        <v/>
      </c>
      <c r="AM279" s="26" t="str">
        <f t="shared" si="39"/>
        <v/>
      </c>
      <c r="AN279" s="26" t="str">
        <f>IF(OR($C279="",$AM279&lt;&gt;1,COUNTIFS($E279,ex_envc,$A279,ex_domc,$B279,ex_tric)=0),"",COUNTIFS($AM$6:$AM279,1,$E$6:$E279,ex_envc,$A$6:$A279,ex_domc,$B$6:$B279,ex_tric))</f>
        <v/>
      </c>
      <c r="AO279" s="63"/>
      <c r="AP279" s="63"/>
      <c r="AQ279" s="63"/>
      <c r="AR279" s="63"/>
    </row>
    <row r="280" spans="1:44" x14ac:dyDescent="0.2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26" t="str">
        <f t="shared" si="32"/>
        <v/>
      </c>
      <c r="O280" s="59"/>
      <c r="P280" s="60" t="str">
        <f>IF($C280="","",IF($AQ280&lt;&gt;"",$AQ280,SUMIFS(TblDynatrace[CPU P95 (vCPU)],TblDynatrace[ID],$C280,TblDynatrace[Environnement],$E280,TblDynatrace[Couloir],$F280)))</f>
        <v/>
      </c>
      <c r="Q280" s="60" t="str">
        <f>IF($C280="","",IF($AR280&lt;&gt;"",$AR280,SUMIFS(TblDynatrace[RAM P95 (Go)],TblDynatrace[ID],$C280,TblDynatrace[Environnement],$E280,TblDynatrace[Couloir],$F280)))</f>
        <v/>
      </c>
      <c r="R280" s="26" t="str">
        <f>IF($C280="","",IFERROR(INDEX(TblDynatrace[Métrique / période],MATCH($C280&amp;"|"&amp;$E280&amp;"|"&amp;$F280,TblDynatrace[Clé],0)),""))</f>
        <v/>
      </c>
      <c r="S280" s="60" t="str">
        <f>IF(OR($C280="",NOT(OR($G280="À migrer",$G280="À décommissionner")),$I280="",NOT(ISNUMBER($P280))),"",IF($AO280&lt;&gt;"",$AO280,IFERROR(SUMIFS(TblClusters[CPU initial (vCPU)],TblClusters[Cluster],$I280)*$P280/(SUMIFS(TblApplications[CPU Dynatrace (vCPU)],TblApplications[Cluster IKS source],$I280,TblApplications[Action],"À migrer")+SUMIFS(TblApplications[CPU Dynatrace (vCPU)],TblApplications[Cluster IKS source],$I280,TblApplications[Action],"À décommissionner")),0)))</f>
        <v/>
      </c>
      <c r="T280" s="60" t="str">
        <f>IF(OR($C280="",NOT(OR($G280="À migrer",$G280="À décommissionner")),$I280="",NOT(ISNUMBER($Q280))),"",IF($AP280&lt;&gt;"",$AP280,IFERROR(SUMIFS(TblClusters[RAM initiale (Go)],TblClusters[Cluster],$I280)*$Q280/(SUMIFS(TblApplications[RAM Dynatrace (Go)],TblApplications[Cluster IKS source],$I280,TblApplications[Action],"À migrer")+SUMIFS(TblApplications[RAM Dynatrace (Go)],TblApplications[Cluster IKS source],$I280,TblApplications[Action],"À décommissionner")),0)))</f>
        <v/>
      </c>
      <c r="U280" s="61"/>
      <c r="V280" s="61"/>
      <c r="W280" s="61"/>
      <c r="X280" s="59"/>
      <c r="Y280" s="26" t="str">
        <f t="shared" si="33"/>
        <v/>
      </c>
      <c r="Z280" s="26" t="str">
        <f t="shared" si="34"/>
        <v/>
      </c>
      <c r="AA280" s="33" t="str">
        <f t="shared" si="35"/>
        <v/>
      </c>
      <c r="AB280" s="33" t="str">
        <f t="shared" si="36"/>
        <v/>
      </c>
      <c r="AC280" s="26" t="str">
        <f t="shared" si="37"/>
        <v/>
      </c>
      <c r="AD280" s="26" t="str">
        <f>IF($C280="","",COUNTIF(TblApplications[ID],$C280))</f>
        <v/>
      </c>
      <c r="AE280" s="33" t="str">
        <f>IF($C280="","",IFERROR(1/(1/_xlfn.MINIFS(TblApplications[Mois prov (calc)],TblApplications[ID],$C280)),""))</f>
        <v/>
      </c>
      <c r="AF280" s="33" t="str">
        <f>IF($C280="","",IFERROR(1/(1/_xlfn.MAXIFS(TblApplications[Mois lib (calc)],TblApplications[ID],$C280)),""))</f>
        <v/>
      </c>
      <c r="AG280" s="26" t="str">
        <f>IF($C280="","",IF(OR(OR($A280="",$B280="",$D280="",$E280="",$F280="",$G280=""),AND($G280="À migrer",OR($H280="",$I280="",$O280="",$U280="",$V280="",$W280="")),AND($G280="Migré",OR($O280="")),AND($G280="À décommissionner",OR($I280="",$W280=""))),"Données manquantes (selon l’action)",IF(AND($G280&lt;&gt;"Migré",$G280&lt;&gt;"À migrer",$G280&lt;&gt;"À décommissionner",$G280&lt;&gt;"Décommissionné"),"Action invalide",IF(COUNTIF(TblDomaines[Domaine],$A280)=0,"Domaine inconnu (référentiel)",IF(COUNTIFS(TblTribes[Tribe],$B280,TblTribes[Domaine de la tribe],$A280)=0,"Tribe inconnue ou hors domaine",IF(AND($G280="À migrer",$H280&lt;&gt;"Oui",$H280&lt;&gt;"Non"),"Valeur Oui/Non invalide (Déjà incluse ROKS)",IF(AND($E280&lt;&gt;"PRD",$E280&lt;&gt;"NPRD"),"Environnement invalide",IF(COUNTIFS(TblApplications[ID],$C280,TblApplications[Environnement],$E280,TblApplications[Couloir],$F280)&gt;1,"Déploiement en doublon (ID + env + couloir)",IF(AND(OR(OR($G280="À migrer",$G280="Migré"),OR($G280="À migrer",$G280="À décommissionner")),N($P280)&lt;=0),"Conso Dynatrace absente (onglet Dynatrace)",IF(OR(AND($P280&lt;&gt;"",NOT(ISNUMBER($P280))),AND($Q280&lt;&gt;"",NOT(ISNUMBER($Q280)))),"Ressource non numérique",IF(MIN(N($P280),N($Q280))&lt;0,"Ressource négative",IF(OR(AND($AH280&lt;&gt;"",OR(NOT(ISNUMBER($AH280)),$AH280&lt;0,$AH280&gt;1)),AND($AI280&lt;&gt;"",OR(NOT(ISNUMBER($AI280)),$AI280&lt;0,$AI280&gt;1))),"Marge spécifique invalide (0–100 %)",IF(OR(AND($U280&lt;&gt;"",NOT(ISNUMBER($U280))),AND($V280&lt;&gt;"",NOT(ISNUMBER($V280))),AND($W280&lt;&gt;"",NOT(ISNUMBER($W280)))),"Mois invalide",IF(AND(OR($G280="À migrer",$G280="À décommissionner"),COUNTIFS(TblClusters[Cluster],$I280,TblClusters[Plateforme],"IKS")=0),"Cluster IKS inconnu",IF(AND(OR($G280="À migrer",$G280="Migré"),COUNTIFS(TblClusters[Cluster],$O280,TblClusters[Plateforme],"ROKS")=0),"Cluster ROKS inconnu",IF(AND(OR($G280="À migrer",$G280="À décommissionner"),COUNTIFS(TblClusters[Cluster],$I280,TblClusters[Environnement],$E280)=0),"Environnement ≠ cluster IKS",IF(AND(OR($G280="À migrer",$G280="Migré"),COUNTIFS(TblClusters[Cluster],$O280,TblClusters[Environnement],$E280)=0),"Environnement ≠ cluster ROKS",IF(AND($G280="À migrer",OR($U280&gt;$V280,$V280&gt;$W280)),"Dates incohérentes (prov ≤ bascule ≤ libération)",IF(AND(OR($G280="À migrer",$G280="À décommissionner"),OR(N($AO280)&gt;SUMIFS(TblClusters[CPU initial (vCPU)],TblClusters[Cluster],$I280),N($AP280)&gt;SUMIFS(TblClusters[RAM initiale (Go)],TblClusters[Cluster],$I280))),"Forçage &gt; capacité du cluster source",IF(OR(AND($AA280&lt;&gt;"",$AA280&lt;p_debut),AND($AB280&lt;&gt;"",$AB280&gt;p_fin)),"Hors horizon (info)",IF(AND($G280="À migrer",$E280="PRD",COUNTIFS(TblApplications[ID],$C280,TblApplications[Environnement],"NPRD",TblApplications[Action],"À migrer")&gt;0,$AA280&lt;_xlfn.MINIFS(TblApplications[Mois prov (calc)],TblApplications[ID],$C280,TblApplications[Environnement],"NPRD")),"PRD avant NPRD (info)","OK")))))))))))))))))))))</f>
        <v/>
      </c>
      <c r="AH280" s="62"/>
      <c r="AI280" s="62"/>
      <c r="AJ280" s="27" t="str">
        <f>IF(OR($C280="",NOT(OR($G280="À migrer",$G280="À décommissionner")),NOT(ISNUMBER($S280)),NOT(ISNUMBER($T280)),$AB280=""),"",($S280+p_poidsram*$T280)*SUMIFS(TblCalculs[Coût par unité],TblCalculs[Cluster],$I280,TblCalculs[Mois],"&lt;"&amp;$AB280))</f>
        <v/>
      </c>
      <c r="AK280" s="27" t="str">
        <f>IF($C280="","",IF(AND($G280="À migrer",$H280="Non",$Y280&lt;&gt;"",$AA280&lt;&gt;""),($Y280+p_poidsram*$Z280)*SUMIFS(TblCalculs[Coût par unité],TblCalculs[Cluster],$O280,TblCalculs[Mois],"&gt;="&amp;$AA280),IF(AND($G280="Migré",$Y280&lt;&gt;""),($Y280+p_poidsram*$Z280)*SUMIFS(TblCalculs[Coût par unité],TblCalculs[Cluster],$O280),"")))</f>
        <v/>
      </c>
      <c r="AL280" s="27" t="str">
        <f t="shared" si="38"/>
        <v/>
      </c>
      <c r="AM280" s="26" t="str">
        <f t="shared" si="39"/>
        <v/>
      </c>
      <c r="AN280" s="26" t="str">
        <f>IF(OR($C280="",$AM280&lt;&gt;1,COUNTIFS($E280,ex_envc,$A280,ex_domc,$B280,ex_tric)=0),"",COUNTIFS($AM$6:$AM280,1,$E$6:$E280,ex_envc,$A$6:$A280,ex_domc,$B$6:$B280,ex_tric))</f>
        <v/>
      </c>
      <c r="AO280" s="63"/>
      <c r="AP280" s="63"/>
      <c r="AQ280" s="63"/>
      <c r="AR280" s="63"/>
    </row>
    <row r="281" spans="1:44" x14ac:dyDescent="0.2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26" t="str">
        <f t="shared" si="32"/>
        <v/>
      </c>
      <c r="O281" s="59"/>
      <c r="P281" s="60" t="str">
        <f>IF($C281="","",IF($AQ281&lt;&gt;"",$AQ281,SUMIFS(TblDynatrace[CPU P95 (vCPU)],TblDynatrace[ID],$C281,TblDynatrace[Environnement],$E281,TblDynatrace[Couloir],$F281)))</f>
        <v/>
      </c>
      <c r="Q281" s="60" t="str">
        <f>IF($C281="","",IF($AR281&lt;&gt;"",$AR281,SUMIFS(TblDynatrace[RAM P95 (Go)],TblDynatrace[ID],$C281,TblDynatrace[Environnement],$E281,TblDynatrace[Couloir],$F281)))</f>
        <v/>
      </c>
      <c r="R281" s="26" t="str">
        <f>IF($C281="","",IFERROR(INDEX(TblDynatrace[Métrique / période],MATCH($C281&amp;"|"&amp;$E281&amp;"|"&amp;$F281,TblDynatrace[Clé],0)),""))</f>
        <v/>
      </c>
      <c r="S281" s="60" t="str">
        <f>IF(OR($C281="",NOT(OR($G281="À migrer",$G281="À décommissionner")),$I281="",NOT(ISNUMBER($P281))),"",IF($AO281&lt;&gt;"",$AO281,IFERROR(SUMIFS(TblClusters[CPU initial (vCPU)],TblClusters[Cluster],$I281)*$P281/(SUMIFS(TblApplications[CPU Dynatrace (vCPU)],TblApplications[Cluster IKS source],$I281,TblApplications[Action],"À migrer")+SUMIFS(TblApplications[CPU Dynatrace (vCPU)],TblApplications[Cluster IKS source],$I281,TblApplications[Action],"À décommissionner")),0)))</f>
        <v/>
      </c>
      <c r="T281" s="60" t="str">
        <f>IF(OR($C281="",NOT(OR($G281="À migrer",$G281="À décommissionner")),$I281="",NOT(ISNUMBER($Q281))),"",IF($AP281&lt;&gt;"",$AP281,IFERROR(SUMIFS(TblClusters[RAM initiale (Go)],TblClusters[Cluster],$I281)*$Q281/(SUMIFS(TblApplications[RAM Dynatrace (Go)],TblApplications[Cluster IKS source],$I281,TblApplications[Action],"À migrer")+SUMIFS(TblApplications[RAM Dynatrace (Go)],TblApplications[Cluster IKS source],$I281,TblApplications[Action],"À décommissionner")),0)))</f>
        <v/>
      </c>
      <c r="U281" s="61"/>
      <c r="V281" s="61"/>
      <c r="W281" s="61"/>
      <c r="X281" s="59"/>
      <c r="Y281" s="26" t="str">
        <f t="shared" si="33"/>
        <v/>
      </c>
      <c r="Z281" s="26" t="str">
        <f t="shared" si="34"/>
        <v/>
      </c>
      <c r="AA281" s="33" t="str">
        <f t="shared" si="35"/>
        <v/>
      </c>
      <c r="AB281" s="33" t="str">
        <f t="shared" si="36"/>
        <v/>
      </c>
      <c r="AC281" s="26" t="str">
        <f t="shared" si="37"/>
        <v/>
      </c>
      <c r="AD281" s="26" t="str">
        <f>IF($C281="","",COUNTIF(TblApplications[ID],$C281))</f>
        <v/>
      </c>
      <c r="AE281" s="33" t="str">
        <f>IF($C281="","",IFERROR(1/(1/_xlfn.MINIFS(TblApplications[Mois prov (calc)],TblApplications[ID],$C281)),""))</f>
        <v/>
      </c>
      <c r="AF281" s="33" t="str">
        <f>IF($C281="","",IFERROR(1/(1/_xlfn.MAXIFS(TblApplications[Mois lib (calc)],TblApplications[ID],$C281)),""))</f>
        <v/>
      </c>
      <c r="AG281" s="26" t="str">
        <f>IF($C281="","",IF(OR(OR($A281="",$B281="",$D281="",$E281="",$F281="",$G281=""),AND($G281="À migrer",OR($H281="",$I281="",$O281="",$U281="",$V281="",$W281="")),AND($G281="Migré",OR($O281="")),AND($G281="À décommissionner",OR($I281="",$W281=""))),"Données manquantes (selon l’action)",IF(AND($G281&lt;&gt;"Migré",$G281&lt;&gt;"À migrer",$G281&lt;&gt;"À décommissionner",$G281&lt;&gt;"Décommissionné"),"Action invalide",IF(COUNTIF(TblDomaines[Domaine],$A281)=0,"Domaine inconnu (référentiel)",IF(COUNTIFS(TblTribes[Tribe],$B281,TblTribes[Domaine de la tribe],$A281)=0,"Tribe inconnue ou hors domaine",IF(AND($G281="À migrer",$H281&lt;&gt;"Oui",$H281&lt;&gt;"Non"),"Valeur Oui/Non invalide (Déjà incluse ROKS)",IF(AND($E281&lt;&gt;"PRD",$E281&lt;&gt;"NPRD"),"Environnement invalide",IF(COUNTIFS(TblApplications[ID],$C281,TblApplications[Environnement],$E281,TblApplications[Couloir],$F281)&gt;1,"Déploiement en doublon (ID + env + couloir)",IF(AND(OR(OR($G281="À migrer",$G281="Migré"),OR($G281="À migrer",$G281="À décommissionner")),N($P281)&lt;=0),"Conso Dynatrace absente (onglet Dynatrace)",IF(OR(AND($P281&lt;&gt;"",NOT(ISNUMBER($P281))),AND($Q281&lt;&gt;"",NOT(ISNUMBER($Q281)))),"Ressource non numérique",IF(MIN(N($P281),N($Q281))&lt;0,"Ressource négative",IF(OR(AND($AH281&lt;&gt;"",OR(NOT(ISNUMBER($AH281)),$AH281&lt;0,$AH281&gt;1)),AND($AI281&lt;&gt;"",OR(NOT(ISNUMBER($AI281)),$AI281&lt;0,$AI281&gt;1))),"Marge spécifique invalide (0–100 %)",IF(OR(AND($U281&lt;&gt;"",NOT(ISNUMBER($U281))),AND($V281&lt;&gt;"",NOT(ISNUMBER($V281))),AND($W281&lt;&gt;"",NOT(ISNUMBER($W281)))),"Mois invalide",IF(AND(OR($G281="À migrer",$G281="À décommissionner"),COUNTIFS(TblClusters[Cluster],$I281,TblClusters[Plateforme],"IKS")=0),"Cluster IKS inconnu",IF(AND(OR($G281="À migrer",$G281="Migré"),COUNTIFS(TblClusters[Cluster],$O281,TblClusters[Plateforme],"ROKS")=0),"Cluster ROKS inconnu",IF(AND(OR($G281="À migrer",$G281="À décommissionner"),COUNTIFS(TblClusters[Cluster],$I281,TblClusters[Environnement],$E281)=0),"Environnement ≠ cluster IKS",IF(AND(OR($G281="À migrer",$G281="Migré"),COUNTIFS(TblClusters[Cluster],$O281,TblClusters[Environnement],$E281)=0),"Environnement ≠ cluster ROKS",IF(AND($G281="À migrer",OR($U281&gt;$V281,$V281&gt;$W281)),"Dates incohérentes (prov ≤ bascule ≤ libération)",IF(AND(OR($G281="À migrer",$G281="À décommissionner"),OR(N($AO281)&gt;SUMIFS(TblClusters[CPU initial (vCPU)],TblClusters[Cluster],$I281),N($AP281)&gt;SUMIFS(TblClusters[RAM initiale (Go)],TblClusters[Cluster],$I281))),"Forçage &gt; capacité du cluster source",IF(OR(AND($AA281&lt;&gt;"",$AA281&lt;p_debut),AND($AB281&lt;&gt;"",$AB281&gt;p_fin)),"Hors horizon (info)",IF(AND($G281="À migrer",$E281="PRD",COUNTIFS(TblApplications[ID],$C281,TblApplications[Environnement],"NPRD",TblApplications[Action],"À migrer")&gt;0,$AA281&lt;_xlfn.MINIFS(TblApplications[Mois prov (calc)],TblApplications[ID],$C281,TblApplications[Environnement],"NPRD")),"PRD avant NPRD (info)","OK")))))))))))))))))))))</f>
        <v/>
      </c>
      <c r="AH281" s="62"/>
      <c r="AI281" s="62"/>
      <c r="AJ281" s="27" t="str">
        <f>IF(OR($C281="",NOT(OR($G281="À migrer",$G281="À décommissionner")),NOT(ISNUMBER($S281)),NOT(ISNUMBER($T281)),$AB281=""),"",($S281+p_poidsram*$T281)*SUMIFS(TblCalculs[Coût par unité],TblCalculs[Cluster],$I281,TblCalculs[Mois],"&lt;"&amp;$AB281))</f>
        <v/>
      </c>
      <c r="AK281" s="27" t="str">
        <f>IF($C281="","",IF(AND($G281="À migrer",$H281="Non",$Y281&lt;&gt;"",$AA281&lt;&gt;""),($Y281+p_poidsram*$Z281)*SUMIFS(TblCalculs[Coût par unité],TblCalculs[Cluster],$O281,TblCalculs[Mois],"&gt;="&amp;$AA281),IF(AND($G281="Migré",$Y281&lt;&gt;""),($Y281+p_poidsram*$Z281)*SUMIFS(TblCalculs[Coût par unité],TblCalculs[Cluster],$O281),"")))</f>
        <v/>
      </c>
      <c r="AL281" s="27" t="str">
        <f t="shared" si="38"/>
        <v/>
      </c>
      <c r="AM281" s="26" t="str">
        <f t="shared" si="39"/>
        <v/>
      </c>
      <c r="AN281" s="26" t="str">
        <f>IF(OR($C281="",$AM281&lt;&gt;1,COUNTIFS($E281,ex_envc,$A281,ex_domc,$B281,ex_tric)=0),"",COUNTIFS($AM$6:$AM281,1,$E$6:$E281,ex_envc,$A$6:$A281,ex_domc,$B$6:$B281,ex_tric))</f>
        <v/>
      </c>
      <c r="AO281" s="63"/>
      <c r="AP281" s="63"/>
      <c r="AQ281" s="63"/>
      <c r="AR281" s="63"/>
    </row>
    <row r="282" spans="1:44" x14ac:dyDescent="0.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26" t="str">
        <f t="shared" si="32"/>
        <v/>
      </c>
      <c r="O282" s="59"/>
      <c r="P282" s="60" t="str">
        <f>IF($C282="","",IF($AQ282&lt;&gt;"",$AQ282,SUMIFS(TblDynatrace[CPU P95 (vCPU)],TblDynatrace[ID],$C282,TblDynatrace[Environnement],$E282,TblDynatrace[Couloir],$F282)))</f>
        <v/>
      </c>
      <c r="Q282" s="60" t="str">
        <f>IF($C282="","",IF($AR282&lt;&gt;"",$AR282,SUMIFS(TblDynatrace[RAM P95 (Go)],TblDynatrace[ID],$C282,TblDynatrace[Environnement],$E282,TblDynatrace[Couloir],$F282)))</f>
        <v/>
      </c>
      <c r="R282" s="26" t="str">
        <f>IF($C282="","",IFERROR(INDEX(TblDynatrace[Métrique / période],MATCH($C282&amp;"|"&amp;$E282&amp;"|"&amp;$F282,TblDynatrace[Clé],0)),""))</f>
        <v/>
      </c>
      <c r="S282" s="60" t="str">
        <f>IF(OR($C282="",NOT(OR($G282="À migrer",$G282="À décommissionner")),$I282="",NOT(ISNUMBER($P282))),"",IF($AO282&lt;&gt;"",$AO282,IFERROR(SUMIFS(TblClusters[CPU initial (vCPU)],TblClusters[Cluster],$I282)*$P282/(SUMIFS(TblApplications[CPU Dynatrace (vCPU)],TblApplications[Cluster IKS source],$I282,TblApplications[Action],"À migrer")+SUMIFS(TblApplications[CPU Dynatrace (vCPU)],TblApplications[Cluster IKS source],$I282,TblApplications[Action],"À décommissionner")),0)))</f>
        <v/>
      </c>
      <c r="T282" s="60" t="str">
        <f>IF(OR($C282="",NOT(OR($G282="À migrer",$G282="À décommissionner")),$I282="",NOT(ISNUMBER($Q282))),"",IF($AP282&lt;&gt;"",$AP282,IFERROR(SUMIFS(TblClusters[RAM initiale (Go)],TblClusters[Cluster],$I282)*$Q282/(SUMIFS(TblApplications[RAM Dynatrace (Go)],TblApplications[Cluster IKS source],$I282,TblApplications[Action],"À migrer")+SUMIFS(TblApplications[RAM Dynatrace (Go)],TblApplications[Cluster IKS source],$I282,TblApplications[Action],"À décommissionner")),0)))</f>
        <v/>
      </c>
      <c r="U282" s="61"/>
      <c r="V282" s="61"/>
      <c r="W282" s="61"/>
      <c r="X282" s="59"/>
      <c r="Y282" s="26" t="str">
        <f t="shared" si="33"/>
        <v/>
      </c>
      <c r="Z282" s="26" t="str">
        <f t="shared" si="34"/>
        <v/>
      </c>
      <c r="AA282" s="33" t="str">
        <f t="shared" si="35"/>
        <v/>
      </c>
      <c r="AB282" s="33" t="str">
        <f t="shared" si="36"/>
        <v/>
      </c>
      <c r="AC282" s="26" t="str">
        <f t="shared" si="37"/>
        <v/>
      </c>
      <c r="AD282" s="26" t="str">
        <f>IF($C282="","",COUNTIF(TblApplications[ID],$C282))</f>
        <v/>
      </c>
      <c r="AE282" s="33" t="str">
        <f>IF($C282="","",IFERROR(1/(1/_xlfn.MINIFS(TblApplications[Mois prov (calc)],TblApplications[ID],$C282)),""))</f>
        <v/>
      </c>
      <c r="AF282" s="33" t="str">
        <f>IF($C282="","",IFERROR(1/(1/_xlfn.MAXIFS(TblApplications[Mois lib (calc)],TblApplications[ID],$C282)),""))</f>
        <v/>
      </c>
      <c r="AG282" s="26" t="str">
        <f>IF($C282="","",IF(OR(OR($A282="",$B282="",$D282="",$E282="",$F282="",$G282=""),AND($G282="À migrer",OR($H282="",$I282="",$O282="",$U282="",$V282="",$W282="")),AND($G282="Migré",OR($O282="")),AND($G282="À décommissionner",OR($I282="",$W282=""))),"Données manquantes (selon l’action)",IF(AND($G282&lt;&gt;"Migré",$G282&lt;&gt;"À migrer",$G282&lt;&gt;"À décommissionner",$G282&lt;&gt;"Décommissionné"),"Action invalide",IF(COUNTIF(TblDomaines[Domaine],$A282)=0,"Domaine inconnu (référentiel)",IF(COUNTIFS(TblTribes[Tribe],$B282,TblTribes[Domaine de la tribe],$A282)=0,"Tribe inconnue ou hors domaine",IF(AND($G282="À migrer",$H282&lt;&gt;"Oui",$H282&lt;&gt;"Non"),"Valeur Oui/Non invalide (Déjà incluse ROKS)",IF(AND($E282&lt;&gt;"PRD",$E282&lt;&gt;"NPRD"),"Environnement invalide",IF(COUNTIFS(TblApplications[ID],$C282,TblApplications[Environnement],$E282,TblApplications[Couloir],$F282)&gt;1,"Déploiement en doublon (ID + env + couloir)",IF(AND(OR(OR($G282="À migrer",$G282="Migré"),OR($G282="À migrer",$G282="À décommissionner")),N($P282)&lt;=0),"Conso Dynatrace absente (onglet Dynatrace)",IF(OR(AND($P282&lt;&gt;"",NOT(ISNUMBER($P282))),AND($Q282&lt;&gt;"",NOT(ISNUMBER($Q282)))),"Ressource non numérique",IF(MIN(N($P282),N($Q282))&lt;0,"Ressource négative",IF(OR(AND($AH282&lt;&gt;"",OR(NOT(ISNUMBER($AH282)),$AH282&lt;0,$AH282&gt;1)),AND($AI282&lt;&gt;"",OR(NOT(ISNUMBER($AI282)),$AI282&lt;0,$AI282&gt;1))),"Marge spécifique invalide (0–100 %)",IF(OR(AND($U282&lt;&gt;"",NOT(ISNUMBER($U282))),AND($V282&lt;&gt;"",NOT(ISNUMBER($V282))),AND($W282&lt;&gt;"",NOT(ISNUMBER($W282)))),"Mois invalide",IF(AND(OR($G282="À migrer",$G282="À décommissionner"),COUNTIFS(TblClusters[Cluster],$I282,TblClusters[Plateforme],"IKS")=0),"Cluster IKS inconnu",IF(AND(OR($G282="À migrer",$G282="Migré"),COUNTIFS(TblClusters[Cluster],$O282,TblClusters[Plateforme],"ROKS")=0),"Cluster ROKS inconnu",IF(AND(OR($G282="À migrer",$G282="À décommissionner"),COUNTIFS(TblClusters[Cluster],$I282,TblClusters[Environnement],$E282)=0),"Environnement ≠ cluster IKS",IF(AND(OR($G282="À migrer",$G282="Migré"),COUNTIFS(TblClusters[Cluster],$O282,TblClusters[Environnement],$E282)=0),"Environnement ≠ cluster ROKS",IF(AND($G282="À migrer",OR($U282&gt;$V282,$V282&gt;$W282)),"Dates incohérentes (prov ≤ bascule ≤ libération)",IF(AND(OR($G282="À migrer",$G282="À décommissionner"),OR(N($AO282)&gt;SUMIFS(TblClusters[CPU initial (vCPU)],TblClusters[Cluster],$I282),N($AP282)&gt;SUMIFS(TblClusters[RAM initiale (Go)],TblClusters[Cluster],$I282))),"Forçage &gt; capacité du cluster source",IF(OR(AND($AA282&lt;&gt;"",$AA282&lt;p_debut),AND($AB282&lt;&gt;"",$AB282&gt;p_fin)),"Hors horizon (info)",IF(AND($G282="À migrer",$E282="PRD",COUNTIFS(TblApplications[ID],$C282,TblApplications[Environnement],"NPRD",TblApplications[Action],"À migrer")&gt;0,$AA282&lt;_xlfn.MINIFS(TblApplications[Mois prov (calc)],TblApplications[ID],$C282,TblApplications[Environnement],"NPRD")),"PRD avant NPRD (info)","OK")))))))))))))))))))))</f>
        <v/>
      </c>
      <c r="AH282" s="62"/>
      <c r="AI282" s="62"/>
      <c r="AJ282" s="27" t="str">
        <f>IF(OR($C282="",NOT(OR($G282="À migrer",$G282="À décommissionner")),NOT(ISNUMBER($S282)),NOT(ISNUMBER($T282)),$AB282=""),"",($S282+p_poidsram*$T282)*SUMIFS(TblCalculs[Coût par unité],TblCalculs[Cluster],$I282,TblCalculs[Mois],"&lt;"&amp;$AB282))</f>
        <v/>
      </c>
      <c r="AK282" s="27" t="str">
        <f>IF($C282="","",IF(AND($G282="À migrer",$H282="Non",$Y282&lt;&gt;"",$AA282&lt;&gt;""),($Y282+p_poidsram*$Z282)*SUMIFS(TblCalculs[Coût par unité],TblCalculs[Cluster],$O282,TblCalculs[Mois],"&gt;="&amp;$AA282),IF(AND($G282="Migré",$Y282&lt;&gt;""),($Y282+p_poidsram*$Z282)*SUMIFS(TblCalculs[Coût par unité],TblCalculs[Cluster],$O282),"")))</f>
        <v/>
      </c>
      <c r="AL282" s="27" t="str">
        <f t="shared" si="38"/>
        <v/>
      </c>
      <c r="AM282" s="26" t="str">
        <f t="shared" si="39"/>
        <v/>
      </c>
      <c r="AN282" s="26" t="str">
        <f>IF(OR($C282="",$AM282&lt;&gt;1,COUNTIFS($E282,ex_envc,$A282,ex_domc,$B282,ex_tric)=0),"",COUNTIFS($AM$6:$AM282,1,$E$6:$E282,ex_envc,$A$6:$A282,ex_domc,$B$6:$B282,ex_tric))</f>
        <v/>
      </c>
      <c r="AO282" s="63"/>
      <c r="AP282" s="63"/>
      <c r="AQ282" s="63"/>
      <c r="AR282" s="63"/>
    </row>
    <row r="283" spans="1:44" x14ac:dyDescent="0.2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26" t="str">
        <f t="shared" si="32"/>
        <v/>
      </c>
      <c r="O283" s="59"/>
      <c r="P283" s="60" t="str">
        <f>IF($C283="","",IF($AQ283&lt;&gt;"",$AQ283,SUMIFS(TblDynatrace[CPU P95 (vCPU)],TblDynatrace[ID],$C283,TblDynatrace[Environnement],$E283,TblDynatrace[Couloir],$F283)))</f>
        <v/>
      </c>
      <c r="Q283" s="60" t="str">
        <f>IF($C283="","",IF($AR283&lt;&gt;"",$AR283,SUMIFS(TblDynatrace[RAM P95 (Go)],TblDynatrace[ID],$C283,TblDynatrace[Environnement],$E283,TblDynatrace[Couloir],$F283)))</f>
        <v/>
      </c>
      <c r="R283" s="26" t="str">
        <f>IF($C283="","",IFERROR(INDEX(TblDynatrace[Métrique / période],MATCH($C283&amp;"|"&amp;$E283&amp;"|"&amp;$F283,TblDynatrace[Clé],0)),""))</f>
        <v/>
      </c>
      <c r="S283" s="60" t="str">
        <f>IF(OR($C283="",NOT(OR($G283="À migrer",$G283="À décommissionner")),$I283="",NOT(ISNUMBER($P283))),"",IF($AO283&lt;&gt;"",$AO283,IFERROR(SUMIFS(TblClusters[CPU initial (vCPU)],TblClusters[Cluster],$I283)*$P283/(SUMIFS(TblApplications[CPU Dynatrace (vCPU)],TblApplications[Cluster IKS source],$I283,TblApplications[Action],"À migrer")+SUMIFS(TblApplications[CPU Dynatrace (vCPU)],TblApplications[Cluster IKS source],$I283,TblApplications[Action],"À décommissionner")),0)))</f>
        <v/>
      </c>
      <c r="T283" s="60" t="str">
        <f>IF(OR($C283="",NOT(OR($G283="À migrer",$G283="À décommissionner")),$I283="",NOT(ISNUMBER($Q283))),"",IF($AP283&lt;&gt;"",$AP283,IFERROR(SUMIFS(TblClusters[RAM initiale (Go)],TblClusters[Cluster],$I283)*$Q283/(SUMIFS(TblApplications[RAM Dynatrace (Go)],TblApplications[Cluster IKS source],$I283,TblApplications[Action],"À migrer")+SUMIFS(TblApplications[RAM Dynatrace (Go)],TblApplications[Cluster IKS source],$I283,TblApplications[Action],"À décommissionner")),0)))</f>
        <v/>
      </c>
      <c r="U283" s="61"/>
      <c r="V283" s="61"/>
      <c r="W283" s="61"/>
      <c r="X283" s="59"/>
      <c r="Y283" s="26" t="str">
        <f t="shared" si="33"/>
        <v/>
      </c>
      <c r="Z283" s="26" t="str">
        <f t="shared" si="34"/>
        <v/>
      </c>
      <c r="AA283" s="33" t="str">
        <f t="shared" si="35"/>
        <v/>
      </c>
      <c r="AB283" s="33" t="str">
        <f t="shared" si="36"/>
        <v/>
      </c>
      <c r="AC283" s="26" t="str">
        <f t="shared" si="37"/>
        <v/>
      </c>
      <c r="AD283" s="26" t="str">
        <f>IF($C283="","",COUNTIF(TblApplications[ID],$C283))</f>
        <v/>
      </c>
      <c r="AE283" s="33" t="str">
        <f>IF($C283="","",IFERROR(1/(1/_xlfn.MINIFS(TblApplications[Mois prov (calc)],TblApplications[ID],$C283)),""))</f>
        <v/>
      </c>
      <c r="AF283" s="33" t="str">
        <f>IF($C283="","",IFERROR(1/(1/_xlfn.MAXIFS(TblApplications[Mois lib (calc)],TblApplications[ID],$C283)),""))</f>
        <v/>
      </c>
      <c r="AG283" s="26" t="str">
        <f>IF($C283="","",IF(OR(OR($A283="",$B283="",$D283="",$E283="",$F283="",$G283=""),AND($G283="À migrer",OR($H283="",$I283="",$O283="",$U283="",$V283="",$W283="")),AND($G283="Migré",OR($O283="")),AND($G283="À décommissionner",OR($I283="",$W283=""))),"Données manquantes (selon l’action)",IF(AND($G283&lt;&gt;"Migré",$G283&lt;&gt;"À migrer",$G283&lt;&gt;"À décommissionner",$G283&lt;&gt;"Décommissionné"),"Action invalide",IF(COUNTIF(TblDomaines[Domaine],$A283)=0,"Domaine inconnu (référentiel)",IF(COUNTIFS(TblTribes[Tribe],$B283,TblTribes[Domaine de la tribe],$A283)=0,"Tribe inconnue ou hors domaine",IF(AND($G283="À migrer",$H283&lt;&gt;"Oui",$H283&lt;&gt;"Non"),"Valeur Oui/Non invalide (Déjà incluse ROKS)",IF(AND($E283&lt;&gt;"PRD",$E283&lt;&gt;"NPRD"),"Environnement invalide",IF(COUNTIFS(TblApplications[ID],$C283,TblApplications[Environnement],$E283,TblApplications[Couloir],$F283)&gt;1,"Déploiement en doublon (ID + env + couloir)",IF(AND(OR(OR($G283="À migrer",$G283="Migré"),OR($G283="À migrer",$G283="À décommissionner")),N($P283)&lt;=0),"Conso Dynatrace absente (onglet Dynatrace)",IF(OR(AND($P283&lt;&gt;"",NOT(ISNUMBER($P283))),AND($Q283&lt;&gt;"",NOT(ISNUMBER($Q283)))),"Ressource non numérique",IF(MIN(N($P283),N($Q283))&lt;0,"Ressource négative",IF(OR(AND($AH283&lt;&gt;"",OR(NOT(ISNUMBER($AH283)),$AH283&lt;0,$AH283&gt;1)),AND($AI283&lt;&gt;"",OR(NOT(ISNUMBER($AI283)),$AI283&lt;0,$AI283&gt;1))),"Marge spécifique invalide (0–100 %)",IF(OR(AND($U283&lt;&gt;"",NOT(ISNUMBER($U283))),AND($V283&lt;&gt;"",NOT(ISNUMBER($V283))),AND($W283&lt;&gt;"",NOT(ISNUMBER($W283)))),"Mois invalide",IF(AND(OR($G283="À migrer",$G283="À décommissionner"),COUNTIFS(TblClusters[Cluster],$I283,TblClusters[Plateforme],"IKS")=0),"Cluster IKS inconnu",IF(AND(OR($G283="À migrer",$G283="Migré"),COUNTIFS(TblClusters[Cluster],$O283,TblClusters[Plateforme],"ROKS")=0),"Cluster ROKS inconnu",IF(AND(OR($G283="À migrer",$G283="À décommissionner"),COUNTIFS(TblClusters[Cluster],$I283,TblClusters[Environnement],$E283)=0),"Environnement ≠ cluster IKS",IF(AND(OR($G283="À migrer",$G283="Migré"),COUNTIFS(TblClusters[Cluster],$O283,TblClusters[Environnement],$E283)=0),"Environnement ≠ cluster ROKS",IF(AND($G283="À migrer",OR($U283&gt;$V283,$V283&gt;$W283)),"Dates incohérentes (prov ≤ bascule ≤ libération)",IF(AND(OR($G283="À migrer",$G283="À décommissionner"),OR(N($AO283)&gt;SUMIFS(TblClusters[CPU initial (vCPU)],TblClusters[Cluster],$I283),N($AP283)&gt;SUMIFS(TblClusters[RAM initiale (Go)],TblClusters[Cluster],$I283))),"Forçage &gt; capacité du cluster source",IF(OR(AND($AA283&lt;&gt;"",$AA283&lt;p_debut),AND($AB283&lt;&gt;"",$AB283&gt;p_fin)),"Hors horizon (info)",IF(AND($G283="À migrer",$E283="PRD",COUNTIFS(TblApplications[ID],$C283,TblApplications[Environnement],"NPRD",TblApplications[Action],"À migrer")&gt;0,$AA283&lt;_xlfn.MINIFS(TblApplications[Mois prov (calc)],TblApplications[ID],$C283,TblApplications[Environnement],"NPRD")),"PRD avant NPRD (info)","OK")))))))))))))))))))))</f>
        <v/>
      </c>
      <c r="AH283" s="62"/>
      <c r="AI283" s="62"/>
      <c r="AJ283" s="27" t="str">
        <f>IF(OR($C283="",NOT(OR($G283="À migrer",$G283="À décommissionner")),NOT(ISNUMBER($S283)),NOT(ISNUMBER($T283)),$AB283=""),"",($S283+p_poidsram*$T283)*SUMIFS(TblCalculs[Coût par unité],TblCalculs[Cluster],$I283,TblCalculs[Mois],"&lt;"&amp;$AB283))</f>
        <v/>
      </c>
      <c r="AK283" s="27" t="str">
        <f>IF($C283="","",IF(AND($G283="À migrer",$H283="Non",$Y283&lt;&gt;"",$AA283&lt;&gt;""),($Y283+p_poidsram*$Z283)*SUMIFS(TblCalculs[Coût par unité],TblCalculs[Cluster],$O283,TblCalculs[Mois],"&gt;="&amp;$AA283),IF(AND($G283="Migré",$Y283&lt;&gt;""),($Y283+p_poidsram*$Z283)*SUMIFS(TblCalculs[Coût par unité],TblCalculs[Cluster],$O283),"")))</f>
        <v/>
      </c>
      <c r="AL283" s="27" t="str">
        <f t="shared" si="38"/>
        <v/>
      </c>
      <c r="AM283" s="26" t="str">
        <f t="shared" si="39"/>
        <v/>
      </c>
      <c r="AN283" s="26" t="str">
        <f>IF(OR($C283="",$AM283&lt;&gt;1,COUNTIFS($E283,ex_envc,$A283,ex_domc,$B283,ex_tric)=0),"",COUNTIFS($AM$6:$AM283,1,$E$6:$E283,ex_envc,$A$6:$A283,ex_domc,$B$6:$B283,ex_tric))</f>
        <v/>
      </c>
      <c r="AO283" s="63"/>
      <c r="AP283" s="63"/>
      <c r="AQ283" s="63"/>
      <c r="AR283" s="63"/>
    </row>
    <row r="284" spans="1:44" x14ac:dyDescent="0.2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26" t="str">
        <f t="shared" si="32"/>
        <v/>
      </c>
      <c r="O284" s="59"/>
      <c r="P284" s="60" t="str">
        <f>IF($C284="","",IF($AQ284&lt;&gt;"",$AQ284,SUMIFS(TblDynatrace[CPU P95 (vCPU)],TblDynatrace[ID],$C284,TblDynatrace[Environnement],$E284,TblDynatrace[Couloir],$F284)))</f>
        <v/>
      </c>
      <c r="Q284" s="60" t="str">
        <f>IF($C284="","",IF($AR284&lt;&gt;"",$AR284,SUMIFS(TblDynatrace[RAM P95 (Go)],TblDynatrace[ID],$C284,TblDynatrace[Environnement],$E284,TblDynatrace[Couloir],$F284)))</f>
        <v/>
      </c>
      <c r="R284" s="26" t="str">
        <f>IF($C284="","",IFERROR(INDEX(TblDynatrace[Métrique / période],MATCH($C284&amp;"|"&amp;$E284&amp;"|"&amp;$F284,TblDynatrace[Clé],0)),""))</f>
        <v/>
      </c>
      <c r="S284" s="60" t="str">
        <f>IF(OR($C284="",NOT(OR($G284="À migrer",$G284="À décommissionner")),$I284="",NOT(ISNUMBER($P284))),"",IF($AO284&lt;&gt;"",$AO284,IFERROR(SUMIFS(TblClusters[CPU initial (vCPU)],TblClusters[Cluster],$I284)*$P284/(SUMIFS(TblApplications[CPU Dynatrace (vCPU)],TblApplications[Cluster IKS source],$I284,TblApplications[Action],"À migrer")+SUMIFS(TblApplications[CPU Dynatrace (vCPU)],TblApplications[Cluster IKS source],$I284,TblApplications[Action],"À décommissionner")),0)))</f>
        <v/>
      </c>
      <c r="T284" s="60" t="str">
        <f>IF(OR($C284="",NOT(OR($G284="À migrer",$G284="À décommissionner")),$I284="",NOT(ISNUMBER($Q284))),"",IF($AP284&lt;&gt;"",$AP284,IFERROR(SUMIFS(TblClusters[RAM initiale (Go)],TblClusters[Cluster],$I284)*$Q284/(SUMIFS(TblApplications[RAM Dynatrace (Go)],TblApplications[Cluster IKS source],$I284,TblApplications[Action],"À migrer")+SUMIFS(TblApplications[RAM Dynatrace (Go)],TblApplications[Cluster IKS source],$I284,TblApplications[Action],"À décommissionner")),0)))</f>
        <v/>
      </c>
      <c r="U284" s="61"/>
      <c r="V284" s="61"/>
      <c r="W284" s="61"/>
      <c r="X284" s="59"/>
      <c r="Y284" s="26" t="str">
        <f t="shared" si="33"/>
        <v/>
      </c>
      <c r="Z284" s="26" t="str">
        <f t="shared" si="34"/>
        <v/>
      </c>
      <c r="AA284" s="33" t="str">
        <f t="shared" si="35"/>
        <v/>
      </c>
      <c r="AB284" s="33" t="str">
        <f t="shared" si="36"/>
        <v/>
      </c>
      <c r="AC284" s="26" t="str">
        <f t="shared" si="37"/>
        <v/>
      </c>
      <c r="AD284" s="26" t="str">
        <f>IF($C284="","",COUNTIF(TblApplications[ID],$C284))</f>
        <v/>
      </c>
      <c r="AE284" s="33" t="str">
        <f>IF($C284="","",IFERROR(1/(1/_xlfn.MINIFS(TblApplications[Mois prov (calc)],TblApplications[ID],$C284)),""))</f>
        <v/>
      </c>
      <c r="AF284" s="33" t="str">
        <f>IF($C284="","",IFERROR(1/(1/_xlfn.MAXIFS(TblApplications[Mois lib (calc)],TblApplications[ID],$C284)),""))</f>
        <v/>
      </c>
      <c r="AG284" s="26" t="str">
        <f>IF($C284="","",IF(OR(OR($A284="",$B284="",$D284="",$E284="",$F284="",$G284=""),AND($G284="À migrer",OR($H284="",$I284="",$O284="",$U284="",$V284="",$W284="")),AND($G284="Migré",OR($O284="")),AND($G284="À décommissionner",OR($I284="",$W284=""))),"Données manquantes (selon l’action)",IF(AND($G284&lt;&gt;"Migré",$G284&lt;&gt;"À migrer",$G284&lt;&gt;"À décommissionner",$G284&lt;&gt;"Décommissionné"),"Action invalide",IF(COUNTIF(TblDomaines[Domaine],$A284)=0,"Domaine inconnu (référentiel)",IF(COUNTIFS(TblTribes[Tribe],$B284,TblTribes[Domaine de la tribe],$A284)=0,"Tribe inconnue ou hors domaine",IF(AND($G284="À migrer",$H284&lt;&gt;"Oui",$H284&lt;&gt;"Non"),"Valeur Oui/Non invalide (Déjà incluse ROKS)",IF(AND($E284&lt;&gt;"PRD",$E284&lt;&gt;"NPRD"),"Environnement invalide",IF(COUNTIFS(TblApplications[ID],$C284,TblApplications[Environnement],$E284,TblApplications[Couloir],$F284)&gt;1,"Déploiement en doublon (ID + env + couloir)",IF(AND(OR(OR($G284="À migrer",$G284="Migré"),OR($G284="À migrer",$G284="À décommissionner")),N($P284)&lt;=0),"Conso Dynatrace absente (onglet Dynatrace)",IF(OR(AND($P284&lt;&gt;"",NOT(ISNUMBER($P284))),AND($Q284&lt;&gt;"",NOT(ISNUMBER($Q284)))),"Ressource non numérique",IF(MIN(N($P284),N($Q284))&lt;0,"Ressource négative",IF(OR(AND($AH284&lt;&gt;"",OR(NOT(ISNUMBER($AH284)),$AH284&lt;0,$AH284&gt;1)),AND($AI284&lt;&gt;"",OR(NOT(ISNUMBER($AI284)),$AI284&lt;0,$AI284&gt;1))),"Marge spécifique invalide (0–100 %)",IF(OR(AND($U284&lt;&gt;"",NOT(ISNUMBER($U284))),AND($V284&lt;&gt;"",NOT(ISNUMBER($V284))),AND($W284&lt;&gt;"",NOT(ISNUMBER($W284)))),"Mois invalide",IF(AND(OR($G284="À migrer",$G284="À décommissionner"),COUNTIFS(TblClusters[Cluster],$I284,TblClusters[Plateforme],"IKS")=0),"Cluster IKS inconnu",IF(AND(OR($G284="À migrer",$G284="Migré"),COUNTIFS(TblClusters[Cluster],$O284,TblClusters[Plateforme],"ROKS")=0),"Cluster ROKS inconnu",IF(AND(OR($G284="À migrer",$G284="À décommissionner"),COUNTIFS(TblClusters[Cluster],$I284,TblClusters[Environnement],$E284)=0),"Environnement ≠ cluster IKS",IF(AND(OR($G284="À migrer",$G284="Migré"),COUNTIFS(TblClusters[Cluster],$O284,TblClusters[Environnement],$E284)=0),"Environnement ≠ cluster ROKS",IF(AND($G284="À migrer",OR($U284&gt;$V284,$V284&gt;$W284)),"Dates incohérentes (prov ≤ bascule ≤ libération)",IF(AND(OR($G284="À migrer",$G284="À décommissionner"),OR(N($AO284)&gt;SUMIFS(TblClusters[CPU initial (vCPU)],TblClusters[Cluster],$I284),N($AP284)&gt;SUMIFS(TblClusters[RAM initiale (Go)],TblClusters[Cluster],$I284))),"Forçage &gt; capacité du cluster source",IF(OR(AND($AA284&lt;&gt;"",$AA284&lt;p_debut),AND($AB284&lt;&gt;"",$AB284&gt;p_fin)),"Hors horizon (info)",IF(AND($G284="À migrer",$E284="PRD",COUNTIFS(TblApplications[ID],$C284,TblApplications[Environnement],"NPRD",TblApplications[Action],"À migrer")&gt;0,$AA284&lt;_xlfn.MINIFS(TblApplications[Mois prov (calc)],TblApplications[ID],$C284,TblApplications[Environnement],"NPRD")),"PRD avant NPRD (info)","OK")))))))))))))))))))))</f>
        <v/>
      </c>
      <c r="AH284" s="62"/>
      <c r="AI284" s="62"/>
      <c r="AJ284" s="27" t="str">
        <f>IF(OR($C284="",NOT(OR($G284="À migrer",$G284="À décommissionner")),NOT(ISNUMBER($S284)),NOT(ISNUMBER($T284)),$AB284=""),"",($S284+p_poidsram*$T284)*SUMIFS(TblCalculs[Coût par unité],TblCalculs[Cluster],$I284,TblCalculs[Mois],"&lt;"&amp;$AB284))</f>
        <v/>
      </c>
      <c r="AK284" s="27" t="str">
        <f>IF($C284="","",IF(AND($G284="À migrer",$H284="Non",$Y284&lt;&gt;"",$AA284&lt;&gt;""),($Y284+p_poidsram*$Z284)*SUMIFS(TblCalculs[Coût par unité],TblCalculs[Cluster],$O284,TblCalculs[Mois],"&gt;="&amp;$AA284),IF(AND($G284="Migré",$Y284&lt;&gt;""),($Y284+p_poidsram*$Z284)*SUMIFS(TblCalculs[Coût par unité],TblCalculs[Cluster],$O284),"")))</f>
        <v/>
      </c>
      <c r="AL284" s="27" t="str">
        <f t="shared" si="38"/>
        <v/>
      </c>
      <c r="AM284" s="26" t="str">
        <f t="shared" si="39"/>
        <v/>
      </c>
      <c r="AN284" s="26" t="str">
        <f>IF(OR($C284="",$AM284&lt;&gt;1,COUNTIFS($E284,ex_envc,$A284,ex_domc,$B284,ex_tric)=0),"",COUNTIFS($AM$6:$AM284,1,$E$6:$E284,ex_envc,$A$6:$A284,ex_domc,$B$6:$B284,ex_tric))</f>
        <v/>
      </c>
      <c r="AO284" s="63"/>
      <c r="AP284" s="63"/>
      <c r="AQ284" s="63"/>
      <c r="AR284" s="63"/>
    </row>
    <row r="285" spans="1:44" x14ac:dyDescent="0.2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26" t="str">
        <f t="shared" si="32"/>
        <v/>
      </c>
      <c r="O285" s="59"/>
      <c r="P285" s="60" t="str">
        <f>IF($C285="","",IF($AQ285&lt;&gt;"",$AQ285,SUMIFS(TblDynatrace[CPU P95 (vCPU)],TblDynatrace[ID],$C285,TblDynatrace[Environnement],$E285,TblDynatrace[Couloir],$F285)))</f>
        <v/>
      </c>
      <c r="Q285" s="60" t="str">
        <f>IF($C285="","",IF($AR285&lt;&gt;"",$AR285,SUMIFS(TblDynatrace[RAM P95 (Go)],TblDynatrace[ID],$C285,TblDynatrace[Environnement],$E285,TblDynatrace[Couloir],$F285)))</f>
        <v/>
      </c>
      <c r="R285" s="26" t="str">
        <f>IF($C285="","",IFERROR(INDEX(TblDynatrace[Métrique / période],MATCH($C285&amp;"|"&amp;$E285&amp;"|"&amp;$F285,TblDynatrace[Clé],0)),""))</f>
        <v/>
      </c>
      <c r="S285" s="60" t="str">
        <f>IF(OR($C285="",NOT(OR($G285="À migrer",$G285="À décommissionner")),$I285="",NOT(ISNUMBER($P285))),"",IF($AO285&lt;&gt;"",$AO285,IFERROR(SUMIFS(TblClusters[CPU initial (vCPU)],TblClusters[Cluster],$I285)*$P285/(SUMIFS(TblApplications[CPU Dynatrace (vCPU)],TblApplications[Cluster IKS source],$I285,TblApplications[Action],"À migrer")+SUMIFS(TblApplications[CPU Dynatrace (vCPU)],TblApplications[Cluster IKS source],$I285,TblApplications[Action],"À décommissionner")),0)))</f>
        <v/>
      </c>
      <c r="T285" s="60" t="str">
        <f>IF(OR($C285="",NOT(OR($G285="À migrer",$G285="À décommissionner")),$I285="",NOT(ISNUMBER($Q285))),"",IF($AP285&lt;&gt;"",$AP285,IFERROR(SUMIFS(TblClusters[RAM initiale (Go)],TblClusters[Cluster],$I285)*$Q285/(SUMIFS(TblApplications[RAM Dynatrace (Go)],TblApplications[Cluster IKS source],$I285,TblApplications[Action],"À migrer")+SUMIFS(TblApplications[RAM Dynatrace (Go)],TblApplications[Cluster IKS source],$I285,TblApplications[Action],"À décommissionner")),0)))</f>
        <v/>
      </c>
      <c r="U285" s="61"/>
      <c r="V285" s="61"/>
      <c r="W285" s="61"/>
      <c r="X285" s="59"/>
      <c r="Y285" s="26" t="str">
        <f t="shared" si="33"/>
        <v/>
      </c>
      <c r="Z285" s="26" t="str">
        <f t="shared" si="34"/>
        <v/>
      </c>
      <c r="AA285" s="33" t="str">
        <f t="shared" si="35"/>
        <v/>
      </c>
      <c r="AB285" s="33" t="str">
        <f t="shared" si="36"/>
        <v/>
      </c>
      <c r="AC285" s="26" t="str">
        <f t="shared" si="37"/>
        <v/>
      </c>
      <c r="AD285" s="26" t="str">
        <f>IF($C285="","",COUNTIF(TblApplications[ID],$C285))</f>
        <v/>
      </c>
      <c r="AE285" s="33" t="str">
        <f>IF($C285="","",IFERROR(1/(1/_xlfn.MINIFS(TblApplications[Mois prov (calc)],TblApplications[ID],$C285)),""))</f>
        <v/>
      </c>
      <c r="AF285" s="33" t="str">
        <f>IF($C285="","",IFERROR(1/(1/_xlfn.MAXIFS(TblApplications[Mois lib (calc)],TblApplications[ID],$C285)),""))</f>
        <v/>
      </c>
      <c r="AG285" s="26" t="str">
        <f>IF($C285="","",IF(OR(OR($A285="",$B285="",$D285="",$E285="",$F285="",$G285=""),AND($G285="À migrer",OR($H285="",$I285="",$O285="",$U285="",$V285="",$W285="")),AND($G285="Migré",OR($O285="")),AND($G285="À décommissionner",OR($I285="",$W285=""))),"Données manquantes (selon l’action)",IF(AND($G285&lt;&gt;"Migré",$G285&lt;&gt;"À migrer",$G285&lt;&gt;"À décommissionner",$G285&lt;&gt;"Décommissionné"),"Action invalide",IF(COUNTIF(TblDomaines[Domaine],$A285)=0,"Domaine inconnu (référentiel)",IF(COUNTIFS(TblTribes[Tribe],$B285,TblTribes[Domaine de la tribe],$A285)=0,"Tribe inconnue ou hors domaine",IF(AND($G285="À migrer",$H285&lt;&gt;"Oui",$H285&lt;&gt;"Non"),"Valeur Oui/Non invalide (Déjà incluse ROKS)",IF(AND($E285&lt;&gt;"PRD",$E285&lt;&gt;"NPRD"),"Environnement invalide",IF(COUNTIFS(TblApplications[ID],$C285,TblApplications[Environnement],$E285,TblApplications[Couloir],$F285)&gt;1,"Déploiement en doublon (ID + env + couloir)",IF(AND(OR(OR($G285="À migrer",$G285="Migré"),OR($G285="À migrer",$G285="À décommissionner")),N($P285)&lt;=0),"Conso Dynatrace absente (onglet Dynatrace)",IF(OR(AND($P285&lt;&gt;"",NOT(ISNUMBER($P285))),AND($Q285&lt;&gt;"",NOT(ISNUMBER($Q285)))),"Ressource non numérique",IF(MIN(N($P285),N($Q285))&lt;0,"Ressource négative",IF(OR(AND($AH285&lt;&gt;"",OR(NOT(ISNUMBER($AH285)),$AH285&lt;0,$AH285&gt;1)),AND($AI285&lt;&gt;"",OR(NOT(ISNUMBER($AI285)),$AI285&lt;0,$AI285&gt;1))),"Marge spécifique invalide (0–100 %)",IF(OR(AND($U285&lt;&gt;"",NOT(ISNUMBER($U285))),AND($V285&lt;&gt;"",NOT(ISNUMBER($V285))),AND($W285&lt;&gt;"",NOT(ISNUMBER($W285)))),"Mois invalide",IF(AND(OR($G285="À migrer",$G285="À décommissionner"),COUNTIFS(TblClusters[Cluster],$I285,TblClusters[Plateforme],"IKS")=0),"Cluster IKS inconnu",IF(AND(OR($G285="À migrer",$G285="Migré"),COUNTIFS(TblClusters[Cluster],$O285,TblClusters[Plateforme],"ROKS")=0),"Cluster ROKS inconnu",IF(AND(OR($G285="À migrer",$G285="À décommissionner"),COUNTIFS(TblClusters[Cluster],$I285,TblClusters[Environnement],$E285)=0),"Environnement ≠ cluster IKS",IF(AND(OR($G285="À migrer",$G285="Migré"),COUNTIFS(TblClusters[Cluster],$O285,TblClusters[Environnement],$E285)=0),"Environnement ≠ cluster ROKS",IF(AND($G285="À migrer",OR($U285&gt;$V285,$V285&gt;$W285)),"Dates incohérentes (prov ≤ bascule ≤ libération)",IF(AND(OR($G285="À migrer",$G285="À décommissionner"),OR(N($AO285)&gt;SUMIFS(TblClusters[CPU initial (vCPU)],TblClusters[Cluster],$I285),N($AP285)&gt;SUMIFS(TblClusters[RAM initiale (Go)],TblClusters[Cluster],$I285))),"Forçage &gt; capacité du cluster source",IF(OR(AND($AA285&lt;&gt;"",$AA285&lt;p_debut),AND($AB285&lt;&gt;"",$AB285&gt;p_fin)),"Hors horizon (info)",IF(AND($G285="À migrer",$E285="PRD",COUNTIFS(TblApplications[ID],$C285,TblApplications[Environnement],"NPRD",TblApplications[Action],"À migrer")&gt;0,$AA285&lt;_xlfn.MINIFS(TblApplications[Mois prov (calc)],TblApplications[ID],$C285,TblApplications[Environnement],"NPRD")),"PRD avant NPRD (info)","OK")))))))))))))))))))))</f>
        <v/>
      </c>
      <c r="AH285" s="62"/>
      <c r="AI285" s="62"/>
      <c r="AJ285" s="27" t="str">
        <f>IF(OR($C285="",NOT(OR($G285="À migrer",$G285="À décommissionner")),NOT(ISNUMBER($S285)),NOT(ISNUMBER($T285)),$AB285=""),"",($S285+p_poidsram*$T285)*SUMIFS(TblCalculs[Coût par unité],TblCalculs[Cluster],$I285,TblCalculs[Mois],"&lt;"&amp;$AB285))</f>
        <v/>
      </c>
      <c r="AK285" s="27" t="str">
        <f>IF($C285="","",IF(AND($G285="À migrer",$H285="Non",$Y285&lt;&gt;"",$AA285&lt;&gt;""),($Y285+p_poidsram*$Z285)*SUMIFS(TblCalculs[Coût par unité],TblCalculs[Cluster],$O285,TblCalculs[Mois],"&gt;="&amp;$AA285),IF(AND($G285="Migré",$Y285&lt;&gt;""),($Y285+p_poidsram*$Z285)*SUMIFS(TblCalculs[Coût par unité],TblCalculs[Cluster],$O285),"")))</f>
        <v/>
      </c>
      <c r="AL285" s="27" t="str">
        <f t="shared" si="38"/>
        <v/>
      </c>
      <c r="AM285" s="26" t="str">
        <f t="shared" si="39"/>
        <v/>
      </c>
      <c r="AN285" s="26" t="str">
        <f>IF(OR($C285="",$AM285&lt;&gt;1,COUNTIFS($E285,ex_envc,$A285,ex_domc,$B285,ex_tric)=0),"",COUNTIFS($AM$6:$AM285,1,$E$6:$E285,ex_envc,$A$6:$A285,ex_domc,$B$6:$B285,ex_tric))</f>
        <v/>
      </c>
      <c r="AO285" s="63"/>
      <c r="AP285" s="63"/>
      <c r="AQ285" s="63"/>
      <c r="AR285" s="63"/>
    </row>
    <row r="286" spans="1:44" x14ac:dyDescent="0.2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26" t="str">
        <f t="shared" si="32"/>
        <v/>
      </c>
      <c r="O286" s="59"/>
      <c r="P286" s="60" t="str">
        <f>IF($C286="","",IF($AQ286&lt;&gt;"",$AQ286,SUMIFS(TblDynatrace[CPU P95 (vCPU)],TblDynatrace[ID],$C286,TblDynatrace[Environnement],$E286,TblDynatrace[Couloir],$F286)))</f>
        <v/>
      </c>
      <c r="Q286" s="60" t="str">
        <f>IF($C286="","",IF($AR286&lt;&gt;"",$AR286,SUMIFS(TblDynatrace[RAM P95 (Go)],TblDynatrace[ID],$C286,TblDynatrace[Environnement],$E286,TblDynatrace[Couloir],$F286)))</f>
        <v/>
      </c>
      <c r="R286" s="26" t="str">
        <f>IF($C286="","",IFERROR(INDEX(TblDynatrace[Métrique / période],MATCH($C286&amp;"|"&amp;$E286&amp;"|"&amp;$F286,TblDynatrace[Clé],0)),""))</f>
        <v/>
      </c>
      <c r="S286" s="60" t="str">
        <f>IF(OR($C286="",NOT(OR($G286="À migrer",$G286="À décommissionner")),$I286="",NOT(ISNUMBER($P286))),"",IF($AO286&lt;&gt;"",$AO286,IFERROR(SUMIFS(TblClusters[CPU initial (vCPU)],TblClusters[Cluster],$I286)*$P286/(SUMIFS(TblApplications[CPU Dynatrace (vCPU)],TblApplications[Cluster IKS source],$I286,TblApplications[Action],"À migrer")+SUMIFS(TblApplications[CPU Dynatrace (vCPU)],TblApplications[Cluster IKS source],$I286,TblApplications[Action],"À décommissionner")),0)))</f>
        <v/>
      </c>
      <c r="T286" s="60" t="str">
        <f>IF(OR($C286="",NOT(OR($G286="À migrer",$G286="À décommissionner")),$I286="",NOT(ISNUMBER($Q286))),"",IF($AP286&lt;&gt;"",$AP286,IFERROR(SUMIFS(TblClusters[RAM initiale (Go)],TblClusters[Cluster],$I286)*$Q286/(SUMIFS(TblApplications[RAM Dynatrace (Go)],TblApplications[Cluster IKS source],$I286,TblApplications[Action],"À migrer")+SUMIFS(TblApplications[RAM Dynatrace (Go)],TblApplications[Cluster IKS source],$I286,TblApplications[Action],"À décommissionner")),0)))</f>
        <v/>
      </c>
      <c r="U286" s="61"/>
      <c r="V286" s="61"/>
      <c r="W286" s="61"/>
      <c r="X286" s="59"/>
      <c r="Y286" s="26" t="str">
        <f t="shared" si="33"/>
        <v/>
      </c>
      <c r="Z286" s="26" t="str">
        <f t="shared" si="34"/>
        <v/>
      </c>
      <c r="AA286" s="33" t="str">
        <f t="shared" si="35"/>
        <v/>
      </c>
      <c r="AB286" s="33" t="str">
        <f t="shared" si="36"/>
        <v/>
      </c>
      <c r="AC286" s="26" t="str">
        <f t="shared" si="37"/>
        <v/>
      </c>
      <c r="AD286" s="26" t="str">
        <f>IF($C286="","",COUNTIF(TblApplications[ID],$C286))</f>
        <v/>
      </c>
      <c r="AE286" s="33" t="str">
        <f>IF($C286="","",IFERROR(1/(1/_xlfn.MINIFS(TblApplications[Mois prov (calc)],TblApplications[ID],$C286)),""))</f>
        <v/>
      </c>
      <c r="AF286" s="33" t="str">
        <f>IF($C286="","",IFERROR(1/(1/_xlfn.MAXIFS(TblApplications[Mois lib (calc)],TblApplications[ID],$C286)),""))</f>
        <v/>
      </c>
      <c r="AG286" s="26" t="str">
        <f>IF($C286="","",IF(OR(OR($A286="",$B286="",$D286="",$E286="",$F286="",$G286=""),AND($G286="À migrer",OR($H286="",$I286="",$O286="",$U286="",$V286="",$W286="")),AND($G286="Migré",OR($O286="")),AND($G286="À décommissionner",OR($I286="",$W286=""))),"Données manquantes (selon l’action)",IF(AND($G286&lt;&gt;"Migré",$G286&lt;&gt;"À migrer",$G286&lt;&gt;"À décommissionner",$G286&lt;&gt;"Décommissionné"),"Action invalide",IF(COUNTIF(TblDomaines[Domaine],$A286)=0,"Domaine inconnu (référentiel)",IF(COUNTIFS(TblTribes[Tribe],$B286,TblTribes[Domaine de la tribe],$A286)=0,"Tribe inconnue ou hors domaine",IF(AND($G286="À migrer",$H286&lt;&gt;"Oui",$H286&lt;&gt;"Non"),"Valeur Oui/Non invalide (Déjà incluse ROKS)",IF(AND($E286&lt;&gt;"PRD",$E286&lt;&gt;"NPRD"),"Environnement invalide",IF(COUNTIFS(TblApplications[ID],$C286,TblApplications[Environnement],$E286,TblApplications[Couloir],$F286)&gt;1,"Déploiement en doublon (ID + env + couloir)",IF(AND(OR(OR($G286="À migrer",$G286="Migré"),OR($G286="À migrer",$G286="À décommissionner")),N($P286)&lt;=0),"Conso Dynatrace absente (onglet Dynatrace)",IF(OR(AND($P286&lt;&gt;"",NOT(ISNUMBER($P286))),AND($Q286&lt;&gt;"",NOT(ISNUMBER($Q286)))),"Ressource non numérique",IF(MIN(N($P286),N($Q286))&lt;0,"Ressource négative",IF(OR(AND($AH286&lt;&gt;"",OR(NOT(ISNUMBER($AH286)),$AH286&lt;0,$AH286&gt;1)),AND($AI286&lt;&gt;"",OR(NOT(ISNUMBER($AI286)),$AI286&lt;0,$AI286&gt;1))),"Marge spécifique invalide (0–100 %)",IF(OR(AND($U286&lt;&gt;"",NOT(ISNUMBER($U286))),AND($V286&lt;&gt;"",NOT(ISNUMBER($V286))),AND($W286&lt;&gt;"",NOT(ISNUMBER($W286)))),"Mois invalide",IF(AND(OR($G286="À migrer",$G286="À décommissionner"),COUNTIFS(TblClusters[Cluster],$I286,TblClusters[Plateforme],"IKS")=0),"Cluster IKS inconnu",IF(AND(OR($G286="À migrer",$G286="Migré"),COUNTIFS(TblClusters[Cluster],$O286,TblClusters[Plateforme],"ROKS")=0),"Cluster ROKS inconnu",IF(AND(OR($G286="À migrer",$G286="À décommissionner"),COUNTIFS(TblClusters[Cluster],$I286,TblClusters[Environnement],$E286)=0),"Environnement ≠ cluster IKS",IF(AND(OR($G286="À migrer",$G286="Migré"),COUNTIFS(TblClusters[Cluster],$O286,TblClusters[Environnement],$E286)=0),"Environnement ≠ cluster ROKS",IF(AND($G286="À migrer",OR($U286&gt;$V286,$V286&gt;$W286)),"Dates incohérentes (prov ≤ bascule ≤ libération)",IF(AND(OR($G286="À migrer",$G286="À décommissionner"),OR(N($AO286)&gt;SUMIFS(TblClusters[CPU initial (vCPU)],TblClusters[Cluster],$I286),N($AP286)&gt;SUMIFS(TblClusters[RAM initiale (Go)],TblClusters[Cluster],$I286))),"Forçage &gt; capacité du cluster source",IF(OR(AND($AA286&lt;&gt;"",$AA286&lt;p_debut),AND($AB286&lt;&gt;"",$AB286&gt;p_fin)),"Hors horizon (info)",IF(AND($G286="À migrer",$E286="PRD",COUNTIFS(TblApplications[ID],$C286,TblApplications[Environnement],"NPRD",TblApplications[Action],"À migrer")&gt;0,$AA286&lt;_xlfn.MINIFS(TblApplications[Mois prov (calc)],TblApplications[ID],$C286,TblApplications[Environnement],"NPRD")),"PRD avant NPRD (info)","OK")))))))))))))))))))))</f>
        <v/>
      </c>
      <c r="AH286" s="62"/>
      <c r="AI286" s="62"/>
      <c r="AJ286" s="27" t="str">
        <f>IF(OR($C286="",NOT(OR($G286="À migrer",$G286="À décommissionner")),NOT(ISNUMBER($S286)),NOT(ISNUMBER($T286)),$AB286=""),"",($S286+p_poidsram*$T286)*SUMIFS(TblCalculs[Coût par unité],TblCalculs[Cluster],$I286,TblCalculs[Mois],"&lt;"&amp;$AB286))</f>
        <v/>
      </c>
      <c r="AK286" s="27" t="str">
        <f>IF($C286="","",IF(AND($G286="À migrer",$H286="Non",$Y286&lt;&gt;"",$AA286&lt;&gt;""),($Y286+p_poidsram*$Z286)*SUMIFS(TblCalculs[Coût par unité],TblCalculs[Cluster],$O286,TblCalculs[Mois],"&gt;="&amp;$AA286),IF(AND($G286="Migré",$Y286&lt;&gt;""),($Y286+p_poidsram*$Z286)*SUMIFS(TblCalculs[Coût par unité],TblCalculs[Cluster],$O286),"")))</f>
        <v/>
      </c>
      <c r="AL286" s="27" t="str">
        <f t="shared" si="38"/>
        <v/>
      </c>
      <c r="AM286" s="26" t="str">
        <f t="shared" si="39"/>
        <v/>
      </c>
      <c r="AN286" s="26" t="str">
        <f>IF(OR($C286="",$AM286&lt;&gt;1,COUNTIFS($E286,ex_envc,$A286,ex_domc,$B286,ex_tric)=0),"",COUNTIFS($AM$6:$AM286,1,$E$6:$E286,ex_envc,$A$6:$A286,ex_domc,$B$6:$B286,ex_tric))</f>
        <v/>
      </c>
      <c r="AO286" s="63"/>
      <c r="AP286" s="63"/>
      <c r="AQ286" s="63"/>
      <c r="AR286" s="63"/>
    </row>
    <row r="287" spans="1:44" x14ac:dyDescent="0.2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26" t="str">
        <f t="shared" si="32"/>
        <v/>
      </c>
      <c r="O287" s="59"/>
      <c r="P287" s="60" t="str">
        <f>IF($C287="","",IF($AQ287&lt;&gt;"",$AQ287,SUMIFS(TblDynatrace[CPU P95 (vCPU)],TblDynatrace[ID],$C287,TblDynatrace[Environnement],$E287,TblDynatrace[Couloir],$F287)))</f>
        <v/>
      </c>
      <c r="Q287" s="60" t="str">
        <f>IF($C287="","",IF($AR287&lt;&gt;"",$AR287,SUMIFS(TblDynatrace[RAM P95 (Go)],TblDynatrace[ID],$C287,TblDynatrace[Environnement],$E287,TblDynatrace[Couloir],$F287)))</f>
        <v/>
      </c>
      <c r="R287" s="26" t="str">
        <f>IF($C287="","",IFERROR(INDEX(TblDynatrace[Métrique / période],MATCH($C287&amp;"|"&amp;$E287&amp;"|"&amp;$F287,TblDynatrace[Clé],0)),""))</f>
        <v/>
      </c>
      <c r="S287" s="60" t="str">
        <f>IF(OR($C287="",NOT(OR($G287="À migrer",$G287="À décommissionner")),$I287="",NOT(ISNUMBER($P287))),"",IF($AO287&lt;&gt;"",$AO287,IFERROR(SUMIFS(TblClusters[CPU initial (vCPU)],TblClusters[Cluster],$I287)*$P287/(SUMIFS(TblApplications[CPU Dynatrace (vCPU)],TblApplications[Cluster IKS source],$I287,TblApplications[Action],"À migrer")+SUMIFS(TblApplications[CPU Dynatrace (vCPU)],TblApplications[Cluster IKS source],$I287,TblApplications[Action],"À décommissionner")),0)))</f>
        <v/>
      </c>
      <c r="T287" s="60" t="str">
        <f>IF(OR($C287="",NOT(OR($G287="À migrer",$G287="À décommissionner")),$I287="",NOT(ISNUMBER($Q287))),"",IF($AP287&lt;&gt;"",$AP287,IFERROR(SUMIFS(TblClusters[RAM initiale (Go)],TblClusters[Cluster],$I287)*$Q287/(SUMIFS(TblApplications[RAM Dynatrace (Go)],TblApplications[Cluster IKS source],$I287,TblApplications[Action],"À migrer")+SUMIFS(TblApplications[RAM Dynatrace (Go)],TblApplications[Cluster IKS source],$I287,TblApplications[Action],"À décommissionner")),0)))</f>
        <v/>
      </c>
      <c r="U287" s="61"/>
      <c r="V287" s="61"/>
      <c r="W287" s="61"/>
      <c r="X287" s="59"/>
      <c r="Y287" s="26" t="str">
        <f t="shared" si="33"/>
        <v/>
      </c>
      <c r="Z287" s="26" t="str">
        <f t="shared" si="34"/>
        <v/>
      </c>
      <c r="AA287" s="33" t="str">
        <f t="shared" si="35"/>
        <v/>
      </c>
      <c r="AB287" s="33" t="str">
        <f t="shared" si="36"/>
        <v/>
      </c>
      <c r="AC287" s="26" t="str">
        <f t="shared" si="37"/>
        <v/>
      </c>
      <c r="AD287" s="26" t="str">
        <f>IF($C287="","",COUNTIF(TblApplications[ID],$C287))</f>
        <v/>
      </c>
      <c r="AE287" s="33" t="str">
        <f>IF($C287="","",IFERROR(1/(1/_xlfn.MINIFS(TblApplications[Mois prov (calc)],TblApplications[ID],$C287)),""))</f>
        <v/>
      </c>
      <c r="AF287" s="33" t="str">
        <f>IF($C287="","",IFERROR(1/(1/_xlfn.MAXIFS(TblApplications[Mois lib (calc)],TblApplications[ID],$C287)),""))</f>
        <v/>
      </c>
      <c r="AG287" s="26" t="str">
        <f>IF($C287="","",IF(OR(OR($A287="",$B287="",$D287="",$E287="",$F287="",$G287=""),AND($G287="À migrer",OR($H287="",$I287="",$O287="",$U287="",$V287="",$W287="")),AND($G287="Migré",OR($O287="")),AND($G287="À décommissionner",OR($I287="",$W287=""))),"Données manquantes (selon l’action)",IF(AND($G287&lt;&gt;"Migré",$G287&lt;&gt;"À migrer",$G287&lt;&gt;"À décommissionner",$G287&lt;&gt;"Décommissionné"),"Action invalide",IF(COUNTIF(TblDomaines[Domaine],$A287)=0,"Domaine inconnu (référentiel)",IF(COUNTIFS(TblTribes[Tribe],$B287,TblTribes[Domaine de la tribe],$A287)=0,"Tribe inconnue ou hors domaine",IF(AND($G287="À migrer",$H287&lt;&gt;"Oui",$H287&lt;&gt;"Non"),"Valeur Oui/Non invalide (Déjà incluse ROKS)",IF(AND($E287&lt;&gt;"PRD",$E287&lt;&gt;"NPRD"),"Environnement invalide",IF(COUNTIFS(TblApplications[ID],$C287,TblApplications[Environnement],$E287,TblApplications[Couloir],$F287)&gt;1,"Déploiement en doublon (ID + env + couloir)",IF(AND(OR(OR($G287="À migrer",$G287="Migré"),OR($G287="À migrer",$G287="À décommissionner")),N($P287)&lt;=0),"Conso Dynatrace absente (onglet Dynatrace)",IF(OR(AND($P287&lt;&gt;"",NOT(ISNUMBER($P287))),AND($Q287&lt;&gt;"",NOT(ISNUMBER($Q287)))),"Ressource non numérique",IF(MIN(N($P287),N($Q287))&lt;0,"Ressource négative",IF(OR(AND($AH287&lt;&gt;"",OR(NOT(ISNUMBER($AH287)),$AH287&lt;0,$AH287&gt;1)),AND($AI287&lt;&gt;"",OR(NOT(ISNUMBER($AI287)),$AI287&lt;0,$AI287&gt;1))),"Marge spécifique invalide (0–100 %)",IF(OR(AND($U287&lt;&gt;"",NOT(ISNUMBER($U287))),AND($V287&lt;&gt;"",NOT(ISNUMBER($V287))),AND($W287&lt;&gt;"",NOT(ISNUMBER($W287)))),"Mois invalide",IF(AND(OR($G287="À migrer",$G287="À décommissionner"),COUNTIFS(TblClusters[Cluster],$I287,TblClusters[Plateforme],"IKS")=0),"Cluster IKS inconnu",IF(AND(OR($G287="À migrer",$G287="Migré"),COUNTIFS(TblClusters[Cluster],$O287,TblClusters[Plateforme],"ROKS")=0),"Cluster ROKS inconnu",IF(AND(OR($G287="À migrer",$G287="À décommissionner"),COUNTIFS(TblClusters[Cluster],$I287,TblClusters[Environnement],$E287)=0),"Environnement ≠ cluster IKS",IF(AND(OR($G287="À migrer",$G287="Migré"),COUNTIFS(TblClusters[Cluster],$O287,TblClusters[Environnement],$E287)=0),"Environnement ≠ cluster ROKS",IF(AND($G287="À migrer",OR($U287&gt;$V287,$V287&gt;$W287)),"Dates incohérentes (prov ≤ bascule ≤ libération)",IF(AND(OR($G287="À migrer",$G287="À décommissionner"),OR(N($AO287)&gt;SUMIFS(TblClusters[CPU initial (vCPU)],TblClusters[Cluster],$I287),N($AP287)&gt;SUMIFS(TblClusters[RAM initiale (Go)],TblClusters[Cluster],$I287))),"Forçage &gt; capacité du cluster source",IF(OR(AND($AA287&lt;&gt;"",$AA287&lt;p_debut),AND($AB287&lt;&gt;"",$AB287&gt;p_fin)),"Hors horizon (info)",IF(AND($G287="À migrer",$E287="PRD",COUNTIFS(TblApplications[ID],$C287,TblApplications[Environnement],"NPRD",TblApplications[Action],"À migrer")&gt;0,$AA287&lt;_xlfn.MINIFS(TblApplications[Mois prov (calc)],TblApplications[ID],$C287,TblApplications[Environnement],"NPRD")),"PRD avant NPRD (info)","OK")))))))))))))))))))))</f>
        <v/>
      </c>
      <c r="AH287" s="62"/>
      <c r="AI287" s="62"/>
      <c r="AJ287" s="27" t="str">
        <f>IF(OR($C287="",NOT(OR($G287="À migrer",$G287="À décommissionner")),NOT(ISNUMBER($S287)),NOT(ISNUMBER($T287)),$AB287=""),"",($S287+p_poidsram*$T287)*SUMIFS(TblCalculs[Coût par unité],TblCalculs[Cluster],$I287,TblCalculs[Mois],"&lt;"&amp;$AB287))</f>
        <v/>
      </c>
      <c r="AK287" s="27" t="str">
        <f>IF($C287="","",IF(AND($G287="À migrer",$H287="Non",$Y287&lt;&gt;"",$AA287&lt;&gt;""),($Y287+p_poidsram*$Z287)*SUMIFS(TblCalculs[Coût par unité],TblCalculs[Cluster],$O287,TblCalculs[Mois],"&gt;="&amp;$AA287),IF(AND($G287="Migré",$Y287&lt;&gt;""),($Y287+p_poidsram*$Z287)*SUMIFS(TblCalculs[Coût par unité],TblCalculs[Cluster],$O287),"")))</f>
        <v/>
      </c>
      <c r="AL287" s="27" t="str">
        <f t="shared" si="38"/>
        <v/>
      </c>
      <c r="AM287" s="26" t="str">
        <f t="shared" si="39"/>
        <v/>
      </c>
      <c r="AN287" s="26" t="str">
        <f>IF(OR($C287="",$AM287&lt;&gt;1,COUNTIFS($E287,ex_envc,$A287,ex_domc,$B287,ex_tric)=0),"",COUNTIFS($AM$6:$AM287,1,$E$6:$E287,ex_envc,$A$6:$A287,ex_domc,$B$6:$B287,ex_tric))</f>
        <v/>
      </c>
      <c r="AO287" s="63"/>
      <c r="AP287" s="63"/>
      <c r="AQ287" s="63"/>
      <c r="AR287" s="63"/>
    </row>
    <row r="288" spans="1:44" x14ac:dyDescent="0.2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26" t="str">
        <f t="shared" si="32"/>
        <v/>
      </c>
      <c r="O288" s="59"/>
      <c r="P288" s="60" t="str">
        <f>IF($C288="","",IF($AQ288&lt;&gt;"",$AQ288,SUMIFS(TblDynatrace[CPU P95 (vCPU)],TblDynatrace[ID],$C288,TblDynatrace[Environnement],$E288,TblDynatrace[Couloir],$F288)))</f>
        <v/>
      </c>
      <c r="Q288" s="60" t="str">
        <f>IF($C288="","",IF($AR288&lt;&gt;"",$AR288,SUMIFS(TblDynatrace[RAM P95 (Go)],TblDynatrace[ID],$C288,TblDynatrace[Environnement],$E288,TblDynatrace[Couloir],$F288)))</f>
        <v/>
      </c>
      <c r="R288" s="26" t="str">
        <f>IF($C288="","",IFERROR(INDEX(TblDynatrace[Métrique / période],MATCH($C288&amp;"|"&amp;$E288&amp;"|"&amp;$F288,TblDynatrace[Clé],0)),""))</f>
        <v/>
      </c>
      <c r="S288" s="60" t="str">
        <f>IF(OR($C288="",NOT(OR($G288="À migrer",$G288="À décommissionner")),$I288="",NOT(ISNUMBER($P288))),"",IF($AO288&lt;&gt;"",$AO288,IFERROR(SUMIFS(TblClusters[CPU initial (vCPU)],TblClusters[Cluster],$I288)*$P288/(SUMIFS(TblApplications[CPU Dynatrace (vCPU)],TblApplications[Cluster IKS source],$I288,TblApplications[Action],"À migrer")+SUMIFS(TblApplications[CPU Dynatrace (vCPU)],TblApplications[Cluster IKS source],$I288,TblApplications[Action],"À décommissionner")),0)))</f>
        <v/>
      </c>
      <c r="T288" s="60" t="str">
        <f>IF(OR($C288="",NOT(OR($G288="À migrer",$G288="À décommissionner")),$I288="",NOT(ISNUMBER($Q288))),"",IF($AP288&lt;&gt;"",$AP288,IFERROR(SUMIFS(TblClusters[RAM initiale (Go)],TblClusters[Cluster],$I288)*$Q288/(SUMIFS(TblApplications[RAM Dynatrace (Go)],TblApplications[Cluster IKS source],$I288,TblApplications[Action],"À migrer")+SUMIFS(TblApplications[RAM Dynatrace (Go)],TblApplications[Cluster IKS source],$I288,TblApplications[Action],"À décommissionner")),0)))</f>
        <v/>
      </c>
      <c r="U288" s="61"/>
      <c r="V288" s="61"/>
      <c r="W288" s="61"/>
      <c r="X288" s="59"/>
      <c r="Y288" s="26" t="str">
        <f t="shared" si="33"/>
        <v/>
      </c>
      <c r="Z288" s="26" t="str">
        <f t="shared" si="34"/>
        <v/>
      </c>
      <c r="AA288" s="33" t="str">
        <f t="shared" si="35"/>
        <v/>
      </c>
      <c r="AB288" s="33" t="str">
        <f t="shared" si="36"/>
        <v/>
      </c>
      <c r="AC288" s="26" t="str">
        <f t="shared" si="37"/>
        <v/>
      </c>
      <c r="AD288" s="26" t="str">
        <f>IF($C288="","",COUNTIF(TblApplications[ID],$C288))</f>
        <v/>
      </c>
      <c r="AE288" s="33" t="str">
        <f>IF($C288="","",IFERROR(1/(1/_xlfn.MINIFS(TblApplications[Mois prov (calc)],TblApplications[ID],$C288)),""))</f>
        <v/>
      </c>
      <c r="AF288" s="33" t="str">
        <f>IF($C288="","",IFERROR(1/(1/_xlfn.MAXIFS(TblApplications[Mois lib (calc)],TblApplications[ID],$C288)),""))</f>
        <v/>
      </c>
      <c r="AG288" s="26" t="str">
        <f>IF($C288="","",IF(OR(OR($A288="",$B288="",$D288="",$E288="",$F288="",$G288=""),AND($G288="À migrer",OR($H288="",$I288="",$O288="",$U288="",$V288="",$W288="")),AND($G288="Migré",OR($O288="")),AND($G288="À décommissionner",OR($I288="",$W288=""))),"Données manquantes (selon l’action)",IF(AND($G288&lt;&gt;"Migré",$G288&lt;&gt;"À migrer",$G288&lt;&gt;"À décommissionner",$G288&lt;&gt;"Décommissionné"),"Action invalide",IF(COUNTIF(TblDomaines[Domaine],$A288)=0,"Domaine inconnu (référentiel)",IF(COUNTIFS(TblTribes[Tribe],$B288,TblTribes[Domaine de la tribe],$A288)=0,"Tribe inconnue ou hors domaine",IF(AND($G288="À migrer",$H288&lt;&gt;"Oui",$H288&lt;&gt;"Non"),"Valeur Oui/Non invalide (Déjà incluse ROKS)",IF(AND($E288&lt;&gt;"PRD",$E288&lt;&gt;"NPRD"),"Environnement invalide",IF(COUNTIFS(TblApplications[ID],$C288,TblApplications[Environnement],$E288,TblApplications[Couloir],$F288)&gt;1,"Déploiement en doublon (ID + env + couloir)",IF(AND(OR(OR($G288="À migrer",$G288="Migré"),OR($G288="À migrer",$G288="À décommissionner")),N($P288)&lt;=0),"Conso Dynatrace absente (onglet Dynatrace)",IF(OR(AND($P288&lt;&gt;"",NOT(ISNUMBER($P288))),AND($Q288&lt;&gt;"",NOT(ISNUMBER($Q288)))),"Ressource non numérique",IF(MIN(N($P288),N($Q288))&lt;0,"Ressource négative",IF(OR(AND($AH288&lt;&gt;"",OR(NOT(ISNUMBER($AH288)),$AH288&lt;0,$AH288&gt;1)),AND($AI288&lt;&gt;"",OR(NOT(ISNUMBER($AI288)),$AI288&lt;0,$AI288&gt;1))),"Marge spécifique invalide (0–100 %)",IF(OR(AND($U288&lt;&gt;"",NOT(ISNUMBER($U288))),AND($V288&lt;&gt;"",NOT(ISNUMBER($V288))),AND($W288&lt;&gt;"",NOT(ISNUMBER($W288)))),"Mois invalide",IF(AND(OR($G288="À migrer",$G288="À décommissionner"),COUNTIFS(TblClusters[Cluster],$I288,TblClusters[Plateforme],"IKS")=0),"Cluster IKS inconnu",IF(AND(OR($G288="À migrer",$G288="Migré"),COUNTIFS(TblClusters[Cluster],$O288,TblClusters[Plateforme],"ROKS")=0),"Cluster ROKS inconnu",IF(AND(OR($G288="À migrer",$G288="À décommissionner"),COUNTIFS(TblClusters[Cluster],$I288,TblClusters[Environnement],$E288)=0),"Environnement ≠ cluster IKS",IF(AND(OR($G288="À migrer",$G288="Migré"),COUNTIFS(TblClusters[Cluster],$O288,TblClusters[Environnement],$E288)=0),"Environnement ≠ cluster ROKS",IF(AND($G288="À migrer",OR($U288&gt;$V288,$V288&gt;$W288)),"Dates incohérentes (prov ≤ bascule ≤ libération)",IF(AND(OR($G288="À migrer",$G288="À décommissionner"),OR(N($AO288)&gt;SUMIFS(TblClusters[CPU initial (vCPU)],TblClusters[Cluster],$I288),N($AP288)&gt;SUMIFS(TblClusters[RAM initiale (Go)],TblClusters[Cluster],$I288))),"Forçage &gt; capacité du cluster source",IF(OR(AND($AA288&lt;&gt;"",$AA288&lt;p_debut),AND($AB288&lt;&gt;"",$AB288&gt;p_fin)),"Hors horizon (info)",IF(AND($G288="À migrer",$E288="PRD",COUNTIFS(TblApplications[ID],$C288,TblApplications[Environnement],"NPRD",TblApplications[Action],"À migrer")&gt;0,$AA288&lt;_xlfn.MINIFS(TblApplications[Mois prov (calc)],TblApplications[ID],$C288,TblApplications[Environnement],"NPRD")),"PRD avant NPRD (info)","OK")))))))))))))))))))))</f>
        <v/>
      </c>
      <c r="AH288" s="62"/>
      <c r="AI288" s="62"/>
      <c r="AJ288" s="27" t="str">
        <f>IF(OR($C288="",NOT(OR($G288="À migrer",$G288="À décommissionner")),NOT(ISNUMBER($S288)),NOT(ISNUMBER($T288)),$AB288=""),"",($S288+p_poidsram*$T288)*SUMIFS(TblCalculs[Coût par unité],TblCalculs[Cluster],$I288,TblCalculs[Mois],"&lt;"&amp;$AB288))</f>
        <v/>
      </c>
      <c r="AK288" s="27" t="str">
        <f>IF($C288="","",IF(AND($G288="À migrer",$H288="Non",$Y288&lt;&gt;"",$AA288&lt;&gt;""),($Y288+p_poidsram*$Z288)*SUMIFS(TblCalculs[Coût par unité],TblCalculs[Cluster],$O288,TblCalculs[Mois],"&gt;="&amp;$AA288),IF(AND($G288="Migré",$Y288&lt;&gt;""),($Y288+p_poidsram*$Z288)*SUMIFS(TblCalculs[Coût par unité],TblCalculs[Cluster],$O288),"")))</f>
        <v/>
      </c>
      <c r="AL288" s="27" t="str">
        <f t="shared" si="38"/>
        <v/>
      </c>
      <c r="AM288" s="26" t="str">
        <f t="shared" si="39"/>
        <v/>
      </c>
      <c r="AN288" s="26" t="str">
        <f>IF(OR($C288="",$AM288&lt;&gt;1,COUNTIFS($E288,ex_envc,$A288,ex_domc,$B288,ex_tric)=0),"",COUNTIFS($AM$6:$AM288,1,$E$6:$E288,ex_envc,$A$6:$A288,ex_domc,$B$6:$B288,ex_tric))</f>
        <v/>
      </c>
      <c r="AO288" s="63"/>
      <c r="AP288" s="63"/>
      <c r="AQ288" s="63"/>
      <c r="AR288" s="63"/>
    </row>
    <row r="289" spans="1:44" x14ac:dyDescent="0.2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26" t="str">
        <f t="shared" si="32"/>
        <v/>
      </c>
      <c r="O289" s="59"/>
      <c r="P289" s="60" t="str">
        <f>IF($C289="","",IF($AQ289&lt;&gt;"",$AQ289,SUMIFS(TblDynatrace[CPU P95 (vCPU)],TblDynatrace[ID],$C289,TblDynatrace[Environnement],$E289,TblDynatrace[Couloir],$F289)))</f>
        <v/>
      </c>
      <c r="Q289" s="60" t="str">
        <f>IF($C289="","",IF($AR289&lt;&gt;"",$AR289,SUMIFS(TblDynatrace[RAM P95 (Go)],TblDynatrace[ID],$C289,TblDynatrace[Environnement],$E289,TblDynatrace[Couloir],$F289)))</f>
        <v/>
      </c>
      <c r="R289" s="26" t="str">
        <f>IF($C289="","",IFERROR(INDEX(TblDynatrace[Métrique / période],MATCH($C289&amp;"|"&amp;$E289&amp;"|"&amp;$F289,TblDynatrace[Clé],0)),""))</f>
        <v/>
      </c>
      <c r="S289" s="60" t="str">
        <f>IF(OR($C289="",NOT(OR($G289="À migrer",$G289="À décommissionner")),$I289="",NOT(ISNUMBER($P289))),"",IF($AO289&lt;&gt;"",$AO289,IFERROR(SUMIFS(TblClusters[CPU initial (vCPU)],TblClusters[Cluster],$I289)*$P289/(SUMIFS(TblApplications[CPU Dynatrace (vCPU)],TblApplications[Cluster IKS source],$I289,TblApplications[Action],"À migrer")+SUMIFS(TblApplications[CPU Dynatrace (vCPU)],TblApplications[Cluster IKS source],$I289,TblApplications[Action],"À décommissionner")),0)))</f>
        <v/>
      </c>
      <c r="T289" s="60" t="str">
        <f>IF(OR($C289="",NOT(OR($G289="À migrer",$G289="À décommissionner")),$I289="",NOT(ISNUMBER($Q289))),"",IF($AP289&lt;&gt;"",$AP289,IFERROR(SUMIFS(TblClusters[RAM initiale (Go)],TblClusters[Cluster],$I289)*$Q289/(SUMIFS(TblApplications[RAM Dynatrace (Go)],TblApplications[Cluster IKS source],$I289,TblApplications[Action],"À migrer")+SUMIFS(TblApplications[RAM Dynatrace (Go)],TblApplications[Cluster IKS source],$I289,TblApplications[Action],"À décommissionner")),0)))</f>
        <v/>
      </c>
      <c r="U289" s="61"/>
      <c r="V289" s="61"/>
      <c r="W289" s="61"/>
      <c r="X289" s="59"/>
      <c r="Y289" s="26" t="str">
        <f t="shared" si="33"/>
        <v/>
      </c>
      <c r="Z289" s="26" t="str">
        <f t="shared" si="34"/>
        <v/>
      </c>
      <c r="AA289" s="33" t="str">
        <f t="shared" si="35"/>
        <v/>
      </c>
      <c r="AB289" s="33" t="str">
        <f t="shared" si="36"/>
        <v/>
      </c>
      <c r="AC289" s="26" t="str">
        <f t="shared" si="37"/>
        <v/>
      </c>
      <c r="AD289" s="26" t="str">
        <f>IF($C289="","",COUNTIF(TblApplications[ID],$C289))</f>
        <v/>
      </c>
      <c r="AE289" s="33" t="str">
        <f>IF($C289="","",IFERROR(1/(1/_xlfn.MINIFS(TblApplications[Mois prov (calc)],TblApplications[ID],$C289)),""))</f>
        <v/>
      </c>
      <c r="AF289" s="33" t="str">
        <f>IF($C289="","",IFERROR(1/(1/_xlfn.MAXIFS(TblApplications[Mois lib (calc)],TblApplications[ID],$C289)),""))</f>
        <v/>
      </c>
      <c r="AG289" s="26" t="str">
        <f>IF($C289="","",IF(OR(OR($A289="",$B289="",$D289="",$E289="",$F289="",$G289=""),AND($G289="À migrer",OR($H289="",$I289="",$O289="",$U289="",$V289="",$W289="")),AND($G289="Migré",OR($O289="")),AND($G289="À décommissionner",OR($I289="",$W289=""))),"Données manquantes (selon l’action)",IF(AND($G289&lt;&gt;"Migré",$G289&lt;&gt;"À migrer",$G289&lt;&gt;"À décommissionner",$G289&lt;&gt;"Décommissionné"),"Action invalide",IF(COUNTIF(TblDomaines[Domaine],$A289)=0,"Domaine inconnu (référentiel)",IF(COUNTIFS(TblTribes[Tribe],$B289,TblTribes[Domaine de la tribe],$A289)=0,"Tribe inconnue ou hors domaine",IF(AND($G289="À migrer",$H289&lt;&gt;"Oui",$H289&lt;&gt;"Non"),"Valeur Oui/Non invalide (Déjà incluse ROKS)",IF(AND($E289&lt;&gt;"PRD",$E289&lt;&gt;"NPRD"),"Environnement invalide",IF(COUNTIFS(TblApplications[ID],$C289,TblApplications[Environnement],$E289,TblApplications[Couloir],$F289)&gt;1,"Déploiement en doublon (ID + env + couloir)",IF(AND(OR(OR($G289="À migrer",$G289="Migré"),OR($G289="À migrer",$G289="À décommissionner")),N($P289)&lt;=0),"Conso Dynatrace absente (onglet Dynatrace)",IF(OR(AND($P289&lt;&gt;"",NOT(ISNUMBER($P289))),AND($Q289&lt;&gt;"",NOT(ISNUMBER($Q289)))),"Ressource non numérique",IF(MIN(N($P289),N($Q289))&lt;0,"Ressource négative",IF(OR(AND($AH289&lt;&gt;"",OR(NOT(ISNUMBER($AH289)),$AH289&lt;0,$AH289&gt;1)),AND($AI289&lt;&gt;"",OR(NOT(ISNUMBER($AI289)),$AI289&lt;0,$AI289&gt;1))),"Marge spécifique invalide (0–100 %)",IF(OR(AND($U289&lt;&gt;"",NOT(ISNUMBER($U289))),AND($V289&lt;&gt;"",NOT(ISNUMBER($V289))),AND($W289&lt;&gt;"",NOT(ISNUMBER($W289)))),"Mois invalide",IF(AND(OR($G289="À migrer",$G289="À décommissionner"),COUNTIFS(TblClusters[Cluster],$I289,TblClusters[Plateforme],"IKS")=0),"Cluster IKS inconnu",IF(AND(OR($G289="À migrer",$G289="Migré"),COUNTIFS(TblClusters[Cluster],$O289,TblClusters[Plateforme],"ROKS")=0),"Cluster ROKS inconnu",IF(AND(OR($G289="À migrer",$G289="À décommissionner"),COUNTIFS(TblClusters[Cluster],$I289,TblClusters[Environnement],$E289)=0),"Environnement ≠ cluster IKS",IF(AND(OR($G289="À migrer",$G289="Migré"),COUNTIFS(TblClusters[Cluster],$O289,TblClusters[Environnement],$E289)=0),"Environnement ≠ cluster ROKS",IF(AND($G289="À migrer",OR($U289&gt;$V289,$V289&gt;$W289)),"Dates incohérentes (prov ≤ bascule ≤ libération)",IF(AND(OR($G289="À migrer",$G289="À décommissionner"),OR(N($AO289)&gt;SUMIFS(TblClusters[CPU initial (vCPU)],TblClusters[Cluster],$I289),N($AP289)&gt;SUMIFS(TblClusters[RAM initiale (Go)],TblClusters[Cluster],$I289))),"Forçage &gt; capacité du cluster source",IF(OR(AND($AA289&lt;&gt;"",$AA289&lt;p_debut),AND($AB289&lt;&gt;"",$AB289&gt;p_fin)),"Hors horizon (info)",IF(AND($G289="À migrer",$E289="PRD",COUNTIFS(TblApplications[ID],$C289,TblApplications[Environnement],"NPRD",TblApplications[Action],"À migrer")&gt;0,$AA289&lt;_xlfn.MINIFS(TblApplications[Mois prov (calc)],TblApplications[ID],$C289,TblApplications[Environnement],"NPRD")),"PRD avant NPRD (info)","OK")))))))))))))))))))))</f>
        <v/>
      </c>
      <c r="AH289" s="62"/>
      <c r="AI289" s="62"/>
      <c r="AJ289" s="27" t="str">
        <f>IF(OR($C289="",NOT(OR($G289="À migrer",$G289="À décommissionner")),NOT(ISNUMBER($S289)),NOT(ISNUMBER($T289)),$AB289=""),"",($S289+p_poidsram*$T289)*SUMIFS(TblCalculs[Coût par unité],TblCalculs[Cluster],$I289,TblCalculs[Mois],"&lt;"&amp;$AB289))</f>
        <v/>
      </c>
      <c r="AK289" s="27" t="str">
        <f>IF($C289="","",IF(AND($G289="À migrer",$H289="Non",$Y289&lt;&gt;"",$AA289&lt;&gt;""),($Y289+p_poidsram*$Z289)*SUMIFS(TblCalculs[Coût par unité],TblCalculs[Cluster],$O289,TblCalculs[Mois],"&gt;="&amp;$AA289),IF(AND($G289="Migré",$Y289&lt;&gt;""),($Y289+p_poidsram*$Z289)*SUMIFS(TblCalculs[Coût par unité],TblCalculs[Cluster],$O289),"")))</f>
        <v/>
      </c>
      <c r="AL289" s="27" t="str">
        <f t="shared" si="38"/>
        <v/>
      </c>
      <c r="AM289" s="26" t="str">
        <f t="shared" si="39"/>
        <v/>
      </c>
      <c r="AN289" s="26" t="str">
        <f>IF(OR($C289="",$AM289&lt;&gt;1,COUNTIFS($E289,ex_envc,$A289,ex_domc,$B289,ex_tric)=0),"",COUNTIFS($AM$6:$AM289,1,$E$6:$E289,ex_envc,$A$6:$A289,ex_domc,$B$6:$B289,ex_tric))</f>
        <v/>
      </c>
      <c r="AO289" s="63"/>
      <c r="AP289" s="63"/>
      <c r="AQ289" s="63"/>
      <c r="AR289" s="63"/>
    </row>
    <row r="290" spans="1:44" x14ac:dyDescent="0.2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26" t="str">
        <f t="shared" si="32"/>
        <v/>
      </c>
      <c r="O290" s="59"/>
      <c r="P290" s="60" t="str">
        <f>IF($C290="","",IF($AQ290&lt;&gt;"",$AQ290,SUMIFS(TblDynatrace[CPU P95 (vCPU)],TblDynatrace[ID],$C290,TblDynatrace[Environnement],$E290,TblDynatrace[Couloir],$F290)))</f>
        <v/>
      </c>
      <c r="Q290" s="60" t="str">
        <f>IF($C290="","",IF($AR290&lt;&gt;"",$AR290,SUMIFS(TblDynatrace[RAM P95 (Go)],TblDynatrace[ID],$C290,TblDynatrace[Environnement],$E290,TblDynatrace[Couloir],$F290)))</f>
        <v/>
      </c>
      <c r="R290" s="26" t="str">
        <f>IF($C290="","",IFERROR(INDEX(TblDynatrace[Métrique / période],MATCH($C290&amp;"|"&amp;$E290&amp;"|"&amp;$F290,TblDynatrace[Clé],0)),""))</f>
        <v/>
      </c>
      <c r="S290" s="60" t="str">
        <f>IF(OR($C290="",NOT(OR($G290="À migrer",$G290="À décommissionner")),$I290="",NOT(ISNUMBER($P290))),"",IF($AO290&lt;&gt;"",$AO290,IFERROR(SUMIFS(TblClusters[CPU initial (vCPU)],TblClusters[Cluster],$I290)*$P290/(SUMIFS(TblApplications[CPU Dynatrace (vCPU)],TblApplications[Cluster IKS source],$I290,TblApplications[Action],"À migrer")+SUMIFS(TblApplications[CPU Dynatrace (vCPU)],TblApplications[Cluster IKS source],$I290,TblApplications[Action],"À décommissionner")),0)))</f>
        <v/>
      </c>
      <c r="T290" s="60" t="str">
        <f>IF(OR($C290="",NOT(OR($G290="À migrer",$G290="À décommissionner")),$I290="",NOT(ISNUMBER($Q290))),"",IF($AP290&lt;&gt;"",$AP290,IFERROR(SUMIFS(TblClusters[RAM initiale (Go)],TblClusters[Cluster],$I290)*$Q290/(SUMIFS(TblApplications[RAM Dynatrace (Go)],TblApplications[Cluster IKS source],$I290,TblApplications[Action],"À migrer")+SUMIFS(TblApplications[RAM Dynatrace (Go)],TblApplications[Cluster IKS source],$I290,TblApplications[Action],"À décommissionner")),0)))</f>
        <v/>
      </c>
      <c r="U290" s="61"/>
      <c r="V290" s="61"/>
      <c r="W290" s="61"/>
      <c r="X290" s="59"/>
      <c r="Y290" s="26" t="str">
        <f t="shared" si="33"/>
        <v/>
      </c>
      <c r="Z290" s="26" t="str">
        <f t="shared" si="34"/>
        <v/>
      </c>
      <c r="AA290" s="33" t="str">
        <f t="shared" si="35"/>
        <v/>
      </c>
      <c r="AB290" s="33" t="str">
        <f t="shared" si="36"/>
        <v/>
      </c>
      <c r="AC290" s="26" t="str">
        <f t="shared" si="37"/>
        <v/>
      </c>
      <c r="AD290" s="26" t="str">
        <f>IF($C290="","",COUNTIF(TblApplications[ID],$C290))</f>
        <v/>
      </c>
      <c r="AE290" s="33" t="str">
        <f>IF($C290="","",IFERROR(1/(1/_xlfn.MINIFS(TblApplications[Mois prov (calc)],TblApplications[ID],$C290)),""))</f>
        <v/>
      </c>
      <c r="AF290" s="33" t="str">
        <f>IF($C290="","",IFERROR(1/(1/_xlfn.MAXIFS(TblApplications[Mois lib (calc)],TblApplications[ID],$C290)),""))</f>
        <v/>
      </c>
      <c r="AG290" s="26" t="str">
        <f>IF($C290="","",IF(OR(OR($A290="",$B290="",$D290="",$E290="",$F290="",$G290=""),AND($G290="À migrer",OR($H290="",$I290="",$O290="",$U290="",$V290="",$W290="")),AND($G290="Migré",OR($O290="")),AND($G290="À décommissionner",OR($I290="",$W290=""))),"Données manquantes (selon l’action)",IF(AND($G290&lt;&gt;"Migré",$G290&lt;&gt;"À migrer",$G290&lt;&gt;"À décommissionner",$G290&lt;&gt;"Décommissionné"),"Action invalide",IF(COUNTIF(TblDomaines[Domaine],$A290)=0,"Domaine inconnu (référentiel)",IF(COUNTIFS(TblTribes[Tribe],$B290,TblTribes[Domaine de la tribe],$A290)=0,"Tribe inconnue ou hors domaine",IF(AND($G290="À migrer",$H290&lt;&gt;"Oui",$H290&lt;&gt;"Non"),"Valeur Oui/Non invalide (Déjà incluse ROKS)",IF(AND($E290&lt;&gt;"PRD",$E290&lt;&gt;"NPRD"),"Environnement invalide",IF(COUNTIFS(TblApplications[ID],$C290,TblApplications[Environnement],$E290,TblApplications[Couloir],$F290)&gt;1,"Déploiement en doublon (ID + env + couloir)",IF(AND(OR(OR($G290="À migrer",$G290="Migré"),OR($G290="À migrer",$G290="À décommissionner")),N($P290)&lt;=0),"Conso Dynatrace absente (onglet Dynatrace)",IF(OR(AND($P290&lt;&gt;"",NOT(ISNUMBER($P290))),AND($Q290&lt;&gt;"",NOT(ISNUMBER($Q290)))),"Ressource non numérique",IF(MIN(N($P290),N($Q290))&lt;0,"Ressource négative",IF(OR(AND($AH290&lt;&gt;"",OR(NOT(ISNUMBER($AH290)),$AH290&lt;0,$AH290&gt;1)),AND($AI290&lt;&gt;"",OR(NOT(ISNUMBER($AI290)),$AI290&lt;0,$AI290&gt;1))),"Marge spécifique invalide (0–100 %)",IF(OR(AND($U290&lt;&gt;"",NOT(ISNUMBER($U290))),AND($V290&lt;&gt;"",NOT(ISNUMBER($V290))),AND($W290&lt;&gt;"",NOT(ISNUMBER($W290)))),"Mois invalide",IF(AND(OR($G290="À migrer",$G290="À décommissionner"),COUNTIFS(TblClusters[Cluster],$I290,TblClusters[Plateforme],"IKS")=0),"Cluster IKS inconnu",IF(AND(OR($G290="À migrer",$G290="Migré"),COUNTIFS(TblClusters[Cluster],$O290,TblClusters[Plateforme],"ROKS")=0),"Cluster ROKS inconnu",IF(AND(OR($G290="À migrer",$G290="À décommissionner"),COUNTIFS(TblClusters[Cluster],$I290,TblClusters[Environnement],$E290)=0),"Environnement ≠ cluster IKS",IF(AND(OR($G290="À migrer",$G290="Migré"),COUNTIFS(TblClusters[Cluster],$O290,TblClusters[Environnement],$E290)=0),"Environnement ≠ cluster ROKS",IF(AND($G290="À migrer",OR($U290&gt;$V290,$V290&gt;$W290)),"Dates incohérentes (prov ≤ bascule ≤ libération)",IF(AND(OR($G290="À migrer",$G290="À décommissionner"),OR(N($AO290)&gt;SUMIFS(TblClusters[CPU initial (vCPU)],TblClusters[Cluster],$I290),N($AP290)&gt;SUMIFS(TblClusters[RAM initiale (Go)],TblClusters[Cluster],$I290))),"Forçage &gt; capacité du cluster source",IF(OR(AND($AA290&lt;&gt;"",$AA290&lt;p_debut),AND($AB290&lt;&gt;"",$AB290&gt;p_fin)),"Hors horizon (info)",IF(AND($G290="À migrer",$E290="PRD",COUNTIFS(TblApplications[ID],$C290,TblApplications[Environnement],"NPRD",TblApplications[Action],"À migrer")&gt;0,$AA290&lt;_xlfn.MINIFS(TblApplications[Mois prov (calc)],TblApplications[ID],$C290,TblApplications[Environnement],"NPRD")),"PRD avant NPRD (info)","OK")))))))))))))))))))))</f>
        <v/>
      </c>
      <c r="AH290" s="62"/>
      <c r="AI290" s="62"/>
      <c r="AJ290" s="27" t="str">
        <f>IF(OR($C290="",NOT(OR($G290="À migrer",$G290="À décommissionner")),NOT(ISNUMBER($S290)),NOT(ISNUMBER($T290)),$AB290=""),"",($S290+p_poidsram*$T290)*SUMIFS(TblCalculs[Coût par unité],TblCalculs[Cluster],$I290,TblCalculs[Mois],"&lt;"&amp;$AB290))</f>
        <v/>
      </c>
      <c r="AK290" s="27" t="str">
        <f>IF($C290="","",IF(AND($G290="À migrer",$H290="Non",$Y290&lt;&gt;"",$AA290&lt;&gt;""),($Y290+p_poidsram*$Z290)*SUMIFS(TblCalculs[Coût par unité],TblCalculs[Cluster],$O290,TblCalculs[Mois],"&gt;="&amp;$AA290),IF(AND($G290="Migré",$Y290&lt;&gt;""),($Y290+p_poidsram*$Z290)*SUMIFS(TblCalculs[Coût par unité],TblCalculs[Cluster],$O290),"")))</f>
        <v/>
      </c>
      <c r="AL290" s="27" t="str">
        <f t="shared" si="38"/>
        <v/>
      </c>
      <c r="AM290" s="26" t="str">
        <f t="shared" si="39"/>
        <v/>
      </c>
      <c r="AN290" s="26" t="str">
        <f>IF(OR($C290="",$AM290&lt;&gt;1,COUNTIFS($E290,ex_envc,$A290,ex_domc,$B290,ex_tric)=0),"",COUNTIFS($AM$6:$AM290,1,$E$6:$E290,ex_envc,$A$6:$A290,ex_domc,$B$6:$B290,ex_tric))</f>
        <v/>
      </c>
      <c r="AO290" s="63"/>
      <c r="AP290" s="63"/>
      <c r="AQ290" s="63"/>
      <c r="AR290" s="63"/>
    </row>
    <row r="291" spans="1:44" x14ac:dyDescent="0.2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26" t="str">
        <f t="shared" si="32"/>
        <v/>
      </c>
      <c r="O291" s="59"/>
      <c r="P291" s="60" t="str">
        <f>IF($C291="","",IF($AQ291&lt;&gt;"",$AQ291,SUMIFS(TblDynatrace[CPU P95 (vCPU)],TblDynatrace[ID],$C291,TblDynatrace[Environnement],$E291,TblDynatrace[Couloir],$F291)))</f>
        <v/>
      </c>
      <c r="Q291" s="60" t="str">
        <f>IF($C291="","",IF($AR291&lt;&gt;"",$AR291,SUMIFS(TblDynatrace[RAM P95 (Go)],TblDynatrace[ID],$C291,TblDynatrace[Environnement],$E291,TblDynatrace[Couloir],$F291)))</f>
        <v/>
      </c>
      <c r="R291" s="26" t="str">
        <f>IF($C291="","",IFERROR(INDEX(TblDynatrace[Métrique / période],MATCH($C291&amp;"|"&amp;$E291&amp;"|"&amp;$F291,TblDynatrace[Clé],0)),""))</f>
        <v/>
      </c>
      <c r="S291" s="60" t="str">
        <f>IF(OR($C291="",NOT(OR($G291="À migrer",$G291="À décommissionner")),$I291="",NOT(ISNUMBER($P291))),"",IF($AO291&lt;&gt;"",$AO291,IFERROR(SUMIFS(TblClusters[CPU initial (vCPU)],TblClusters[Cluster],$I291)*$P291/(SUMIFS(TblApplications[CPU Dynatrace (vCPU)],TblApplications[Cluster IKS source],$I291,TblApplications[Action],"À migrer")+SUMIFS(TblApplications[CPU Dynatrace (vCPU)],TblApplications[Cluster IKS source],$I291,TblApplications[Action],"À décommissionner")),0)))</f>
        <v/>
      </c>
      <c r="T291" s="60" t="str">
        <f>IF(OR($C291="",NOT(OR($G291="À migrer",$G291="À décommissionner")),$I291="",NOT(ISNUMBER($Q291))),"",IF($AP291&lt;&gt;"",$AP291,IFERROR(SUMIFS(TblClusters[RAM initiale (Go)],TblClusters[Cluster],$I291)*$Q291/(SUMIFS(TblApplications[RAM Dynatrace (Go)],TblApplications[Cluster IKS source],$I291,TblApplications[Action],"À migrer")+SUMIFS(TblApplications[RAM Dynatrace (Go)],TblApplications[Cluster IKS source],$I291,TblApplications[Action],"À décommissionner")),0)))</f>
        <v/>
      </c>
      <c r="U291" s="61"/>
      <c r="V291" s="61"/>
      <c r="W291" s="61"/>
      <c r="X291" s="59"/>
      <c r="Y291" s="26" t="str">
        <f t="shared" si="33"/>
        <v/>
      </c>
      <c r="Z291" s="26" t="str">
        <f t="shared" si="34"/>
        <v/>
      </c>
      <c r="AA291" s="33" t="str">
        <f t="shared" si="35"/>
        <v/>
      </c>
      <c r="AB291" s="33" t="str">
        <f t="shared" si="36"/>
        <v/>
      </c>
      <c r="AC291" s="26" t="str">
        <f t="shared" si="37"/>
        <v/>
      </c>
      <c r="AD291" s="26" t="str">
        <f>IF($C291="","",COUNTIF(TblApplications[ID],$C291))</f>
        <v/>
      </c>
      <c r="AE291" s="33" t="str">
        <f>IF($C291="","",IFERROR(1/(1/_xlfn.MINIFS(TblApplications[Mois prov (calc)],TblApplications[ID],$C291)),""))</f>
        <v/>
      </c>
      <c r="AF291" s="33" t="str">
        <f>IF($C291="","",IFERROR(1/(1/_xlfn.MAXIFS(TblApplications[Mois lib (calc)],TblApplications[ID],$C291)),""))</f>
        <v/>
      </c>
      <c r="AG291" s="26" t="str">
        <f>IF($C291="","",IF(OR(OR($A291="",$B291="",$D291="",$E291="",$F291="",$G291=""),AND($G291="À migrer",OR($H291="",$I291="",$O291="",$U291="",$V291="",$W291="")),AND($G291="Migré",OR($O291="")),AND($G291="À décommissionner",OR($I291="",$W291=""))),"Données manquantes (selon l’action)",IF(AND($G291&lt;&gt;"Migré",$G291&lt;&gt;"À migrer",$G291&lt;&gt;"À décommissionner",$G291&lt;&gt;"Décommissionné"),"Action invalide",IF(COUNTIF(TblDomaines[Domaine],$A291)=0,"Domaine inconnu (référentiel)",IF(COUNTIFS(TblTribes[Tribe],$B291,TblTribes[Domaine de la tribe],$A291)=0,"Tribe inconnue ou hors domaine",IF(AND($G291="À migrer",$H291&lt;&gt;"Oui",$H291&lt;&gt;"Non"),"Valeur Oui/Non invalide (Déjà incluse ROKS)",IF(AND($E291&lt;&gt;"PRD",$E291&lt;&gt;"NPRD"),"Environnement invalide",IF(COUNTIFS(TblApplications[ID],$C291,TblApplications[Environnement],$E291,TblApplications[Couloir],$F291)&gt;1,"Déploiement en doublon (ID + env + couloir)",IF(AND(OR(OR($G291="À migrer",$G291="Migré"),OR($G291="À migrer",$G291="À décommissionner")),N($P291)&lt;=0),"Conso Dynatrace absente (onglet Dynatrace)",IF(OR(AND($P291&lt;&gt;"",NOT(ISNUMBER($P291))),AND($Q291&lt;&gt;"",NOT(ISNUMBER($Q291)))),"Ressource non numérique",IF(MIN(N($P291),N($Q291))&lt;0,"Ressource négative",IF(OR(AND($AH291&lt;&gt;"",OR(NOT(ISNUMBER($AH291)),$AH291&lt;0,$AH291&gt;1)),AND($AI291&lt;&gt;"",OR(NOT(ISNUMBER($AI291)),$AI291&lt;0,$AI291&gt;1))),"Marge spécifique invalide (0–100 %)",IF(OR(AND($U291&lt;&gt;"",NOT(ISNUMBER($U291))),AND($V291&lt;&gt;"",NOT(ISNUMBER($V291))),AND($W291&lt;&gt;"",NOT(ISNUMBER($W291)))),"Mois invalide",IF(AND(OR($G291="À migrer",$G291="À décommissionner"),COUNTIFS(TblClusters[Cluster],$I291,TblClusters[Plateforme],"IKS")=0),"Cluster IKS inconnu",IF(AND(OR($G291="À migrer",$G291="Migré"),COUNTIFS(TblClusters[Cluster],$O291,TblClusters[Plateforme],"ROKS")=0),"Cluster ROKS inconnu",IF(AND(OR($G291="À migrer",$G291="À décommissionner"),COUNTIFS(TblClusters[Cluster],$I291,TblClusters[Environnement],$E291)=0),"Environnement ≠ cluster IKS",IF(AND(OR($G291="À migrer",$G291="Migré"),COUNTIFS(TblClusters[Cluster],$O291,TblClusters[Environnement],$E291)=0),"Environnement ≠ cluster ROKS",IF(AND($G291="À migrer",OR($U291&gt;$V291,$V291&gt;$W291)),"Dates incohérentes (prov ≤ bascule ≤ libération)",IF(AND(OR($G291="À migrer",$G291="À décommissionner"),OR(N($AO291)&gt;SUMIFS(TblClusters[CPU initial (vCPU)],TblClusters[Cluster],$I291),N($AP291)&gt;SUMIFS(TblClusters[RAM initiale (Go)],TblClusters[Cluster],$I291))),"Forçage &gt; capacité du cluster source",IF(OR(AND($AA291&lt;&gt;"",$AA291&lt;p_debut),AND($AB291&lt;&gt;"",$AB291&gt;p_fin)),"Hors horizon (info)",IF(AND($G291="À migrer",$E291="PRD",COUNTIFS(TblApplications[ID],$C291,TblApplications[Environnement],"NPRD",TblApplications[Action],"À migrer")&gt;0,$AA291&lt;_xlfn.MINIFS(TblApplications[Mois prov (calc)],TblApplications[ID],$C291,TblApplications[Environnement],"NPRD")),"PRD avant NPRD (info)","OK")))))))))))))))))))))</f>
        <v/>
      </c>
      <c r="AH291" s="62"/>
      <c r="AI291" s="62"/>
      <c r="AJ291" s="27" t="str">
        <f>IF(OR($C291="",NOT(OR($G291="À migrer",$G291="À décommissionner")),NOT(ISNUMBER($S291)),NOT(ISNUMBER($T291)),$AB291=""),"",($S291+p_poidsram*$T291)*SUMIFS(TblCalculs[Coût par unité],TblCalculs[Cluster],$I291,TblCalculs[Mois],"&lt;"&amp;$AB291))</f>
        <v/>
      </c>
      <c r="AK291" s="27" t="str">
        <f>IF($C291="","",IF(AND($G291="À migrer",$H291="Non",$Y291&lt;&gt;"",$AA291&lt;&gt;""),($Y291+p_poidsram*$Z291)*SUMIFS(TblCalculs[Coût par unité],TblCalculs[Cluster],$O291,TblCalculs[Mois],"&gt;="&amp;$AA291),IF(AND($G291="Migré",$Y291&lt;&gt;""),($Y291+p_poidsram*$Z291)*SUMIFS(TblCalculs[Coût par unité],TblCalculs[Cluster],$O291),"")))</f>
        <v/>
      </c>
      <c r="AL291" s="27" t="str">
        <f t="shared" si="38"/>
        <v/>
      </c>
      <c r="AM291" s="26" t="str">
        <f t="shared" si="39"/>
        <v/>
      </c>
      <c r="AN291" s="26" t="str">
        <f>IF(OR($C291="",$AM291&lt;&gt;1,COUNTIFS($E291,ex_envc,$A291,ex_domc,$B291,ex_tric)=0),"",COUNTIFS($AM$6:$AM291,1,$E$6:$E291,ex_envc,$A$6:$A291,ex_domc,$B$6:$B291,ex_tric))</f>
        <v/>
      </c>
      <c r="AO291" s="63"/>
      <c r="AP291" s="63"/>
      <c r="AQ291" s="63"/>
      <c r="AR291" s="63"/>
    </row>
    <row r="292" spans="1:44" x14ac:dyDescent="0.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26" t="str">
        <f t="shared" si="32"/>
        <v/>
      </c>
      <c r="O292" s="59"/>
      <c r="P292" s="60" t="str">
        <f>IF($C292="","",IF($AQ292&lt;&gt;"",$AQ292,SUMIFS(TblDynatrace[CPU P95 (vCPU)],TblDynatrace[ID],$C292,TblDynatrace[Environnement],$E292,TblDynatrace[Couloir],$F292)))</f>
        <v/>
      </c>
      <c r="Q292" s="60" t="str">
        <f>IF($C292="","",IF($AR292&lt;&gt;"",$AR292,SUMIFS(TblDynatrace[RAM P95 (Go)],TblDynatrace[ID],$C292,TblDynatrace[Environnement],$E292,TblDynatrace[Couloir],$F292)))</f>
        <v/>
      </c>
      <c r="R292" s="26" t="str">
        <f>IF($C292="","",IFERROR(INDEX(TblDynatrace[Métrique / période],MATCH($C292&amp;"|"&amp;$E292&amp;"|"&amp;$F292,TblDynatrace[Clé],0)),""))</f>
        <v/>
      </c>
      <c r="S292" s="60" t="str">
        <f>IF(OR($C292="",NOT(OR($G292="À migrer",$G292="À décommissionner")),$I292="",NOT(ISNUMBER($P292))),"",IF($AO292&lt;&gt;"",$AO292,IFERROR(SUMIFS(TblClusters[CPU initial (vCPU)],TblClusters[Cluster],$I292)*$P292/(SUMIFS(TblApplications[CPU Dynatrace (vCPU)],TblApplications[Cluster IKS source],$I292,TblApplications[Action],"À migrer")+SUMIFS(TblApplications[CPU Dynatrace (vCPU)],TblApplications[Cluster IKS source],$I292,TblApplications[Action],"À décommissionner")),0)))</f>
        <v/>
      </c>
      <c r="T292" s="60" t="str">
        <f>IF(OR($C292="",NOT(OR($G292="À migrer",$G292="À décommissionner")),$I292="",NOT(ISNUMBER($Q292))),"",IF($AP292&lt;&gt;"",$AP292,IFERROR(SUMIFS(TblClusters[RAM initiale (Go)],TblClusters[Cluster],$I292)*$Q292/(SUMIFS(TblApplications[RAM Dynatrace (Go)],TblApplications[Cluster IKS source],$I292,TblApplications[Action],"À migrer")+SUMIFS(TblApplications[RAM Dynatrace (Go)],TblApplications[Cluster IKS source],$I292,TblApplications[Action],"À décommissionner")),0)))</f>
        <v/>
      </c>
      <c r="U292" s="61"/>
      <c r="V292" s="61"/>
      <c r="W292" s="61"/>
      <c r="X292" s="59"/>
      <c r="Y292" s="26" t="str">
        <f t="shared" si="33"/>
        <v/>
      </c>
      <c r="Z292" s="26" t="str">
        <f t="shared" si="34"/>
        <v/>
      </c>
      <c r="AA292" s="33" t="str">
        <f t="shared" si="35"/>
        <v/>
      </c>
      <c r="AB292" s="33" t="str">
        <f t="shared" si="36"/>
        <v/>
      </c>
      <c r="AC292" s="26" t="str">
        <f t="shared" si="37"/>
        <v/>
      </c>
      <c r="AD292" s="26" t="str">
        <f>IF($C292="","",COUNTIF(TblApplications[ID],$C292))</f>
        <v/>
      </c>
      <c r="AE292" s="33" t="str">
        <f>IF($C292="","",IFERROR(1/(1/_xlfn.MINIFS(TblApplications[Mois prov (calc)],TblApplications[ID],$C292)),""))</f>
        <v/>
      </c>
      <c r="AF292" s="33" t="str">
        <f>IF($C292="","",IFERROR(1/(1/_xlfn.MAXIFS(TblApplications[Mois lib (calc)],TblApplications[ID],$C292)),""))</f>
        <v/>
      </c>
      <c r="AG292" s="26" t="str">
        <f>IF($C292="","",IF(OR(OR($A292="",$B292="",$D292="",$E292="",$F292="",$G292=""),AND($G292="À migrer",OR($H292="",$I292="",$O292="",$U292="",$V292="",$W292="")),AND($G292="Migré",OR($O292="")),AND($G292="À décommissionner",OR($I292="",$W292=""))),"Données manquantes (selon l’action)",IF(AND($G292&lt;&gt;"Migré",$G292&lt;&gt;"À migrer",$G292&lt;&gt;"À décommissionner",$G292&lt;&gt;"Décommissionné"),"Action invalide",IF(COUNTIF(TblDomaines[Domaine],$A292)=0,"Domaine inconnu (référentiel)",IF(COUNTIFS(TblTribes[Tribe],$B292,TblTribes[Domaine de la tribe],$A292)=0,"Tribe inconnue ou hors domaine",IF(AND($G292="À migrer",$H292&lt;&gt;"Oui",$H292&lt;&gt;"Non"),"Valeur Oui/Non invalide (Déjà incluse ROKS)",IF(AND($E292&lt;&gt;"PRD",$E292&lt;&gt;"NPRD"),"Environnement invalide",IF(COUNTIFS(TblApplications[ID],$C292,TblApplications[Environnement],$E292,TblApplications[Couloir],$F292)&gt;1,"Déploiement en doublon (ID + env + couloir)",IF(AND(OR(OR($G292="À migrer",$G292="Migré"),OR($G292="À migrer",$G292="À décommissionner")),N($P292)&lt;=0),"Conso Dynatrace absente (onglet Dynatrace)",IF(OR(AND($P292&lt;&gt;"",NOT(ISNUMBER($P292))),AND($Q292&lt;&gt;"",NOT(ISNUMBER($Q292)))),"Ressource non numérique",IF(MIN(N($P292),N($Q292))&lt;0,"Ressource négative",IF(OR(AND($AH292&lt;&gt;"",OR(NOT(ISNUMBER($AH292)),$AH292&lt;0,$AH292&gt;1)),AND($AI292&lt;&gt;"",OR(NOT(ISNUMBER($AI292)),$AI292&lt;0,$AI292&gt;1))),"Marge spécifique invalide (0–100 %)",IF(OR(AND($U292&lt;&gt;"",NOT(ISNUMBER($U292))),AND($V292&lt;&gt;"",NOT(ISNUMBER($V292))),AND($W292&lt;&gt;"",NOT(ISNUMBER($W292)))),"Mois invalide",IF(AND(OR($G292="À migrer",$G292="À décommissionner"),COUNTIFS(TblClusters[Cluster],$I292,TblClusters[Plateforme],"IKS")=0),"Cluster IKS inconnu",IF(AND(OR($G292="À migrer",$G292="Migré"),COUNTIFS(TblClusters[Cluster],$O292,TblClusters[Plateforme],"ROKS")=0),"Cluster ROKS inconnu",IF(AND(OR($G292="À migrer",$G292="À décommissionner"),COUNTIFS(TblClusters[Cluster],$I292,TblClusters[Environnement],$E292)=0),"Environnement ≠ cluster IKS",IF(AND(OR($G292="À migrer",$G292="Migré"),COUNTIFS(TblClusters[Cluster],$O292,TblClusters[Environnement],$E292)=0),"Environnement ≠ cluster ROKS",IF(AND($G292="À migrer",OR($U292&gt;$V292,$V292&gt;$W292)),"Dates incohérentes (prov ≤ bascule ≤ libération)",IF(AND(OR($G292="À migrer",$G292="À décommissionner"),OR(N($AO292)&gt;SUMIFS(TblClusters[CPU initial (vCPU)],TblClusters[Cluster],$I292),N($AP292)&gt;SUMIFS(TblClusters[RAM initiale (Go)],TblClusters[Cluster],$I292))),"Forçage &gt; capacité du cluster source",IF(OR(AND($AA292&lt;&gt;"",$AA292&lt;p_debut),AND($AB292&lt;&gt;"",$AB292&gt;p_fin)),"Hors horizon (info)",IF(AND($G292="À migrer",$E292="PRD",COUNTIFS(TblApplications[ID],$C292,TblApplications[Environnement],"NPRD",TblApplications[Action],"À migrer")&gt;0,$AA292&lt;_xlfn.MINIFS(TblApplications[Mois prov (calc)],TblApplications[ID],$C292,TblApplications[Environnement],"NPRD")),"PRD avant NPRD (info)","OK")))))))))))))))))))))</f>
        <v/>
      </c>
      <c r="AH292" s="62"/>
      <c r="AI292" s="62"/>
      <c r="AJ292" s="27" t="str">
        <f>IF(OR($C292="",NOT(OR($G292="À migrer",$G292="À décommissionner")),NOT(ISNUMBER($S292)),NOT(ISNUMBER($T292)),$AB292=""),"",($S292+p_poidsram*$T292)*SUMIFS(TblCalculs[Coût par unité],TblCalculs[Cluster],$I292,TblCalculs[Mois],"&lt;"&amp;$AB292))</f>
        <v/>
      </c>
      <c r="AK292" s="27" t="str">
        <f>IF($C292="","",IF(AND($G292="À migrer",$H292="Non",$Y292&lt;&gt;"",$AA292&lt;&gt;""),($Y292+p_poidsram*$Z292)*SUMIFS(TblCalculs[Coût par unité],TblCalculs[Cluster],$O292,TblCalculs[Mois],"&gt;="&amp;$AA292),IF(AND($G292="Migré",$Y292&lt;&gt;""),($Y292+p_poidsram*$Z292)*SUMIFS(TblCalculs[Coût par unité],TblCalculs[Cluster],$O292),"")))</f>
        <v/>
      </c>
      <c r="AL292" s="27" t="str">
        <f t="shared" si="38"/>
        <v/>
      </c>
      <c r="AM292" s="26" t="str">
        <f t="shared" si="39"/>
        <v/>
      </c>
      <c r="AN292" s="26" t="str">
        <f>IF(OR($C292="",$AM292&lt;&gt;1,COUNTIFS($E292,ex_envc,$A292,ex_domc,$B292,ex_tric)=0),"",COUNTIFS($AM$6:$AM292,1,$E$6:$E292,ex_envc,$A$6:$A292,ex_domc,$B$6:$B292,ex_tric))</f>
        <v/>
      </c>
      <c r="AO292" s="63"/>
      <c r="AP292" s="63"/>
      <c r="AQ292" s="63"/>
      <c r="AR292" s="63"/>
    </row>
    <row r="293" spans="1:44" x14ac:dyDescent="0.2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26" t="str">
        <f t="shared" si="32"/>
        <v/>
      </c>
      <c r="O293" s="59"/>
      <c r="P293" s="60" t="str">
        <f>IF($C293="","",IF($AQ293&lt;&gt;"",$AQ293,SUMIFS(TblDynatrace[CPU P95 (vCPU)],TblDynatrace[ID],$C293,TblDynatrace[Environnement],$E293,TblDynatrace[Couloir],$F293)))</f>
        <v/>
      </c>
      <c r="Q293" s="60" t="str">
        <f>IF($C293="","",IF($AR293&lt;&gt;"",$AR293,SUMIFS(TblDynatrace[RAM P95 (Go)],TblDynatrace[ID],$C293,TblDynatrace[Environnement],$E293,TblDynatrace[Couloir],$F293)))</f>
        <v/>
      </c>
      <c r="R293" s="26" t="str">
        <f>IF($C293="","",IFERROR(INDEX(TblDynatrace[Métrique / période],MATCH($C293&amp;"|"&amp;$E293&amp;"|"&amp;$F293,TblDynatrace[Clé],0)),""))</f>
        <v/>
      </c>
      <c r="S293" s="60" t="str">
        <f>IF(OR($C293="",NOT(OR($G293="À migrer",$G293="À décommissionner")),$I293="",NOT(ISNUMBER($P293))),"",IF($AO293&lt;&gt;"",$AO293,IFERROR(SUMIFS(TblClusters[CPU initial (vCPU)],TblClusters[Cluster],$I293)*$P293/(SUMIFS(TblApplications[CPU Dynatrace (vCPU)],TblApplications[Cluster IKS source],$I293,TblApplications[Action],"À migrer")+SUMIFS(TblApplications[CPU Dynatrace (vCPU)],TblApplications[Cluster IKS source],$I293,TblApplications[Action],"À décommissionner")),0)))</f>
        <v/>
      </c>
      <c r="T293" s="60" t="str">
        <f>IF(OR($C293="",NOT(OR($G293="À migrer",$G293="À décommissionner")),$I293="",NOT(ISNUMBER($Q293))),"",IF($AP293&lt;&gt;"",$AP293,IFERROR(SUMIFS(TblClusters[RAM initiale (Go)],TblClusters[Cluster],$I293)*$Q293/(SUMIFS(TblApplications[RAM Dynatrace (Go)],TblApplications[Cluster IKS source],$I293,TblApplications[Action],"À migrer")+SUMIFS(TblApplications[RAM Dynatrace (Go)],TblApplications[Cluster IKS source],$I293,TblApplications[Action],"À décommissionner")),0)))</f>
        <v/>
      </c>
      <c r="U293" s="61"/>
      <c r="V293" s="61"/>
      <c r="W293" s="61"/>
      <c r="X293" s="59"/>
      <c r="Y293" s="26" t="str">
        <f t="shared" si="33"/>
        <v/>
      </c>
      <c r="Z293" s="26" t="str">
        <f t="shared" si="34"/>
        <v/>
      </c>
      <c r="AA293" s="33" t="str">
        <f t="shared" si="35"/>
        <v/>
      </c>
      <c r="AB293" s="33" t="str">
        <f t="shared" si="36"/>
        <v/>
      </c>
      <c r="AC293" s="26" t="str">
        <f t="shared" si="37"/>
        <v/>
      </c>
      <c r="AD293" s="26" t="str">
        <f>IF($C293="","",COUNTIF(TblApplications[ID],$C293))</f>
        <v/>
      </c>
      <c r="AE293" s="33" t="str">
        <f>IF($C293="","",IFERROR(1/(1/_xlfn.MINIFS(TblApplications[Mois prov (calc)],TblApplications[ID],$C293)),""))</f>
        <v/>
      </c>
      <c r="AF293" s="33" t="str">
        <f>IF($C293="","",IFERROR(1/(1/_xlfn.MAXIFS(TblApplications[Mois lib (calc)],TblApplications[ID],$C293)),""))</f>
        <v/>
      </c>
      <c r="AG293" s="26" t="str">
        <f>IF($C293="","",IF(OR(OR($A293="",$B293="",$D293="",$E293="",$F293="",$G293=""),AND($G293="À migrer",OR($H293="",$I293="",$O293="",$U293="",$V293="",$W293="")),AND($G293="Migré",OR($O293="")),AND($G293="À décommissionner",OR($I293="",$W293=""))),"Données manquantes (selon l’action)",IF(AND($G293&lt;&gt;"Migré",$G293&lt;&gt;"À migrer",$G293&lt;&gt;"À décommissionner",$G293&lt;&gt;"Décommissionné"),"Action invalide",IF(COUNTIF(TblDomaines[Domaine],$A293)=0,"Domaine inconnu (référentiel)",IF(COUNTIFS(TblTribes[Tribe],$B293,TblTribes[Domaine de la tribe],$A293)=0,"Tribe inconnue ou hors domaine",IF(AND($G293="À migrer",$H293&lt;&gt;"Oui",$H293&lt;&gt;"Non"),"Valeur Oui/Non invalide (Déjà incluse ROKS)",IF(AND($E293&lt;&gt;"PRD",$E293&lt;&gt;"NPRD"),"Environnement invalide",IF(COUNTIFS(TblApplications[ID],$C293,TblApplications[Environnement],$E293,TblApplications[Couloir],$F293)&gt;1,"Déploiement en doublon (ID + env + couloir)",IF(AND(OR(OR($G293="À migrer",$G293="Migré"),OR($G293="À migrer",$G293="À décommissionner")),N($P293)&lt;=0),"Conso Dynatrace absente (onglet Dynatrace)",IF(OR(AND($P293&lt;&gt;"",NOT(ISNUMBER($P293))),AND($Q293&lt;&gt;"",NOT(ISNUMBER($Q293)))),"Ressource non numérique",IF(MIN(N($P293),N($Q293))&lt;0,"Ressource négative",IF(OR(AND($AH293&lt;&gt;"",OR(NOT(ISNUMBER($AH293)),$AH293&lt;0,$AH293&gt;1)),AND($AI293&lt;&gt;"",OR(NOT(ISNUMBER($AI293)),$AI293&lt;0,$AI293&gt;1))),"Marge spécifique invalide (0–100 %)",IF(OR(AND($U293&lt;&gt;"",NOT(ISNUMBER($U293))),AND($V293&lt;&gt;"",NOT(ISNUMBER($V293))),AND($W293&lt;&gt;"",NOT(ISNUMBER($W293)))),"Mois invalide",IF(AND(OR($G293="À migrer",$G293="À décommissionner"),COUNTIFS(TblClusters[Cluster],$I293,TblClusters[Plateforme],"IKS")=0),"Cluster IKS inconnu",IF(AND(OR($G293="À migrer",$G293="Migré"),COUNTIFS(TblClusters[Cluster],$O293,TblClusters[Plateforme],"ROKS")=0),"Cluster ROKS inconnu",IF(AND(OR($G293="À migrer",$G293="À décommissionner"),COUNTIFS(TblClusters[Cluster],$I293,TblClusters[Environnement],$E293)=0),"Environnement ≠ cluster IKS",IF(AND(OR($G293="À migrer",$G293="Migré"),COUNTIFS(TblClusters[Cluster],$O293,TblClusters[Environnement],$E293)=0),"Environnement ≠ cluster ROKS",IF(AND($G293="À migrer",OR($U293&gt;$V293,$V293&gt;$W293)),"Dates incohérentes (prov ≤ bascule ≤ libération)",IF(AND(OR($G293="À migrer",$G293="À décommissionner"),OR(N($AO293)&gt;SUMIFS(TblClusters[CPU initial (vCPU)],TblClusters[Cluster],$I293),N($AP293)&gt;SUMIFS(TblClusters[RAM initiale (Go)],TblClusters[Cluster],$I293))),"Forçage &gt; capacité du cluster source",IF(OR(AND($AA293&lt;&gt;"",$AA293&lt;p_debut),AND($AB293&lt;&gt;"",$AB293&gt;p_fin)),"Hors horizon (info)",IF(AND($G293="À migrer",$E293="PRD",COUNTIFS(TblApplications[ID],$C293,TblApplications[Environnement],"NPRD",TblApplications[Action],"À migrer")&gt;0,$AA293&lt;_xlfn.MINIFS(TblApplications[Mois prov (calc)],TblApplications[ID],$C293,TblApplications[Environnement],"NPRD")),"PRD avant NPRD (info)","OK")))))))))))))))))))))</f>
        <v/>
      </c>
      <c r="AH293" s="62"/>
      <c r="AI293" s="62"/>
      <c r="AJ293" s="27" t="str">
        <f>IF(OR($C293="",NOT(OR($G293="À migrer",$G293="À décommissionner")),NOT(ISNUMBER($S293)),NOT(ISNUMBER($T293)),$AB293=""),"",($S293+p_poidsram*$T293)*SUMIFS(TblCalculs[Coût par unité],TblCalculs[Cluster],$I293,TblCalculs[Mois],"&lt;"&amp;$AB293))</f>
        <v/>
      </c>
      <c r="AK293" s="27" t="str">
        <f>IF($C293="","",IF(AND($G293="À migrer",$H293="Non",$Y293&lt;&gt;"",$AA293&lt;&gt;""),($Y293+p_poidsram*$Z293)*SUMIFS(TblCalculs[Coût par unité],TblCalculs[Cluster],$O293,TblCalculs[Mois],"&gt;="&amp;$AA293),IF(AND($G293="Migré",$Y293&lt;&gt;""),($Y293+p_poidsram*$Z293)*SUMIFS(TblCalculs[Coût par unité],TblCalculs[Cluster],$O293),"")))</f>
        <v/>
      </c>
      <c r="AL293" s="27" t="str">
        <f t="shared" si="38"/>
        <v/>
      </c>
      <c r="AM293" s="26" t="str">
        <f t="shared" si="39"/>
        <v/>
      </c>
      <c r="AN293" s="26" t="str">
        <f>IF(OR($C293="",$AM293&lt;&gt;1,COUNTIFS($E293,ex_envc,$A293,ex_domc,$B293,ex_tric)=0),"",COUNTIFS($AM$6:$AM293,1,$E$6:$E293,ex_envc,$A$6:$A293,ex_domc,$B$6:$B293,ex_tric))</f>
        <v/>
      </c>
      <c r="AO293" s="63"/>
      <c r="AP293" s="63"/>
      <c r="AQ293" s="63"/>
      <c r="AR293" s="63"/>
    </row>
    <row r="294" spans="1:44" x14ac:dyDescent="0.2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26" t="str">
        <f t="shared" si="32"/>
        <v/>
      </c>
      <c r="O294" s="59"/>
      <c r="P294" s="60" t="str">
        <f>IF($C294="","",IF($AQ294&lt;&gt;"",$AQ294,SUMIFS(TblDynatrace[CPU P95 (vCPU)],TblDynatrace[ID],$C294,TblDynatrace[Environnement],$E294,TblDynatrace[Couloir],$F294)))</f>
        <v/>
      </c>
      <c r="Q294" s="60" t="str">
        <f>IF($C294="","",IF($AR294&lt;&gt;"",$AR294,SUMIFS(TblDynatrace[RAM P95 (Go)],TblDynatrace[ID],$C294,TblDynatrace[Environnement],$E294,TblDynatrace[Couloir],$F294)))</f>
        <v/>
      </c>
      <c r="R294" s="26" t="str">
        <f>IF($C294="","",IFERROR(INDEX(TblDynatrace[Métrique / période],MATCH($C294&amp;"|"&amp;$E294&amp;"|"&amp;$F294,TblDynatrace[Clé],0)),""))</f>
        <v/>
      </c>
      <c r="S294" s="60" t="str">
        <f>IF(OR($C294="",NOT(OR($G294="À migrer",$G294="À décommissionner")),$I294="",NOT(ISNUMBER($P294))),"",IF($AO294&lt;&gt;"",$AO294,IFERROR(SUMIFS(TblClusters[CPU initial (vCPU)],TblClusters[Cluster],$I294)*$P294/(SUMIFS(TblApplications[CPU Dynatrace (vCPU)],TblApplications[Cluster IKS source],$I294,TblApplications[Action],"À migrer")+SUMIFS(TblApplications[CPU Dynatrace (vCPU)],TblApplications[Cluster IKS source],$I294,TblApplications[Action],"À décommissionner")),0)))</f>
        <v/>
      </c>
      <c r="T294" s="60" t="str">
        <f>IF(OR($C294="",NOT(OR($G294="À migrer",$G294="À décommissionner")),$I294="",NOT(ISNUMBER($Q294))),"",IF($AP294&lt;&gt;"",$AP294,IFERROR(SUMIFS(TblClusters[RAM initiale (Go)],TblClusters[Cluster],$I294)*$Q294/(SUMIFS(TblApplications[RAM Dynatrace (Go)],TblApplications[Cluster IKS source],$I294,TblApplications[Action],"À migrer")+SUMIFS(TblApplications[RAM Dynatrace (Go)],TblApplications[Cluster IKS source],$I294,TblApplications[Action],"À décommissionner")),0)))</f>
        <v/>
      </c>
      <c r="U294" s="61"/>
      <c r="V294" s="61"/>
      <c r="W294" s="61"/>
      <c r="X294" s="59"/>
      <c r="Y294" s="26" t="str">
        <f t="shared" si="33"/>
        <v/>
      </c>
      <c r="Z294" s="26" t="str">
        <f t="shared" si="34"/>
        <v/>
      </c>
      <c r="AA294" s="33" t="str">
        <f t="shared" si="35"/>
        <v/>
      </c>
      <c r="AB294" s="33" t="str">
        <f t="shared" si="36"/>
        <v/>
      </c>
      <c r="AC294" s="26" t="str">
        <f t="shared" si="37"/>
        <v/>
      </c>
      <c r="AD294" s="26" t="str">
        <f>IF($C294="","",COUNTIF(TblApplications[ID],$C294))</f>
        <v/>
      </c>
      <c r="AE294" s="33" t="str">
        <f>IF($C294="","",IFERROR(1/(1/_xlfn.MINIFS(TblApplications[Mois prov (calc)],TblApplications[ID],$C294)),""))</f>
        <v/>
      </c>
      <c r="AF294" s="33" t="str">
        <f>IF($C294="","",IFERROR(1/(1/_xlfn.MAXIFS(TblApplications[Mois lib (calc)],TblApplications[ID],$C294)),""))</f>
        <v/>
      </c>
      <c r="AG294" s="26" t="str">
        <f>IF($C294="","",IF(OR(OR($A294="",$B294="",$D294="",$E294="",$F294="",$G294=""),AND($G294="À migrer",OR($H294="",$I294="",$O294="",$U294="",$V294="",$W294="")),AND($G294="Migré",OR($O294="")),AND($G294="À décommissionner",OR($I294="",$W294=""))),"Données manquantes (selon l’action)",IF(AND($G294&lt;&gt;"Migré",$G294&lt;&gt;"À migrer",$G294&lt;&gt;"À décommissionner",$G294&lt;&gt;"Décommissionné"),"Action invalide",IF(COUNTIF(TblDomaines[Domaine],$A294)=0,"Domaine inconnu (référentiel)",IF(COUNTIFS(TblTribes[Tribe],$B294,TblTribes[Domaine de la tribe],$A294)=0,"Tribe inconnue ou hors domaine",IF(AND($G294="À migrer",$H294&lt;&gt;"Oui",$H294&lt;&gt;"Non"),"Valeur Oui/Non invalide (Déjà incluse ROKS)",IF(AND($E294&lt;&gt;"PRD",$E294&lt;&gt;"NPRD"),"Environnement invalide",IF(COUNTIFS(TblApplications[ID],$C294,TblApplications[Environnement],$E294,TblApplications[Couloir],$F294)&gt;1,"Déploiement en doublon (ID + env + couloir)",IF(AND(OR(OR($G294="À migrer",$G294="Migré"),OR($G294="À migrer",$G294="À décommissionner")),N($P294)&lt;=0),"Conso Dynatrace absente (onglet Dynatrace)",IF(OR(AND($P294&lt;&gt;"",NOT(ISNUMBER($P294))),AND($Q294&lt;&gt;"",NOT(ISNUMBER($Q294)))),"Ressource non numérique",IF(MIN(N($P294),N($Q294))&lt;0,"Ressource négative",IF(OR(AND($AH294&lt;&gt;"",OR(NOT(ISNUMBER($AH294)),$AH294&lt;0,$AH294&gt;1)),AND($AI294&lt;&gt;"",OR(NOT(ISNUMBER($AI294)),$AI294&lt;0,$AI294&gt;1))),"Marge spécifique invalide (0–100 %)",IF(OR(AND($U294&lt;&gt;"",NOT(ISNUMBER($U294))),AND($V294&lt;&gt;"",NOT(ISNUMBER($V294))),AND($W294&lt;&gt;"",NOT(ISNUMBER($W294)))),"Mois invalide",IF(AND(OR($G294="À migrer",$G294="À décommissionner"),COUNTIFS(TblClusters[Cluster],$I294,TblClusters[Plateforme],"IKS")=0),"Cluster IKS inconnu",IF(AND(OR($G294="À migrer",$G294="Migré"),COUNTIFS(TblClusters[Cluster],$O294,TblClusters[Plateforme],"ROKS")=0),"Cluster ROKS inconnu",IF(AND(OR($G294="À migrer",$G294="À décommissionner"),COUNTIFS(TblClusters[Cluster],$I294,TblClusters[Environnement],$E294)=0),"Environnement ≠ cluster IKS",IF(AND(OR($G294="À migrer",$G294="Migré"),COUNTIFS(TblClusters[Cluster],$O294,TblClusters[Environnement],$E294)=0),"Environnement ≠ cluster ROKS",IF(AND($G294="À migrer",OR($U294&gt;$V294,$V294&gt;$W294)),"Dates incohérentes (prov ≤ bascule ≤ libération)",IF(AND(OR($G294="À migrer",$G294="À décommissionner"),OR(N($AO294)&gt;SUMIFS(TblClusters[CPU initial (vCPU)],TblClusters[Cluster],$I294),N($AP294)&gt;SUMIFS(TblClusters[RAM initiale (Go)],TblClusters[Cluster],$I294))),"Forçage &gt; capacité du cluster source",IF(OR(AND($AA294&lt;&gt;"",$AA294&lt;p_debut),AND($AB294&lt;&gt;"",$AB294&gt;p_fin)),"Hors horizon (info)",IF(AND($G294="À migrer",$E294="PRD",COUNTIFS(TblApplications[ID],$C294,TblApplications[Environnement],"NPRD",TblApplications[Action],"À migrer")&gt;0,$AA294&lt;_xlfn.MINIFS(TblApplications[Mois prov (calc)],TblApplications[ID],$C294,TblApplications[Environnement],"NPRD")),"PRD avant NPRD (info)","OK")))))))))))))))))))))</f>
        <v/>
      </c>
      <c r="AH294" s="62"/>
      <c r="AI294" s="62"/>
      <c r="AJ294" s="27" t="str">
        <f>IF(OR($C294="",NOT(OR($G294="À migrer",$G294="À décommissionner")),NOT(ISNUMBER($S294)),NOT(ISNUMBER($T294)),$AB294=""),"",($S294+p_poidsram*$T294)*SUMIFS(TblCalculs[Coût par unité],TblCalculs[Cluster],$I294,TblCalculs[Mois],"&lt;"&amp;$AB294))</f>
        <v/>
      </c>
      <c r="AK294" s="27" t="str">
        <f>IF($C294="","",IF(AND($G294="À migrer",$H294="Non",$Y294&lt;&gt;"",$AA294&lt;&gt;""),($Y294+p_poidsram*$Z294)*SUMIFS(TblCalculs[Coût par unité],TblCalculs[Cluster],$O294,TblCalculs[Mois],"&gt;="&amp;$AA294),IF(AND($G294="Migré",$Y294&lt;&gt;""),($Y294+p_poidsram*$Z294)*SUMIFS(TblCalculs[Coût par unité],TblCalculs[Cluster],$O294),"")))</f>
        <v/>
      </c>
      <c r="AL294" s="27" t="str">
        <f t="shared" si="38"/>
        <v/>
      </c>
      <c r="AM294" s="26" t="str">
        <f t="shared" si="39"/>
        <v/>
      </c>
      <c r="AN294" s="26" t="str">
        <f>IF(OR($C294="",$AM294&lt;&gt;1,COUNTIFS($E294,ex_envc,$A294,ex_domc,$B294,ex_tric)=0),"",COUNTIFS($AM$6:$AM294,1,$E$6:$E294,ex_envc,$A$6:$A294,ex_domc,$B$6:$B294,ex_tric))</f>
        <v/>
      </c>
      <c r="AO294" s="63"/>
      <c r="AP294" s="63"/>
      <c r="AQ294" s="63"/>
      <c r="AR294" s="63"/>
    </row>
    <row r="295" spans="1:44" x14ac:dyDescent="0.2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26" t="str">
        <f t="shared" si="32"/>
        <v/>
      </c>
      <c r="O295" s="59"/>
      <c r="P295" s="60" t="str">
        <f>IF($C295="","",IF($AQ295&lt;&gt;"",$AQ295,SUMIFS(TblDynatrace[CPU P95 (vCPU)],TblDynatrace[ID],$C295,TblDynatrace[Environnement],$E295,TblDynatrace[Couloir],$F295)))</f>
        <v/>
      </c>
      <c r="Q295" s="60" t="str">
        <f>IF($C295="","",IF($AR295&lt;&gt;"",$AR295,SUMIFS(TblDynatrace[RAM P95 (Go)],TblDynatrace[ID],$C295,TblDynatrace[Environnement],$E295,TblDynatrace[Couloir],$F295)))</f>
        <v/>
      </c>
      <c r="R295" s="26" t="str">
        <f>IF($C295="","",IFERROR(INDEX(TblDynatrace[Métrique / période],MATCH($C295&amp;"|"&amp;$E295&amp;"|"&amp;$F295,TblDynatrace[Clé],0)),""))</f>
        <v/>
      </c>
      <c r="S295" s="60" t="str">
        <f>IF(OR($C295="",NOT(OR($G295="À migrer",$G295="À décommissionner")),$I295="",NOT(ISNUMBER($P295))),"",IF($AO295&lt;&gt;"",$AO295,IFERROR(SUMIFS(TblClusters[CPU initial (vCPU)],TblClusters[Cluster],$I295)*$P295/(SUMIFS(TblApplications[CPU Dynatrace (vCPU)],TblApplications[Cluster IKS source],$I295,TblApplications[Action],"À migrer")+SUMIFS(TblApplications[CPU Dynatrace (vCPU)],TblApplications[Cluster IKS source],$I295,TblApplications[Action],"À décommissionner")),0)))</f>
        <v/>
      </c>
      <c r="T295" s="60" t="str">
        <f>IF(OR($C295="",NOT(OR($G295="À migrer",$G295="À décommissionner")),$I295="",NOT(ISNUMBER($Q295))),"",IF($AP295&lt;&gt;"",$AP295,IFERROR(SUMIFS(TblClusters[RAM initiale (Go)],TblClusters[Cluster],$I295)*$Q295/(SUMIFS(TblApplications[RAM Dynatrace (Go)],TblApplications[Cluster IKS source],$I295,TblApplications[Action],"À migrer")+SUMIFS(TblApplications[RAM Dynatrace (Go)],TblApplications[Cluster IKS source],$I295,TblApplications[Action],"À décommissionner")),0)))</f>
        <v/>
      </c>
      <c r="U295" s="61"/>
      <c r="V295" s="61"/>
      <c r="W295" s="61"/>
      <c r="X295" s="59"/>
      <c r="Y295" s="26" t="str">
        <f t="shared" si="33"/>
        <v/>
      </c>
      <c r="Z295" s="26" t="str">
        <f t="shared" si="34"/>
        <v/>
      </c>
      <c r="AA295" s="33" t="str">
        <f t="shared" si="35"/>
        <v/>
      </c>
      <c r="AB295" s="33" t="str">
        <f t="shared" si="36"/>
        <v/>
      </c>
      <c r="AC295" s="26" t="str">
        <f t="shared" si="37"/>
        <v/>
      </c>
      <c r="AD295" s="26" t="str">
        <f>IF($C295="","",COUNTIF(TblApplications[ID],$C295))</f>
        <v/>
      </c>
      <c r="AE295" s="33" t="str">
        <f>IF($C295="","",IFERROR(1/(1/_xlfn.MINIFS(TblApplications[Mois prov (calc)],TblApplications[ID],$C295)),""))</f>
        <v/>
      </c>
      <c r="AF295" s="33" t="str">
        <f>IF($C295="","",IFERROR(1/(1/_xlfn.MAXIFS(TblApplications[Mois lib (calc)],TblApplications[ID],$C295)),""))</f>
        <v/>
      </c>
      <c r="AG295" s="26" t="str">
        <f>IF($C295="","",IF(OR(OR($A295="",$B295="",$D295="",$E295="",$F295="",$G295=""),AND($G295="À migrer",OR($H295="",$I295="",$O295="",$U295="",$V295="",$W295="")),AND($G295="Migré",OR($O295="")),AND($G295="À décommissionner",OR($I295="",$W295=""))),"Données manquantes (selon l’action)",IF(AND($G295&lt;&gt;"Migré",$G295&lt;&gt;"À migrer",$G295&lt;&gt;"À décommissionner",$G295&lt;&gt;"Décommissionné"),"Action invalide",IF(COUNTIF(TblDomaines[Domaine],$A295)=0,"Domaine inconnu (référentiel)",IF(COUNTIFS(TblTribes[Tribe],$B295,TblTribes[Domaine de la tribe],$A295)=0,"Tribe inconnue ou hors domaine",IF(AND($G295="À migrer",$H295&lt;&gt;"Oui",$H295&lt;&gt;"Non"),"Valeur Oui/Non invalide (Déjà incluse ROKS)",IF(AND($E295&lt;&gt;"PRD",$E295&lt;&gt;"NPRD"),"Environnement invalide",IF(COUNTIFS(TblApplications[ID],$C295,TblApplications[Environnement],$E295,TblApplications[Couloir],$F295)&gt;1,"Déploiement en doublon (ID + env + couloir)",IF(AND(OR(OR($G295="À migrer",$G295="Migré"),OR($G295="À migrer",$G295="À décommissionner")),N($P295)&lt;=0),"Conso Dynatrace absente (onglet Dynatrace)",IF(OR(AND($P295&lt;&gt;"",NOT(ISNUMBER($P295))),AND($Q295&lt;&gt;"",NOT(ISNUMBER($Q295)))),"Ressource non numérique",IF(MIN(N($P295),N($Q295))&lt;0,"Ressource négative",IF(OR(AND($AH295&lt;&gt;"",OR(NOT(ISNUMBER($AH295)),$AH295&lt;0,$AH295&gt;1)),AND($AI295&lt;&gt;"",OR(NOT(ISNUMBER($AI295)),$AI295&lt;0,$AI295&gt;1))),"Marge spécifique invalide (0–100 %)",IF(OR(AND($U295&lt;&gt;"",NOT(ISNUMBER($U295))),AND($V295&lt;&gt;"",NOT(ISNUMBER($V295))),AND($W295&lt;&gt;"",NOT(ISNUMBER($W295)))),"Mois invalide",IF(AND(OR($G295="À migrer",$G295="À décommissionner"),COUNTIFS(TblClusters[Cluster],$I295,TblClusters[Plateforme],"IKS")=0),"Cluster IKS inconnu",IF(AND(OR($G295="À migrer",$G295="Migré"),COUNTIFS(TblClusters[Cluster],$O295,TblClusters[Plateforme],"ROKS")=0),"Cluster ROKS inconnu",IF(AND(OR($G295="À migrer",$G295="À décommissionner"),COUNTIFS(TblClusters[Cluster],$I295,TblClusters[Environnement],$E295)=0),"Environnement ≠ cluster IKS",IF(AND(OR($G295="À migrer",$G295="Migré"),COUNTIFS(TblClusters[Cluster],$O295,TblClusters[Environnement],$E295)=0),"Environnement ≠ cluster ROKS",IF(AND($G295="À migrer",OR($U295&gt;$V295,$V295&gt;$W295)),"Dates incohérentes (prov ≤ bascule ≤ libération)",IF(AND(OR($G295="À migrer",$G295="À décommissionner"),OR(N($AO295)&gt;SUMIFS(TblClusters[CPU initial (vCPU)],TblClusters[Cluster],$I295),N($AP295)&gt;SUMIFS(TblClusters[RAM initiale (Go)],TblClusters[Cluster],$I295))),"Forçage &gt; capacité du cluster source",IF(OR(AND($AA295&lt;&gt;"",$AA295&lt;p_debut),AND($AB295&lt;&gt;"",$AB295&gt;p_fin)),"Hors horizon (info)",IF(AND($G295="À migrer",$E295="PRD",COUNTIFS(TblApplications[ID],$C295,TblApplications[Environnement],"NPRD",TblApplications[Action],"À migrer")&gt;0,$AA295&lt;_xlfn.MINIFS(TblApplications[Mois prov (calc)],TblApplications[ID],$C295,TblApplications[Environnement],"NPRD")),"PRD avant NPRD (info)","OK")))))))))))))))))))))</f>
        <v/>
      </c>
      <c r="AH295" s="62"/>
      <c r="AI295" s="62"/>
      <c r="AJ295" s="27" t="str">
        <f>IF(OR($C295="",NOT(OR($G295="À migrer",$G295="À décommissionner")),NOT(ISNUMBER($S295)),NOT(ISNUMBER($T295)),$AB295=""),"",($S295+p_poidsram*$T295)*SUMIFS(TblCalculs[Coût par unité],TblCalculs[Cluster],$I295,TblCalculs[Mois],"&lt;"&amp;$AB295))</f>
        <v/>
      </c>
      <c r="AK295" s="27" t="str">
        <f>IF($C295="","",IF(AND($G295="À migrer",$H295="Non",$Y295&lt;&gt;"",$AA295&lt;&gt;""),($Y295+p_poidsram*$Z295)*SUMIFS(TblCalculs[Coût par unité],TblCalculs[Cluster],$O295,TblCalculs[Mois],"&gt;="&amp;$AA295),IF(AND($G295="Migré",$Y295&lt;&gt;""),($Y295+p_poidsram*$Z295)*SUMIFS(TblCalculs[Coût par unité],TblCalculs[Cluster],$O295),"")))</f>
        <v/>
      </c>
      <c r="AL295" s="27" t="str">
        <f t="shared" si="38"/>
        <v/>
      </c>
      <c r="AM295" s="26" t="str">
        <f t="shared" si="39"/>
        <v/>
      </c>
      <c r="AN295" s="26" t="str">
        <f>IF(OR($C295="",$AM295&lt;&gt;1,COUNTIFS($E295,ex_envc,$A295,ex_domc,$B295,ex_tric)=0),"",COUNTIFS($AM$6:$AM295,1,$E$6:$E295,ex_envc,$A$6:$A295,ex_domc,$B$6:$B295,ex_tric))</f>
        <v/>
      </c>
      <c r="AO295" s="63"/>
      <c r="AP295" s="63"/>
      <c r="AQ295" s="63"/>
      <c r="AR295" s="63"/>
    </row>
    <row r="296" spans="1:44" x14ac:dyDescent="0.2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26" t="str">
        <f t="shared" si="32"/>
        <v/>
      </c>
      <c r="O296" s="59"/>
      <c r="P296" s="60" t="str">
        <f>IF($C296="","",IF($AQ296&lt;&gt;"",$AQ296,SUMIFS(TblDynatrace[CPU P95 (vCPU)],TblDynatrace[ID],$C296,TblDynatrace[Environnement],$E296,TblDynatrace[Couloir],$F296)))</f>
        <v/>
      </c>
      <c r="Q296" s="60" t="str">
        <f>IF($C296="","",IF($AR296&lt;&gt;"",$AR296,SUMIFS(TblDynatrace[RAM P95 (Go)],TblDynatrace[ID],$C296,TblDynatrace[Environnement],$E296,TblDynatrace[Couloir],$F296)))</f>
        <v/>
      </c>
      <c r="R296" s="26" t="str">
        <f>IF($C296="","",IFERROR(INDEX(TblDynatrace[Métrique / période],MATCH($C296&amp;"|"&amp;$E296&amp;"|"&amp;$F296,TblDynatrace[Clé],0)),""))</f>
        <v/>
      </c>
      <c r="S296" s="60" t="str">
        <f>IF(OR($C296="",NOT(OR($G296="À migrer",$G296="À décommissionner")),$I296="",NOT(ISNUMBER($P296))),"",IF($AO296&lt;&gt;"",$AO296,IFERROR(SUMIFS(TblClusters[CPU initial (vCPU)],TblClusters[Cluster],$I296)*$P296/(SUMIFS(TblApplications[CPU Dynatrace (vCPU)],TblApplications[Cluster IKS source],$I296,TblApplications[Action],"À migrer")+SUMIFS(TblApplications[CPU Dynatrace (vCPU)],TblApplications[Cluster IKS source],$I296,TblApplications[Action],"À décommissionner")),0)))</f>
        <v/>
      </c>
      <c r="T296" s="60" t="str">
        <f>IF(OR($C296="",NOT(OR($G296="À migrer",$G296="À décommissionner")),$I296="",NOT(ISNUMBER($Q296))),"",IF($AP296&lt;&gt;"",$AP296,IFERROR(SUMIFS(TblClusters[RAM initiale (Go)],TblClusters[Cluster],$I296)*$Q296/(SUMIFS(TblApplications[RAM Dynatrace (Go)],TblApplications[Cluster IKS source],$I296,TblApplications[Action],"À migrer")+SUMIFS(TblApplications[RAM Dynatrace (Go)],TblApplications[Cluster IKS source],$I296,TblApplications[Action],"À décommissionner")),0)))</f>
        <v/>
      </c>
      <c r="U296" s="61"/>
      <c r="V296" s="61"/>
      <c r="W296" s="61"/>
      <c r="X296" s="59"/>
      <c r="Y296" s="26" t="str">
        <f t="shared" si="33"/>
        <v/>
      </c>
      <c r="Z296" s="26" t="str">
        <f t="shared" si="34"/>
        <v/>
      </c>
      <c r="AA296" s="33" t="str">
        <f t="shared" si="35"/>
        <v/>
      </c>
      <c r="AB296" s="33" t="str">
        <f t="shared" si="36"/>
        <v/>
      </c>
      <c r="AC296" s="26" t="str">
        <f t="shared" si="37"/>
        <v/>
      </c>
      <c r="AD296" s="26" t="str">
        <f>IF($C296="","",COUNTIF(TblApplications[ID],$C296))</f>
        <v/>
      </c>
      <c r="AE296" s="33" t="str">
        <f>IF($C296="","",IFERROR(1/(1/_xlfn.MINIFS(TblApplications[Mois prov (calc)],TblApplications[ID],$C296)),""))</f>
        <v/>
      </c>
      <c r="AF296" s="33" t="str">
        <f>IF($C296="","",IFERROR(1/(1/_xlfn.MAXIFS(TblApplications[Mois lib (calc)],TblApplications[ID],$C296)),""))</f>
        <v/>
      </c>
      <c r="AG296" s="26" t="str">
        <f>IF($C296="","",IF(OR(OR($A296="",$B296="",$D296="",$E296="",$F296="",$G296=""),AND($G296="À migrer",OR($H296="",$I296="",$O296="",$U296="",$V296="",$W296="")),AND($G296="Migré",OR($O296="")),AND($G296="À décommissionner",OR($I296="",$W296=""))),"Données manquantes (selon l’action)",IF(AND($G296&lt;&gt;"Migré",$G296&lt;&gt;"À migrer",$G296&lt;&gt;"À décommissionner",$G296&lt;&gt;"Décommissionné"),"Action invalide",IF(COUNTIF(TblDomaines[Domaine],$A296)=0,"Domaine inconnu (référentiel)",IF(COUNTIFS(TblTribes[Tribe],$B296,TblTribes[Domaine de la tribe],$A296)=0,"Tribe inconnue ou hors domaine",IF(AND($G296="À migrer",$H296&lt;&gt;"Oui",$H296&lt;&gt;"Non"),"Valeur Oui/Non invalide (Déjà incluse ROKS)",IF(AND($E296&lt;&gt;"PRD",$E296&lt;&gt;"NPRD"),"Environnement invalide",IF(COUNTIFS(TblApplications[ID],$C296,TblApplications[Environnement],$E296,TblApplications[Couloir],$F296)&gt;1,"Déploiement en doublon (ID + env + couloir)",IF(AND(OR(OR($G296="À migrer",$G296="Migré"),OR($G296="À migrer",$G296="À décommissionner")),N($P296)&lt;=0),"Conso Dynatrace absente (onglet Dynatrace)",IF(OR(AND($P296&lt;&gt;"",NOT(ISNUMBER($P296))),AND($Q296&lt;&gt;"",NOT(ISNUMBER($Q296)))),"Ressource non numérique",IF(MIN(N($P296),N($Q296))&lt;0,"Ressource négative",IF(OR(AND($AH296&lt;&gt;"",OR(NOT(ISNUMBER($AH296)),$AH296&lt;0,$AH296&gt;1)),AND($AI296&lt;&gt;"",OR(NOT(ISNUMBER($AI296)),$AI296&lt;0,$AI296&gt;1))),"Marge spécifique invalide (0–100 %)",IF(OR(AND($U296&lt;&gt;"",NOT(ISNUMBER($U296))),AND($V296&lt;&gt;"",NOT(ISNUMBER($V296))),AND($W296&lt;&gt;"",NOT(ISNUMBER($W296)))),"Mois invalide",IF(AND(OR($G296="À migrer",$G296="À décommissionner"),COUNTIFS(TblClusters[Cluster],$I296,TblClusters[Plateforme],"IKS")=0),"Cluster IKS inconnu",IF(AND(OR($G296="À migrer",$G296="Migré"),COUNTIFS(TblClusters[Cluster],$O296,TblClusters[Plateforme],"ROKS")=0),"Cluster ROKS inconnu",IF(AND(OR($G296="À migrer",$G296="À décommissionner"),COUNTIFS(TblClusters[Cluster],$I296,TblClusters[Environnement],$E296)=0),"Environnement ≠ cluster IKS",IF(AND(OR($G296="À migrer",$G296="Migré"),COUNTIFS(TblClusters[Cluster],$O296,TblClusters[Environnement],$E296)=0),"Environnement ≠ cluster ROKS",IF(AND($G296="À migrer",OR($U296&gt;$V296,$V296&gt;$W296)),"Dates incohérentes (prov ≤ bascule ≤ libération)",IF(AND(OR($G296="À migrer",$G296="À décommissionner"),OR(N($AO296)&gt;SUMIFS(TblClusters[CPU initial (vCPU)],TblClusters[Cluster],$I296),N($AP296)&gt;SUMIFS(TblClusters[RAM initiale (Go)],TblClusters[Cluster],$I296))),"Forçage &gt; capacité du cluster source",IF(OR(AND($AA296&lt;&gt;"",$AA296&lt;p_debut),AND($AB296&lt;&gt;"",$AB296&gt;p_fin)),"Hors horizon (info)",IF(AND($G296="À migrer",$E296="PRD",COUNTIFS(TblApplications[ID],$C296,TblApplications[Environnement],"NPRD",TblApplications[Action],"À migrer")&gt;0,$AA296&lt;_xlfn.MINIFS(TblApplications[Mois prov (calc)],TblApplications[ID],$C296,TblApplications[Environnement],"NPRD")),"PRD avant NPRD (info)","OK")))))))))))))))))))))</f>
        <v/>
      </c>
      <c r="AH296" s="62"/>
      <c r="AI296" s="62"/>
      <c r="AJ296" s="27" t="str">
        <f>IF(OR($C296="",NOT(OR($G296="À migrer",$G296="À décommissionner")),NOT(ISNUMBER($S296)),NOT(ISNUMBER($T296)),$AB296=""),"",($S296+p_poidsram*$T296)*SUMIFS(TblCalculs[Coût par unité],TblCalculs[Cluster],$I296,TblCalculs[Mois],"&lt;"&amp;$AB296))</f>
        <v/>
      </c>
      <c r="AK296" s="27" t="str">
        <f>IF($C296="","",IF(AND($G296="À migrer",$H296="Non",$Y296&lt;&gt;"",$AA296&lt;&gt;""),($Y296+p_poidsram*$Z296)*SUMIFS(TblCalculs[Coût par unité],TblCalculs[Cluster],$O296,TblCalculs[Mois],"&gt;="&amp;$AA296),IF(AND($G296="Migré",$Y296&lt;&gt;""),($Y296+p_poidsram*$Z296)*SUMIFS(TblCalculs[Coût par unité],TblCalculs[Cluster],$O296),"")))</f>
        <v/>
      </c>
      <c r="AL296" s="27" t="str">
        <f t="shared" si="38"/>
        <v/>
      </c>
      <c r="AM296" s="26" t="str">
        <f t="shared" si="39"/>
        <v/>
      </c>
      <c r="AN296" s="26" t="str">
        <f>IF(OR($C296="",$AM296&lt;&gt;1,COUNTIFS($E296,ex_envc,$A296,ex_domc,$B296,ex_tric)=0),"",COUNTIFS($AM$6:$AM296,1,$E$6:$E296,ex_envc,$A$6:$A296,ex_domc,$B$6:$B296,ex_tric))</f>
        <v/>
      </c>
      <c r="AO296" s="63"/>
      <c r="AP296" s="63"/>
      <c r="AQ296" s="63"/>
      <c r="AR296" s="63"/>
    </row>
    <row r="297" spans="1:44" x14ac:dyDescent="0.2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26" t="str">
        <f t="shared" si="32"/>
        <v/>
      </c>
      <c r="O297" s="59"/>
      <c r="P297" s="60" t="str">
        <f>IF($C297="","",IF($AQ297&lt;&gt;"",$AQ297,SUMIFS(TblDynatrace[CPU P95 (vCPU)],TblDynatrace[ID],$C297,TblDynatrace[Environnement],$E297,TblDynatrace[Couloir],$F297)))</f>
        <v/>
      </c>
      <c r="Q297" s="60" t="str">
        <f>IF($C297="","",IF($AR297&lt;&gt;"",$AR297,SUMIFS(TblDynatrace[RAM P95 (Go)],TblDynatrace[ID],$C297,TblDynatrace[Environnement],$E297,TblDynatrace[Couloir],$F297)))</f>
        <v/>
      </c>
      <c r="R297" s="26" t="str">
        <f>IF($C297="","",IFERROR(INDEX(TblDynatrace[Métrique / période],MATCH($C297&amp;"|"&amp;$E297&amp;"|"&amp;$F297,TblDynatrace[Clé],0)),""))</f>
        <v/>
      </c>
      <c r="S297" s="60" t="str">
        <f>IF(OR($C297="",NOT(OR($G297="À migrer",$G297="À décommissionner")),$I297="",NOT(ISNUMBER($P297))),"",IF($AO297&lt;&gt;"",$AO297,IFERROR(SUMIFS(TblClusters[CPU initial (vCPU)],TblClusters[Cluster],$I297)*$P297/(SUMIFS(TblApplications[CPU Dynatrace (vCPU)],TblApplications[Cluster IKS source],$I297,TblApplications[Action],"À migrer")+SUMIFS(TblApplications[CPU Dynatrace (vCPU)],TblApplications[Cluster IKS source],$I297,TblApplications[Action],"À décommissionner")),0)))</f>
        <v/>
      </c>
      <c r="T297" s="60" t="str">
        <f>IF(OR($C297="",NOT(OR($G297="À migrer",$G297="À décommissionner")),$I297="",NOT(ISNUMBER($Q297))),"",IF($AP297&lt;&gt;"",$AP297,IFERROR(SUMIFS(TblClusters[RAM initiale (Go)],TblClusters[Cluster],$I297)*$Q297/(SUMIFS(TblApplications[RAM Dynatrace (Go)],TblApplications[Cluster IKS source],$I297,TblApplications[Action],"À migrer")+SUMIFS(TblApplications[RAM Dynatrace (Go)],TblApplications[Cluster IKS source],$I297,TblApplications[Action],"À décommissionner")),0)))</f>
        <v/>
      </c>
      <c r="U297" s="61"/>
      <c r="V297" s="61"/>
      <c r="W297" s="61"/>
      <c r="X297" s="59"/>
      <c r="Y297" s="26" t="str">
        <f t="shared" si="33"/>
        <v/>
      </c>
      <c r="Z297" s="26" t="str">
        <f t="shared" si="34"/>
        <v/>
      </c>
      <c r="AA297" s="33" t="str">
        <f t="shared" si="35"/>
        <v/>
      </c>
      <c r="AB297" s="33" t="str">
        <f t="shared" si="36"/>
        <v/>
      </c>
      <c r="AC297" s="26" t="str">
        <f t="shared" si="37"/>
        <v/>
      </c>
      <c r="AD297" s="26" t="str">
        <f>IF($C297="","",COUNTIF(TblApplications[ID],$C297))</f>
        <v/>
      </c>
      <c r="AE297" s="33" t="str">
        <f>IF($C297="","",IFERROR(1/(1/_xlfn.MINIFS(TblApplications[Mois prov (calc)],TblApplications[ID],$C297)),""))</f>
        <v/>
      </c>
      <c r="AF297" s="33" t="str">
        <f>IF($C297="","",IFERROR(1/(1/_xlfn.MAXIFS(TblApplications[Mois lib (calc)],TblApplications[ID],$C297)),""))</f>
        <v/>
      </c>
      <c r="AG297" s="26" t="str">
        <f>IF($C297="","",IF(OR(OR($A297="",$B297="",$D297="",$E297="",$F297="",$G297=""),AND($G297="À migrer",OR($H297="",$I297="",$O297="",$U297="",$V297="",$W297="")),AND($G297="Migré",OR($O297="")),AND($G297="À décommissionner",OR($I297="",$W297=""))),"Données manquantes (selon l’action)",IF(AND($G297&lt;&gt;"Migré",$G297&lt;&gt;"À migrer",$G297&lt;&gt;"À décommissionner",$G297&lt;&gt;"Décommissionné"),"Action invalide",IF(COUNTIF(TblDomaines[Domaine],$A297)=0,"Domaine inconnu (référentiel)",IF(COUNTIFS(TblTribes[Tribe],$B297,TblTribes[Domaine de la tribe],$A297)=0,"Tribe inconnue ou hors domaine",IF(AND($G297="À migrer",$H297&lt;&gt;"Oui",$H297&lt;&gt;"Non"),"Valeur Oui/Non invalide (Déjà incluse ROKS)",IF(AND($E297&lt;&gt;"PRD",$E297&lt;&gt;"NPRD"),"Environnement invalide",IF(COUNTIFS(TblApplications[ID],$C297,TblApplications[Environnement],$E297,TblApplications[Couloir],$F297)&gt;1,"Déploiement en doublon (ID + env + couloir)",IF(AND(OR(OR($G297="À migrer",$G297="Migré"),OR($G297="À migrer",$G297="À décommissionner")),N($P297)&lt;=0),"Conso Dynatrace absente (onglet Dynatrace)",IF(OR(AND($P297&lt;&gt;"",NOT(ISNUMBER($P297))),AND($Q297&lt;&gt;"",NOT(ISNUMBER($Q297)))),"Ressource non numérique",IF(MIN(N($P297),N($Q297))&lt;0,"Ressource négative",IF(OR(AND($AH297&lt;&gt;"",OR(NOT(ISNUMBER($AH297)),$AH297&lt;0,$AH297&gt;1)),AND($AI297&lt;&gt;"",OR(NOT(ISNUMBER($AI297)),$AI297&lt;0,$AI297&gt;1))),"Marge spécifique invalide (0–100 %)",IF(OR(AND($U297&lt;&gt;"",NOT(ISNUMBER($U297))),AND($V297&lt;&gt;"",NOT(ISNUMBER($V297))),AND($W297&lt;&gt;"",NOT(ISNUMBER($W297)))),"Mois invalide",IF(AND(OR($G297="À migrer",$G297="À décommissionner"),COUNTIFS(TblClusters[Cluster],$I297,TblClusters[Plateforme],"IKS")=0),"Cluster IKS inconnu",IF(AND(OR($G297="À migrer",$G297="Migré"),COUNTIFS(TblClusters[Cluster],$O297,TblClusters[Plateforme],"ROKS")=0),"Cluster ROKS inconnu",IF(AND(OR($G297="À migrer",$G297="À décommissionner"),COUNTIFS(TblClusters[Cluster],$I297,TblClusters[Environnement],$E297)=0),"Environnement ≠ cluster IKS",IF(AND(OR($G297="À migrer",$G297="Migré"),COUNTIFS(TblClusters[Cluster],$O297,TblClusters[Environnement],$E297)=0),"Environnement ≠ cluster ROKS",IF(AND($G297="À migrer",OR($U297&gt;$V297,$V297&gt;$W297)),"Dates incohérentes (prov ≤ bascule ≤ libération)",IF(AND(OR($G297="À migrer",$G297="À décommissionner"),OR(N($AO297)&gt;SUMIFS(TblClusters[CPU initial (vCPU)],TblClusters[Cluster],$I297),N($AP297)&gt;SUMIFS(TblClusters[RAM initiale (Go)],TblClusters[Cluster],$I297))),"Forçage &gt; capacité du cluster source",IF(OR(AND($AA297&lt;&gt;"",$AA297&lt;p_debut),AND($AB297&lt;&gt;"",$AB297&gt;p_fin)),"Hors horizon (info)",IF(AND($G297="À migrer",$E297="PRD",COUNTIFS(TblApplications[ID],$C297,TblApplications[Environnement],"NPRD",TblApplications[Action],"À migrer")&gt;0,$AA297&lt;_xlfn.MINIFS(TblApplications[Mois prov (calc)],TblApplications[ID],$C297,TblApplications[Environnement],"NPRD")),"PRD avant NPRD (info)","OK")))))))))))))))))))))</f>
        <v/>
      </c>
      <c r="AH297" s="62"/>
      <c r="AI297" s="62"/>
      <c r="AJ297" s="27" t="str">
        <f>IF(OR($C297="",NOT(OR($G297="À migrer",$G297="À décommissionner")),NOT(ISNUMBER($S297)),NOT(ISNUMBER($T297)),$AB297=""),"",($S297+p_poidsram*$T297)*SUMIFS(TblCalculs[Coût par unité],TblCalculs[Cluster],$I297,TblCalculs[Mois],"&lt;"&amp;$AB297))</f>
        <v/>
      </c>
      <c r="AK297" s="27" t="str">
        <f>IF($C297="","",IF(AND($G297="À migrer",$H297="Non",$Y297&lt;&gt;"",$AA297&lt;&gt;""),($Y297+p_poidsram*$Z297)*SUMIFS(TblCalculs[Coût par unité],TblCalculs[Cluster],$O297,TblCalculs[Mois],"&gt;="&amp;$AA297),IF(AND($G297="Migré",$Y297&lt;&gt;""),($Y297+p_poidsram*$Z297)*SUMIFS(TblCalculs[Coût par unité],TblCalculs[Cluster],$O297),"")))</f>
        <v/>
      </c>
      <c r="AL297" s="27" t="str">
        <f t="shared" si="38"/>
        <v/>
      </c>
      <c r="AM297" s="26" t="str">
        <f t="shared" si="39"/>
        <v/>
      </c>
      <c r="AN297" s="26" t="str">
        <f>IF(OR($C297="",$AM297&lt;&gt;1,COUNTIFS($E297,ex_envc,$A297,ex_domc,$B297,ex_tric)=0),"",COUNTIFS($AM$6:$AM297,1,$E$6:$E297,ex_envc,$A$6:$A297,ex_domc,$B$6:$B297,ex_tric))</f>
        <v/>
      </c>
      <c r="AO297" s="63"/>
      <c r="AP297" s="63"/>
      <c r="AQ297" s="63"/>
      <c r="AR297" s="63"/>
    </row>
    <row r="298" spans="1:44" x14ac:dyDescent="0.2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26" t="str">
        <f t="shared" si="32"/>
        <v/>
      </c>
      <c r="O298" s="59"/>
      <c r="P298" s="60" t="str">
        <f>IF($C298="","",IF($AQ298&lt;&gt;"",$AQ298,SUMIFS(TblDynatrace[CPU P95 (vCPU)],TblDynatrace[ID],$C298,TblDynatrace[Environnement],$E298,TblDynatrace[Couloir],$F298)))</f>
        <v/>
      </c>
      <c r="Q298" s="60" t="str">
        <f>IF($C298="","",IF($AR298&lt;&gt;"",$AR298,SUMIFS(TblDynatrace[RAM P95 (Go)],TblDynatrace[ID],$C298,TblDynatrace[Environnement],$E298,TblDynatrace[Couloir],$F298)))</f>
        <v/>
      </c>
      <c r="R298" s="26" t="str">
        <f>IF($C298="","",IFERROR(INDEX(TblDynatrace[Métrique / période],MATCH($C298&amp;"|"&amp;$E298&amp;"|"&amp;$F298,TblDynatrace[Clé],0)),""))</f>
        <v/>
      </c>
      <c r="S298" s="60" t="str">
        <f>IF(OR($C298="",NOT(OR($G298="À migrer",$G298="À décommissionner")),$I298="",NOT(ISNUMBER($P298))),"",IF($AO298&lt;&gt;"",$AO298,IFERROR(SUMIFS(TblClusters[CPU initial (vCPU)],TblClusters[Cluster],$I298)*$P298/(SUMIFS(TblApplications[CPU Dynatrace (vCPU)],TblApplications[Cluster IKS source],$I298,TblApplications[Action],"À migrer")+SUMIFS(TblApplications[CPU Dynatrace (vCPU)],TblApplications[Cluster IKS source],$I298,TblApplications[Action],"À décommissionner")),0)))</f>
        <v/>
      </c>
      <c r="T298" s="60" t="str">
        <f>IF(OR($C298="",NOT(OR($G298="À migrer",$G298="À décommissionner")),$I298="",NOT(ISNUMBER($Q298))),"",IF($AP298&lt;&gt;"",$AP298,IFERROR(SUMIFS(TblClusters[RAM initiale (Go)],TblClusters[Cluster],$I298)*$Q298/(SUMIFS(TblApplications[RAM Dynatrace (Go)],TblApplications[Cluster IKS source],$I298,TblApplications[Action],"À migrer")+SUMIFS(TblApplications[RAM Dynatrace (Go)],TblApplications[Cluster IKS source],$I298,TblApplications[Action],"À décommissionner")),0)))</f>
        <v/>
      </c>
      <c r="U298" s="61"/>
      <c r="V298" s="61"/>
      <c r="W298" s="61"/>
      <c r="X298" s="59"/>
      <c r="Y298" s="26" t="str">
        <f t="shared" si="33"/>
        <v/>
      </c>
      <c r="Z298" s="26" t="str">
        <f t="shared" si="34"/>
        <v/>
      </c>
      <c r="AA298" s="33" t="str">
        <f t="shared" si="35"/>
        <v/>
      </c>
      <c r="AB298" s="33" t="str">
        <f t="shared" si="36"/>
        <v/>
      </c>
      <c r="AC298" s="26" t="str">
        <f t="shared" si="37"/>
        <v/>
      </c>
      <c r="AD298" s="26" t="str">
        <f>IF($C298="","",COUNTIF(TblApplications[ID],$C298))</f>
        <v/>
      </c>
      <c r="AE298" s="33" t="str">
        <f>IF($C298="","",IFERROR(1/(1/_xlfn.MINIFS(TblApplications[Mois prov (calc)],TblApplications[ID],$C298)),""))</f>
        <v/>
      </c>
      <c r="AF298" s="33" t="str">
        <f>IF($C298="","",IFERROR(1/(1/_xlfn.MAXIFS(TblApplications[Mois lib (calc)],TblApplications[ID],$C298)),""))</f>
        <v/>
      </c>
      <c r="AG298" s="26" t="str">
        <f>IF($C298="","",IF(OR(OR($A298="",$B298="",$D298="",$E298="",$F298="",$G298=""),AND($G298="À migrer",OR($H298="",$I298="",$O298="",$U298="",$V298="",$W298="")),AND($G298="Migré",OR($O298="")),AND($G298="À décommissionner",OR($I298="",$W298=""))),"Données manquantes (selon l’action)",IF(AND($G298&lt;&gt;"Migré",$G298&lt;&gt;"À migrer",$G298&lt;&gt;"À décommissionner",$G298&lt;&gt;"Décommissionné"),"Action invalide",IF(COUNTIF(TblDomaines[Domaine],$A298)=0,"Domaine inconnu (référentiel)",IF(COUNTIFS(TblTribes[Tribe],$B298,TblTribes[Domaine de la tribe],$A298)=0,"Tribe inconnue ou hors domaine",IF(AND($G298="À migrer",$H298&lt;&gt;"Oui",$H298&lt;&gt;"Non"),"Valeur Oui/Non invalide (Déjà incluse ROKS)",IF(AND($E298&lt;&gt;"PRD",$E298&lt;&gt;"NPRD"),"Environnement invalide",IF(COUNTIFS(TblApplications[ID],$C298,TblApplications[Environnement],$E298,TblApplications[Couloir],$F298)&gt;1,"Déploiement en doublon (ID + env + couloir)",IF(AND(OR(OR($G298="À migrer",$G298="Migré"),OR($G298="À migrer",$G298="À décommissionner")),N($P298)&lt;=0),"Conso Dynatrace absente (onglet Dynatrace)",IF(OR(AND($P298&lt;&gt;"",NOT(ISNUMBER($P298))),AND($Q298&lt;&gt;"",NOT(ISNUMBER($Q298)))),"Ressource non numérique",IF(MIN(N($P298),N($Q298))&lt;0,"Ressource négative",IF(OR(AND($AH298&lt;&gt;"",OR(NOT(ISNUMBER($AH298)),$AH298&lt;0,$AH298&gt;1)),AND($AI298&lt;&gt;"",OR(NOT(ISNUMBER($AI298)),$AI298&lt;0,$AI298&gt;1))),"Marge spécifique invalide (0–100 %)",IF(OR(AND($U298&lt;&gt;"",NOT(ISNUMBER($U298))),AND($V298&lt;&gt;"",NOT(ISNUMBER($V298))),AND($W298&lt;&gt;"",NOT(ISNUMBER($W298)))),"Mois invalide",IF(AND(OR($G298="À migrer",$G298="À décommissionner"),COUNTIFS(TblClusters[Cluster],$I298,TblClusters[Plateforme],"IKS")=0),"Cluster IKS inconnu",IF(AND(OR($G298="À migrer",$G298="Migré"),COUNTIFS(TblClusters[Cluster],$O298,TblClusters[Plateforme],"ROKS")=0),"Cluster ROKS inconnu",IF(AND(OR($G298="À migrer",$G298="À décommissionner"),COUNTIFS(TblClusters[Cluster],$I298,TblClusters[Environnement],$E298)=0),"Environnement ≠ cluster IKS",IF(AND(OR($G298="À migrer",$G298="Migré"),COUNTIFS(TblClusters[Cluster],$O298,TblClusters[Environnement],$E298)=0),"Environnement ≠ cluster ROKS",IF(AND($G298="À migrer",OR($U298&gt;$V298,$V298&gt;$W298)),"Dates incohérentes (prov ≤ bascule ≤ libération)",IF(AND(OR($G298="À migrer",$G298="À décommissionner"),OR(N($AO298)&gt;SUMIFS(TblClusters[CPU initial (vCPU)],TblClusters[Cluster],$I298),N($AP298)&gt;SUMIFS(TblClusters[RAM initiale (Go)],TblClusters[Cluster],$I298))),"Forçage &gt; capacité du cluster source",IF(OR(AND($AA298&lt;&gt;"",$AA298&lt;p_debut),AND($AB298&lt;&gt;"",$AB298&gt;p_fin)),"Hors horizon (info)",IF(AND($G298="À migrer",$E298="PRD",COUNTIFS(TblApplications[ID],$C298,TblApplications[Environnement],"NPRD",TblApplications[Action],"À migrer")&gt;0,$AA298&lt;_xlfn.MINIFS(TblApplications[Mois prov (calc)],TblApplications[ID],$C298,TblApplications[Environnement],"NPRD")),"PRD avant NPRD (info)","OK")))))))))))))))))))))</f>
        <v/>
      </c>
      <c r="AH298" s="62"/>
      <c r="AI298" s="62"/>
      <c r="AJ298" s="27" t="str">
        <f>IF(OR($C298="",NOT(OR($G298="À migrer",$G298="À décommissionner")),NOT(ISNUMBER($S298)),NOT(ISNUMBER($T298)),$AB298=""),"",($S298+p_poidsram*$T298)*SUMIFS(TblCalculs[Coût par unité],TblCalculs[Cluster],$I298,TblCalculs[Mois],"&lt;"&amp;$AB298))</f>
        <v/>
      </c>
      <c r="AK298" s="27" t="str">
        <f>IF($C298="","",IF(AND($G298="À migrer",$H298="Non",$Y298&lt;&gt;"",$AA298&lt;&gt;""),($Y298+p_poidsram*$Z298)*SUMIFS(TblCalculs[Coût par unité],TblCalculs[Cluster],$O298,TblCalculs[Mois],"&gt;="&amp;$AA298),IF(AND($G298="Migré",$Y298&lt;&gt;""),($Y298+p_poidsram*$Z298)*SUMIFS(TblCalculs[Coût par unité],TblCalculs[Cluster],$O298),"")))</f>
        <v/>
      </c>
      <c r="AL298" s="27" t="str">
        <f t="shared" si="38"/>
        <v/>
      </c>
      <c r="AM298" s="26" t="str">
        <f t="shared" si="39"/>
        <v/>
      </c>
      <c r="AN298" s="26" t="str">
        <f>IF(OR($C298="",$AM298&lt;&gt;1,COUNTIFS($E298,ex_envc,$A298,ex_domc,$B298,ex_tric)=0),"",COUNTIFS($AM$6:$AM298,1,$E$6:$E298,ex_envc,$A$6:$A298,ex_domc,$B$6:$B298,ex_tric))</f>
        <v/>
      </c>
      <c r="AO298" s="63"/>
      <c r="AP298" s="63"/>
      <c r="AQ298" s="63"/>
      <c r="AR298" s="63"/>
    </row>
    <row r="299" spans="1:44" x14ac:dyDescent="0.2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26" t="str">
        <f t="shared" si="32"/>
        <v/>
      </c>
      <c r="O299" s="59"/>
      <c r="P299" s="60" t="str">
        <f>IF($C299="","",IF($AQ299&lt;&gt;"",$AQ299,SUMIFS(TblDynatrace[CPU P95 (vCPU)],TblDynatrace[ID],$C299,TblDynatrace[Environnement],$E299,TblDynatrace[Couloir],$F299)))</f>
        <v/>
      </c>
      <c r="Q299" s="60" t="str">
        <f>IF($C299="","",IF($AR299&lt;&gt;"",$AR299,SUMIFS(TblDynatrace[RAM P95 (Go)],TblDynatrace[ID],$C299,TblDynatrace[Environnement],$E299,TblDynatrace[Couloir],$F299)))</f>
        <v/>
      </c>
      <c r="R299" s="26" t="str">
        <f>IF($C299="","",IFERROR(INDEX(TblDynatrace[Métrique / période],MATCH($C299&amp;"|"&amp;$E299&amp;"|"&amp;$F299,TblDynatrace[Clé],0)),""))</f>
        <v/>
      </c>
      <c r="S299" s="60" t="str">
        <f>IF(OR($C299="",NOT(OR($G299="À migrer",$G299="À décommissionner")),$I299="",NOT(ISNUMBER($P299))),"",IF($AO299&lt;&gt;"",$AO299,IFERROR(SUMIFS(TblClusters[CPU initial (vCPU)],TblClusters[Cluster],$I299)*$P299/(SUMIFS(TblApplications[CPU Dynatrace (vCPU)],TblApplications[Cluster IKS source],$I299,TblApplications[Action],"À migrer")+SUMIFS(TblApplications[CPU Dynatrace (vCPU)],TblApplications[Cluster IKS source],$I299,TblApplications[Action],"À décommissionner")),0)))</f>
        <v/>
      </c>
      <c r="T299" s="60" t="str">
        <f>IF(OR($C299="",NOT(OR($G299="À migrer",$G299="À décommissionner")),$I299="",NOT(ISNUMBER($Q299))),"",IF($AP299&lt;&gt;"",$AP299,IFERROR(SUMIFS(TblClusters[RAM initiale (Go)],TblClusters[Cluster],$I299)*$Q299/(SUMIFS(TblApplications[RAM Dynatrace (Go)],TblApplications[Cluster IKS source],$I299,TblApplications[Action],"À migrer")+SUMIFS(TblApplications[RAM Dynatrace (Go)],TblApplications[Cluster IKS source],$I299,TblApplications[Action],"À décommissionner")),0)))</f>
        <v/>
      </c>
      <c r="U299" s="61"/>
      <c r="V299" s="61"/>
      <c r="W299" s="61"/>
      <c r="X299" s="59"/>
      <c r="Y299" s="26" t="str">
        <f t="shared" si="33"/>
        <v/>
      </c>
      <c r="Z299" s="26" t="str">
        <f t="shared" si="34"/>
        <v/>
      </c>
      <c r="AA299" s="33" t="str">
        <f t="shared" si="35"/>
        <v/>
      </c>
      <c r="AB299" s="33" t="str">
        <f t="shared" si="36"/>
        <v/>
      </c>
      <c r="AC299" s="26" t="str">
        <f t="shared" si="37"/>
        <v/>
      </c>
      <c r="AD299" s="26" t="str">
        <f>IF($C299="","",COUNTIF(TblApplications[ID],$C299))</f>
        <v/>
      </c>
      <c r="AE299" s="33" t="str">
        <f>IF($C299="","",IFERROR(1/(1/_xlfn.MINIFS(TblApplications[Mois prov (calc)],TblApplications[ID],$C299)),""))</f>
        <v/>
      </c>
      <c r="AF299" s="33" t="str">
        <f>IF($C299="","",IFERROR(1/(1/_xlfn.MAXIFS(TblApplications[Mois lib (calc)],TblApplications[ID],$C299)),""))</f>
        <v/>
      </c>
      <c r="AG299" s="26" t="str">
        <f>IF($C299="","",IF(OR(OR($A299="",$B299="",$D299="",$E299="",$F299="",$G299=""),AND($G299="À migrer",OR($H299="",$I299="",$O299="",$U299="",$V299="",$W299="")),AND($G299="Migré",OR($O299="")),AND($G299="À décommissionner",OR($I299="",$W299=""))),"Données manquantes (selon l’action)",IF(AND($G299&lt;&gt;"Migré",$G299&lt;&gt;"À migrer",$G299&lt;&gt;"À décommissionner",$G299&lt;&gt;"Décommissionné"),"Action invalide",IF(COUNTIF(TblDomaines[Domaine],$A299)=0,"Domaine inconnu (référentiel)",IF(COUNTIFS(TblTribes[Tribe],$B299,TblTribes[Domaine de la tribe],$A299)=0,"Tribe inconnue ou hors domaine",IF(AND($G299="À migrer",$H299&lt;&gt;"Oui",$H299&lt;&gt;"Non"),"Valeur Oui/Non invalide (Déjà incluse ROKS)",IF(AND($E299&lt;&gt;"PRD",$E299&lt;&gt;"NPRD"),"Environnement invalide",IF(COUNTIFS(TblApplications[ID],$C299,TblApplications[Environnement],$E299,TblApplications[Couloir],$F299)&gt;1,"Déploiement en doublon (ID + env + couloir)",IF(AND(OR(OR($G299="À migrer",$G299="Migré"),OR($G299="À migrer",$G299="À décommissionner")),N($P299)&lt;=0),"Conso Dynatrace absente (onglet Dynatrace)",IF(OR(AND($P299&lt;&gt;"",NOT(ISNUMBER($P299))),AND($Q299&lt;&gt;"",NOT(ISNUMBER($Q299)))),"Ressource non numérique",IF(MIN(N($P299),N($Q299))&lt;0,"Ressource négative",IF(OR(AND($AH299&lt;&gt;"",OR(NOT(ISNUMBER($AH299)),$AH299&lt;0,$AH299&gt;1)),AND($AI299&lt;&gt;"",OR(NOT(ISNUMBER($AI299)),$AI299&lt;0,$AI299&gt;1))),"Marge spécifique invalide (0–100 %)",IF(OR(AND($U299&lt;&gt;"",NOT(ISNUMBER($U299))),AND($V299&lt;&gt;"",NOT(ISNUMBER($V299))),AND($W299&lt;&gt;"",NOT(ISNUMBER($W299)))),"Mois invalide",IF(AND(OR($G299="À migrer",$G299="À décommissionner"),COUNTIFS(TblClusters[Cluster],$I299,TblClusters[Plateforme],"IKS")=0),"Cluster IKS inconnu",IF(AND(OR($G299="À migrer",$G299="Migré"),COUNTIFS(TblClusters[Cluster],$O299,TblClusters[Plateforme],"ROKS")=0),"Cluster ROKS inconnu",IF(AND(OR($G299="À migrer",$G299="À décommissionner"),COUNTIFS(TblClusters[Cluster],$I299,TblClusters[Environnement],$E299)=0),"Environnement ≠ cluster IKS",IF(AND(OR($G299="À migrer",$G299="Migré"),COUNTIFS(TblClusters[Cluster],$O299,TblClusters[Environnement],$E299)=0),"Environnement ≠ cluster ROKS",IF(AND($G299="À migrer",OR($U299&gt;$V299,$V299&gt;$W299)),"Dates incohérentes (prov ≤ bascule ≤ libération)",IF(AND(OR($G299="À migrer",$G299="À décommissionner"),OR(N($AO299)&gt;SUMIFS(TblClusters[CPU initial (vCPU)],TblClusters[Cluster],$I299),N($AP299)&gt;SUMIFS(TblClusters[RAM initiale (Go)],TblClusters[Cluster],$I299))),"Forçage &gt; capacité du cluster source",IF(OR(AND($AA299&lt;&gt;"",$AA299&lt;p_debut),AND($AB299&lt;&gt;"",$AB299&gt;p_fin)),"Hors horizon (info)",IF(AND($G299="À migrer",$E299="PRD",COUNTIFS(TblApplications[ID],$C299,TblApplications[Environnement],"NPRD",TblApplications[Action],"À migrer")&gt;0,$AA299&lt;_xlfn.MINIFS(TblApplications[Mois prov (calc)],TblApplications[ID],$C299,TblApplications[Environnement],"NPRD")),"PRD avant NPRD (info)","OK")))))))))))))))))))))</f>
        <v/>
      </c>
      <c r="AH299" s="62"/>
      <c r="AI299" s="62"/>
      <c r="AJ299" s="27" t="str">
        <f>IF(OR($C299="",NOT(OR($G299="À migrer",$G299="À décommissionner")),NOT(ISNUMBER($S299)),NOT(ISNUMBER($T299)),$AB299=""),"",($S299+p_poidsram*$T299)*SUMIFS(TblCalculs[Coût par unité],TblCalculs[Cluster],$I299,TblCalculs[Mois],"&lt;"&amp;$AB299))</f>
        <v/>
      </c>
      <c r="AK299" s="27" t="str">
        <f>IF($C299="","",IF(AND($G299="À migrer",$H299="Non",$Y299&lt;&gt;"",$AA299&lt;&gt;""),($Y299+p_poidsram*$Z299)*SUMIFS(TblCalculs[Coût par unité],TblCalculs[Cluster],$O299,TblCalculs[Mois],"&gt;="&amp;$AA299),IF(AND($G299="Migré",$Y299&lt;&gt;""),($Y299+p_poidsram*$Z299)*SUMIFS(TblCalculs[Coût par unité],TblCalculs[Cluster],$O299),"")))</f>
        <v/>
      </c>
      <c r="AL299" s="27" t="str">
        <f t="shared" si="38"/>
        <v/>
      </c>
      <c r="AM299" s="26" t="str">
        <f t="shared" si="39"/>
        <v/>
      </c>
      <c r="AN299" s="26" t="str">
        <f>IF(OR($C299="",$AM299&lt;&gt;1,COUNTIFS($E299,ex_envc,$A299,ex_domc,$B299,ex_tric)=0),"",COUNTIFS($AM$6:$AM299,1,$E$6:$E299,ex_envc,$A$6:$A299,ex_domc,$B$6:$B299,ex_tric))</f>
        <v/>
      </c>
      <c r="AO299" s="63"/>
      <c r="AP299" s="63"/>
      <c r="AQ299" s="63"/>
      <c r="AR299" s="63"/>
    </row>
    <row r="300" spans="1:44" x14ac:dyDescent="0.2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26" t="str">
        <f t="shared" si="32"/>
        <v/>
      </c>
      <c r="O300" s="59"/>
      <c r="P300" s="60" t="str">
        <f>IF($C300="","",IF($AQ300&lt;&gt;"",$AQ300,SUMIFS(TblDynatrace[CPU P95 (vCPU)],TblDynatrace[ID],$C300,TblDynatrace[Environnement],$E300,TblDynatrace[Couloir],$F300)))</f>
        <v/>
      </c>
      <c r="Q300" s="60" t="str">
        <f>IF($C300="","",IF($AR300&lt;&gt;"",$AR300,SUMIFS(TblDynatrace[RAM P95 (Go)],TblDynatrace[ID],$C300,TblDynatrace[Environnement],$E300,TblDynatrace[Couloir],$F300)))</f>
        <v/>
      </c>
      <c r="R300" s="26" t="str">
        <f>IF($C300="","",IFERROR(INDEX(TblDynatrace[Métrique / période],MATCH($C300&amp;"|"&amp;$E300&amp;"|"&amp;$F300,TblDynatrace[Clé],0)),""))</f>
        <v/>
      </c>
      <c r="S300" s="60" t="str">
        <f>IF(OR($C300="",NOT(OR($G300="À migrer",$G300="À décommissionner")),$I300="",NOT(ISNUMBER($P300))),"",IF($AO300&lt;&gt;"",$AO300,IFERROR(SUMIFS(TblClusters[CPU initial (vCPU)],TblClusters[Cluster],$I300)*$P300/(SUMIFS(TblApplications[CPU Dynatrace (vCPU)],TblApplications[Cluster IKS source],$I300,TblApplications[Action],"À migrer")+SUMIFS(TblApplications[CPU Dynatrace (vCPU)],TblApplications[Cluster IKS source],$I300,TblApplications[Action],"À décommissionner")),0)))</f>
        <v/>
      </c>
      <c r="T300" s="60" t="str">
        <f>IF(OR($C300="",NOT(OR($G300="À migrer",$G300="À décommissionner")),$I300="",NOT(ISNUMBER($Q300))),"",IF($AP300&lt;&gt;"",$AP300,IFERROR(SUMIFS(TblClusters[RAM initiale (Go)],TblClusters[Cluster],$I300)*$Q300/(SUMIFS(TblApplications[RAM Dynatrace (Go)],TblApplications[Cluster IKS source],$I300,TblApplications[Action],"À migrer")+SUMIFS(TblApplications[RAM Dynatrace (Go)],TblApplications[Cluster IKS source],$I300,TblApplications[Action],"À décommissionner")),0)))</f>
        <v/>
      </c>
      <c r="U300" s="61"/>
      <c r="V300" s="61"/>
      <c r="W300" s="61"/>
      <c r="X300" s="59"/>
      <c r="Y300" s="26" t="str">
        <f t="shared" si="33"/>
        <v/>
      </c>
      <c r="Z300" s="26" t="str">
        <f t="shared" si="34"/>
        <v/>
      </c>
      <c r="AA300" s="33" t="str">
        <f t="shared" si="35"/>
        <v/>
      </c>
      <c r="AB300" s="33" t="str">
        <f t="shared" si="36"/>
        <v/>
      </c>
      <c r="AC300" s="26" t="str">
        <f t="shared" si="37"/>
        <v/>
      </c>
      <c r="AD300" s="26" t="str">
        <f>IF($C300="","",COUNTIF(TblApplications[ID],$C300))</f>
        <v/>
      </c>
      <c r="AE300" s="33" t="str">
        <f>IF($C300="","",IFERROR(1/(1/_xlfn.MINIFS(TblApplications[Mois prov (calc)],TblApplications[ID],$C300)),""))</f>
        <v/>
      </c>
      <c r="AF300" s="33" t="str">
        <f>IF($C300="","",IFERROR(1/(1/_xlfn.MAXIFS(TblApplications[Mois lib (calc)],TblApplications[ID],$C300)),""))</f>
        <v/>
      </c>
      <c r="AG300" s="26" t="str">
        <f>IF($C300="","",IF(OR(OR($A300="",$B300="",$D300="",$E300="",$F300="",$G300=""),AND($G300="À migrer",OR($H300="",$I300="",$O300="",$U300="",$V300="",$W300="")),AND($G300="Migré",OR($O300="")),AND($G300="À décommissionner",OR($I300="",$W300=""))),"Données manquantes (selon l’action)",IF(AND($G300&lt;&gt;"Migré",$G300&lt;&gt;"À migrer",$G300&lt;&gt;"À décommissionner",$G300&lt;&gt;"Décommissionné"),"Action invalide",IF(COUNTIF(TblDomaines[Domaine],$A300)=0,"Domaine inconnu (référentiel)",IF(COUNTIFS(TblTribes[Tribe],$B300,TblTribes[Domaine de la tribe],$A300)=0,"Tribe inconnue ou hors domaine",IF(AND($G300="À migrer",$H300&lt;&gt;"Oui",$H300&lt;&gt;"Non"),"Valeur Oui/Non invalide (Déjà incluse ROKS)",IF(AND($E300&lt;&gt;"PRD",$E300&lt;&gt;"NPRD"),"Environnement invalide",IF(COUNTIFS(TblApplications[ID],$C300,TblApplications[Environnement],$E300,TblApplications[Couloir],$F300)&gt;1,"Déploiement en doublon (ID + env + couloir)",IF(AND(OR(OR($G300="À migrer",$G300="Migré"),OR($G300="À migrer",$G300="À décommissionner")),N($P300)&lt;=0),"Conso Dynatrace absente (onglet Dynatrace)",IF(OR(AND($P300&lt;&gt;"",NOT(ISNUMBER($P300))),AND($Q300&lt;&gt;"",NOT(ISNUMBER($Q300)))),"Ressource non numérique",IF(MIN(N($P300),N($Q300))&lt;0,"Ressource négative",IF(OR(AND($AH300&lt;&gt;"",OR(NOT(ISNUMBER($AH300)),$AH300&lt;0,$AH300&gt;1)),AND($AI300&lt;&gt;"",OR(NOT(ISNUMBER($AI300)),$AI300&lt;0,$AI300&gt;1))),"Marge spécifique invalide (0–100 %)",IF(OR(AND($U300&lt;&gt;"",NOT(ISNUMBER($U300))),AND($V300&lt;&gt;"",NOT(ISNUMBER($V300))),AND($W300&lt;&gt;"",NOT(ISNUMBER($W300)))),"Mois invalide",IF(AND(OR($G300="À migrer",$G300="À décommissionner"),COUNTIFS(TblClusters[Cluster],$I300,TblClusters[Plateforme],"IKS")=0),"Cluster IKS inconnu",IF(AND(OR($G300="À migrer",$G300="Migré"),COUNTIFS(TblClusters[Cluster],$O300,TblClusters[Plateforme],"ROKS")=0),"Cluster ROKS inconnu",IF(AND(OR($G300="À migrer",$G300="À décommissionner"),COUNTIFS(TblClusters[Cluster],$I300,TblClusters[Environnement],$E300)=0),"Environnement ≠ cluster IKS",IF(AND(OR($G300="À migrer",$G300="Migré"),COUNTIFS(TblClusters[Cluster],$O300,TblClusters[Environnement],$E300)=0),"Environnement ≠ cluster ROKS",IF(AND($G300="À migrer",OR($U300&gt;$V300,$V300&gt;$W300)),"Dates incohérentes (prov ≤ bascule ≤ libération)",IF(AND(OR($G300="À migrer",$G300="À décommissionner"),OR(N($AO300)&gt;SUMIFS(TblClusters[CPU initial (vCPU)],TblClusters[Cluster],$I300),N($AP300)&gt;SUMIFS(TblClusters[RAM initiale (Go)],TblClusters[Cluster],$I300))),"Forçage &gt; capacité du cluster source",IF(OR(AND($AA300&lt;&gt;"",$AA300&lt;p_debut),AND($AB300&lt;&gt;"",$AB300&gt;p_fin)),"Hors horizon (info)",IF(AND($G300="À migrer",$E300="PRD",COUNTIFS(TblApplications[ID],$C300,TblApplications[Environnement],"NPRD",TblApplications[Action],"À migrer")&gt;0,$AA300&lt;_xlfn.MINIFS(TblApplications[Mois prov (calc)],TblApplications[ID],$C300,TblApplications[Environnement],"NPRD")),"PRD avant NPRD (info)","OK")))))))))))))))))))))</f>
        <v/>
      </c>
      <c r="AH300" s="62"/>
      <c r="AI300" s="62"/>
      <c r="AJ300" s="27" t="str">
        <f>IF(OR($C300="",NOT(OR($G300="À migrer",$G300="À décommissionner")),NOT(ISNUMBER($S300)),NOT(ISNUMBER($T300)),$AB300=""),"",($S300+p_poidsram*$T300)*SUMIFS(TblCalculs[Coût par unité],TblCalculs[Cluster],$I300,TblCalculs[Mois],"&lt;"&amp;$AB300))</f>
        <v/>
      </c>
      <c r="AK300" s="27" t="str">
        <f>IF($C300="","",IF(AND($G300="À migrer",$H300="Non",$Y300&lt;&gt;"",$AA300&lt;&gt;""),($Y300+p_poidsram*$Z300)*SUMIFS(TblCalculs[Coût par unité],TblCalculs[Cluster],$O300,TblCalculs[Mois],"&gt;="&amp;$AA300),IF(AND($G300="Migré",$Y300&lt;&gt;""),($Y300+p_poidsram*$Z300)*SUMIFS(TblCalculs[Coût par unité],TblCalculs[Cluster],$O300),"")))</f>
        <v/>
      </c>
      <c r="AL300" s="27" t="str">
        <f t="shared" si="38"/>
        <v/>
      </c>
      <c r="AM300" s="26" t="str">
        <f t="shared" si="39"/>
        <v/>
      </c>
      <c r="AN300" s="26" t="str">
        <f>IF(OR($C300="",$AM300&lt;&gt;1,COUNTIFS($E300,ex_envc,$A300,ex_domc,$B300,ex_tric)=0),"",COUNTIFS($AM$6:$AM300,1,$E$6:$E300,ex_envc,$A$6:$A300,ex_domc,$B$6:$B300,ex_tric))</f>
        <v/>
      </c>
      <c r="AO300" s="63"/>
      <c r="AP300" s="63"/>
      <c r="AQ300" s="63"/>
      <c r="AR300" s="63"/>
    </row>
    <row r="301" spans="1:44" x14ac:dyDescent="0.2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26" t="str">
        <f t="shared" si="32"/>
        <v/>
      </c>
      <c r="O301" s="59"/>
      <c r="P301" s="60" t="str">
        <f>IF($C301="","",IF($AQ301&lt;&gt;"",$AQ301,SUMIFS(TblDynatrace[CPU P95 (vCPU)],TblDynatrace[ID],$C301,TblDynatrace[Environnement],$E301,TblDynatrace[Couloir],$F301)))</f>
        <v/>
      </c>
      <c r="Q301" s="60" t="str">
        <f>IF($C301="","",IF($AR301&lt;&gt;"",$AR301,SUMIFS(TblDynatrace[RAM P95 (Go)],TblDynatrace[ID],$C301,TblDynatrace[Environnement],$E301,TblDynatrace[Couloir],$F301)))</f>
        <v/>
      </c>
      <c r="R301" s="26" t="str">
        <f>IF($C301="","",IFERROR(INDEX(TblDynatrace[Métrique / période],MATCH($C301&amp;"|"&amp;$E301&amp;"|"&amp;$F301,TblDynatrace[Clé],0)),""))</f>
        <v/>
      </c>
      <c r="S301" s="60" t="str">
        <f>IF(OR($C301="",NOT(OR($G301="À migrer",$G301="À décommissionner")),$I301="",NOT(ISNUMBER($P301))),"",IF($AO301&lt;&gt;"",$AO301,IFERROR(SUMIFS(TblClusters[CPU initial (vCPU)],TblClusters[Cluster],$I301)*$P301/(SUMIFS(TblApplications[CPU Dynatrace (vCPU)],TblApplications[Cluster IKS source],$I301,TblApplications[Action],"À migrer")+SUMIFS(TblApplications[CPU Dynatrace (vCPU)],TblApplications[Cluster IKS source],$I301,TblApplications[Action],"À décommissionner")),0)))</f>
        <v/>
      </c>
      <c r="T301" s="60" t="str">
        <f>IF(OR($C301="",NOT(OR($G301="À migrer",$G301="À décommissionner")),$I301="",NOT(ISNUMBER($Q301))),"",IF($AP301&lt;&gt;"",$AP301,IFERROR(SUMIFS(TblClusters[RAM initiale (Go)],TblClusters[Cluster],$I301)*$Q301/(SUMIFS(TblApplications[RAM Dynatrace (Go)],TblApplications[Cluster IKS source],$I301,TblApplications[Action],"À migrer")+SUMIFS(TblApplications[RAM Dynatrace (Go)],TblApplications[Cluster IKS source],$I301,TblApplications[Action],"À décommissionner")),0)))</f>
        <v/>
      </c>
      <c r="U301" s="61"/>
      <c r="V301" s="61"/>
      <c r="W301" s="61"/>
      <c r="X301" s="59"/>
      <c r="Y301" s="26" t="str">
        <f t="shared" si="33"/>
        <v/>
      </c>
      <c r="Z301" s="26" t="str">
        <f t="shared" si="34"/>
        <v/>
      </c>
      <c r="AA301" s="33" t="str">
        <f t="shared" si="35"/>
        <v/>
      </c>
      <c r="AB301" s="33" t="str">
        <f t="shared" si="36"/>
        <v/>
      </c>
      <c r="AC301" s="26" t="str">
        <f t="shared" si="37"/>
        <v/>
      </c>
      <c r="AD301" s="26" t="str">
        <f>IF($C301="","",COUNTIF(TblApplications[ID],$C301))</f>
        <v/>
      </c>
      <c r="AE301" s="33" t="str">
        <f>IF($C301="","",IFERROR(1/(1/_xlfn.MINIFS(TblApplications[Mois prov (calc)],TblApplications[ID],$C301)),""))</f>
        <v/>
      </c>
      <c r="AF301" s="33" t="str">
        <f>IF($C301="","",IFERROR(1/(1/_xlfn.MAXIFS(TblApplications[Mois lib (calc)],TblApplications[ID],$C301)),""))</f>
        <v/>
      </c>
      <c r="AG301" s="26" t="str">
        <f>IF($C301="","",IF(OR(OR($A301="",$B301="",$D301="",$E301="",$F301="",$G301=""),AND($G301="À migrer",OR($H301="",$I301="",$O301="",$U301="",$V301="",$W301="")),AND($G301="Migré",OR($O301="")),AND($G301="À décommissionner",OR($I301="",$W301=""))),"Données manquantes (selon l’action)",IF(AND($G301&lt;&gt;"Migré",$G301&lt;&gt;"À migrer",$G301&lt;&gt;"À décommissionner",$G301&lt;&gt;"Décommissionné"),"Action invalide",IF(COUNTIF(TblDomaines[Domaine],$A301)=0,"Domaine inconnu (référentiel)",IF(COUNTIFS(TblTribes[Tribe],$B301,TblTribes[Domaine de la tribe],$A301)=0,"Tribe inconnue ou hors domaine",IF(AND($G301="À migrer",$H301&lt;&gt;"Oui",$H301&lt;&gt;"Non"),"Valeur Oui/Non invalide (Déjà incluse ROKS)",IF(AND($E301&lt;&gt;"PRD",$E301&lt;&gt;"NPRD"),"Environnement invalide",IF(COUNTIFS(TblApplications[ID],$C301,TblApplications[Environnement],$E301,TblApplications[Couloir],$F301)&gt;1,"Déploiement en doublon (ID + env + couloir)",IF(AND(OR(OR($G301="À migrer",$G301="Migré"),OR($G301="À migrer",$G301="À décommissionner")),N($P301)&lt;=0),"Conso Dynatrace absente (onglet Dynatrace)",IF(OR(AND($P301&lt;&gt;"",NOT(ISNUMBER($P301))),AND($Q301&lt;&gt;"",NOT(ISNUMBER($Q301)))),"Ressource non numérique",IF(MIN(N($P301),N($Q301))&lt;0,"Ressource négative",IF(OR(AND($AH301&lt;&gt;"",OR(NOT(ISNUMBER($AH301)),$AH301&lt;0,$AH301&gt;1)),AND($AI301&lt;&gt;"",OR(NOT(ISNUMBER($AI301)),$AI301&lt;0,$AI301&gt;1))),"Marge spécifique invalide (0–100 %)",IF(OR(AND($U301&lt;&gt;"",NOT(ISNUMBER($U301))),AND($V301&lt;&gt;"",NOT(ISNUMBER($V301))),AND($W301&lt;&gt;"",NOT(ISNUMBER($W301)))),"Mois invalide",IF(AND(OR($G301="À migrer",$G301="À décommissionner"),COUNTIFS(TblClusters[Cluster],$I301,TblClusters[Plateforme],"IKS")=0),"Cluster IKS inconnu",IF(AND(OR($G301="À migrer",$G301="Migré"),COUNTIFS(TblClusters[Cluster],$O301,TblClusters[Plateforme],"ROKS")=0),"Cluster ROKS inconnu",IF(AND(OR($G301="À migrer",$G301="À décommissionner"),COUNTIFS(TblClusters[Cluster],$I301,TblClusters[Environnement],$E301)=0),"Environnement ≠ cluster IKS",IF(AND(OR($G301="À migrer",$G301="Migré"),COUNTIFS(TblClusters[Cluster],$O301,TblClusters[Environnement],$E301)=0),"Environnement ≠ cluster ROKS",IF(AND($G301="À migrer",OR($U301&gt;$V301,$V301&gt;$W301)),"Dates incohérentes (prov ≤ bascule ≤ libération)",IF(AND(OR($G301="À migrer",$G301="À décommissionner"),OR(N($AO301)&gt;SUMIFS(TblClusters[CPU initial (vCPU)],TblClusters[Cluster],$I301),N($AP301)&gt;SUMIFS(TblClusters[RAM initiale (Go)],TblClusters[Cluster],$I301))),"Forçage &gt; capacité du cluster source",IF(OR(AND($AA301&lt;&gt;"",$AA301&lt;p_debut),AND($AB301&lt;&gt;"",$AB301&gt;p_fin)),"Hors horizon (info)",IF(AND($G301="À migrer",$E301="PRD",COUNTIFS(TblApplications[ID],$C301,TblApplications[Environnement],"NPRD",TblApplications[Action],"À migrer")&gt;0,$AA301&lt;_xlfn.MINIFS(TblApplications[Mois prov (calc)],TblApplications[ID],$C301,TblApplications[Environnement],"NPRD")),"PRD avant NPRD (info)","OK")))))))))))))))))))))</f>
        <v/>
      </c>
      <c r="AH301" s="62"/>
      <c r="AI301" s="62"/>
      <c r="AJ301" s="27" t="str">
        <f>IF(OR($C301="",NOT(OR($G301="À migrer",$G301="À décommissionner")),NOT(ISNUMBER($S301)),NOT(ISNUMBER($T301)),$AB301=""),"",($S301+p_poidsram*$T301)*SUMIFS(TblCalculs[Coût par unité],TblCalculs[Cluster],$I301,TblCalculs[Mois],"&lt;"&amp;$AB301))</f>
        <v/>
      </c>
      <c r="AK301" s="27" t="str">
        <f>IF($C301="","",IF(AND($G301="À migrer",$H301="Non",$Y301&lt;&gt;"",$AA301&lt;&gt;""),($Y301+p_poidsram*$Z301)*SUMIFS(TblCalculs[Coût par unité],TblCalculs[Cluster],$O301,TblCalculs[Mois],"&gt;="&amp;$AA301),IF(AND($G301="Migré",$Y301&lt;&gt;""),($Y301+p_poidsram*$Z301)*SUMIFS(TblCalculs[Coût par unité],TblCalculs[Cluster],$O301),"")))</f>
        <v/>
      </c>
      <c r="AL301" s="27" t="str">
        <f t="shared" si="38"/>
        <v/>
      </c>
      <c r="AM301" s="26" t="str">
        <f t="shared" si="39"/>
        <v/>
      </c>
      <c r="AN301" s="26" t="str">
        <f>IF(OR($C301="",$AM301&lt;&gt;1,COUNTIFS($E301,ex_envc,$A301,ex_domc,$B301,ex_tric)=0),"",COUNTIFS($AM$6:$AM301,1,$E$6:$E301,ex_envc,$A$6:$A301,ex_domc,$B$6:$B301,ex_tric))</f>
        <v/>
      </c>
      <c r="AO301" s="63"/>
      <c r="AP301" s="63"/>
      <c r="AQ301" s="63"/>
      <c r="AR301" s="63"/>
    </row>
    <row r="302" spans="1:44" x14ac:dyDescent="0.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26" t="str">
        <f t="shared" si="32"/>
        <v/>
      </c>
      <c r="O302" s="59"/>
      <c r="P302" s="60" t="str">
        <f>IF($C302="","",IF($AQ302&lt;&gt;"",$AQ302,SUMIFS(TblDynatrace[CPU P95 (vCPU)],TblDynatrace[ID],$C302,TblDynatrace[Environnement],$E302,TblDynatrace[Couloir],$F302)))</f>
        <v/>
      </c>
      <c r="Q302" s="60" t="str">
        <f>IF($C302="","",IF($AR302&lt;&gt;"",$AR302,SUMIFS(TblDynatrace[RAM P95 (Go)],TblDynatrace[ID],$C302,TblDynatrace[Environnement],$E302,TblDynatrace[Couloir],$F302)))</f>
        <v/>
      </c>
      <c r="R302" s="26" t="str">
        <f>IF($C302="","",IFERROR(INDEX(TblDynatrace[Métrique / période],MATCH($C302&amp;"|"&amp;$E302&amp;"|"&amp;$F302,TblDynatrace[Clé],0)),""))</f>
        <v/>
      </c>
      <c r="S302" s="60" t="str">
        <f>IF(OR($C302="",NOT(OR($G302="À migrer",$G302="À décommissionner")),$I302="",NOT(ISNUMBER($P302))),"",IF($AO302&lt;&gt;"",$AO302,IFERROR(SUMIFS(TblClusters[CPU initial (vCPU)],TblClusters[Cluster],$I302)*$P302/(SUMIFS(TblApplications[CPU Dynatrace (vCPU)],TblApplications[Cluster IKS source],$I302,TblApplications[Action],"À migrer")+SUMIFS(TblApplications[CPU Dynatrace (vCPU)],TblApplications[Cluster IKS source],$I302,TblApplications[Action],"À décommissionner")),0)))</f>
        <v/>
      </c>
      <c r="T302" s="60" t="str">
        <f>IF(OR($C302="",NOT(OR($G302="À migrer",$G302="À décommissionner")),$I302="",NOT(ISNUMBER($Q302))),"",IF($AP302&lt;&gt;"",$AP302,IFERROR(SUMIFS(TblClusters[RAM initiale (Go)],TblClusters[Cluster],$I302)*$Q302/(SUMIFS(TblApplications[RAM Dynatrace (Go)],TblApplications[Cluster IKS source],$I302,TblApplications[Action],"À migrer")+SUMIFS(TblApplications[RAM Dynatrace (Go)],TblApplications[Cluster IKS source],$I302,TblApplications[Action],"À décommissionner")),0)))</f>
        <v/>
      </c>
      <c r="U302" s="61"/>
      <c r="V302" s="61"/>
      <c r="W302" s="61"/>
      <c r="X302" s="59"/>
      <c r="Y302" s="26" t="str">
        <f t="shared" si="33"/>
        <v/>
      </c>
      <c r="Z302" s="26" t="str">
        <f t="shared" si="34"/>
        <v/>
      </c>
      <c r="AA302" s="33" t="str">
        <f t="shared" si="35"/>
        <v/>
      </c>
      <c r="AB302" s="33" t="str">
        <f t="shared" si="36"/>
        <v/>
      </c>
      <c r="AC302" s="26" t="str">
        <f t="shared" si="37"/>
        <v/>
      </c>
      <c r="AD302" s="26" t="str">
        <f>IF($C302="","",COUNTIF(TblApplications[ID],$C302))</f>
        <v/>
      </c>
      <c r="AE302" s="33" t="str">
        <f>IF($C302="","",IFERROR(1/(1/_xlfn.MINIFS(TblApplications[Mois prov (calc)],TblApplications[ID],$C302)),""))</f>
        <v/>
      </c>
      <c r="AF302" s="33" t="str">
        <f>IF($C302="","",IFERROR(1/(1/_xlfn.MAXIFS(TblApplications[Mois lib (calc)],TblApplications[ID],$C302)),""))</f>
        <v/>
      </c>
      <c r="AG302" s="26" t="str">
        <f>IF($C302="","",IF(OR(OR($A302="",$B302="",$D302="",$E302="",$F302="",$G302=""),AND($G302="À migrer",OR($H302="",$I302="",$O302="",$U302="",$V302="",$W302="")),AND($G302="Migré",OR($O302="")),AND($G302="À décommissionner",OR($I302="",$W302=""))),"Données manquantes (selon l’action)",IF(AND($G302&lt;&gt;"Migré",$G302&lt;&gt;"À migrer",$G302&lt;&gt;"À décommissionner",$G302&lt;&gt;"Décommissionné"),"Action invalide",IF(COUNTIF(TblDomaines[Domaine],$A302)=0,"Domaine inconnu (référentiel)",IF(COUNTIFS(TblTribes[Tribe],$B302,TblTribes[Domaine de la tribe],$A302)=0,"Tribe inconnue ou hors domaine",IF(AND($G302="À migrer",$H302&lt;&gt;"Oui",$H302&lt;&gt;"Non"),"Valeur Oui/Non invalide (Déjà incluse ROKS)",IF(AND($E302&lt;&gt;"PRD",$E302&lt;&gt;"NPRD"),"Environnement invalide",IF(COUNTIFS(TblApplications[ID],$C302,TblApplications[Environnement],$E302,TblApplications[Couloir],$F302)&gt;1,"Déploiement en doublon (ID + env + couloir)",IF(AND(OR(OR($G302="À migrer",$G302="Migré"),OR($G302="À migrer",$G302="À décommissionner")),N($P302)&lt;=0),"Conso Dynatrace absente (onglet Dynatrace)",IF(OR(AND($P302&lt;&gt;"",NOT(ISNUMBER($P302))),AND($Q302&lt;&gt;"",NOT(ISNUMBER($Q302)))),"Ressource non numérique",IF(MIN(N($P302),N($Q302))&lt;0,"Ressource négative",IF(OR(AND($AH302&lt;&gt;"",OR(NOT(ISNUMBER($AH302)),$AH302&lt;0,$AH302&gt;1)),AND($AI302&lt;&gt;"",OR(NOT(ISNUMBER($AI302)),$AI302&lt;0,$AI302&gt;1))),"Marge spécifique invalide (0–100 %)",IF(OR(AND($U302&lt;&gt;"",NOT(ISNUMBER($U302))),AND($V302&lt;&gt;"",NOT(ISNUMBER($V302))),AND($W302&lt;&gt;"",NOT(ISNUMBER($W302)))),"Mois invalide",IF(AND(OR($G302="À migrer",$G302="À décommissionner"),COUNTIFS(TblClusters[Cluster],$I302,TblClusters[Plateforme],"IKS")=0),"Cluster IKS inconnu",IF(AND(OR($G302="À migrer",$G302="Migré"),COUNTIFS(TblClusters[Cluster],$O302,TblClusters[Plateforme],"ROKS")=0),"Cluster ROKS inconnu",IF(AND(OR($G302="À migrer",$G302="À décommissionner"),COUNTIFS(TblClusters[Cluster],$I302,TblClusters[Environnement],$E302)=0),"Environnement ≠ cluster IKS",IF(AND(OR($G302="À migrer",$G302="Migré"),COUNTIFS(TblClusters[Cluster],$O302,TblClusters[Environnement],$E302)=0),"Environnement ≠ cluster ROKS",IF(AND($G302="À migrer",OR($U302&gt;$V302,$V302&gt;$W302)),"Dates incohérentes (prov ≤ bascule ≤ libération)",IF(AND(OR($G302="À migrer",$G302="À décommissionner"),OR(N($AO302)&gt;SUMIFS(TblClusters[CPU initial (vCPU)],TblClusters[Cluster],$I302),N($AP302)&gt;SUMIFS(TblClusters[RAM initiale (Go)],TblClusters[Cluster],$I302))),"Forçage &gt; capacité du cluster source",IF(OR(AND($AA302&lt;&gt;"",$AA302&lt;p_debut),AND($AB302&lt;&gt;"",$AB302&gt;p_fin)),"Hors horizon (info)",IF(AND($G302="À migrer",$E302="PRD",COUNTIFS(TblApplications[ID],$C302,TblApplications[Environnement],"NPRD",TblApplications[Action],"À migrer")&gt;0,$AA302&lt;_xlfn.MINIFS(TblApplications[Mois prov (calc)],TblApplications[ID],$C302,TblApplications[Environnement],"NPRD")),"PRD avant NPRD (info)","OK")))))))))))))))))))))</f>
        <v/>
      </c>
      <c r="AH302" s="62"/>
      <c r="AI302" s="62"/>
      <c r="AJ302" s="27" t="str">
        <f>IF(OR($C302="",NOT(OR($G302="À migrer",$G302="À décommissionner")),NOT(ISNUMBER($S302)),NOT(ISNUMBER($T302)),$AB302=""),"",($S302+p_poidsram*$T302)*SUMIFS(TblCalculs[Coût par unité],TblCalculs[Cluster],$I302,TblCalculs[Mois],"&lt;"&amp;$AB302))</f>
        <v/>
      </c>
      <c r="AK302" s="27" t="str">
        <f>IF($C302="","",IF(AND($G302="À migrer",$H302="Non",$Y302&lt;&gt;"",$AA302&lt;&gt;""),($Y302+p_poidsram*$Z302)*SUMIFS(TblCalculs[Coût par unité],TblCalculs[Cluster],$O302,TblCalculs[Mois],"&gt;="&amp;$AA302),IF(AND($G302="Migré",$Y302&lt;&gt;""),($Y302+p_poidsram*$Z302)*SUMIFS(TblCalculs[Coût par unité],TblCalculs[Cluster],$O302),"")))</f>
        <v/>
      </c>
      <c r="AL302" s="27" t="str">
        <f t="shared" si="38"/>
        <v/>
      </c>
      <c r="AM302" s="26" t="str">
        <f t="shared" si="39"/>
        <v/>
      </c>
      <c r="AN302" s="26" t="str">
        <f>IF(OR($C302="",$AM302&lt;&gt;1,COUNTIFS($E302,ex_envc,$A302,ex_domc,$B302,ex_tric)=0),"",COUNTIFS($AM$6:$AM302,1,$E$6:$E302,ex_envc,$A$6:$A302,ex_domc,$B$6:$B302,ex_tric))</f>
        <v/>
      </c>
      <c r="AO302" s="63"/>
      <c r="AP302" s="63"/>
      <c r="AQ302" s="63"/>
      <c r="AR302" s="63"/>
    </row>
    <row r="303" spans="1:44" x14ac:dyDescent="0.2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26" t="str">
        <f t="shared" si="32"/>
        <v/>
      </c>
      <c r="O303" s="59"/>
      <c r="P303" s="60" t="str">
        <f>IF($C303="","",IF($AQ303&lt;&gt;"",$AQ303,SUMIFS(TblDynatrace[CPU P95 (vCPU)],TblDynatrace[ID],$C303,TblDynatrace[Environnement],$E303,TblDynatrace[Couloir],$F303)))</f>
        <v/>
      </c>
      <c r="Q303" s="60" t="str">
        <f>IF($C303="","",IF($AR303&lt;&gt;"",$AR303,SUMIFS(TblDynatrace[RAM P95 (Go)],TblDynatrace[ID],$C303,TblDynatrace[Environnement],$E303,TblDynatrace[Couloir],$F303)))</f>
        <v/>
      </c>
      <c r="R303" s="26" t="str">
        <f>IF($C303="","",IFERROR(INDEX(TblDynatrace[Métrique / période],MATCH($C303&amp;"|"&amp;$E303&amp;"|"&amp;$F303,TblDynatrace[Clé],0)),""))</f>
        <v/>
      </c>
      <c r="S303" s="60" t="str">
        <f>IF(OR($C303="",NOT(OR($G303="À migrer",$G303="À décommissionner")),$I303="",NOT(ISNUMBER($P303))),"",IF($AO303&lt;&gt;"",$AO303,IFERROR(SUMIFS(TblClusters[CPU initial (vCPU)],TblClusters[Cluster],$I303)*$P303/(SUMIFS(TblApplications[CPU Dynatrace (vCPU)],TblApplications[Cluster IKS source],$I303,TblApplications[Action],"À migrer")+SUMIFS(TblApplications[CPU Dynatrace (vCPU)],TblApplications[Cluster IKS source],$I303,TblApplications[Action],"À décommissionner")),0)))</f>
        <v/>
      </c>
      <c r="T303" s="60" t="str">
        <f>IF(OR($C303="",NOT(OR($G303="À migrer",$G303="À décommissionner")),$I303="",NOT(ISNUMBER($Q303))),"",IF($AP303&lt;&gt;"",$AP303,IFERROR(SUMIFS(TblClusters[RAM initiale (Go)],TblClusters[Cluster],$I303)*$Q303/(SUMIFS(TblApplications[RAM Dynatrace (Go)],TblApplications[Cluster IKS source],$I303,TblApplications[Action],"À migrer")+SUMIFS(TblApplications[RAM Dynatrace (Go)],TblApplications[Cluster IKS source],$I303,TblApplications[Action],"À décommissionner")),0)))</f>
        <v/>
      </c>
      <c r="U303" s="61"/>
      <c r="V303" s="61"/>
      <c r="W303" s="61"/>
      <c r="X303" s="59"/>
      <c r="Y303" s="26" t="str">
        <f t="shared" si="33"/>
        <v/>
      </c>
      <c r="Z303" s="26" t="str">
        <f t="shared" si="34"/>
        <v/>
      </c>
      <c r="AA303" s="33" t="str">
        <f t="shared" si="35"/>
        <v/>
      </c>
      <c r="AB303" s="33" t="str">
        <f t="shared" si="36"/>
        <v/>
      </c>
      <c r="AC303" s="26" t="str">
        <f t="shared" si="37"/>
        <v/>
      </c>
      <c r="AD303" s="26" t="str">
        <f>IF($C303="","",COUNTIF(TblApplications[ID],$C303))</f>
        <v/>
      </c>
      <c r="AE303" s="33" t="str">
        <f>IF($C303="","",IFERROR(1/(1/_xlfn.MINIFS(TblApplications[Mois prov (calc)],TblApplications[ID],$C303)),""))</f>
        <v/>
      </c>
      <c r="AF303" s="33" t="str">
        <f>IF($C303="","",IFERROR(1/(1/_xlfn.MAXIFS(TblApplications[Mois lib (calc)],TblApplications[ID],$C303)),""))</f>
        <v/>
      </c>
      <c r="AG303" s="26" t="str">
        <f>IF($C303="","",IF(OR(OR($A303="",$B303="",$D303="",$E303="",$F303="",$G303=""),AND($G303="À migrer",OR($H303="",$I303="",$O303="",$U303="",$V303="",$W303="")),AND($G303="Migré",OR($O303="")),AND($G303="À décommissionner",OR($I303="",$W303=""))),"Données manquantes (selon l’action)",IF(AND($G303&lt;&gt;"Migré",$G303&lt;&gt;"À migrer",$G303&lt;&gt;"À décommissionner",$G303&lt;&gt;"Décommissionné"),"Action invalide",IF(COUNTIF(TblDomaines[Domaine],$A303)=0,"Domaine inconnu (référentiel)",IF(COUNTIFS(TblTribes[Tribe],$B303,TblTribes[Domaine de la tribe],$A303)=0,"Tribe inconnue ou hors domaine",IF(AND($G303="À migrer",$H303&lt;&gt;"Oui",$H303&lt;&gt;"Non"),"Valeur Oui/Non invalide (Déjà incluse ROKS)",IF(AND($E303&lt;&gt;"PRD",$E303&lt;&gt;"NPRD"),"Environnement invalide",IF(COUNTIFS(TblApplications[ID],$C303,TblApplications[Environnement],$E303,TblApplications[Couloir],$F303)&gt;1,"Déploiement en doublon (ID + env + couloir)",IF(AND(OR(OR($G303="À migrer",$G303="Migré"),OR($G303="À migrer",$G303="À décommissionner")),N($P303)&lt;=0),"Conso Dynatrace absente (onglet Dynatrace)",IF(OR(AND($P303&lt;&gt;"",NOT(ISNUMBER($P303))),AND($Q303&lt;&gt;"",NOT(ISNUMBER($Q303)))),"Ressource non numérique",IF(MIN(N($P303),N($Q303))&lt;0,"Ressource négative",IF(OR(AND($AH303&lt;&gt;"",OR(NOT(ISNUMBER($AH303)),$AH303&lt;0,$AH303&gt;1)),AND($AI303&lt;&gt;"",OR(NOT(ISNUMBER($AI303)),$AI303&lt;0,$AI303&gt;1))),"Marge spécifique invalide (0–100 %)",IF(OR(AND($U303&lt;&gt;"",NOT(ISNUMBER($U303))),AND($V303&lt;&gt;"",NOT(ISNUMBER($V303))),AND($W303&lt;&gt;"",NOT(ISNUMBER($W303)))),"Mois invalide",IF(AND(OR($G303="À migrer",$G303="À décommissionner"),COUNTIFS(TblClusters[Cluster],$I303,TblClusters[Plateforme],"IKS")=0),"Cluster IKS inconnu",IF(AND(OR($G303="À migrer",$G303="Migré"),COUNTIFS(TblClusters[Cluster],$O303,TblClusters[Plateforme],"ROKS")=0),"Cluster ROKS inconnu",IF(AND(OR($G303="À migrer",$G303="À décommissionner"),COUNTIFS(TblClusters[Cluster],$I303,TblClusters[Environnement],$E303)=0),"Environnement ≠ cluster IKS",IF(AND(OR($G303="À migrer",$G303="Migré"),COUNTIFS(TblClusters[Cluster],$O303,TblClusters[Environnement],$E303)=0),"Environnement ≠ cluster ROKS",IF(AND($G303="À migrer",OR($U303&gt;$V303,$V303&gt;$W303)),"Dates incohérentes (prov ≤ bascule ≤ libération)",IF(AND(OR($G303="À migrer",$G303="À décommissionner"),OR(N($AO303)&gt;SUMIFS(TblClusters[CPU initial (vCPU)],TblClusters[Cluster],$I303),N($AP303)&gt;SUMIFS(TblClusters[RAM initiale (Go)],TblClusters[Cluster],$I303))),"Forçage &gt; capacité du cluster source",IF(OR(AND($AA303&lt;&gt;"",$AA303&lt;p_debut),AND($AB303&lt;&gt;"",$AB303&gt;p_fin)),"Hors horizon (info)",IF(AND($G303="À migrer",$E303="PRD",COUNTIFS(TblApplications[ID],$C303,TblApplications[Environnement],"NPRD",TblApplications[Action],"À migrer")&gt;0,$AA303&lt;_xlfn.MINIFS(TblApplications[Mois prov (calc)],TblApplications[ID],$C303,TblApplications[Environnement],"NPRD")),"PRD avant NPRD (info)","OK")))))))))))))))))))))</f>
        <v/>
      </c>
      <c r="AH303" s="62"/>
      <c r="AI303" s="62"/>
      <c r="AJ303" s="27" t="str">
        <f>IF(OR($C303="",NOT(OR($G303="À migrer",$G303="À décommissionner")),NOT(ISNUMBER($S303)),NOT(ISNUMBER($T303)),$AB303=""),"",($S303+p_poidsram*$T303)*SUMIFS(TblCalculs[Coût par unité],TblCalculs[Cluster],$I303,TblCalculs[Mois],"&lt;"&amp;$AB303))</f>
        <v/>
      </c>
      <c r="AK303" s="27" t="str">
        <f>IF($C303="","",IF(AND($G303="À migrer",$H303="Non",$Y303&lt;&gt;"",$AA303&lt;&gt;""),($Y303+p_poidsram*$Z303)*SUMIFS(TblCalculs[Coût par unité],TblCalculs[Cluster],$O303,TblCalculs[Mois],"&gt;="&amp;$AA303),IF(AND($G303="Migré",$Y303&lt;&gt;""),($Y303+p_poidsram*$Z303)*SUMIFS(TblCalculs[Coût par unité],TblCalculs[Cluster],$O303),"")))</f>
        <v/>
      </c>
      <c r="AL303" s="27" t="str">
        <f t="shared" si="38"/>
        <v/>
      </c>
      <c r="AM303" s="26" t="str">
        <f t="shared" si="39"/>
        <v/>
      </c>
      <c r="AN303" s="26" t="str">
        <f>IF(OR($C303="",$AM303&lt;&gt;1,COUNTIFS($E303,ex_envc,$A303,ex_domc,$B303,ex_tric)=0),"",COUNTIFS($AM$6:$AM303,1,$E$6:$E303,ex_envc,$A$6:$A303,ex_domc,$B$6:$B303,ex_tric))</f>
        <v/>
      </c>
      <c r="AO303" s="63"/>
      <c r="AP303" s="63"/>
      <c r="AQ303" s="63"/>
      <c r="AR303" s="63"/>
    </row>
    <row r="304" spans="1:44" x14ac:dyDescent="0.2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26" t="str">
        <f t="shared" si="32"/>
        <v/>
      </c>
      <c r="O304" s="59"/>
      <c r="P304" s="60" t="str">
        <f>IF($C304="","",IF($AQ304&lt;&gt;"",$AQ304,SUMIFS(TblDynatrace[CPU P95 (vCPU)],TblDynatrace[ID],$C304,TblDynatrace[Environnement],$E304,TblDynatrace[Couloir],$F304)))</f>
        <v/>
      </c>
      <c r="Q304" s="60" t="str">
        <f>IF($C304="","",IF($AR304&lt;&gt;"",$AR304,SUMIFS(TblDynatrace[RAM P95 (Go)],TblDynatrace[ID],$C304,TblDynatrace[Environnement],$E304,TblDynatrace[Couloir],$F304)))</f>
        <v/>
      </c>
      <c r="R304" s="26" t="str">
        <f>IF($C304="","",IFERROR(INDEX(TblDynatrace[Métrique / période],MATCH($C304&amp;"|"&amp;$E304&amp;"|"&amp;$F304,TblDynatrace[Clé],0)),""))</f>
        <v/>
      </c>
      <c r="S304" s="60" t="str">
        <f>IF(OR($C304="",NOT(OR($G304="À migrer",$G304="À décommissionner")),$I304="",NOT(ISNUMBER($P304))),"",IF($AO304&lt;&gt;"",$AO304,IFERROR(SUMIFS(TblClusters[CPU initial (vCPU)],TblClusters[Cluster],$I304)*$P304/(SUMIFS(TblApplications[CPU Dynatrace (vCPU)],TblApplications[Cluster IKS source],$I304,TblApplications[Action],"À migrer")+SUMIFS(TblApplications[CPU Dynatrace (vCPU)],TblApplications[Cluster IKS source],$I304,TblApplications[Action],"À décommissionner")),0)))</f>
        <v/>
      </c>
      <c r="T304" s="60" t="str">
        <f>IF(OR($C304="",NOT(OR($G304="À migrer",$G304="À décommissionner")),$I304="",NOT(ISNUMBER($Q304))),"",IF($AP304&lt;&gt;"",$AP304,IFERROR(SUMIFS(TblClusters[RAM initiale (Go)],TblClusters[Cluster],$I304)*$Q304/(SUMIFS(TblApplications[RAM Dynatrace (Go)],TblApplications[Cluster IKS source],$I304,TblApplications[Action],"À migrer")+SUMIFS(TblApplications[RAM Dynatrace (Go)],TblApplications[Cluster IKS source],$I304,TblApplications[Action],"À décommissionner")),0)))</f>
        <v/>
      </c>
      <c r="U304" s="61"/>
      <c r="V304" s="61"/>
      <c r="W304" s="61"/>
      <c r="X304" s="59"/>
      <c r="Y304" s="26" t="str">
        <f t="shared" si="33"/>
        <v/>
      </c>
      <c r="Z304" s="26" t="str">
        <f t="shared" si="34"/>
        <v/>
      </c>
      <c r="AA304" s="33" t="str">
        <f t="shared" si="35"/>
        <v/>
      </c>
      <c r="AB304" s="33" t="str">
        <f t="shared" si="36"/>
        <v/>
      </c>
      <c r="AC304" s="26" t="str">
        <f t="shared" si="37"/>
        <v/>
      </c>
      <c r="AD304" s="26" t="str">
        <f>IF($C304="","",COUNTIF(TblApplications[ID],$C304))</f>
        <v/>
      </c>
      <c r="AE304" s="33" t="str">
        <f>IF($C304="","",IFERROR(1/(1/_xlfn.MINIFS(TblApplications[Mois prov (calc)],TblApplications[ID],$C304)),""))</f>
        <v/>
      </c>
      <c r="AF304" s="33" t="str">
        <f>IF($C304="","",IFERROR(1/(1/_xlfn.MAXIFS(TblApplications[Mois lib (calc)],TblApplications[ID],$C304)),""))</f>
        <v/>
      </c>
      <c r="AG304" s="26" t="str">
        <f>IF($C304="","",IF(OR(OR($A304="",$B304="",$D304="",$E304="",$F304="",$G304=""),AND($G304="À migrer",OR($H304="",$I304="",$O304="",$U304="",$V304="",$W304="")),AND($G304="Migré",OR($O304="")),AND($G304="À décommissionner",OR($I304="",$W304=""))),"Données manquantes (selon l’action)",IF(AND($G304&lt;&gt;"Migré",$G304&lt;&gt;"À migrer",$G304&lt;&gt;"À décommissionner",$G304&lt;&gt;"Décommissionné"),"Action invalide",IF(COUNTIF(TblDomaines[Domaine],$A304)=0,"Domaine inconnu (référentiel)",IF(COUNTIFS(TblTribes[Tribe],$B304,TblTribes[Domaine de la tribe],$A304)=0,"Tribe inconnue ou hors domaine",IF(AND($G304="À migrer",$H304&lt;&gt;"Oui",$H304&lt;&gt;"Non"),"Valeur Oui/Non invalide (Déjà incluse ROKS)",IF(AND($E304&lt;&gt;"PRD",$E304&lt;&gt;"NPRD"),"Environnement invalide",IF(COUNTIFS(TblApplications[ID],$C304,TblApplications[Environnement],$E304,TblApplications[Couloir],$F304)&gt;1,"Déploiement en doublon (ID + env + couloir)",IF(AND(OR(OR($G304="À migrer",$G304="Migré"),OR($G304="À migrer",$G304="À décommissionner")),N($P304)&lt;=0),"Conso Dynatrace absente (onglet Dynatrace)",IF(OR(AND($P304&lt;&gt;"",NOT(ISNUMBER($P304))),AND($Q304&lt;&gt;"",NOT(ISNUMBER($Q304)))),"Ressource non numérique",IF(MIN(N($P304),N($Q304))&lt;0,"Ressource négative",IF(OR(AND($AH304&lt;&gt;"",OR(NOT(ISNUMBER($AH304)),$AH304&lt;0,$AH304&gt;1)),AND($AI304&lt;&gt;"",OR(NOT(ISNUMBER($AI304)),$AI304&lt;0,$AI304&gt;1))),"Marge spécifique invalide (0–100 %)",IF(OR(AND($U304&lt;&gt;"",NOT(ISNUMBER($U304))),AND($V304&lt;&gt;"",NOT(ISNUMBER($V304))),AND($W304&lt;&gt;"",NOT(ISNUMBER($W304)))),"Mois invalide",IF(AND(OR($G304="À migrer",$G304="À décommissionner"),COUNTIFS(TblClusters[Cluster],$I304,TblClusters[Plateforme],"IKS")=0),"Cluster IKS inconnu",IF(AND(OR($G304="À migrer",$G304="Migré"),COUNTIFS(TblClusters[Cluster],$O304,TblClusters[Plateforme],"ROKS")=0),"Cluster ROKS inconnu",IF(AND(OR($G304="À migrer",$G304="À décommissionner"),COUNTIFS(TblClusters[Cluster],$I304,TblClusters[Environnement],$E304)=0),"Environnement ≠ cluster IKS",IF(AND(OR($G304="À migrer",$G304="Migré"),COUNTIFS(TblClusters[Cluster],$O304,TblClusters[Environnement],$E304)=0),"Environnement ≠ cluster ROKS",IF(AND($G304="À migrer",OR($U304&gt;$V304,$V304&gt;$W304)),"Dates incohérentes (prov ≤ bascule ≤ libération)",IF(AND(OR($G304="À migrer",$G304="À décommissionner"),OR(N($AO304)&gt;SUMIFS(TblClusters[CPU initial (vCPU)],TblClusters[Cluster],$I304),N($AP304)&gt;SUMIFS(TblClusters[RAM initiale (Go)],TblClusters[Cluster],$I304))),"Forçage &gt; capacité du cluster source",IF(OR(AND($AA304&lt;&gt;"",$AA304&lt;p_debut),AND($AB304&lt;&gt;"",$AB304&gt;p_fin)),"Hors horizon (info)",IF(AND($G304="À migrer",$E304="PRD",COUNTIFS(TblApplications[ID],$C304,TblApplications[Environnement],"NPRD",TblApplications[Action],"À migrer")&gt;0,$AA304&lt;_xlfn.MINIFS(TblApplications[Mois prov (calc)],TblApplications[ID],$C304,TblApplications[Environnement],"NPRD")),"PRD avant NPRD (info)","OK")))))))))))))))))))))</f>
        <v/>
      </c>
      <c r="AH304" s="62"/>
      <c r="AI304" s="62"/>
      <c r="AJ304" s="27" t="str">
        <f>IF(OR($C304="",NOT(OR($G304="À migrer",$G304="À décommissionner")),NOT(ISNUMBER($S304)),NOT(ISNUMBER($T304)),$AB304=""),"",($S304+p_poidsram*$T304)*SUMIFS(TblCalculs[Coût par unité],TblCalculs[Cluster],$I304,TblCalculs[Mois],"&lt;"&amp;$AB304))</f>
        <v/>
      </c>
      <c r="AK304" s="27" t="str">
        <f>IF($C304="","",IF(AND($G304="À migrer",$H304="Non",$Y304&lt;&gt;"",$AA304&lt;&gt;""),($Y304+p_poidsram*$Z304)*SUMIFS(TblCalculs[Coût par unité],TblCalculs[Cluster],$O304,TblCalculs[Mois],"&gt;="&amp;$AA304),IF(AND($G304="Migré",$Y304&lt;&gt;""),($Y304+p_poidsram*$Z304)*SUMIFS(TblCalculs[Coût par unité],TblCalculs[Cluster],$O304),"")))</f>
        <v/>
      </c>
      <c r="AL304" s="27" t="str">
        <f t="shared" si="38"/>
        <v/>
      </c>
      <c r="AM304" s="26" t="str">
        <f t="shared" si="39"/>
        <v/>
      </c>
      <c r="AN304" s="26" t="str">
        <f>IF(OR($C304="",$AM304&lt;&gt;1,COUNTIFS($E304,ex_envc,$A304,ex_domc,$B304,ex_tric)=0),"",COUNTIFS($AM$6:$AM304,1,$E$6:$E304,ex_envc,$A$6:$A304,ex_domc,$B$6:$B304,ex_tric))</f>
        <v/>
      </c>
      <c r="AO304" s="63"/>
      <c r="AP304" s="63"/>
      <c r="AQ304" s="63"/>
      <c r="AR304" s="63"/>
    </row>
    <row r="305" spans="1:44" x14ac:dyDescent="0.2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26" t="str">
        <f t="shared" si="32"/>
        <v/>
      </c>
      <c r="O305" s="59"/>
      <c r="P305" s="60" t="str">
        <f>IF($C305="","",IF($AQ305&lt;&gt;"",$AQ305,SUMIFS(TblDynatrace[CPU P95 (vCPU)],TblDynatrace[ID],$C305,TblDynatrace[Environnement],$E305,TblDynatrace[Couloir],$F305)))</f>
        <v/>
      </c>
      <c r="Q305" s="60" t="str">
        <f>IF($C305="","",IF($AR305&lt;&gt;"",$AR305,SUMIFS(TblDynatrace[RAM P95 (Go)],TblDynatrace[ID],$C305,TblDynatrace[Environnement],$E305,TblDynatrace[Couloir],$F305)))</f>
        <v/>
      </c>
      <c r="R305" s="26" t="str">
        <f>IF($C305="","",IFERROR(INDEX(TblDynatrace[Métrique / période],MATCH($C305&amp;"|"&amp;$E305&amp;"|"&amp;$F305,TblDynatrace[Clé],0)),""))</f>
        <v/>
      </c>
      <c r="S305" s="60" t="str">
        <f>IF(OR($C305="",NOT(OR($G305="À migrer",$G305="À décommissionner")),$I305="",NOT(ISNUMBER($P305))),"",IF($AO305&lt;&gt;"",$AO305,IFERROR(SUMIFS(TblClusters[CPU initial (vCPU)],TblClusters[Cluster],$I305)*$P305/(SUMIFS(TblApplications[CPU Dynatrace (vCPU)],TblApplications[Cluster IKS source],$I305,TblApplications[Action],"À migrer")+SUMIFS(TblApplications[CPU Dynatrace (vCPU)],TblApplications[Cluster IKS source],$I305,TblApplications[Action],"À décommissionner")),0)))</f>
        <v/>
      </c>
      <c r="T305" s="60" t="str">
        <f>IF(OR($C305="",NOT(OR($G305="À migrer",$G305="À décommissionner")),$I305="",NOT(ISNUMBER($Q305))),"",IF($AP305&lt;&gt;"",$AP305,IFERROR(SUMIFS(TblClusters[RAM initiale (Go)],TblClusters[Cluster],$I305)*$Q305/(SUMIFS(TblApplications[RAM Dynatrace (Go)],TblApplications[Cluster IKS source],$I305,TblApplications[Action],"À migrer")+SUMIFS(TblApplications[RAM Dynatrace (Go)],TblApplications[Cluster IKS source],$I305,TblApplications[Action],"À décommissionner")),0)))</f>
        <v/>
      </c>
      <c r="U305" s="61"/>
      <c r="V305" s="61"/>
      <c r="W305" s="61"/>
      <c r="X305" s="59"/>
      <c r="Y305" s="26" t="str">
        <f t="shared" si="33"/>
        <v/>
      </c>
      <c r="Z305" s="26" t="str">
        <f t="shared" si="34"/>
        <v/>
      </c>
      <c r="AA305" s="33" t="str">
        <f t="shared" si="35"/>
        <v/>
      </c>
      <c r="AB305" s="33" t="str">
        <f t="shared" si="36"/>
        <v/>
      </c>
      <c r="AC305" s="26" t="str">
        <f t="shared" si="37"/>
        <v/>
      </c>
      <c r="AD305" s="26" t="str">
        <f>IF($C305="","",COUNTIF(TblApplications[ID],$C305))</f>
        <v/>
      </c>
      <c r="AE305" s="33" t="str">
        <f>IF($C305="","",IFERROR(1/(1/_xlfn.MINIFS(TblApplications[Mois prov (calc)],TblApplications[ID],$C305)),""))</f>
        <v/>
      </c>
      <c r="AF305" s="33" t="str">
        <f>IF($C305="","",IFERROR(1/(1/_xlfn.MAXIFS(TblApplications[Mois lib (calc)],TblApplications[ID],$C305)),""))</f>
        <v/>
      </c>
      <c r="AG305" s="26" t="str">
        <f>IF($C305="","",IF(OR(OR($A305="",$B305="",$D305="",$E305="",$F305="",$G305=""),AND($G305="À migrer",OR($H305="",$I305="",$O305="",$U305="",$V305="",$W305="")),AND($G305="Migré",OR($O305="")),AND($G305="À décommissionner",OR($I305="",$W305=""))),"Données manquantes (selon l’action)",IF(AND($G305&lt;&gt;"Migré",$G305&lt;&gt;"À migrer",$G305&lt;&gt;"À décommissionner",$G305&lt;&gt;"Décommissionné"),"Action invalide",IF(COUNTIF(TblDomaines[Domaine],$A305)=0,"Domaine inconnu (référentiel)",IF(COUNTIFS(TblTribes[Tribe],$B305,TblTribes[Domaine de la tribe],$A305)=0,"Tribe inconnue ou hors domaine",IF(AND($G305="À migrer",$H305&lt;&gt;"Oui",$H305&lt;&gt;"Non"),"Valeur Oui/Non invalide (Déjà incluse ROKS)",IF(AND($E305&lt;&gt;"PRD",$E305&lt;&gt;"NPRD"),"Environnement invalide",IF(COUNTIFS(TblApplications[ID],$C305,TblApplications[Environnement],$E305,TblApplications[Couloir],$F305)&gt;1,"Déploiement en doublon (ID + env + couloir)",IF(AND(OR(OR($G305="À migrer",$G305="Migré"),OR($G305="À migrer",$G305="À décommissionner")),N($P305)&lt;=0),"Conso Dynatrace absente (onglet Dynatrace)",IF(OR(AND($P305&lt;&gt;"",NOT(ISNUMBER($P305))),AND($Q305&lt;&gt;"",NOT(ISNUMBER($Q305)))),"Ressource non numérique",IF(MIN(N($P305),N($Q305))&lt;0,"Ressource négative",IF(OR(AND($AH305&lt;&gt;"",OR(NOT(ISNUMBER($AH305)),$AH305&lt;0,$AH305&gt;1)),AND($AI305&lt;&gt;"",OR(NOT(ISNUMBER($AI305)),$AI305&lt;0,$AI305&gt;1))),"Marge spécifique invalide (0–100 %)",IF(OR(AND($U305&lt;&gt;"",NOT(ISNUMBER($U305))),AND($V305&lt;&gt;"",NOT(ISNUMBER($V305))),AND($W305&lt;&gt;"",NOT(ISNUMBER($W305)))),"Mois invalide",IF(AND(OR($G305="À migrer",$G305="À décommissionner"),COUNTIFS(TblClusters[Cluster],$I305,TblClusters[Plateforme],"IKS")=0),"Cluster IKS inconnu",IF(AND(OR($G305="À migrer",$G305="Migré"),COUNTIFS(TblClusters[Cluster],$O305,TblClusters[Plateforme],"ROKS")=0),"Cluster ROKS inconnu",IF(AND(OR($G305="À migrer",$G305="À décommissionner"),COUNTIFS(TblClusters[Cluster],$I305,TblClusters[Environnement],$E305)=0),"Environnement ≠ cluster IKS",IF(AND(OR($G305="À migrer",$G305="Migré"),COUNTIFS(TblClusters[Cluster],$O305,TblClusters[Environnement],$E305)=0),"Environnement ≠ cluster ROKS",IF(AND($G305="À migrer",OR($U305&gt;$V305,$V305&gt;$W305)),"Dates incohérentes (prov ≤ bascule ≤ libération)",IF(AND(OR($G305="À migrer",$G305="À décommissionner"),OR(N($AO305)&gt;SUMIFS(TblClusters[CPU initial (vCPU)],TblClusters[Cluster],$I305),N($AP305)&gt;SUMIFS(TblClusters[RAM initiale (Go)],TblClusters[Cluster],$I305))),"Forçage &gt; capacité du cluster source",IF(OR(AND($AA305&lt;&gt;"",$AA305&lt;p_debut),AND($AB305&lt;&gt;"",$AB305&gt;p_fin)),"Hors horizon (info)",IF(AND($G305="À migrer",$E305="PRD",COUNTIFS(TblApplications[ID],$C305,TblApplications[Environnement],"NPRD",TblApplications[Action],"À migrer")&gt;0,$AA305&lt;_xlfn.MINIFS(TblApplications[Mois prov (calc)],TblApplications[ID],$C305,TblApplications[Environnement],"NPRD")),"PRD avant NPRD (info)","OK")))))))))))))))))))))</f>
        <v/>
      </c>
      <c r="AH305" s="62"/>
      <c r="AI305" s="62"/>
      <c r="AJ305" s="27" t="str">
        <f>IF(OR($C305="",NOT(OR($G305="À migrer",$G305="À décommissionner")),NOT(ISNUMBER($S305)),NOT(ISNUMBER($T305)),$AB305=""),"",($S305+p_poidsram*$T305)*SUMIFS(TblCalculs[Coût par unité],TblCalculs[Cluster],$I305,TblCalculs[Mois],"&lt;"&amp;$AB305))</f>
        <v/>
      </c>
      <c r="AK305" s="27" t="str">
        <f>IF($C305="","",IF(AND($G305="À migrer",$H305="Non",$Y305&lt;&gt;"",$AA305&lt;&gt;""),($Y305+p_poidsram*$Z305)*SUMIFS(TblCalculs[Coût par unité],TblCalculs[Cluster],$O305,TblCalculs[Mois],"&gt;="&amp;$AA305),IF(AND($G305="Migré",$Y305&lt;&gt;""),($Y305+p_poidsram*$Z305)*SUMIFS(TblCalculs[Coût par unité],TblCalculs[Cluster],$O305),"")))</f>
        <v/>
      </c>
      <c r="AL305" s="27" t="str">
        <f t="shared" si="38"/>
        <v/>
      </c>
      <c r="AM305" s="26" t="str">
        <f t="shared" si="39"/>
        <v/>
      </c>
      <c r="AN305" s="26" t="str">
        <f>IF(OR($C305="",$AM305&lt;&gt;1,COUNTIFS($E305,ex_envc,$A305,ex_domc,$B305,ex_tric)=0),"",COUNTIFS($AM$6:$AM305,1,$E$6:$E305,ex_envc,$A$6:$A305,ex_domc,$B$6:$B305,ex_tric))</f>
        <v/>
      </c>
      <c r="AO305" s="63"/>
      <c r="AP305" s="63"/>
      <c r="AQ305" s="63"/>
      <c r="AR305" s="63"/>
    </row>
  </sheetData>
  <conditionalFormatting sqref="N6:N305">
    <cfRule type="expression" dxfId="9" priority="4">
      <formula>ISNUMBER(SEARCH("Dédié",N6))</formula>
    </cfRule>
    <cfRule type="expression" dxfId="8" priority="5">
      <formula>N6="Mutualisé"</formula>
    </cfRule>
  </conditionalFormatting>
  <conditionalFormatting sqref="AG6:AG305">
    <cfRule type="expression" dxfId="7" priority="2">
      <formula>AND(AG6&lt;&gt;"",AG6&lt;&gt;"OK",ISERROR(SEARCH("(info)",AG6)))</formula>
    </cfRule>
    <cfRule type="expression" dxfId="6" priority="3">
      <formula>ISNUMBER(SEARCH("(info)",AG6))</formula>
    </cfRule>
  </conditionalFormatting>
  <dataValidations count="4">
    <dataValidation type="list" allowBlank="1" showErrorMessage="1" errorTitle="Saisie invalide" error="Valeur non autorisée : choisir dans la liste ou respecter le format attendu." sqref="I6:I305 O6:O305" xr:uid="{00000000-0002-0000-0600-000006000000}">
      <formula1>TblClusters_Cluster</formula1>
      <formula2>0</formula2>
    </dataValidation>
    <dataValidation type="date" operator="greaterThan" allowBlank="1" showErrorMessage="1" errorTitle="Saisie invalide" error="Saisir un mois (date)" sqref="U6:W305" xr:uid="{00000000-0002-0000-0600-000009000000}">
      <formula1>36526</formula1>
      <formula2>0</formula2>
    </dataValidation>
    <dataValidation type="decimal" allowBlank="1" showErrorMessage="1" errorTitle="Saisie invalide" error="Marge entre 0 et 100 %" sqref="AH6:AI305" xr:uid="{00000000-0002-0000-0600-00000A000000}">
      <formula1>0</formula1>
      <formula2>1</formula2>
    </dataValidation>
    <dataValidation type="decimal" operator="greaterThanOrEqual" allowBlank="1" showErrorMessage="1" errorTitle="Saisie invalide" error="Valeur ≥ 0" sqref="AO6:AR305" xr:uid="{00000000-0002-0000-0600-00000B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Saisie invalide" error="Valeur non autorisée : choisir dans la liste ou respecter le format attendu." xr:uid="{00000000-0002-0000-0600-000000000000}">
          <x14:formula1>
            <xm:f>'Paramètres &amp; ABS'!$H$4:$H$5</xm:f>
          </x14:formula1>
          <x14:formula2>
            <xm:f>0</xm:f>
          </x14:formula2>
          <xm:sqref>J6:M305 H6:H305</xm:sqref>
        </x14:dataValidation>
        <x14:dataValidation type="list" allowBlank="1" showErrorMessage="1" errorTitle="Saisie invalide" error="Valeur non autorisée : choisir dans la liste ou respecter le format attendu." xr:uid="{00000000-0002-0000-0600-000001000000}">
          <x14:formula1>
            <xm:f>'Paramètres &amp; ABS'!$M$21:$M$40</xm:f>
          </x14:formula1>
          <x14:formula2>
            <xm:f>0</xm:f>
          </x14:formula2>
          <xm:sqref>A6:A305</xm:sqref>
        </x14:dataValidation>
        <x14:dataValidation type="list" allowBlank="1" showErrorMessage="1" errorTitle="Saisie invalide" error="Valeur non autorisée : choisir dans la liste ou respecter le format attendu." xr:uid="{00000000-0002-0000-0600-000002000000}">
          <x14:formula1>
            <xm:f>'Paramètres &amp; ABS'!$J$21:$J$60</xm:f>
          </x14:formula1>
          <x14:formula2>
            <xm:f>0</xm:f>
          </x14:formula2>
          <xm:sqref>B6:B305</xm:sqref>
        </x14:dataValidation>
        <x14:dataValidation type="list" allowBlank="1" showErrorMessage="1" errorTitle="Saisie invalide" error="Valeur non autorisée : choisir dans la liste ou respecter le format attendu." xr:uid="{00000000-0002-0000-0600-000003000000}">
          <x14:formula1>
            <xm:f>'Paramètres &amp; ABS'!$M$4:$M$5</xm:f>
          </x14:formula1>
          <x14:formula2>
            <xm:f>0</xm:f>
          </x14:formula2>
          <xm:sqref>E6:E305</xm:sqref>
        </x14:dataValidation>
        <x14:dataValidation type="list" allowBlank="1" showErrorMessage="1" errorTitle="Saisie invalide" error="Valeur non autorisée : choisir dans la liste ou respecter le format attendu." xr:uid="{00000000-0002-0000-0600-000004000000}">
          <x14:formula1>
            <xm:f>'Paramètres &amp; ABS'!$N$4:$N$7</xm:f>
          </x14:formula1>
          <x14:formula2>
            <xm:f>0</xm:f>
          </x14:formula2>
          <xm:sqref>G6:G305</xm:sqref>
        </x14:dataValidation>
        <x14:dataValidation type="list" allowBlank="1" showErrorMessage="1" errorTitle="Saisie invalide" error="Valeur non autorisée : choisir dans la liste ou respecter le format attendu." xr:uid="{00000000-0002-0000-0600-000008000000}">
          <x14:formula1>
            <xm:f>'Paramètres &amp; ABS'!$L$4:$L$6</xm:f>
          </x14:formula1>
          <x14:formula2>
            <xm:f>0</xm:f>
          </x14:formula2>
          <xm:sqref>X6:X305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05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6640625" defaultRowHeight="15" outlineLevelCol="1" x14ac:dyDescent="0.2"/>
  <cols>
    <col min="1" max="1" width="10" customWidth="1"/>
    <col min="2" max="2" width="13" customWidth="1"/>
    <col min="3" max="3" width="10" customWidth="1"/>
    <col min="4" max="4" width="28" customWidth="1"/>
    <col min="5" max="5" width="15" customWidth="1"/>
    <col min="6" max="7" width="12" customWidth="1"/>
    <col min="8" max="8" width="18" customWidth="1"/>
    <col min="9" max="9" width="13" customWidth="1"/>
    <col min="10" max="11" width="18" hidden="1" customWidth="1" outlineLevel="1"/>
    <col min="12" max="12" width="34" customWidth="1" collapsed="1"/>
  </cols>
  <sheetData>
    <row r="1" spans="1:12" ht="18" x14ac:dyDescent="0.2">
      <c r="A1" s="50" t="s">
        <v>290</v>
      </c>
    </row>
    <row r="2" spans="1:12" x14ac:dyDescent="0.2">
      <c r="A2" s="16" t="s">
        <v>291</v>
      </c>
    </row>
    <row r="3" spans="1:12" x14ac:dyDescent="0.2">
      <c r="F3" s="18" t="s">
        <v>231</v>
      </c>
      <c r="G3" s="59" t="s">
        <v>232</v>
      </c>
      <c r="H3" s="26" t="s">
        <v>233</v>
      </c>
    </row>
    <row r="5" spans="1:12" ht="45" customHeight="1" x14ac:dyDescent="0.2">
      <c r="A5" s="25" t="s">
        <v>85</v>
      </c>
      <c r="B5" s="25" t="s">
        <v>26</v>
      </c>
      <c r="C5" s="25" t="s">
        <v>87</v>
      </c>
      <c r="D5" s="25" t="s">
        <v>292</v>
      </c>
      <c r="E5" s="25" t="s">
        <v>293</v>
      </c>
      <c r="F5" s="25" t="s">
        <v>294</v>
      </c>
      <c r="G5" s="25" t="s">
        <v>295</v>
      </c>
      <c r="H5" s="25" t="s">
        <v>296</v>
      </c>
      <c r="I5" s="25" t="s">
        <v>297</v>
      </c>
      <c r="J5" s="25" t="s">
        <v>298</v>
      </c>
      <c r="K5" s="25" t="s">
        <v>299</v>
      </c>
      <c r="L5" s="25" t="s">
        <v>259</v>
      </c>
    </row>
    <row r="6" spans="1:12" x14ac:dyDescent="0.2">
      <c r="A6" s="59" t="s">
        <v>273</v>
      </c>
      <c r="B6" s="59" t="s">
        <v>39</v>
      </c>
      <c r="C6" s="59" t="s">
        <v>39</v>
      </c>
      <c r="D6" s="59" t="s">
        <v>300</v>
      </c>
      <c r="E6" s="59" t="s">
        <v>276</v>
      </c>
      <c r="F6" s="63">
        <v>12</v>
      </c>
      <c r="G6" s="63">
        <v>60</v>
      </c>
      <c r="H6" s="59" t="s">
        <v>301</v>
      </c>
      <c r="I6" s="64">
        <v>46266</v>
      </c>
      <c r="J6" s="26" t="str">
        <f t="shared" ref="J6:J69" si="0">IF($A6="","",$A6&amp;"|"&amp;$B6&amp;"|"&amp;$C6)</f>
        <v>APP-01|PRD|PRD</v>
      </c>
      <c r="K6" s="26">
        <f>IF($A6="","",COUNTIFS(TblApplications[ID],$A6,TblApplications[Environnement],$B6,TblApplications[Couloir],$C6))</f>
        <v>1</v>
      </c>
      <c r="L6" s="26" t="str">
        <f>IF($A6="","",IF(OR($B6="",$C6="",$F6="",$G6=""),"Données manquantes",IF(OR(AND($B6&lt;&gt;"PRD",$B6&lt;&gt;"NPRD")),"Environnement invalide",IF(COUNTIF(TblDynatrace[Clé],$J6)&gt;1,"Doublon (ID + env + couloir)",IF(OR(NOT(ISNUMBER($F6)),NOT(ISNUMBER($G6))),"Valeur non numérique",IF(MIN($F6,$G6)&lt;0,"Valeur négative",IF(AND($E6&lt;&gt;"",COUNTIFS(TblClusters[Cluster],$E6,TblClusters[Plateforme],"ROKS")&gt;0),"Cluster observé sur ROKS : extraction attendue depuis IKS",IF(AND($E6&lt;&gt;"",COUNTIFS(TblClusters[Cluster],$E6,TblClusters[Plateforme],"IKS")=0),"Cluster IKS inconnu (info)",IF($K6=0,"Aucun déploiement correspondant (info)","OK")))))))))</f>
        <v>OK</v>
      </c>
    </row>
    <row r="7" spans="1:12" x14ac:dyDescent="0.2">
      <c r="A7" s="59" t="s">
        <v>280</v>
      </c>
      <c r="B7" s="59" t="s">
        <v>39</v>
      </c>
      <c r="C7" s="59" t="s">
        <v>39</v>
      </c>
      <c r="D7" s="59" t="s">
        <v>302</v>
      </c>
      <c r="E7" s="59" t="s">
        <v>276</v>
      </c>
      <c r="F7" s="63">
        <v>10</v>
      </c>
      <c r="G7" s="63">
        <v>56</v>
      </c>
      <c r="H7" s="59" t="s">
        <v>301</v>
      </c>
      <c r="I7" s="64">
        <v>46266</v>
      </c>
      <c r="J7" s="26" t="str">
        <f t="shared" si="0"/>
        <v>APP-02|PRD|PRD</v>
      </c>
      <c r="K7" s="26">
        <f>IF($A7="","",COUNTIFS(TblApplications[ID],$A7,TblApplications[Environnement],$B7,TblApplications[Couloir],$C7))</f>
        <v>1</v>
      </c>
      <c r="L7" s="26" t="str">
        <f>IF($A7="","",IF(OR($B7="",$C7="",$F7="",$G7=""),"Données manquantes",IF(OR(AND($B7&lt;&gt;"PRD",$B7&lt;&gt;"NPRD")),"Environnement invalide",IF(COUNTIF(TblDynatrace[Clé],$J7)&gt;1,"Doublon (ID + env + couloir)",IF(OR(NOT(ISNUMBER($F7)),NOT(ISNUMBER($G7))),"Valeur non numérique",IF(MIN($F7,$G7)&lt;0,"Valeur négative",IF(AND($E7&lt;&gt;"",COUNTIFS(TblClusters[Cluster],$E7,TblClusters[Plateforme],"ROKS")&gt;0),"Cluster observé sur ROKS : extraction attendue depuis IKS",IF(AND($E7&lt;&gt;"",COUNTIFS(TblClusters[Cluster],$E7,TblClusters[Plateforme],"IKS")=0),"Cluster IKS inconnu (info)",IF($K7=0,"Aucun déploiement correspondant (info)","OK")))))))))</f>
        <v>OK</v>
      </c>
    </row>
    <row r="8" spans="1:12" x14ac:dyDescent="0.2">
      <c r="A8" s="59" t="s">
        <v>284</v>
      </c>
      <c r="B8" s="59" t="s">
        <v>39</v>
      </c>
      <c r="C8" s="59" t="s">
        <v>39</v>
      </c>
      <c r="D8" s="59" t="s">
        <v>303</v>
      </c>
      <c r="E8" s="59" t="s">
        <v>276</v>
      </c>
      <c r="F8" s="63">
        <v>10</v>
      </c>
      <c r="G8" s="63">
        <v>80</v>
      </c>
      <c r="H8" s="59" t="s">
        <v>301</v>
      </c>
      <c r="I8" s="64">
        <v>46266</v>
      </c>
      <c r="J8" s="26" t="str">
        <f t="shared" si="0"/>
        <v>APP-03|PRD|PRD</v>
      </c>
      <c r="K8" s="26">
        <f>IF($A8="","",COUNTIFS(TblApplications[ID],$A8,TblApplications[Environnement],$B8,TblApplications[Couloir],$C8))</f>
        <v>1</v>
      </c>
      <c r="L8" s="26" t="str">
        <f>IF($A8="","",IF(OR($B8="",$C8="",$F8="",$G8=""),"Données manquantes",IF(OR(AND($B8&lt;&gt;"PRD",$B8&lt;&gt;"NPRD")),"Environnement invalide",IF(COUNTIF(TblDynatrace[Clé],$J8)&gt;1,"Doublon (ID + env + couloir)",IF(OR(NOT(ISNUMBER($F8)),NOT(ISNUMBER($G8))),"Valeur non numérique",IF(MIN($F8,$G8)&lt;0,"Valeur négative",IF(AND($E8&lt;&gt;"",COUNTIFS(TblClusters[Cluster],$E8,TblClusters[Plateforme],"ROKS")&gt;0),"Cluster observé sur ROKS : extraction attendue depuis IKS",IF(AND($E8&lt;&gt;"",COUNTIFS(TblClusters[Cluster],$E8,TblClusters[Plateforme],"IKS")=0),"Cluster IKS inconnu (info)",IF($K8=0,"Aucun déploiement correspondant (info)","OK")))))))))</f>
        <v>OK</v>
      </c>
    </row>
    <row r="9" spans="1:12" x14ac:dyDescent="0.2">
      <c r="A9" s="59" t="s">
        <v>286</v>
      </c>
      <c r="B9" s="59" t="s">
        <v>39</v>
      </c>
      <c r="C9" s="59" t="s">
        <v>39</v>
      </c>
      <c r="D9" s="59" t="s">
        <v>304</v>
      </c>
      <c r="E9" s="59" t="s">
        <v>276</v>
      </c>
      <c r="F9" s="63">
        <v>20</v>
      </c>
      <c r="G9" s="63">
        <v>120</v>
      </c>
      <c r="H9" s="59" t="s">
        <v>301</v>
      </c>
      <c r="I9" s="64">
        <v>46266</v>
      </c>
      <c r="J9" s="26" t="str">
        <f t="shared" si="0"/>
        <v>APP-04|PRD|PRD</v>
      </c>
      <c r="K9" s="26">
        <f>IF($A9="","",COUNTIFS(TblApplications[ID],$A9,TblApplications[Environnement],$B9,TblApplications[Couloir],$C9))</f>
        <v>1</v>
      </c>
      <c r="L9" s="26" t="str">
        <f>IF($A9="","",IF(OR($B9="",$C9="",$F9="",$G9=""),"Données manquantes",IF(OR(AND($B9&lt;&gt;"PRD",$B9&lt;&gt;"NPRD")),"Environnement invalide",IF(COUNTIF(TblDynatrace[Clé],$J9)&gt;1,"Doublon (ID + env + couloir)",IF(OR(NOT(ISNUMBER($F9)),NOT(ISNUMBER($G9))),"Valeur non numérique",IF(MIN($F9,$G9)&lt;0,"Valeur négative",IF(AND($E9&lt;&gt;"",COUNTIFS(TblClusters[Cluster],$E9,TblClusters[Plateforme],"ROKS")&gt;0),"Cluster observé sur ROKS : extraction attendue depuis IKS",IF(AND($E9&lt;&gt;"",COUNTIFS(TblClusters[Cluster],$E9,TblClusters[Plateforme],"IKS")=0),"Cluster IKS inconnu (info)",IF($K9=0,"Aucun déploiement correspondant (info)","OK")))))))))</f>
        <v>OK</v>
      </c>
    </row>
    <row r="10" spans="1:12" x14ac:dyDescent="0.2">
      <c r="A10" s="59" t="s">
        <v>288</v>
      </c>
      <c r="B10" s="59" t="s">
        <v>39</v>
      </c>
      <c r="C10" s="59" t="s">
        <v>39</v>
      </c>
      <c r="D10" s="59" t="s">
        <v>305</v>
      </c>
      <c r="E10" s="59" t="s">
        <v>276</v>
      </c>
      <c r="F10" s="63">
        <v>6</v>
      </c>
      <c r="G10" s="63">
        <v>24</v>
      </c>
      <c r="H10" s="59" t="s">
        <v>301</v>
      </c>
      <c r="I10" s="64">
        <v>46266</v>
      </c>
      <c r="J10" s="26" t="str">
        <f t="shared" si="0"/>
        <v>APP-05|PRD|PRD</v>
      </c>
      <c r="K10" s="26">
        <f>IF($A10="","",COUNTIFS(TblApplications[ID],$A10,TblApplications[Environnement],$B10,TblApplications[Couloir],$C10))</f>
        <v>1</v>
      </c>
      <c r="L10" s="26" t="str">
        <f>IF($A10="","",IF(OR($B10="",$C10="",$F10="",$G10=""),"Données manquantes",IF(OR(AND($B10&lt;&gt;"PRD",$B10&lt;&gt;"NPRD")),"Environnement invalide",IF(COUNTIF(TblDynatrace[Clé],$J10)&gt;1,"Doublon (ID + env + couloir)",IF(OR(NOT(ISNUMBER($F10)),NOT(ISNUMBER($G10))),"Valeur non numérique",IF(MIN($F10,$G10)&lt;0,"Valeur négative",IF(AND($E10&lt;&gt;"",COUNTIFS(TblClusters[Cluster],$E10,TblClusters[Plateforme],"ROKS")&gt;0),"Cluster observé sur ROKS : extraction attendue depuis IKS",IF(AND($E10&lt;&gt;"",COUNTIFS(TblClusters[Cluster],$E10,TblClusters[Plateforme],"IKS")=0),"Cluster IKS inconnu (info)",IF($K10=0,"Aucun déploiement correspondant (info)","OK")))))))))</f>
        <v>OK</v>
      </c>
    </row>
    <row r="11" spans="1:12" x14ac:dyDescent="0.2">
      <c r="A11" s="59"/>
      <c r="B11" s="59"/>
      <c r="C11" s="59"/>
      <c r="D11" s="59"/>
      <c r="E11" s="59"/>
      <c r="F11" s="63"/>
      <c r="G11" s="63"/>
      <c r="H11" s="59"/>
      <c r="I11" s="64"/>
      <c r="J11" s="26" t="str">
        <f t="shared" si="0"/>
        <v/>
      </c>
      <c r="K11" s="26" t="str">
        <f>IF($A11="","",COUNTIFS(TblApplications[ID],$A11,TblApplications[Environnement],$B11,TblApplications[Couloir],$C11))</f>
        <v/>
      </c>
      <c r="L11" s="26" t="str">
        <f>IF($A11="","",IF(OR($B11="",$C11="",$F11="",$G11=""),"Données manquantes",IF(OR(AND($B11&lt;&gt;"PRD",$B11&lt;&gt;"NPRD")),"Environnement invalide",IF(COUNTIF(TblDynatrace[Clé],$J11)&gt;1,"Doublon (ID + env + couloir)",IF(OR(NOT(ISNUMBER($F11)),NOT(ISNUMBER($G11))),"Valeur non numérique",IF(MIN($F11,$G11)&lt;0,"Valeur négative",IF(AND($E11&lt;&gt;"",COUNTIFS(TblClusters[Cluster],$E11,TblClusters[Plateforme],"ROKS")&gt;0),"Cluster observé sur ROKS : extraction attendue depuis IKS",IF(AND($E11&lt;&gt;"",COUNTIFS(TblClusters[Cluster],$E11,TblClusters[Plateforme],"IKS")=0),"Cluster IKS inconnu (info)",IF($K11=0,"Aucun déploiement correspondant (info)","OK")))))))))</f>
        <v/>
      </c>
    </row>
    <row r="12" spans="1:12" x14ac:dyDescent="0.2">
      <c r="A12" s="59"/>
      <c r="B12" s="59"/>
      <c r="C12" s="59"/>
      <c r="D12" s="59"/>
      <c r="E12" s="59"/>
      <c r="F12" s="63"/>
      <c r="G12" s="63"/>
      <c r="H12" s="59"/>
      <c r="I12" s="64"/>
      <c r="J12" s="26" t="str">
        <f t="shared" si="0"/>
        <v/>
      </c>
      <c r="K12" s="26" t="str">
        <f>IF($A12="","",COUNTIFS(TblApplications[ID],$A12,TblApplications[Environnement],$B12,TblApplications[Couloir],$C12))</f>
        <v/>
      </c>
      <c r="L12" s="26" t="str">
        <f>IF($A12="","",IF(OR($B12="",$C12="",$F12="",$G12=""),"Données manquantes",IF(OR(AND($B12&lt;&gt;"PRD",$B12&lt;&gt;"NPRD")),"Environnement invalide",IF(COUNTIF(TblDynatrace[Clé],$J12)&gt;1,"Doublon (ID + env + couloir)",IF(OR(NOT(ISNUMBER($F12)),NOT(ISNUMBER($G12))),"Valeur non numérique",IF(MIN($F12,$G12)&lt;0,"Valeur négative",IF(AND($E12&lt;&gt;"",COUNTIFS(TblClusters[Cluster],$E12,TblClusters[Plateforme],"ROKS")&gt;0),"Cluster observé sur ROKS : extraction attendue depuis IKS",IF(AND($E12&lt;&gt;"",COUNTIFS(TblClusters[Cluster],$E12,TblClusters[Plateforme],"IKS")=0),"Cluster IKS inconnu (info)",IF($K12=0,"Aucun déploiement correspondant (info)","OK")))))))))</f>
        <v/>
      </c>
    </row>
    <row r="13" spans="1:12" x14ac:dyDescent="0.2">
      <c r="A13" s="59"/>
      <c r="B13" s="59"/>
      <c r="C13" s="59"/>
      <c r="D13" s="59"/>
      <c r="E13" s="59"/>
      <c r="F13" s="63"/>
      <c r="G13" s="63"/>
      <c r="H13" s="59"/>
      <c r="I13" s="64"/>
      <c r="J13" s="26" t="str">
        <f t="shared" si="0"/>
        <v/>
      </c>
      <c r="K13" s="26" t="str">
        <f>IF($A13="","",COUNTIFS(TblApplications[ID],$A13,TblApplications[Environnement],$B13,TblApplications[Couloir],$C13))</f>
        <v/>
      </c>
      <c r="L13" s="26" t="str">
        <f>IF($A13="","",IF(OR($B13="",$C13="",$F13="",$G13=""),"Données manquantes",IF(OR(AND($B13&lt;&gt;"PRD",$B13&lt;&gt;"NPRD")),"Environnement invalide",IF(COUNTIF(TblDynatrace[Clé],$J13)&gt;1,"Doublon (ID + env + couloir)",IF(OR(NOT(ISNUMBER($F13)),NOT(ISNUMBER($G13))),"Valeur non numérique",IF(MIN($F13,$G13)&lt;0,"Valeur négative",IF(AND($E13&lt;&gt;"",COUNTIFS(TblClusters[Cluster],$E13,TblClusters[Plateforme],"ROKS")&gt;0),"Cluster observé sur ROKS : extraction attendue depuis IKS",IF(AND($E13&lt;&gt;"",COUNTIFS(TblClusters[Cluster],$E13,TblClusters[Plateforme],"IKS")=0),"Cluster IKS inconnu (info)",IF($K13=0,"Aucun déploiement correspondant (info)","OK")))))))))</f>
        <v/>
      </c>
    </row>
    <row r="14" spans="1:12" x14ac:dyDescent="0.2">
      <c r="A14" s="59"/>
      <c r="B14" s="59"/>
      <c r="C14" s="59"/>
      <c r="D14" s="59"/>
      <c r="E14" s="59"/>
      <c r="F14" s="63"/>
      <c r="G14" s="63"/>
      <c r="H14" s="59"/>
      <c r="I14" s="64"/>
      <c r="J14" s="26" t="str">
        <f t="shared" si="0"/>
        <v/>
      </c>
      <c r="K14" s="26" t="str">
        <f>IF($A14="","",COUNTIFS(TblApplications[ID],$A14,TblApplications[Environnement],$B14,TblApplications[Couloir],$C14))</f>
        <v/>
      </c>
      <c r="L14" s="26" t="str">
        <f>IF($A14="","",IF(OR($B14="",$C14="",$F14="",$G14=""),"Données manquantes",IF(OR(AND($B14&lt;&gt;"PRD",$B14&lt;&gt;"NPRD")),"Environnement invalide",IF(COUNTIF(TblDynatrace[Clé],$J14)&gt;1,"Doublon (ID + env + couloir)",IF(OR(NOT(ISNUMBER($F14)),NOT(ISNUMBER($G14))),"Valeur non numérique",IF(MIN($F14,$G14)&lt;0,"Valeur négative",IF(AND($E14&lt;&gt;"",COUNTIFS(TblClusters[Cluster],$E14,TblClusters[Plateforme],"ROKS")&gt;0),"Cluster observé sur ROKS : extraction attendue depuis IKS",IF(AND($E14&lt;&gt;"",COUNTIFS(TblClusters[Cluster],$E14,TblClusters[Plateforme],"IKS")=0),"Cluster IKS inconnu (info)",IF($K14=0,"Aucun déploiement correspondant (info)","OK")))))))))</f>
        <v/>
      </c>
    </row>
    <row r="15" spans="1:12" x14ac:dyDescent="0.2">
      <c r="A15" s="59"/>
      <c r="B15" s="59"/>
      <c r="C15" s="59"/>
      <c r="D15" s="59"/>
      <c r="E15" s="59"/>
      <c r="F15" s="63"/>
      <c r="G15" s="63"/>
      <c r="H15" s="59"/>
      <c r="I15" s="64"/>
      <c r="J15" s="26" t="str">
        <f t="shared" si="0"/>
        <v/>
      </c>
      <c r="K15" s="26" t="str">
        <f>IF($A15="","",COUNTIFS(TblApplications[ID],$A15,TblApplications[Environnement],$B15,TblApplications[Couloir],$C15))</f>
        <v/>
      </c>
      <c r="L15" s="26" t="str">
        <f>IF($A15="","",IF(OR($B15="",$C15="",$F15="",$G15=""),"Données manquantes",IF(OR(AND($B15&lt;&gt;"PRD",$B15&lt;&gt;"NPRD")),"Environnement invalide",IF(COUNTIF(TblDynatrace[Clé],$J15)&gt;1,"Doublon (ID + env + couloir)",IF(OR(NOT(ISNUMBER($F15)),NOT(ISNUMBER($G15))),"Valeur non numérique",IF(MIN($F15,$G15)&lt;0,"Valeur négative",IF(AND($E15&lt;&gt;"",COUNTIFS(TblClusters[Cluster],$E15,TblClusters[Plateforme],"ROKS")&gt;0),"Cluster observé sur ROKS : extraction attendue depuis IKS",IF(AND($E15&lt;&gt;"",COUNTIFS(TblClusters[Cluster],$E15,TblClusters[Plateforme],"IKS")=0),"Cluster IKS inconnu (info)",IF($K15=0,"Aucun déploiement correspondant (info)","OK")))))))))</f>
        <v/>
      </c>
    </row>
    <row r="16" spans="1:12" x14ac:dyDescent="0.2">
      <c r="A16" s="59"/>
      <c r="B16" s="59"/>
      <c r="C16" s="59"/>
      <c r="D16" s="59"/>
      <c r="E16" s="59"/>
      <c r="F16" s="63"/>
      <c r="G16" s="63"/>
      <c r="H16" s="59"/>
      <c r="I16" s="64"/>
      <c r="J16" s="26" t="str">
        <f t="shared" si="0"/>
        <v/>
      </c>
      <c r="K16" s="26" t="str">
        <f>IF($A16="","",COUNTIFS(TblApplications[ID],$A16,TblApplications[Environnement],$B16,TblApplications[Couloir],$C16))</f>
        <v/>
      </c>
      <c r="L16" s="26" t="str">
        <f>IF($A16="","",IF(OR($B16="",$C16="",$F16="",$G16=""),"Données manquantes",IF(OR(AND($B16&lt;&gt;"PRD",$B16&lt;&gt;"NPRD")),"Environnement invalide",IF(COUNTIF(TblDynatrace[Clé],$J16)&gt;1,"Doublon (ID + env + couloir)",IF(OR(NOT(ISNUMBER($F16)),NOT(ISNUMBER($G16))),"Valeur non numérique",IF(MIN($F16,$G16)&lt;0,"Valeur négative",IF(AND($E16&lt;&gt;"",COUNTIFS(TblClusters[Cluster],$E16,TblClusters[Plateforme],"ROKS")&gt;0),"Cluster observé sur ROKS : extraction attendue depuis IKS",IF(AND($E16&lt;&gt;"",COUNTIFS(TblClusters[Cluster],$E16,TblClusters[Plateforme],"IKS")=0),"Cluster IKS inconnu (info)",IF($K16=0,"Aucun déploiement correspondant (info)","OK")))))))))</f>
        <v/>
      </c>
    </row>
    <row r="17" spans="1:12" x14ac:dyDescent="0.2">
      <c r="A17" s="59"/>
      <c r="B17" s="59"/>
      <c r="C17" s="59"/>
      <c r="D17" s="59"/>
      <c r="E17" s="59"/>
      <c r="F17" s="63"/>
      <c r="G17" s="63"/>
      <c r="H17" s="59"/>
      <c r="I17" s="64"/>
      <c r="J17" s="26" t="str">
        <f t="shared" si="0"/>
        <v/>
      </c>
      <c r="K17" s="26" t="str">
        <f>IF($A17="","",COUNTIFS(TblApplications[ID],$A17,TblApplications[Environnement],$B17,TblApplications[Couloir],$C17))</f>
        <v/>
      </c>
      <c r="L17" s="26" t="str">
        <f>IF($A17="","",IF(OR($B17="",$C17="",$F17="",$G17=""),"Données manquantes",IF(OR(AND($B17&lt;&gt;"PRD",$B17&lt;&gt;"NPRD")),"Environnement invalide",IF(COUNTIF(TblDynatrace[Clé],$J17)&gt;1,"Doublon (ID + env + couloir)",IF(OR(NOT(ISNUMBER($F17)),NOT(ISNUMBER($G17))),"Valeur non numérique",IF(MIN($F17,$G17)&lt;0,"Valeur négative",IF(AND($E17&lt;&gt;"",COUNTIFS(TblClusters[Cluster],$E17,TblClusters[Plateforme],"ROKS")&gt;0),"Cluster observé sur ROKS : extraction attendue depuis IKS",IF(AND($E17&lt;&gt;"",COUNTIFS(TblClusters[Cluster],$E17,TblClusters[Plateforme],"IKS")=0),"Cluster IKS inconnu (info)",IF($K17=0,"Aucun déploiement correspondant (info)","OK")))))))))</f>
        <v/>
      </c>
    </row>
    <row r="18" spans="1:12" x14ac:dyDescent="0.2">
      <c r="A18" s="59"/>
      <c r="B18" s="59"/>
      <c r="C18" s="59"/>
      <c r="D18" s="59"/>
      <c r="E18" s="59"/>
      <c r="F18" s="63"/>
      <c r="G18" s="63"/>
      <c r="H18" s="59"/>
      <c r="I18" s="64"/>
      <c r="J18" s="26" t="str">
        <f t="shared" si="0"/>
        <v/>
      </c>
      <c r="K18" s="26" t="str">
        <f>IF($A18="","",COUNTIFS(TblApplications[ID],$A18,TblApplications[Environnement],$B18,TblApplications[Couloir],$C18))</f>
        <v/>
      </c>
      <c r="L18" s="26" t="str">
        <f>IF($A18="","",IF(OR($B18="",$C18="",$F18="",$G18=""),"Données manquantes",IF(OR(AND($B18&lt;&gt;"PRD",$B18&lt;&gt;"NPRD")),"Environnement invalide",IF(COUNTIF(TblDynatrace[Clé],$J18)&gt;1,"Doublon (ID + env + couloir)",IF(OR(NOT(ISNUMBER($F18)),NOT(ISNUMBER($G18))),"Valeur non numérique",IF(MIN($F18,$G18)&lt;0,"Valeur négative",IF(AND($E18&lt;&gt;"",COUNTIFS(TblClusters[Cluster],$E18,TblClusters[Plateforme],"ROKS")&gt;0),"Cluster observé sur ROKS : extraction attendue depuis IKS",IF(AND($E18&lt;&gt;"",COUNTIFS(TblClusters[Cluster],$E18,TblClusters[Plateforme],"IKS")=0),"Cluster IKS inconnu (info)",IF($K18=0,"Aucun déploiement correspondant (info)","OK")))))))))</f>
        <v/>
      </c>
    </row>
    <row r="19" spans="1:12" x14ac:dyDescent="0.2">
      <c r="A19" s="59"/>
      <c r="B19" s="59"/>
      <c r="C19" s="59"/>
      <c r="D19" s="59"/>
      <c r="E19" s="59"/>
      <c r="F19" s="63"/>
      <c r="G19" s="63"/>
      <c r="H19" s="59"/>
      <c r="I19" s="64"/>
      <c r="J19" s="26" t="str">
        <f t="shared" si="0"/>
        <v/>
      </c>
      <c r="K19" s="26" t="str">
        <f>IF($A19="","",COUNTIFS(TblApplications[ID],$A19,TblApplications[Environnement],$B19,TblApplications[Couloir],$C19))</f>
        <v/>
      </c>
      <c r="L19" s="26" t="str">
        <f>IF($A19="","",IF(OR($B19="",$C19="",$F19="",$G19=""),"Données manquantes",IF(OR(AND($B19&lt;&gt;"PRD",$B19&lt;&gt;"NPRD")),"Environnement invalide",IF(COUNTIF(TblDynatrace[Clé],$J19)&gt;1,"Doublon (ID + env + couloir)",IF(OR(NOT(ISNUMBER($F19)),NOT(ISNUMBER($G19))),"Valeur non numérique",IF(MIN($F19,$G19)&lt;0,"Valeur négative",IF(AND($E19&lt;&gt;"",COUNTIFS(TblClusters[Cluster],$E19,TblClusters[Plateforme],"ROKS")&gt;0),"Cluster observé sur ROKS : extraction attendue depuis IKS",IF(AND($E19&lt;&gt;"",COUNTIFS(TblClusters[Cluster],$E19,TblClusters[Plateforme],"IKS")=0),"Cluster IKS inconnu (info)",IF($K19=0,"Aucun déploiement correspondant (info)","OK")))))))))</f>
        <v/>
      </c>
    </row>
    <row r="20" spans="1:12" x14ac:dyDescent="0.2">
      <c r="A20" s="59"/>
      <c r="B20" s="59"/>
      <c r="C20" s="59"/>
      <c r="D20" s="59"/>
      <c r="E20" s="59"/>
      <c r="F20" s="63"/>
      <c r="G20" s="63"/>
      <c r="H20" s="59"/>
      <c r="I20" s="64"/>
      <c r="J20" s="26" t="str">
        <f t="shared" si="0"/>
        <v/>
      </c>
      <c r="K20" s="26" t="str">
        <f>IF($A20="","",COUNTIFS(TblApplications[ID],$A20,TblApplications[Environnement],$B20,TblApplications[Couloir],$C20))</f>
        <v/>
      </c>
      <c r="L20" s="26" t="str">
        <f>IF($A20="","",IF(OR($B20="",$C20="",$F20="",$G20=""),"Données manquantes",IF(OR(AND($B20&lt;&gt;"PRD",$B20&lt;&gt;"NPRD")),"Environnement invalide",IF(COUNTIF(TblDynatrace[Clé],$J20)&gt;1,"Doublon (ID + env + couloir)",IF(OR(NOT(ISNUMBER($F20)),NOT(ISNUMBER($G20))),"Valeur non numérique",IF(MIN($F20,$G20)&lt;0,"Valeur négative",IF(AND($E20&lt;&gt;"",COUNTIFS(TblClusters[Cluster],$E20,TblClusters[Plateforme],"ROKS")&gt;0),"Cluster observé sur ROKS : extraction attendue depuis IKS",IF(AND($E20&lt;&gt;"",COUNTIFS(TblClusters[Cluster],$E20,TblClusters[Plateforme],"IKS")=0),"Cluster IKS inconnu (info)",IF($K20=0,"Aucun déploiement correspondant (info)","OK")))))))))</f>
        <v/>
      </c>
    </row>
    <row r="21" spans="1:12" x14ac:dyDescent="0.2">
      <c r="A21" s="59"/>
      <c r="B21" s="59"/>
      <c r="C21" s="59"/>
      <c r="D21" s="59"/>
      <c r="E21" s="59"/>
      <c r="F21" s="63"/>
      <c r="G21" s="63"/>
      <c r="H21" s="59"/>
      <c r="I21" s="64"/>
      <c r="J21" s="26" t="str">
        <f t="shared" si="0"/>
        <v/>
      </c>
      <c r="K21" s="26" t="str">
        <f>IF($A21="","",COUNTIFS(TblApplications[ID],$A21,TblApplications[Environnement],$B21,TblApplications[Couloir],$C21))</f>
        <v/>
      </c>
      <c r="L21" s="26" t="str">
        <f>IF($A21="","",IF(OR($B21="",$C21="",$F21="",$G21=""),"Données manquantes",IF(OR(AND($B21&lt;&gt;"PRD",$B21&lt;&gt;"NPRD")),"Environnement invalide",IF(COUNTIF(TblDynatrace[Clé],$J21)&gt;1,"Doublon (ID + env + couloir)",IF(OR(NOT(ISNUMBER($F21)),NOT(ISNUMBER($G21))),"Valeur non numérique",IF(MIN($F21,$G21)&lt;0,"Valeur négative",IF(AND($E21&lt;&gt;"",COUNTIFS(TblClusters[Cluster],$E21,TblClusters[Plateforme],"ROKS")&gt;0),"Cluster observé sur ROKS : extraction attendue depuis IKS",IF(AND($E21&lt;&gt;"",COUNTIFS(TblClusters[Cluster],$E21,TblClusters[Plateforme],"IKS")=0),"Cluster IKS inconnu (info)",IF($K21=0,"Aucun déploiement correspondant (info)","OK")))))))))</f>
        <v/>
      </c>
    </row>
    <row r="22" spans="1:12" x14ac:dyDescent="0.2">
      <c r="A22" s="59"/>
      <c r="B22" s="59"/>
      <c r="C22" s="59"/>
      <c r="D22" s="59"/>
      <c r="E22" s="59"/>
      <c r="F22" s="63"/>
      <c r="G22" s="63"/>
      <c r="H22" s="59"/>
      <c r="I22" s="64"/>
      <c r="J22" s="26" t="str">
        <f t="shared" si="0"/>
        <v/>
      </c>
      <c r="K22" s="26" t="str">
        <f>IF($A22="","",COUNTIFS(TblApplications[ID],$A22,TblApplications[Environnement],$B22,TblApplications[Couloir],$C22))</f>
        <v/>
      </c>
      <c r="L22" s="26" t="str">
        <f>IF($A22="","",IF(OR($B22="",$C22="",$F22="",$G22=""),"Données manquantes",IF(OR(AND($B22&lt;&gt;"PRD",$B22&lt;&gt;"NPRD")),"Environnement invalide",IF(COUNTIF(TblDynatrace[Clé],$J22)&gt;1,"Doublon (ID + env + couloir)",IF(OR(NOT(ISNUMBER($F22)),NOT(ISNUMBER($G22))),"Valeur non numérique",IF(MIN($F22,$G22)&lt;0,"Valeur négative",IF(AND($E22&lt;&gt;"",COUNTIFS(TblClusters[Cluster],$E22,TblClusters[Plateforme],"ROKS")&gt;0),"Cluster observé sur ROKS : extraction attendue depuis IKS",IF(AND($E22&lt;&gt;"",COUNTIFS(TblClusters[Cluster],$E22,TblClusters[Plateforme],"IKS")=0),"Cluster IKS inconnu (info)",IF($K22=0,"Aucun déploiement correspondant (info)","OK")))))))))</f>
        <v/>
      </c>
    </row>
    <row r="23" spans="1:12" x14ac:dyDescent="0.2">
      <c r="A23" s="59"/>
      <c r="B23" s="59"/>
      <c r="C23" s="59"/>
      <c r="D23" s="59"/>
      <c r="E23" s="59"/>
      <c r="F23" s="63"/>
      <c r="G23" s="63"/>
      <c r="H23" s="59"/>
      <c r="I23" s="64"/>
      <c r="J23" s="26" t="str">
        <f t="shared" si="0"/>
        <v/>
      </c>
      <c r="K23" s="26" t="str">
        <f>IF($A23="","",COUNTIFS(TblApplications[ID],$A23,TblApplications[Environnement],$B23,TblApplications[Couloir],$C23))</f>
        <v/>
      </c>
      <c r="L23" s="26" t="str">
        <f>IF($A23="","",IF(OR($B23="",$C23="",$F23="",$G23=""),"Données manquantes",IF(OR(AND($B23&lt;&gt;"PRD",$B23&lt;&gt;"NPRD")),"Environnement invalide",IF(COUNTIF(TblDynatrace[Clé],$J23)&gt;1,"Doublon (ID + env + couloir)",IF(OR(NOT(ISNUMBER($F23)),NOT(ISNUMBER($G23))),"Valeur non numérique",IF(MIN($F23,$G23)&lt;0,"Valeur négative",IF(AND($E23&lt;&gt;"",COUNTIFS(TblClusters[Cluster],$E23,TblClusters[Plateforme],"ROKS")&gt;0),"Cluster observé sur ROKS : extraction attendue depuis IKS",IF(AND($E23&lt;&gt;"",COUNTIFS(TblClusters[Cluster],$E23,TblClusters[Plateforme],"IKS")=0),"Cluster IKS inconnu (info)",IF($K23=0,"Aucun déploiement correspondant (info)","OK")))))))))</f>
        <v/>
      </c>
    </row>
    <row r="24" spans="1:12" x14ac:dyDescent="0.2">
      <c r="A24" s="59"/>
      <c r="B24" s="59"/>
      <c r="C24" s="59"/>
      <c r="D24" s="59"/>
      <c r="E24" s="59"/>
      <c r="F24" s="63"/>
      <c r="G24" s="63"/>
      <c r="H24" s="59"/>
      <c r="I24" s="64"/>
      <c r="J24" s="26" t="str">
        <f t="shared" si="0"/>
        <v/>
      </c>
      <c r="K24" s="26" t="str">
        <f>IF($A24="","",COUNTIFS(TblApplications[ID],$A24,TblApplications[Environnement],$B24,TblApplications[Couloir],$C24))</f>
        <v/>
      </c>
      <c r="L24" s="26" t="str">
        <f>IF($A24="","",IF(OR($B24="",$C24="",$F24="",$G24=""),"Données manquantes",IF(OR(AND($B24&lt;&gt;"PRD",$B24&lt;&gt;"NPRD")),"Environnement invalide",IF(COUNTIF(TblDynatrace[Clé],$J24)&gt;1,"Doublon (ID + env + couloir)",IF(OR(NOT(ISNUMBER($F24)),NOT(ISNUMBER($G24))),"Valeur non numérique",IF(MIN($F24,$G24)&lt;0,"Valeur négative",IF(AND($E24&lt;&gt;"",COUNTIFS(TblClusters[Cluster],$E24,TblClusters[Plateforme],"ROKS")&gt;0),"Cluster observé sur ROKS : extraction attendue depuis IKS",IF(AND($E24&lt;&gt;"",COUNTIFS(TblClusters[Cluster],$E24,TblClusters[Plateforme],"IKS")=0),"Cluster IKS inconnu (info)",IF($K24=0,"Aucun déploiement correspondant (info)","OK")))))))))</f>
        <v/>
      </c>
    </row>
    <row r="25" spans="1:12" x14ac:dyDescent="0.2">
      <c r="A25" s="59"/>
      <c r="B25" s="59"/>
      <c r="C25" s="59"/>
      <c r="D25" s="59"/>
      <c r="E25" s="59"/>
      <c r="F25" s="63"/>
      <c r="G25" s="63"/>
      <c r="H25" s="59"/>
      <c r="I25" s="64"/>
      <c r="J25" s="26" t="str">
        <f t="shared" si="0"/>
        <v/>
      </c>
      <c r="K25" s="26" t="str">
        <f>IF($A25="","",COUNTIFS(TblApplications[ID],$A25,TblApplications[Environnement],$B25,TblApplications[Couloir],$C25))</f>
        <v/>
      </c>
      <c r="L25" s="26" t="str">
        <f>IF($A25="","",IF(OR($B25="",$C25="",$F25="",$G25=""),"Données manquantes",IF(OR(AND($B25&lt;&gt;"PRD",$B25&lt;&gt;"NPRD")),"Environnement invalide",IF(COUNTIF(TblDynatrace[Clé],$J25)&gt;1,"Doublon (ID + env + couloir)",IF(OR(NOT(ISNUMBER($F25)),NOT(ISNUMBER($G25))),"Valeur non numérique",IF(MIN($F25,$G25)&lt;0,"Valeur négative",IF(AND($E25&lt;&gt;"",COUNTIFS(TblClusters[Cluster],$E25,TblClusters[Plateforme],"ROKS")&gt;0),"Cluster observé sur ROKS : extraction attendue depuis IKS",IF(AND($E25&lt;&gt;"",COUNTIFS(TblClusters[Cluster],$E25,TblClusters[Plateforme],"IKS")=0),"Cluster IKS inconnu (info)",IF($K25=0,"Aucun déploiement correspondant (info)","OK")))))))))</f>
        <v/>
      </c>
    </row>
    <row r="26" spans="1:12" x14ac:dyDescent="0.2">
      <c r="A26" s="59"/>
      <c r="B26" s="59"/>
      <c r="C26" s="59"/>
      <c r="D26" s="59"/>
      <c r="E26" s="59"/>
      <c r="F26" s="63"/>
      <c r="G26" s="63"/>
      <c r="H26" s="59"/>
      <c r="I26" s="64"/>
      <c r="J26" s="26" t="str">
        <f t="shared" si="0"/>
        <v/>
      </c>
      <c r="K26" s="26" t="str">
        <f>IF($A26="","",COUNTIFS(TblApplications[ID],$A26,TblApplications[Environnement],$B26,TblApplications[Couloir],$C26))</f>
        <v/>
      </c>
      <c r="L26" s="26" t="str">
        <f>IF($A26="","",IF(OR($B26="",$C26="",$F26="",$G26=""),"Données manquantes",IF(OR(AND($B26&lt;&gt;"PRD",$B26&lt;&gt;"NPRD")),"Environnement invalide",IF(COUNTIF(TblDynatrace[Clé],$J26)&gt;1,"Doublon (ID + env + couloir)",IF(OR(NOT(ISNUMBER($F26)),NOT(ISNUMBER($G26))),"Valeur non numérique",IF(MIN($F26,$G26)&lt;0,"Valeur négative",IF(AND($E26&lt;&gt;"",COUNTIFS(TblClusters[Cluster],$E26,TblClusters[Plateforme],"ROKS")&gt;0),"Cluster observé sur ROKS : extraction attendue depuis IKS",IF(AND($E26&lt;&gt;"",COUNTIFS(TblClusters[Cluster],$E26,TblClusters[Plateforme],"IKS")=0),"Cluster IKS inconnu (info)",IF($K26=0,"Aucun déploiement correspondant (info)","OK")))))))))</f>
        <v/>
      </c>
    </row>
    <row r="27" spans="1:12" x14ac:dyDescent="0.2">
      <c r="A27" s="59"/>
      <c r="B27" s="59"/>
      <c r="C27" s="59"/>
      <c r="D27" s="59"/>
      <c r="E27" s="59"/>
      <c r="F27" s="63"/>
      <c r="G27" s="63"/>
      <c r="H27" s="59"/>
      <c r="I27" s="64"/>
      <c r="J27" s="26" t="str">
        <f t="shared" si="0"/>
        <v/>
      </c>
      <c r="K27" s="26" t="str">
        <f>IF($A27="","",COUNTIFS(TblApplications[ID],$A27,TblApplications[Environnement],$B27,TblApplications[Couloir],$C27))</f>
        <v/>
      </c>
      <c r="L27" s="26" t="str">
        <f>IF($A27="","",IF(OR($B27="",$C27="",$F27="",$G27=""),"Données manquantes",IF(OR(AND($B27&lt;&gt;"PRD",$B27&lt;&gt;"NPRD")),"Environnement invalide",IF(COUNTIF(TblDynatrace[Clé],$J27)&gt;1,"Doublon (ID + env + couloir)",IF(OR(NOT(ISNUMBER($F27)),NOT(ISNUMBER($G27))),"Valeur non numérique",IF(MIN($F27,$G27)&lt;0,"Valeur négative",IF(AND($E27&lt;&gt;"",COUNTIFS(TblClusters[Cluster],$E27,TblClusters[Plateforme],"ROKS")&gt;0),"Cluster observé sur ROKS : extraction attendue depuis IKS",IF(AND($E27&lt;&gt;"",COUNTIFS(TblClusters[Cluster],$E27,TblClusters[Plateforme],"IKS")=0),"Cluster IKS inconnu (info)",IF($K27=0,"Aucun déploiement correspondant (info)","OK")))))))))</f>
        <v/>
      </c>
    </row>
    <row r="28" spans="1:12" x14ac:dyDescent="0.2">
      <c r="A28" s="59"/>
      <c r="B28" s="59"/>
      <c r="C28" s="59"/>
      <c r="D28" s="59"/>
      <c r="E28" s="59"/>
      <c r="F28" s="63"/>
      <c r="G28" s="63"/>
      <c r="H28" s="59"/>
      <c r="I28" s="64"/>
      <c r="J28" s="26" t="str">
        <f t="shared" si="0"/>
        <v/>
      </c>
      <c r="K28" s="26" t="str">
        <f>IF($A28="","",COUNTIFS(TblApplications[ID],$A28,TblApplications[Environnement],$B28,TblApplications[Couloir],$C28))</f>
        <v/>
      </c>
      <c r="L28" s="26" t="str">
        <f>IF($A28="","",IF(OR($B28="",$C28="",$F28="",$G28=""),"Données manquantes",IF(OR(AND($B28&lt;&gt;"PRD",$B28&lt;&gt;"NPRD")),"Environnement invalide",IF(COUNTIF(TblDynatrace[Clé],$J28)&gt;1,"Doublon (ID + env + couloir)",IF(OR(NOT(ISNUMBER($F28)),NOT(ISNUMBER($G28))),"Valeur non numérique",IF(MIN($F28,$G28)&lt;0,"Valeur négative",IF(AND($E28&lt;&gt;"",COUNTIFS(TblClusters[Cluster],$E28,TblClusters[Plateforme],"ROKS")&gt;0),"Cluster observé sur ROKS : extraction attendue depuis IKS",IF(AND($E28&lt;&gt;"",COUNTIFS(TblClusters[Cluster],$E28,TblClusters[Plateforme],"IKS")=0),"Cluster IKS inconnu (info)",IF($K28=0,"Aucun déploiement correspondant (info)","OK")))))))))</f>
        <v/>
      </c>
    </row>
    <row r="29" spans="1:12" x14ac:dyDescent="0.2">
      <c r="A29" s="59"/>
      <c r="B29" s="59"/>
      <c r="C29" s="59"/>
      <c r="D29" s="59"/>
      <c r="E29" s="59"/>
      <c r="F29" s="63"/>
      <c r="G29" s="63"/>
      <c r="H29" s="59"/>
      <c r="I29" s="64"/>
      <c r="J29" s="26" t="str">
        <f t="shared" si="0"/>
        <v/>
      </c>
      <c r="K29" s="26" t="str">
        <f>IF($A29="","",COUNTIFS(TblApplications[ID],$A29,TblApplications[Environnement],$B29,TblApplications[Couloir],$C29))</f>
        <v/>
      </c>
      <c r="L29" s="26" t="str">
        <f>IF($A29="","",IF(OR($B29="",$C29="",$F29="",$G29=""),"Données manquantes",IF(OR(AND($B29&lt;&gt;"PRD",$B29&lt;&gt;"NPRD")),"Environnement invalide",IF(COUNTIF(TblDynatrace[Clé],$J29)&gt;1,"Doublon (ID + env + couloir)",IF(OR(NOT(ISNUMBER($F29)),NOT(ISNUMBER($G29))),"Valeur non numérique",IF(MIN($F29,$G29)&lt;0,"Valeur négative",IF(AND($E29&lt;&gt;"",COUNTIFS(TblClusters[Cluster],$E29,TblClusters[Plateforme],"ROKS")&gt;0),"Cluster observé sur ROKS : extraction attendue depuis IKS",IF(AND($E29&lt;&gt;"",COUNTIFS(TblClusters[Cluster],$E29,TblClusters[Plateforme],"IKS")=0),"Cluster IKS inconnu (info)",IF($K29=0,"Aucun déploiement correspondant (info)","OK")))))))))</f>
        <v/>
      </c>
    </row>
    <row r="30" spans="1:12" x14ac:dyDescent="0.2">
      <c r="A30" s="59"/>
      <c r="B30" s="59"/>
      <c r="C30" s="59"/>
      <c r="D30" s="59"/>
      <c r="E30" s="59"/>
      <c r="F30" s="63"/>
      <c r="G30" s="63"/>
      <c r="H30" s="59"/>
      <c r="I30" s="64"/>
      <c r="J30" s="26" t="str">
        <f t="shared" si="0"/>
        <v/>
      </c>
      <c r="K30" s="26" t="str">
        <f>IF($A30="","",COUNTIFS(TblApplications[ID],$A30,TblApplications[Environnement],$B30,TblApplications[Couloir],$C30))</f>
        <v/>
      </c>
      <c r="L30" s="26" t="str">
        <f>IF($A30="","",IF(OR($B30="",$C30="",$F30="",$G30=""),"Données manquantes",IF(OR(AND($B30&lt;&gt;"PRD",$B30&lt;&gt;"NPRD")),"Environnement invalide",IF(COUNTIF(TblDynatrace[Clé],$J30)&gt;1,"Doublon (ID + env + couloir)",IF(OR(NOT(ISNUMBER($F30)),NOT(ISNUMBER($G30))),"Valeur non numérique",IF(MIN($F30,$G30)&lt;0,"Valeur négative",IF(AND($E30&lt;&gt;"",COUNTIFS(TblClusters[Cluster],$E30,TblClusters[Plateforme],"ROKS")&gt;0),"Cluster observé sur ROKS : extraction attendue depuis IKS",IF(AND($E30&lt;&gt;"",COUNTIFS(TblClusters[Cluster],$E30,TblClusters[Plateforme],"IKS")=0),"Cluster IKS inconnu (info)",IF($K30=0,"Aucun déploiement correspondant (info)","OK")))))))))</f>
        <v/>
      </c>
    </row>
    <row r="31" spans="1:12" x14ac:dyDescent="0.2">
      <c r="A31" s="59"/>
      <c r="B31" s="59"/>
      <c r="C31" s="59"/>
      <c r="D31" s="59"/>
      <c r="E31" s="59"/>
      <c r="F31" s="63"/>
      <c r="G31" s="63"/>
      <c r="H31" s="59"/>
      <c r="I31" s="64"/>
      <c r="J31" s="26" t="str">
        <f t="shared" si="0"/>
        <v/>
      </c>
      <c r="K31" s="26" t="str">
        <f>IF($A31="","",COUNTIFS(TblApplications[ID],$A31,TblApplications[Environnement],$B31,TblApplications[Couloir],$C31))</f>
        <v/>
      </c>
      <c r="L31" s="26" t="str">
        <f>IF($A31="","",IF(OR($B31="",$C31="",$F31="",$G31=""),"Données manquantes",IF(OR(AND($B31&lt;&gt;"PRD",$B31&lt;&gt;"NPRD")),"Environnement invalide",IF(COUNTIF(TblDynatrace[Clé],$J31)&gt;1,"Doublon (ID + env + couloir)",IF(OR(NOT(ISNUMBER($F31)),NOT(ISNUMBER($G31))),"Valeur non numérique",IF(MIN($F31,$G31)&lt;0,"Valeur négative",IF(AND($E31&lt;&gt;"",COUNTIFS(TblClusters[Cluster],$E31,TblClusters[Plateforme],"ROKS")&gt;0),"Cluster observé sur ROKS : extraction attendue depuis IKS",IF(AND($E31&lt;&gt;"",COUNTIFS(TblClusters[Cluster],$E31,TblClusters[Plateforme],"IKS")=0),"Cluster IKS inconnu (info)",IF($K31=0,"Aucun déploiement correspondant (info)","OK")))))))))</f>
        <v/>
      </c>
    </row>
    <row r="32" spans="1:12" x14ac:dyDescent="0.2">
      <c r="A32" s="59"/>
      <c r="B32" s="59"/>
      <c r="C32" s="59"/>
      <c r="D32" s="59"/>
      <c r="E32" s="59"/>
      <c r="F32" s="63"/>
      <c r="G32" s="63"/>
      <c r="H32" s="59"/>
      <c r="I32" s="64"/>
      <c r="J32" s="26" t="str">
        <f t="shared" si="0"/>
        <v/>
      </c>
      <c r="K32" s="26" t="str">
        <f>IF($A32="","",COUNTIFS(TblApplications[ID],$A32,TblApplications[Environnement],$B32,TblApplications[Couloir],$C32))</f>
        <v/>
      </c>
      <c r="L32" s="26" t="str">
        <f>IF($A32="","",IF(OR($B32="",$C32="",$F32="",$G32=""),"Données manquantes",IF(OR(AND($B32&lt;&gt;"PRD",$B32&lt;&gt;"NPRD")),"Environnement invalide",IF(COUNTIF(TblDynatrace[Clé],$J32)&gt;1,"Doublon (ID + env + couloir)",IF(OR(NOT(ISNUMBER($F32)),NOT(ISNUMBER($G32))),"Valeur non numérique",IF(MIN($F32,$G32)&lt;0,"Valeur négative",IF(AND($E32&lt;&gt;"",COUNTIFS(TblClusters[Cluster],$E32,TblClusters[Plateforme],"ROKS")&gt;0),"Cluster observé sur ROKS : extraction attendue depuis IKS",IF(AND($E32&lt;&gt;"",COUNTIFS(TblClusters[Cluster],$E32,TblClusters[Plateforme],"IKS")=0),"Cluster IKS inconnu (info)",IF($K32=0,"Aucun déploiement correspondant (info)","OK")))))))))</f>
        <v/>
      </c>
    </row>
    <row r="33" spans="1:12" x14ac:dyDescent="0.2">
      <c r="A33" s="59"/>
      <c r="B33" s="59"/>
      <c r="C33" s="59"/>
      <c r="D33" s="59"/>
      <c r="E33" s="59"/>
      <c r="F33" s="63"/>
      <c r="G33" s="63"/>
      <c r="H33" s="59"/>
      <c r="I33" s="64"/>
      <c r="J33" s="26" t="str">
        <f t="shared" si="0"/>
        <v/>
      </c>
      <c r="K33" s="26" t="str">
        <f>IF($A33="","",COUNTIFS(TblApplications[ID],$A33,TblApplications[Environnement],$B33,TblApplications[Couloir],$C33))</f>
        <v/>
      </c>
      <c r="L33" s="26" t="str">
        <f>IF($A33="","",IF(OR($B33="",$C33="",$F33="",$G33=""),"Données manquantes",IF(OR(AND($B33&lt;&gt;"PRD",$B33&lt;&gt;"NPRD")),"Environnement invalide",IF(COUNTIF(TblDynatrace[Clé],$J33)&gt;1,"Doublon (ID + env + couloir)",IF(OR(NOT(ISNUMBER($F33)),NOT(ISNUMBER($G33))),"Valeur non numérique",IF(MIN($F33,$G33)&lt;0,"Valeur négative",IF(AND($E33&lt;&gt;"",COUNTIFS(TblClusters[Cluster],$E33,TblClusters[Plateforme],"ROKS")&gt;0),"Cluster observé sur ROKS : extraction attendue depuis IKS",IF(AND($E33&lt;&gt;"",COUNTIFS(TblClusters[Cluster],$E33,TblClusters[Plateforme],"IKS")=0),"Cluster IKS inconnu (info)",IF($K33=0,"Aucun déploiement correspondant (info)","OK")))))))))</f>
        <v/>
      </c>
    </row>
    <row r="34" spans="1:12" x14ac:dyDescent="0.2">
      <c r="A34" s="59"/>
      <c r="B34" s="59"/>
      <c r="C34" s="59"/>
      <c r="D34" s="59"/>
      <c r="E34" s="59"/>
      <c r="F34" s="63"/>
      <c r="G34" s="63"/>
      <c r="H34" s="59"/>
      <c r="I34" s="64"/>
      <c r="J34" s="26" t="str">
        <f t="shared" si="0"/>
        <v/>
      </c>
      <c r="K34" s="26" t="str">
        <f>IF($A34="","",COUNTIFS(TblApplications[ID],$A34,TblApplications[Environnement],$B34,TblApplications[Couloir],$C34))</f>
        <v/>
      </c>
      <c r="L34" s="26" t="str">
        <f>IF($A34="","",IF(OR($B34="",$C34="",$F34="",$G34=""),"Données manquantes",IF(OR(AND($B34&lt;&gt;"PRD",$B34&lt;&gt;"NPRD")),"Environnement invalide",IF(COUNTIF(TblDynatrace[Clé],$J34)&gt;1,"Doublon (ID + env + couloir)",IF(OR(NOT(ISNUMBER($F34)),NOT(ISNUMBER($G34))),"Valeur non numérique",IF(MIN($F34,$G34)&lt;0,"Valeur négative",IF(AND($E34&lt;&gt;"",COUNTIFS(TblClusters[Cluster],$E34,TblClusters[Plateforme],"ROKS")&gt;0),"Cluster observé sur ROKS : extraction attendue depuis IKS",IF(AND($E34&lt;&gt;"",COUNTIFS(TblClusters[Cluster],$E34,TblClusters[Plateforme],"IKS")=0),"Cluster IKS inconnu (info)",IF($K34=0,"Aucun déploiement correspondant (info)","OK")))))))))</f>
        <v/>
      </c>
    </row>
    <row r="35" spans="1:12" x14ac:dyDescent="0.2">
      <c r="A35" s="59"/>
      <c r="B35" s="59"/>
      <c r="C35" s="59"/>
      <c r="D35" s="59"/>
      <c r="E35" s="59"/>
      <c r="F35" s="63"/>
      <c r="G35" s="63"/>
      <c r="H35" s="59"/>
      <c r="I35" s="64"/>
      <c r="J35" s="26" t="str">
        <f t="shared" si="0"/>
        <v/>
      </c>
      <c r="K35" s="26" t="str">
        <f>IF($A35="","",COUNTIFS(TblApplications[ID],$A35,TblApplications[Environnement],$B35,TblApplications[Couloir],$C35))</f>
        <v/>
      </c>
      <c r="L35" s="26" t="str">
        <f>IF($A35="","",IF(OR($B35="",$C35="",$F35="",$G35=""),"Données manquantes",IF(OR(AND($B35&lt;&gt;"PRD",$B35&lt;&gt;"NPRD")),"Environnement invalide",IF(COUNTIF(TblDynatrace[Clé],$J35)&gt;1,"Doublon (ID + env + couloir)",IF(OR(NOT(ISNUMBER($F35)),NOT(ISNUMBER($G35))),"Valeur non numérique",IF(MIN($F35,$G35)&lt;0,"Valeur négative",IF(AND($E35&lt;&gt;"",COUNTIFS(TblClusters[Cluster],$E35,TblClusters[Plateforme],"ROKS")&gt;0),"Cluster observé sur ROKS : extraction attendue depuis IKS",IF(AND($E35&lt;&gt;"",COUNTIFS(TblClusters[Cluster],$E35,TblClusters[Plateforme],"IKS")=0),"Cluster IKS inconnu (info)",IF($K35=0,"Aucun déploiement correspondant (info)","OK")))))))))</f>
        <v/>
      </c>
    </row>
    <row r="36" spans="1:12" x14ac:dyDescent="0.2">
      <c r="A36" s="59"/>
      <c r="B36" s="59"/>
      <c r="C36" s="59"/>
      <c r="D36" s="59"/>
      <c r="E36" s="59"/>
      <c r="F36" s="63"/>
      <c r="G36" s="63"/>
      <c r="H36" s="59"/>
      <c r="I36" s="64"/>
      <c r="J36" s="26" t="str">
        <f t="shared" si="0"/>
        <v/>
      </c>
      <c r="K36" s="26" t="str">
        <f>IF($A36="","",COUNTIFS(TblApplications[ID],$A36,TblApplications[Environnement],$B36,TblApplications[Couloir],$C36))</f>
        <v/>
      </c>
      <c r="L36" s="26" t="str">
        <f>IF($A36="","",IF(OR($B36="",$C36="",$F36="",$G36=""),"Données manquantes",IF(OR(AND($B36&lt;&gt;"PRD",$B36&lt;&gt;"NPRD")),"Environnement invalide",IF(COUNTIF(TblDynatrace[Clé],$J36)&gt;1,"Doublon (ID + env + couloir)",IF(OR(NOT(ISNUMBER($F36)),NOT(ISNUMBER($G36))),"Valeur non numérique",IF(MIN($F36,$G36)&lt;0,"Valeur négative",IF(AND($E36&lt;&gt;"",COUNTIFS(TblClusters[Cluster],$E36,TblClusters[Plateforme],"ROKS")&gt;0),"Cluster observé sur ROKS : extraction attendue depuis IKS",IF(AND($E36&lt;&gt;"",COUNTIFS(TblClusters[Cluster],$E36,TblClusters[Plateforme],"IKS")=0),"Cluster IKS inconnu (info)",IF($K36=0,"Aucun déploiement correspondant (info)","OK")))))))))</f>
        <v/>
      </c>
    </row>
    <row r="37" spans="1:12" x14ac:dyDescent="0.2">
      <c r="A37" s="59"/>
      <c r="B37" s="59"/>
      <c r="C37" s="59"/>
      <c r="D37" s="59"/>
      <c r="E37" s="59"/>
      <c r="F37" s="63"/>
      <c r="G37" s="63"/>
      <c r="H37" s="59"/>
      <c r="I37" s="64"/>
      <c r="J37" s="26" t="str">
        <f t="shared" si="0"/>
        <v/>
      </c>
      <c r="K37" s="26" t="str">
        <f>IF($A37="","",COUNTIFS(TblApplications[ID],$A37,TblApplications[Environnement],$B37,TblApplications[Couloir],$C37))</f>
        <v/>
      </c>
      <c r="L37" s="26" t="str">
        <f>IF($A37="","",IF(OR($B37="",$C37="",$F37="",$G37=""),"Données manquantes",IF(OR(AND($B37&lt;&gt;"PRD",$B37&lt;&gt;"NPRD")),"Environnement invalide",IF(COUNTIF(TblDynatrace[Clé],$J37)&gt;1,"Doublon (ID + env + couloir)",IF(OR(NOT(ISNUMBER($F37)),NOT(ISNUMBER($G37))),"Valeur non numérique",IF(MIN($F37,$G37)&lt;0,"Valeur négative",IF(AND($E37&lt;&gt;"",COUNTIFS(TblClusters[Cluster],$E37,TblClusters[Plateforme],"ROKS")&gt;0),"Cluster observé sur ROKS : extraction attendue depuis IKS",IF(AND($E37&lt;&gt;"",COUNTIFS(TblClusters[Cluster],$E37,TblClusters[Plateforme],"IKS")=0),"Cluster IKS inconnu (info)",IF($K37=0,"Aucun déploiement correspondant (info)","OK")))))))))</f>
        <v/>
      </c>
    </row>
    <row r="38" spans="1:12" x14ac:dyDescent="0.2">
      <c r="A38" s="59"/>
      <c r="B38" s="59"/>
      <c r="C38" s="59"/>
      <c r="D38" s="59"/>
      <c r="E38" s="59"/>
      <c r="F38" s="63"/>
      <c r="G38" s="63"/>
      <c r="H38" s="59"/>
      <c r="I38" s="64"/>
      <c r="J38" s="26" t="str">
        <f t="shared" si="0"/>
        <v/>
      </c>
      <c r="K38" s="26" t="str">
        <f>IF($A38="","",COUNTIFS(TblApplications[ID],$A38,TblApplications[Environnement],$B38,TblApplications[Couloir],$C38))</f>
        <v/>
      </c>
      <c r="L38" s="26" t="str">
        <f>IF($A38="","",IF(OR($B38="",$C38="",$F38="",$G38=""),"Données manquantes",IF(OR(AND($B38&lt;&gt;"PRD",$B38&lt;&gt;"NPRD")),"Environnement invalide",IF(COUNTIF(TblDynatrace[Clé],$J38)&gt;1,"Doublon (ID + env + couloir)",IF(OR(NOT(ISNUMBER($F38)),NOT(ISNUMBER($G38))),"Valeur non numérique",IF(MIN($F38,$G38)&lt;0,"Valeur négative",IF(AND($E38&lt;&gt;"",COUNTIFS(TblClusters[Cluster],$E38,TblClusters[Plateforme],"ROKS")&gt;0),"Cluster observé sur ROKS : extraction attendue depuis IKS",IF(AND($E38&lt;&gt;"",COUNTIFS(TblClusters[Cluster],$E38,TblClusters[Plateforme],"IKS")=0),"Cluster IKS inconnu (info)",IF($K38=0,"Aucun déploiement correspondant (info)","OK")))))))))</f>
        <v/>
      </c>
    </row>
    <row r="39" spans="1:12" x14ac:dyDescent="0.2">
      <c r="A39" s="59"/>
      <c r="B39" s="59"/>
      <c r="C39" s="59"/>
      <c r="D39" s="59"/>
      <c r="E39" s="59"/>
      <c r="F39" s="63"/>
      <c r="G39" s="63"/>
      <c r="H39" s="59"/>
      <c r="I39" s="64"/>
      <c r="J39" s="26" t="str">
        <f t="shared" si="0"/>
        <v/>
      </c>
      <c r="K39" s="26" t="str">
        <f>IF($A39="","",COUNTIFS(TblApplications[ID],$A39,TblApplications[Environnement],$B39,TblApplications[Couloir],$C39))</f>
        <v/>
      </c>
      <c r="L39" s="26" t="str">
        <f>IF($A39="","",IF(OR($B39="",$C39="",$F39="",$G39=""),"Données manquantes",IF(OR(AND($B39&lt;&gt;"PRD",$B39&lt;&gt;"NPRD")),"Environnement invalide",IF(COUNTIF(TblDynatrace[Clé],$J39)&gt;1,"Doublon (ID + env + couloir)",IF(OR(NOT(ISNUMBER($F39)),NOT(ISNUMBER($G39))),"Valeur non numérique",IF(MIN($F39,$G39)&lt;0,"Valeur négative",IF(AND($E39&lt;&gt;"",COUNTIFS(TblClusters[Cluster],$E39,TblClusters[Plateforme],"ROKS")&gt;0),"Cluster observé sur ROKS : extraction attendue depuis IKS",IF(AND($E39&lt;&gt;"",COUNTIFS(TblClusters[Cluster],$E39,TblClusters[Plateforme],"IKS")=0),"Cluster IKS inconnu (info)",IF($K39=0,"Aucun déploiement correspondant (info)","OK")))))))))</f>
        <v/>
      </c>
    </row>
    <row r="40" spans="1:12" x14ac:dyDescent="0.2">
      <c r="A40" s="59"/>
      <c r="B40" s="59"/>
      <c r="C40" s="59"/>
      <c r="D40" s="59"/>
      <c r="E40" s="59"/>
      <c r="F40" s="63"/>
      <c r="G40" s="63"/>
      <c r="H40" s="59"/>
      <c r="I40" s="64"/>
      <c r="J40" s="26" t="str">
        <f t="shared" si="0"/>
        <v/>
      </c>
      <c r="K40" s="26" t="str">
        <f>IF($A40="","",COUNTIFS(TblApplications[ID],$A40,TblApplications[Environnement],$B40,TblApplications[Couloir],$C40))</f>
        <v/>
      </c>
      <c r="L40" s="26" t="str">
        <f>IF($A40="","",IF(OR($B40="",$C40="",$F40="",$G40=""),"Données manquantes",IF(OR(AND($B40&lt;&gt;"PRD",$B40&lt;&gt;"NPRD")),"Environnement invalide",IF(COUNTIF(TblDynatrace[Clé],$J40)&gt;1,"Doublon (ID + env + couloir)",IF(OR(NOT(ISNUMBER($F40)),NOT(ISNUMBER($G40))),"Valeur non numérique",IF(MIN($F40,$G40)&lt;0,"Valeur négative",IF(AND($E40&lt;&gt;"",COUNTIFS(TblClusters[Cluster],$E40,TblClusters[Plateforme],"ROKS")&gt;0),"Cluster observé sur ROKS : extraction attendue depuis IKS",IF(AND($E40&lt;&gt;"",COUNTIFS(TblClusters[Cluster],$E40,TblClusters[Plateforme],"IKS")=0),"Cluster IKS inconnu (info)",IF($K40=0,"Aucun déploiement correspondant (info)","OK")))))))))</f>
        <v/>
      </c>
    </row>
    <row r="41" spans="1:12" x14ac:dyDescent="0.2">
      <c r="A41" s="59"/>
      <c r="B41" s="59"/>
      <c r="C41" s="59"/>
      <c r="D41" s="59"/>
      <c r="E41" s="59"/>
      <c r="F41" s="63"/>
      <c r="G41" s="63"/>
      <c r="H41" s="59"/>
      <c r="I41" s="64"/>
      <c r="J41" s="26" t="str">
        <f t="shared" si="0"/>
        <v/>
      </c>
      <c r="K41" s="26" t="str">
        <f>IF($A41="","",COUNTIFS(TblApplications[ID],$A41,TblApplications[Environnement],$B41,TblApplications[Couloir],$C41))</f>
        <v/>
      </c>
      <c r="L41" s="26" t="str">
        <f>IF($A41="","",IF(OR($B41="",$C41="",$F41="",$G41=""),"Données manquantes",IF(OR(AND($B41&lt;&gt;"PRD",$B41&lt;&gt;"NPRD")),"Environnement invalide",IF(COUNTIF(TblDynatrace[Clé],$J41)&gt;1,"Doublon (ID + env + couloir)",IF(OR(NOT(ISNUMBER($F41)),NOT(ISNUMBER($G41))),"Valeur non numérique",IF(MIN($F41,$G41)&lt;0,"Valeur négative",IF(AND($E41&lt;&gt;"",COUNTIFS(TblClusters[Cluster],$E41,TblClusters[Plateforme],"ROKS")&gt;0),"Cluster observé sur ROKS : extraction attendue depuis IKS",IF(AND($E41&lt;&gt;"",COUNTIFS(TblClusters[Cluster],$E41,TblClusters[Plateforme],"IKS")=0),"Cluster IKS inconnu (info)",IF($K41=0,"Aucun déploiement correspondant (info)","OK")))))))))</f>
        <v/>
      </c>
    </row>
    <row r="42" spans="1:12" x14ac:dyDescent="0.2">
      <c r="A42" s="59"/>
      <c r="B42" s="59"/>
      <c r="C42" s="59"/>
      <c r="D42" s="59"/>
      <c r="E42" s="59"/>
      <c r="F42" s="63"/>
      <c r="G42" s="63"/>
      <c r="H42" s="59"/>
      <c r="I42" s="64"/>
      <c r="J42" s="26" t="str">
        <f t="shared" si="0"/>
        <v/>
      </c>
      <c r="K42" s="26" t="str">
        <f>IF($A42="","",COUNTIFS(TblApplications[ID],$A42,TblApplications[Environnement],$B42,TblApplications[Couloir],$C42))</f>
        <v/>
      </c>
      <c r="L42" s="26" t="str">
        <f>IF($A42="","",IF(OR($B42="",$C42="",$F42="",$G42=""),"Données manquantes",IF(OR(AND($B42&lt;&gt;"PRD",$B42&lt;&gt;"NPRD")),"Environnement invalide",IF(COUNTIF(TblDynatrace[Clé],$J42)&gt;1,"Doublon (ID + env + couloir)",IF(OR(NOT(ISNUMBER($F42)),NOT(ISNUMBER($G42))),"Valeur non numérique",IF(MIN($F42,$G42)&lt;0,"Valeur négative",IF(AND($E42&lt;&gt;"",COUNTIFS(TblClusters[Cluster],$E42,TblClusters[Plateforme],"ROKS")&gt;0),"Cluster observé sur ROKS : extraction attendue depuis IKS",IF(AND($E42&lt;&gt;"",COUNTIFS(TblClusters[Cluster],$E42,TblClusters[Plateforme],"IKS")=0),"Cluster IKS inconnu (info)",IF($K42=0,"Aucun déploiement correspondant (info)","OK")))))))))</f>
        <v/>
      </c>
    </row>
    <row r="43" spans="1:12" x14ac:dyDescent="0.2">
      <c r="A43" s="59"/>
      <c r="B43" s="59"/>
      <c r="C43" s="59"/>
      <c r="D43" s="59"/>
      <c r="E43" s="59"/>
      <c r="F43" s="63"/>
      <c r="G43" s="63"/>
      <c r="H43" s="59"/>
      <c r="I43" s="64"/>
      <c r="J43" s="26" t="str">
        <f t="shared" si="0"/>
        <v/>
      </c>
      <c r="K43" s="26" t="str">
        <f>IF($A43="","",COUNTIFS(TblApplications[ID],$A43,TblApplications[Environnement],$B43,TblApplications[Couloir],$C43))</f>
        <v/>
      </c>
      <c r="L43" s="26" t="str">
        <f>IF($A43="","",IF(OR($B43="",$C43="",$F43="",$G43=""),"Données manquantes",IF(OR(AND($B43&lt;&gt;"PRD",$B43&lt;&gt;"NPRD")),"Environnement invalide",IF(COUNTIF(TblDynatrace[Clé],$J43)&gt;1,"Doublon (ID + env + couloir)",IF(OR(NOT(ISNUMBER($F43)),NOT(ISNUMBER($G43))),"Valeur non numérique",IF(MIN($F43,$G43)&lt;0,"Valeur négative",IF(AND($E43&lt;&gt;"",COUNTIFS(TblClusters[Cluster],$E43,TblClusters[Plateforme],"ROKS")&gt;0),"Cluster observé sur ROKS : extraction attendue depuis IKS",IF(AND($E43&lt;&gt;"",COUNTIFS(TblClusters[Cluster],$E43,TblClusters[Plateforme],"IKS")=0),"Cluster IKS inconnu (info)",IF($K43=0,"Aucun déploiement correspondant (info)","OK")))))))))</f>
        <v/>
      </c>
    </row>
    <row r="44" spans="1:12" x14ac:dyDescent="0.2">
      <c r="A44" s="59"/>
      <c r="B44" s="59"/>
      <c r="C44" s="59"/>
      <c r="D44" s="59"/>
      <c r="E44" s="59"/>
      <c r="F44" s="63"/>
      <c r="G44" s="63"/>
      <c r="H44" s="59"/>
      <c r="I44" s="64"/>
      <c r="J44" s="26" t="str">
        <f t="shared" si="0"/>
        <v/>
      </c>
      <c r="K44" s="26" t="str">
        <f>IF($A44="","",COUNTIFS(TblApplications[ID],$A44,TblApplications[Environnement],$B44,TblApplications[Couloir],$C44))</f>
        <v/>
      </c>
      <c r="L44" s="26" t="str">
        <f>IF($A44="","",IF(OR($B44="",$C44="",$F44="",$G44=""),"Données manquantes",IF(OR(AND($B44&lt;&gt;"PRD",$B44&lt;&gt;"NPRD")),"Environnement invalide",IF(COUNTIF(TblDynatrace[Clé],$J44)&gt;1,"Doublon (ID + env + couloir)",IF(OR(NOT(ISNUMBER($F44)),NOT(ISNUMBER($G44))),"Valeur non numérique",IF(MIN($F44,$G44)&lt;0,"Valeur négative",IF(AND($E44&lt;&gt;"",COUNTIFS(TblClusters[Cluster],$E44,TblClusters[Plateforme],"ROKS")&gt;0),"Cluster observé sur ROKS : extraction attendue depuis IKS",IF(AND($E44&lt;&gt;"",COUNTIFS(TblClusters[Cluster],$E44,TblClusters[Plateforme],"IKS")=0),"Cluster IKS inconnu (info)",IF($K44=0,"Aucun déploiement correspondant (info)","OK")))))))))</f>
        <v/>
      </c>
    </row>
    <row r="45" spans="1:12" x14ac:dyDescent="0.2">
      <c r="A45" s="59"/>
      <c r="B45" s="59"/>
      <c r="C45" s="59"/>
      <c r="D45" s="59"/>
      <c r="E45" s="59"/>
      <c r="F45" s="63"/>
      <c r="G45" s="63"/>
      <c r="H45" s="59"/>
      <c r="I45" s="64"/>
      <c r="J45" s="26" t="str">
        <f t="shared" si="0"/>
        <v/>
      </c>
      <c r="K45" s="26" t="str">
        <f>IF($A45="","",COUNTIFS(TblApplications[ID],$A45,TblApplications[Environnement],$B45,TblApplications[Couloir],$C45))</f>
        <v/>
      </c>
      <c r="L45" s="26" t="str">
        <f>IF($A45="","",IF(OR($B45="",$C45="",$F45="",$G45=""),"Données manquantes",IF(OR(AND($B45&lt;&gt;"PRD",$B45&lt;&gt;"NPRD")),"Environnement invalide",IF(COUNTIF(TblDynatrace[Clé],$J45)&gt;1,"Doublon (ID + env + couloir)",IF(OR(NOT(ISNUMBER($F45)),NOT(ISNUMBER($G45))),"Valeur non numérique",IF(MIN($F45,$G45)&lt;0,"Valeur négative",IF(AND($E45&lt;&gt;"",COUNTIFS(TblClusters[Cluster],$E45,TblClusters[Plateforme],"ROKS")&gt;0),"Cluster observé sur ROKS : extraction attendue depuis IKS",IF(AND($E45&lt;&gt;"",COUNTIFS(TblClusters[Cluster],$E45,TblClusters[Plateforme],"IKS")=0),"Cluster IKS inconnu (info)",IF($K45=0,"Aucun déploiement correspondant (info)","OK")))))))))</f>
        <v/>
      </c>
    </row>
    <row r="46" spans="1:12" x14ac:dyDescent="0.2">
      <c r="A46" s="59"/>
      <c r="B46" s="59"/>
      <c r="C46" s="59"/>
      <c r="D46" s="59"/>
      <c r="E46" s="59"/>
      <c r="F46" s="63"/>
      <c r="G46" s="63"/>
      <c r="H46" s="59"/>
      <c r="I46" s="64"/>
      <c r="J46" s="26" t="str">
        <f t="shared" si="0"/>
        <v/>
      </c>
      <c r="K46" s="26" t="str">
        <f>IF($A46="","",COUNTIFS(TblApplications[ID],$A46,TblApplications[Environnement],$B46,TblApplications[Couloir],$C46))</f>
        <v/>
      </c>
      <c r="L46" s="26" t="str">
        <f>IF($A46="","",IF(OR($B46="",$C46="",$F46="",$G46=""),"Données manquantes",IF(OR(AND($B46&lt;&gt;"PRD",$B46&lt;&gt;"NPRD")),"Environnement invalide",IF(COUNTIF(TblDynatrace[Clé],$J46)&gt;1,"Doublon (ID + env + couloir)",IF(OR(NOT(ISNUMBER($F46)),NOT(ISNUMBER($G46))),"Valeur non numérique",IF(MIN($F46,$G46)&lt;0,"Valeur négative",IF(AND($E46&lt;&gt;"",COUNTIFS(TblClusters[Cluster],$E46,TblClusters[Plateforme],"ROKS")&gt;0),"Cluster observé sur ROKS : extraction attendue depuis IKS",IF(AND($E46&lt;&gt;"",COUNTIFS(TblClusters[Cluster],$E46,TblClusters[Plateforme],"IKS")=0),"Cluster IKS inconnu (info)",IF($K46=0,"Aucun déploiement correspondant (info)","OK")))))))))</f>
        <v/>
      </c>
    </row>
    <row r="47" spans="1:12" x14ac:dyDescent="0.2">
      <c r="A47" s="59"/>
      <c r="B47" s="59"/>
      <c r="C47" s="59"/>
      <c r="D47" s="59"/>
      <c r="E47" s="59"/>
      <c r="F47" s="63"/>
      <c r="G47" s="63"/>
      <c r="H47" s="59"/>
      <c r="I47" s="64"/>
      <c r="J47" s="26" t="str">
        <f t="shared" si="0"/>
        <v/>
      </c>
      <c r="K47" s="26" t="str">
        <f>IF($A47="","",COUNTIFS(TblApplications[ID],$A47,TblApplications[Environnement],$B47,TblApplications[Couloir],$C47))</f>
        <v/>
      </c>
      <c r="L47" s="26" t="str">
        <f>IF($A47="","",IF(OR($B47="",$C47="",$F47="",$G47=""),"Données manquantes",IF(OR(AND($B47&lt;&gt;"PRD",$B47&lt;&gt;"NPRD")),"Environnement invalide",IF(COUNTIF(TblDynatrace[Clé],$J47)&gt;1,"Doublon (ID + env + couloir)",IF(OR(NOT(ISNUMBER($F47)),NOT(ISNUMBER($G47))),"Valeur non numérique",IF(MIN($F47,$G47)&lt;0,"Valeur négative",IF(AND($E47&lt;&gt;"",COUNTIFS(TblClusters[Cluster],$E47,TblClusters[Plateforme],"ROKS")&gt;0),"Cluster observé sur ROKS : extraction attendue depuis IKS",IF(AND($E47&lt;&gt;"",COUNTIFS(TblClusters[Cluster],$E47,TblClusters[Plateforme],"IKS")=0),"Cluster IKS inconnu (info)",IF($K47=0,"Aucun déploiement correspondant (info)","OK")))))))))</f>
        <v/>
      </c>
    </row>
    <row r="48" spans="1:12" x14ac:dyDescent="0.2">
      <c r="A48" s="59"/>
      <c r="B48" s="59"/>
      <c r="C48" s="59"/>
      <c r="D48" s="59"/>
      <c r="E48" s="59"/>
      <c r="F48" s="63"/>
      <c r="G48" s="63"/>
      <c r="H48" s="59"/>
      <c r="I48" s="64"/>
      <c r="J48" s="26" t="str">
        <f t="shared" si="0"/>
        <v/>
      </c>
      <c r="K48" s="26" t="str">
        <f>IF($A48="","",COUNTIFS(TblApplications[ID],$A48,TblApplications[Environnement],$B48,TblApplications[Couloir],$C48))</f>
        <v/>
      </c>
      <c r="L48" s="26" t="str">
        <f>IF($A48="","",IF(OR($B48="",$C48="",$F48="",$G48=""),"Données manquantes",IF(OR(AND($B48&lt;&gt;"PRD",$B48&lt;&gt;"NPRD")),"Environnement invalide",IF(COUNTIF(TblDynatrace[Clé],$J48)&gt;1,"Doublon (ID + env + couloir)",IF(OR(NOT(ISNUMBER($F48)),NOT(ISNUMBER($G48))),"Valeur non numérique",IF(MIN($F48,$G48)&lt;0,"Valeur négative",IF(AND($E48&lt;&gt;"",COUNTIFS(TblClusters[Cluster],$E48,TblClusters[Plateforme],"ROKS")&gt;0),"Cluster observé sur ROKS : extraction attendue depuis IKS",IF(AND($E48&lt;&gt;"",COUNTIFS(TblClusters[Cluster],$E48,TblClusters[Plateforme],"IKS")=0),"Cluster IKS inconnu (info)",IF($K48=0,"Aucun déploiement correspondant (info)","OK")))))))))</f>
        <v/>
      </c>
    </row>
    <row r="49" spans="1:12" x14ac:dyDescent="0.2">
      <c r="A49" s="59"/>
      <c r="B49" s="59"/>
      <c r="C49" s="59"/>
      <c r="D49" s="59"/>
      <c r="E49" s="59"/>
      <c r="F49" s="63"/>
      <c r="G49" s="63"/>
      <c r="H49" s="59"/>
      <c r="I49" s="64"/>
      <c r="J49" s="26" t="str">
        <f t="shared" si="0"/>
        <v/>
      </c>
      <c r="K49" s="26" t="str">
        <f>IF($A49="","",COUNTIFS(TblApplications[ID],$A49,TblApplications[Environnement],$B49,TblApplications[Couloir],$C49))</f>
        <v/>
      </c>
      <c r="L49" s="26" t="str">
        <f>IF($A49="","",IF(OR($B49="",$C49="",$F49="",$G49=""),"Données manquantes",IF(OR(AND($B49&lt;&gt;"PRD",$B49&lt;&gt;"NPRD")),"Environnement invalide",IF(COUNTIF(TblDynatrace[Clé],$J49)&gt;1,"Doublon (ID + env + couloir)",IF(OR(NOT(ISNUMBER($F49)),NOT(ISNUMBER($G49))),"Valeur non numérique",IF(MIN($F49,$G49)&lt;0,"Valeur négative",IF(AND($E49&lt;&gt;"",COUNTIFS(TblClusters[Cluster],$E49,TblClusters[Plateforme],"ROKS")&gt;0),"Cluster observé sur ROKS : extraction attendue depuis IKS",IF(AND($E49&lt;&gt;"",COUNTIFS(TblClusters[Cluster],$E49,TblClusters[Plateforme],"IKS")=0),"Cluster IKS inconnu (info)",IF($K49=0,"Aucun déploiement correspondant (info)","OK")))))))))</f>
        <v/>
      </c>
    </row>
    <row r="50" spans="1:12" x14ac:dyDescent="0.2">
      <c r="A50" s="59"/>
      <c r="B50" s="59"/>
      <c r="C50" s="59"/>
      <c r="D50" s="59"/>
      <c r="E50" s="59"/>
      <c r="F50" s="63"/>
      <c r="G50" s="63"/>
      <c r="H50" s="59"/>
      <c r="I50" s="64"/>
      <c r="J50" s="26" t="str">
        <f t="shared" si="0"/>
        <v/>
      </c>
      <c r="K50" s="26" t="str">
        <f>IF($A50="","",COUNTIFS(TblApplications[ID],$A50,TblApplications[Environnement],$B50,TblApplications[Couloir],$C50))</f>
        <v/>
      </c>
      <c r="L50" s="26" t="str">
        <f>IF($A50="","",IF(OR($B50="",$C50="",$F50="",$G50=""),"Données manquantes",IF(OR(AND($B50&lt;&gt;"PRD",$B50&lt;&gt;"NPRD")),"Environnement invalide",IF(COUNTIF(TblDynatrace[Clé],$J50)&gt;1,"Doublon (ID + env + couloir)",IF(OR(NOT(ISNUMBER($F50)),NOT(ISNUMBER($G50))),"Valeur non numérique",IF(MIN($F50,$G50)&lt;0,"Valeur négative",IF(AND($E50&lt;&gt;"",COUNTIFS(TblClusters[Cluster],$E50,TblClusters[Plateforme],"ROKS")&gt;0),"Cluster observé sur ROKS : extraction attendue depuis IKS",IF(AND($E50&lt;&gt;"",COUNTIFS(TblClusters[Cluster],$E50,TblClusters[Plateforme],"IKS")=0),"Cluster IKS inconnu (info)",IF($K50=0,"Aucun déploiement correspondant (info)","OK")))))))))</f>
        <v/>
      </c>
    </row>
    <row r="51" spans="1:12" x14ac:dyDescent="0.2">
      <c r="A51" s="59"/>
      <c r="B51" s="59"/>
      <c r="C51" s="59"/>
      <c r="D51" s="59"/>
      <c r="E51" s="59"/>
      <c r="F51" s="63"/>
      <c r="G51" s="63"/>
      <c r="H51" s="59"/>
      <c r="I51" s="64"/>
      <c r="J51" s="26" t="str">
        <f t="shared" si="0"/>
        <v/>
      </c>
      <c r="K51" s="26" t="str">
        <f>IF($A51="","",COUNTIFS(TblApplications[ID],$A51,TblApplications[Environnement],$B51,TblApplications[Couloir],$C51))</f>
        <v/>
      </c>
      <c r="L51" s="26" t="str">
        <f>IF($A51="","",IF(OR($B51="",$C51="",$F51="",$G51=""),"Données manquantes",IF(OR(AND($B51&lt;&gt;"PRD",$B51&lt;&gt;"NPRD")),"Environnement invalide",IF(COUNTIF(TblDynatrace[Clé],$J51)&gt;1,"Doublon (ID + env + couloir)",IF(OR(NOT(ISNUMBER($F51)),NOT(ISNUMBER($G51))),"Valeur non numérique",IF(MIN($F51,$G51)&lt;0,"Valeur négative",IF(AND($E51&lt;&gt;"",COUNTIFS(TblClusters[Cluster],$E51,TblClusters[Plateforme],"ROKS")&gt;0),"Cluster observé sur ROKS : extraction attendue depuis IKS",IF(AND($E51&lt;&gt;"",COUNTIFS(TblClusters[Cluster],$E51,TblClusters[Plateforme],"IKS")=0),"Cluster IKS inconnu (info)",IF($K51=0,"Aucun déploiement correspondant (info)","OK")))))))))</f>
        <v/>
      </c>
    </row>
    <row r="52" spans="1:12" x14ac:dyDescent="0.2">
      <c r="A52" s="59"/>
      <c r="B52" s="59"/>
      <c r="C52" s="59"/>
      <c r="D52" s="59"/>
      <c r="E52" s="59"/>
      <c r="F52" s="63"/>
      <c r="G52" s="63"/>
      <c r="H52" s="59"/>
      <c r="I52" s="64"/>
      <c r="J52" s="26" t="str">
        <f t="shared" si="0"/>
        <v/>
      </c>
      <c r="K52" s="26" t="str">
        <f>IF($A52="","",COUNTIFS(TblApplications[ID],$A52,TblApplications[Environnement],$B52,TblApplications[Couloir],$C52))</f>
        <v/>
      </c>
      <c r="L52" s="26" t="str">
        <f>IF($A52="","",IF(OR($B52="",$C52="",$F52="",$G52=""),"Données manquantes",IF(OR(AND($B52&lt;&gt;"PRD",$B52&lt;&gt;"NPRD")),"Environnement invalide",IF(COUNTIF(TblDynatrace[Clé],$J52)&gt;1,"Doublon (ID + env + couloir)",IF(OR(NOT(ISNUMBER($F52)),NOT(ISNUMBER($G52))),"Valeur non numérique",IF(MIN($F52,$G52)&lt;0,"Valeur négative",IF(AND($E52&lt;&gt;"",COUNTIFS(TblClusters[Cluster],$E52,TblClusters[Plateforme],"ROKS")&gt;0),"Cluster observé sur ROKS : extraction attendue depuis IKS",IF(AND($E52&lt;&gt;"",COUNTIFS(TblClusters[Cluster],$E52,TblClusters[Plateforme],"IKS")=0),"Cluster IKS inconnu (info)",IF($K52=0,"Aucun déploiement correspondant (info)","OK")))))))))</f>
        <v/>
      </c>
    </row>
    <row r="53" spans="1:12" x14ac:dyDescent="0.2">
      <c r="A53" s="59"/>
      <c r="B53" s="59"/>
      <c r="C53" s="59"/>
      <c r="D53" s="59"/>
      <c r="E53" s="59"/>
      <c r="F53" s="63"/>
      <c r="G53" s="63"/>
      <c r="H53" s="59"/>
      <c r="I53" s="64"/>
      <c r="J53" s="26" t="str">
        <f t="shared" si="0"/>
        <v/>
      </c>
      <c r="K53" s="26" t="str">
        <f>IF($A53="","",COUNTIFS(TblApplications[ID],$A53,TblApplications[Environnement],$B53,TblApplications[Couloir],$C53))</f>
        <v/>
      </c>
      <c r="L53" s="26" t="str">
        <f>IF($A53="","",IF(OR($B53="",$C53="",$F53="",$G53=""),"Données manquantes",IF(OR(AND($B53&lt;&gt;"PRD",$B53&lt;&gt;"NPRD")),"Environnement invalide",IF(COUNTIF(TblDynatrace[Clé],$J53)&gt;1,"Doublon (ID + env + couloir)",IF(OR(NOT(ISNUMBER($F53)),NOT(ISNUMBER($G53))),"Valeur non numérique",IF(MIN($F53,$G53)&lt;0,"Valeur négative",IF(AND($E53&lt;&gt;"",COUNTIFS(TblClusters[Cluster],$E53,TblClusters[Plateforme],"ROKS")&gt;0),"Cluster observé sur ROKS : extraction attendue depuis IKS",IF(AND($E53&lt;&gt;"",COUNTIFS(TblClusters[Cluster],$E53,TblClusters[Plateforme],"IKS")=0),"Cluster IKS inconnu (info)",IF($K53=0,"Aucun déploiement correspondant (info)","OK")))))))))</f>
        <v/>
      </c>
    </row>
    <row r="54" spans="1:12" x14ac:dyDescent="0.2">
      <c r="A54" s="59"/>
      <c r="B54" s="59"/>
      <c r="C54" s="59"/>
      <c r="D54" s="59"/>
      <c r="E54" s="59"/>
      <c r="F54" s="63"/>
      <c r="G54" s="63"/>
      <c r="H54" s="59"/>
      <c r="I54" s="64"/>
      <c r="J54" s="26" t="str">
        <f t="shared" si="0"/>
        <v/>
      </c>
      <c r="K54" s="26" t="str">
        <f>IF($A54="","",COUNTIFS(TblApplications[ID],$A54,TblApplications[Environnement],$B54,TblApplications[Couloir],$C54))</f>
        <v/>
      </c>
      <c r="L54" s="26" t="str">
        <f>IF($A54="","",IF(OR($B54="",$C54="",$F54="",$G54=""),"Données manquantes",IF(OR(AND($B54&lt;&gt;"PRD",$B54&lt;&gt;"NPRD")),"Environnement invalide",IF(COUNTIF(TblDynatrace[Clé],$J54)&gt;1,"Doublon (ID + env + couloir)",IF(OR(NOT(ISNUMBER($F54)),NOT(ISNUMBER($G54))),"Valeur non numérique",IF(MIN($F54,$G54)&lt;0,"Valeur négative",IF(AND($E54&lt;&gt;"",COUNTIFS(TblClusters[Cluster],$E54,TblClusters[Plateforme],"ROKS")&gt;0),"Cluster observé sur ROKS : extraction attendue depuis IKS",IF(AND($E54&lt;&gt;"",COUNTIFS(TblClusters[Cluster],$E54,TblClusters[Plateforme],"IKS")=0),"Cluster IKS inconnu (info)",IF($K54=0,"Aucun déploiement correspondant (info)","OK")))))))))</f>
        <v/>
      </c>
    </row>
    <row r="55" spans="1:12" x14ac:dyDescent="0.2">
      <c r="A55" s="59"/>
      <c r="B55" s="59"/>
      <c r="C55" s="59"/>
      <c r="D55" s="59"/>
      <c r="E55" s="59"/>
      <c r="F55" s="63"/>
      <c r="G55" s="63"/>
      <c r="H55" s="59"/>
      <c r="I55" s="64"/>
      <c r="J55" s="26" t="str">
        <f t="shared" si="0"/>
        <v/>
      </c>
      <c r="K55" s="26" t="str">
        <f>IF($A55="","",COUNTIFS(TblApplications[ID],$A55,TblApplications[Environnement],$B55,TblApplications[Couloir],$C55))</f>
        <v/>
      </c>
      <c r="L55" s="26" t="str">
        <f>IF($A55="","",IF(OR($B55="",$C55="",$F55="",$G55=""),"Données manquantes",IF(OR(AND($B55&lt;&gt;"PRD",$B55&lt;&gt;"NPRD")),"Environnement invalide",IF(COUNTIF(TblDynatrace[Clé],$J55)&gt;1,"Doublon (ID + env + couloir)",IF(OR(NOT(ISNUMBER($F55)),NOT(ISNUMBER($G55))),"Valeur non numérique",IF(MIN($F55,$G55)&lt;0,"Valeur négative",IF(AND($E55&lt;&gt;"",COUNTIFS(TblClusters[Cluster],$E55,TblClusters[Plateforme],"ROKS")&gt;0),"Cluster observé sur ROKS : extraction attendue depuis IKS",IF(AND($E55&lt;&gt;"",COUNTIFS(TblClusters[Cluster],$E55,TblClusters[Plateforme],"IKS")=0),"Cluster IKS inconnu (info)",IF($K55=0,"Aucun déploiement correspondant (info)","OK")))))))))</f>
        <v/>
      </c>
    </row>
    <row r="56" spans="1:12" x14ac:dyDescent="0.2">
      <c r="A56" s="59"/>
      <c r="B56" s="59"/>
      <c r="C56" s="59"/>
      <c r="D56" s="59"/>
      <c r="E56" s="59"/>
      <c r="F56" s="63"/>
      <c r="G56" s="63"/>
      <c r="H56" s="59"/>
      <c r="I56" s="64"/>
      <c r="J56" s="26" t="str">
        <f t="shared" si="0"/>
        <v/>
      </c>
      <c r="K56" s="26" t="str">
        <f>IF($A56="","",COUNTIFS(TblApplications[ID],$A56,TblApplications[Environnement],$B56,TblApplications[Couloir],$C56))</f>
        <v/>
      </c>
      <c r="L56" s="26" t="str">
        <f>IF($A56="","",IF(OR($B56="",$C56="",$F56="",$G56=""),"Données manquantes",IF(OR(AND($B56&lt;&gt;"PRD",$B56&lt;&gt;"NPRD")),"Environnement invalide",IF(COUNTIF(TblDynatrace[Clé],$J56)&gt;1,"Doublon (ID + env + couloir)",IF(OR(NOT(ISNUMBER($F56)),NOT(ISNUMBER($G56))),"Valeur non numérique",IF(MIN($F56,$G56)&lt;0,"Valeur négative",IF(AND($E56&lt;&gt;"",COUNTIFS(TblClusters[Cluster],$E56,TblClusters[Plateforme],"ROKS")&gt;0),"Cluster observé sur ROKS : extraction attendue depuis IKS",IF(AND($E56&lt;&gt;"",COUNTIFS(TblClusters[Cluster],$E56,TblClusters[Plateforme],"IKS")=0),"Cluster IKS inconnu (info)",IF($K56=0,"Aucun déploiement correspondant (info)","OK")))))))))</f>
        <v/>
      </c>
    </row>
    <row r="57" spans="1:12" x14ac:dyDescent="0.2">
      <c r="A57" s="59"/>
      <c r="B57" s="59"/>
      <c r="C57" s="59"/>
      <c r="D57" s="59"/>
      <c r="E57" s="59"/>
      <c r="F57" s="63"/>
      <c r="G57" s="63"/>
      <c r="H57" s="59"/>
      <c r="I57" s="64"/>
      <c r="J57" s="26" t="str">
        <f t="shared" si="0"/>
        <v/>
      </c>
      <c r="K57" s="26" t="str">
        <f>IF($A57="","",COUNTIFS(TblApplications[ID],$A57,TblApplications[Environnement],$B57,TblApplications[Couloir],$C57))</f>
        <v/>
      </c>
      <c r="L57" s="26" t="str">
        <f>IF($A57="","",IF(OR($B57="",$C57="",$F57="",$G57=""),"Données manquantes",IF(OR(AND($B57&lt;&gt;"PRD",$B57&lt;&gt;"NPRD")),"Environnement invalide",IF(COUNTIF(TblDynatrace[Clé],$J57)&gt;1,"Doublon (ID + env + couloir)",IF(OR(NOT(ISNUMBER($F57)),NOT(ISNUMBER($G57))),"Valeur non numérique",IF(MIN($F57,$G57)&lt;0,"Valeur négative",IF(AND($E57&lt;&gt;"",COUNTIFS(TblClusters[Cluster],$E57,TblClusters[Plateforme],"ROKS")&gt;0),"Cluster observé sur ROKS : extraction attendue depuis IKS",IF(AND($E57&lt;&gt;"",COUNTIFS(TblClusters[Cluster],$E57,TblClusters[Plateforme],"IKS")=0),"Cluster IKS inconnu (info)",IF($K57=0,"Aucun déploiement correspondant (info)","OK")))))))))</f>
        <v/>
      </c>
    </row>
    <row r="58" spans="1:12" x14ac:dyDescent="0.2">
      <c r="A58" s="59"/>
      <c r="B58" s="59"/>
      <c r="C58" s="59"/>
      <c r="D58" s="59"/>
      <c r="E58" s="59"/>
      <c r="F58" s="63"/>
      <c r="G58" s="63"/>
      <c r="H58" s="59"/>
      <c r="I58" s="64"/>
      <c r="J58" s="26" t="str">
        <f t="shared" si="0"/>
        <v/>
      </c>
      <c r="K58" s="26" t="str">
        <f>IF($A58="","",COUNTIFS(TblApplications[ID],$A58,TblApplications[Environnement],$B58,TblApplications[Couloir],$C58))</f>
        <v/>
      </c>
      <c r="L58" s="26" t="str">
        <f>IF($A58="","",IF(OR($B58="",$C58="",$F58="",$G58=""),"Données manquantes",IF(OR(AND($B58&lt;&gt;"PRD",$B58&lt;&gt;"NPRD")),"Environnement invalide",IF(COUNTIF(TblDynatrace[Clé],$J58)&gt;1,"Doublon (ID + env + couloir)",IF(OR(NOT(ISNUMBER($F58)),NOT(ISNUMBER($G58))),"Valeur non numérique",IF(MIN($F58,$G58)&lt;0,"Valeur négative",IF(AND($E58&lt;&gt;"",COUNTIFS(TblClusters[Cluster],$E58,TblClusters[Plateforme],"ROKS")&gt;0),"Cluster observé sur ROKS : extraction attendue depuis IKS",IF(AND($E58&lt;&gt;"",COUNTIFS(TblClusters[Cluster],$E58,TblClusters[Plateforme],"IKS")=0),"Cluster IKS inconnu (info)",IF($K58=0,"Aucun déploiement correspondant (info)","OK")))))))))</f>
        <v/>
      </c>
    </row>
    <row r="59" spans="1:12" x14ac:dyDescent="0.2">
      <c r="A59" s="59"/>
      <c r="B59" s="59"/>
      <c r="C59" s="59"/>
      <c r="D59" s="59"/>
      <c r="E59" s="59"/>
      <c r="F59" s="63"/>
      <c r="G59" s="63"/>
      <c r="H59" s="59"/>
      <c r="I59" s="64"/>
      <c r="J59" s="26" t="str">
        <f t="shared" si="0"/>
        <v/>
      </c>
      <c r="K59" s="26" t="str">
        <f>IF($A59="","",COUNTIFS(TblApplications[ID],$A59,TblApplications[Environnement],$B59,TblApplications[Couloir],$C59))</f>
        <v/>
      </c>
      <c r="L59" s="26" t="str">
        <f>IF($A59="","",IF(OR($B59="",$C59="",$F59="",$G59=""),"Données manquantes",IF(OR(AND($B59&lt;&gt;"PRD",$B59&lt;&gt;"NPRD")),"Environnement invalide",IF(COUNTIF(TblDynatrace[Clé],$J59)&gt;1,"Doublon (ID + env + couloir)",IF(OR(NOT(ISNUMBER($F59)),NOT(ISNUMBER($G59))),"Valeur non numérique",IF(MIN($F59,$G59)&lt;0,"Valeur négative",IF(AND($E59&lt;&gt;"",COUNTIFS(TblClusters[Cluster],$E59,TblClusters[Plateforme],"ROKS")&gt;0),"Cluster observé sur ROKS : extraction attendue depuis IKS",IF(AND($E59&lt;&gt;"",COUNTIFS(TblClusters[Cluster],$E59,TblClusters[Plateforme],"IKS")=0),"Cluster IKS inconnu (info)",IF($K59=0,"Aucun déploiement correspondant (info)","OK")))))))))</f>
        <v/>
      </c>
    </row>
    <row r="60" spans="1:12" x14ac:dyDescent="0.2">
      <c r="A60" s="59"/>
      <c r="B60" s="59"/>
      <c r="C60" s="59"/>
      <c r="D60" s="59"/>
      <c r="E60" s="59"/>
      <c r="F60" s="63"/>
      <c r="G60" s="63"/>
      <c r="H60" s="59"/>
      <c r="I60" s="64"/>
      <c r="J60" s="26" t="str">
        <f t="shared" si="0"/>
        <v/>
      </c>
      <c r="K60" s="26" t="str">
        <f>IF($A60="","",COUNTIFS(TblApplications[ID],$A60,TblApplications[Environnement],$B60,TblApplications[Couloir],$C60))</f>
        <v/>
      </c>
      <c r="L60" s="26" t="str">
        <f>IF($A60="","",IF(OR($B60="",$C60="",$F60="",$G60=""),"Données manquantes",IF(OR(AND($B60&lt;&gt;"PRD",$B60&lt;&gt;"NPRD")),"Environnement invalide",IF(COUNTIF(TblDynatrace[Clé],$J60)&gt;1,"Doublon (ID + env + couloir)",IF(OR(NOT(ISNUMBER($F60)),NOT(ISNUMBER($G60))),"Valeur non numérique",IF(MIN($F60,$G60)&lt;0,"Valeur négative",IF(AND($E60&lt;&gt;"",COUNTIFS(TblClusters[Cluster],$E60,TblClusters[Plateforme],"ROKS")&gt;0),"Cluster observé sur ROKS : extraction attendue depuis IKS",IF(AND($E60&lt;&gt;"",COUNTIFS(TblClusters[Cluster],$E60,TblClusters[Plateforme],"IKS")=0),"Cluster IKS inconnu (info)",IF($K60=0,"Aucun déploiement correspondant (info)","OK")))))))))</f>
        <v/>
      </c>
    </row>
    <row r="61" spans="1:12" x14ac:dyDescent="0.2">
      <c r="A61" s="59"/>
      <c r="B61" s="59"/>
      <c r="C61" s="59"/>
      <c r="D61" s="59"/>
      <c r="E61" s="59"/>
      <c r="F61" s="63"/>
      <c r="G61" s="63"/>
      <c r="H61" s="59"/>
      <c r="I61" s="64"/>
      <c r="J61" s="26" t="str">
        <f t="shared" si="0"/>
        <v/>
      </c>
      <c r="K61" s="26" t="str">
        <f>IF($A61="","",COUNTIFS(TblApplications[ID],$A61,TblApplications[Environnement],$B61,TblApplications[Couloir],$C61))</f>
        <v/>
      </c>
      <c r="L61" s="26" t="str">
        <f>IF($A61="","",IF(OR($B61="",$C61="",$F61="",$G61=""),"Données manquantes",IF(OR(AND($B61&lt;&gt;"PRD",$B61&lt;&gt;"NPRD")),"Environnement invalide",IF(COUNTIF(TblDynatrace[Clé],$J61)&gt;1,"Doublon (ID + env + couloir)",IF(OR(NOT(ISNUMBER($F61)),NOT(ISNUMBER($G61))),"Valeur non numérique",IF(MIN($F61,$G61)&lt;0,"Valeur négative",IF(AND($E61&lt;&gt;"",COUNTIFS(TblClusters[Cluster],$E61,TblClusters[Plateforme],"ROKS")&gt;0),"Cluster observé sur ROKS : extraction attendue depuis IKS",IF(AND($E61&lt;&gt;"",COUNTIFS(TblClusters[Cluster],$E61,TblClusters[Plateforme],"IKS")=0),"Cluster IKS inconnu (info)",IF($K61=0,"Aucun déploiement correspondant (info)","OK")))))))))</f>
        <v/>
      </c>
    </row>
    <row r="62" spans="1:12" x14ac:dyDescent="0.2">
      <c r="A62" s="59"/>
      <c r="B62" s="59"/>
      <c r="C62" s="59"/>
      <c r="D62" s="59"/>
      <c r="E62" s="59"/>
      <c r="F62" s="63"/>
      <c r="G62" s="63"/>
      <c r="H62" s="59"/>
      <c r="I62" s="64"/>
      <c r="J62" s="26" t="str">
        <f t="shared" si="0"/>
        <v/>
      </c>
      <c r="K62" s="26" t="str">
        <f>IF($A62="","",COUNTIFS(TblApplications[ID],$A62,TblApplications[Environnement],$B62,TblApplications[Couloir],$C62))</f>
        <v/>
      </c>
      <c r="L62" s="26" t="str">
        <f>IF($A62="","",IF(OR($B62="",$C62="",$F62="",$G62=""),"Données manquantes",IF(OR(AND($B62&lt;&gt;"PRD",$B62&lt;&gt;"NPRD")),"Environnement invalide",IF(COUNTIF(TblDynatrace[Clé],$J62)&gt;1,"Doublon (ID + env + couloir)",IF(OR(NOT(ISNUMBER($F62)),NOT(ISNUMBER($G62))),"Valeur non numérique",IF(MIN($F62,$G62)&lt;0,"Valeur négative",IF(AND($E62&lt;&gt;"",COUNTIFS(TblClusters[Cluster],$E62,TblClusters[Plateforme],"ROKS")&gt;0),"Cluster observé sur ROKS : extraction attendue depuis IKS",IF(AND($E62&lt;&gt;"",COUNTIFS(TblClusters[Cluster],$E62,TblClusters[Plateforme],"IKS")=0),"Cluster IKS inconnu (info)",IF($K62=0,"Aucun déploiement correspondant (info)","OK")))))))))</f>
        <v/>
      </c>
    </row>
    <row r="63" spans="1:12" x14ac:dyDescent="0.2">
      <c r="A63" s="59"/>
      <c r="B63" s="59"/>
      <c r="C63" s="59"/>
      <c r="D63" s="59"/>
      <c r="E63" s="59"/>
      <c r="F63" s="63"/>
      <c r="G63" s="63"/>
      <c r="H63" s="59"/>
      <c r="I63" s="64"/>
      <c r="J63" s="26" t="str">
        <f t="shared" si="0"/>
        <v/>
      </c>
      <c r="K63" s="26" t="str">
        <f>IF($A63="","",COUNTIFS(TblApplications[ID],$A63,TblApplications[Environnement],$B63,TblApplications[Couloir],$C63))</f>
        <v/>
      </c>
      <c r="L63" s="26" t="str">
        <f>IF($A63="","",IF(OR($B63="",$C63="",$F63="",$G63=""),"Données manquantes",IF(OR(AND($B63&lt;&gt;"PRD",$B63&lt;&gt;"NPRD")),"Environnement invalide",IF(COUNTIF(TblDynatrace[Clé],$J63)&gt;1,"Doublon (ID + env + couloir)",IF(OR(NOT(ISNUMBER($F63)),NOT(ISNUMBER($G63))),"Valeur non numérique",IF(MIN($F63,$G63)&lt;0,"Valeur négative",IF(AND($E63&lt;&gt;"",COUNTIFS(TblClusters[Cluster],$E63,TblClusters[Plateforme],"ROKS")&gt;0),"Cluster observé sur ROKS : extraction attendue depuis IKS",IF(AND($E63&lt;&gt;"",COUNTIFS(TblClusters[Cluster],$E63,TblClusters[Plateforme],"IKS")=0),"Cluster IKS inconnu (info)",IF($K63=0,"Aucun déploiement correspondant (info)","OK")))))))))</f>
        <v/>
      </c>
    </row>
    <row r="64" spans="1:12" x14ac:dyDescent="0.2">
      <c r="A64" s="59"/>
      <c r="B64" s="59"/>
      <c r="C64" s="59"/>
      <c r="D64" s="59"/>
      <c r="E64" s="59"/>
      <c r="F64" s="63"/>
      <c r="G64" s="63"/>
      <c r="H64" s="59"/>
      <c r="I64" s="64"/>
      <c r="J64" s="26" t="str">
        <f t="shared" si="0"/>
        <v/>
      </c>
      <c r="K64" s="26" t="str">
        <f>IF($A64="","",COUNTIFS(TblApplications[ID],$A64,TblApplications[Environnement],$B64,TblApplications[Couloir],$C64))</f>
        <v/>
      </c>
      <c r="L64" s="26" t="str">
        <f>IF($A64="","",IF(OR($B64="",$C64="",$F64="",$G64=""),"Données manquantes",IF(OR(AND($B64&lt;&gt;"PRD",$B64&lt;&gt;"NPRD")),"Environnement invalide",IF(COUNTIF(TblDynatrace[Clé],$J64)&gt;1,"Doublon (ID + env + couloir)",IF(OR(NOT(ISNUMBER($F64)),NOT(ISNUMBER($G64))),"Valeur non numérique",IF(MIN($F64,$G64)&lt;0,"Valeur négative",IF(AND($E64&lt;&gt;"",COUNTIFS(TblClusters[Cluster],$E64,TblClusters[Plateforme],"ROKS")&gt;0),"Cluster observé sur ROKS : extraction attendue depuis IKS",IF(AND($E64&lt;&gt;"",COUNTIFS(TblClusters[Cluster],$E64,TblClusters[Plateforme],"IKS")=0),"Cluster IKS inconnu (info)",IF($K64=0,"Aucun déploiement correspondant (info)","OK")))))))))</f>
        <v/>
      </c>
    </row>
    <row r="65" spans="1:12" x14ac:dyDescent="0.2">
      <c r="A65" s="59"/>
      <c r="B65" s="59"/>
      <c r="C65" s="59"/>
      <c r="D65" s="59"/>
      <c r="E65" s="59"/>
      <c r="F65" s="63"/>
      <c r="G65" s="63"/>
      <c r="H65" s="59"/>
      <c r="I65" s="64"/>
      <c r="J65" s="26" t="str">
        <f t="shared" si="0"/>
        <v/>
      </c>
      <c r="K65" s="26" t="str">
        <f>IF($A65="","",COUNTIFS(TblApplications[ID],$A65,TblApplications[Environnement],$B65,TblApplications[Couloir],$C65))</f>
        <v/>
      </c>
      <c r="L65" s="26" t="str">
        <f>IF($A65="","",IF(OR($B65="",$C65="",$F65="",$G65=""),"Données manquantes",IF(OR(AND($B65&lt;&gt;"PRD",$B65&lt;&gt;"NPRD")),"Environnement invalide",IF(COUNTIF(TblDynatrace[Clé],$J65)&gt;1,"Doublon (ID + env + couloir)",IF(OR(NOT(ISNUMBER($F65)),NOT(ISNUMBER($G65))),"Valeur non numérique",IF(MIN($F65,$G65)&lt;0,"Valeur négative",IF(AND($E65&lt;&gt;"",COUNTIFS(TblClusters[Cluster],$E65,TblClusters[Plateforme],"ROKS")&gt;0),"Cluster observé sur ROKS : extraction attendue depuis IKS",IF(AND($E65&lt;&gt;"",COUNTIFS(TblClusters[Cluster],$E65,TblClusters[Plateforme],"IKS")=0),"Cluster IKS inconnu (info)",IF($K65=0,"Aucun déploiement correspondant (info)","OK")))))))))</f>
        <v/>
      </c>
    </row>
    <row r="66" spans="1:12" x14ac:dyDescent="0.2">
      <c r="A66" s="59"/>
      <c r="B66" s="59"/>
      <c r="C66" s="59"/>
      <c r="D66" s="59"/>
      <c r="E66" s="59"/>
      <c r="F66" s="63"/>
      <c r="G66" s="63"/>
      <c r="H66" s="59"/>
      <c r="I66" s="64"/>
      <c r="J66" s="26" t="str">
        <f t="shared" si="0"/>
        <v/>
      </c>
      <c r="K66" s="26" t="str">
        <f>IF($A66="","",COUNTIFS(TblApplications[ID],$A66,TblApplications[Environnement],$B66,TblApplications[Couloir],$C66))</f>
        <v/>
      </c>
      <c r="L66" s="26" t="str">
        <f>IF($A66="","",IF(OR($B66="",$C66="",$F66="",$G66=""),"Données manquantes",IF(OR(AND($B66&lt;&gt;"PRD",$B66&lt;&gt;"NPRD")),"Environnement invalide",IF(COUNTIF(TblDynatrace[Clé],$J66)&gt;1,"Doublon (ID + env + couloir)",IF(OR(NOT(ISNUMBER($F66)),NOT(ISNUMBER($G66))),"Valeur non numérique",IF(MIN($F66,$G66)&lt;0,"Valeur négative",IF(AND($E66&lt;&gt;"",COUNTIFS(TblClusters[Cluster],$E66,TblClusters[Plateforme],"ROKS")&gt;0),"Cluster observé sur ROKS : extraction attendue depuis IKS",IF(AND($E66&lt;&gt;"",COUNTIFS(TblClusters[Cluster],$E66,TblClusters[Plateforme],"IKS")=0),"Cluster IKS inconnu (info)",IF($K66=0,"Aucun déploiement correspondant (info)","OK")))))))))</f>
        <v/>
      </c>
    </row>
    <row r="67" spans="1:12" x14ac:dyDescent="0.2">
      <c r="A67" s="59"/>
      <c r="B67" s="59"/>
      <c r="C67" s="59"/>
      <c r="D67" s="59"/>
      <c r="E67" s="59"/>
      <c r="F67" s="63"/>
      <c r="G67" s="63"/>
      <c r="H67" s="59"/>
      <c r="I67" s="64"/>
      <c r="J67" s="26" t="str">
        <f t="shared" si="0"/>
        <v/>
      </c>
      <c r="K67" s="26" t="str">
        <f>IF($A67="","",COUNTIFS(TblApplications[ID],$A67,TblApplications[Environnement],$B67,TblApplications[Couloir],$C67))</f>
        <v/>
      </c>
      <c r="L67" s="26" t="str">
        <f>IF($A67="","",IF(OR($B67="",$C67="",$F67="",$G67=""),"Données manquantes",IF(OR(AND($B67&lt;&gt;"PRD",$B67&lt;&gt;"NPRD")),"Environnement invalide",IF(COUNTIF(TblDynatrace[Clé],$J67)&gt;1,"Doublon (ID + env + couloir)",IF(OR(NOT(ISNUMBER($F67)),NOT(ISNUMBER($G67))),"Valeur non numérique",IF(MIN($F67,$G67)&lt;0,"Valeur négative",IF(AND($E67&lt;&gt;"",COUNTIFS(TblClusters[Cluster],$E67,TblClusters[Plateforme],"ROKS")&gt;0),"Cluster observé sur ROKS : extraction attendue depuis IKS",IF(AND($E67&lt;&gt;"",COUNTIFS(TblClusters[Cluster],$E67,TblClusters[Plateforme],"IKS")=0),"Cluster IKS inconnu (info)",IF($K67=0,"Aucun déploiement correspondant (info)","OK")))))))))</f>
        <v/>
      </c>
    </row>
    <row r="68" spans="1:12" x14ac:dyDescent="0.2">
      <c r="A68" s="59"/>
      <c r="B68" s="59"/>
      <c r="C68" s="59"/>
      <c r="D68" s="59"/>
      <c r="E68" s="59"/>
      <c r="F68" s="63"/>
      <c r="G68" s="63"/>
      <c r="H68" s="59"/>
      <c r="I68" s="64"/>
      <c r="J68" s="26" t="str">
        <f t="shared" si="0"/>
        <v/>
      </c>
      <c r="K68" s="26" t="str">
        <f>IF($A68="","",COUNTIFS(TblApplications[ID],$A68,TblApplications[Environnement],$B68,TblApplications[Couloir],$C68))</f>
        <v/>
      </c>
      <c r="L68" s="26" t="str">
        <f>IF($A68="","",IF(OR($B68="",$C68="",$F68="",$G68=""),"Données manquantes",IF(OR(AND($B68&lt;&gt;"PRD",$B68&lt;&gt;"NPRD")),"Environnement invalide",IF(COUNTIF(TblDynatrace[Clé],$J68)&gt;1,"Doublon (ID + env + couloir)",IF(OR(NOT(ISNUMBER($F68)),NOT(ISNUMBER($G68))),"Valeur non numérique",IF(MIN($F68,$G68)&lt;0,"Valeur négative",IF(AND($E68&lt;&gt;"",COUNTIFS(TblClusters[Cluster],$E68,TblClusters[Plateforme],"ROKS")&gt;0),"Cluster observé sur ROKS : extraction attendue depuis IKS",IF(AND($E68&lt;&gt;"",COUNTIFS(TblClusters[Cluster],$E68,TblClusters[Plateforme],"IKS")=0),"Cluster IKS inconnu (info)",IF($K68=0,"Aucun déploiement correspondant (info)","OK")))))))))</f>
        <v/>
      </c>
    </row>
    <row r="69" spans="1:12" x14ac:dyDescent="0.2">
      <c r="A69" s="59"/>
      <c r="B69" s="59"/>
      <c r="C69" s="59"/>
      <c r="D69" s="59"/>
      <c r="E69" s="59"/>
      <c r="F69" s="63"/>
      <c r="G69" s="63"/>
      <c r="H69" s="59"/>
      <c r="I69" s="64"/>
      <c r="J69" s="26" t="str">
        <f t="shared" si="0"/>
        <v/>
      </c>
      <c r="K69" s="26" t="str">
        <f>IF($A69="","",COUNTIFS(TblApplications[ID],$A69,TblApplications[Environnement],$B69,TblApplications[Couloir],$C69))</f>
        <v/>
      </c>
      <c r="L69" s="26" t="str">
        <f>IF($A69="","",IF(OR($B69="",$C69="",$F69="",$G69=""),"Données manquantes",IF(OR(AND($B69&lt;&gt;"PRD",$B69&lt;&gt;"NPRD")),"Environnement invalide",IF(COUNTIF(TblDynatrace[Clé],$J69)&gt;1,"Doublon (ID + env + couloir)",IF(OR(NOT(ISNUMBER($F69)),NOT(ISNUMBER($G69))),"Valeur non numérique",IF(MIN($F69,$G69)&lt;0,"Valeur négative",IF(AND($E69&lt;&gt;"",COUNTIFS(TblClusters[Cluster],$E69,TblClusters[Plateforme],"ROKS")&gt;0),"Cluster observé sur ROKS : extraction attendue depuis IKS",IF(AND($E69&lt;&gt;"",COUNTIFS(TblClusters[Cluster],$E69,TblClusters[Plateforme],"IKS")=0),"Cluster IKS inconnu (info)",IF($K69=0,"Aucun déploiement correspondant (info)","OK")))))))))</f>
        <v/>
      </c>
    </row>
    <row r="70" spans="1:12" x14ac:dyDescent="0.2">
      <c r="A70" s="59"/>
      <c r="B70" s="59"/>
      <c r="C70" s="59"/>
      <c r="D70" s="59"/>
      <c r="E70" s="59"/>
      <c r="F70" s="63"/>
      <c r="G70" s="63"/>
      <c r="H70" s="59"/>
      <c r="I70" s="64"/>
      <c r="J70" s="26" t="str">
        <f t="shared" ref="J70:J133" si="1">IF($A70="","",$A70&amp;"|"&amp;$B70&amp;"|"&amp;$C70)</f>
        <v/>
      </c>
      <c r="K70" s="26" t="str">
        <f>IF($A70="","",COUNTIFS(TblApplications[ID],$A70,TblApplications[Environnement],$B70,TblApplications[Couloir],$C70))</f>
        <v/>
      </c>
      <c r="L70" s="26" t="str">
        <f>IF($A70="","",IF(OR($B70="",$C70="",$F70="",$G70=""),"Données manquantes",IF(OR(AND($B70&lt;&gt;"PRD",$B70&lt;&gt;"NPRD")),"Environnement invalide",IF(COUNTIF(TblDynatrace[Clé],$J70)&gt;1,"Doublon (ID + env + couloir)",IF(OR(NOT(ISNUMBER($F70)),NOT(ISNUMBER($G70))),"Valeur non numérique",IF(MIN($F70,$G70)&lt;0,"Valeur négative",IF(AND($E70&lt;&gt;"",COUNTIFS(TblClusters[Cluster],$E70,TblClusters[Plateforme],"ROKS")&gt;0),"Cluster observé sur ROKS : extraction attendue depuis IKS",IF(AND($E70&lt;&gt;"",COUNTIFS(TblClusters[Cluster],$E70,TblClusters[Plateforme],"IKS")=0),"Cluster IKS inconnu (info)",IF($K70=0,"Aucun déploiement correspondant (info)","OK")))))))))</f>
        <v/>
      </c>
    </row>
    <row r="71" spans="1:12" x14ac:dyDescent="0.2">
      <c r="A71" s="59"/>
      <c r="B71" s="59"/>
      <c r="C71" s="59"/>
      <c r="D71" s="59"/>
      <c r="E71" s="59"/>
      <c r="F71" s="63"/>
      <c r="G71" s="63"/>
      <c r="H71" s="59"/>
      <c r="I71" s="64"/>
      <c r="J71" s="26" t="str">
        <f t="shared" si="1"/>
        <v/>
      </c>
      <c r="K71" s="26" t="str">
        <f>IF($A71="","",COUNTIFS(TblApplications[ID],$A71,TblApplications[Environnement],$B71,TblApplications[Couloir],$C71))</f>
        <v/>
      </c>
      <c r="L71" s="26" t="str">
        <f>IF($A71="","",IF(OR($B71="",$C71="",$F71="",$G71=""),"Données manquantes",IF(OR(AND($B71&lt;&gt;"PRD",$B71&lt;&gt;"NPRD")),"Environnement invalide",IF(COUNTIF(TblDynatrace[Clé],$J71)&gt;1,"Doublon (ID + env + couloir)",IF(OR(NOT(ISNUMBER($F71)),NOT(ISNUMBER($G71))),"Valeur non numérique",IF(MIN($F71,$G71)&lt;0,"Valeur négative",IF(AND($E71&lt;&gt;"",COUNTIFS(TblClusters[Cluster],$E71,TblClusters[Plateforme],"ROKS")&gt;0),"Cluster observé sur ROKS : extraction attendue depuis IKS",IF(AND($E71&lt;&gt;"",COUNTIFS(TblClusters[Cluster],$E71,TblClusters[Plateforme],"IKS")=0),"Cluster IKS inconnu (info)",IF($K71=0,"Aucun déploiement correspondant (info)","OK")))))))))</f>
        <v/>
      </c>
    </row>
    <row r="72" spans="1:12" x14ac:dyDescent="0.2">
      <c r="A72" s="59"/>
      <c r="B72" s="59"/>
      <c r="C72" s="59"/>
      <c r="D72" s="59"/>
      <c r="E72" s="59"/>
      <c r="F72" s="63"/>
      <c r="G72" s="63"/>
      <c r="H72" s="59"/>
      <c r="I72" s="64"/>
      <c r="J72" s="26" t="str">
        <f t="shared" si="1"/>
        <v/>
      </c>
      <c r="K72" s="26" t="str">
        <f>IF($A72="","",COUNTIFS(TblApplications[ID],$A72,TblApplications[Environnement],$B72,TblApplications[Couloir],$C72))</f>
        <v/>
      </c>
      <c r="L72" s="26" t="str">
        <f>IF($A72="","",IF(OR($B72="",$C72="",$F72="",$G72=""),"Données manquantes",IF(OR(AND($B72&lt;&gt;"PRD",$B72&lt;&gt;"NPRD")),"Environnement invalide",IF(COUNTIF(TblDynatrace[Clé],$J72)&gt;1,"Doublon (ID + env + couloir)",IF(OR(NOT(ISNUMBER($F72)),NOT(ISNUMBER($G72))),"Valeur non numérique",IF(MIN($F72,$G72)&lt;0,"Valeur négative",IF(AND($E72&lt;&gt;"",COUNTIFS(TblClusters[Cluster],$E72,TblClusters[Plateforme],"ROKS")&gt;0),"Cluster observé sur ROKS : extraction attendue depuis IKS",IF(AND($E72&lt;&gt;"",COUNTIFS(TblClusters[Cluster],$E72,TblClusters[Plateforme],"IKS")=0),"Cluster IKS inconnu (info)",IF($K72=0,"Aucun déploiement correspondant (info)","OK")))))))))</f>
        <v/>
      </c>
    </row>
    <row r="73" spans="1:12" x14ac:dyDescent="0.2">
      <c r="A73" s="59"/>
      <c r="B73" s="59"/>
      <c r="C73" s="59"/>
      <c r="D73" s="59"/>
      <c r="E73" s="59"/>
      <c r="F73" s="63"/>
      <c r="G73" s="63"/>
      <c r="H73" s="59"/>
      <c r="I73" s="64"/>
      <c r="J73" s="26" t="str">
        <f t="shared" si="1"/>
        <v/>
      </c>
      <c r="K73" s="26" t="str">
        <f>IF($A73="","",COUNTIFS(TblApplications[ID],$A73,TblApplications[Environnement],$B73,TblApplications[Couloir],$C73))</f>
        <v/>
      </c>
      <c r="L73" s="26" t="str">
        <f>IF($A73="","",IF(OR($B73="",$C73="",$F73="",$G73=""),"Données manquantes",IF(OR(AND($B73&lt;&gt;"PRD",$B73&lt;&gt;"NPRD")),"Environnement invalide",IF(COUNTIF(TblDynatrace[Clé],$J73)&gt;1,"Doublon (ID + env + couloir)",IF(OR(NOT(ISNUMBER($F73)),NOT(ISNUMBER($G73))),"Valeur non numérique",IF(MIN($F73,$G73)&lt;0,"Valeur négative",IF(AND($E73&lt;&gt;"",COUNTIFS(TblClusters[Cluster],$E73,TblClusters[Plateforme],"ROKS")&gt;0),"Cluster observé sur ROKS : extraction attendue depuis IKS",IF(AND($E73&lt;&gt;"",COUNTIFS(TblClusters[Cluster],$E73,TblClusters[Plateforme],"IKS")=0),"Cluster IKS inconnu (info)",IF($K73=0,"Aucun déploiement correspondant (info)","OK")))))))))</f>
        <v/>
      </c>
    </row>
    <row r="74" spans="1:12" x14ac:dyDescent="0.2">
      <c r="A74" s="59"/>
      <c r="B74" s="59"/>
      <c r="C74" s="59"/>
      <c r="D74" s="59"/>
      <c r="E74" s="59"/>
      <c r="F74" s="63"/>
      <c r="G74" s="63"/>
      <c r="H74" s="59"/>
      <c r="I74" s="64"/>
      <c r="J74" s="26" t="str">
        <f t="shared" si="1"/>
        <v/>
      </c>
      <c r="K74" s="26" t="str">
        <f>IF($A74="","",COUNTIFS(TblApplications[ID],$A74,TblApplications[Environnement],$B74,TblApplications[Couloir],$C74))</f>
        <v/>
      </c>
      <c r="L74" s="26" t="str">
        <f>IF($A74="","",IF(OR($B74="",$C74="",$F74="",$G74=""),"Données manquantes",IF(OR(AND($B74&lt;&gt;"PRD",$B74&lt;&gt;"NPRD")),"Environnement invalide",IF(COUNTIF(TblDynatrace[Clé],$J74)&gt;1,"Doublon (ID + env + couloir)",IF(OR(NOT(ISNUMBER($F74)),NOT(ISNUMBER($G74))),"Valeur non numérique",IF(MIN($F74,$G74)&lt;0,"Valeur négative",IF(AND($E74&lt;&gt;"",COUNTIFS(TblClusters[Cluster],$E74,TblClusters[Plateforme],"ROKS")&gt;0),"Cluster observé sur ROKS : extraction attendue depuis IKS",IF(AND($E74&lt;&gt;"",COUNTIFS(TblClusters[Cluster],$E74,TblClusters[Plateforme],"IKS")=0),"Cluster IKS inconnu (info)",IF($K74=0,"Aucun déploiement correspondant (info)","OK")))))))))</f>
        <v/>
      </c>
    </row>
    <row r="75" spans="1:12" x14ac:dyDescent="0.2">
      <c r="A75" s="59"/>
      <c r="B75" s="59"/>
      <c r="C75" s="59"/>
      <c r="D75" s="59"/>
      <c r="E75" s="59"/>
      <c r="F75" s="63"/>
      <c r="G75" s="63"/>
      <c r="H75" s="59"/>
      <c r="I75" s="64"/>
      <c r="J75" s="26" t="str">
        <f t="shared" si="1"/>
        <v/>
      </c>
      <c r="K75" s="26" t="str">
        <f>IF($A75="","",COUNTIFS(TblApplications[ID],$A75,TblApplications[Environnement],$B75,TblApplications[Couloir],$C75))</f>
        <v/>
      </c>
      <c r="L75" s="26" t="str">
        <f>IF($A75="","",IF(OR($B75="",$C75="",$F75="",$G75=""),"Données manquantes",IF(OR(AND($B75&lt;&gt;"PRD",$B75&lt;&gt;"NPRD")),"Environnement invalide",IF(COUNTIF(TblDynatrace[Clé],$J75)&gt;1,"Doublon (ID + env + couloir)",IF(OR(NOT(ISNUMBER($F75)),NOT(ISNUMBER($G75))),"Valeur non numérique",IF(MIN($F75,$G75)&lt;0,"Valeur négative",IF(AND($E75&lt;&gt;"",COUNTIFS(TblClusters[Cluster],$E75,TblClusters[Plateforme],"ROKS")&gt;0),"Cluster observé sur ROKS : extraction attendue depuis IKS",IF(AND($E75&lt;&gt;"",COUNTIFS(TblClusters[Cluster],$E75,TblClusters[Plateforme],"IKS")=0),"Cluster IKS inconnu (info)",IF($K75=0,"Aucun déploiement correspondant (info)","OK")))))))))</f>
        <v/>
      </c>
    </row>
    <row r="76" spans="1:12" x14ac:dyDescent="0.2">
      <c r="A76" s="59"/>
      <c r="B76" s="59"/>
      <c r="C76" s="59"/>
      <c r="D76" s="59"/>
      <c r="E76" s="59"/>
      <c r="F76" s="63"/>
      <c r="G76" s="63"/>
      <c r="H76" s="59"/>
      <c r="I76" s="64"/>
      <c r="J76" s="26" t="str">
        <f t="shared" si="1"/>
        <v/>
      </c>
      <c r="K76" s="26" t="str">
        <f>IF($A76="","",COUNTIFS(TblApplications[ID],$A76,TblApplications[Environnement],$B76,TblApplications[Couloir],$C76))</f>
        <v/>
      </c>
      <c r="L76" s="26" t="str">
        <f>IF($A76="","",IF(OR($B76="",$C76="",$F76="",$G76=""),"Données manquantes",IF(OR(AND($B76&lt;&gt;"PRD",$B76&lt;&gt;"NPRD")),"Environnement invalide",IF(COUNTIF(TblDynatrace[Clé],$J76)&gt;1,"Doublon (ID + env + couloir)",IF(OR(NOT(ISNUMBER($F76)),NOT(ISNUMBER($G76))),"Valeur non numérique",IF(MIN($F76,$G76)&lt;0,"Valeur négative",IF(AND($E76&lt;&gt;"",COUNTIFS(TblClusters[Cluster],$E76,TblClusters[Plateforme],"ROKS")&gt;0),"Cluster observé sur ROKS : extraction attendue depuis IKS",IF(AND($E76&lt;&gt;"",COUNTIFS(TblClusters[Cluster],$E76,TblClusters[Plateforme],"IKS")=0),"Cluster IKS inconnu (info)",IF($K76=0,"Aucun déploiement correspondant (info)","OK")))))))))</f>
        <v/>
      </c>
    </row>
    <row r="77" spans="1:12" x14ac:dyDescent="0.2">
      <c r="A77" s="59"/>
      <c r="B77" s="59"/>
      <c r="C77" s="59"/>
      <c r="D77" s="59"/>
      <c r="E77" s="59"/>
      <c r="F77" s="63"/>
      <c r="G77" s="63"/>
      <c r="H77" s="59"/>
      <c r="I77" s="64"/>
      <c r="J77" s="26" t="str">
        <f t="shared" si="1"/>
        <v/>
      </c>
      <c r="K77" s="26" t="str">
        <f>IF($A77="","",COUNTIFS(TblApplications[ID],$A77,TblApplications[Environnement],$B77,TblApplications[Couloir],$C77))</f>
        <v/>
      </c>
      <c r="L77" s="26" t="str">
        <f>IF($A77="","",IF(OR($B77="",$C77="",$F77="",$G77=""),"Données manquantes",IF(OR(AND($B77&lt;&gt;"PRD",$B77&lt;&gt;"NPRD")),"Environnement invalide",IF(COUNTIF(TblDynatrace[Clé],$J77)&gt;1,"Doublon (ID + env + couloir)",IF(OR(NOT(ISNUMBER($F77)),NOT(ISNUMBER($G77))),"Valeur non numérique",IF(MIN($F77,$G77)&lt;0,"Valeur négative",IF(AND($E77&lt;&gt;"",COUNTIFS(TblClusters[Cluster],$E77,TblClusters[Plateforme],"ROKS")&gt;0),"Cluster observé sur ROKS : extraction attendue depuis IKS",IF(AND($E77&lt;&gt;"",COUNTIFS(TblClusters[Cluster],$E77,TblClusters[Plateforme],"IKS")=0),"Cluster IKS inconnu (info)",IF($K77=0,"Aucun déploiement correspondant (info)","OK")))))))))</f>
        <v/>
      </c>
    </row>
    <row r="78" spans="1:12" x14ac:dyDescent="0.2">
      <c r="A78" s="59"/>
      <c r="B78" s="59"/>
      <c r="C78" s="59"/>
      <c r="D78" s="59"/>
      <c r="E78" s="59"/>
      <c r="F78" s="63"/>
      <c r="G78" s="63"/>
      <c r="H78" s="59"/>
      <c r="I78" s="64"/>
      <c r="J78" s="26" t="str">
        <f t="shared" si="1"/>
        <v/>
      </c>
      <c r="K78" s="26" t="str">
        <f>IF($A78="","",COUNTIFS(TblApplications[ID],$A78,TblApplications[Environnement],$B78,TblApplications[Couloir],$C78))</f>
        <v/>
      </c>
      <c r="L78" s="26" t="str">
        <f>IF($A78="","",IF(OR($B78="",$C78="",$F78="",$G78=""),"Données manquantes",IF(OR(AND($B78&lt;&gt;"PRD",$B78&lt;&gt;"NPRD")),"Environnement invalide",IF(COUNTIF(TblDynatrace[Clé],$J78)&gt;1,"Doublon (ID + env + couloir)",IF(OR(NOT(ISNUMBER($F78)),NOT(ISNUMBER($G78))),"Valeur non numérique",IF(MIN($F78,$G78)&lt;0,"Valeur négative",IF(AND($E78&lt;&gt;"",COUNTIFS(TblClusters[Cluster],$E78,TblClusters[Plateforme],"ROKS")&gt;0),"Cluster observé sur ROKS : extraction attendue depuis IKS",IF(AND($E78&lt;&gt;"",COUNTIFS(TblClusters[Cluster],$E78,TblClusters[Plateforme],"IKS")=0),"Cluster IKS inconnu (info)",IF($K78=0,"Aucun déploiement correspondant (info)","OK")))))))))</f>
        <v/>
      </c>
    </row>
    <row r="79" spans="1:12" x14ac:dyDescent="0.2">
      <c r="A79" s="59"/>
      <c r="B79" s="59"/>
      <c r="C79" s="59"/>
      <c r="D79" s="59"/>
      <c r="E79" s="59"/>
      <c r="F79" s="63"/>
      <c r="G79" s="63"/>
      <c r="H79" s="59"/>
      <c r="I79" s="64"/>
      <c r="J79" s="26" t="str">
        <f t="shared" si="1"/>
        <v/>
      </c>
      <c r="K79" s="26" t="str">
        <f>IF($A79="","",COUNTIFS(TblApplications[ID],$A79,TblApplications[Environnement],$B79,TblApplications[Couloir],$C79))</f>
        <v/>
      </c>
      <c r="L79" s="26" t="str">
        <f>IF($A79="","",IF(OR($B79="",$C79="",$F79="",$G79=""),"Données manquantes",IF(OR(AND($B79&lt;&gt;"PRD",$B79&lt;&gt;"NPRD")),"Environnement invalide",IF(COUNTIF(TblDynatrace[Clé],$J79)&gt;1,"Doublon (ID + env + couloir)",IF(OR(NOT(ISNUMBER($F79)),NOT(ISNUMBER($G79))),"Valeur non numérique",IF(MIN($F79,$G79)&lt;0,"Valeur négative",IF(AND($E79&lt;&gt;"",COUNTIFS(TblClusters[Cluster],$E79,TblClusters[Plateforme],"ROKS")&gt;0),"Cluster observé sur ROKS : extraction attendue depuis IKS",IF(AND($E79&lt;&gt;"",COUNTIFS(TblClusters[Cluster],$E79,TblClusters[Plateforme],"IKS")=0),"Cluster IKS inconnu (info)",IF($K79=0,"Aucun déploiement correspondant (info)","OK")))))))))</f>
        <v/>
      </c>
    </row>
    <row r="80" spans="1:12" x14ac:dyDescent="0.2">
      <c r="A80" s="59"/>
      <c r="B80" s="59"/>
      <c r="C80" s="59"/>
      <c r="D80" s="59"/>
      <c r="E80" s="59"/>
      <c r="F80" s="63"/>
      <c r="G80" s="63"/>
      <c r="H80" s="59"/>
      <c r="I80" s="64"/>
      <c r="J80" s="26" t="str">
        <f t="shared" si="1"/>
        <v/>
      </c>
      <c r="K80" s="26" t="str">
        <f>IF($A80="","",COUNTIFS(TblApplications[ID],$A80,TblApplications[Environnement],$B80,TblApplications[Couloir],$C80))</f>
        <v/>
      </c>
      <c r="L80" s="26" t="str">
        <f>IF($A80="","",IF(OR($B80="",$C80="",$F80="",$G80=""),"Données manquantes",IF(OR(AND($B80&lt;&gt;"PRD",$B80&lt;&gt;"NPRD")),"Environnement invalide",IF(COUNTIF(TblDynatrace[Clé],$J80)&gt;1,"Doublon (ID + env + couloir)",IF(OR(NOT(ISNUMBER($F80)),NOT(ISNUMBER($G80))),"Valeur non numérique",IF(MIN($F80,$G80)&lt;0,"Valeur négative",IF(AND($E80&lt;&gt;"",COUNTIFS(TblClusters[Cluster],$E80,TblClusters[Plateforme],"ROKS")&gt;0),"Cluster observé sur ROKS : extraction attendue depuis IKS",IF(AND($E80&lt;&gt;"",COUNTIFS(TblClusters[Cluster],$E80,TblClusters[Plateforme],"IKS")=0),"Cluster IKS inconnu (info)",IF($K80=0,"Aucun déploiement correspondant (info)","OK")))))))))</f>
        <v/>
      </c>
    </row>
    <row r="81" spans="1:12" x14ac:dyDescent="0.2">
      <c r="A81" s="59"/>
      <c r="B81" s="59"/>
      <c r="C81" s="59"/>
      <c r="D81" s="59"/>
      <c r="E81" s="59"/>
      <c r="F81" s="63"/>
      <c r="G81" s="63"/>
      <c r="H81" s="59"/>
      <c r="I81" s="64"/>
      <c r="J81" s="26" t="str">
        <f t="shared" si="1"/>
        <v/>
      </c>
      <c r="K81" s="26" t="str">
        <f>IF($A81="","",COUNTIFS(TblApplications[ID],$A81,TblApplications[Environnement],$B81,TblApplications[Couloir],$C81))</f>
        <v/>
      </c>
      <c r="L81" s="26" t="str">
        <f>IF($A81="","",IF(OR($B81="",$C81="",$F81="",$G81=""),"Données manquantes",IF(OR(AND($B81&lt;&gt;"PRD",$B81&lt;&gt;"NPRD")),"Environnement invalide",IF(COUNTIF(TblDynatrace[Clé],$J81)&gt;1,"Doublon (ID + env + couloir)",IF(OR(NOT(ISNUMBER($F81)),NOT(ISNUMBER($G81))),"Valeur non numérique",IF(MIN($F81,$G81)&lt;0,"Valeur négative",IF(AND($E81&lt;&gt;"",COUNTIFS(TblClusters[Cluster],$E81,TblClusters[Plateforme],"ROKS")&gt;0),"Cluster observé sur ROKS : extraction attendue depuis IKS",IF(AND($E81&lt;&gt;"",COUNTIFS(TblClusters[Cluster],$E81,TblClusters[Plateforme],"IKS")=0),"Cluster IKS inconnu (info)",IF($K81=0,"Aucun déploiement correspondant (info)","OK")))))))))</f>
        <v/>
      </c>
    </row>
    <row r="82" spans="1:12" x14ac:dyDescent="0.2">
      <c r="A82" s="59"/>
      <c r="B82" s="59"/>
      <c r="C82" s="59"/>
      <c r="D82" s="59"/>
      <c r="E82" s="59"/>
      <c r="F82" s="63"/>
      <c r="G82" s="63"/>
      <c r="H82" s="59"/>
      <c r="I82" s="64"/>
      <c r="J82" s="26" t="str">
        <f t="shared" si="1"/>
        <v/>
      </c>
      <c r="K82" s="26" t="str">
        <f>IF($A82="","",COUNTIFS(TblApplications[ID],$A82,TblApplications[Environnement],$B82,TblApplications[Couloir],$C82))</f>
        <v/>
      </c>
      <c r="L82" s="26" t="str">
        <f>IF($A82="","",IF(OR($B82="",$C82="",$F82="",$G82=""),"Données manquantes",IF(OR(AND($B82&lt;&gt;"PRD",$B82&lt;&gt;"NPRD")),"Environnement invalide",IF(COUNTIF(TblDynatrace[Clé],$J82)&gt;1,"Doublon (ID + env + couloir)",IF(OR(NOT(ISNUMBER($F82)),NOT(ISNUMBER($G82))),"Valeur non numérique",IF(MIN($F82,$G82)&lt;0,"Valeur négative",IF(AND($E82&lt;&gt;"",COUNTIFS(TblClusters[Cluster],$E82,TblClusters[Plateforme],"ROKS")&gt;0),"Cluster observé sur ROKS : extraction attendue depuis IKS",IF(AND($E82&lt;&gt;"",COUNTIFS(TblClusters[Cluster],$E82,TblClusters[Plateforme],"IKS")=0),"Cluster IKS inconnu (info)",IF($K82=0,"Aucun déploiement correspondant (info)","OK")))))))))</f>
        <v/>
      </c>
    </row>
    <row r="83" spans="1:12" x14ac:dyDescent="0.2">
      <c r="A83" s="59"/>
      <c r="B83" s="59"/>
      <c r="C83" s="59"/>
      <c r="D83" s="59"/>
      <c r="E83" s="59"/>
      <c r="F83" s="63"/>
      <c r="G83" s="63"/>
      <c r="H83" s="59"/>
      <c r="I83" s="64"/>
      <c r="J83" s="26" t="str">
        <f t="shared" si="1"/>
        <v/>
      </c>
      <c r="K83" s="26" t="str">
        <f>IF($A83="","",COUNTIFS(TblApplications[ID],$A83,TblApplications[Environnement],$B83,TblApplications[Couloir],$C83))</f>
        <v/>
      </c>
      <c r="L83" s="26" t="str">
        <f>IF($A83="","",IF(OR($B83="",$C83="",$F83="",$G83=""),"Données manquantes",IF(OR(AND($B83&lt;&gt;"PRD",$B83&lt;&gt;"NPRD")),"Environnement invalide",IF(COUNTIF(TblDynatrace[Clé],$J83)&gt;1,"Doublon (ID + env + couloir)",IF(OR(NOT(ISNUMBER($F83)),NOT(ISNUMBER($G83))),"Valeur non numérique",IF(MIN($F83,$G83)&lt;0,"Valeur négative",IF(AND($E83&lt;&gt;"",COUNTIFS(TblClusters[Cluster],$E83,TblClusters[Plateforme],"ROKS")&gt;0),"Cluster observé sur ROKS : extraction attendue depuis IKS",IF(AND($E83&lt;&gt;"",COUNTIFS(TblClusters[Cluster],$E83,TblClusters[Plateforme],"IKS")=0),"Cluster IKS inconnu (info)",IF($K83=0,"Aucun déploiement correspondant (info)","OK")))))))))</f>
        <v/>
      </c>
    </row>
    <row r="84" spans="1:12" x14ac:dyDescent="0.2">
      <c r="A84" s="59"/>
      <c r="B84" s="59"/>
      <c r="C84" s="59"/>
      <c r="D84" s="59"/>
      <c r="E84" s="59"/>
      <c r="F84" s="63"/>
      <c r="G84" s="63"/>
      <c r="H84" s="59"/>
      <c r="I84" s="64"/>
      <c r="J84" s="26" t="str">
        <f t="shared" si="1"/>
        <v/>
      </c>
      <c r="K84" s="26" t="str">
        <f>IF($A84="","",COUNTIFS(TblApplications[ID],$A84,TblApplications[Environnement],$B84,TblApplications[Couloir],$C84))</f>
        <v/>
      </c>
      <c r="L84" s="26" t="str">
        <f>IF($A84="","",IF(OR($B84="",$C84="",$F84="",$G84=""),"Données manquantes",IF(OR(AND($B84&lt;&gt;"PRD",$B84&lt;&gt;"NPRD")),"Environnement invalide",IF(COUNTIF(TblDynatrace[Clé],$J84)&gt;1,"Doublon (ID + env + couloir)",IF(OR(NOT(ISNUMBER($F84)),NOT(ISNUMBER($G84))),"Valeur non numérique",IF(MIN($F84,$G84)&lt;0,"Valeur négative",IF(AND($E84&lt;&gt;"",COUNTIFS(TblClusters[Cluster],$E84,TblClusters[Plateforme],"ROKS")&gt;0),"Cluster observé sur ROKS : extraction attendue depuis IKS",IF(AND($E84&lt;&gt;"",COUNTIFS(TblClusters[Cluster],$E84,TblClusters[Plateforme],"IKS")=0),"Cluster IKS inconnu (info)",IF($K84=0,"Aucun déploiement correspondant (info)","OK")))))))))</f>
        <v/>
      </c>
    </row>
    <row r="85" spans="1:12" x14ac:dyDescent="0.2">
      <c r="A85" s="59"/>
      <c r="B85" s="59"/>
      <c r="C85" s="59"/>
      <c r="D85" s="59"/>
      <c r="E85" s="59"/>
      <c r="F85" s="63"/>
      <c r="G85" s="63"/>
      <c r="H85" s="59"/>
      <c r="I85" s="64"/>
      <c r="J85" s="26" t="str">
        <f t="shared" si="1"/>
        <v/>
      </c>
      <c r="K85" s="26" t="str">
        <f>IF($A85="","",COUNTIFS(TblApplications[ID],$A85,TblApplications[Environnement],$B85,TblApplications[Couloir],$C85))</f>
        <v/>
      </c>
      <c r="L85" s="26" t="str">
        <f>IF($A85="","",IF(OR($B85="",$C85="",$F85="",$G85=""),"Données manquantes",IF(OR(AND($B85&lt;&gt;"PRD",$B85&lt;&gt;"NPRD")),"Environnement invalide",IF(COUNTIF(TblDynatrace[Clé],$J85)&gt;1,"Doublon (ID + env + couloir)",IF(OR(NOT(ISNUMBER($F85)),NOT(ISNUMBER($G85))),"Valeur non numérique",IF(MIN($F85,$G85)&lt;0,"Valeur négative",IF(AND($E85&lt;&gt;"",COUNTIFS(TblClusters[Cluster],$E85,TblClusters[Plateforme],"ROKS")&gt;0),"Cluster observé sur ROKS : extraction attendue depuis IKS",IF(AND($E85&lt;&gt;"",COUNTIFS(TblClusters[Cluster],$E85,TblClusters[Plateforme],"IKS")=0),"Cluster IKS inconnu (info)",IF($K85=0,"Aucun déploiement correspondant (info)","OK")))))))))</f>
        <v/>
      </c>
    </row>
    <row r="86" spans="1:12" x14ac:dyDescent="0.2">
      <c r="A86" s="59"/>
      <c r="B86" s="59"/>
      <c r="C86" s="59"/>
      <c r="D86" s="59"/>
      <c r="E86" s="59"/>
      <c r="F86" s="63"/>
      <c r="G86" s="63"/>
      <c r="H86" s="59"/>
      <c r="I86" s="64"/>
      <c r="J86" s="26" t="str">
        <f t="shared" si="1"/>
        <v/>
      </c>
      <c r="K86" s="26" t="str">
        <f>IF($A86="","",COUNTIFS(TblApplications[ID],$A86,TblApplications[Environnement],$B86,TblApplications[Couloir],$C86))</f>
        <v/>
      </c>
      <c r="L86" s="26" t="str">
        <f>IF($A86="","",IF(OR($B86="",$C86="",$F86="",$G86=""),"Données manquantes",IF(OR(AND($B86&lt;&gt;"PRD",$B86&lt;&gt;"NPRD")),"Environnement invalide",IF(COUNTIF(TblDynatrace[Clé],$J86)&gt;1,"Doublon (ID + env + couloir)",IF(OR(NOT(ISNUMBER($F86)),NOT(ISNUMBER($G86))),"Valeur non numérique",IF(MIN($F86,$G86)&lt;0,"Valeur négative",IF(AND($E86&lt;&gt;"",COUNTIFS(TblClusters[Cluster],$E86,TblClusters[Plateforme],"ROKS")&gt;0),"Cluster observé sur ROKS : extraction attendue depuis IKS",IF(AND($E86&lt;&gt;"",COUNTIFS(TblClusters[Cluster],$E86,TblClusters[Plateforme],"IKS")=0),"Cluster IKS inconnu (info)",IF($K86=0,"Aucun déploiement correspondant (info)","OK")))))))))</f>
        <v/>
      </c>
    </row>
    <row r="87" spans="1:12" x14ac:dyDescent="0.2">
      <c r="A87" s="59"/>
      <c r="B87" s="59"/>
      <c r="C87" s="59"/>
      <c r="D87" s="59"/>
      <c r="E87" s="59"/>
      <c r="F87" s="63"/>
      <c r="G87" s="63"/>
      <c r="H87" s="59"/>
      <c r="I87" s="64"/>
      <c r="J87" s="26" t="str">
        <f t="shared" si="1"/>
        <v/>
      </c>
      <c r="K87" s="26" t="str">
        <f>IF($A87="","",COUNTIFS(TblApplications[ID],$A87,TblApplications[Environnement],$B87,TblApplications[Couloir],$C87))</f>
        <v/>
      </c>
      <c r="L87" s="26" t="str">
        <f>IF($A87="","",IF(OR($B87="",$C87="",$F87="",$G87=""),"Données manquantes",IF(OR(AND($B87&lt;&gt;"PRD",$B87&lt;&gt;"NPRD")),"Environnement invalide",IF(COUNTIF(TblDynatrace[Clé],$J87)&gt;1,"Doublon (ID + env + couloir)",IF(OR(NOT(ISNUMBER($F87)),NOT(ISNUMBER($G87))),"Valeur non numérique",IF(MIN($F87,$G87)&lt;0,"Valeur négative",IF(AND($E87&lt;&gt;"",COUNTIFS(TblClusters[Cluster],$E87,TblClusters[Plateforme],"ROKS")&gt;0),"Cluster observé sur ROKS : extraction attendue depuis IKS",IF(AND($E87&lt;&gt;"",COUNTIFS(TblClusters[Cluster],$E87,TblClusters[Plateforme],"IKS")=0),"Cluster IKS inconnu (info)",IF($K87=0,"Aucun déploiement correspondant (info)","OK")))))))))</f>
        <v/>
      </c>
    </row>
    <row r="88" spans="1:12" x14ac:dyDescent="0.2">
      <c r="A88" s="59"/>
      <c r="B88" s="59"/>
      <c r="C88" s="59"/>
      <c r="D88" s="59"/>
      <c r="E88" s="59"/>
      <c r="F88" s="63"/>
      <c r="G88" s="63"/>
      <c r="H88" s="59"/>
      <c r="I88" s="64"/>
      <c r="J88" s="26" t="str">
        <f t="shared" si="1"/>
        <v/>
      </c>
      <c r="K88" s="26" t="str">
        <f>IF($A88="","",COUNTIFS(TblApplications[ID],$A88,TblApplications[Environnement],$B88,TblApplications[Couloir],$C88))</f>
        <v/>
      </c>
      <c r="L88" s="26" t="str">
        <f>IF($A88="","",IF(OR($B88="",$C88="",$F88="",$G88=""),"Données manquantes",IF(OR(AND($B88&lt;&gt;"PRD",$B88&lt;&gt;"NPRD")),"Environnement invalide",IF(COUNTIF(TblDynatrace[Clé],$J88)&gt;1,"Doublon (ID + env + couloir)",IF(OR(NOT(ISNUMBER($F88)),NOT(ISNUMBER($G88))),"Valeur non numérique",IF(MIN($F88,$G88)&lt;0,"Valeur négative",IF(AND($E88&lt;&gt;"",COUNTIFS(TblClusters[Cluster],$E88,TblClusters[Plateforme],"ROKS")&gt;0),"Cluster observé sur ROKS : extraction attendue depuis IKS",IF(AND($E88&lt;&gt;"",COUNTIFS(TblClusters[Cluster],$E88,TblClusters[Plateforme],"IKS")=0),"Cluster IKS inconnu (info)",IF($K88=0,"Aucun déploiement correspondant (info)","OK")))))))))</f>
        <v/>
      </c>
    </row>
    <row r="89" spans="1:12" x14ac:dyDescent="0.2">
      <c r="A89" s="59"/>
      <c r="B89" s="59"/>
      <c r="C89" s="59"/>
      <c r="D89" s="59"/>
      <c r="E89" s="59"/>
      <c r="F89" s="63"/>
      <c r="G89" s="63"/>
      <c r="H89" s="59"/>
      <c r="I89" s="64"/>
      <c r="J89" s="26" t="str">
        <f t="shared" si="1"/>
        <v/>
      </c>
      <c r="K89" s="26" t="str">
        <f>IF($A89="","",COUNTIFS(TblApplications[ID],$A89,TblApplications[Environnement],$B89,TblApplications[Couloir],$C89))</f>
        <v/>
      </c>
      <c r="L89" s="26" t="str">
        <f>IF($A89="","",IF(OR($B89="",$C89="",$F89="",$G89=""),"Données manquantes",IF(OR(AND($B89&lt;&gt;"PRD",$B89&lt;&gt;"NPRD")),"Environnement invalide",IF(COUNTIF(TblDynatrace[Clé],$J89)&gt;1,"Doublon (ID + env + couloir)",IF(OR(NOT(ISNUMBER($F89)),NOT(ISNUMBER($G89))),"Valeur non numérique",IF(MIN($F89,$G89)&lt;0,"Valeur négative",IF(AND($E89&lt;&gt;"",COUNTIFS(TblClusters[Cluster],$E89,TblClusters[Plateforme],"ROKS")&gt;0),"Cluster observé sur ROKS : extraction attendue depuis IKS",IF(AND($E89&lt;&gt;"",COUNTIFS(TblClusters[Cluster],$E89,TblClusters[Plateforme],"IKS")=0),"Cluster IKS inconnu (info)",IF($K89=0,"Aucun déploiement correspondant (info)","OK")))))))))</f>
        <v/>
      </c>
    </row>
    <row r="90" spans="1:12" x14ac:dyDescent="0.2">
      <c r="A90" s="59"/>
      <c r="B90" s="59"/>
      <c r="C90" s="59"/>
      <c r="D90" s="59"/>
      <c r="E90" s="59"/>
      <c r="F90" s="63"/>
      <c r="G90" s="63"/>
      <c r="H90" s="59"/>
      <c r="I90" s="64"/>
      <c r="J90" s="26" t="str">
        <f t="shared" si="1"/>
        <v/>
      </c>
      <c r="K90" s="26" t="str">
        <f>IF($A90="","",COUNTIFS(TblApplications[ID],$A90,TblApplications[Environnement],$B90,TblApplications[Couloir],$C90))</f>
        <v/>
      </c>
      <c r="L90" s="26" t="str">
        <f>IF($A90="","",IF(OR($B90="",$C90="",$F90="",$G90=""),"Données manquantes",IF(OR(AND($B90&lt;&gt;"PRD",$B90&lt;&gt;"NPRD")),"Environnement invalide",IF(COUNTIF(TblDynatrace[Clé],$J90)&gt;1,"Doublon (ID + env + couloir)",IF(OR(NOT(ISNUMBER($F90)),NOT(ISNUMBER($G90))),"Valeur non numérique",IF(MIN($F90,$G90)&lt;0,"Valeur négative",IF(AND($E90&lt;&gt;"",COUNTIFS(TblClusters[Cluster],$E90,TblClusters[Plateforme],"ROKS")&gt;0),"Cluster observé sur ROKS : extraction attendue depuis IKS",IF(AND($E90&lt;&gt;"",COUNTIFS(TblClusters[Cluster],$E90,TblClusters[Plateforme],"IKS")=0),"Cluster IKS inconnu (info)",IF($K90=0,"Aucun déploiement correspondant (info)","OK")))))))))</f>
        <v/>
      </c>
    </row>
    <row r="91" spans="1:12" x14ac:dyDescent="0.2">
      <c r="A91" s="59"/>
      <c r="B91" s="59"/>
      <c r="C91" s="59"/>
      <c r="D91" s="59"/>
      <c r="E91" s="59"/>
      <c r="F91" s="63"/>
      <c r="G91" s="63"/>
      <c r="H91" s="59"/>
      <c r="I91" s="64"/>
      <c r="J91" s="26" t="str">
        <f t="shared" si="1"/>
        <v/>
      </c>
      <c r="K91" s="26" t="str">
        <f>IF($A91="","",COUNTIFS(TblApplications[ID],$A91,TblApplications[Environnement],$B91,TblApplications[Couloir],$C91))</f>
        <v/>
      </c>
      <c r="L91" s="26" t="str">
        <f>IF($A91="","",IF(OR($B91="",$C91="",$F91="",$G91=""),"Données manquantes",IF(OR(AND($B91&lt;&gt;"PRD",$B91&lt;&gt;"NPRD")),"Environnement invalide",IF(COUNTIF(TblDynatrace[Clé],$J91)&gt;1,"Doublon (ID + env + couloir)",IF(OR(NOT(ISNUMBER($F91)),NOT(ISNUMBER($G91))),"Valeur non numérique",IF(MIN($F91,$G91)&lt;0,"Valeur négative",IF(AND($E91&lt;&gt;"",COUNTIFS(TblClusters[Cluster],$E91,TblClusters[Plateforme],"ROKS")&gt;0),"Cluster observé sur ROKS : extraction attendue depuis IKS",IF(AND($E91&lt;&gt;"",COUNTIFS(TblClusters[Cluster],$E91,TblClusters[Plateforme],"IKS")=0),"Cluster IKS inconnu (info)",IF($K91=0,"Aucun déploiement correspondant (info)","OK")))))))))</f>
        <v/>
      </c>
    </row>
    <row r="92" spans="1:12" x14ac:dyDescent="0.2">
      <c r="A92" s="59"/>
      <c r="B92" s="59"/>
      <c r="C92" s="59"/>
      <c r="D92" s="59"/>
      <c r="E92" s="59"/>
      <c r="F92" s="63"/>
      <c r="G92" s="63"/>
      <c r="H92" s="59"/>
      <c r="I92" s="64"/>
      <c r="J92" s="26" t="str">
        <f t="shared" si="1"/>
        <v/>
      </c>
      <c r="K92" s="26" t="str">
        <f>IF($A92="","",COUNTIFS(TblApplications[ID],$A92,TblApplications[Environnement],$B92,TblApplications[Couloir],$C92))</f>
        <v/>
      </c>
      <c r="L92" s="26" t="str">
        <f>IF($A92="","",IF(OR($B92="",$C92="",$F92="",$G92=""),"Données manquantes",IF(OR(AND($B92&lt;&gt;"PRD",$B92&lt;&gt;"NPRD")),"Environnement invalide",IF(COUNTIF(TblDynatrace[Clé],$J92)&gt;1,"Doublon (ID + env + couloir)",IF(OR(NOT(ISNUMBER($F92)),NOT(ISNUMBER($G92))),"Valeur non numérique",IF(MIN($F92,$G92)&lt;0,"Valeur négative",IF(AND($E92&lt;&gt;"",COUNTIFS(TblClusters[Cluster],$E92,TblClusters[Plateforme],"ROKS")&gt;0),"Cluster observé sur ROKS : extraction attendue depuis IKS",IF(AND($E92&lt;&gt;"",COUNTIFS(TblClusters[Cluster],$E92,TblClusters[Plateforme],"IKS")=0),"Cluster IKS inconnu (info)",IF($K92=0,"Aucun déploiement correspondant (info)","OK")))))))))</f>
        <v/>
      </c>
    </row>
    <row r="93" spans="1:12" x14ac:dyDescent="0.2">
      <c r="A93" s="59"/>
      <c r="B93" s="59"/>
      <c r="C93" s="59"/>
      <c r="D93" s="59"/>
      <c r="E93" s="59"/>
      <c r="F93" s="63"/>
      <c r="G93" s="63"/>
      <c r="H93" s="59"/>
      <c r="I93" s="64"/>
      <c r="J93" s="26" t="str">
        <f t="shared" si="1"/>
        <v/>
      </c>
      <c r="K93" s="26" t="str">
        <f>IF($A93="","",COUNTIFS(TblApplications[ID],$A93,TblApplications[Environnement],$B93,TblApplications[Couloir],$C93))</f>
        <v/>
      </c>
      <c r="L93" s="26" t="str">
        <f>IF($A93="","",IF(OR($B93="",$C93="",$F93="",$G93=""),"Données manquantes",IF(OR(AND($B93&lt;&gt;"PRD",$B93&lt;&gt;"NPRD")),"Environnement invalide",IF(COUNTIF(TblDynatrace[Clé],$J93)&gt;1,"Doublon (ID + env + couloir)",IF(OR(NOT(ISNUMBER($F93)),NOT(ISNUMBER($G93))),"Valeur non numérique",IF(MIN($F93,$G93)&lt;0,"Valeur négative",IF(AND($E93&lt;&gt;"",COUNTIFS(TblClusters[Cluster],$E93,TblClusters[Plateforme],"ROKS")&gt;0),"Cluster observé sur ROKS : extraction attendue depuis IKS",IF(AND($E93&lt;&gt;"",COUNTIFS(TblClusters[Cluster],$E93,TblClusters[Plateforme],"IKS")=0),"Cluster IKS inconnu (info)",IF($K93=0,"Aucun déploiement correspondant (info)","OK")))))))))</f>
        <v/>
      </c>
    </row>
    <row r="94" spans="1:12" x14ac:dyDescent="0.2">
      <c r="A94" s="59"/>
      <c r="B94" s="59"/>
      <c r="C94" s="59"/>
      <c r="D94" s="59"/>
      <c r="E94" s="59"/>
      <c r="F94" s="63"/>
      <c r="G94" s="63"/>
      <c r="H94" s="59"/>
      <c r="I94" s="64"/>
      <c r="J94" s="26" t="str">
        <f t="shared" si="1"/>
        <v/>
      </c>
      <c r="K94" s="26" t="str">
        <f>IF($A94="","",COUNTIFS(TblApplications[ID],$A94,TblApplications[Environnement],$B94,TblApplications[Couloir],$C94))</f>
        <v/>
      </c>
      <c r="L94" s="26" t="str">
        <f>IF($A94="","",IF(OR($B94="",$C94="",$F94="",$G94=""),"Données manquantes",IF(OR(AND($B94&lt;&gt;"PRD",$B94&lt;&gt;"NPRD")),"Environnement invalide",IF(COUNTIF(TblDynatrace[Clé],$J94)&gt;1,"Doublon (ID + env + couloir)",IF(OR(NOT(ISNUMBER($F94)),NOT(ISNUMBER($G94))),"Valeur non numérique",IF(MIN($F94,$G94)&lt;0,"Valeur négative",IF(AND($E94&lt;&gt;"",COUNTIFS(TblClusters[Cluster],$E94,TblClusters[Plateforme],"ROKS")&gt;0),"Cluster observé sur ROKS : extraction attendue depuis IKS",IF(AND($E94&lt;&gt;"",COUNTIFS(TblClusters[Cluster],$E94,TblClusters[Plateforme],"IKS")=0),"Cluster IKS inconnu (info)",IF($K94=0,"Aucun déploiement correspondant (info)","OK")))))))))</f>
        <v/>
      </c>
    </row>
    <row r="95" spans="1:12" x14ac:dyDescent="0.2">
      <c r="A95" s="59"/>
      <c r="B95" s="59"/>
      <c r="C95" s="59"/>
      <c r="D95" s="59"/>
      <c r="E95" s="59"/>
      <c r="F95" s="63"/>
      <c r="G95" s="63"/>
      <c r="H95" s="59"/>
      <c r="I95" s="64"/>
      <c r="J95" s="26" t="str">
        <f t="shared" si="1"/>
        <v/>
      </c>
      <c r="K95" s="26" t="str">
        <f>IF($A95="","",COUNTIFS(TblApplications[ID],$A95,TblApplications[Environnement],$B95,TblApplications[Couloir],$C95))</f>
        <v/>
      </c>
      <c r="L95" s="26" t="str">
        <f>IF($A95="","",IF(OR($B95="",$C95="",$F95="",$G95=""),"Données manquantes",IF(OR(AND($B95&lt;&gt;"PRD",$B95&lt;&gt;"NPRD")),"Environnement invalide",IF(COUNTIF(TblDynatrace[Clé],$J95)&gt;1,"Doublon (ID + env + couloir)",IF(OR(NOT(ISNUMBER($F95)),NOT(ISNUMBER($G95))),"Valeur non numérique",IF(MIN($F95,$G95)&lt;0,"Valeur négative",IF(AND($E95&lt;&gt;"",COUNTIFS(TblClusters[Cluster],$E95,TblClusters[Plateforme],"ROKS")&gt;0),"Cluster observé sur ROKS : extraction attendue depuis IKS",IF(AND($E95&lt;&gt;"",COUNTIFS(TblClusters[Cluster],$E95,TblClusters[Plateforme],"IKS")=0),"Cluster IKS inconnu (info)",IF($K95=0,"Aucun déploiement correspondant (info)","OK")))))))))</f>
        <v/>
      </c>
    </row>
    <row r="96" spans="1:12" x14ac:dyDescent="0.2">
      <c r="A96" s="59"/>
      <c r="B96" s="59"/>
      <c r="C96" s="59"/>
      <c r="D96" s="59"/>
      <c r="E96" s="59"/>
      <c r="F96" s="63"/>
      <c r="G96" s="63"/>
      <c r="H96" s="59"/>
      <c r="I96" s="64"/>
      <c r="J96" s="26" t="str">
        <f t="shared" si="1"/>
        <v/>
      </c>
      <c r="K96" s="26" t="str">
        <f>IF($A96="","",COUNTIFS(TblApplications[ID],$A96,TblApplications[Environnement],$B96,TblApplications[Couloir],$C96))</f>
        <v/>
      </c>
      <c r="L96" s="26" t="str">
        <f>IF($A96="","",IF(OR($B96="",$C96="",$F96="",$G96=""),"Données manquantes",IF(OR(AND($B96&lt;&gt;"PRD",$B96&lt;&gt;"NPRD")),"Environnement invalide",IF(COUNTIF(TblDynatrace[Clé],$J96)&gt;1,"Doublon (ID + env + couloir)",IF(OR(NOT(ISNUMBER($F96)),NOT(ISNUMBER($G96))),"Valeur non numérique",IF(MIN($F96,$G96)&lt;0,"Valeur négative",IF(AND($E96&lt;&gt;"",COUNTIFS(TblClusters[Cluster],$E96,TblClusters[Plateforme],"ROKS")&gt;0),"Cluster observé sur ROKS : extraction attendue depuis IKS",IF(AND($E96&lt;&gt;"",COUNTIFS(TblClusters[Cluster],$E96,TblClusters[Plateforme],"IKS")=0),"Cluster IKS inconnu (info)",IF($K96=0,"Aucun déploiement correspondant (info)","OK")))))))))</f>
        <v/>
      </c>
    </row>
    <row r="97" spans="1:12" x14ac:dyDescent="0.2">
      <c r="A97" s="59"/>
      <c r="B97" s="59"/>
      <c r="C97" s="59"/>
      <c r="D97" s="59"/>
      <c r="E97" s="59"/>
      <c r="F97" s="63"/>
      <c r="G97" s="63"/>
      <c r="H97" s="59"/>
      <c r="I97" s="64"/>
      <c r="J97" s="26" t="str">
        <f t="shared" si="1"/>
        <v/>
      </c>
      <c r="K97" s="26" t="str">
        <f>IF($A97="","",COUNTIFS(TblApplications[ID],$A97,TblApplications[Environnement],$B97,TblApplications[Couloir],$C97))</f>
        <v/>
      </c>
      <c r="L97" s="26" t="str">
        <f>IF($A97="","",IF(OR($B97="",$C97="",$F97="",$G97=""),"Données manquantes",IF(OR(AND($B97&lt;&gt;"PRD",$B97&lt;&gt;"NPRD")),"Environnement invalide",IF(COUNTIF(TblDynatrace[Clé],$J97)&gt;1,"Doublon (ID + env + couloir)",IF(OR(NOT(ISNUMBER($F97)),NOT(ISNUMBER($G97))),"Valeur non numérique",IF(MIN($F97,$G97)&lt;0,"Valeur négative",IF(AND($E97&lt;&gt;"",COUNTIFS(TblClusters[Cluster],$E97,TblClusters[Plateforme],"ROKS")&gt;0),"Cluster observé sur ROKS : extraction attendue depuis IKS",IF(AND($E97&lt;&gt;"",COUNTIFS(TblClusters[Cluster],$E97,TblClusters[Plateforme],"IKS")=0),"Cluster IKS inconnu (info)",IF($K97=0,"Aucun déploiement correspondant (info)","OK")))))))))</f>
        <v/>
      </c>
    </row>
    <row r="98" spans="1:12" x14ac:dyDescent="0.2">
      <c r="A98" s="59"/>
      <c r="B98" s="59"/>
      <c r="C98" s="59"/>
      <c r="D98" s="59"/>
      <c r="E98" s="59"/>
      <c r="F98" s="63"/>
      <c r="G98" s="63"/>
      <c r="H98" s="59"/>
      <c r="I98" s="64"/>
      <c r="J98" s="26" t="str">
        <f t="shared" si="1"/>
        <v/>
      </c>
      <c r="K98" s="26" t="str">
        <f>IF($A98="","",COUNTIFS(TblApplications[ID],$A98,TblApplications[Environnement],$B98,TblApplications[Couloir],$C98))</f>
        <v/>
      </c>
      <c r="L98" s="26" t="str">
        <f>IF($A98="","",IF(OR($B98="",$C98="",$F98="",$G98=""),"Données manquantes",IF(OR(AND($B98&lt;&gt;"PRD",$B98&lt;&gt;"NPRD")),"Environnement invalide",IF(COUNTIF(TblDynatrace[Clé],$J98)&gt;1,"Doublon (ID + env + couloir)",IF(OR(NOT(ISNUMBER($F98)),NOT(ISNUMBER($G98))),"Valeur non numérique",IF(MIN($F98,$G98)&lt;0,"Valeur négative",IF(AND($E98&lt;&gt;"",COUNTIFS(TblClusters[Cluster],$E98,TblClusters[Plateforme],"ROKS")&gt;0),"Cluster observé sur ROKS : extraction attendue depuis IKS",IF(AND($E98&lt;&gt;"",COUNTIFS(TblClusters[Cluster],$E98,TblClusters[Plateforme],"IKS")=0),"Cluster IKS inconnu (info)",IF($K98=0,"Aucun déploiement correspondant (info)","OK")))))))))</f>
        <v/>
      </c>
    </row>
    <row r="99" spans="1:12" x14ac:dyDescent="0.2">
      <c r="A99" s="59"/>
      <c r="B99" s="59"/>
      <c r="C99" s="59"/>
      <c r="D99" s="59"/>
      <c r="E99" s="59"/>
      <c r="F99" s="63"/>
      <c r="G99" s="63"/>
      <c r="H99" s="59"/>
      <c r="I99" s="64"/>
      <c r="J99" s="26" t="str">
        <f t="shared" si="1"/>
        <v/>
      </c>
      <c r="K99" s="26" t="str">
        <f>IF($A99="","",COUNTIFS(TblApplications[ID],$A99,TblApplications[Environnement],$B99,TblApplications[Couloir],$C99))</f>
        <v/>
      </c>
      <c r="L99" s="26" t="str">
        <f>IF($A99="","",IF(OR($B99="",$C99="",$F99="",$G99=""),"Données manquantes",IF(OR(AND($B99&lt;&gt;"PRD",$B99&lt;&gt;"NPRD")),"Environnement invalide",IF(COUNTIF(TblDynatrace[Clé],$J99)&gt;1,"Doublon (ID + env + couloir)",IF(OR(NOT(ISNUMBER($F99)),NOT(ISNUMBER($G99))),"Valeur non numérique",IF(MIN($F99,$G99)&lt;0,"Valeur négative",IF(AND($E99&lt;&gt;"",COUNTIFS(TblClusters[Cluster],$E99,TblClusters[Plateforme],"ROKS")&gt;0),"Cluster observé sur ROKS : extraction attendue depuis IKS",IF(AND($E99&lt;&gt;"",COUNTIFS(TblClusters[Cluster],$E99,TblClusters[Plateforme],"IKS")=0),"Cluster IKS inconnu (info)",IF($K99=0,"Aucun déploiement correspondant (info)","OK")))))))))</f>
        <v/>
      </c>
    </row>
    <row r="100" spans="1:12" x14ac:dyDescent="0.2">
      <c r="A100" s="59"/>
      <c r="B100" s="59"/>
      <c r="C100" s="59"/>
      <c r="D100" s="59"/>
      <c r="E100" s="59"/>
      <c r="F100" s="63"/>
      <c r="G100" s="63"/>
      <c r="H100" s="59"/>
      <c r="I100" s="64"/>
      <c r="J100" s="26" t="str">
        <f t="shared" si="1"/>
        <v/>
      </c>
      <c r="K100" s="26" t="str">
        <f>IF($A100="","",COUNTIFS(TblApplications[ID],$A100,TblApplications[Environnement],$B100,TblApplications[Couloir],$C100))</f>
        <v/>
      </c>
      <c r="L100" s="26" t="str">
        <f>IF($A100="","",IF(OR($B100="",$C100="",$F100="",$G100=""),"Données manquantes",IF(OR(AND($B100&lt;&gt;"PRD",$B100&lt;&gt;"NPRD")),"Environnement invalide",IF(COUNTIF(TblDynatrace[Clé],$J100)&gt;1,"Doublon (ID + env + couloir)",IF(OR(NOT(ISNUMBER($F100)),NOT(ISNUMBER($G100))),"Valeur non numérique",IF(MIN($F100,$G100)&lt;0,"Valeur négative",IF(AND($E100&lt;&gt;"",COUNTIFS(TblClusters[Cluster],$E100,TblClusters[Plateforme],"ROKS")&gt;0),"Cluster observé sur ROKS : extraction attendue depuis IKS",IF(AND($E100&lt;&gt;"",COUNTIFS(TblClusters[Cluster],$E100,TblClusters[Plateforme],"IKS")=0),"Cluster IKS inconnu (info)",IF($K100=0,"Aucun déploiement correspondant (info)","OK")))))))))</f>
        <v/>
      </c>
    </row>
    <row r="101" spans="1:12" x14ac:dyDescent="0.2">
      <c r="A101" s="59"/>
      <c r="B101" s="59"/>
      <c r="C101" s="59"/>
      <c r="D101" s="59"/>
      <c r="E101" s="59"/>
      <c r="F101" s="63"/>
      <c r="G101" s="63"/>
      <c r="H101" s="59"/>
      <c r="I101" s="64"/>
      <c r="J101" s="26" t="str">
        <f t="shared" si="1"/>
        <v/>
      </c>
      <c r="K101" s="26" t="str">
        <f>IF($A101="","",COUNTIFS(TblApplications[ID],$A101,TblApplications[Environnement],$B101,TblApplications[Couloir],$C101))</f>
        <v/>
      </c>
      <c r="L101" s="26" t="str">
        <f>IF($A101="","",IF(OR($B101="",$C101="",$F101="",$G101=""),"Données manquantes",IF(OR(AND($B101&lt;&gt;"PRD",$B101&lt;&gt;"NPRD")),"Environnement invalide",IF(COUNTIF(TblDynatrace[Clé],$J101)&gt;1,"Doublon (ID + env + couloir)",IF(OR(NOT(ISNUMBER($F101)),NOT(ISNUMBER($G101))),"Valeur non numérique",IF(MIN($F101,$G101)&lt;0,"Valeur négative",IF(AND($E101&lt;&gt;"",COUNTIFS(TblClusters[Cluster],$E101,TblClusters[Plateforme],"ROKS")&gt;0),"Cluster observé sur ROKS : extraction attendue depuis IKS",IF(AND($E101&lt;&gt;"",COUNTIFS(TblClusters[Cluster],$E101,TblClusters[Plateforme],"IKS")=0),"Cluster IKS inconnu (info)",IF($K101=0,"Aucun déploiement correspondant (info)","OK")))))))))</f>
        <v/>
      </c>
    </row>
    <row r="102" spans="1:12" x14ac:dyDescent="0.2">
      <c r="A102" s="59"/>
      <c r="B102" s="59"/>
      <c r="C102" s="59"/>
      <c r="D102" s="59"/>
      <c r="E102" s="59"/>
      <c r="F102" s="63"/>
      <c r="G102" s="63"/>
      <c r="H102" s="59"/>
      <c r="I102" s="64"/>
      <c r="J102" s="26" t="str">
        <f t="shared" si="1"/>
        <v/>
      </c>
      <c r="K102" s="26" t="str">
        <f>IF($A102="","",COUNTIFS(TblApplications[ID],$A102,TblApplications[Environnement],$B102,TblApplications[Couloir],$C102))</f>
        <v/>
      </c>
      <c r="L102" s="26" t="str">
        <f>IF($A102="","",IF(OR($B102="",$C102="",$F102="",$G102=""),"Données manquantes",IF(OR(AND($B102&lt;&gt;"PRD",$B102&lt;&gt;"NPRD")),"Environnement invalide",IF(COUNTIF(TblDynatrace[Clé],$J102)&gt;1,"Doublon (ID + env + couloir)",IF(OR(NOT(ISNUMBER($F102)),NOT(ISNUMBER($G102))),"Valeur non numérique",IF(MIN($F102,$G102)&lt;0,"Valeur négative",IF(AND($E102&lt;&gt;"",COUNTIFS(TblClusters[Cluster],$E102,TblClusters[Plateforme],"ROKS")&gt;0),"Cluster observé sur ROKS : extraction attendue depuis IKS",IF(AND($E102&lt;&gt;"",COUNTIFS(TblClusters[Cluster],$E102,TblClusters[Plateforme],"IKS")=0),"Cluster IKS inconnu (info)",IF($K102=0,"Aucun déploiement correspondant (info)","OK")))))))))</f>
        <v/>
      </c>
    </row>
    <row r="103" spans="1:12" x14ac:dyDescent="0.2">
      <c r="A103" s="59"/>
      <c r="B103" s="59"/>
      <c r="C103" s="59"/>
      <c r="D103" s="59"/>
      <c r="E103" s="59"/>
      <c r="F103" s="63"/>
      <c r="G103" s="63"/>
      <c r="H103" s="59"/>
      <c r="I103" s="64"/>
      <c r="J103" s="26" t="str">
        <f t="shared" si="1"/>
        <v/>
      </c>
      <c r="K103" s="26" t="str">
        <f>IF($A103="","",COUNTIFS(TblApplications[ID],$A103,TblApplications[Environnement],$B103,TblApplications[Couloir],$C103))</f>
        <v/>
      </c>
      <c r="L103" s="26" t="str">
        <f>IF($A103="","",IF(OR($B103="",$C103="",$F103="",$G103=""),"Données manquantes",IF(OR(AND($B103&lt;&gt;"PRD",$B103&lt;&gt;"NPRD")),"Environnement invalide",IF(COUNTIF(TblDynatrace[Clé],$J103)&gt;1,"Doublon (ID + env + couloir)",IF(OR(NOT(ISNUMBER($F103)),NOT(ISNUMBER($G103))),"Valeur non numérique",IF(MIN($F103,$G103)&lt;0,"Valeur négative",IF(AND($E103&lt;&gt;"",COUNTIFS(TblClusters[Cluster],$E103,TblClusters[Plateforme],"ROKS")&gt;0),"Cluster observé sur ROKS : extraction attendue depuis IKS",IF(AND($E103&lt;&gt;"",COUNTIFS(TblClusters[Cluster],$E103,TblClusters[Plateforme],"IKS")=0),"Cluster IKS inconnu (info)",IF($K103=0,"Aucun déploiement correspondant (info)","OK")))))))))</f>
        <v/>
      </c>
    </row>
    <row r="104" spans="1:12" x14ac:dyDescent="0.2">
      <c r="A104" s="59"/>
      <c r="B104" s="59"/>
      <c r="C104" s="59"/>
      <c r="D104" s="59"/>
      <c r="E104" s="59"/>
      <c r="F104" s="63"/>
      <c r="G104" s="63"/>
      <c r="H104" s="59"/>
      <c r="I104" s="64"/>
      <c r="J104" s="26" t="str">
        <f t="shared" si="1"/>
        <v/>
      </c>
      <c r="K104" s="26" t="str">
        <f>IF($A104="","",COUNTIFS(TblApplications[ID],$A104,TblApplications[Environnement],$B104,TblApplications[Couloir],$C104))</f>
        <v/>
      </c>
      <c r="L104" s="26" t="str">
        <f>IF($A104="","",IF(OR($B104="",$C104="",$F104="",$G104=""),"Données manquantes",IF(OR(AND($B104&lt;&gt;"PRD",$B104&lt;&gt;"NPRD")),"Environnement invalide",IF(COUNTIF(TblDynatrace[Clé],$J104)&gt;1,"Doublon (ID + env + couloir)",IF(OR(NOT(ISNUMBER($F104)),NOT(ISNUMBER($G104))),"Valeur non numérique",IF(MIN($F104,$G104)&lt;0,"Valeur négative",IF(AND($E104&lt;&gt;"",COUNTIFS(TblClusters[Cluster],$E104,TblClusters[Plateforme],"ROKS")&gt;0),"Cluster observé sur ROKS : extraction attendue depuis IKS",IF(AND($E104&lt;&gt;"",COUNTIFS(TblClusters[Cluster],$E104,TblClusters[Plateforme],"IKS")=0),"Cluster IKS inconnu (info)",IF($K104=0,"Aucun déploiement correspondant (info)","OK")))))))))</f>
        <v/>
      </c>
    </row>
    <row r="105" spans="1:12" x14ac:dyDescent="0.2">
      <c r="A105" s="59"/>
      <c r="B105" s="59"/>
      <c r="C105" s="59"/>
      <c r="D105" s="59"/>
      <c r="E105" s="59"/>
      <c r="F105" s="63"/>
      <c r="G105" s="63"/>
      <c r="H105" s="59"/>
      <c r="I105" s="64"/>
      <c r="J105" s="26" t="str">
        <f t="shared" si="1"/>
        <v/>
      </c>
      <c r="K105" s="26" t="str">
        <f>IF($A105="","",COUNTIFS(TblApplications[ID],$A105,TblApplications[Environnement],$B105,TblApplications[Couloir],$C105))</f>
        <v/>
      </c>
      <c r="L105" s="26" t="str">
        <f>IF($A105="","",IF(OR($B105="",$C105="",$F105="",$G105=""),"Données manquantes",IF(OR(AND($B105&lt;&gt;"PRD",$B105&lt;&gt;"NPRD")),"Environnement invalide",IF(COUNTIF(TblDynatrace[Clé],$J105)&gt;1,"Doublon (ID + env + couloir)",IF(OR(NOT(ISNUMBER($F105)),NOT(ISNUMBER($G105))),"Valeur non numérique",IF(MIN($F105,$G105)&lt;0,"Valeur négative",IF(AND($E105&lt;&gt;"",COUNTIFS(TblClusters[Cluster],$E105,TblClusters[Plateforme],"ROKS")&gt;0),"Cluster observé sur ROKS : extraction attendue depuis IKS",IF(AND($E105&lt;&gt;"",COUNTIFS(TblClusters[Cluster],$E105,TblClusters[Plateforme],"IKS")=0),"Cluster IKS inconnu (info)",IF($K105=0,"Aucun déploiement correspondant (info)","OK")))))))))</f>
        <v/>
      </c>
    </row>
    <row r="106" spans="1:12" x14ac:dyDescent="0.2">
      <c r="A106" s="59"/>
      <c r="B106" s="59"/>
      <c r="C106" s="59"/>
      <c r="D106" s="59"/>
      <c r="E106" s="59"/>
      <c r="F106" s="63"/>
      <c r="G106" s="63"/>
      <c r="H106" s="59"/>
      <c r="I106" s="64"/>
      <c r="J106" s="26" t="str">
        <f t="shared" si="1"/>
        <v/>
      </c>
      <c r="K106" s="26" t="str">
        <f>IF($A106="","",COUNTIFS(TblApplications[ID],$A106,TblApplications[Environnement],$B106,TblApplications[Couloir],$C106))</f>
        <v/>
      </c>
      <c r="L106" s="26" t="str">
        <f>IF($A106="","",IF(OR($B106="",$C106="",$F106="",$G106=""),"Données manquantes",IF(OR(AND($B106&lt;&gt;"PRD",$B106&lt;&gt;"NPRD")),"Environnement invalide",IF(COUNTIF(TblDynatrace[Clé],$J106)&gt;1,"Doublon (ID + env + couloir)",IF(OR(NOT(ISNUMBER($F106)),NOT(ISNUMBER($G106))),"Valeur non numérique",IF(MIN($F106,$G106)&lt;0,"Valeur négative",IF(AND($E106&lt;&gt;"",COUNTIFS(TblClusters[Cluster],$E106,TblClusters[Plateforme],"ROKS")&gt;0),"Cluster observé sur ROKS : extraction attendue depuis IKS",IF(AND($E106&lt;&gt;"",COUNTIFS(TblClusters[Cluster],$E106,TblClusters[Plateforme],"IKS")=0),"Cluster IKS inconnu (info)",IF($K106=0,"Aucun déploiement correspondant (info)","OK")))))))))</f>
        <v/>
      </c>
    </row>
    <row r="107" spans="1:12" x14ac:dyDescent="0.2">
      <c r="A107" s="59"/>
      <c r="B107" s="59"/>
      <c r="C107" s="59"/>
      <c r="D107" s="59"/>
      <c r="E107" s="59"/>
      <c r="F107" s="63"/>
      <c r="G107" s="63"/>
      <c r="H107" s="59"/>
      <c r="I107" s="64"/>
      <c r="J107" s="26" t="str">
        <f t="shared" si="1"/>
        <v/>
      </c>
      <c r="K107" s="26" t="str">
        <f>IF($A107="","",COUNTIFS(TblApplications[ID],$A107,TblApplications[Environnement],$B107,TblApplications[Couloir],$C107))</f>
        <v/>
      </c>
      <c r="L107" s="26" t="str">
        <f>IF($A107="","",IF(OR($B107="",$C107="",$F107="",$G107=""),"Données manquantes",IF(OR(AND($B107&lt;&gt;"PRD",$B107&lt;&gt;"NPRD")),"Environnement invalide",IF(COUNTIF(TblDynatrace[Clé],$J107)&gt;1,"Doublon (ID + env + couloir)",IF(OR(NOT(ISNUMBER($F107)),NOT(ISNUMBER($G107))),"Valeur non numérique",IF(MIN($F107,$G107)&lt;0,"Valeur négative",IF(AND($E107&lt;&gt;"",COUNTIFS(TblClusters[Cluster],$E107,TblClusters[Plateforme],"ROKS")&gt;0),"Cluster observé sur ROKS : extraction attendue depuis IKS",IF(AND($E107&lt;&gt;"",COUNTIFS(TblClusters[Cluster],$E107,TblClusters[Plateforme],"IKS")=0),"Cluster IKS inconnu (info)",IF($K107=0,"Aucun déploiement correspondant (info)","OK")))))))))</f>
        <v/>
      </c>
    </row>
    <row r="108" spans="1:12" x14ac:dyDescent="0.2">
      <c r="A108" s="59"/>
      <c r="B108" s="59"/>
      <c r="C108" s="59"/>
      <c r="D108" s="59"/>
      <c r="E108" s="59"/>
      <c r="F108" s="63"/>
      <c r="G108" s="63"/>
      <c r="H108" s="59"/>
      <c r="I108" s="64"/>
      <c r="J108" s="26" t="str">
        <f t="shared" si="1"/>
        <v/>
      </c>
      <c r="K108" s="26" t="str">
        <f>IF($A108="","",COUNTIFS(TblApplications[ID],$A108,TblApplications[Environnement],$B108,TblApplications[Couloir],$C108))</f>
        <v/>
      </c>
      <c r="L108" s="26" t="str">
        <f>IF($A108="","",IF(OR($B108="",$C108="",$F108="",$G108=""),"Données manquantes",IF(OR(AND($B108&lt;&gt;"PRD",$B108&lt;&gt;"NPRD")),"Environnement invalide",IF(COUNTIF(TblDynatrace[Clé],$J108)&gt;1,"Doublon (ID + env + couloir)",IF(OR(NOT(ISNUMBER($F108)),NOT(ISNUMBER($G108))),"Valeur non numérique",IF(MIN($F108,$G108)&lt;0,"Valeur négative",IF(AND($E108&lt;&gt;"",COUNTIFS(TblClusters[Cluster],$E108,TblClusters[Plateforme],"ROKS")&gt;0),"Cluster observé sur ROKS : extraction attendue depuis IKS",IF(AND($E108&lt;&gt;"",COUNTIFS(TblClusters[Cluster],$E108,TblClusters[Plateforme],"IKS")=0),"Cluster IKS inconnu (info)",IF($K108=0,"Aucun déploiement correspondant (info)","OK")))))))))</f>
        <v/>
      </c>
    </row>
    <row r="109" spans="1:12" x14ac:dyDescent="0.2">
      <c r="A109" s="59"/>
      <c r="B109" s="59"/>
      <c r="C109" s="59"/>
      <c r="D109" s="59"/>
      <c r="E109" s="59"/>
      <c r="F109" s="63"/>
      <c r="G109" s="63"/>
      <c r="H109" s="59"/>
      <c r="I109" s="64"/>
      <c r="J109" s="26" t="str">
        <f t="shared" si="1"/>
        <v/>
      </c>
      <c r="K109" s="26" t="str">
        <f>IF($A109="","",COUNTIFS(TblApplications[ID],$A109,TblApplications[Environnement],$B109,TblApplications[Couloir],$C109))</f>
        <v/>
      </c>
      <c r="L109" s="26" t="str">
        <f>IF($A109="","",IF(OR($B109="",$C109="",$F109="",$G109=""),"Données manquantes",IF(OR(AND($B109&lt;&gt;"PRD",$B109&lt;&gt;"NPRD")),"Environnement invalide",IF(COUNTIF(TblDynatrace[Clé],$J109)&gt;1,"Doublon (ID + env + couloir)",IF(OR(NOT(ISNUMBER($F109)),NOT(ISNUMBER($G109))),"Valeur non numérique",IF(MIN($F109,$G109)&lt;0,"Valeur négative",IF(AND($E109&lt;&gt;"",COUNTIFS(TblClusters[Cluster],$E109,TblClusters[Plateforme],"ROKS")&gt;0),"Cluster observé sur ROKS : extraction attendue depuis IKS",IF(AND($E109&lt;&gt;"",COUNTIFS(TblClusters[Cluster],$E109,TblClusters[Plateforme],"IKS")=0),"Cluster IKS inconnu (info)",IF($K109=0,"Aucun déploiement correspondant (info)","OK")))))))))</f>
        <v/>
      </c>
    </row>
    <row r="110" spans="1:12" x14ac:dyDescent="0.2">
      <c r="A110" s="59"/>
      <c r="B110" s="59"/>
      <c r="C110" s="59"/>
      <c r="D110" s="59"/>
      <c r="E110" s="59"/>
      <c r="F110" s="63"/>
      <c r="G110" s="63"/>
      <c r="H110" s="59"/>
      <c r="I110" s="64"/>
      <c r="J110" s="26" t="str">
        <f t="shared" si="1"/>
        <v/>
      </c>
      <c r="K110" s="26" t="str">
        <f>IF($A110="","",COUNTIFS(TblApplications[ID],$A110,TblApplications[Environnement],$B110,TblApplications[Couloir],$C110))</f>
        <v/>
      </c>
      <c r="L110" s="26" t="str">
        <f>IF($A110="","",IF(OR($B110="",$C110="",$F110="",$G110=""),"Données manquantes",IF(OR(AND($B110&lt;&gt;"PRD",$B110&lt;&gt;"NPRD")),"Environnement invalide",IF(COUNTIF(TblDynatrace[Clé],$J110)&gt;1,"Doublon (ID + env + couloir)",IF(OR(NOT(ISNUMBER($F110)),NOT(ISNUMBER($G110))),"Valeur non numérique",IF(MIN($F110,$G110)&lt;0,"Valeur négative",IF(AND($E110&lt;&gt;"",COUNTIFS(TblClusters[Cluster],$E110,TblClusters[Plateforme],"ROKS")&gt;0),"Cluster observé sur ROKS : extraction attendue depuis IKS",IF(AND($E110&lt;&gt;"",COUNTIFS(TblClusters[Cluster],$E110,TblClusters[Plateforme],"IKS")=0),"Cluster IKS inconnu (info)",IF($K110=0,"Aucun déploiement correspondant (info)","OK")))))))))</f>
        <v/>
      </c>
    </row>
    <row r="111" spans="1:12" x14ac:dyDescent="0.2">
      <c r="A111" s="59"/>
      <c r="B111" s="59"/>
      <c r="C111" s="59"/>
      <c r="D111" s="59"/>
      <c r="E111" s="59"/>
      <c r="F111" s="63"/>
      <c r="G111" s="63"/>
      <c r="H111" s="59"/>
      <c r="I111" s="64"/>
      <c r="J111" s="26" t="str">
        <f t="shared" si="1"/>
        <v/>
      </c>
      <c r="K111" s="26" t="str">
        <f>IF($A111="","",COUNTIFS(TblApplications[ID],$A111,TblApplications[Environnement],$B111,TblApplications[Couloir],$C111))</f>
        <v/>
      </c>
      <c r="L111" s="26" t="str">
        <f>IF($A111="","",IF(OR($B111="",$C111="",$F111="",$G111=""),"Données manquantes",IF(OR(AND($B111&lt;&gt;"PRD",$B111&lt;&gt;"NPRD")),"Environnement invalide",IF(COUNTIF(TblDynatrace[Clé],$J111)&gt;1,"Doublon (ID + env + couloir)",IF(OR(NOT(ISNUMBER($F111)),NOT(ISNUMBER($G111))),"Valeur non numérique",IF(MIN($F111,$G111)&lt;0,"Valeur négative",IF(AND($E111&lt;&gt;"",COUNTIFS(TblClusters[Cluster],$E111,TblClusters[Plateforme],"ROKS")&gt;0),"Cluster observé sur ROKS : extraction attendue depuis IKS",IF(AND($E111&lt;&gt;"",COUNTIFS(TblClusters[Cluster],$E111,TblClusters[Plateforme],"IKS")=0),"Cluster IKS inconnu (info)",IF($K111=0,"Aucun déploiement correspondant (info)","OK")))))))))</f>
        <v/>
      </c>
    </row>
    <row r="112" spans="1:12" x14ac:dyDescent="0.2">
      <c r="A112" s="59"/>
      <c r="B112" s="59"/>
      <c r="C112" s="59"/>
      <c r="D112" s="59"/>
      <c r="E112" s="59"/>
      <c r="F112" s="63"/>
      <c r="G112" s="63"/>
      <c r="H112" s="59"/>
      <c r="I112" s="64"/>
      <c r="J112" s="26" t="str">
        <f t="shared" si="1"/>
        <v/>
      </c>
      <c r="K112" s="26" t="str">
        <f>IF($A112="","",COUNTIFS(TblApplications[ID],$A112,TblApplications[Environnement],$B112,TblApplications[Couloir],$C112))</f>
        <v/>
      </c>
      <c r="L112" s="26" t="str">
        <f>IF($A112="","",IF(OR($B112="",$C112="",$F112="",$G112=""),"Données manquantes",IF(OR(AND($B112&lt;&gt;"PRD",$B112&lt;&gt;"NPRD")),"Environnement invalide",IF(COUNTIF(TblDynatrace[Clé],$J112)&gt;1,"Doublon (ID + env + couloir)",IF(OR(NOT(ISNUMBER($F112)),NOT(ISNUMBER($G112))),"Valeur non numérique",IF(MIN($F112,$G112)&lt;0,"Valeur négative",IF(AND($E112&lt;&gt;"",COUNTIFS(TblClusters[Cluster],$E112,TblClusters[Plateforme],"ROKS")&gt;0),"Cluster observé sur ROKS : extraction attendue depuis IKS",IF(AND($E112&lt;&gt;"",COUNTIFS(TblClusters[Cluster],$E112,TblClusters[Plateforme],"IKS")=0),"Cluster IKS inconnu (info)",IF($K112=0,"Aucun déploiement correspondant (info)","OK")))))))))</f>
        <v/>
      </c>
    </row>
    <row r="113" spans="1:12" x14ac:dyDescent="0.2">
      <c r="A113" s="59"/>
      <c r="B113" s="59"/>
      <c r="C113" s="59"/>
      <c r="D113" s="59"/>
      <c r="E113" s="59"/>
      <c r="F113" s="63"/>
      <c r="G113" s="63"/>
      <c r="H113" s="59"/>
      <c r="I113" s="64"/>
      <c r="J113" s="26" t="str">
        <f t="shared" si="1"/>
        <v/>
      </c>
      <c r="K113" s="26" t="str">
        <f>IF($A113="","",COUNTIFS(TblApplications[ID],$A113,TblApplications[Environnement],$B113,TblApplications[Couloir],$C113))</f>
        <v/>
      </c>
      <c r="L113" s="26" t="str">
        <f>IF($A113="","",IF(OR($B113="",$C113="",$F113="",$G113=""),"Données manquantes",IF(OR(AND($B113&lt;&gt;"PRD",$B113&lt;&gt;"NPRD")),"Environnement invalide",IF(COUNTIF(TblDynatrace[Clé],$J113)&gt;1,"Doublon (ID + env + couloir)",IF(OR(NOT(ISNUMBER($F113)),NOT(ISNUMBER($G113))),"Valeur non numérique",IF(MIN($F113,$G113)&lt;0,"Valeur négative",IF(AND($E113&lt;&gt;"",COUNTIFS(TblClusters[Cluster],$E113,TblClusters[Plateforme],"ROKS")&gt;0),"Cluster observé sur ROKS : extraction attendue depuis IKS",IF(AND($E113&lt;&gt;"",COUNTIFS(TblClusters[Cluster],$E113,TblClusters[Plateforme],"IKS")=0),"Cluster IKS inconnu (info)",IF($K113=0,"Aucun déploiement correspondant (info)","OK")))))))))</f>
        <v/>
      </c>
    </row>
    <row r="114" spans="1:12" x14ac:dyDescent="0.2">
      <c r="A114" s="59"/>
      <c r="B114" s="59"/>
      <c r="C114" s="59"/>
      <c r="D114" s="59"/>
      <c r="E114" s="59"/>
      <c r="F114" s="63"/>
      <c r="G114" s="63"/>
      <c r="H114" s="59"/>
      <c r="I114" s="64"/>
      <c r="J114" s="26" t="str">
        <f t="shared" si="1"/>
        <v/>
      </c>
      <c r="K114" s="26" t="str">
        <f>IF($A114="","",COUNTIFS(TblApplications[ID],$A114,TblApplications[Environnement],$B114,TblApplications[Couloir],$C114))</f>
        <v/>
      </c>
      <c r="L114" s="26" t="str">
        <f>IF($A114="","",IF(OR($B114="",$C114="",$F114="",$G114=""),"Données manquantes",IF(OR(AND($B114&lt;&gt;"PRD",$B114&lt;&gt;"NPRD")),"Environnement invalide",IF(COUNTIF(TblDynatrace[Clé],$J114)&gt;1,"Doublon (ID + env + couloir)",IF(OR(NOT(ISNUMBER($F114)),NOT(ISNUMBER($G114))),"Valeur non numérique",IF(MIN($F114,$G114)&lt;0,"Valeur négative",IF(AND($E114&lt;&gt;"",COUNTIFS(TblClusters[Cluster],$E114,TblClusters[Plateforme],"ROKS")&gt;0),"Cluster observé sur ROKS : extraction attendue depuis IKS",IF(AND($E114&lt;&gt;"",COUNTIFS(TblClusters[Cluster],$E114,TblClusters[Plateforme],"IKS")=0),"Cluster IKS inconnu (info)",IF($K114=0,"Aucun déploiement correspondant (info)","OK")))))))))</f>
        <v/>
      </c>
    </row>
    <row r="115" spans="1:12" x14ac:dyDescent="0.2">
      <c r="A115" s="59"/>
      <c r="B115" s="59"/>
      <c r="C115" s="59"/>
      <c r="D115" s="59"/>
      <c r="E115" s="59"/>
      <c r="F115" s="63"/>
      <c r="G115" s="63"/>
      <c r="H115" s="59"/>
      <c r="I115" s="64"/>
      <c r="J115" s="26" t="str">
        <f t="shared" si="1"/>
        <v/>
      </c>
      <c r="K115" s="26" t="str">
        <f>IF($A115="","",COUNTIFS(TblApplications[ID],$A115,TblApplications[Environnement],$B115,TblApplications[Couloir],$C115))</f>
        <v/>
      </c>
      <c r="L115" s="26" t="str">
        <f>IF($A115="","",IF(OR($B115="",$C115="",$F115="",$G115=""),"Données manquantes",IF(OR(AND($B115&lt;&gt;"PRD",$B115&lt;&gt;"NPRD")),"Environnement invalide",IF(COUNTIF(TblDynatrace[Clé],$J115)&gt;1,"Doublon (ID + env + couloir)",IF(OR(NOT(ISNUMBER($F115)),NOT(ISNUMBER($G115))),"Valeur non numérique",IF(MIN($F115,$G115)&lt;0,"Valeur négative",IF(AND($E115&lt;&gt;"",COUNTIFS(TblClusters[Cluster],$E115,TblClusters[Plateforme],"ROKS")&gt;0),"Cluster observé sur ROKS : extraction attendue depuis IKS",IF(AND($E115&lt;&gt;"",COUNTIFS(TblClusters[Cluster],$E115,TblClusters[Plateforme],"IKS")=0),"Cluster IKS inconnu (info)",IF($K115=0,"Aucun déploiement correspondant (info)","OK")))))))))</f>
        <v/>
      </c>
    </row>
    <row r="116" spans="1:12" x14ac:dyDescent="0.2">
      <c r="A116" s="59"/>
      <c r="B116" s="59"/>
      <c r="C116" s="59"/>
      <c r="D116" s="59"/>
      <c r="E116" s="59"/>
      <c r="F116" s="63"/>
      <c r="G116" s="63"/>
      <c r="H116" s="59"/>
      <c r="I116" s="64"/>
      <c r="J116" s="26" t="str">
        <f t="shared" si="1"/>
        <v/>
      </c>
      <c r="K116" s="26" t="str">
        <f>IF($A116="","",COUNTIFS(TblApplications[ID],$A116,TblApplications[Environnement],$B116,TblApplications[Couloir],$C116))</f>
        <v/>
      </c>
      <c r="L116" s="26" t="str">
        <f>IF($A116="","",IF(OR($B116="",$C116="",$F116="",$G116=""),"Données manquantes",IF(OR(AND($B116&lt;&gt;"PRD",$B116&lt;&gt;"NPRD")),"Environnement invalide",IF(COUNTIF(TblDynatrace[Clé],$J116)&gt;1,"Doublon (ID + env + couloir)",IF(OR(NOT(ISNUMBER($F116)),NOT(ISNUMBER($G116))),"Valeur non numérique",IF(MIN($F116,$G116)&lt;0,"Valeur négative",IF(AND($E116&lt;&gt;"",COUNTIFS(TblClusters[Cluster],$E116,TblClusters[Plateforme],"ROKS")&gt;0),"Cluster observé sur ROKS : extraction attendue depuis IKS",IF(AND($E116&lt;&gt;"",COUNTIFS(TblClusters[Cluster],$E116,TblClusters[Plateforme],"IKS")=0),"Cluster IKS inconnu (info)",IF($K116=0,"Aucun déploiement correspondant (info)","OK")))))))))</f>
        <v/>
      </c>
    </row>
    <row r="117" spans="1:12" x14ac:dyDescent="0.2">
      <c r="A117" s="59"/>
      <c r="B117" s="59"/>
      <c r="C117" s="59"/>
      <c r="D117" s="59"/>
      <c r="E117" s="59"/>
      <c r="F117" s="63"/>
      <c r="G117" s="63"/>
      <c r="H117" s="59"/>
      <c r="I117" s="64"/>
      <c r="J117" s="26" t="str">
        <f t="shared" si="1"/>
        <v/>
      </c>
      <c r="K117" s="26" t="str">
        <f>IF($A117="","",COUNTIFS(TblApplications[ID],$A117,TblApplications[Environnement],$B117,TblApplications[Couloir],$C117))</f>
        <v/>
      </c>
      <c r="L117" s="26" t="str">
        <f>IF($A117="","",IF(OR($B117="",$C117="",$F117="",$G117=""),"Données manquantes",IF(OR(AND($B117&lt;&gt;"PRD",$B117&lt;&gt;"NPRD")),"Environnement invalide",IF(COUNTIF(TblDynatrace[Clé],$J117)&gt;1,"Doublon (ID + env + couloir)",IF(OR(NOT(ISNUMBER($F117)),NOT(ISNUMBER($G117))),"Valeur non numérique",IF(MIN($F117,$G117)&lt;0,"Valeur négative",IF(AND($E117&lt;&gt;"",COUNTIFS(TblClusters[Cluster],$E117,TblClusters[Plateforme],"ROKS")&gt;0),"Cluster observé sur ROKS : extraction attendue depuis IKS",IF(AND($E117&lt;&gt;"",COUNTIFS(TblClusters[Cluster],$E117,TblClusters[Plateforme],"IKS")=0),"Cluster IKS inconnu (info)",IF($K117=0,"Aucun déploiement correspondant (info)","OK")))))))))</f>
        <v/>
      </c>
    </row>
    <row r="118" spans="1:12" x14ac:dyDescent="0.2">
      <c r="A118" s="59"/>
      <c r="B118" s="59"/>
      <c r="C118" s="59"/>
      <c r="D118" s="59"/>
      <c r="E118" s="59"/>
      <c r="F118" s="63"/>
      <c r="G118" s="63"/>
      <c r="H118" s="59"/>
      <c r="I118" s="64"/>
      <c r="J118" s="26" t="str">
        <f t="shared" si="1"/>
        <v/>
      </c>
      <c r="K118" s="26" t="str">
        <f>IF($A118="","",COUNTIFS(TblApplications[ID],$A118,TblApplications[Environnement],$B118,TblApplications[Couloir],$C118))</f>
        <v/>
      </c>
      <c r="L118" s="26" t="str">
        <f>IF($A118="","",IF(OR($B118="",$C118="",$F118="",$G118=""),"Données manquantes",IF(OR(AND($B118&lt;&gt;"PRD",$B118&lt;&gt;"NPRD")),"Environnement invalide",IF(COUNTIF(TblDynatrace[Clé],$J118)&gt;1,"Doublon (ID + env + couloir)",IF(OR(NOT(ISNUMBER($F118)),NOT(ISNUMBER($G118))),"Valeur non numérique",IF(MIN($F118,$G118)&lt;0,"Valeur négative",IF(AND($E118&lt;&gt;"",COUNTIFS(TblClusters[Cluster],$E118,TblClusters[Plateforme],"ROKS")&gt;0),"Cluster observé sur ROKS : extraction attendue depuis IKS",IF(AND($E118&lt;&gt;"",COUNTIFS(TblClusters[Cluster],$E118,TblClusters[Plateforme],"IKS")=0),"Cluster IKS inconnu (info)",IF($K118=0,"Aucun déploiement correspondant (info)","OK")))))))))</f>
        <v/>
      </c>
    </row>
    <row r="119" spans="1:12" x14ac:dyDescent="0.2">
      <c r="A119" s="59"/>
      <c r="B119" s="59"/>
      <c r="C119" s="59"/>
      <c r="D119" s="59"/>
      <c r="E119" s="59"/>
      <c r="F119" s="63"/>
      <c r="G119" s="63"/>
      <c r="H119" s="59"/>
      <c r="I119" s="64"/>
      <c r="J119" s="26" t="str">
        <f t="shared" si="1"/>
        <v/>
      </c>
      <c r="K119" s="26" t="str">
        <f>IF($A119="","",COUNTIFS(TblApplications[ID],$A119,TblApplications[Environnement],$B119,TblApplications[Couloir],$C119))</f>
        <v/>
      </c>
      <c r="L119" s="26" t="str">
        <f>IF($A119="","",IF(OR($B119="",$C119="",$F119="",$G119=""),"Données manquantes",IF(OR(AND($B119&lt;&gt;"PRD",$B119&lt;&gt;"NPRD")),"Environnement invalide",IF(COUNTIF(TblDynatrace[Clé],$J119)&gt;1,"Doublon (ID + env + couloir)",IF(OR(NOT(ISNUMBER($F119)),NOT(ISNUMBER($G119))),"Valeur non numérique",IF(MIN($F119,$G119)&lt;0,"Valeur négative",IF(AND($E119&lt;&gt;"",COUNTIFS(TblClusters[Cluster],$E119,TblClusters[Plateforme],"ROKS")&gt;0),"Cluster observé sur ROKS : extraction attendue depuis IKS",IF(AND($E119&lt;&gt;"",COUNTIFS(TblClusters[Cluster],$E119,TblClusters[Plateforme],"IKS")=0),"Cluster IKS inconnu (info)",IF($K119=0,"Aucun déploiement correspondant (info)","OK")))))))))</f>
        <v/>
      </c>
    </row>
    <row r="120" spans="1:12" x14ac:dyDescent="0.2">
      <c r="A120" s="59"/>
      <c r="B120" s="59"/>
      <c r="C120" s="59"/>
      <c r="D120" s="59"/>
      <c r="E120" s="59"/>
      <c r="F120" s="63"/>
      <c r="G120" s="63"/>
      <c r="H120" s="59"/>
      <c r="I120" s="64"/>
      <c r="J120" s="26" t="str">
        <f t="shared" si="1"/>
        <v/>
      </c>
      <c r="K120" s="26" t="str">
        <f>IF($A120="","",COUNTIFS(TblApplications[ID],$A120,TblApplications[Environnement],$B120,TblApplications[Couloir],$C120))</f>
        <v/>
      </c>
      <c r="L120" s="26" t="str">
        <f>IF($A120="","",IF(OR($B120="",$C120="",$F120="",$G120=""),"Données manquantes",IF(OR(AND($B120&lt;&gt;"PRD",$B120&lt;&gt;"NPRD")),"Environnement invalide",IF(COUNTIF(TblDynatrace[Clé],$J120)&gt;1,"Doublon (ID + env + couloir)",IF(OR(NOT(ISNUMBER($F120)),NOT(ISNUMBER($G120))),"Valeur non numérique",IF(MIN($F120,$G120)&lt;0,"Valeur négative",IF(AND($E120&lt;&gt;"",COUNTIFS(TblClusters[Cluster],$E120,TblClusters[Plateforme],"ROKS")&gt;0),"Cluster observé sur ROKS : extraction attendue depuis IKS",IF(AND($E120&lt;&gt;"",COUNTIFS(TblClusters[Cluster],$E120,TblClusters[Plateforme],"IKS")=0),"Cluster IKS inconnu (info)",IF($K120=0,"Aucun déploiement correspondant (info)","OK")))))))))</f>
        <v/>
      </c>
    </row>
    <row r="121" spans="1:12" x14ac:dyDescent="0.2">
      <c r="A121" s="59"/>
      <c r="B121" s="59"/>
      <c r="C121" s="59"/>
      <c r="D121" s="59"/>
      <c r="E121" s="59"/>
      <c r="F121" s="63"/>
      <c r="G121" s="63"/>
      <c r="H121" s="59"/>
      <c r="I121" s="64"/>
      <c r="J121" s="26" t="str">
        <f t="shared" si="1"/>
        <v/>
      </c>
      <c r="K121" s="26" t="str">
        <f>IF($A121="","",COUNTIFS(TblApplications[ID],$A121,TblApplications[Environnement],$B121,TblApplications[Couloir],$C121))</f>
        <v/>
      </c>
      <c r="L121" s="26" t="str">
        <f>IF($A121="","",IF(OR($B121="",$C121="",$F121="",$G121=""),"Données manquantes",IF(OR(AND($B121&lt;&gt;"PRD",$B121&lt;&gt;"NPRD")),"Environnement invalide",IF(COUNTIF(TblDynatrace[Clé],$J121)&gt;1,"Doublon (ID + env + couloir)",IF(OR(NOT(ISNUMBER($F121)),NOT(ISNUMBER($G121))),"Valeur non numérique",IF(MIN($F121,$G121)&lt;0,"Valeur négative",IF(AND($E121&lt;&gt;"",COUNTIFS(TblClusters[Cluster],$E121,TblClusters[Plateforme],"ROKS")&gt;0),"Cluster observé sur ROKS : extraction attendue depuis IKS",IF(AND($E121&lt;&gt;"",COUNTIFS(TblClusters[Cluster],$E121,TblClusters[Plateforme],"IKS")=0),"Cluster IKS inconnu (info)",IF($K121=0,"Aucun déploiement correspondant (info)","OK")))))))))</f>
        <v/>
      </c>
    </row>
    <row r="122" spans="1:12" x14ac:dyDescent="0.2">
      <c r="A122" s="59"/>
      <c r="B122" s="59"/>
      <c r="C122" s="59"/>
      <c r="D122" s="59"/>
      <c r="E122" s="59"/>
      <c r="F122" s="63"/>
      <c r="G122" s="63"/>
      <c r="H122" s="59"/>
      <c r="I122" s="64"/>
      <c r="J122" s="26" t="str">
        <f t="shared" si="1"/>
        <v/>
      </c>
      <c r="K122" s="26" t="str">
        <f>IF($A122="","",COUNTIFS(TblApplications[ID],$A122,TblApplications[Environnement],$B122,TblApplications[Couloir],$C122))</f>
        <v/>
      </c>
      <c r="L122" s="26" t="str">
        <f>IF($A122="","",IF(OR($B122="",$C122="",$F122="",$G122=""),"Données manquantes",IF(OR(AND($B122&lt;&gt;"PRD",$B122&lt;&gt;"NPRD")),"Environnement invalide",IF(COUNTIF(TblDynatrace[Clé],$J122)&gt;1,"Doublon (ID + env + couloir)",IF(OR(NOT(ISNUMBER($F122)),NOT(ISNUMBER($G122))),"Valeur non numérique",IF(MIN($F122,$G122)&lt;0,"Valeur négative",IF(AND($E122&lt;&gt;"",COUNTIFS(TblClusters[Cluster],$E122,TblClusters[Plateforme],"ROKS")&gt;0),"Cluster observé sur ROKS : extraction attendue depuis IKS",IF(AND($E122&lt;&gt;"",COUNTIFS(TblClusters[Cluster],$E122,TblClusters[Plateforme],"IKS")=0),"Cluster IKS inconnu (info)",IF($K122=0,"Aucun déploiement correspondant (info)","OK")))))))))</f>
        <v/>
      </c>
    </row>
    <row r="123" spans="1:12" x14ac:dyDescent="0.2">
      <c r="A123" s="59"/>
      <c r="B123" s="59"/>
      <c r="C123" s="59"/>
      <c r="D123" s="59"/>
      <c r="E123" s="59"/>
      <c r="F123" s="63"/>
      <c r="G123" s="63"/>
      <c r="H123" s="59"/>
      <c r="I123" s="64"/>
      <c r="J123" s="26" t="str">
        <f t="shared" si="1"/>
        <v/>
      </c>
      <c r="K123" s="26" t="str">
        <f>IF($A123="","",COUNTIFS(TblApplications[ID],$A123,TblApplications[Environnement],$B123,TblApplications[Couloir],$C123))</f>
        <v/>
      </c>
      <c r="L123" s="26" t="str">
        <f>IF($A123="","",IF(OR($B123="",$C123="",$F123="",$G123=""),"Données manquantes",IF(OR(AND($B123&lt;&gt;"PRD",$B123&lt;&gt;"NPRD")),"Environnement invalide",IF(COUNTIF(TblDynatrace[Clé],$J123)&gt;1,"Doublon (ID + env + couloir)",IF(OR(NOT(ISNUMBER($F123)),NOT(ISNUMBER($G123))),"Valeur non numérique",IF(MIN($F123,$G123)&lt;0,"Valeur négative",IF(AND($E123&lt;&gt;"",COUNTIFS(TblClusters[Cluster],$E123,TblClusters[Plateforme],"ROKS")&gt;0),"Cluster observé sur ROKS : extraction attendue depuis IKS",IF(AND($E123&lt;&gt;"",COUNTIFS(TblClusters[Cluster],$E123,TblClusters[Plateforme],"IKS")=0),"Cluster IKS inconnu (info)",IF($K123=0,"Aucun déploiement correspondant (info)","OK")))))))))</f>
        <v/>
      </c>
    </row>
    <row r="124" spans="1:12" x14ac:dyDescent="0.2">
      <c r="A124" s="59"/>
      <c r="B124" s="59"/>
      <c r="C124" s="59"/>
      <c r="D124" s="59"/>
      <c r="E124" s="59"/>
      <c r="F124" s="63"/>
      <c r="G124" s="63"/>
      <c r="H124" s="59"/>
      <c r="I124" s="64"/>
      <c r="J124" s="26" t="str">
        <f t="shared" si="1"/>
        <v/>
      </c>
      <c r="K124" s="26" t="str">
        <f>IF($A124="","",COUNTIFS(TblApplications[ID],$A124,TblApplications[Environnement],$B124,TblApplications[Couloir],$C124))</f>
        <v/>
      </c>
      <c r="L124" s="26" t="str">
        <f>IF($A124="","",IF(OR($B124="",$C124="",$F124="",$G124=""),"Données manquantes",IF(OR(AND($B124&lt;&gt;"PRD",$B124&lt;&gt;"NPRD")),"Environnement invalide",IF(COUNTIF(TblDynatrace[Clé],$J124)&gt;1,"Doublon (ID + env + couloir)",IF(OR(NOT(ISNUMBER($F124)),NOT(ISNUMBER($G124))),"Valeur non numérique",IF(MIN($F124,$G124)&lt;0,"Valeur négative",IF(AND($E124&lt;&gt;"",COUNTIFS(TblClusters[Cluster],$E124,TblClusters[Plateforme],"ROKS")&gt;0),"Cluster observé sur ROKS : extraction attendue depuis IKS",IF(AND($E124&lt;&gt;"",COUNTIFS(TblClusters[Cluster],$E124,TblClusters[Plateforme],"IKS")=0),"Cluster IKS inconnu (info)",IF($K124=0,"Aucun déploiement correspondant (info)","OK")))))))))</f>
        <v/>
      </c>
    </row>
    <row r="125" spans="1:12" x14ac:dyDescent="0.2">
      <c r="A125" s="59"/>
      <c r="B125" s="59"/>
      <c r="C125" s="59"/>
      <c r="D125" s="59"/>
      <c r="E125" s="59"/>
      <c r="F125" s="63"/>
      <c r="G125" s="63"/>
      <c r="H125" s="59"/>
      <c r="I125" s="64"/>
      <c r="J125" s="26" t="str">
        <f t="shared" si="1"/>
        <v/>
      </c>
      <c r="K125" s="26" t="str">
        <f>IF($A125="","",COUNTIFS(TblApplications[ID],$A125,TblApplications[Environnement],$B125,TblApplications[Couloir],$C125))</f>
        <v/>
      </c>
      <c r="L125" s="26" t="str">
        <f>IF($A125="","",IF(OR($B125="",$C125="",$F125="",$G125=""),"Données manquantes",IF(OR(AND($B125&lt;&gt;"PRD",$B125&lt;&gt;"NPRD")),"Environnement invalide",IF(COUNTIF(TblDynatrace[Clé],$J125)&gt;1,"Doublon (ID + env + couloir)",IF(OR(NOT(ISNUMBER($F125)),NOT(ISNUMBER($G125))),"Valeur non numérique",IF(MIN($F125,$G125)&lt;0,"Valeur négative",IF(AND($E125&lt;&gt;"",COUNTIFS(TblClusters[Cluster],$E125,TblClusters[Plateforme],"ROKS")&gt;0),"Cluster observé sur ROKS : extraction attendue depuis IKS",IF(AND($E125&lt;&gt;"",COUNTIFS(TblClusters[Cluster],$E125,TblClusters[Plateforme],"IKS")=0),"Cluster IKS inconnu (info)",IF($K125=0,"Aucun déploiement correspondant (info)","OK")))))))))</f>
        <v/>
      </c>
    </row>
    <row r="126" spans="1:12" x14ac:dyDescent="0.2">
      <c r="A126" s="59"/>
      <c r="B126" s="59"/>
      <c r="C126" s="59"/>
      <c r="D126" s="59"/>
      <c r="E126" s="59"/>
      <c r="F126" s="63"/>
      <c r="G126" s="63"/>
      <c r="H126" s="59"/>
      <c r="I126" s="64"/>
      <c r="J126" s="26" t="str">
        <f t="shared" si="1"/>
        <v/>
      </c>
      <c r="K126" s="26" t="str">
        <f>IF($A126="","",COUNTIFS(TblApplications[ID],$A126,TblApplications[Environnement],$B126,TblApplications[Couloir],$C126))</f>
        <v/>
      </c>
      <c r="L126" s="26" t="str">
        <f>IF($A126="","",IF(OR($B126="",$C126="",$F126="",$G126=""),"Données manquantes",IF(OR(AND($B126&lt;&gt;"PRD",$B126&lt;&gt;"NPRD")),"Environnement invalide",IF(COUNTIF(TblDynatrace[Clé],$J126)&gt;1,"Doublon (ID + env + couloir)",IF(OR(NOT(ISNUMBER($F126)),NOT(ISNUMBER($G126))),"Valeur non numérique",IF(MIN($F126,$G126)&lt;0,"Valeur négative",IF(AND($E126&lt;&gt;"",COUNTIFS(TblClusters[Cluster],$E126,TblClusters[Plateforme],"ROKS")&gt;0),"Cluster observé sur ROKS : extraction attendue depuis IKS",IF(AND($E126&lt;&gt;"",COUNTIFS(TblClusters[Cluster],$E126,TblClusters[Plateforme],"IKS")=0),"Cluster IKS inconnu (info)",IF($K126=0,"Aucun déploiement correspondant (info)","OK")))))))))</f>
        <v/>
      </c>
    </row>
    <row r="127" spans="1:12" x14ac:dyDescent="0.2">
      <c r="A127" s="59"/>
      <c r="B127" s="59"/>
      <c r="C127" s="59"/>
      <c r="D127" s="59"/>
      <c r="E127" s="59"/>
      <c r="F127" s="63"/>
      <c r="G127" s="63"/>
      <c r="H127" s="59"/>
      <c r="I127" s="64"/>
      <c r="J127" s="26" t="str">
        <f t="shared" si="1"/>
        <v/>
      </c>
      <c r="K127" s="26" t="str">
        <f>IF($A127="","",COUNTIFS(TblApplications[ID],$A127,TblApplications[Environnement],$B127,TblApplications[Couloir],$C127))</f>
        <v/>
      </c>
      <c r="L127" s="26" t="str">
        <f>IF($A127="","",IF(OR($B127="",$C127="",$F127="",$G127=""),"Données manquantes",IF(OR(AND($B127&lt;&gt;"PRD",$B127&lt;&gt;"NPRD")),"Environnement invalide",IF(COUNTIF(TblDynatrace[Clé],$J127)&gt;1,"Doublon (ID + env + couloir)",IF(OR(NOT(ISNUMBER($F127)),NOT(ISNUMBER($G127))),"Valeur non numérique",IF(MIN($F127,$G127)&lt;0,"Valeur négative",IF(AND($E127&lt;&gt;"",COUNTIFS(TblClusters[Cluster],$E127,TblClusters[Plateforme],"ROKS")&gt;0),"Cluster observé sur ROKS : extraction attendue depuis IKS",IF(AND($E127&lt;&gt;"",COUNTIFS(TblClusters[Cluster],$E127,TblClusters[Plateforme],"IKS")=0),"Cluster IKS inconnu (info)",IF($K127=0,"Aucun déploiement correspondant (info)","OK")))))))))</f>
        <v/>
      </c>
    </row>
    <row r="128" spans="1:12" x14ac:dyDescent="0.2">
      <c r="A128" s="59"/>
      <c r="B128" s="59"/>
      <c r="C128" s="59"/>
      <c r="D128" s="59"/>
      <c r="E128" s="59"/>
      <c r="F128" s="63"/>
      <c r="G128" s="63"/>
      <c r="H128" s="59"/>
      <c r="I128" s="64"/>
      <c r="J128" s="26" t="str">
        <f t="shared" si="1"/>
        <v/>
      </c>
      <c r="K128" s="26" t="str">
        <f>IF($A128="","",COUNTIFS(TblApplications[ID],$A128,TblApplications[Environnement],$B128,TblApplications[Couloir],$C128))</f>
        <v/>
      </c>
      <c r="L128" s="26" t="str">
        <f>IF($A128="","",IF(OR($B128="",$C128="",$F128="",$G128=""),"Données manquantes",IF(OR(AND($B128&lt;&gt;"PRD",$B128&lt;&gt;"NPRD")),"Environnement invalide",IF(COUNTIF(TblDynatrace[Clé],$J128)&gt;1,"Doublon (ID + env + couloir)",IF(OR(NOT(ISNUMBER($F128)),NOT(ISNUMBER($G128))),"Valeur non numérique",IF(MIN($F128,$G128)&lt;0,"Valeur négative",IF(AND($E128&lt;&gt;"",COUNTIFS(TblClusters[Cluster],$E128,TblClusters[Plateforme],"ROKS")&gt;0),"Cluster observé sur ROKS : extraction attendue depuis IKS",IF(AND($E128&lt;&gt;"",COUNTIFS(TblClusters[Cluster],$E128,TblClusters[Plateforme],"IKS")=0),"Cluster IKS inconnu (info)",IF($K128=0,"Aucun déploiement correspondant (info)","OK")))))))))</f>
        <v/>
      </c>
    </row>
    <row r="129" spans="1:12" x14ac:dyDescent="0.2">
      <c r="A129" s="59"/>
      <c r="B129" s="59"/>
      <c r="C129" s="59"/>
      <c r="D129" s="59"/>
      <c r="E129" s="59"/>
      <c r="F129" s="63"/>
      <c r="G129" s="63"/>
      <c r="H129" s="59"/>
      <c r="I129" s="64"/>
      <c r="J129" s="26" t="str">
        <f t="shared" si="1"/>
        <v/>
      </c>
      <c r="K129" s="26" t="str">
        <f>IF($A129="","",COUNTIFS(TblApplications[ID],$A129,TblApplications[Environnement],$B129,TblApplications[Couloir],$C129))</f>
        <v/>
      </c>
      <c r="L129" s="26" t="str">
        <f>IF($A129="","",IF(OR($B129="",$C129="",$F129="",$G129=""),"Données manquantes",IF(OR(AND($B129&lt;&gt;"PRD",$B129&lt;&gt;"NPRD")),"Environnement invalide",IF(COUNTIF(TblDynatrace[Clé],$J129)&gt;1,"Doublon (ID + env + couloir)",IF(OR(NOT(ISNUMBER($F129)),NOT(ISNUMBER($G129))),"Valeur non numérique",IF(MIN($F129,$G129)&lt;0,"Valeur négative",IF(AND($E129&lt;&gt;"",COUNTIFS(TblClusters[Cluster],$E129,TblClusters[Plateforme],"ROKS")&gt;0),"Cluster observé sur ROKS : extraction attendue depuis IKS",IF(AND($E129&lt;&gt;"",COUNTIFS(TblClusters[Cluster],$E129,TblClusters[Plateforme],"IKS")=0),"Cluster IKS inconnu (info)",IF($K129=0,"Aucun déploiement correspondant (info)","OK")))))))))</f>
        <v/>
      </c>
    </row>
    <row r="130" spans="1:12" x14ac:dyDescent="0.2">
      <c r="A130" s="59"/>
      <c r="B130" s="59"/>
      <c r="C130" s="59"/>
      <c r="D130" s="59"/>
      <c r="E130" s="59"/>
      <c r="F130" s="63"/>
      <c r="G130" s="63"/>
      <c r="H130" s="59"/>
      <c r="I130" s="64"/>
      <c r="J130" s="26" t="str">
        <f t="shared" si="1"/>
        <v/>
      </c>
      <c r="K130" s="26" t="str">
        <f>IF($A130="","",COUNTIFS(TblApplications[ID],$A130,TblApplications[Environnement],$B130,TblApplications[Couloir],$C130))</f>
        <v/>
      </c>
      <c r="L130" s="26" t="str">
        <f>IF($A130="","",IF(OR($B130="",$C130="",$F130="",$G130=""),"Données manquantes",IF(OR(AND($B130&lt;&gt;"PRD",$B130&lt;&gt;"NPRD")),"Environnement invalide",IF(COUNTIF(TblDynatrace[Clé],$J130)&gt;1,"Doublon (ID + env + couloir)",IF(OR(NOT(ISNUMBER($F130)),NOT(ISNUMBER($G130))),"Valeur non numérique",IF(MIN($F130,$G130)&lt;0,"Valeur négative",IF(AND($E130&lt;&gt;"",COUNTIFS(TblClusters[Cluster],$E130,TblClusters[Plateforme],"ROKS")&gt;0),"Cluster observé sur ROKS : extraction attendue depuis IKS",IF(AND($E130&lt;&gt;"",COUNTIFS(TblClusters[Cluster],$E130,TblClusters[Plateforme],"IKS")=0),"Cluster IKS inconnu (info)",IF($K130=0,"Aucun déploiement correspondant (info)","OK")))))))))</f>
        <v/>
      </c>
    </row>
    <row r="131" spans="1:12" x14ac:dyDescent="0.2">
      <c r="A131" s="59"/>
      <c r="B131" s="59"/>
      <c r="C131" s="59"/>
      <c r="D131" s="59"/>
      <c r="E131" s="59"/>
      <c r="F131" s="63"/>
      <c r="G131" s="63"/>
      <c r="H131" s="59"/>
      <c r="I131" s="64"/>
      <c r="J131" s="26" t="str">
        <f t="shared" si="1"/>
        <v/>
      </c>
      <c r="K131" s="26" t="str">
        <f>IF($A131="","",COUNTIFS(TblApplications[ID],$A131,TblApplications[Environnement],$B131,TblApplications[Couloir],$C131))</f>
        <v/>
      </c>
      <c r="L131" s="26" t="str">
        <f>IF($A131="","",IF(OR($B131="",$C131="",$F131="",$G131=""),"Données manquantes",IF(OR(AND($B131&lt;&gt;"PRD",$B131&lt;&gt;"NPRD")),"Environnement invalide",IF(COUNTIF(TblDynatrace[Clé],$J131)&gt;1,"Doublon (ID + env + couloir)",IF(OR(NOT(ISNUMBER($F131)),NOT(ISNUMBER($G131))),"Valeur non numérique",IF(MIN($F131,$G131)&lt;0,"Valeur négative",IF(AND($E131&lt;&gt;"",COUNTIFS(TblClusters[Cluster],$E131,TblClusters[Plateforme],"ROKS")&gt;0),"Cluster observé sur ROKS : extraction attendue depuis IKS",IF(AND($E131&lt;&gt;"",COUNTIFS(TblClusters[Cluster],$E131,TblClusters[Plateforme],"IKS")=0),"Cluster IKS inconnu (info)",IF($K131=0,"Aucun déploiement correspondant (info)","OK")))))))))</f>
        <v/>
      </c>
    </row>
    <row r="132" spans="1:12" x14ac:dyDescent="0.2">
      <c r="A132" s="59"/>
      <c r="B132" s="59"/>
      <c r="C132" s="59"/>
      <c r="D132" s="59"/>
      <c r="E132" s="59"/>
      <c r="F132" s="63"/>
      <c r="G132" s="63"/>
      <c r="H132" s="59"/>
      <c r="I132" s="64"/>
      <c r="J132" s="26" t="str">
        <f t="shared" si="1"/>
        <v/>
      </c>
      <c r="K132" s="26" t="str">
        <f>IF($A132="","",COUNTIFS(TblApplications[ID],$A132,TblApplications[Environnement],$B132,TblApplications[Couloir],$C132))</f>
        <v/>
      </c>
      <c r="L132" s="26" t="str">
        <f>IF($A132="","",IF(OR($B132="",$C132="",$F132="",$G132=""),"Données manquantes",IF(OR(AND($B132&lt;&gt;"PRD",$B132&lt;&gt;"NPRD")),"Environnement invalide",IF(COUNTIF(TblDynatrace[Clé],$J132)&gt;1,"Doublon (ID + env + couloir)",IF(OR(NOT(ISNUMBER($F132)),NOT(ISNUMBER($G132))),"Valeur non numérique",IF(MIN($F132,$G132)&lt;0,"Valeur négative",IF(AND($E132&lt;&gt;"",COUNTIFS(TblClusters[Cluster],$E132,TblClusters[Plateforme],"ROKS")&gt;0),"Cluster observé sur ROKS : extraction attendue depuis IKS",IF(AND($E132&lt;&gt;"",COUNTIFS(TblClusters[Cluster],$E132,TblClusters[Plateforme],"IKS")=0),"Cluster IKS inconnu (info)",IF($K132=0,"Aucun déploiement correspondant (info)","OK")))))))))</f>
        <v/>
      </c>
    </row>
    <row r="133" spans="1:12" x14ac:dyDescent="0.2">
      <c r="A133" s="59"/>
      <c r="B133" s="59"/>
      <c r="C133" s="59"/>
      <c r="D133" s="59"/>
      <c r="E133" s="59"/>
      <c r="F133" s="63"/>
      <c r="G133" s="63"/>
      <c r="H133" s="59"/>
      <c r="I133" s="64"/>
      <c r="J133" s="26" t="str">
        <f t="shared" si="1"/>
        <v/>
      </c>
      <c r="K133" s="26" t="str">
        <f>IF($A133="","",COUNTIFS(TblApplications[ID],$A133,TblApplications[Environnement],$B133,TblApplications[Couloir],$C133))</f>
        <v/>
      </c>
      <c r="L133" s="26" t="str">
        <f>IF($A133="","",IF(OR($B133="",$C133="",$F133="",$G133=""),"Données manquantes",IF(OR(AND($B133&lt;&gt;"PRD",$B133&lt;&gt;"NPRD")),"Environnement invalide",IF(COUNTIF(TblDynatrace[Clé],$J133)&gt;1,"Doublon (ID + env + couloir)",IF(OR(NOT(ISNUMBER($F133)),NOT(ISNUMBER($G133))),"Valeur non numérique",IF(MIN($F133,$G133)&lt;0,"Valeur négative",IF(AND($E133&lt;&gt;"",COUNTIFS(TblClusters[Cluster],$E133,TblClusters[Plateforme],"ROKS")&gt;0),"Cluster observé sur ROKS : extraction attendue depuis IKS",IF(AND($E133&lt;&gt;"",COUNTIFS(TblClusters[Cluster],$E133,TblClusters[Plateforme],"IKS")=0),"Cluster IKS inconnu (info)",IF($K133=0,"Aucun déploiement correspondant (info)","OK")))))))))</f>
        <v/>
      </c>
    </row>
    <row r="134" spans="1:12" x14ac:dyDescent="0.2">
      <c r="A134" s="59"/>
      <c r="B134" s="59"/>
      <c r="C134" s="59"/>
      <c r="D134" s="59"/>
      <c r="E134" s="59"/>
      <c r="F134" s="63"/>
      <c r="G134" s="63"/>
      <c r="H134" s="59"/>
      <c r="I134" s="64"/>
      <c r="J134" s="26" t="str">
        <f t="shared" ref="J134:J197" si="2">IF($A134="","",$A134&amp;"|"&amp;$B134&amp;"|"&amp;$C134)</f>
        <v/>
      </c>
      <c r="K134" s="26" t="str">
        <f>IF($A134="","",COUNTIFS(TblApplications[ID],$A134,TblApplications[Environnement],$B134,TblApplications[Couloir],$C134))</f>
        <v/>
      </c>
      <c r="L134" s="26" t="str">
        <f>IF($A134="","",IF(OR($B134="",$C134="",$F134="",$G134=""),"Données manquantes",IF(OR(AND($B134&lt;&gt;"PRD",$B134&lt;&gt;"NPRD")),"Environnement invalide",IF(COUNTIF(TblDynatrace[Clé],$J134)&gt;1,"Doublon (ID + env + couloir)",IF(OR(NOT(ISNUMBER($F134)),NOT(ISNUMBER($G134))),"Valeur non numérique",IF(MIN($F134,$G134)&lt;0,"Valeur négative",IF(AND($E134&lt;&gt;"",COUNTIFS(TblClusters[Cluster],$E134,TblClusters[Plateforme],"ROKS")&gt;0),"Cluster observé sur ROKS : extraction attendue depuis IKS",IF(AND($E134&lt;&gt;"",COUNTIFS(TblClusters[Cluster],$E134,TblClusters[Plateforme],"IKS")=0),"Cluster IKS inconnu (info)",IF($K134=0,"Aucun déploiement correspondant (info)","OK")))))))))</f>
        <v/>
      </c>
    </row>
    <row r="135" spans="1:12" x14ac:dyDescent="0.2">
      <c r="A135" s="59"/>
      <c r="B135" s="59"/>
      <c r="C135" s="59"/>
      <c r="D135" s="59"/>
      <c r="E135" s="59"/>
      <c r="F135" s="63"/>
      <c r="G135" s="63"/>
      <c r="H135" s="59"/>
      <c r="I135" s="64"/>
      <c r="J135" s="26" t="str">
        <f t="shared" si="2"/>
        <v/>
      </c>
      <c r="K135" s="26" t="str">
        <f>IF($A135="","",COUNTIFS(TblApplications[ID],$A135,TblApplications[Environnement],$B135,TblApplications[Couloir],$C135))</f>
        <v/>
      </c>
      <c r="L135" s="26" t="str">
        <f>IF($A135="","",IF(OR($B135="",$C135="",$F135="",$G135=""),"Données manquantes",IF(OR(AND($B135&lt;&gt;"PRD",$B135&lt;&gt;"NPRD")),"Environnement invalide",IF(COUNTIF(TblDynatrace[Clé],$J135)&gt;1,"Doublon (ID + env + couloir)",IF(OR(NOT(ISNUMBER($F135)),NOT(ISNUMBER($G135))),"Valeur non numérique",IF(MIN($F135,$G135)&lt;0,"Valeur négative",IF(AND($E135&lt;&gt;"",COUNTIFS(TblClusters[Cluster],$E135,TblClusters[Plateforme],"ROKS")&gt;0),"Cluster observé sur ROKS : extraction attendue depuis IKS",IF(AND($E135&lt;&gt;"",COUNTIFS(TblClusters[Cluster],$E135,TblClusters[Plateforme],"IKS")=0),"Cluster IKS inconnu (info)",IF($K135=0,"Aucun déploiement correspondant (info)","OK")))))))))</f>
        <v/>
      </c>
    </row>
    <row r="136" spans="1:12" x14ac:dyDescent="0.2">
      <c r="A136" s="59"/>
      <c r="B136" s="59"/>
      <c r="C136" s="59"/>
      <c r="D136" s="59"/>
      <c r="E136" s="59"/>
      <c r="F136" s="63"/>
      <c r="G136" s="63"/>
      <c r="H136" s="59"/>
      <c r="I136" s="64"/>
      <c r="J136" s="26" t="str">
        <f t="shared" si="2"/>
        <v/>
      </c>
      <c r="K136" s="26" t="str">
        <f>IF($A136="","",COUNTIFS(TblApplications[ID],$A136,TblApplications[Environnement],$B136,TblApplications[Couloir],$C136))</f>
        <v/>
      </c>
      <c r="L136" s="26" t="str">
        <f>IF($A136="","",IF(OR($B136="",$C136="",$F136="",$G136=""),"Données manquantes",IF(OR(AND($B136&lt;&gt;"PRD",$B136&lt;&gt;"NPRD")),"Environnement invalide",IF(COUNTIF(TblDynatrace[Clé],$J136)&gt;1,"Doublon (ID + env + couloir)",IF(OR(NOT(ISNUMBER($F136)),NOT(ISNUMBER($G136))),"Valeur non numérique",IF(MIN($F136,$G136)&lt;0,"Valeur négative",IF(AND($E136&lt;&gt;"",COUNTIFS(TblClusters[Cluster],$E136,TblClusters[Plateforme],"ROKS")&gt;0),"Cluster observé sur ROKS : extraction attendue depuis IKS",IF(AND($E136&lt;&gt;"",COUNTIFS(TblClusters[Cluster],$E136,TblClusters[Plateforme],"IKS")=0),"Cluster IKS inconnu (info)",IF($K136=0,"Aucun déploiement correspondant (info)","OK")))))))))</f>
        <v/>
      </c>
    </row>
    <row r="137" spans="1:12" x14ac:dyDescent="0.2">
      <c r="A137" s="59"/>
      <c r="B137" s="59"/>
      <c r="C137" s="59"/>
      <c r="D137" s="59"/>
      <c r="E137" s="59"/>
      <c r="F137" s="63"/>
      <c r="G137" s="63"/>
      <c r="H137" s="59"/>
      <c r="I137" s="64"/>
      <c r="J137" s="26" t="str">
        <f t="shared" si="2"/>
        <v/>
      </c>
      <c r="K137" s="26" t="str">
        <f>IF($A137="","",COUNTIFS(TblApplications[ID],$A137,TblApplications[Environnement],$B137,TblApplications[Couloir],$C137))</f>
        <v/>
      </c>
      <c r="L137" s="26" t="str">
        <f>IF($A137="","",IF(OR($B137="",$C137="",$F137="",$G137=""),"Données manquantes",IF(OR(AND($B137&lt;&gt;"PRD",$B137&lt;&gt;"NPRD")),"Environnement invalide",IF(COUNTIF(TblDynatrace[Clé],$J137)&gt;1,"Doublon (ID + env + couloir)",IF(OR(NOT(ISNUMBER($F137)),NOT(ISNUMBER($G137))),"Valeur non numérique",IF(MIN($F137,$G137)&lt;0,"Valeur négative",IF(AND($E137&lt;&gt;"",COUNTIFS(TblClusters[Cluster],$E137,TblClusters[Plateforme],"ROKS")&gt;0),"Cluster observé sur ROKS : extraction attendue depuis IKS",IF(AND($E137&lt;&gt;"",COUNTIFS(TblClusters[Cluster],$E137,TblClusters[Plateforme],"IKS")=0),"Cluster IKS inconnu (info)",IF($K137=0,"Aucun déploiement correspondant (info)","OK")))))))))</f>
        <v/>
      </c>
    </row>
    <row r="138" spans="1:12" x14ac:dyDescent="0.2">
      <c r="A138" s="59"/>
      <c r="B138" s="59"/>
      <c r="C138" s="59"/>
      <c r="D138" s="59"/>
      <c r="E138" s="59"/>
      <c r="F138" s="63"/>
      <c r="G138" s="63"/>
      <c r="H138" s="59"/>
      <c r="I138" s="64"/>
      <c r="J138" s="26" t="str">
        <f t="shared" si="2"/>
        <v/>
      </c>
      <c r="K138" s="26" t="str">
        <f>IF($A138="","",COUNTIFS(TblApplications[ID],$A138,TblApplications[Environnement],$B138,TblApplications[Couloir],$C138))</f>
        <v/>
      </c>
      <c r="L138" s="26" t="str">
        <f>IF($A138="","",IF(OR($B138="",$C138="",$F138="",$G138=""),"Données manquantes",IF(OR(AND($B138&lt;&gt;"PRD",$B138&lt;&gt;"NPRD")),"Environnement invalide",IF(COUNTIF(TblDynatrace[Clé],$J138)&gt;1,"Doublon (ID + env + couloir)",IF(OR(NOT(ISNUMBER($F138)),NOT(ISNUMBER($G138))),"Valeur non numérique",IF(MIN($F138,$G138)&lt;0,"Valeur négative",IF(AND($E138&lt;&gt;"",COUNTIFS(TblClusters[Cluster],$E138,TblClusters[Plateforme],"ROKS")&gt;0),"Cluster observé sur ROKS : extraction attendue depuis IKS",IF(AND($E138&lt;&gt;"",COUNTIFS(TblClusters[Cluster],$E138,TblClusters[Plateforme],"IKS")=0),"Cluster IKS inconnu (info)",IF($K138=0,"Aucun déploiement correspondant (info)","OK")))))))))</f>
        <v/>
      </c>
    </row>
    <row r="139" spans="1:12" x14ac:dyDescent="0.2">
      <c r="A139" s="59"/>
      <c r="B139" s="59"/>
      <c r="C139" s="59"/>
      <c r="D139" s="59"/>
      <c r="E139" s="59"/>
      <c r="F139" s="63"/>
      <c r="G139" s="63"/>
      <c r="H139" s="59"/>
      <c r="I139" s="64"/>
      <c r="J139" s="26" t="str">
        <f t="shared" si="2"/>
        <v/>
      </c>
      <c r="K139" s="26" t="str">
        <f>IF($A139="","",COUNTIFS(TblApplications[ID],$A139,TblApplications[Environnement],$B139,TblApplications[Couloir],$C139))</f>
        <v/>
      </c>
      <c r="L139" s="26" t="str">
        <f>IF($A139="","",IF(OR($B139="",$C139="",$F139="",$G139=""),"Données manquantes",IF(OR(AND($B139&lt;&gt;"PRD",$B139&lt;&gt;"NPRD")),"Environnement invalide",IF(COUNTIF(TblDynatrace[Clé],$J139)&gt;1,"Doublon (ID + env + couloir)",IF(OR(NOT(ISNUMBER($F139)),NOT(ISNUMBER($G139))),"Valeur non numérique",IF(MIN($F139,$G139)&lt;0,"Valeur négative",IF(AND($E139&lt;&gt;"",COUNTIFS(TblClusters[Cluster],$E139,TblClusters[Plateforme],"ROKS")&gt;0),"Cluster observé sur ROKS : extraction attendue depuis IKS",IF(AND($E139&lt;&gt;"",COUNTIFS(TblClusters[Cluster],$E139,TblClusters[Plateforme],"IKS")=0),"Cluster IKS inconnu (info)",IF($K139=0,"Aucun déploiement correspondant (info)","OK")))))))))</f>
        <v/>
      </c>
    </row>
    <row r="140" spans="1:12" x14ac:dyDescent="0.2">
      <c r="A140" s="59"/>
      <c r="B140" s="59"/>
      <c r="C140" s="59"/>
      <c r="D140" s="59"/>
      <c r="E140" s="59"/>
      <c r="F140" s="63"/>
      <c r="G140" s="63"/>
      <c r="H140" s="59"/>
      <c r="I140" s="64"/>
      <c r="J140" s="26" t="str">
        <f t="shared" si="2"/>
        <v/>
      </c>
      <c r="K140" s="26" t="str">
        <f>IF($A140="","",COUNTIFS(TblApplications[ID],$A140,TblApplications[Environnement],$B140,TblApplications[Couloir],$C140))</f>
        <v/>
      </c>
      <c r="L140" s="26" t="str">
        <f>IF($A140="","",IF(OR($B140="",$C140="",$F140="",$G140=""),"Données manquantes",IF(OR(AND($B140&lt;&gt;"PRD",$B140&lt;&gt;"NPRD")),"Environnement invalide",IF(COUNTIF(TblDynatrace[Clé],$J140)&gt;1,"Doublon (ID + env + couloir)",IF(OR(NOT(ISNUMBER($F140)),NOT(ISNUMBER($G140))),"Valeur non numérique",IF(MIN($F140,$G140)&lt;0,"Valeur négative",IF(AND($E140&lt;&gt;"",COUNTIFS(TblClusters[Cluster],$E140,TblClusters[Plateforme],"ROKS")&gt;0),"Cluster observé sur ROKS : extraction attendue depuis IKS",IF(AND($E140&lt;&gt;"",COUNTIFS(TblClusters[Cluster],$E140,TblClusters[Plateforme],"IKS")=0),"Cluster IKS inconnu (info)",IF($K140=0,"Aucun déploiement correspondant (info)","OK")))))))))</f>
        <v/>
      </c>
    </row>
    <row r="141" spans="1:12" x14ac:dyDescent="0.2">
      <c r="A141" s="59"/>
      <c r="B141" s="59"/>
      <c r="C141" s="59"/>
      <c r="D141" s="59"/>
      <c r="E141" s="59"/>
      <c r="F141" s="63"/>
      <c r="G141" s="63"/>
      <c r="H141" s="59"/>
      <c r="I141" s="64"/>
      <c r="J141" s="26" t="str">
        <f t="shared" si="2"/>
        <v/>
      </c>
      <c r="K141" s="26" t="str">
        <f>IF($A141="","",COUNTIFS(TblApplications[ID],$A141,TblApplications[Environnement],$B141,TblApplications[Couloir],$C141))</f>
        <v/>
      </c>
      <c r="L141" s="26" t="str">
        <f>IF($A141="","",IF(OR($B141="",$C141="",$F141="",$G141=""),"Données manquantes",IF(OR(AND($B141&lt;&gt;"PRD",$B141&lt;&gt;"NPRD")),"Environnement invalide",IF(COUNTIF(TblDynatrace[Clé],$J141)&gt;1,"Doublon (ID + env + couloir)",IF(OR(NOT(ISNUMBER($F141)),NOT(ISNUMBER($G141))),"Valeur non numérique",IF(MIN($F141,$G141)&lt;0,"Valeur négative",IF(AND($E141&lt;&gt;"",COUNTIFS(TblClusters[Cluster],$E141,TblClusters[Plateforme],"ROKS")&gt;0),"Cluster observé sur ROKS : extraction attendue depuis IKS",IF(AND($E141&lt;&gt;"",COUNTIFS(TblClusters[Cluster],$E141,TblClusters[Plateforme],"IKS")=0),"Cluster IKS inconnu (info)",IF($K141=0,"Aucun déploiement correspondant (info)","OK")))))))))</f>
        <v/>
      </c>
    </row>
    <row r="142" spans="1:12" x14ac:dyDescent="0.2">
      <c r="A142" s="59"/>
      <c r="B142" s="59"/>
      <c r="C142" s="59"/>
      <c r="D142" s="59"/>
      <c r="E142" s="59"/>
      <c r="F142" s="63"/>
      <c r="G142" s="63"/>
      <c r="H142" s="59"/>
      <c r="I142" s="64"/>
      <c r="J142" s="26" t="str">
        <f t="shared" si="2"/>
        <v/>
      </c>
      <c r="K142" s="26" t="str">
        <f>IF($A142="","",COUNTIFS(TblApplications[ID],$A142,TblApplications[Environnement],$B142,TblApplications[Couloir],$C142))</f>
        <v/>
      </c>
      <c r="L142" s="26" t="str">
        <f>IF($A142="","",IF(OR($B142="",$C142="",$F142="",$G142=""),"Données manquantes",IF(OR(AND($B142&lt;&gt;"PRD",$B142&lt;&gt;"NPRD")),"Environnement invalide",IF(COUNTIF(TblDynatrace[Clé],$J142)&gt;1,"Doublon (ID + env + couloir)",IF(OR(NOT(ISNUMBER($F142)),NOT(ISNUMBER($G142))),"Valeur non numérique",IF(MIN($F142,$G142)&lt;0,"Valeur négative",IF(AND($E142&lt;&gt;"",COUNTIFS(TblClusters[Cluster],$E142,TblClusters[Plateforme],"ROKS")&gt;0),"Cluster observé sur ROKS : extraction attendue depuis IKS",IF(AND($E142&lt;&gt;"",COUNTIFS(TblClusters[Cluster],$E142,TblClusters[Plateforme],"IKS")=0),"Cluster IKS inconnu (info)",IF($K142=0,"Aucun déploiement correspondant (info)","OK")))))))))</f>
        <v/>
      </c>
    </row>
    <row r="143" spans="1:12" x14ac:dyDescent="0.2">
      <c r="A143" s="59"/>
      <c r="B143" s="59"/>
      <c r="C143" s="59"/>
      <c r="D143" s="59"/>
      <c r="E143" s="59"/>
      <c r="F143" s="63"/>
      <c r="G143" s="63"/>
      <c r="H143" s="59"/>
      <c r="I143" s="64"/>
      <c r="J143" s="26" t="str">
        <f t="shared" si="2"/>
        <v/>
      </c>
      <c r="K143" s="26" t="str">
        <f>IF($A143="","",COUNTIFS(TblApplications[ID],$A143,TblApplications[Environnement],$B143,TblApplications[Couloir],$C143))</f>
        <v/>
      </c>
      <c r="L143" s="26" t="str">
        <f>IF($A143="","",IF(OR($B143="",$C143="",$F143="",$G143=""),"Données manquantes",IF(OR(AND($B143&lt;&gt;"PRD",$B143&lt;&gt;"NPRD")),"Environnement invalide",IF(COUNTIF(TblDynatrace[Clé],$J143)&gt;1,"Doublon (ID + env + couloir)",IF(OR(NOT(ISNUMBER($F143)),NOT(ISNUMBER($G143))),"Valeur non numérique",IF(MIN($F143,$G143)&lt;0,"Valeur négative",IF(AND($E143&lt;&gt;"",COUNTIFS(TblClusters[Cluster],$E143,TblClusters[Plateforme],"ROKS")&gt;0),"Cluster observé sur ROKS : extraction attendue depuis IKS",IF(AND($E143&lt;&gt;"",COUNTIFS(TblClusters[Cluster],$E143,TblClusters[Plateforme],"IKS")=0),"Cluster IKS inconnu (info)",IF($K143=0,"Aucun déploiement correspondant (info)","OK")))))))))</f>
        <v/>
      </c>
    </row>
    <row r="144" spans="1:12" x14ac:dyDescent="0.2">
      <c r="A144" s="59"/>
      <c r="B144" s="59"/>
      <c r="C144" s="59"/>
      <c r="D144" s="59"/>
      <c r="E144" s="59"/>
      <c r="F144" s="63"/>
      <c r="G144" s="63"/>
      <c r="H144" s="59"/>
      <c r="I144" s="64"/>
      <c r="J144" s="26" t="str">
        <f t="shared" si="2"/>
        <v/>
      </c>
      <c r="K144" s="26" t="str">
        <f>IF($A144="","",COUNTIFS(TblApplications[ID],$A144,TblApplications[Environnement],$B144,TblApplications[Couloir],$C144))</f>
        <v/>
      </c>
      <c r="L144" s="26" t="str">
        <f>IF($A144="","",IF(OR($B144="",$C144="",$F144="",$G144=""),"Données manquantes",IF(OR(AND($B144&lt;&gt;"PRD",$B144&lt;&gt;"NPRD")),"Environnement invalide",IF(COUNTIF(TblDynatrace[Clé],$J144)&gt;1,"Doublon (ID + env + couloir)",IF(OR(NOT(ISNUMBER($F144)),NOT(ISNUMBER($G144))),"Valeur non numérique",IF(MIN($F144,$G144)&lt;0,"Valeur négative",IF(AND($E144&lt;&gt;"",COUNTIFS(TblClusters[Cluster],$E144,TblClusters[Plateforme],"ROKS")&gt;0),"Cluster observé sur ROKS : extraction attendue depuis IKS",IF(AND($E144&lt;&gt;"",COUNTIFS(TblClusters[Cluster],$E144,TblClusters[Plateforme],"IKS")=0),"Cluster IKS inconnu (info)",IF($K144=0,"Aucun déploiement correspondant (info)","OK")))))))))</f>
        <v/>
      </c>
    </row>
    <row r="145" spans="1:12" x14ac:dyDescent="0.2">
      <c r="A145" s="59"/>
      <c r="B145" s="59"/>
      <c r="C145" s="59"/>
      <c r="D145" s="59"/>
      <c r="E145" s="59"/>
      <c r="F145" s="63"/>
      <c r="G145" s="63"/>
      <c r="H145" s="59"/>
      <c r="I145" s="64"/>
      <c r="J145" s="26" t="str">
        <f t="shared" si="2"/>
        <v/>
      </c>
      <c r="K145" s="26" t="str">
        <f>IF($A145="","",COUNTIFS(TblApplications[ID],$A145,TblApplications[Environnement],$B145,TblApplications[Couloir],$C145))</f>
        <v/>
      </c>
      <c r="L145" s="26" t="str">
        <f>IF($A145="","",IF(OR($B145="",$C145="",$F145="",$G145=""),"Données manquantes",IF(OR(AND($B145&lt;&gt;"PRD",$B145&lt;&gt;"NPRD")),"Environnement invalide",IF(COUNTIF(TblDynatrace[Clé],$J145)&gt;1,"Doublon (ID + env + couloir)",IF(OR(NOT(ISNUMBER($F145)),NOT(ISNUMBER($G145))),"Valeur non numérique",IF(MIN($F145,$G145)&lt;0,"Valeur négative",IF(AND($E145&lt;&gt;"",COUNTIFS(TblClusters[Cluster],$E145,TblClusters[Plateforme],"ROKS")&gt;0),"Cluster observé sur ROKS : extraction attendue depuis IKS",IF(AND($E145&lt;&gt;"",COUNTIFS(TblClusters[Cluster],$E145,TblClusters[Plateforme],"IKS")=0),"Cluster IKS inconnu (info)",IF($K145=0,"Aucun déploiement correspondant (info)","OK")))))))))</f>
        <v/>
      </c>
    </row>
    <row r="146" spans="1:12" x14ac:dyDescent="0.2">
      <c r="A146" s="59"/>
      <c r="B146" s="59"/>
      <c r="C146" s="59"/>
      <c r="D146" s="59"/>
      <c r="E146" s="59"/>
      <c r="F146" s="63"/>
      <c r="G146" s="63"/>
      <c r="H146" s="59"/>
      <c r="I146" s="64"/>
      <c r="J146" s="26" t="str">
        <f t="shared" si="2"/>
        <v/>
      </c>
      <c r="K146" s="26" t="str">
        <f>IF($A146="","",COUNTIFS(TblApplications[ID],$A146,TblApplications[Environnement],$B146,TblApplications[Couloir],$C146))</f>
        <v/>
      </c>
      <c r="L146" s="26" t="str">
        <f>IF($A146="","",IF(OR($B146="",$C146="",$F146="",$G146=""),"Données manquantes",IF(OR(AND($B146&lt;&gt;"PRD",$B146&lt;&gt;"NPRD")),"Environnement invalide",IF(COUNTIF(TblDynatrace[Clé],$J146)&gt;1,"Doublon (ID + env + couloir)",IF(OR(NOT(ISNUMBER($F146)),NOT(ISNUMBER($G146))),"Valeur non numérique",IF(MIN($F146,$G146)&lt;0,"Valeur négative",IF(AND($E146&lt;&gt;"",COUNTIFS(TblClusters[Cluster],$E146,TblClusters[Plateforme],"ROKS")&gt;0),"Cluster observé sur ROKS : extraction attendue depuis IKS",IF(AND($E146&lt;&gt;"",COUNTIFS(TblClusters[Cluster],$E146,TblClusters[Plateforme],"IKS")=0),"Cluster IKS inconnu (info)",IF($K146=0,"Aucun déploiement correspondant (info)","OK")))))))))</f>
        <v/>
      </c>
    </row>
    <row r="147" spans="1:12" x14ac:dyDescent="0.2">
      <c r="A147" s="59"/>
      <c r="B147" s="59"/>
      <c r="C147" s="59"/>
      <c r="D147" s="59"/>
      <c r="E147" s="59"/>
      <c r="F147" s="63"/>
      <c r="G147" s="63"/>
      <c r="H147" s="59"/>
      <c r="I147" s="64"/>
      <c r="J147" s="26" t="str">
        <f t="shared" si="2"/>
        <v/>
      </c>
      <c r="K147" s="26" t="str">
        <f>IF($A147="","",COUNTIFS(TblApplications[ID],$A147,TblApplications[Environnement],$B147,TblApplications[Couloir],$C147))</f>
        <v/>
      </c>
      <c r="L147" s="26" t="str">
        <f>IF($A147="","",IF(OR($B147="",$C147="",$F147="",$G147=""),"Données manquantes",IF(OR(AND($B147&lt;&gt;"PRD",$B147&lt;&gt;"NPRD")),"Environnement invalide",IF(COUNTIF(TblDynatrace[Clé],$J147)&gt;1,"Doublon (ID + env + couloir)",IF(OR(NOT(ISNUMBER($F147)),NOT(ISNUMBER($G147))),"Valeur non numérique",IF(MIN($F147,$G147)&lt;0,"Valeur négative",IF(AND($E147&lt;&gt;"",COUNTIFS(TblClusters[Cluster],$E147,TblClusters[Plateforme],"ROKS")&gt;0),"Cluster observé sur ROKS : extraction attendue depuis IKS",IF(AND($E147&lt;&gt;"",COUNTIFS(TblClusters[Cluster],$E147,TblClusters[Plateforme],"IKS")=0),"Cluster IKS inconnu (info)",IF($K147=0,"Aucun déploiement correspondant (info)","OK")))))))))</f>
        <v/>
      </c>
    </row>
    <row r="148" spans="1:12" x14ac:dyDescent="0.2">
      <c r="A148" s="59"/>
      <c r="B148" s="59"/>
      <c r="C148" s="59"/>
      <c r="D148" s="59"/>
      <c r="E148" s="59"/>
      <c r="F148" s="63"/>
      <c r="G148" s="63"/>
      <c r="H148" s="59"/>
      <c r="I148" s="64"/>
      <c r="J148" s="26" t="str">
        <f t="shared" si="2"/>
        <v/>
      </c>
      <c r="K148" s="26" t="str">
        <f>IF($A148="","",COUNTIFS(TblApplications[ID],$A148,TblApplications[Environnement],$B148,TblApplications[Couloir],$C148))</f>
        <v/>
      </c>
      <c r="L148" s="26" t="str">
        <f>IF($A148="","",IF(OR($B148="",$C148="",$F148="",$G148=""),"Données manquantes",IF(OR(AND($B148&lt;&gt;"PRD",$B148&lt;&gt;"NPRD")),"Environnement invalide",IF(COUNTIF(TblDynatrace[Clé],$J148)&gt;1,"Doublon (ID + env + couloir)",IF(OR(NOT(ISNUMBER($F148)),NOT(ISNUMBER($G148))),"Valeur non numérique",IF(MIN($F148,$G148)&lt;0,"Valeur négative",IF(AND($E148&lt;&gt;"",COUNTIFS(TblClusters[Cluster],$E148,TblClusters[Plateforme],"ROKS")&gt;0),"Cluster observé sur ROKS : extraction attendue depuis IKS",IF(AND($E148&lt;&gt;"",COUNTIFS(TblClusters[Cluster],$E148,TblClusters[Plateforme],"IKS")=0),"Cluster IKS inconnu (info)",IF($K148=0,"Aucun déploiement correspondant (info)","OK")))))))))</f>
        <v/>
      </c>
    </row>
    <row r="149" spans="1:12" x14ac:dyDescent="0.2">
      <c r="A149" s="59"/>
      <c r="B149" s="59"/>
      <c r="C149" s="59"/>
      <c r="D149" s="59"/>
      <c r="E149" s="59"/>
      <c r="F149" s="63"/>
      <c r="G149" s="63"/>
      <c r="H149" s="59"/>
      <c r="I149" s="64"/>
      <c r="J149" s="26" t="str">
        <f t="shared" si="2"/>
        <v/>
      </c>
      <c r="K149" s="26" t="str">
        <f>IF($A149="","",COUNTIFS(TblApplications[ID],$A149,TblApplications[Environnement],$B149,TblApplications[Couloir],$C149))</f>
        <v/>
      </c>
      <c r="L149" s="26" t="str">
        <f>IF($A149="","",IF(OR($B149="",$C149="",$F149="",$G149=""),"Données manquantes",IF(OR(AND($B149&lt;&gt;"PRD",$B149&lt;&gt;"NPRD")),"Environnement invalide",IF(COUNTIF(TblDynatrace[Clé],$J149)&gt;1,"Doublon (ID + env + couloir)",IF(OR(NOT(ISNUMBER($F149)),NOT(ISNUMBER($G149))),"Valeur non numérique",IF(MIN($F149,$G149)&lt;0,"Valeur négative",IF(AND($E149&lt;&gt;"",COUNTIFS(TblClusters[Cluster],$E149,TblClusters[Plateforme],"ROKS")&gt;0),"Cluster observé sur ROKS : extraction attendue depuis IKS",IF(AND($E149&lt;&gt;"",COUNTIFS(TblClusters[Cluster],$E149,TblClusters[Plateforme],"IKS")=0),"Cluster IKS inconnu (info)",IF($K149=0,"Aucun déploiement correspondant (info)","OK")))))))))</f>
        <v/>
      </c>
    </row>
    <row r="150" spans="1:12" x14ac:dyDescent="0.2">
      <c r="A150" s="59"/>
      <c r="B150" s="59"/>
      <c r="C150" s="59"/>
      <c r="D150" s="59"/>
      <c r="E150" s="59"/>
      <c r="F150" s="63"/>
      <c r="G150" s="63"/>
      <c r="H150" s="59"/>
      <c r="I150" s="64"/>
      <c r="J150" s="26" t="str">
        <f t="shared" si="2"/>
        <v/>
      </c>
      <c r="K150" s="26" t="str">
        <f>IF($A150="","",COUNTIFS(TblApplications[ID],$A150,TblApplications[Environnement],$B150,TblApplications[Couloir],$C150))</f>
        <v/>
      </c>
      <c r="L150" s="26" t="str">
        <f>IF($A150="","",IF(OR($B150="",$C150="",$F150="",$G150=""),"Données manquantes",IF(OR(AND($B150&lt;&gt;"PRD",$B150&lt;&gt;"NPRD")),"Environnement invalide",IF(COUNTIF(TblDynatrace[Clé],$J150)&gt;1,"Doublon (ID + env + couloir)",IF(OR(NOT(ISNUMBER($F150)),NOT(ISNUMBER($G150))),"Valeur non numérique",IF(MIN($F150,$G150)&lt;0,"Valeur négative",IF(AND($E150&lt;&gt;"",COUNTIFS(TblClusters[Cluster],$E150,TblClusters[Plateforme],"ROKS")&gt;0),"Cluster observé sur ROKS : extraction attendue depuis IKS",IF(AND($E150&lt;&gt;"",COUNTIFS(TblClusters[Cluster],$E150,TblClusters[Plateforme],"IKS")=0),"Cluster IKS inconnu (info)",IF($K150=0,"Aucun déploiement correspondant (info)","OK")))))))))</f>
        <v/>
      </c>
    </row>
    <row r="151" spans="1:12" x14ac:dyDescent="0.2">
      <c r="A151" s="59"/>
      <c r="B151" s="59"/>
      <c r="C151" s="59"/>
      <c r="D151" s="59"/>
      <c r="E151" s="59"/>
      <c r="F151" s="63"/>
      <c r="G151" s="63"/>
      <c r="H151" s="59"/>
      <c r="I151" s="64"/>
      <c r="J151" s="26" t="str">
        <f t="shared" si="2"/>
        <v/>
      </c>
      <c r="K151" s="26" t="str">
        <f>IF($A151="","",COUNTIFS(TblApplications[ID],$A151,TblApplications[Environnement],$B151,TblApplications[Couloir],$C151))</f>
        <v/>
      </c>
      <c r="L151" s="26" t="str">
        <f>IF($A151="","",IF(OR($B151="",$C151="",$F151="",$G151=""),"Données manquantes",IF(OR(AND($B151&lt;&gt;"PRD",$B151&lt;&gt;"NPRD")),"Environnement invalide",IF(COUNTIF(TblDynatrace[Clé],$J151)&gt;1,"Doublon (ID + env + couloir)",IF(OR(NOT(ISNUMBER($F151)),NOT(ISNUMBER($G151))),"Valeur non numérique",IF(MIN($F151,$G151)&lt;0,"Valeur négative",IF(AND($E151&lt;&gt;"",COUNTIFS(TblClusters[Cluster],$E151,TblClusters[Plateforme],"ROKS")&gt;0),"Cluster observé sur ROKS : extraction attendue depuis IKS",IF(AND($E151&lt;&gt;"",COUNTIFS(TblClusters[Cluster],$E151,TblClusters[Plateforme],"IKS")=0),"Cluster IKS inconnu (info)",IF($K151=0,"Aucun déploiement correspondant (info)","OK")))))))))</f>
        <v/>
      </c>
    </row>
    <row r="152" spans="1:12" x14ac:dyDescent="0.2">
      <c r="A152" s="59"/>
      <c r="B152" s="59"/>
      <c r="C152" s="59"/>
      <c r="D152" s="59"/>
      <c r="E152" s="59"/>
      <c r="F152" s="63"/>
      <c r="G152" s="63"/>
      <c r="H152" s="59"/>
      <c r="I152" s="64"/>
      <c r="J152" s="26" t="str">
        <f t="shared" si="2"/>
        <v/>
      </c>
      <c r="K152" s="26" t="str">
        <f>IF($A152="","",COUNTIFS(TblApplications[ID],$A152,TblApplications[Environnement],$B152,TblApplications[Couloir],$C152))</f>
        <v/>
      </c>
      <c r="L152" s="26" t="str">
        <f>IF($A152="","",IF(OR($B152="",$C152="",$F152="",$G152=""),"Données manquantes",IF(OR(AND($B152&lt;&gt;"PRD",$B152&lt;&gt;"NPRD")),"Environnement invalide",IF(COUNTIF(TblDynatrace[Clé],$J152)&gt;1,"Doublon (ID + env + couloir)",IF(OR(NOT(ISNUMBER($F152)),NOT(ISNUMBER($G152))),"Valeur non numérique",IF(MIN($F152,$G152)&lt;0,"Valeur négative",IF(AND($E152&lt;&gt;"",COUNTIFS(TblClusters[Cluster],$E152,TblClusters[Plateforme],"ROKS")&gt;0),"Cluster observé sur ROKS : extraction attendue depuis IKS",IF(AND($E152&lt;&gt;"",COUNTIFS(TblClusters[Cluster],$E152,TblClusters[Plateforme],"IKS")=0),"Cluster IKS inconnu (info)",IF($K152=0,"Aucun déploiement correspondant (info)","OK")))))))))</f>
        <v/>
      </c>
    </row>
    <row r="153" spans="1:12" x14ac:dyDescent="0.2">
      <c r="A153" s="59"/>
      <c r="B153" s="59"/>
      <c r="C153" s="59"/>
      <c r="D153" s="59"/>
      <c r="E153" s="59"/>
      <c r="F153" s="63"/>
      <c r="G153" s="63"/>
      <c r="H153" s="59"/>
      <c r="I153" s="64"/>
      <c r="J153" s="26" t="str">
        <f t="shared" si="2"/>
        <v/>
      </c>
      <c r="K153" s="26" t="str">
        <f>IF($A153="","",COUNTIFS(TblApplications[ID],$A153,TblApplications[Environnement],$B153,TblApplications[Couloir],$C153))</f>
        <v/>
      </c>
      <c r="L153" s="26" t="str">
        <f>IF($A153="","",IF(OR($B153="",$C153="",$F153="",$G153=""),"Données manquantes",IF(OR(AND($B153&lt;&gt;"PRD",$B153&lt;&gt;"NPRD")),"Environnement invalide",IF(COUNTIF(TblDynatrace[Clé],$J153)&gt;1,"Doublon (ID + env + couloir)",IF(OR(NOT(ISNUMBER($F153)),NOT(ISNUMBER($G153))),"Valeur non numérique",IF(MIN($F153,$G153)&lt;0,"Valeur négative",IF(AND($E153&lt;&gt;"",COUNTIFS(TblClusters[Cluster],$E153,TblClusters[Plateforme],"ROKS")&gt;0),"Cluster observé sur ROKS : extraction attendue depuis IKS",IF(AND($E153&lt;&gt;"",COUNTIFS(TblClusters[Cluster],$E153,TblClusters[Plateforme],"IKS")=0),"Cluster IKS inconnu (info)",IF($K153=0,"Aucun déploiement correspondant (info)","OK")))))))))</f>
        <v/>
      </c>
    </row>
    <row r="154" spans="1:12" x14ac:dyDescent="0.2">
      <c r="A154" s="59"/>
      <c r="B154" s="59"/>
      <c r="C154" s="59"/>
      <c r="D154" s="59"/>
      <c r="E154" s="59"/>
      <c r="F154" s="63"/>
      <c r="G154" s="63"/>
      <c r="H154" s="59"/>
      <c r="I154" s="64"/>
      <c r="J154" s="26" t="str">
        <f t="shared" si="2"/>
        <v/>
      </c>
      <c r="K154" s="26" t="str">
        <f>IF($A154="","",COUNTIFS(TblApplications[ID],$A154,TblApplications[Environnement],$B154,TblApplications[Couloir],$C154))</f>
        <v/>
      </c>
      <c r="L154" s="26" t="str">
        <f>IF($A154="","",IF(OR($B154="",$C154="",$F154="",$G154=""),"Données manquantes",IF(OR(AND($B154&lt;&gt;"PRD",$B154&lt;&gt;"NPRD")),"Environnement invalide",IF(COUNTIF(TblDynatrace[Clé],$J154)&gt;1,"Doublon (ID + env + couloir)",IF(OR(NOT(ISNUMBER($F154)),NOT(ISNUMBER($G154))),"Valeur non numérique",IF(MIN($F154,$G154)&lt;0,"Valeur négative",IF(AND($E154&lt;&gt;"",COUNTIFS(TblClusters[Cluster],$E154,TblClusters[Plateforme],"ROKS")&gt;0),"Cluster observé sur ROKS : extraction attendue depuis IKS",IF(AND($E154&lt;&gt;"",COUNTIFS(TblClusters[Cluster],$E154,TblClusters[Plateforme],"IKS")=0),"Cluster IKS inconnu (info)",IF($K154=0,"Aucun déploiement correspondant (info)","OK")))))))))</f>
        <v/>
      </c>
    </row>
    <row r="155" spans="1:12" x14ac:dyDescent="0.2">
      <c r="A155" s="59"/>
      <c r="B155" s="59"/>
      <c r="C155" s="59"/>
      <c r="D155" s="59"/>
      <c r="E155" s="59"/>
      <c r="F155" s="63"/>
      <c r="G155" s="63"/>
      <c r="H155" s="59"/>
      <c r="I155" s="64"/>
      <c r="J155" s="26" t="str">
        <f t="shared" si="2"/>
        <v/>
      </c>
      <c r="K155" s="26" t="str">
        <f>IF($A155="","",COUNTIFS(TblApplications[ID],$A155,TblApplications[Environnement],$B155,TblApplications[Couloir],$C155))</f>
        <v/>
      </c>
      <c r="L155" s="26" t="str">
        <f>IF($A155="","",IF(OR($B155="",$C155="",$F155="",$G155=""),"Données manquantes",IF(OR(AND($B155&lt;&gt;"PRD",$B155&lt;&gt;"NPRD")),"Environnement invalide",IF(COUNTIF(TblDynatrace[Clé],$J155)&gt;1,"Doublon (ID + env + couloir)",IF(OR(NOT(ISNUMBER($F155)),NOT(ISNUMBER($G155))),"Valeur non numérique",IF(MIN($F155,$G155)&lt;0,"Valeur négative",IF(AND($E155&lt;&gt;"",COUNTIFS(TblClusters[Cluster],$E155,TblClusters[Plateforme],"ROKS")&gt;0),"Cluster observé sur ROKS : extraction attendue depuis IKS",IF(AND($E155&lt;&gt;"",COUNTIFS(TblClusters[Cluster],$E155,TblClusters[Plateforme],"IKS")=0),"Cluster IKS inconnu (info)",IF($K155=0,"Aucun déploiement correspondant (info)","OK")))))))))</f>
        <v/>
      </c>
    </row>
    <row r="156" spans="1:12" x14ac:dyDescent="0.2">
      <c r="A156" s="59"/>
      <c r="B156" s="59"/>
      <c r="C156" s="59"/>
      <c r="D156" s="59"/>
      <c r="E156" s="59"/>
      <c r="F156" s="63"/>
      <c r="G156" s="63"/>
      <c r="H156" s="59"/>
      <c r="I156" s="64"/>
      <c r="J156" s="26" t="str">
        <f t="shared" si="2"/>
        <v/>
      </c>
      <c r="K156" s="26" t="str">
        <f>IF($A156="","",COUNTIFS(TblApplications[ID],$A156,TblApplications[Environnement],$B156,TblApplications[Couloir],$C156))</f>
        <v/>
      </c>
      <c r="L156" s="26" t="str">
        <f>IF($A156="","",IF(OR($B156="",$C156="",$F156="",$G156=""),"Données manquantes",IF(OR(AND($B156&lt;&gt;"PRD",$B156&lt;&gt;"NPRD")),"Environnement invalide",IF(COUNTIF(TblDynatrace[Clé],$J156)&gt;1,"Doublon (ID + env + couloir)",IF(OR(NOT(ISNUMBER($F156)),NOT(ISNUMBER($G156))),"Valeur non numérique",IF(MIN($F156,$G156)&lt;0,"Valeur négative",IF(AND($E156&lt;&gt;"",COUNTIFS(TblClusters[Cluster],$E156,TblClusters[Plateforme],"ROKS")&gt;0),"Cluster observé sur ROKS : extraction attendue depuis IKS",IF(AND($E156&lt;&gt;"",COUNTIFS(TblClusters[Cluster],$E156,TblClusters[Plateforme],"IKS")=0),"Cluster IKS inconnu (info)",IF($K156=0,"Aucun déploiement correspondant (info)","OK")))))))))</f>
        <v/>
      </c>
    </row>
    <row r="157" spans="1:12" x14ac:dyDescent="0.2">
      <c r="A157" s="59"/>
      <c r="B157" s="59"/>
      <c r="C157" s="59"/>
      <c r="D157" s="59"/>
      <c r="E157" s="59"/>
      <c r="F157" s="63"/>
      <c r="G157" s="63"/>
      <c r="H157" s="59"/>
      <c r="I157" s="64"/>
      <c r="J157" s="26" t="str">
        <f t="shared" si="2"/>
        <v/>
      </c>
      <c r="K157" s="26" t="str">
        <f>IF($A157="","",COUNTIFS(TblApplications[ID],$A157,TblApplications[Environnement],$B157,TblApplications[Couloir],$C157))</f>
        <v/>
      </c>
      <c r="L157" s="26" t="str">
        <f>IF($A157="","",IF(OR($B157="",$C157="",$F157="",$G157=""),"Données manquantes",IF(OR(AND($B157&lt;&gt;"PRD",$B157&lt;&gt;"NPRD")),"Environnement invalide",IF(COUNTIF(TblDynatrace[Clé],$J157)&gt;1,"Doublon (ID + env + couloir)",IF(OR(NOT(ISNUMBER($F157)),NOT(ISNUMBER($G157))),"Valeur non numérique",IF(MIN($F157,$G157)&lt;0,"Valeur négative",IF(AND($E157&lt;&gt;"",COUNTIFS(TblClusters[Cluster],$E157,TblClusters[Plateforme],"ROKS")&gt;0),"Cluster observé sur ROKS : extraction attendue depuis IKS",IF(AND($E157&lt;&gt;"",COUNTIFS(TblClusters[Cluster],$E157,TblClusters[Plateforme],"IKS")=0),"Cluster IKS inconnu (info)",IF($K157=0,"Aucun déploiement correspondant (info)","OK")))))))))</f>
        <v/>
      </c>
    </row>
    <row r="158" spans="1:12" x14ac:dyDescent="0.2">
      <c r="A158" s="59"/>
      <c r="B158" s="59"/>
      <c r="C158" s="59"/>
      <c r="D158" s="59"/>
      <c r="E158" s="59"/>
      <c r="F158" s="63"/>
      <c r="G158" s="63"/>
      <c r="H158" s="59"/>
      <c r="I158" s="64"/>
      <c r="J158" s="26" t="str">
        <f t="shared" si="2"/>
        <v/>
      </c>
      <c r="K158" s="26" t="str">
        <f>IF($A158="","",COUNTIFS(TblApplications[ID],$A158,TblApplications[Environnement],$B158,TblApplications[Couloir],$C158))</f>
        <v/>
      </c>
      <c r="L158" s="26" t="str">
        <f>IF($A158="","",IF(OR($B158="",$C158="",$F158="",$G158=""),"Données manquantes",IF(OR(AND($B158&lt;&gt;"PRD",$B158&lt;&gt;"NPRD")),"Environnement invalide",IF(COUNTIF(TblDynatrace[Clé],$J158)&gt;1,"Doublon (ID + env + couloir)",IF(OR(NOT(ISNUMBER($F158)),NOT(ISNUMBER($G158))),"Valeur non numérique",IF(MIN($F158,$G158)&lt;0,"Valeur négative",IF(AND($E158&lt;&gt;"",COUNTIFS(TblClusters[Cluster],$E158,TblClusters[Plateforme],"ROKS")&gt;0),"Cluster observé sur ROKS : extraction attendue depuis IKS",IF(AND($E158&lt;&gt;"",COUNTIFS(TblClusters[Cluster],$E158,TblClusters[Plateforme],"IKS")=0),"Cluster IKS inconnu (info)",IF($K158=0,"Aucun déploiement correspondant (info)","OK")))))))))</f>
        <v/>
      </c>
    </row>
    <row r="159" spans="1:12" x14ac:dyDescent="0.2">
      <c r="A159" s="59"/>
      <c r="B159" s="59"/>
      <c r="C159" s="59"/>
      <c r="D159" s="59"/>
      <c r="E159" s="59"/>
      <c r="F159" s="63"/>
      <c r="G159" s="63"/>
      <c r="H159" s="59"/>
      <c r="I159" s="64"/>
      <c r="J159" s="26" t="str">
        <f t="shared" si="2"/>
        <v/>
      </c>
      <c r="K159" s="26" t="str">
        <f>IF($A159="","",COUNTIFS(TblApplications[ID],$A159,TblApplications[Environnement],$B159,TblApplications[Couloir],$C159))</f>
        <v/>
      </c>
      <c r="L159" s="26" t="str">
        <f>IF($A159="","",IF(OR($B159="",$C159="",$F159="",$G159=""),"Données manquantes",IF(OR(AND($B159&lt;&gt;"PRD",$B159&lt;&gt;"NPRD")),"Environnement invalide",IF(COUNTIF(TblDynatrace[Clé],$J159)&gt;1,"Doublon (ID + env + couloir)",IF(OR(NOT(ISNUMBER($F159)),NOT(ISNUMBER($G159))),"Valeur non numérique",IF(MIN($F159,$G159)&lt;0,"Valeur négative",IF(AND($E159&lt;&gt;"",COUNTIFS(TblClusters[Cluster],$E159,TblClusters[Plateforme],"ROKS")&gt;0),"Cluster observé sur ROKS : extraction attendue depuis IKS",IF(AND($E159&lt;&gt;"",COUNTIFS(TblClusters[Cluster],$E159,TblClusters[Plateforme],"IKS")=0),"Cluster IKS inconnu (info)",IF($K159=0,"Aucun déploiement correspondant (info)","OK")))))))))</f>
        <v/>
      </c>
    </row>
    <row r="160" spans="1:12" x14ac:dyDescent="0.2">
      <c r="A160" s="59"/>
      <c r="B160" s="59"/>
      <c r="C160" s="59"/>
      <c r="D160" s="59"/>
      <c r="E160" s="59"/>
      <c r="F160" s="63"/>
      <c r="G160" s="63"/>
      <c r="H160" s="59"/>
      <c r="I160" s="64"/>
      <c r="J160" s="26" t="str">
        <f t="shared" si="2"/>
        <v/>
      </c>
      <c r="K160" s="26" t="str">
        <f>IF($A160="","",COUNTIFS(TblApplications[ID],$A160,TblApplications[Environnement],$B160,TblApplications[Couloir],$C160))</f>
        <v/>
      </c>
      <c r="L160" s="26" t="str">
        <f>IF($A160="","",IF(OR($B160="",$C160="",$F160="",$G160=""),"Données manquantes",IF(OR(AND($B160&lt;&gt;"PRD",$B160&lt;&gt;"NPRD")),"Environnement invalide",IF(COUNTIF(TblDynatrace[Clé],$J160)&gt;1,"Doublon (ID + env + couloir)",IF(OR(NOT(ISNUMBER($F160)),NOT(ISNUMBER($G160))),"Valeur non numérique",IF(MIN($F160,$G160)&lt;0,"Valeur négative",IF(AND($E160&lt;&gt;"",COUNTIFS(TblClusters[Cluster],$E160,TblClusters[Plateforme],"ROKS")&gt;0),"Cluster observé sur ROKS : extraction attendue depuis IKS",IF(AND($E160&lt;&gt;"",COUNTIFS(TblClusters[Cluster],$E160,TblClusters[Plateforme],"IKS")=0),"Cluster IKS inconnu (info)",IF($K160=0,"Aucun déploiement correspondant (info)","OK")))))))))</f>
        <v/>
      </c>
    </row>
    <row r="161" spans="1:12" x14ac:dyDescent="0.2">
      <c r="A161" s="59"/>
      <c r="B161" s="59"/>
      <c r="C161" s="59"/>
      <c r="D161" s="59"/>
      <c r="E161" s="59"/>
      <c r="F161" s="63"/>
      <c r="G161" s="63"/>
      <c r="H161" s="59"/>
      <c r="I161" s="64"/>
      <c r="J161" s="26" t="str">
        <f t="shared" si="2"/>
        <v/>
      </c>
      <c r="K161" s="26" t="str">
        <f>IF($A161="","",COUNTIFS(TblApplications[ID],$A161,TblApplications[Environnement],$B161,TblApplications[Couloir],$C161))</f>
        <v/>
      </c>
      <c r="L161" s="26" t="str">
        <f>IF($A161="","",IF(OR($B161="",$C161="",$F161="",$G161=""),"Données manquantes",IF(OR(AND($B161&lt;&gt;"PRD",$B161&lt;&gt;"NPRD")),"Environnement invalide",IF(COUNTIF(TblDynatrace[Clé],$J161)&gt;1,"Doublon (ID + env + couloir)",IF(OR(NOT(ISNUMBER($F161)),NOT(ISNUMBER($G161))),"Valeur non numérique",IF(MIN($F161,$G161)&lt;0,"Valeur négative",IF(AND($E161&lt;&gt;"",COUNTIFS(TblClusters[Cluster],$E161,TblClusters[Plateforme],"ROKS")&gt;0),"Cluster observé sur ROKS : extraction attendue depuis IKS",IF(AND($E161&lt;&gt;"",COUNTIFS(TblClusters[Cluster],$E161,TblClusters[Plateforme],"IKS")=0),"Cluster IKS inconnu (info)",IF($K161=0,"Aucun déploiement correspondant (info)","OK")))))))))</f>
        <v/>
      </c>
    </row>
    <row r="162" spans="1:12" x14ac:dyDescent="0.2">
      <c r="A162" s="59"/>
      <c r="B162" s="59"/>
      <c r="C162" s="59"/>
      <c r="D162" s="59"/>
      <c r="E162" s="59"/>
      <c r="F162" s="63"/>
      <c r="G162" s="63"/>
      <c r="H162" s="59"/>
      <c r="I162" s="64"/>
      <c r="J162" s="26" t="str">
        <f t="shared" si="2"/>
        <v/>
      </c>
      <c r="K162" s="26" t="str">
        <f>IF($A162="","",COUNTIFS(TblApplications[ID],$A162,TblApplications[Environnement],$B162,TblApplications[Couloir],$C162))</f>
        <v/>
      </c>
      <c r="L162" s="26" t="str">
        <f>IF($A162="","",IF(OR($B162="",$C162="",$F162="",$G162=""),"Données manquantes",IF(OR(AND($B162&lt;&gt;"PRD",$B162&lt;&gt;"NPRD")),"Environnement invalide",IF(COUNTIF(TblDynatrace[Clé],$J162)&gt;1,"Doublon (ID + env + couloir)",IF(OR(NOT(ISNUMBER($F162)),NOT(ISNUMBER($G162))),"Valeur non numérique",IF(MIN($F162,$G162)&lt;0,"Valeur négative",IF(AND($E162&lt;&gt;"",COUNTIFS(TblClusters[Cluster],$E162,TblClusters[Plateforme],"ROKS")&gt;0),"Cluster observé sur ROKS : extraction attendue depuis IKS",IF(AND($E162&lt;&gt;"",COUNTIFS(TblClusters[Cluster],$E162,TblClusters[Plateforme],"IKS")=0),"Cluster IKS inconnu (info)",IF($K162=0,"Aucun déploiement correspondant (info)","OK")))))))))</f>
        <v/>
      </c>
    </row>
    <row r="163" spans="1:12" x14ac:dyDescent="0.2">
      <c r="A163" s="59"/>
      <c r="B163" s="59"/>
      <c r="C163" s="59"/>
      <c r="D163" s="59"/>
      <c r="E163" s="59"/>
      <c r="F163" s="63"/>
      <c r="G163" s="63"/>
      <c r="H163" s="59"/>
      <c r="I163" s="64"/>
      <c r="J163" s="26" t="str">
        <f t="shared" si="2"/>
        <v/>
      </c>
      <c r="K163" s="26" t="str">
        <f>IF($A163="","",COUNTIFS(TblApplications[ID],$A163,TblApplications[Environnement],$B163,TblApplications[Couloir],$C163))</f>
        <v/>
      </c>
      <c r="L163" s="26" t="str">
        <f>IF($A163="","",IF(OR($B163="",$C163="",$F163="",$G163=""),"Données manquantes",IF(OR(AND($B163&lt;&gt;"PRD",$B163&lt;&gt;"NPRD")),"Environnement invalide",IF(COUNTIF(TblDynatrace[Clé],$J163)&gt;1,"Doublon (ID + env + couloir)",IF(OR(NOT(ISNUMBER($F163)),NOT(ISNUMBER($G163))),"Valeur non numérique",IF(MIN($F163,$G163)&lt;0,"Valeur négative",IF(AND($E163&lt;&gt;"",COUNTIFS(TblClusters[Cluster],$E163,TblClusters[Plateforme],"ROKS")&gt;0),"Cluster observé sur ROKS : extraction attendue depuis IKS",IF(AND($E163&lt;&gt;"",COUNTIFS(TblClusters[Cluster],$E163,TblClusters[Plateforme],"IKS")=0),"Cluster IKS inconnu (info)",IF($K163=0,"Aucun déploiement correspondant (info)","OK")))))))))</f>
        <v/>
      </c>
    </row>
    <row r="164" spans="1:12" x14ac:dyDescent="0.2">
      <c r="A164" s="59"/>
      <c r="B164" s="59"/>
      <c r="C164" s="59"/>
      <c r="D164" s="59"/>
      <c r="E164" s="59"/>
      <c r="F164" s="63"/>
      <c r="G164" s="63"/>
      <c r="H164" s="59"/>
      <c r="I164" s="64"/>
      <c r="J164" s="26" t="str">
        <f t="shared" si="2"/>
        <v/>
      </c>
      <c r="K164" s="26" t="str">
        <f>IF($A164="","",COUNTIFS(TblApplications[ID],$A164,TblApplications[Environnement],$B164,TblApplications[Couloir],$C164))</f>
        <v/>
      </c>
      <c r="L164" s="26" t="str">
        <f>IF($A164="","",IF(OR($B164="",$C164="",$F164="",$G164=""),"Données manquantes",IF(OR(AND($B164&lt;&gt;"PRD",$B164&lt;&gt;"NPRD")),"Environnement invalide",IF(COUNTIF(TblDynatrace[Clé],$J164)&gt;1,"Doublon (ID + env + couloir)",IF(OR(NOT(ISNUMBER($F164)),NOT(ISNUMBER($G164))),"Valeur non numérique",IF(MIN($F164,$G164)&lt;0,"Valeur négative",IF(AND($E164&lt;&gt;"",COUNTIFS(TblClusters[Cluster],$E164,TblClusters[Plateforme],"ROKS")&gt;0),"Cluster observé sur ROKS : extraction attendue depuis IKS",IF(AND($E164&lt;&gt;"",COUNTIFS(TblClusters[Cluster],$E164,TblClusters[Plateforme],"IKS")=0),"Cluster IKS inconnu (info)",IF($K164=0,"Aucun déploiement correspondant (info)","OK")))))))))</f>
        <v/>
      </c>
    </row>
    <row r="165" spans="1:12" x14ac:dyDescent="0.2">
      <c r="A165" s="59"/>
      <c r="B165" s="59"/>
      <c r="C165" s="59"/>
      <c r="D165" s="59"/>
      <c r="E165" s="59"/>
      <c r="F165" s="63"/>
      <c r="G165" s="63"/>
      <c r="H165" s="59"/>
      <c r="I165" s="64"/>
      <c r="J165" s="26" t="str">
        <f t="shared" si="2"/>
        <v/>
      </c>
      <c r="K165" s="26" t="str">
        <f>IF($A165="","",COUNTIFS(TblApplications[ID],$A165,TblApplications[Environnement],$B165,TblApplications[Couloir],$C165))</f>
        <v/>
      </c>
      <c r="L165" s="26" t="str">
        <f>IF($A165="","",IF(OR($B165="",$C165="",$F165="",$G165=""),"Données manquantes",IF(OR(AND($B165&lt;&gt;"PRD",$B165&lt;&gt;"NPRD")),"Environnement invalide",IF(COUNTIF(TblDynatrace[Clé],$J165)&gt;1,"Doublon (ID + env + couloir)",IF(OR(NOT(ISNUMBER($F165)),NOT(ISNUMBER($G165))),"Valeur non numérique",IF(MIN($F165,$G165)&lt;0,"Valeur négative",IF(AND($E165&lt;&gt;"",COUNTIFS(TblClusters[Cluster],$E165,TblClusters[Plateforme],"ROKS")&gt;0),"Cluster observé sur ROKS : extraction attendue depuis IKS",IF(AND($E165&lt;&gt;"",COUNTIFS(TblClusters[Cluster],$E165,TblClusters[Plateforme],"IKS")=0),"Cluster IKS inconnu (info)",IF($K165=0,"Aucun déploiement correspondant (info)","OK")))))))))</f>
        <v/>
      </c>
    </row>
    <row r="166" spans="1:12" x14ac:dyDescent="0.2">
      <c r="A166" s="59"/>
      <c r="B166" s="59"/>
      <c r="C166" s="59"/>
      <c r="D166" s="59"/>
      <c r="E166" s="59"/>
      <c r="F166" s="63"/>
      <c r="G166" s="63"/>
      <c r="H166" s="59"/>
      <c r="I166" s="64"/>
      <c r="J166" s="26" t="str">
        <f t="shared" si="2"/>
        <v/>
      </c>
      <c r="K166" s="26" t="str">
        <f>IF($A166="","",COUNTIFS(TblApplications[ID],$A166,TblApplications[Environnement],$B166,TblApplications[Couloir],$C166))</f>
        <v/>
      </c>
      <c r="L166" s="26" t="str">
        <f>IF($A166="","",IF(OR($B166="",$C166="",$F166="",$G166=""),"Données manquantes",IF(OR(AND($B166&lt;&gt;"PRD",$B166&lt;&gt;"NPRD")),"Environnement invalide",IF(COUNTIF(TblDynatrace[Clé],$J166)&gt;1,"Doublon (ID + env + couloir)",IF(OR(NOT(ISNUMBER($F166)),NOT(ISNUMBER($G166))),"Valeur non numérique",IF(MIN($F166,$G166)&lt;0,"Valeur négative",IF(AND($E166&lt;&gt;"",COUNTIFS(TblClusters[Cluster],$E166,TblClusters[Plateforme],"ROKS")&gt;0),"Cluster observé sur ROKS : extraction attendue depuis IKS",IF(AND($E166&lt;&gt;"",COUNTIFS(TblClusters[Cluster],$E166,TblClusters[Plateforme],"IKS")=0),"Cluster IKS inconnu (info)",IF($K166=0,"Aucun déploiement correspondant (info)","OK")))))))))</f>
        <v/>
      </c>
    </row>
    <row r="167" spans="1:12" x14ac:dyDescent="0.2">
      <c r="A167" s="59"/>
      <c r="B167" s="59"/>
      <c r="C167" s="59"/>
      <c r="D167" s="59"/>
      <c r="E167" s="59"/>
      <c r="F167" s="63"/>
      <c r="G167" s="63"/>
      <c r="H167" s="59"/>
      <c r="I167" s="64"/>
      <c r="J167" s="26" t="str">
        <f t="shared" si="2"/>
        <v/>
      </c>
      <c r="K167" s="26" t="str">
        <f>IF($A167="","",COUNTIFS(TblApplications[ID],$A167,TblApplications[Environnement],$B167,TblApplications[Couloir],$C167))</f>
        <v/>
      </c>
      <c r="L167" s="26" t="str">
        <f>IF($A167="","",IF(OR($B167="",$C167="",$F167="",$G167=""),"Données manquantes",IF(OR(AND($B167&lt;&gt;"PRD",$B167&lt;&gt;"NPRD")),"Environnement invalide",IF(COUNTIF(TblDynatrace[Clé],$J167)&gt;1,"Doublon (ID + env + couloir)",IF(OR(NOT(ISNUMBER($F167)),NOT(ISNUMBER($G167))),"Valeur non numérique",IF(MIN($F167,$G167)&lt;0,"Valeur négative",IF(AND($E167&lt;&gt;"",COUNTIFS(TblClusters[Cluster],$E167,TblClusters[Plateforme],"ROKS")&gt;0),"Cluster observé sur ROKS : extraction attendue depuis IKS",IF(AND($E167&lt;&gt;"",COUNTIFS(TblClusters[Cluster],$E167,TblClusters[Plateforme],"IKS")=0),"Cluster IKS inconnu (info)",IF($K167=0,"Aucun déploiement correspondant (info)","OK")))))))))</f>
        <v/>
      </c>
    </row>
    <row r="168" spans="1:12" x14ac:dyDescent="0.2">
      <c r="A168" s="59"/>
      <c r="B168" s="59"/>
      <c r="C168" s="59"/>
      <c r="D168" s="59"/>
      <c r="E168" s="59"/>
      <c r="F168" s="63"/>
      <c r="G168" s="63"/>
      <c r="H168" s="59"/>
      <c r="I168" s="64"/>
      <c r="J168" s="26" t="str">
        <f t="shared" si="2"/>
        <v/>
      </c>
      <c r="K168" s="26" t="str">
        <f>IF($A168="","",COUNTIFS(TblApplications[ID],$A168,TblApplications[Environnement],$B168,TblApplications[Couloir],$C168))</f>
        <v/>
      </c>
      <c r="L168" s="26" t="str">
        <f>IF($A168="","",IF(OR($B168="",$C168="",$F168="",$G168=""),"Données manquantes",IF(OR(AND($B168&lt;&gt;"PRD",$B168&lt;&gt;"NPRD")),"Environnement invalide",IF(COUNTIF(TblDynatrace[Clé],$J168)&gt;1,"Doublon (ID + env + couloir)",IF(OR(NOT(ISNUMBER($F168)),NOT(ISNUMBER($G168))),"Valeur non numérique",IF(MIN($F168,$G168)&lt;0,"Valeur négative",IF(AND($E168&lt;&gt;"",COUNTIFS(TblClusters[Cluster],$E168,TblClusters[Plateforme],"ROKS")&gt;0),"Cluster observé sur ROKS : extraction attendue depuis IKS",IF(AND($E168&lt;&gt;"",COUNTIFS(TblClusters[Cluster],$E168,TblClusters[Plateforme],"IKS")=0),"Cluster IKS inconnu (info)",IF($K168=0,"Aucun déploiement correspondant (info)","OK")))))))))</f>
        <v/>
      </c>
    </row>
    <row r="169" spans="1:12" x14ac:dyDescent="0.2">
      <c r="A169" s="59"/>
      <c r="B169" s="59"/>
      <c r="C169" s="59"/>
      <c r="D169" s="59"/>
      <c r="E169" s="59"/>
      <c r="F169" s="63"/>
      <c r="G169" s="63"/>
      <c r="H169" s="59"/>
      <c r="I169" s="64"/>
      <c r="J169" s="26" t="str">
        <f t="shared" si="2"/>
        <v/>
      </c>
      <c r="K169" s="26" t="str">
        <f>IF($A169="","",COUNTIFS(TblApplications[ID],$A169,TblApplications[Environnement],$B169,TblApplications[Couloir],$C169))</f>
        <v/>
      </c>
      <c r="L169" s="26" t="str">
        <f>IF($A169="","",IF(OR($B169="",$C169="",$F169="",$G169=""),"Données manquantes",IF(OR(AND($B169&lt;&gt;"PRD",$B169&lt;&gt;"NPRD")),"Environnement invalide",IF(COUNTIF(TblDynatrace[Clé],$J169)&gt;1,"Doublon (ID + env + couloir)",IF(OR(NOT(ISNUMBER($F169)),NOT(ISNUMBER($G169))),"Valeur non numérique",IF(MIN($F169,$G169)&lt;0,"Valeur négative",IF(AND($E169&lt;&gt;"",COUNTIFS(TblClusters[Cluster],$E169,TblClusters[Plateforme],"ROKS")&gt;0),"Cluster observé sur ROKS : extraction attendue depuis IKS",IF(AND($E169&lt;&gt;"",COUNTIFS(TblClusters[Cluster],$E169,TblClusters[Plateforme],"IKS")=0),"Cluster IKS inconnu (info)",IF($K169=0,"Aucun déploiement correspondant (info)","OK")))))))))</f>
        <v/>
      </c>
    </row>
    <row r="170" spans="1:12" x14ac:dyDescent="0.2">
      <c r="A170" s="59"/>
      <c r="B170" s="59"/>
      <c r="C170" s="59"/>
      <c r="D170" s="59"/>
      <c r="E170" s="59"/>
      <c r="F170" s="63"/>
      <c r="G170" s="63"/>
      <c r="H170" s="59"/>
      <c r="I170" s="64"/>
      <c r="J170" s="26" t="str">
        <f t="shared" si="2"/>
        <v/>
      </c>
      <c r="K170" s="26" t="str">
        <f>IF($A170="","",COUNTIFS(TblApplications[ID],$A170,TblApplications[Environnement],$B170,TblApplications[Couloir],$C170))</f>
        <v/>
      </c>
      <c r="L170" s="26" t="str">
        <f>IF($A170="","",IF(OR($B170="",$C170="",$F170="",$G170=""),"Données manquantes",IF(OR(AND($B170&lt;&gt;"PRD",$B170&lt;&gt;"NPRD")),"Environnement invalide",IF(COUNTIF(TblDynatrace[Clé],$J170)&gt;1,"Doublon (ID + env + couloir)",IF(OR(NOT(ISNUMBER($F170)),NOT(ISNUMBER($G170))),"Valeur non numérique",IF(MIN($F170,$G170)&lt;0,"Valeur négative",IF(AND($E170&lt;&gt;"",COUNTIFS(TblClusters[Cluster],$E170,TblClusters[Plateforme],"ROKS")&gt;0),"Cluster observé sur ROKS : extraction attendue depuis IKS",IF(AND($E170&lt;&gt;"",COUNTIFS(TblClusters[Cluster],$E170,TblClusters[Plateforme],"IKS")=0),"Cluster IKS inconnu (info)",IF($K170=0,"Aucun déploiement correspondant (info)","OK")))))))))</f>
        <v/>
      </c>
    </row>
    <row r="171" spans="1:12" x14ac:dyDescent="0.2">
      <c r="A171" s="59"/>
      <c r="B171" s="59"/>
      <c r="C171" s="59"/>
      <c r="D171" s="59"/>
      <c r="E171" s="59"/>
      <c r="F171" s="63"/>
      <c r="G171" s="63"/>
      <c r="H171" s="59"/>
      <c r="I171" s="64"/>
      <c r="J171" s="26" t="str">
        <f t="shared" si="2"/>
        <v/>
      </c>
      <c r="K171" s="26" t="str">
        <f>IF($A171="","",COUNTIFS(TblApplications[ID],$A171,TblApplications[Environnement],$B171,TblApplications[Couloir],$C171))</f>
        <v/>
      </c>
      <c r="L171" s="26" t="str">
        <f>IF($A171="","",IF(OR($B171="",$C171="",$F171="",$G171=""),"Données manquantes",IF(OR(AND($B171&lt;&gt;"PRD",$B171&lt;&gt;"NPRD")),"Environnement invalide",IF(COUNTIF(TblDynatrace[Clé],$J171)&gt;1,"Doublon (ID + env + couloir)",IF(OR(NOT(ISNUMBER($F171)),NOT(ISNUMBER($G171))),"Valeur non numérique",IF(MIN($F171,$G171)&lt;0,"Valeur négative",IF(AND($E171&lt;&gt;"",COUNTIFS(TblClusters[Cluster],$E171,TblClusters[Plateforme],"ROKS")&gt;0),"Cluster observé sur ROKS : extraction attendue depuis IKS",IF(AND($E171&lt;&gt;"",COUNTIFS(TblClusters[Cluster],$E171,TblClusters[Plateforme],"IKS")=0),"Cluster IKS inconnu (info)",IF($K171=0,"Aucun déploiement correspondant (info)","OK")))))))))</f>
        <v/>
      </c>
    </row>
    <row r="172" spans="1:12" x14ac:dyDescent="0.2">
      <c r="A172" s="59"/>
      <c r="B172" s="59"/>
      <c r="C172" s="59"/>
      <c r="D172" s="59"/>
      <c r="E172" s="59"/>
      <c r="F172" s="63"/>
      <c r="G172" s="63"/>
      <c r="H172" s="59"/>
      <c r="I172" s="64"/>
      <c r="J172" s="26" t="str">
        <f t="shared" si="2"/>
        <v/>
      </c>
      <c r="K172" s="26" t="str">
        <f>IF($A172="","",COUNTIFS(TblApplications[ID],$A172,TblApplications[Environnement],$B172,TblApplications[Couloir],$C172))</f>
        <v/>
      </c>
      <c r="L172" s="26" t="str">
        <f>IF($A172="","",IF(OR($B172="",$C172="",$F172="",$G172=""),"Données manquantes",IF(OR(AND($B172&lt;&gt;"PRD",$B172&lt;&gt;"NPRD")),"Environnement invalide",IF(COUNTIF(TblDynatrace[Clé],$J172)&gt;1,"Doublon (ID + env + couloir)",IF(OR(NOT(ISNUMBER($F172)),NOT(ISNUMBER($G172))),"Valeur non numérique",IF(MIN($F172,$G172)&lt;0,"Valeur négative",IF(AND($E172&lt;&gt;"",COUNTIFS(TblClusters[Cluster],$E172,TblClusters[Plateforme],"ROKS")&gt;0),"Cluster observé sur ROKS : extraction attendue depuis IKS",IF(AND($E172&lt;&gt;"",COUNTIFS(TblClusters[Cluster],$E172,TblClusters[Plateforme],"IKS")=0),"Cluster IKS inconnu (info)",IF($K172=0,"Aucun déploiement correspondant (info)","OK")))))))))</f>
        <v/>
      </c>
    </row>
    <row r="173" spans="1:12" x14ac:dyDescent="0.2">
      <c r="A173" s="59"/>
      <c r="B173" s="59"/>
      <c r="C173" s="59"/>
      <c r="D173" s="59"/>
      <c r="E173" s="59"/>
      <c r="F173" s="63"/>
      <c r="G173" s="63"/>
      <c r="H173" s="59"/>
      <c r="I173" s="64"/>
      <c r="J173" s="26" t="str">
        <f t="shared" si="2"/>
        <v/>
      </c>
      <c r="K173" s="26" t="str">
        <f>IF($A173="","",COUNTIFS(TblApplications[ID],$A173,TblApplications[Environnement],$B173,TblApplications[Couloir],$C173))</f>
        <v/>
      </c>
      <c r="L173" s="26" t="str">
        <f>IF($A173="","",IF(OR($B173="",$C173="",$F173="",$G173=""),"Données manquantes",IF(OR(AND($B173&lt;&gt;"PRD",$B173&lt;&gt;"NPRD")),"Environnement invalide",IF(COUNTIF(TblDynatrace[Clé],$J173)&gt;1,"Doublon (ID + env + couloir)",IF(OR(NOT(ISNUMBER($F173)),NOT(ISNUMBER($G173))),"Valeur non numérique",IF(MIN($F173,$G173)&lt;0,"Valeur négative",IF(AND($E173&lt;&gt;"",COUNTIFS(TblClusters[Cluster],$E173,TblClusters[Plateforme],"ROKS")&gt;0),"Cluster observé sur ROKS : extraction attendue depuis IKS",IF(AND($E173&lt;&gt;"",COUNTIFS(TblClusters[Cluster],$E173,TblClusters[Plateforme],"IKS")=0),"Cluster IKS inconnu (info)",IF($K173=0,"Aucun déploiement correspondant (info)","OK")))))))))</f>
        <v/>
      </c>
    </row>
    <row r="174" spans="1:12" x14ac:dyDescent="0.2">
      <c r="A174" s="59"/>
      <c r="B174" s="59"/>
      <c r="C174" s="59"/>
      <c r="D174" s="59"/>
      <c r="E174" s="59"/>
      <c r="F174" s="63"/>
      <c r="G174" s="63"/>
      <c r="H174" s="59"/>
      <c r="I174" s="64"/>
      <c r="J174" s="26" t="str">
        <f t="shared" si="2"/>
        <v/>
      </c>
      <c r="K174" s="26" t="str">
        <f>IF($A174="","",COUNTIFS(TblApplications[ID],$A174,TblApplications[Environnement],$B174,TblApplications[Couloir],$C174))</f>
        <v/>
      </c>
      <c r="L174" s="26" t="str">
        <f>IF($A174="","",IF(OR($B174="",$C174="",$F174="",$G174=""),"Données manquantes",IF(OR(AND($B174&lt;&gt;"PRD",$B174&lt;&gt;"NPRD")),"Environnement invalide",IF(COUNTIF(TblDynatrace[Clé],$J174)&gt;1,"Doublon (ID + env + couloir)",IF(OR(NOT(ISNUMBER($F174)),NOT(ISNUMBER($G174))),"Valeur non numérique",IF(MIN($F174,$G174)&lt;0,"Valeur négative",IF(AND($E174&lt;&gt;"",COUNTIFS(TblClusters[Cluster],$E174,TblClusters[Plateforme],"ROKS")&gt;0),"Cluster observé sur ROKS : extraction attendue depuis IKS",IF(AND($E174&lt;&gt;"",COUNTIFS(TblClusters[Cluster],$E174,TblClusters[Plateforme],"IKS")=0),"Cluster IKS inconnu (info)",IF($K174=0,"Aucun déploiement correspondant (info)","OK")))))))))</f>
        <v/>
      </c>
    </row>
    <row r="175" spans="1:12" x14ac:dyDescent="0.2">
      <c r="A175" s="59"/>
      <c r="B175" s="59"/>
      <c r="C175" s="59"/>
      <c r="D175" s="59"/>
      <c r="E175" s="59"/>
      <c r="F175" s="63"/>
      <c r="G175" s="63"/>
      <c r="H175" s="59"/>
      <c r="I175" s="64"/>
      <c r="J175" s="26" t="str">
        <f t="shared" si="2"/>
        <v/>
      </c>
      <c r="K175" s="26" t="str">
        <f>IF($A175="","",COUNTIFS(TblApplications[ID],$A175,TblApplications[Environnement],$B175,TblApplications[Couloir],$C175))</f>
        <v/>
      </c>
      <c r="L175" s="26" t="str">
        <f>IF($A175="","",IF(OR($B175="",$C175="",$F175="",$G175=""),"Données manquantes",IF(OR(AND($B175&lt;&gt;"PRD",$B175&lt;&gt;"NPRD")),"Environnement invalide",IF(COUNTIF(TblDynatrace[Clé],$J175)&gt;1,"Doublon (ID + env + couloir)",IF(OR(NOT(ISNUMBER($F175)),NOT(ISNUMBER($G175))),"Valeur non numérique",IF(MIN($F175,$G175)&lt;0,"Valeur négative",IF(AND($E175&lt;&gt;"",COUNTIFS(TblClusters[Cluster],$E175,TblClusters[Plateforme],"ROKS")&gt;0),"Cluster observé sur ROKS : extraction attendue depuis IKS",IF(AND($E175&lt;&gt;"",COUNTIFS(TblClusters[Cluster],$E175,TblClusters[Plateforme],"IKS")=0),"Cluster IKS inconnu (info)",IF($K175=0,"Aucun déploiement correspondant (info)","OK")))))))))</f>
        <v/>
      </c>
    </row>
    <row r="176" spans="1:12" x14ac:dyDescent="0.2">
      <c r="A176" s="59"/>
      <c r="B176" s="59"/>
      <c r="C176" s="59"/>
      <c r="D176" s="59"/>
      <c r="E176" s="59"/>
      <c r="F176" s="63"/>
      <c r="G176" s="63"/>
      <c r="H176" s="59"/>
      <c r="I176" s="64"/>
      <c r="J176" s="26" t="str">
        <f t="shared" si="2"/>
        <v/>
      </c>
      <c r="K176" s="26" t="str">
        <f>IF($A176="","",COUNTIFS(TblApplications[ID],$A176,TblApplications[Environnement],$B176,TblApplications[Couloir],$C176))</f>
        <v/>
      </c>
      <c r="L176" s="26" t="str">
        <f>IF($A176="","",IF(OR($B176="",$C176="",$F176="",$G176=""),"Données manquantes",IF(OR(AND($B176&lt;&gt;"PRD",$B176&lt;&gt;"NPRD")),"Environnement invalide",IF(COUNTIF(TblDynatrace[Clé],$J176)&gt;1,"Doublon (ID + env + couloir)",IF(OR(NOT(ISNUMBER($F176)),NOT(ISNUMBER($G176))),"Valeur non numérique",IF(MIN($F176,$G176)&lt;0,"Valeur négative",IF(AND($E176&lt;&gt;"",COUNTIFS(TblClusters[Cluster],$E176,TblClusters[Plateforme],"ROKS")&gt;0),"Cluster observé sur ROKS : extraction attendue depuis IKS",IF(AND($E176&lt;&gt;"",COUNTIFS(TblClusters[Cluster],$E176,TblClusters[Plateforme],"IKS")=0),"Cluster IKS inconnu (info)",IF($K176=0,"Aucun déploiement correspondant (info)","OK")))))))))</f>
        <v/>
      </c>
    </row>
    <row r="177" spans="1:12" x14ac:dyDescent="0.2">
      <c r="A177" s="59"/>
      <c r="B177" s="59"/>
      <c r="C177" s="59"/>
      <c r="D177" s="59"/>
      <c r="E177" s="59"/>
      <c r="F177" s="63"/>
      <c r="G177" s="63"/>
      <c r="H177" s="59"/>
      <c r="I177" s="64"/>
      <c r="J177" s="26" t="str">
        <f t="shared" si="2"/>
        <v/>
      </c>
      <c r="K177" s="26" t="str">
        <f>IF($A177="","",COUNTIFS(TblApplications[ID],$A177,TblApplications[Environnement],$B177,TblApplications[Couloir],$C177))</f>
        <v/>
      </c>
      <c r="L177" s="26" t="str">
        <f>IF($A177="","",IF(OR($B177="",$C177="",$F177="",$G177=""),"Données manquantes",IF(OR(AND($B177&lt;&gt;"PRD",$B177&lt;&gt;"NPRD")),"Environnement invalide",IF(COUNTIF(TblDynatrace[Clé],$J177)&gt;1,"Doublon (ID + env + couloir)",IF(OR(NOT(ISNUMBER($F177)),NOT(ISNUMBER($G177))),"Valeur non numérique",IF(MIN($F177,$G177)&lt;0,"Valeur négative",IF(AND($E177&lt;&gt;"",COUNTIFS(TblClusters[Cluster],$E177,TblClusters[Plateforme],"ROKS")&gt;0),"Cluster observé sur ROKS : extraction attendue depuis IKS",IF(AND($E177&lt;&gt;"",COUNTIFS(TblClusters[Cluster],$E177,TblClusters[Plateforme],"IKS")=0),"Cluster IKS inconnu (info)",IF($K177=0,"Aucun déploiement correspondant (info)","OK")))))))))</f>
        <v/>
      </c>
    </row>
    <row r="178" spans="1:12" x14ac:dyDescent="0.2">
      <c r="A178" s="59"/>
      <c r="B178" s="59"/>
      <c r="C178" s="59"/>
      <c r="D178" s="59"/>
      <c r="E178" s="59"/>
      <c r="F178" s="63"/>
      <c r="G178" s="63"/>
      <c r="H178" s="59"/>
      <c r="I178" s="64"/>
      <c r="J178" s="26" t="str">
        <f t="shared" si="2"/>
        <v/>
      </c>
      <c r="K178" s="26" t="str">
        <f>IF($A178="","",COUNTIFS(TblApplications[ID],$A178,TblApplications[Environnement],$B178,TblApplications[Couloir],$C178))</f>
        <v/>
      </c>
      <c r="L178" s="26" t="str">
        <f>IF($A178="","",IF(OR($B178="",$C178="",$F178="",$G178=""),"Données manquantes",IF(OR(AND($B178&lt;&gt;"PRD",$B178&lt;&gt;"NPRD")),"Environnement invalide",IF(COUNTIF(TblDynatrace[Clé],$J178)&gt;1,"Doublon (ID + env + couloir)",IF(OR(NOT(ISNUMBER($F178)),NOT(ISNUMBER($G178))),"Valeur non numérique",IF(MIN($F178,$G178)&lt;0,"Valeur négative",IF(AND($E178&lt;&gt;"",COUNTIFS(TblClusters[Cluster],$E178,TblClusters[Plateforme],"ROKS")&gt;0),"Cluster observé sur ROKS : extraction attendue depuis IKS",IF(AND($E178&lt;&gt;"",COUNTIFS(TblClusters[Cluster],$E178,TblClusters[Plateforme],"IKS")=0),"Cluster IKS inconnu (info)",IF($K178=0,"Aucun déploiement correspondant (info)","OK")))))))))</f>
        <v/>
      </c>
    </row>
    <row r="179" spans="1:12" x14ac:dyDescent="0.2">
      <c r="A179" s="59"/>
      <c r="B179" s="59"/>
      <c r="C179" s="59"/>
      <c r="D179" s="59"/>
      <c r="E179" s="59"/>
      <c r="F179" s="63"/>
      <c r="G179" s="63"/>
      <c r="H179" s="59"/>
      <c r="I179" s="64"/>
      <c r="J179" s="26" t="str">
        <f t="shared" si="2"/>
        <v/>
      </c>
      <c r="K179" s="26" t="str">
        <f>IF($A179="","",COUNTIFS(TblApplications[ID],$A179,TblApplications[Environnement],$B179,TblApplications[Couloir],$C179))</f>
        <v/>
      </c>
      <c r="L179" s="26" t="str">
        <f>IF($A179="","",IF(OR($B179="",$C179="",$F179="",$G179=""),"Données manquantes",IF(OR(AND($B179&lt;&gt;"PRD",$B179&lt;&gt;"NPRD")),"Environnement invalide",IF(COUNTIF(TblDynatrace[Clé],$J179)&gt;1,"Doublon (ID + env + couloir)",IF(OR(NOT(ISNUMBER($F179)),NOT(ISNUMBER($G179))),"Valeur non numérique",IF(MIN($F179,$G179)&lt;0,"Valeur négative",IF(AND($E179&lt;&gt;"",COUNTIFS(TblClusters[Cluster],$E179,TblClusters[Plateforme],"ROKS")&gt;0),"Cluster observé sur ROKS : extraction attendue depuis IKS",IF(AND($E179&lt;&gt;"",COUNTIFS(TblClusters[Cluster],$E179,TblClusters[Plateforme],"IKS")=0),"Cluster IKS inconnu (info)",IF($K179=0,"Aucun déploiement correspondant (info)","OK")))))))))</f>
        <v/>
      </c>
    </row>
    <row r="180" spans="1:12" x14ac:dyDescent="0.2">
      <c r="A180" s="59"/>
      <c r="B180" s="59"/>
      <c r="C180" s="59"/>
      <c r="D180" s="59"/>
      <c r="E180" s="59"/>
      <c r="F180" s="63"/>
      <c r="G180" s="63"/>
      <c r="H180" s="59"/>
      <c r="I180" s="64"/>
      <c r="J180" s="26" t="str">
        <f t="shared" si="2"/>
        <v/>
      </c>
      <c r="K180" s="26" t="str">
        <f>IF($A180="","",COUNTIFS(TblApplications[ID],$A180,TblApplications[Environnement],$B180,TblApplications[Couloir],$C180))</f>
        <v/>
      </c>
      <c r="L180" s="26" t="str">
        <f>IF($A180="","",IF(OR($B180="",$C180="",$F180="",$G180=""),"Données manquantes",IF(OR(AND($B180&lt;&gt;"PRD",$B180&lt;&gt;"NPRD")),"Environnement invalide",IF(COUNTIF(TblDynatrace[Clé],$J180)&gt;1,"Doublon (ID + env + couloir)",IF(OR(NOT(ISNUMBER($F180)),NOT(ISNUMBER($G180))),"Valeur non numérique",IF(MIN($F180,$G180)&lt;0,"Valeur négative",IF(AND($E180&lt;&gt;"",COUNTIFS(TblClusters[Cluster],$E180,TblClusters[Plateforme],"ROKS")&gt;0),"Cluster observé sur ROKS : extraction attendue depuis IKS",IF(AND($E180&lt;&gt;"",COUNTIFS(TblClusters[Cluster],$E180,TblClusters[Plateforme],"IKS")=0),"Cluster IKS inconnu (info)",IF($K180=0,"Aucun déploiement correspondant (info)","OK")))))))))</f>
        <v/>
      </c>
    </row>
    <row r="181" spans="1:12" x14ac:dyDescent="0.2">
      <c r="A181" s="59"/>
      <c r="B181" s="59"/>
      <c r="C181" s="59"/>
      <c r="D181" s="59"/>
      <c r="E181" s="59"/>
      <c r="F181" s="63"/>
      <c r="G181" s="63"/>
      <c r="H181" s="59"/>
      <c r="I181" s="64"/>
      <c r="J181" s="26" t="str">
        <f t="shared" si="2"/>
        <v/>
      </c>
      <c r="K181" s="26" t="str">
        <f>IF($A181="","",COUNTIFS(TblApplications[ID],$A181,TblApplications[Environnement],$B181,TblApplications[Couloir],$C181))</f>
        <v/>
      </c>
      <c r="L181" s="26" t="str">
        <f>IF($A181="","",IF(OR($B181="",$C181="",$F181="",$G181=""),"Données manquantes",IF(OR(AND($B181&lt;&gt;"PRD",$B181&lt;&gt;"NPRD")),"Environnement invalide",IF(COUNTIF(TblDynatrace[Clé],$J181)&gt;1,"Doublon (ID + env + couloir)",IF(OR(NOT(ISNUMBER($F181)),NOT(ISNUMBER($G181))),"Valeur non numérique",IF(MIN($F181,$G181)&lt;0,"Valeur négative",IF(AND($E181&lt;&gt;"",COUNTIFS(TblClusters[Cluster],$E181,TblClusters[Plateforme],"ROKS")&gt;0),"Cluster observé sur ROKS : extraction attendue depuis IKS",IF(AND($E181&lt;&gt;"",COUNTIFS(TblClusters[Cluster],$E181,TblClusters[Plateforme],"IKS")=0),"Cluster IKS inconnu (info)",IF($K181=0,"Aucun déploiement correspondant (info)","OK")))))))))</f>
        <v/>
      </c>
    </row>
    <row r="182" spans="1:12" x14ac:dyDescent="0.2">
      <c r="A182" s="59"/>
      <c r="B182" s="59"/>
      <c r="C182" s="59"/>
      <c r="D182" s="59"/>
      <c r="E182" s="59"/>
      <c r="F182" s="63"/>
      <c r="G182" s="63"/>
      <c r="H182" s="59"/>
      <c r="I182" s="64"/>
      <c r="J182" s="26" t="str">
        <f t="shared" si="2"/>
        <v/>
      </c>
      <c r="K182" s="26" t="str">
        <f>IF($A182="","",COUNTIFS(TblApplications[ID],$A182,TblApplications[Environnement],$B182,TblApplications[Couloir],$C182))</f>
        <v/>
      </c>
      <c r="L182" s="26" t="str">
        <f>IF($A182="","",IF(OR($B182="",$C182="",$F182="",$G182=""),"Données manquantes",IF(OR(AND($B182&lt;&gt;"PRD",$B182&lt;&gt;"NPRD")),"Environnement invalide",IF(COUNTIF(TblDynatrace[Clé],$J182)&gt;1,"Doublon (ID + env + couloir)",IF(OR(NOT(ISNUMBER($F182)),NOT(ISNUMBER($G182))),"Valeur non numérique",IF(MIN($F182,$G182)&lt;0,"Valeur négative",IF(AND($E182&lt;&gt;"",COUNTIFS(TblClusters[Cluster],$E182,TblClusters[Plateforme],"ROKS")&gt;0),"Cluster observé sur ROKS : extraction attendue depuis IKS",IF(AND($E182&lt;&gt;"",COUNTIFS(TblClusters[Cluster],$E182,TblClusters[Plateforme],"IKS")=0),"Cluster IKS inconnu (info)",IF($K182=0,"Aucun déploiement correspondant (info)","OK")))))))))</f>
        <v/>
      </c>
    </row>
    <row r="183" spans="1:12" x14ac:dyDescent="0.2">
      <c r="A183" s="59"/>
      <c r="B183" s="59"/>
      <c r="C183" s="59"/>
      <c r="D183" s="59"/>
      <c r="E183" s="59"/>
      <c r="F183" s="63"/>
      <c r="G183" s="63"/>
      <c r="H183" s="59"/>
      <c r="I183" s="64"/>
      <c r="J183" s="26" t="str">
        <f t="shared" si="2"/>
        <v/>
      </c>
      <c r="K183" s="26" t="str">
        <f>IF($A183="","",COUNTIFS(TblApplications[ID],$A183,TblApplications[Environnement],$B183,TblApplications[Couloir],$C183))</f>
        <v/>
      </c>
      <c r="L183" s="26" t="str">
        <f>IF($A183="","",IF(OR($B183="",$C183="",$F183="",$G183=""),"Données manquantes",IF(OR(AND($B183&lt;&gt;"PRD",$B183&lt;&gt;"NPRD")),"Environnement invalide",IF(COUNTIF(TblDynatrace[Clé],$J183)&gt;1,"Doublon (ID + env + couloir)",IF(OR(NOT(ISNUMBER($F183)),NOT(ISNUMBER($G183))),"Valeur non numérique",IF(MIN($F183,$G183)&lt;0,"Valeur négative",IF(AND($E183&lt;&gt;"",COUNTIFS(TblClusters[Cluster],$E183,TblClusters[Plateforme],"ROKS")&gt;0),"Cluster observé sur ROKS : extraction attendue depuis IKS",IF(AND($E183&lt;&gt;"",COUNTIFS(TblClusters[Cluster],$E183,TblClusters[Plateforme],"IKS")=0),"Cluster IKS inconnu (info)",IF($K183=0,"Aucun déploiement correspondant (info)","OK")))))))))</f>
        <v/>
      </c>
    </row>
    <row r="184" spans="1:12" x14ac:dyDescent="0.2">
      <c r="A184" s="59"/>
      <c r="B184" s="59"/>
      <c r="C184" s="59"/>
      <c r="D184" s="59"/>
      <c r="E184" s="59"/>
      <c r="F184" s="63"/>
      <c r="G184" s="63"/>
      <c r="H184" s="59"/>
      <c r="I184" s="64"/>
      <c r="J184" s="26" t="str">
        <f t="shared" si="2"/>
        <v/>
      </c>
      <c r="K184" s="26" t="str">
        <f>IF($A184="","",COUNTIFS(TblApplications[ID],$A184,TblApplications[Environnement],$B184,TblApplications[Couloir],$C184))</f>
        <v/>
      </c>
      <c r="L184" s="26" t="str">
        <f>IF($A184="","",IF(OR($B184="",$C184="",$F184="",$G184=""),"Données manquantes",IF(OR(AND($B184&lt;&gt;"PRD",$B184&lt;&gt;"NPRD")),"Environnement invalide",IF(COUNTIF(TblDynatrace[Clé],$J184)&gt;1,"Doublon (ID + env + couloir)",IF(OR(NOT(ISNUMBER($F184)),NOT(ISNUMBER($G184))),"Valeur non numérique",IF(MIN($F184,$G184)&lt;0,"Valeur négative",IF(AND($E184&lt;&gt;"",COUNTIFS(TblClusters[Cluster],$E184,TblClusters[Plateforme],"ROKS")&gt;0),"Cluster observé sur ROKS : extraction attendue depuis IKS",IF(AND($E184&lt;&gt;"",COUNTIFS(TblClusters[Cluster],$E184,TblClusters[Plateforme],"IKS")=0),"Cluster IKS inconnu (info)",IF($K184=0,"Aucun déploiement correspondant (info)","OK")))))))))</f>
        <v/>
      </c>
    </row>
    <row r="185" spans="1:12" x14ac:dyDescent="0.2">
      <c r="A185" s="59"/>
      <c r="B185" s="59"/>
      <c r="C185" s="59"/>
      <c r="D185" s="59"/>
      <c r="E185" s="59"/>
      <c r="F185" s="63"/>
      <c r="G185" s="63"/>
      <c r="H185" s="59"/>
      <c r="I185" s="64"/>
      <c r="J185" s="26" t="str">
        <f t="shared" si="2"/>
        <v/>
      </c>
      <c r="K185" s="26" t="str">
        <f>IF($A185="","",COUNTIFS(TblApplications[ID],$A185,TblApplications[Environnement],$B185,TblApplications[Couloir],$C185))</f>
        <v/>
      </c>
      <c r="L185" s="26" t="str">
        <f>IF($A185="","",IF(OR($B185="",$C185="",$F185="",$G185=""),"Données manquantes",IF(OR(AND($B185&lt;&gt;"PRD",$B185&lt;&gt;"NPRD")),"Environnement invalide",IF(COUNTIF(TblDynatrace[Clé],$J185)&gt;1,"Doublon (ID + env + couloir)",IF(OR(NOT(ISNUMBER($F185)),NOT(ISNUMBER($G185))),"Valeur non numérique",IF(MIN($F185,$G185)&lt;0,"Valeur négative",IF(AND($E185&lt;&gt;"",COUNTIFS(TblClusters[Cluster],$E185,TblClusters[Plateforme],"ROKS")&gt;0),"Cluster observé sur ROKS : extraction attendue depuis IKS",IF(AND($E185&lt;&gt;"",COUNTIFS(TblClusters[Cluster],$E185,TblClusters[Plateforme],"IKS")=0),"Cluster IKS inconnu (info)",IF($K185=0,"Aucun déploiement correspondant (info)","OK")))))))))</f>
        <v/>
      </c>
    </row>
    <row r="186" spans="1:12" x14ac:dyDescent="0.2">
      <c r="A186" s="59"/>
      <c r="B186" s="59"/>
      <c r="C186" s="59"/>
      <c r="D186" s="59"/>
      <c r="E186" s="59"/>
      <c r="F186" s="63"/>
      <c r="G186" s="63"/>
      <c r="H186" s="59"/>
      <c r="I186" s="64"/>
      <c r="J186" s="26" t="str">
        <f t="shared" si="2"/>
        <v/>
      </c>
      <c r="K186" s="26" t="str">
        <f>IF($A186="","",COUNTIFS(TblApplications[ID],$A186,TblApplications[Environnement],$B186,TblApplications[Couloir],$C186))</f>
        <v/>
      </c>
      <c r="L186" s="26" t="str">
        <f>IF($A186="","",IF(OR($B186="",$C186="",$F186="",$G186=""),"Données manquantes",IF(OR(AND($B186&lt;&gt;"PRD",$B186&lt;&gt;"NPRD")),"Environnement invalide",IF(COUNTIF(TblDynatrace[Clé],$J186)&gt;1,"Doublon (ID + env + couloir)",IF(OR(NOT(ISNUMBER($F186)),NOT(ISNUMBER($G186))),"Valeur non numérique",IF(MIN($F186,$G186)&lt;0,"Valeur négative",IF(AND($E186&lt;&gt;"",COUNTIFS(TblClusters[Cluster],$E186,TblClusters[Plateforme],"ROKS")&gt;0),"Cluster observé sur ROKS : extraction attendue depuis IKS",IF(AND($E186&lt;&gt;"",COUNTIFS(TblClusters[Cluster],$E186,TblClusters[Plateforme],"IKS")=0),"Cluster IKS inconnu (info)",IF($K186=0,"Aucun déploiement correspondant (info)","OK")))))))))</f>
        <v/>
      </c>
    </row>
    <row r="187" spans="1:12" x14ac:dyDescent="0.2">
      <c r="A187" s="59"/>
      <c r="B187" s="59"/>
      <c r="C187" s="59"/>
      <c r="D187" s="59"/>
      <c r="E187" s="59"/>
      <c r="F187" s="63"/>
      <c r="G187" s="63"/>
      <c r="H187" s="59"/>
      <c r="I187" s="64"/>
      <c r="J187" s="26" t="str">
        <f t="shared" si="2"/>
        <v/>
      </c>
      <c r="K187" s="26" t="str">
        <f>IF($A187="","",COUNTIFS(TblApplications[ID],$A187,TblApplications[Environnement],$B187,TblApplications[Couloir],$C187))</f>
        <v/>
      </c>
      <c r="L187" s="26" t="str">
        <f>IF($A187="","",IF(OR($B187="",$C187="",$F187="",$G187=""),"Données manquantes",IF(OR(AND($B187&lt;&gt;"PRD",$B187&lt;&gt;"NPRD")),"Environnement invalide",IF(COUNTIF(TblDynatrace[Clé],$J187)&gt;1,"Doublon (ID + env + couloir)",IF(OR(NOT(ISNUMBER($F187)),NOT(ISNUMBER($G187))),"Valeur non numérique",IF(MIN($F187,$G187)&lt;0,"Valeur négative",IF(AND($E187&lt;&gt;"",COUNTIFS(TblClusters[Cluster],$E187,TblClusters[Plateforme],"ROKS")&gt;0),"Cluster observé sur ROKS : extraction attendue depuis IKS",IF(AND($E187&lt;&gt;"",COUNTIFS(TblClusters[Cluster],$E187,TblClusters[Plateforme],"IKS")=0),"Cluster IKS inconnu (info)",IF($K187=0,"Aucun déploiement correspondant (info)","OK")))))))))</f>
        <v/>
      </c>
    </row>
    <row r="188" spans="1:12" x14ac:dyDescent="0.2">
      <c r="A188" s="59"/>
      <c r="B188" s="59"/>
      <c r="C188" s="59"/>
      <c r="D188" s="59"/>
      <c r="E188" s="59"/>
      <c r="F188" s="63"/>
      <c r="G188" s="63"/>
      <c r="H188" s="59"/>
      <c r="I188" s="64"/>
      <c r="J188" s="26" t="str">
        <f t="shared" si="2"/>
        <v/>
      </c>
      <c r="K188" s="26" t="str">
        <f>IF($A188="","",COUNTIFS(TblApplications[ID],$A188,TblApplications[Environnement],$B188,TblApplications[Couloir],$C188))</f>
        <v/>
      </c>
      <c r="L188" s="26" t="str">
        <f>IF($A188="","",IF(OR($B188="",$C188="",$F188="",$G188=""),"Données manquantes",IF(OR(AND($B188&lt;&gt;"PRD",$B188&lt;&gt;"NPRD")),"Environnement invalide",IF(COUNTIF(TblDynatrace[Clé],$J188)&gt;1,"Doublon (ID + env + couloir)",IF(OR(NOT(ISNUMBER($F188)),NOT(ISNUMBER($G188))),"Valeur non numérique",IF(MIN($F188,$G188)&lt;0,"Valeur négative",IF(AND($E188&lt;&gt;"",COUNTIFS(TblClusters[Cluster],$E188,TblClusters[Plateforme],"ROKS")&gt;0),"Cluster observé sur ROKS : extraction attendue depuis IKS",IF(AND($E188&lt;&gt;"",COUNTIFS(TblClusters[Cluster],$E188,TblClusters[Plateforme],"IKS")=0),"Cluster IKS inconnu (info)",IF($K188=0,"Aucun déploiement correspondant (info)","OK")))))))))</f>
        <v/>
      </c>
    </row>
    <row r="189" spans="1:12" x14ac:dyDescent="0.2">
      <c r="A189" s="59"/>
      <c r="B189" s="59"/>
      <c r="C189" s="59"/>
      <c r="D189" s="59"/>
      <c r="E189" s="59"/>
      <c r="F189" s="63"/>
      <c r="G189" s="63"/>
      <c r="H189" s="59"/>
      <c r="I189" s="64"/>
      <c r="J189" s="26" t="str">
        <f t="shared" si="2"/>
        <v/>
      </c>
      <c r="K189" s="26" t="str">
        <f>IF($A189="","",COUNTIFS(TblApplications[ID],$A189,TblApplications[Environnement],$B189,TblApplications[Couloir],$C189))</f>
        <v/>
      </c>
      <c r="L189" s="26" t="str">
        <f>IF($A189="","",IF(OR($B189="",$C189="",$F189="",$G189=""),"Données manquantes",IF(OR(AND($B189&lt;&gt;"PRD",$B189&lt;&gt;"NPRD")),"Environnement invalide",IF(COUNTIF(TblDynatrace[Clé],$J189)&gt;1,"Doublon (ID + env + couloir)",IF(OR(NOT(ISNUMBER($F189)),NOT(ISNUMBER($G189))),"Valeur non numérique",IF(MIN($F189,$G189)&lt;0,"Valeur négative",IF(AND($E189&lt;&gt;"",COUNTIFS(TblClusters[Cluster],$E189,TblClusters[Plateforme],"ROKS")&gt;0),"Cluster observé sur ROKS : extraction attendue depuis IKS",IF(AND($E189&lt;&gt;"",COUNTIFS(TblClusters[Cluster],$E189,TblClusters[Plateforme],"IKS")=0),"Cluster IKS inconnu (info)",IF($K189=0,"Aucun déploiement correspondant (info)","OK")))))))))</f>
        <v/>
      </c>
    </row>
    <row r="190" spans="1:12" x14ac:dyDescent="0.2">
      <c r="A190" s="59"/>
      <c r="B190" s="59"/>
      <c r="C190" s="59"/>
      <c r="D190" s="59"/>
      <c r="E190" s="59"/>
      <c r="F190" s="63"/>
      <c r="G190" s="63"/>
      <c r="H190" s="59"/>
      <c r="I190" s="64"/>
      <c r="J190" s="26" t="str">
        <f t="shared" si="2"/>
        <v/>
      </c>
      <c r="K190" s="26" t="str">
        <f>IF($A190="","",COUNTIFS(TblApplications[ID],$A190,TblApplications[Environnement],$B190,TblApplications[Couloir],$C190))</f>
        <v/>
      </c>
      <c r="L190" s="26" t="str">
        <f>IF($A190="","",IF(OR($B190="",$C190="",$F190="",$G190=""),"Données manquantes",IF(OR(AND($B190&lt;&gt;"PRD",$B190&lt;&gt;"NPRD")),"Environnement invalide",IF(COUNTIF(TblDynatrace[Clé],$J190)&gt;1,"Doublon (ID + env + couloir)",IF(OR(NOT(ISNUMBER($F190)),NOT(ISNUMBER($G190))),"Valeur non numérique",IF(MIN($F190,$G190)&lt;0,"Valeur négative",IF(AND($E190&lt;&gt;"",COUNTIFS(TblClusters[Cluster],$E190,TblClusters[Plateforme],"ROKS")&gt;0),"Cluster observé sur ROKS : extraction attendue depuis IKS",IF(AND($E190&lt;&gt;"",COUNTIFS(TblClusters[Cluster],$E190,TblClusters[Plateforme],"IKS")=0),"Cluster IKS inconnu (info)",IF($K190=0,"Aucun déploiement correspondant (info)","OK")))))))))</f>
        <v/>
      </c>
    </row>
    <row r="191" spans="1:12" x14ac:dyDescent="0.2">
      <c r="A191" s="59"/>
      <c r="B191" s="59"/>
      <c r="C191" s="59"/>
      <c r="D191" s="59"/>
      <c r="E191" s="59"/>
      <c r="F191" s="63"/>
      <c r="G191" s="63"/>
      <c r="H191" s="59"/>
      <c r="I191" s="64"/>
      <c r="J191" s="26" t="str">
        <f t="shared" si="2"/>
        <v/>
      </c>
      <c r="K191" s="26" t="str">
        <f>IF($A191="","",COUNTIFS(TblApplications[ID],$A191,TblApplications[Environnement],$B191,TblApplications[Couloir],$C191))</f>
        <v/>
      </c>
      <c r="L191" s="26" t="str">
        <f>IF($A191="","",IF(OR($B191="",$C191="",$F191="",$G191=""),"Données manquantes",IF(OR(AND($B191&lt;&gt;"PRD",$B191&lt;&gt;"NPRD")),"Environnement invalide",IF(COUNTIF(TblDynatrace[Clé],$J191)&gt;1,"Doublon (ID + env + couloir)",IF(OR(NOT(ISNUMBER($F191)),NOT(ISNUMBER($G191))),"Valeur non numérique",IF(MIN($F191,$G191)&lt;0,"Valeur négative",IF(AND($E191&lt;&gt;"",COUNTIFS(TblClusters[Cluster],$E191,TblClusters[Plateforme],"ROKS")&gt;0),"Cluster observé sur ROKS : extraction attendue depuis IKS",IF(AND($E191&lt;&gt;"",COUNTIFS(TblClusters[Cluster],$E191,TblClusters[Plateforme],"IKS")=0),"Cluster IKS inconnu (info)",IF($K191=0,"Aucun déploiement correspondant (info)","OK")))))))))</f>
        <v/>
      </c>
    </row>
    <row r="192" spans="1:12" x14ac:dyDescent="0.2">
      <c r="A192" s="59"/>
      <c r="B192" s="59"/>
      <c r="C192" s="59"/>
      <c r="D192" s="59"/>
      <c r="E192" s="59"/>
      <c r="F192" s="63"/>
      <c r="G192" s="63"/>
      <c r="H192" s="59"/>
      <c r="I192" s="64"/>
      <c r="J192" s="26" t="str">
        <f t="shared" si="2"/>
        <v/>
      </c>
      <c r="K192" s="26" t="str">
        <f>IF($A192="","",COUNTIFS(TblApplications[ID],$A192,TblApplications[Environnement],$B192,TblApplications[Couloir],$C192))</f>
        <v/>
      </c>
      <c r="L192" s="26" t="str">
        <f>IF($A192="","",IF(OR($B192="",$C192="",$F192="",$G192=""),"Données manquantes",IF(OR(AND($B192&lt;&gt;"PRD",$B192&lt;&gt;"NPRD")),"Environnement invalide",IF(COUNTIF(TblDynatrace[Clé],$J192)&gt;1,"Doublon (ID + env + couloir)",IF(OR(NOT(ISNUMBER($F192)),NOT(ISNUMBER($G192))),"Valeur non numérique",IF(MIN($F192,$G192)&lt;0,"Valeur négative",IF(AND($E192&lt;&gt;"",COUNTIFS(TblClusters[Cluster],$E192,TblClusters[Plateforme],"ROKS")&gt;0),"Cluster observé sur ROKS : extraction attendue depuis IKS",IF(AND($E192&lt;&gt;"",COUNTIFS(TblClusters[Cluster],$E192,TblClusters[Plateforme],"IKS")=0),"Cluster IKS inconnu (info)",IF($K192=0,"Aucun déploiement correspondant (info)","OK")))))))))</f>
        <v/>
      </c>
    </row>
    <row r="193" spans="1:12" x14ac:dyDescent="0.2">
      <c r="A193" s="59"/>
      <c r="B193" s="59"/>
      <c r="C193" s="59"/>
      <c r="D193" s="59"/>
      <c r="E193" s="59"/>
      <c r="F193" s="63"/>
      <c r="G193" s="63"/>
      <c r="H193" s="59"/>
      <c r="I193" s="64"/>
      <c r="J193" s="26" t="str">
        <f t="shared" si="2"/>
        <v/>
      </c>
      <c r="K193" s="26" t="str">
        <f>IF($A193="","",COUNTIFS(TblApplications[ID],$A193,TblApplications[Environnement],$B193,TblApplications[Couloir],$C193))</f>
        <v/>
      </c>
      <c r="L193" s="26" t="str">
        <f>IF($A193="","",IF(OR($B193="",$C193="",$F193="",$G193=""),"Données manquantes",IF(OR(AND($B193&lt;&gt;"PRD",$B193&lt;&gt;"NPRD")),"Environnement invalide",IF(COUNTIF(TblDynatrace[Clé],$J193)&gt;1,"Doublon (ID + env + couloir)",IF(OR(NOT(ISNUMBER($F193)),NOT(ISNUMBER($G193))),"Valeur non numérique",IF(MIN($F193,$G193)&lt;0,"Valeur négative",IF(AND($E193&lt;&gt;"",COUNTIFS(TblClusters[Cluster],$E193,TblClusters[Plateforme],"ROKS")&gt;0),"Cluster observé sur ROKS : extraction attendue depuis IKS",IF(AND($E193&lt;&gt;"",COUNTIFS(TblClusters[Cluster],$E193,TblClusters[Plateforme],"IKS")=0),"Cluster IKS inconnu (info)",IF($K193=0,"Aucun déploiement correspondant (info)","OK")))))))))</f>
        <v/>
      </c>
    </row>
    <row r="194" spans="1:12" x14ac:dyDescent="0.2">
      <c r="A194" s="59"/>
      <c r="B194" s="59"/>
      <c r="C194" s="59"/>
      <c r="D194" s="59"/>
      <c r="E194" s="59"/>
      <c r="F194" s="63"/>
      <c r="G194" s="63"/>
      <c r="H194" s="59"/>
      <c r="I194" s="64"/>
      <c r="J194" s="26" t="str">
        <f t="shared" si="2"/>
        <v/>
      </c>
      <c r="K194" s="26" t="str">
        <f>IF($A194="","",COUNTIFS(TblApplications[ID],$A194,TblApplications[Environnement],$B194,TblApplications[Couloir],$C194))</f>
        <v/>
      </c>
      <c r="L194" s="26" t="str">
        <f>IF($A194="","",IF(OR($B194="",$C194="",$F194="",$G194=""),"Données manquantes",IF(OR(AND($B194&lt;&gt;"PRD",$B194&lt;&gt;"NPRD")),"Environnement invalide",IF(COUNTIF(TblDynatrace[Clé],$J194)&gt;1,"Doublon (ID + env + couloir)",IF(OR(NOT(ISNUMBER($F194)),NOT(ISNUMBER($G194))),"Valeur non numérique",IF(MIN($F194,$G194)&lt;0,"Valeur négative",IF(AND($E194&lt;&gt;"",COUNTIFS(TblClusters[Cluster],$E194,TblClusters[Plateforme],"ROKS")&gt;0),"Cluster observé sur ROKS : extraction attendue depuis IKS",IF(AND($E194&lt;&gt;"",COUNTIFS(TblClusters[Cluster],$E194,TblClusters[Plateforme],"IKS")=0),"Cluster IKS inconnu (info)",IF($K194=0,"Aucun déploiement correspondant (info)","OK")))))))))</f>
        <v/>
      </c>
    </row>
    <row r="195" spans="1:12" x14ac:dyDescent="0.2">
      <c r="A195" s="59"/>
      <c r="B195" s="59"/>
      <c r="C195" s="59"/>
      <c r="D195" s="59"/>
      <c r="E195" s="59"/>
      <c r="F195" s="63"/>
      <c r="G195" s="63"/>
      <c r="H195" s="59"/>
      <c r="I195" s="64"/>
      <c r="J195" s="26" t="str">
        <f t="shared" si="2"/>
        <v/>
      </c>
      <c r="K195" s="26" t="str">
        <f>IF($A195="","",COUNTIFS(TblApplications[ID],$A195,TblApplications[Environnement],$B195,TblApplications[Couloir],$C195))</f>
        <v/>
      </c>
      <c r="L195" s="26" t="str">
        <f>IF($A195="","",IF(OR($B195="",$C195="",$F195="",$G195=""),"Données manquantes",IF(OR(AND($B195&lt;&gt;"PRD",$B195&lt;&gt;"NPRD")),"Environnement invalide",IF(COUNTIF(TblDynatrace[Clé],$J195)&gt;1,"Doublon (ID + env + couloir)",IF(OR(NOT(ISNUMBER($F195)),NOT(ISNUMBER($G195))),"Valeur non numérique",IF(MIN($F195,$G195)&lt;0,"Valeur négative",IF(AND($E195&lt;&gt;"",COUNTIFS(TblClusters[Cluster],$E195,TblClusters[Plateforme],"ROKS")&gt;0),"Cluster observé sur ROKS : extraction attendue depuis IKS",IF(AND($E195&lt;&gt;"",COUNTIFS(TblClusters[Cluster],$E195,TblClusters[Plateforme],"IKS")=0),"Cluster IKS inconnu (info)",IF($K195=0,"Aucun déploiement correspondant (info)","OK")))))))))</f>
        <v/>
      </c>
    </row>
    <row r="196" spans="1:12" x14ac:dyDescent="0.2">
      <c r="A196" s="59"/>
      <c r="B196" s="59"/>
      <c r="C196" s="59"/>
      <c r="D196" s="59"/>
      <c r="E196" s="59"/>
      <c r="F196" s="63"/>
      <c r="G196" s="63"/>
      <c r="H196" s="59"/>
      <c r="I196" s="64"/>
      <c r="J196" s="26" t="str">
        <f t="shared" si="2"/>
        <v/>
      </c>
      <c r="K196" s="26" t="str">
        <f>IF($A196="","",COUNTIFS(TblApplications[ID],$A196,TblApplications[Environnement],$B196,TblApplications[Couloir],$C196))</f>
        <v/>
      </c>
      <c r="L196" s="26" t="str">
        <f>IF($A196="","",IF(OR($B196="",$C196="",$F196="",$G196=""),"Données manquantes",IF(OR(AND($B196&lt;&gt;"PRD",$B196&lt;&gt;"NPRD")),"Environnement invalide",IF(COUNTIF(TblDynatrace[Clé],$J196)&gt;1,"Doublon (ID + env + couloir)",IF(OR(NOT(ISNUMBER($F196)),NOT(ISNUMBER($G196))),"Valeur non numérique",IF(MIN($F196,$G196)&lt;0,"Valeur négative",IF(AND($E196&lt;&gt;"",COUNTIFS(TblClusters[Cluster],$E196,TblClusters[Plateforme],"ROKS")&gt;0),"Cluster observé sur ROKS : extraction attendue depuis IKS",IF(AND($E196&lt;&gt;"",COUNTIFS(TblClusters[Cluster],$E196,TblClusters[Plateforme],"IKS")=0),"Cluster IKS inconnu (info)",IF($K196=0,"Aucun déploiement correspondant (info)","OK")))))))))</f>
        <v/>
      </c>
    </row>
    <row r="197" spans="1:12" x14ac:dyDescent="0.2">
      <c r="A197" s="59"/>
      <c r="B197" s="59"/>
      <c r="C197" s="59"/>
      <c r="D197" s="59"/>
      <c r="E197" s="59"/>
      <c r="F197" s="63"/>
      <c r="G197" s="63"/>
      <c r="H197" s="59"/>
      <c r="I197" s="64"/>
      <c r="J197" s="26" t="str">
        <f t="shared" si="2"/>
        <v/>
      </c>
      <c r="K197" s="26" t="str">
        <f>IF($A197="","",COUNTIFS(TblApplications[ID],$A197,TblApplications[Environnement],$B197,TblApplications[Couloir],$C197))</f>
        <v/>
      </c>
      <c r="L197" s="26" t="str">
        <f>IF($A197="","",IF(OR($B197="",$C197="",$F197="",$G197=""),"Données manquantes",IF(OR(AND($B197&lt;&gt;"PRD",$B197&lt;&gt;"NPRD")),"Environnement invalide",IF(COUNTIF(TblDynatrace[Clé],$J197)&gt;1,"Doublon (ID + env + couloir)",IF(OR(NOT(ISNUMBER($F197)),NOT(ISNUMBER($G197))),"Valeur non numérique",IF(MIN($F197,$G197)&lt;0,"Valeur négative",IF(AND($E197&lt;&gt;"",COUNTIFS(TblClusters[Cluster],$E197,TblClusters[Plateforme],"ROKS")&gt;0),"Cluster observé sur ROKS : extraction attendue depuis IKS",IF(AND($E197&lt;&gt;"",COUNTIFS(TblClusters[Cluster],$E197,TblClusters[Plateforme],"IKS")=0),"Cluster IKS inconnu (info)",IF($K197=0,"Aucun déploiement correspondant (info)","OK")))))))))</f>
        <v/>
      </c>
    </row>
    <row r="198" spans="1:12" x14ac:dyDescent="0.2">
      <c r="A198" s="59"/>
      <c r="B198" s="59"/>
      <c r="C198" s="59"/>
      <c r="D198" s="59"/>
      <c r="E198" s="59"/>
      <c r="F198" s="63"/>
      <c r="G198" s="63"/>
      <c r="H198" s="59"/>
      <c r="I198" s="64"/>
      <c r="J198" s="26" t="str">
        <f t="shared" ref="J198:J261" si="3">IF($A198="","",$A198&amp;"|"&amp;$B198&amp;"|"&amp;$C198)</f>
        <v/>
      </c>
      <c r="K198" s="26" t="str">
        <f>IF($A198="","",COUNTIFS(TblApplications[ID],$A198,TblApplications[Environnement],$B198,TblApplications[Couloir],$C198))</f>
        <v/>
      </c>
      <c r="L198" s="26" t="str">
        <f>IF($A198="","",IF(OR($B198="",$C198="",$F198="",$G198=""),"Données manquantes",IF(OR(AND($B198&lt;&gt;"PRD",$B198&lt;&gt;"NPRD")),"Environnement invalide",IF(COUNTIF(TblDynatrace[Clé],$J198)&gt;1,"Doublon (ID + env + couloir)",IF(OR(NOT(ISNUMBER($F198)),NOT(ISNUMBER($G198))),"Valeur non numérique",IF(MIN($F198,$G198)&lt;0,"Valeur négative",IF(AND($E198&lt;&gt;"",COUNTIFS(TblClusters[Cluster],$E198,TblClusters[Plateforme],"ROKS")&gt;0),"Cluster observé sur ROKS : extraction attendue depuis IKS",IF(AND($E198&lt;&gt;"",COUNTIFS(TblClusters[Cluster],$E198,TblClusters[Plateforme],"IKS")=0),"Cluster IKS inconnu (info)",IF($K198=0,"Aucun déploiement correspondant (info)","OK")))))))))</f>
        <v/>
      </c>
    </row>
    <row r="199" spans="1:12" x14ac:dyDescent="0.2">
      <c r="A199" s="59"/>
      <c r="B199" s="59"/>
      <c r="C199" s="59"/>
      <c r="D199" s="59"/>
      <c r="E199" s="59"/>
      <c r="F199" s="63"/>
      <c r="G199" s="63"/>
      <c r="H199" s="59"/>
      <c r="I199" s="64"/>
      <c r="J199" s="26" t="str">
        <f t="shared" si="3"/>
        <v/>
      </c>
      <c r="K199" s="26" t="str">
        <f>IF($A199="","",COUNTIFS(TblApplications[ID],$A199,TblApplications[Environnement],$B199,TblApplications[Couloir],$C199))</f>
        <v/>
      </c>
      <c r="L199" s="26" t="str">
        <f>IF($A199="","",IF(OR($B199="",$C199="",$F199="",$G199=""),"Données manquantes",IF(OR(AND($B199&lt;&gt;"PRD",$B199&lt;&gt;"NPRD")),"Environnement invalide",IF(COUNTIF(TblDynatrace[Clé],$J199)&gt;1,"Doublon (ID + env + couloir)",IF(OR(NOT(ISNUMBER($F199)),NOT(ISNUMBER($G199))),"Valeur non numérique",IF(MIN($F199,$G199)&lt;0,"Valeur négative",IF(AND($E199&lt;&gt;"",COUNTIFS(TblClusters[Cluster],$E199,TblClusters[Plateforme],"ROKS")&gt;0),"Cluster observé sur ROKS : extraction attendue depuis IKS",IF(AND($E199&lt;&gt;"",COUNTIFS(TblClusters[Cluster],$E199,TblClusters[Plateforme],"IKS")=0),"Cluster IKS inconnu (info)",IF($K199=0,"Aucun déploiement correspondant (info)","OK")))))))))</f>
        <v/>
      </c>
    </row>
    <row r="200" spans="1:12" x14ac:dyDescent="0.2">
      <c r="A200" s="59"/>
      <c r="B200" s="59"/>
      <c r="C200" s="59"/>
      <c r="D200" s="59"/>
      <c r="E200" s="59"/>
      <c r="F200" s="63"/>
      <c r="G200" s="63"/>
      <c r="H200" s="59"/>
      <c r="I200" s="64"/>
      <c r="J200" s="26" t="str">
        <f t="shared" si="3"/>
        <v/>
      </c>
      <c r="K200" s="26" t="str">
        <f>IF($A200="","",COUNTIFS(TblApplications[ID],$A200,TblApplications[Environnement],$B200,TblApplications[Couloir],$C200))</f>
        <v/>
      </c>
      <c r="L200" s="26" t="str">
        <f>IF($A200="","",IF(OR($B200="",$C200="",$F200="",$G200=""),"Données manquantes",IF(OR(AND($B200&lt;&gt;"PRD",$B200&lt;&gt;"NPRD")),"Environnement invalide",IF(COUNTIF(TblDynatrace[Clé],$J200)&gt;1,"Doublon (ID + env + couloir)",IF(OR(NOT(ISNUMBER($F200)),NOT(ISNUMBER($G200))),"Valeur non numérique",IF(MIN($F200,$G200)&lt;0,"Valeur négative",IF(AND($E200&lt;&gt;"",COUNTIFS(TblClusters[Cluster],$E200,TblClusters[Plateforme],"ROKS")&gt;0),"Cluster observé sur ROKS : extraction attendue depuis IKS",IF(AND($E200&lt;&gt;"",COUNTIFS(TblClusters[Cluster],$E200,TblClusters[Plateforme],"IKS")=0),"Cluster IKS inconnu (info)",IF($K200=0,"Aucun déploiement correspondant (info)","OK")))))))))</f>
        <v/>
      </c>
    </row>
    <row r="201" spans="1:12" x14ac:dyDescent="0.2">
      <c r="A201" s="59"/>
      <c r="B201" s="59"/>
      <c r="C201" s="59"/>
      <c r="D201" s="59"/>
      <c r="E201" s="59"/>
      <c r="F201" s="63"/>
      <c r="G201" s="63"/>
      <c r="H201" s="59"/>
      <c r="I201" s="64"/>
      <c r="J201" s="26" t="str">
        <f t="shared" si="3"/>
        <v/>
      </c>
      <c r="K201" s="26" t="str">
        <f>IF($A201="","",COUNTIFS(TblApplications[ID],$A201,TblApplications[Environnement],$B201,TblApplications[Couloir],$C201))</f>
        <v/>
      </c>
      <c r="L201" s="26" t="str">
        <f>IF($A201="","",IF(OR($B201="",$C201="",$F201="",$G201=""),"Données manquantes",IF(OR(AND($B201&lt;&gt;"PRD",$B201&lt;&gt;"NPRD")),"Environnement invalide",IF(COUNTIF(TblDynatrace[Clé],$J201)&gt;1,"Doublon (ID + env + couloir)",IF(OR(NOT(ISNUMBER($F201)),NOT(ISNUMBER($G201))),"Valeur non numérique",IF(MIN($F201,$G201)&lt;0,"Valeur négative",IF(AND($E201&lt;&gt;"",COUNTIFS(TblClusters[Cluster],$E201,TblClusters[Plateforme],"ROKS")&gt;0),"Cluster observé sur ROKS : extraction attendue depuis IKS",IF(AND($E201&lt;&gt;"",COUNTIFS(TblClusters[Cluster],$E201,TblClusters[Plateforme],"IKS")=0),"Cluster IKS inconnu (info)",IF($K201=0,"Aucun déploiement correspondant (info)","OK")))))))))</f>
        <v/>
      </c>
    </row>
    <row r="202" spans="1:12" x14ac:dyDescent="0.2">
      <c r="A202" s="59"/>
      <c r="B202" s="59"/>
      <c r="C202" s="59"/>
      <c r="D202" s="59"/>
      <c r="E202" s="59"/>
      <c r="F202" s="63"/>
      <c r="G202" s="63"/>
      <c r="H202" s="59"/>
      <c r="I202" s="64"/>
      <c r="J202" s="26" t="str">
        <f t="shared" si="3"/>
        <v/>
      </c>
      <c r="K202" s="26" t="str">
        <f>IF($A202="","",COUNTIFS(TblApplications[ID],$A202,TblApplications[Environnement],$B202,TblApplications[Couloir],$C202))</f>
        <v/>
      </c>
      <c r="L202" s="26" t="str">
        <f>IF($A202="","",IF(OR($B202="",$C202="",$F202="",$G202=""),"Données manquantes",IF(OR(AND($B202&lt;&gt;"PRD",$B202&lt;&gt;"NPRD")),"Environnement invalide",IF(COUNTIF(TblDynatrace[Clé],$J202)&gt;1,"Doublon (ID + env + couloir)",IF(OR(NOT(ISNUMBER($F202)),NOT(ISNUMBER($G202))),"Valeur non numérique",IF(MIN($F202,$G202)&lt;0,"Valeur négative",IF(AND($E202&lt;&gt;"",COUNTIFS(TblClusters[Cluster],$E202,TblClusters[Plateforme],"ROKS")&gt;0),"Cluster observé sur ROKS : extraction attendue depuis IKS",IF(AND($E202&lt;&gt;"",COUNTIFS(TblClusters[Cluster],$E202,TblClusters[Plateforme],"IKS")=0),"Cluster IKS inconnu (info)",IF($K202=0,"Aucun déploiement correspondant (info)","OK")))))))))</f>
        <v/>
      </c>
    </row>
    <row r="203" spans="1:12" x14ac:dyDescent="0.2">
      <c r="A203" s="59"/>
      <c r="B203" s="59"/>
      <c r="C203" s="59"/>
      <c r="D203" s="59"/>
      <c r="E203" s="59"/>
      <c r="F203" s="63"/>
      <c r="G203" s="63"/>
      <c r="H203" s="59"/>
      <c r="I203" s="64"/>
      <c r="J203" s="26" t="str">
        <f t="shared" si="3"/>
        <v/>
      </c>
      <c r="K203" s="26" t="str">
        <f>IF($A203="","",COUNTIFS(TblApplications[ID],$A203,TblApplications[Environnement],$B203,TblApplications[Couloir],$C203))</f>
        <v/>
      </c>
      <c r="L203" s="26" t="str">
        <f>IF($A203="","",IF(OR($B203="",$C203="",$F203="",$G203=""),"Données manquantes",IF(OR(AND($B203&lt;&gt;"PRD",$B203&lt;&gt;"NPRD")),"Environnement invalide",IF(COUNTIF(TblDynatrace[Clé],$J203)&gt;1,"Doublon (ID + env + couloir)",IF(OR(NOT(ISNUMBER($F203)),NOT(ISNUMBER($G203))),"Valeur non numérique",IF(MIN($F203,$G203)&lt;0,"Valeur négative",IF(AND($E203&lt;&gt;"",COUNTIFS(TblClusters[Cluster],$E203,TblClusters[Plateforme],"ROKS")&gt;0),"Cluster observé sur ROKS : extraction attendue depuis IKS",IF(AND($E203&lt;&gt;"",COUNTIFS(TblClusters[Cluster],$E203,TblClusters[Plateforme],"IKS")=0),"Cluster IKS inconnu (info)",IF($K203=0,"Aucun déploiement correspondant (info)","OK")))))))))</f>
        <v/>
      </c>
    </row>
    <row r="204" spans="1:12" x14ac:dyDescent="0.2">
      <c r="A204" s="59"/>
      <c r="B204" s="59"/>
      <c r="C204" s="59"/>
      <c r="D204" s="59"/>
      <c r="E204" s="59"/>
      <c r="F204" s="63"/>
      <c r="G204" s="63"/>
      <c r="H204" s="59"/>
      <c r="I204" s="64"/>
      <c r="J204" s="26" t="str">
        <f t="shared" si="3"/>
        <v/>
      </c>
      <c r="K204" s="26" t="str">
        <f>IF($A204="","",COUNTIFS(TblApplications[ID],$A204,TblApplications[Environnement],$B204,TblApplications[Couloir],$C204))</f>
        <v/>
      </c>
      <c r="L204" s="26" t="str">
        <f>IF($A204="","",IF(OR($B204="",$C204="",$F204="",$G204=""),"Données manquantes",IF(OR(AND($B204&lt;&gt;"PRD",$B204&lt;&gt;"NPRD")),"Environnement invalide",IF(COUNTIF(TblDynatrace[Clé],$J204)&gt;1,"Doublon (ID + env + couloir)",IF(OR(NOT(ISNUMBER($F204)),NOT(ISNUMBER($G204))),"Valeur non numérique",IF(MIN($F204,$G204)&lt;0,"Valeur négative",IF(AND($E204&lt;&gt;"",COUNTIFS(TblClusters[Cluster],$E204,TblClusters[Plateforme],"ROKS")&gt;0),"Cluster observé sur ROKS : extraction attendue depuis IKS",IF(AND($E204&lt;&gt;"",COUNTIFS(TblClusters[Cluster],$E204,TblClusters[Plateforme],"IKS")=0),"Cluster IKS inconnu (info)",IF($K204=0,"Aucun déploiement correspondant (info)","OK")))))))))</f>
        <v/>
      </c>
    </row>
    <row r="205" spans="1:12" x14ac:dyDescent="0.2">
      <c r="A205" s="59"/>
      <c r="B205" s="59"/>
      <c r="C205" s="59"/>
      <c r="D205" s="59"/>
      <c r="E205" s="59"/>
      <c r="F205" s="63"/>
      <c r="G205" s="63"/>
      <c r="H205" s="59"/>
      <c r="I205" s="64"/>
      <c r="J205" s="26" t="str">
        <f t="shared" si="3"/>
        <v/>
      </c>
      <c r="K205" s="26" t="str">
        <f>IF($A205="","",COUNTIFS(TblApplications[ID],$A205,TblApplications[Environnement],$B205,TblApplications[Couloir],$C205))</f>
        <v/>
      </c>
      <c r="L205" s="26" t="str">
        <f>IF($A205="","",IF(OR($B205="",$C205="",$F205="",$G205=""),"Données manquantes",IF(OR(AND($B205&lt;&gt;"PRD",$B205&lt;&gt;"NPRD")),"Environnement invalide",IF(COUNTIF(TblDynatrace[Clé],$J205)&gt;1,"Doublon (ID + env + couloir)",IF(OR(NOT(ISNUMBER($F205)),NOT(ISNUMBER($G205))),"Valeur non numérique",IF(MIN($F205,$G205)&lt;0,"Valeur négative",IF(AND($E205&lt;&gt;"",COUNTIFS(TblClusters[Cluster],$E205,TblClusters[Plateforme],"ROKS")&gt;0),"Cluster observé sur ROKS : extraction attendue depuis IKS",IF(AND($E205&lt;&gt;"",COUNTIFS(TblClusters[Cluster],$E205,TblClusters[Plateforme],"IKS")=0),"Cluster IKS inconnu (info)",IF($K205=0,"Aucun déploiement correspondant (info)","OK")))))))))</f>
        <v/>
      </c>
    </row>
    <row r="206" spans="1:12" x14ac:dyDescent="0.2">
      <c r="A206" s="59"/>
      <c r="B206" s="59"/>
      <c r="C206" s="59"/>
      <c r="D206" s="59"/>
      <c r="E206" s="59"/>
      <c r="F206" s="63"/>
      <c r="G206" s="63"/>
      <c r="H206" s="59"/>
      <c r="I206" s="64"/>
      <c r="J206" s="26" t="str">
        <f t="shared" si="3"/>
        <v/>
      </c>
      <c r="K206" s="26" t="str">
        <f>IF($A206="","",COUNTIFS(TblApplications[ID],$A206,TblApplications[Environnement],$B206,TblApplications[Couloir],$C206))</f>
        <v/>
      </c>
      <c r="L206" s="26" t="str">
        <f>IF($A206="","",IF(OR($B206="",$C206="",$F206="",$G206=""),"Données manquantes",IF(OR(AND($B206&lt;&gt;"PRD",$B206&lt;&gt;"NPRD")),"Environnement invalide",IF(COUNTIF(TblDynatrace[Clé],$J206)&gt;1,"Doublon (ID + env + couloir)",IF(OR(NOT(ISNUMBER($F206)),NOT(ISNUMBER($G206))),"Valeur non numérique",IF(MIN($F206,$G206)&lt;0,"Valeur négative",IF(AND($E206&lt;&gt;"",COUNTIFS(TblClusters[Cluster],$E206,TblClusters[Plateforme],"ROKS")&gt;0),"Cluster observé sur ROKS : extraction attendue depuis IKS",IF(AND($E206&lt;&gt;"",COUNTIFS(TblClusters[Cluster],$E206,TblClusters[Plateforme],"IKS")=0),"Cluster IKS inconnu (info)",IF($K206=0,"Aucun déploiement correspondant (info)","OK")))))))))</f>
        <v/>
      </c>
    </row>
    <row r="207" spans="1:12" x14ac:dyDescent="0.2">
      <c r="A207" s="59"/>
      <c r="B207" s="59"/>
      <c r="C207" s="59"/>
      <c r="D207" s="59"/>
      <c r="E207" s="59"/>
      <c r="F207" s="63"/>
      <c r="G207" s="63"/>
      <c r="H207" s="59"/>
      <c r="I207" s="64"/>
      <c r="J207" s="26" t="str">
        <f t="shared" si="3"/>
        <v/>
      </c>
      <c r="K207" s="26" t="str">
        <f>IF($A207="","",COUNTIFS(TblApplications[ID],$A207,TblApplications[Environnement],$B207,TblApplications[Couloir],$C207))</f>
        <v/>
      </c>
      <c r="L207" s="26" t="str">
        <f>IF($A207="","",IF(OR($B207="",$C207="",$F207="",$G207=""),"Données manquantes",IF(OR(AND($B207&lt;&gt;"PRD",$B207&lt;&gt;"NPRD")),"Environnement invalide",IF(COUNTIF(TblDynatrace[Clé],$J207)&gt;1,"Doublon (ID + env + couloir)",IF(OR(NOT(ISNUMBER($F207)),NOT(ISNUMBER($G207))),"Valeur non numérique",IF(MIN($F207,$G207)&lt;0,"Valeur négative",IF(AND($E207&lt;&gt;"",COUNTIFS(TblClusters[Cluster],$E207,TblClusters[Plateforme],"ROKS")&gt;0),"Cluster observé sur ROKS : extraction attendue depuis IKS",IF(AND($E207&lt;&gt;"",COUNTIFS(TblClusters[Cluster],$E207,TblClusters[Plateforme],"IKS")=0),"Cluster IKS inconnu (info)",IF($K207=0,"Aucun déploiement correspondant (info)","OK")))))))))</f>
        <v/>
      </c>
    </row>
    <row r="208" spans="1:12" x14ac:dyDescent="0.2">
      <c r="A208" s="59"/>
      <c r="B208" s="59"/>
      <c r="C208" s="59"/>
      <c r="D208" s="59"/>
      <c r="E208" s="59"/>
      <c r="F208" s="63"/>
      <c r="G208" s="63"/>
      <c r="H208" s="59"/>
      <c r="I208" s="64"/>
      <c r="J208" s="26" t="str">
        <f t="shared" si="3"/>
        <v/>
      </c>
      <c r="K208" s="26" t="str">
        <f>IF($A208="","",COUNTIFS(TblApplications[ID],$A208,TblApplications[Environnement],$B208,TblApplications[Couloir],$C208))</f>
        <v/>
      </c>
      <c r="L208" s="26" t="str">
        <f>IF($A208="","",IF(OR($B208="",$C208="",$F208="",$G208=""),"Données manquantes",IF(OR(AND($B208&lt;&gt;"PRD",$B208&lt;&gt;"NPRD")),"Environnement invalide",IF(COUNTIF(TblDynatrace[Clé],$J208)&gt;1,"Doublon (ID + env + couloir)",IF(OR(NOT(ISNUMBER($F208)),NOT(ISNUMBER($G208))),"Valeur non numérique",IF(MIN($F208,$G208)&lt;0,"Valeur négative",IF(AND($E208&lt;&gt;"",COUNTIFS(TblClusters[Cluster],$E208,TblClusters[Plateforme],"ROKS")&gt;0),"Cluster observé sur ROKS : extraction attendue depuis IKS",IF(AND($E208&lt;&gt;"",COUNTIFS(TblClusters[Cluster],$E208,TblClusters[Plateforme],"IKS")=0),"Cluster IKS inconnu (info)",IF($K208=0,"Aucun déploiement correspondant (info)","OK")))))))))</f>
        <v/>
      </c>
    </row>
    <row r="209" spans="1:12" x14ac:dyDescent="0.2">
      <c r="A209" s="59"/>
      <c r="B209" s="59"/>
      <c r="C209" s="59"/>
      <c r="D209" s="59"/>
      <c r="E209" s="59"/>
      <c r="F209" s="63"/>
      <c r="G209" s="63"/>
      <c r="H209" s="59"/>
      <c r="I209" s="64"/>
      <c r="J209" s="26" t="str">
        <f t="shared" si="3"/>
        <v/>
      </c>
      <c r="K209" s="26" t="str">
        <f>IF($A209="","",COUNTIFS(TblApplications[ID],$A209,TblApplications[Environnement],$B209,TblApplications[Couloir],$C209))</f>
        <v/>
      </c>
      <c r="L209" s="26" t="str">
        <f>IF($A209="","",IF(OR($B209="",$C209="",$F209="",$G209=""),"Données manquantes",IF(OR(AND($B209&lt;&gt;"PRD",$B209&lt;&gt;"NPRD")),"Environnement invalide",IF(COUNTIF(TblDynatrace[Clé],$J209)&gt;1,"Doublon (ID + env + couloir)",IF(OR(NOT(ISNUMBER($F209)),NOT(ISNUMBER($G209))),"Valeur non numérique",IF(MIN($F209,$G209)&lt;0,"Valeur négative",IF(AND($E209&lt;&gt;"",COUNTIFS(TblClusters[Cluster],$E209,TblClusters[Plateforme],"ROKS")&gt;0),"Cluster observé sur ROKS : extraction attendue depuis IKS",IF(AND($E209&lt;&gt;"",COUNTIFS(TblClusters[Cluster],$E209,TblClusters[Plateforme],"IKS")=0),"Cluster IKS inconnu (info)",IF($K209=0,"Aucun déploiement correspondant (info)","OK")))))))))</f>
        <v/>
      </c>
    </row>
    <row r="210" spans="1:12" x14ac:dyDescent="0.2">
      <c r="A210" s="59"/>
      <c r="B210" s="59"/>
      <c r="C210" s="59"/>
      <c r="D210" s="59"/>
      <c r="E210" s="59"/>
      <c r="F210" s="63"/>
      <c r="G210" s="63"/>
      <c r="H210" s="59"/>
      <c r="I210" s="64"/>
      <c r="J210" s="26" t="str">
        <f t="shared" si="3"/>
        <v/>
      </c>
      <c r="K210" s="26" t="str">
        <f>IF($A210="","",COUNTIFS(TblApplications[ID],$A210,TblApplications[Environnement],$B210,TblApplications[Couloir],$C210))</f>
        <v/>
      </c>
      <c r="L210" s="26" t="str">
        <f>IF($A210="","",IF(OR($B210="",$C210="",$F210="",$G210=""),"Données manquantes",IF(OR(AND($B210&lt;&gt;"PRD",$B210&lt;&gt;"NPRD")),"Environnement invalide",IF(COUNTIF(TblDynatrace[Clé],$J210)&gt;1,"Doublon (ID + env + couloir)",IF(OR(NOT(ISNUMBER($F210)),NOT(ISNUMBER($G210))),"Valeur non numérique",IF(MIN($F210,$G210)&lt;0,"Valeur négative",IF(AND($E210&lt;&gt;"",COUNTIFS(TblClusters[Cluster],$E210,TblClusters[Plateforme],"ROKS")&gt;0),"Cluster observé sur ROKS : extraction attendue depuis IKS",IF(AND($E210&lt;&gt;"",COUNTIFS(TblClusters[Cluster],$E210,TblClusters[Plateforme],"IKS")=0),"Cluster IKS inconnu (info)",IF($K210=0,"Aucun déploiement correspondant (info)","OK")))))))))</f>
        <v/>
      </c>
    </row>
    <row r="211" spans="1:12" x14ac:dyDescent="0.2">
      <c r="A211" s="59"/>
      <c r="B211" s="59"/>
      <c r="C211" s="59"/>
      <c r="D211" s="59"/>
      <c r="E211" s="59"/>
      <c r="F211" s="63"/>
      <c r="G211" s="63"/>
      <c r="H211" s="59"/>
      <c r="I211" s="64"/>
      <c r="J211" s="26" t="str">
        <f t="shared" si="3"/>
        <v/>
      </c>
      <c r="K211" s="26" t="str">
        <f>IF($A211="","",COUNTIFS(TblApplications[ID],$A211,TblApplications[Environnement],$B211,TblApplications[Couloir],$C211))</f>
        <v/>
      </c>
      <c r="L211" s="26" t="str">
        <f>IF($A211="","",IF(OR($B211="",$C211="",$F211="",$G211=""),"Données manquantes",IF(OR(AND($B211&lt;&gt;"PRD",$B211&lt;&gt;"NPRD")),"Environnement invalide",IF(COUNTIF(TblDynatrace[Clé],$J211)&gt;1,"Doublon (ID + env + couloir)",IF(OR(NOT(ISNUMBER($F211)),NOT(ISNUMBER($G211))),"Valeur non numérique",IF(MIN($F211,$G211)&lt;0,"Valeur négative",IF(AND($E211&lt;&gt;"",COUNTIFS(TblClusters[Cluster],$E211,TblClusters[Plateforme],"ROKS")&gt;0),"Cluster observé sur ROKS : extraction attendue depuis IKS",IF(AND($E211&lt;&gt;"",COUNTIFS(TblClusters[Cluster],$E211,TblClusters[Plateforme],"IKS")=0),"Cluster IKS inconnu (info)",IF($K211=0,"Aucun déploiement correspondant (info)","OK")))))))))</f>
        <v/>
      </c>
    </row>
    <row r="212" spans="1:12" x14ac:dyDescent="0.2">
      <c r="A212" s="59"/>
      <c r="B212" s="59"/>
      <c r="C212" s="59"/>
      <c r="D212" s="59"/>
      <c r="E212" s="59"/>
      <c r="F212" s="63"/>
      <c r="G212" s="63"/>
      <c r="H212" s="59"/>
      <c r="I212" s="64"/>
      <c r="J212" s="26" t="str">
        <f t="shared" si="3"/>
        <v/>
      </c>
      <c r="K212" s="26" t="str">
        <f>IF($A212="","",COUNTIFS(TblApplications[ID],$A212,TblApplications[Environnement],$B212,TblApplications[Couloir],$C212))</f>
        <v/>
      </c>
      <c r="L212" s="26" t="str">
        <f>IF($A212="","",IF(OR($B212="",$C212="",$F212="",$G212=""),"Données manquantes",IF(OR(AND($B212&lt;&gt;"PRD",$B212&lt;&gt;"NPRD")),"Environnement invalide",IF(COUNTIF(TblDynatrace[Clé],$J212)&gt;1,"Doublon (ID + env + couloir)",IF(OR(NOT(ISNUMBER($F212)),NOT(ISNUMBER($G212))),"Valeur non numérique",IF(MIN($F212,$G212)&lt;0,"Valeur négative",IF(AND($E212&lt;&gt;"",COUNTIFS(TblClusters[Cluster],$E212,TblClusters[Plateforme],"ROKS")&gt;0),"Cluster observé sur ROKS : extraction attendue depuis IKS",IF(AND($E212&lt;&gt;"",COUNTIFS(TblClusters[Cluster],$E212,TblClusters[Plateforme],"IKS")=0),"Cluster IKS inconnu (info)",IF($K212=0,"Aucun déploiement correspondant (info)","OK")))))))))</f>
        <v/>
      </c>
    </row>
    <row r="213" spans="1:12" x14ac:dyDescent="0.2">
      <c r="A213" s="59"/>
      <c r="B213" s="59"/>
      <c r="C213" s="59"/>
      <c r="D213" s="59"/>
      <c r="E213" s="59"/>
      <c r="F213" s="63"/>
      <c r="G213" s="63"/>
      <c r="H213" s="59"/>
      <c r="I213" s="64"/>
      <c r="J213" s="26" t="str">
        <f t="shared" si="3"/>
        <v/>
      </c>
      <c r="K213" s="26" t="str">
        <f>IF($A213="","",COUNTIFS(TblApplications[ID],$A213,TblApplications[Environnement],$B213,TblApplications[Couloir],$C213))</f>
        <v/>
      </c>
      <c r="L213" s="26" t="str">
        <f>IF($A213="","",IF(OR($B213="",$C213="",$F213="",$G213=""),"Données manquantes",IF(OR(AND($B213&lt;&gt;"PRD",$B213&lt;&gt;"NPRD")),"Environnement invalide",IF(COUNTIF(TblDynatrace[Clé],$J213)&gt;1,"Doublon (ID + env + couloir)",IF(OR(NOT(ISNUMBER($F213)),NOT(ISNUMBER($G213))),"Valeur non numérique",IF(MIN($F213,$G213)&lt;0,"Valeur négative",IF(AND($E213&lt;&gt;"",COUNTIFS(TblClusters[Cluster],$E213,TblClusters[Plateforme],"ROKS")&gt;0),"Cluster observé sur ROKS : extraction attendue depuis IKS",IF(AND($E213&lt;&gt;"",COUNTIFS(TblClusters[Cluster],$E213,TblClusters[Plateforme],"IKS")=0),"Cluster IKS inconnu (info)",IF($K213=0,"Aucun déploiement correspondant (info)","OK")))))))))</f>
        <v/>
      </c>
    </row>
    <row r="214" spans="1:12" x14ac:dyDescent="0.2">
      <c r="A214" s="59"/>
      <c r="B214" s="59"/>
      <c r="C214" s="59"/>
      <c r="D214" s="59"/>
      <c r="E214" s="59"/>
      <c r="F214" s="63"/>
      <c r="G214" s="63"/>
      <c r="H214" s="59"/>
      <c r="I214" s="64"/>
      <c r="J214" s="26" t="str">
        <f t="shared" si="3"/>
        <v/>
      </c>
      <c r="K214" s="26" t="str">
        <f>IF($A214="","",COUNTIFS(TblApplications[ID],$A214,TblApplications[Environnement],$B214,TblApplications[Couloir],$C214))</f>
        <v/>
      </c>
      <c r="L214" s="26" t="str">
        <f>IF($A214="","",IF(OR($B214="",$C214="",$F214="",$G214=""),"Données manquantes",IF(OR(AND($B214&lt;&gt;"PRD",$B214&lt;&gt;"NPRD")),"Environnement invalide",IF(COUNTIF(TblDynatrace[Clé],$J214)&gt;1,"Doublon (ID + env + couloir)",IF(OR(NOT(ISNUMBER($F214)),NOT(ISNUMBER($G214))),"Valeur non numérique",IF(MIN($F214,$G214)&lt;0,"Valeur négative",IF(AND($E214&lt;&gt;"",COUNTIFS(TblClusters[Cluster],$E214,TblClusters[Plateforme],"ROKS")&gt;0),"Cluster observé sur ROKS : extraction attendue depuis IKS",IF(AND($E214&lt;&gt;"",COUNTIFS(TblClusters[Cluster],$E214,TblClusters[Plateforme],"IKS")=0),"Cluster IKS inconnu (info)",IF($K214=0,"Aucun déploiement correspondant (info)","OK")))))))))</f>
        <v/>
      </c>
    </row>
    <row r="215" spans="1:12" x14ac:dyDescent="0.2">
      <c r="A215" s="59"/>
      <c r="B215" s="59"/>
      <c r="C215" s="59"/>
      <c r="D215" s="59"/>
      <c r="E215" s="59"/>
      <c r="F215" s="63"/>
      <c r="G215" s="63"/>
      <c r="H215" s="59"/>
      <c r="I215" s="64"/>
      <c r="J215" s="26" t="str">
        <f t="shared" si="3"/>
        <v/>
      </c>
      <c r="K215" s="26" t="str">
        <f>IF($A215="","",COUNTIFS(TblApplications[ID],$A215,TblApplications[Environnement],$B215,TblApplications[Couloir],$C215))</f>
        <v/>
      </c>
      <c r="L215" s="26" t="str">
        <f>IF($A215="","",IF(OR($B215="",$C215="",$F215="",$G215=""),"Données manquantes",IF(OR(AND($B215&lt;&gt;"PRD",$B215&lt;&gt;"NPRD")),"Environnement invalide",IF(COUNTIF(TblDynatrace[Clé],$J215)&gt;1,"Doublon (ID + env + couloir)",IF(OR(NOT(ISNUMBER($F215)),NOT(ISNUMBER($G215))),"Valeur non numérique",IF(MIN($F215,$G215)&lt;0,"Valeur négative",IF(AND($E215&lt;&gt;"",COUNTIFS(TblClusters[Cluster],$E215,TblClusters[Plateforme],"ROKS")&gt;0),"Cluster observé sur ROKS : extraction attendue depuis IKS",IF(AND($E215&lt;&gt;"",COUNTIFS(TblClusters[Cluster],$E215,TblClusters[Plateforme],"IKS")=0),"Cluster IKS inconnu (info)",IF($K215=0,"Aucun déploiement correspondant (info)","OK")))))))))</f>
        <v/>
      </c>
    </row>
    <row r="216" spans="1:12" x14ac:dyDescent="0.2">
      <c r="A216" s="59"/>
      <c r="B216" s="59"/>
      <c r="C216" s="59"/>
      <c r="D216" s="59"/>
      <c r="E216" s="59"/>
      <c r="F216" s="63"/>
      <c r="G216" s="63"/>
      <c r="H216" s="59"/>
      <c r="I216" s="64"/>
      <c r="J216" s="26" t="str">
        <f t="shared" si="3"/>
        <v/>
      </c>
      <c r="K216" s="26" t="str">
        <f>IF($A216="","",COUNTIFS(TblApplications[ID],$A216,TblApplications[Environnement],$B216,TblApplications[Couloir],$C216))</f>
        <v/>
      </c>
      <c r="L216" s="26" t="str">
        <f>IF($A216="","",IF(OR($B216="",$C216="",$F216="",$G216=""),"Données manquantes",IF(OR(AND($B216&lt;&gt;"PRD",$B216&lt;&gt;"NPRD")),"Environnement invalide",IF(COUNTIF(TblDynatrace[Clé],$J216)&gt;1,"Doublon (ID + env + couloir)",IF(OR(NOT(ISNUMBER($F216)),NOT(ISNUMBER($G216))),"Valeur non numérique",IF(MIN($F216,$G216)&lt;0,"Valeur négative",IF(AND($E216&lt;&gt;"",COUNTIFS(TblClusters[Cluster],$E216,TblClusters[Plateforme],"ROKS")&gt;0),"Cluster observé sur ROKS : extraction attendue depuis IKS",IF(AND($E216&lt;&gt;"",COUNTIFS(TblClusters[Cluster],$E216,TblClusters[Plateforme],"IKS")=0),"Cluster IKS inconnu (info)",IF($K216=0,"Aucun déploiement correspondant (info)","OK")))))))))</f>
        <v/>
      </c>
    </row>
    <row r="217" spans="1:12" x14ac:dyDescent="0.2">
      <c r="A217" s="59"/>
      <c r="B217" s="59"/>
      <c r="C217" s="59"/>
      <c r="D217" s="59"/>
      <c r="E217" s="59"/>
      <c r="F217" s="63"/>
      <c r="G217" s="63"/>
      <c r="H217" s="59"/>
      <c r="I217" s="64"/>
      <c r="J217" s="26" t="str">
        <f t="shared" si="3"/>
        <v/>
      </c>
      <c r="K217" s="26" t="str">
        <f>IF($A217="","",COUNTIFS(TblApplications[ID],$A217,TblApplications[Environnement],$B217,TblApplications[Couloir],$C217))</f>
        <v/>
      </c>
      <c r="L217" s="26" t="str">
        <f>IF($A217="","",IF(OR($B217="",$C217="",$F217="",$G217=""),"Données manquantes",IF(OR(AND($B217&lt;&gt;"PRD",$B217&lt;&gt;"NPRD")),"Environnement invalide",IF(COUNTIF(TblDynatrace[Clé],$J217)&gt;1,"Doublon (ID + env + couloir)",IF(OR(NOT(ISNUMBER($F217)),NOT(ISNUMBER($G217))),"Valeur non numérique",IF(MIN($F217,$G217)&lt;0,"Valeur négative",IF(AND($E217&lt;&gt;"",COUNTIFS(TblClusters[Cluster],$E217,TblClusters[Plateforme],"ROKS")&gt;0),"Cluster observé sur ROKS : extraction attendue depuis IKS",IF(AND($E217&lt;&gt;"",COUNTIFS(TblClusters[Cluster],$E217,TblClusters[Plateforme],"IKS")=0),"Cluster IKS inconnu (info)",IF($K217=0,"Aucun déploiement correspondant (info)","OK")))))))))</f>
        <v/>
      </c>
    </row>
    <row r="218" spans="1:12" x14ac:dyDescent="0.2">
      <c r="A218" s="59"/>
      <c r="B218" s="59"/>
      <c r="C218" s="59"/>
      <c r="D218" s="59"/>
      <c r="E218" s="59"/>
      <c r="F218" s="63"/>
      <c r="G218" s="63"/>
      <c r="H218" s="59"/>
      <c r="I218" s="64"/>
      <c r="J218" s="26" t="str">
        <f t="shared" si="3"/>
        <v/>
      </c>
      <c r="K218" s="26" t="str">
        <f>IF($A218="","",COUNTIFS(TblApplications[ID],$A218,TblApplications[Environnement],$B218,TblApplications[Couloir],$C218))</f>
        <v/>
      </c>
      <c r="L218" s="26" t="str">
        <f>IF($A218="","",IF(OR($B218="",$C218="",$F218="",$G218=""),"Données manquantes",IF(OR(AND($B218&lt;&gt;"PRD",$B218&lt;&gt;"NPRD")),"Environnement invalide",IF(COUNTIF(TblDynatrace[Clé],$J218)&gt;1,"Doublon (ID + env + couloir)",IF(OR(NOT(ISNUMBER($F218)),NOT(ISNUMBER($G218))),"Valeur non numérique",IF(MIN($F218,$G218)&lt;0,"Valeur négative",IF(AND($E218&lt;&gt;"",COUNTIFS(TblClusters[Cluster],$E218,TblClusters[Plateforme],"ROKS")&gt;0),"Cluster observé sur ROKS : extraction attendue depuis IKS",IF(AND($E218&lt;&gt;"",COUNTIFS(TblClusters[Cluster],$E218,TblClusters[Plateforme],"IKS")=0),"Cluster IKS inconnu (info)",IF($K218=0,"Aucun déploiement correspondant (info)","OK")))))))))</f>
        <v/>
      </c>
    </row>
    <row r="219" spans="1:12" x14ac:dyDescent="0.2">
      <c r="A219" s="59"/>
      <c r="B219" s="59"/>
      <c r="C219" s="59"/>
      <c r="D219" s="59"/>
      <c r="E219" s="59"/>
      <c r="F219" s="63"/>
      <c r="G219" s="63"/>
      <c r="H219" s="59"/>
      <c r="I219" s="64"/>
      <c r="J219" s="26" t="str">
        <f t="shared" si="3"/>
        <v/>
      </c>
      <c r="K219" s="26" t="str">
        <f>IF($A219="","",COUNTIFS(TblApplications[ID],$A219,TblApplications[Environnement],$B219,TblApplications[Couloir],$C219))</f>
        <v/>
      </c>
      <c r="L219" s="26" t="str">
        <f>IF($A219="","",IF(OR($B219="",$C219="",$F219="",$G219=""),"Données manquantes",IF(OR(AND($B219&lt;&gt;"PRD",$B219&lt;&gt;"NPRD")),"Environnement invalide",IF(COUNTIF(TblDynatrace[Clé],$J219)&gt;1,"Doublon (ID + env + couloir)",IF(OR(NOT(ISNUMBER($F219)),NOT(ISNUMBER($G219))),"Valeur non numérique",IF(MIN($F219,$G219)&lt;0,"Valeur négative",IF(AND($E219&lt;&gt;"",COUNTIFS(TblClusters[Cluster],$E219,TblClusters[Plateforme],"ROKS")&gt;0),"Cluster observé sur ROKS : extraction attendue depuis IKS",IF(AND($E219&lt;&gt;"",COUNTIFS(TblClusters[Cluster],$E219,TblClusters[Plateforme],"IKS")=0),"Cluster IKS inconnu (info)",IF($K219=0,"Aucun déploiement correspondant (info)","OK")))))))))</f>
        <v/>
      </c>
    </row>
    <row r="220" spans="1:12" x14ac:dyDescent="0.2">
      <c r="A220" s="59"/>
      <c r="B220" s="59"/>
      <c r="C220" s="59"/>
      <c r="D220" s="59"/>
      <c r="E220" s="59"/>
      <c r="F220" s="63"/>
      <c r="G220" s="63"/>
      <c r="H220" s="59"/>
      <c r="I220" s="64"/>
      <c r="J220" s="26" t="str">
        <f t="shared" si="3"/>
        <v/>
      </c>
      <c r="K220" s="26" t="str">
        <f>IF($A220="","",COUNTIFS(TblApplications[ID],$A220,TblApplications[Environnement],$B220,TblApplications[Couloir],$C220))</f>
        <v/>
      </c>
      <c r="L220" s="26" t="str">
        <f>IF($A220="","",IF(OR($B220="",$C220="",$F220="",$G220=""),"Données manquantes",IF(OR(AND($B220&lt;&gt;"PRD",$B220&lt;&gt;"NPRD")),"Environnement invalide",IF(COUNTIF(TblDynatrace[Clé],$J220)&gt;1,"Doublon (ID + env + couloir)",IF(OR(NOT(ISNUMBER($F220)),NOT(ISNUMBER($G220))),"Valeur non numérique",IF(MIN($F220,$G220)&lt;0,"Valeur négative",IF(AND($E220&lt;&gt;"",COUNTIFS(TblClusters[Cluster],$E220,TblClusters[Plateforme],"ROKS")&gt;0),"Cluster observé sur ROKS : extraction attendue depuis IKS",IF(AND($E220&lt;&gt;"",COUNTIFS(TblClusters[Cluster],$E220,TblClusters[Plateforme],"IKS")=0),"Cluster IKS inconnu (info)",IF($K220=0,"Aucun déploiement correspondant (info)","OK")))))))))</f>
        <v/>
      </c>
    </row>
    <row r="221" spans="1:12" x14ac:dyDescent="0.2">
      <c r="A221" s="59"/>
      <c r="B221" s="59"/>
      <c r="C221" s="59"/>
      <c r="D221" s="59"/>
      <c r="E221" s="59"/>
      <c r="F221" s="63"/>
      <c r="G221" s="63"/>
      <c r="H221" s="59"/>
      <c r="I221" s="64"/>
      <c r="J221" s="26" t="str">
        <f t="shared" si="3"/>
        <v/>
      </c>
      <c r="K221" s="26" t="str">
        <f>IF($A221="","",COUNTIFS(TblApplications[ID],$A221,TblApplications[Environnement],$B221,TblApplications[Couloir],$C221))</f>
        <v/>
      </c>
      <c r="L221" s="26" t="str">
        <f>IF($A221="","",IF(OR($B221="",$C221="",$F221="",$G221=""),"Données manquantes",IF(OR(AND($B221&lt;&gt;"PRD",$B221&lt;&gt;"NPRD")),"Environnement invalide",IF(COUNTIF(TblDynatrace[Clé],$J221)&gt;1,"Doublon (ID + env + couloir)",IF(OR(NOT(ISNUMBER($F221)),NOT(ISNUMBER($G221))),"Valeur non numérique",IF(MIN($F221,$G221)&lt;0,"Valeur négative",IF(AND($E221&lt;&gt;"",COUNTIFS(TblClusters[Cluster],$E221,TblClusters[Plateforme],"ROKS")&gt;0),"Cluster observé sur ROKS : extraction attendue depuis IKS",IF(AND($E221&lt;&gt;"",COUNTIFS(TblClusters[Cluster],$E221,TblClusters[Plateforme],"IKS")=0),"Cluster IKS inconnu (info)",IF($K221=0,"Aucun déploiement correspondant (info)","OK")))))))))</f>
        <v/>
      </c>
    </row>
    <row r="222" spans="1:12" x14ac:dyDescent="0.2">
      <c r="A222" s="59"/>
      <c r="B222" s="59"/>
      <c r="C222" s="59"/>
      <c r="D222" s="59"/>
      <c r="E222" s="59"/>
      <c r="F222" s="63"/>
      <c r="G222" s="63"/>
      <c r="H222" s="59"/>
      <c r="I222" s="64"/>
      <c r="J222" s="26" t="str">
        <f t="shared" si="3"/>
        <v/>
      </c>
      <c r="K222" s="26" t="str">
        <f>IF($A222="","",COUNTIFS(TblApplications[ID],$A222,TblApplications[Environnement],$B222,TblApplications[Couloir],$C222))</f>
        <v/>
      </c>
      <c r="L222" s="26" t="str">
        <f>IF($A222="","",IF(OR($B222="",$C222="",$F222="",$G222=""),"Données manquantes",IF(OR(AND($B222&lt;&gt;"PRD",$B222&lt;&gt;"NPRD")),"Environnement invalide",IF(COUNTIF(TblDynatrace[Clé],$J222)&gt;1,"Doublon (ID + env + couloir)",IF(OR(NOT(ISNUMBER($F222)),NOT(ISNUMBER($G222))),"Valeur non numérique",IF(MIN($F222,$G222)&lt;0,"Valeur négative",IF(AND($E222&lt;&gt;"",COUNTIFS(TblClusters[Cluster],$E222,TblClusters[Plateforme],"ROKS")&gt;0),"Cluster observé sur ROKS : extraction attendue depuis IKS",IF(AND($E222&lt;&gt;"",COUNTIFS(TblClusters[Cluster],$E222,TblClusters[Plateforme],"IKS")=0),"Cluster IKS inconnu (info)",IF($K222=0,"Aucun déploiement correspondant (info)","OK")))))))))</f>
        <v/>
      </c>
    </row>
    <row r="223" spans="1:12" x14ac:dyDescent="0.2">
      <c r="A223" s="59"/>
      <c r="B223" s="59"/>
      <c r="C223" s="59"/>
      <c r="D223" s="59"/>
      <c r="E223" s="59"/>
      <c r="F223" s="63"/>
      <c r="G223" s="63"/>
      <c r="H223" s="59"/>
      <c r="I223" s="64"/>
      <c r="J223" s="26" t="str">
        <f t="shared" si="3"/>
        <v/>
      </c>
      <c r="K223" s="26" t="str">
        <f>IF($A223="","",COUNTIFS(TblApplications[ID],$A223,TblApplications[Environnement],$B223,TblApplications[Couloir],$C223))</f>
        <v/>
      </c>
      <c r="L223" s="26" t="str">
        <f>IF($A223="","",IF(OR($B223="",$C223="",$F223="",$G223=""),"Données manquantes",IF(OR(AND($B223&lt;&gt;"PRD",$B223&lt;&gt;"NPRD")),"Environnement invalide",IF(COUNTIF(TblDynatrace[Clé],$J223)&gt;1,"Doublon (ID + env + couloir)",IF(OR(NOT(ISNUMBER($F223)),NOT(ISNUMBER($G223))),"Valeur non numérique",IF(MIN($F223,$G223)&lt;0,"Valeur négative",IF(AND($E223&lt;&gt;"",COUNTIFS(TblClusters[Cluster],$E223,TblClusters[Plateforme],"ROKS")&gt;0),"Cluster observé sur ROKS : extraction attendue depuis IKS",IF(AND($E223&lt;&gt;"",COUNTIFS(TblClusters[Cluster],$E223,TblClusters[Plateforme],"IKS")=0),"Cluster IKS inconnu (info)",IF($K223=0,"Aucun déploiement correspondant (info)","OK")))))))))</f>
        <v/>
      </c>
    </row>
    <row r="224" spans="1:12" x14ac:dyDescent="0.2">
      <c r="A224" s="59"/>
      <c r="B224" s="59"/>
      <c r="C224" s="59"/>
      <c r="D224" s="59"/>
      <c r="E224" s="59"/>
      <c r="F224" s="63"/>
      <c r="G224" s="63"/>
      <c r="H224" s="59"/>
      <c r="I224" s="64"/>
      <c r="J224" s="26" t="str">
        <f t="shared" si="3"/>
        <v/>
      </c>
      <c r="K224" s="26" t="str">
        <f>IF($A224="","",COUNTIFS(TblApplications[ID],$A224,TblApplications[Environnement],$B224,TblApplications[Couloir],$C224))</f>
        <v/>
      </c>
      <c r="L224" s="26" t="str">
        <f>IF($A224="","",IF(OR($B224="",$C224="",$F224="",$G224=""),"Données manquantes",IF(OR(AND($B224&lt;&gt;"PRD",$B224&lt;&gt;"NPRD")),"Environnement invalide",IF(COUNTIF(TblDynatrace[Clé],$J224)&gt;1,"Doublon (ID + env + couloir)",IF(OR(NOT(ISNUMBER($F224)),NOT(ISNUMBER($G224))),"Valeur non numérique",IF(MIN($F224,$G224)&lt;0,"Valeur négative",IF(AND($E224&lt;&gt;"",COUNTIFS(TblClusters[Cluster],$E224,TblClusters[Plateforme],"ROKS")&gt;0),"Cluster observé sur ROKS : extraction attendue depuis IKS",IF(AND($E224&lt;&gt;"",COUNTIFS(TblClusters[Cluster],$E224,TblClusters[Plateforme],"IKS")=0),"Cluster IKS inconnu (info)",IF($K224=0,"Aucun déploiement correspondant (info)","OK")))))))))</f>
        <v/>
      </c>
    </row>
    <row r="225" spans="1:12" x14ac:dyDescent="0.2">
      <c r="A225" s="59"/>
      <c r="B225" s="59"/>
      <c r="C225" s="59"/>
      <c r="D225" s="59"/>
      <c r="E225" s="59"/>
      <c r="F225" s="63"/>
      <c r="G225" s="63"/>
      <c r="H225" s="59"/>
      <c r="I225" s="64"/>
      <c r="J225" s="26" t="str">
        <f t="shared" si="3"/>
        <v/>
      </c>
      <c r="K225" s="26" t="str">
        <f>IF($A225="","",COUNTIFS(TblApplications[ID],$A225,TblApplications[Environnement],$B225,TblApplications[Couloir],$C225))</f>
        <v/>
      </c>
      <c r="L225" s="26" t="str">
        <f>IF($A225="","",IF(OR($B225="",$C225="",$F225="",$G225=""),"Données manquantes",IF(OR(AND($B225&lt;&gt;"PRD",$B225&lt;&gt;"NPRD")),"Environnement invalide",IF(COUNTIF(TblDynatrace[Clé],$J225)&gt;1,"Doublon (ID + env + couloir)",IF(OR(NOT(ISNUMBER($F225)),NOT(ISNUMBER($G225))),"Valeur non numérique",IF(MIN($F225,$G225)&lt;0,"Valeur négative",IF(AND($E225&lt;&gt;"",COUNTIFS(TblClusters[Cluster],$E225,TblClusters[Plateforme],"ROKS")&gt;0),"Cluster observé sur ROKS : extraction attendue depuis IKS",IF(AND($E225&lt;&gt;"",COUNTIFS(TblClusters[Cluster],$E225,TblClusters[Plateforme],"IKS")=0),"Cluster IKS inconnu (info)",IF($K225=0,"Aucun déploiement correspondant (info)","OK")))))))))</f>
        <v/>
      </c>
    </row>
    <row r="226" spans="1:12" x14ac:dyDescent="0.2">
      <c r="A226" s="59"/>
      <c r="B226" s="59"/>
      <c r="C226" s="59"/>
      <c r="D226" s="59"/>
      <c r="E226" s="59"/>
      <c r="F226" s="63"/>
      <c r="G226" s="63"/>
      <c r="H226" s="59"/>
      <c r="I226" s="64"/>
      <c r="J226" s="26" t="str">
        <f t="shared" si="3"/>
        <v/>
      </c>
      <c r="K226" s="26" t="str">
        <f>IF($A226="","",COUNTIFS(TblApplications[ID],$A226,TblApplications[Environnement],$B226,TblApplications[Couloir],$C226))</f>
        <v/>
      </c>
      <c r="L226" s="26" t="str">
        <f>IF($A226="","",IF(OR($B226="",$C226="",$F226="",$G226=""),"Données manquantes",IF(OR(AND($B226&lt;&gt;"PRD",$B226&lt;&gt;"NPRD")),"Environnement invalide",IF(COUNTIF(TblDynatrace[Clé],$J226)&gt;1,"Doublon (ID + env + couloir)",IF(OR(NOT(ISNUMBER($F226)),NOT(ISNUMBER($G226))),"Valeur non numérique",IF(MIN($F226,$G226)&lt;0,"Valeur négative",IF(AND($E226&lt;&gt;"",COUNTIFS(TblClusters[Cluster],$E226,TblClusters[Plateforme],"ROKS")&gt;0),"Cluster observé sur ROKS : extraction attendue depuis IKS",IF(AND($E226&lt;&gt;"",COUNTIFS(TblClusters[Cluster],$E226,TblClusters[Plateforme],"IKS")=0),"Cluster IKS inconnu (info)",IF($K226=0,"Aucun déploiement correspondant (info)","OK")))))))))</f>
        <v/>
      </c>
    </row>
    <row r="227" spans="1:12" x14ac:dyDescent="0.2">
      <c r="A227" s="59"/>
      <c r="B227" s="59"/>
      <c r="C227" s="59"/>
      <c r="D227" s="59"/>
      <c r="E227" s="59"/>
      <c r="F227" s="63"/>
      <c r="G227" s="63"/>
      <c r="H227" s="59"/>
      <c r="I227" s="64"/>
      <c r="J227" s="26" t="str">
        <f t="shared" si="3"/>
        <v/>
      </c>
      <c r="K227" s="26" t="str">
        <f>IF($A227="","",COUNTIFS(TblApplications[ID],$A227,TblApplications[Environnement],$B227,TblApplications[Couloir],$C227))</f>
        <v/>
      </c>
      <c r="L227" s="26" t="str">
        <f>IF($A227="","",IF(OR($B227="",$C227="",$F227="",$G227=""),"Données manquantes",IF(OR(AND($B227&lt;&gt;"PRD",$B227&lt;&gt;"NPRD")),"Environnement invalide",IF(COUNTIF(TblDynatrace[Clé],$J227)&gt;1,"Doublon (ID + env + couloir)",IF(OR(NOT(ISNUMBER($F227)),NOT(ISNUMBER($G227))),"Valeur non numérique",IF(MIN($F227,$G227)&lt;0,"Valeur négative",IF(AND($E227&lt;&gt;"",COUNTIFS(TblClusters[Cluster],$E227,TblClusters[Plateforme],"ROKS")&gt;0),"Cluster observé sur ROKS : extraction attendue depuis IKS",IF(AND($E227&lt;&gt;"",COUNTIFS(TblClusters[Cluster],$E227,TblClusters[Plateforme],"IKS")=0),"Cluster IKS inconnu (info)",IF($K227=0,"Aucun déploiement correspondant (info)","OK")))))))))</f>
        <v/>
      </c>
    </row>
    <row r="228" spans="1:12" x14ac:dyDescent="0.2">
      <c r="A228" s="59"/>
      <c r="B228" s="59"/>
      <c r="C228" s="59"/>
      <c r="D228" s="59"/>
      <c r="E228" s="59"/>
      <c r="F228" s="63"/>
      <c r="G228" s="63"/>
      <c r="H228" s="59"/>
      <c r="I228" s="64"/>
      <c r="J228" s="26" t="str">
        <f t="shared" si="3"/>
        <v/>
      </c>
      <c r="K228" s="26" t="str">
        <f>IF($A228="","",COUNTIFS(TblApplications[ID],$A228,TblApplications[Environnement],$B228,TblApplications[Couloir],$C228))</f>
        <v/>
      </c>
      <c r="L228" s="26" t="str">
        <f>IF($A228="","",IF(OR($B228="",$C228="",$F228="",$G228=""),"Données manquantes",IF(OR(AND($B228&lt;&gt;"PRD",$B228&lt;&gt;"NPRD")),"Environnement invalide",IF(COUNTIF(TblDynatrace[Clé],$J228)&gt;1,"Doublon (ID + env + couloir)",IF(OR(NOT(ISNUMBER($F228)),NOT(ISNUMBER($G228))),"Valeur non numérique",IF(MIN($F228,$G228)&lt;0,"Valeur négative",IF(AND($E228&lt;&gt;"",COUNTIFS(TblClusters[Cluster],$E228,TblClusters[Plateforme],"ROKS")&gt;0),"Cluster observé sur ROKS : extraction attendue depuis IKS",IF(AND($E228&lt;&gt;"",COUNTIFS(TblClusters[Cluster],$E228,TblClusters[Plateforme],"IKS")=0),"Cluster IKS inconnu (info)",IF($K228=0,"Aucun déploiement correspondant (info)","OK")))))))))</f>
        <v/>
      </c>
    </row>
    <row r="229" spans="1:12" x14ac:dyDescent="0.2">
      <c r="A229" s="59"/>
      <c r="B229" s="59"/>
      <c r="C229" s="59"/>
      <c r="D229" s="59"/>
      <c r="E229" s="59"/>
      <c r="F229" s="63"/>
      <c r="G229" s="63"/>
      <c r="H229" s="59"/>
      <c r="I229" s="64"/>
      <c r="J229" s="26" t="str">
        <f t="shared" si="3"/>
        <v/>
      </c>
      <c r="K229" s="26" t="str">
        <f>IF($A229="","",COUNTIFS(TblApplications[ID],$A229,TblApplications[Environnement],$B229,TblApplications[Couloir],$C229))</f>
        <v/>
      </c>
      <c r="L229" s="26" t="str">
        <f>IF($A229="","",IF(OR($B229="",$C229="",$F229="",$G229=""),"Données manquantes",IF(OR(AND($B229&lt;&gt;"PRD",$B229&lt;&gt;"NPRD")),"Environnement invalide",IF(COUNTIF(TblDynatrace[Clé],$J229)&gt;1,"Doublon (ID + env + couloir)",IF(OR(NOT(ISNUMBER($F229)),NOT(ISNUMBER($G229))),"Valeur non numérique",IF(MIN($F229,$G229)&lt;0,"Valeur négative",IF(AND($E229&lt;&gt;"",COUNTIFS(TblClusters[Cluster],$E229,TblClusters[Plateforme],"ROKS")&gt;0),"Cluster observé sur ROKS : extraction attendue depuis IKS",IF(AND($E229&lt;&gt;"",COUNTIFS(TblClusters[Cluster],$E229,TblClusters[Plateforme],"IKS")=0),"Cluster IKS inconnu (info)",IF($K229=0,"Aucun déploiement correspondant (info)","OK")))))))))</f>
        <v/>
      </c>
    </row>
    <row r="230" spans="1:12" x14ac:dyDescent="0.2">
      <c r="A230" s="59"/>
      <c r="B230" s="59"/>
      <c r="C230" s="59"/>
      <c r="D230" s="59"/>
      <c r="E230" s="59"/>
      <c r="F230" s="63"/>
      <c r="G230" s="63"/>
      <c r="H230" s="59"/>
      <c r="I230" s="64"/>
      <c r="J230" s="26" t="str">
        <f t="shared" si="3"/>
        <v/>
      </c>
      <c r="K230" s="26" t="str">
        <f>IF($A230="","",COUNTIFS(TblApplications[ID],$A230,TblApplications[Environnement],$B230,TblApplications[Couloir],$C230))</f>
        <v/>
      </c>
      <c r="L230" s="26" t="str">
        <f>IF($A230="","",IF(OR($B230="",$C230="",$F230="",$G230=""),"Données manquantes",IF(OR(AND($B230&lt;&gt;"PRD",$B230&lt;&gt;"NPRD")),"Environnement invalide",IF(COUNTIF(TblDynatrace[Clé],$J230)&gt;1,"Doublon (ID + env + couloir)",IF(OR(NOT(ISNUMBER($F230)),NOT(ISNUMBER($G230))),"Valeur non numérique",IF(MIN($F230,$G230)&lt;0,"Valeur négative",IF(AND($E230&lt;&gt;"",COUNTIFS(TblClusters[Cluster],$E230,TblClusters[Plateforme],"ROKS")&gt;0),"Cluster observé sur ROKS : extraction attendue depuis IKS",IF(AND($E230&lt;&gt;"",COUNTIFS(TblClusters[Cluster],$E230,TblClusters[Plateforme],"IKS")=0),"Cluster IKS inconnu (info)",IF($K230=0,"Aucun déploiement correspondant (info)","OK")))))))))</f>
        <v/>
      </c>
    </row>
    <row r="231" spans="1:12" x14ac:dyDescent="0.2">
      <c r="A231" s="59"/>
      <c r="B231" s="59"/>
      <c r="C231" s="59"/>
      <c r="D231" s="59"/>
      <c r="E231" s="59"/>
      <c r="F231" s="63"/>
      <c r="G231" s="63"/>
      <c r="H231" s="59"/>
      <c r="I231" s="64"/>
      <c r="J231" s="26" t="str">
        <f t="shared" si="3"/>
        <v/>
      </c>
      <c r="K231" s="26" t="str">
        <f>IF($A231="","",COUNTIFS(TblApplications[ID],$A231,TblApplications[Environnement],$B231,TblApplications[Couloir],$C231))</f>
        <v/>
      </c>
      <c r="L231" s="26" t="str">
        <f>IF($A231="","",IF(OR($B231="",$C231="",$F231="",$G231=""),"Données manquantes",IF(OR(AND($B231&lt;&gt;"PRD",$B231&lt;&gt;"NPRD")),"Environnement invalide",IF(COUNTIF(TblDynatrace[Clé],$J231)&gt;1,"Doublon (ID + env + couloir)",IF(OR(NOT(ISNUMBER($F231)),NOT(ISNUMBER($G231))),"Valeur non numérique",IF(MIN($F231,$G231)&lt;0,"Valeur négative",IF(AND($E231&lt;&gt;"",COUNTIFS(TblClusters[Cluster],$E231,TblClusters[Plateforme],"ROKS")&gt;0),"Cluster observé sur ROKS : extraction attendue depuis IKS",IF(AND($E231&lt;&gt;"",COUNTIFS(TblClusters[Cluster],$E231,TblClusters[Plateforme],"IKS")=0),"Cluster IKS inconnu (info)",IF($K231=0,"Aucun déploiement correspondant (info)","OK")))))))))</f>
        <v/>
      </c>
    </row>
    <row r="232" spans="1:12" x14ac:dyDescent="0.2">
      <c r="A232" s="59"/>
      <c r="B232" s="59"/>
      <c r="C232" s="59"/>
      <c r="D232" s="59"/>
      <c r="E232" s="59"/>
      <c r="F232" s="63"/>
      <c r="G232" s="63"/>
      <c r="H232" s="59"/>
      <c r="I232" s="64"/>
      <c r="J232" s="26" t="str">
        <f t="shared" si="3"/>
        <v/>
      </c>
      <c r="K232" s="26" t="str">
        <f>IF($A232="","",COUNTIFS(TblApplications[ID],$A232,TblApplications[Environnement],$B232,TblApplications[Couloir],$C232))</f>
        <v/>
      </c>
      <c r="L232" s="26" t="str">
        <f>IF($A232="","",IF(OR($B232="",$C232="",$F232="",$G232=""),"Données manquantes",IF(OR(AND($B232&lt;&gt;"PRD",$B232&lt;&gt;"NPRD")),"Environnement invalide",IF(COUNTIF(TblDynatrace[Clé],$J232)&gt;1,"Doublon (ID + env + couloir)",IF(OR(NOT(ISNUMBER($F232)),NOT(ISNUMBER($G232))),"Valeur non numérique",IF(MIN($F232,$G232)&lt;0,"Valeur négative",IF(AND($E232&lt;&gt;"",COUNTIFS(TblClusters[Cluster],$E232,TblClusters[Plateforme],"ROKS")&gt;0),"Cluster observé sur ROKS : extraction attendue depuis IKS",IF(AND($E232&lt;&gt;"",COUNTIFS(TblClusters[Cluster],$E232,TblClusters[Plateforme],"IKS")=0),"Cluster IKS inconnu (info)",IF($K232=0,"Aucun déploiement correspondant (info)","OK")))))))))</f>
        <v/>
      </c>
    </row>
    <row r="233" spans="1:12" x14ac:dyDescent="0.2">
      <c r="A233" s="59"/>
      <c r="B233" s="59"/>
      <c r="C233" s="59"/>
      <c r="D233" s="59"/>
      <c r="E233" s="59"/>
      <c r="F233" s="63"/>
      <c r="G233" s="63"/>
      <c r="H233" s="59"/>
      <c r="I233" s="64"/>
      <c r="J233" s="26" t="str">
        <f t="shared" si="3"/>
        <v/>
      </c>
      <c r="K233" s="26" t="str">
        <f>IF($A233="","",COUNTIFS(TblApplications[ID],$A233,TblApplications[Environnement],$B233,TblApplications[Couloir],$C233))</f>
        <v/>
      </c>
      <c r="L233" s="26" t="str">
        <f>IF($A233="","",IF(OR($B233="",$C233="",$F233="",$G233=""),"Données manquantes",IF(OR(AND($B233&lt;&gt;"PRD",$B233&lt;&gt;"NPRD")),"Environnement invalide",IF(COUNTIF(TblDynatrace[Clé],$J233)&gt;1,"Doublon (ID + env + couloir)",IF(OR(NOT(ISNUMBER($F233)),NOT(ISNUMBER($G233))),"Valeur non numérique",IF(MIN($F233,$G233)&lt;0,"Valeur négative",IF(AND($E233&lt;&gt;"",COUNTIFS(TblClusters[Cluster],$E233,TblClusters[Plateforme],"ROKS")&gt;0),"Cluster observé sur ROKS : extraction attendue depuis IKS",IF(AND($E233&lt;&gt;"",COUNTIFS(TblClusters[Cluster],$E233,TblClusters[Plateforme],"IKS")=0),"Cluster IKS inconnu (info)",IF($K233=0,"Aucun déploiement correspondant (info)","OK")))))))))</f>
        <v/>
      </c>
    </row>
    <row r="234" spans="1:12" x14ac:dyDescent="0.2">
      <c r="A234" s="59"/>
      <c r="B234" s="59"/>
      <c r="C234" s="59"/>
      <c r="D234" s="59"/>
      <c r="E234" s="59"/>
      <c r="F234" s="63"/>
      <c r="G234" s="63"/>
      <c r="H234" s="59"/>
      <c r="I234" s="64"/>
      <c r="J234" s="26" t="str">
        <f t="shared" si="3"/>
        <v/>
      </c>
      <c r="K234" s="26" t="str">
        <f>IF($A234="","",COUNTIFS(TblApplications[ID],$A234,TblApplications[Environnement],$B234,TblApplications[Couloir],$C234))</f>
        <v/>
      </c>
      <c r="L234" s="26" t="str">
        <f>IF($A234="","",IF(OR($B234="",$C234="",$F234="",$G234=""),"Données manquantes",IF(OR(AND($B234&lt;&gt;"PRD",$B234&lt;&gt;"NPRD")),"Environnement invalide",IF(COUNTIF(TblDynatrace[Clé],$J234)&gt;1,"Doublon (ID + env + couloir)",IF(OR(NOT(ISNUMBER($F234)),NOT(ISNUMBER($G234))),"Valeur non numérique",IF(MIN($F234,$G234)&lt;0,"Valeur négative",IF(AND($E234&lt;&gt;"",COUNTIFS(TblClusters[Cluster],$E234,TblClusters[Plateforme],"ROKS")&gt;0),"Cluster observé sur ROKS : extraction attendue depuis IKS",IF(AND($E234&lt;&gt;"",COUNTIFS(TblClusters[Cluster],$E234,TblClusters[Plateforme],"IKS")=0),"Cluster IKS inconnu (info)",IF($K234=0,"Aucun déploiement correspondant (info)","OK")))))))))</f>
        <v/>
      </c>
    </row>
    <row r="235" spans="1:12" x14ac:dyDescent="0.2">
      <c r="A235" s="59"/>
      <c r="B235" s="59"/>
      <c r="C235" s="59"/>
      <c r="D235" s="59"/>
      <c r="E235" s="59"/>
      <c r="F235" s="63"/>
      <c r="G235" s="63"/>
      <c r="H235" s="59"/>
      <c r="I235" s="64"/>
      <c r="J235" s="26" t="str">
        <f t="shared" si="3"/>
        <v/>
      </c>
      <c r="K235" s="26" t="str">
        <f>IF($A235="","",COUNTIFS(TblApplications[ID],$A235,TblApplications[Environnement],$B235,TblApplications[Couloir],$C235))</f>
        <v/>
      </c>
      <c r="L235" s="26" t="str">
        <f>IF($A235="","",IF(OR($B235="",$C235="",$F235="",$G235=""),"Données manquantes",IF(OR(AND($B235&lt;&gt;"PRD",$B235&lt;&gt;"NPRD")),"Environnement invalide",IF(COUNTIF(TblDynatrace[Clé],$J235)&gt;1,"Doublon (ID + env + couloir)",IF(OR(NOT(ISNUMBER($F235)),NOT(ISNUMBER($G235))),"Valeur non numérique",IF(MIN($F235,$G235)&lt;0,"Valeur négative",IF(AND($E235&lt;&gt;"",COUNTIFS(TblClusters[Cluster],$E235,TblClusters[Plateforme],"ROKS")&gt;0),"Cluster observé sur ROKS : extraction attendue depuis IKS",IF(AND($E235&lt;&gt;"",COUNTIFS(TblClusters[Cluster],$E235,TblClusters[Plateforme],"IKS")=0),"Cluster IKS inconnu (info)",IF($K235=0,"Aucun déploiement correspondant (info)","OK")))))))))</f>
        <v/>
      </c>
    </row>
    <row r="236" spans="1:12" x14ac:dyDescent="0.2">
      <c r="A236" s="59"/>
      <c r="B236" s="59"/>
      <c r="C236" s="59"/>
      <c r="D236" s="59"/>
      <c r="E236" s="59"/>
      <c r="F236" s="63"/>
      <c r="G236" s="63"/>
      <c r="H236" s="59"/>
      <c r="I236" s="64"/>
      <c r="J236" s="26" t="str">
        <f t="shared" si="3"/>
        <v/>
      </c>
      <c r="K236" s="26" t="str">
        <f>IF($A236="","",COUNTIFS(TblApplications[ID],$A236,TblApplications[Environnement],$B236,TblApplications[Couloir],$C236))</f>
        <v/>
      </c>
      <c r="L236" s="26" t="str">
        <f>IF($A236="","",IF(OR($B236="",$C236="",$F236="",$G236=""),"Données manquantes",IF(OR(AND($B236&lt;&gt;"PRD",$B236&lt;&gt;"NPRD")),"Environnement invalide",IF(COUNTIF(TblDynatrace[Clé],$J236)&gt;1,"Doublon (ID + env + couloir)",IF(OR(NOT(ISNUMBER($F236)),NOT(ISNUMBER($G236))),"Valeur non numérique",IF(MIN($F236,$G236)&lt;0,"Valeur négative",IF(AND($E236&lt;&gt;"",COUNTIFS(TblClusters[Cluster],$E236,TblClusters[Plateforme],"ROKS")&gt;0),"Cluster observé sur ROKS : extraction attendue depuis IKS",IF(AND($E236&lt;&gt;"",COUNTIFS(TblClusters[Cluster],$E236,TblClusters[Plateforme],"IKS")=0),"Cluster IKS inconnu (info)",IF($K236=0,"Aucun déploiement correspondant (info)","OK")))))))))</f>
        <v/>
      </c>
    </row>
    <row r="237" spans="1:12" x14ac:dyDescent="0.2">
      <c r="A237" s="59"/>
      <c r="B237" s="59"/>
      <c r="C237" s="59"/>
      <c r="D237" s="59"/>
      <c r="E237" s="59"/>
      <c r="F237" s="63"/>
      <c r="G237" s="63"/>
      <c r="H237" s="59"/>
      <c r="I237" s="64"/>
      <c r="J237" s="26" t="str">
        <f t="shared" si="3"/>
        <v/>
      </c>
      <c r="K237" s="26" t="str">
        <f>IF($A237="","",COUNTIFS(TblApplications[ID],$A237,TblApplications[Environnement],$B237,TblApplications[Couloir],$C237))</f>
        <v/>
      </c>
      <c r="L237" s="26" t="str">
        <f>IF($A237="","",IF(OR($B237="",$C237="",$F237="",$G237=""),"Données manquantes",IF(OR(AND($B237&lt;&gt;"PRD",$B237&lt;&gt;"NPRD")),"Environnement invalide",IF(COUNTIF(TblDynatrace[Clé],$J237)&gt;1,"Doublon (ID + env + couloir)",IF(OR(NOT(ISNUMBER($F237)),NOT(ISNUMBER($G237))),"Valeur non numérique",IF(MIN($F237,$G237)&lt;0,"Valeur négative",IF(AND($E237&lt;&gt;"",COUNTIFS(TblClusters[Cluster],$E237,TblClusters[Plateforme],"ROKS")&gt;0),"Cluster observé sur ROKS : extraction attendue depuis IKS",IF(AND($E237&lt;&gt;"",COUNTIFS(TblClusters[Cluster],$E237,TblClusters[Plateforme],"IKS")=0),"Cluster IKS inconnu (info)",IF($K237=0,"Aucun déploiement correspondant (info)","OK")))))))))</f>
        <v/>
      </c>
    </row>
    <row r="238" spans="1:12" x14ac:dyDescent="0.2">
      <c r="A238" s="59"/>
      <c r="B238" s="59"/>
      <c r="C238" s="59"/>
      <c r="D238" s="59"/>
      <c r="E238" s="59"/>
      <c r="F238" s="63"/>
      <c r="G238" s="63"/>
      <c r="H238" s="59"/>
      <c r="I238" s="64"/>
      <c r="J238" s="26" t="str">
        <f t="shared" si="3"/>
        <v/>
      </c>
      <c r="K238" s="26" t="str">
        <f>IF($A238="","",COUNTIFS(TblApplications[ID],$A238,TblApplications[Environnement],$B238,TblApplications[Couloir],$C238))</f>
        <v/>
      </c>
      <c r="L238" s="26" t="str">
        <f>IF($A238="","",IF(OR($B238="",$C238="",$F238="",$G238=""),"Données manquantes",IF(OR(AND($B238&lt;&gt;"PRD",$B238&lt;&gt;"NPRD")),"Environnement invalide",IF(COUNTIF(TblDynatrace[Clé],$J238)&gt;1,"Doublon (ID + env + couloir)",IF(OR(NOT(ISNUMBER($F238)),NOT(ISNUMBER($G238))),"Valeur non numérique",IF(MIN($F238,$G238)&lt;0,"Valeur négative",IF(AND($E238&lt;&gt;"",COUNTIFS(TblClusters[Cluster],$E238,TblClusters[Plateforme],"ROKS")&gt;0),"Cluster observé sur ROKS : extraction attendue depuis IKS",IF(AND($E238&lt;&gt;"",COUNTIFS(TblClusters[Cluster],$E238,TblClusters[Plateforme],"IKS")=0),"Cluster IKS inconnu (info)",IF($K238=0,"Aucun déploiement correspondant (info)","OK")))))))))</f>
        <v/>
      </c>
    </row>
    <row r="239" spans="1:12" x14ac:dyDescent="0.2">
      <c r="A239" s="59"/>
      <c r="B239" s="59"/>
      <c r="C239" s="59"/>
      <c r="D239" s="59"/>
      <c r="E239" s="59"/>
      <c r="F239" s="63"/>
      <c r="G239" s="63"/>
      <c r="H239" s="59"/>
      <c r="I239" s="64"/>
      <c r="J239" s="26" t="str">
        <f t="shared" si="3"/>
        <v/>
      </c>
      <c r="K239" s="26" t="str">
        <f>IF($A239="","",COUNTIFS(TblApplications[ID],$A239,TblApplications[Environnement],$B239,TblApplications[Couloir],$C239))</f>
        <v/>
      </c>
      <c r="L239" s="26" t="str">
        <f>IF($A239="","",IF(OR($B239="",$C239="",$F239="",$G239=""),"Données manquantes",IF(OR(AND($B239&lt;&gt;"PRD",$B239&lt;&gt;"NPRD")),"Environnement invalide",IF(COUNTIF(TblDynatrace[Clé],$J239)&gt;1,"Doublon (ID + env + couloir)",IF(OR(NOT(ISNUMBER($F239)),NOT(ISNUMBER($G239))),"Valeur non numérique",IF(MIN($F239,$G239)&lt;0,"Valeur négative",IF(AND($E239&lt;&gt;"",COUNTIFS(TblClusters[Cluster],$E239,TblClusters[Plateforme],"ROKS")&gt;0),"Cluster observé sur ROKS : extraction attendue depuis IKS",IF(AND($E239&lt;&gt;"",COUNTIFS(TblClusters[Cluster],$E239,TblClusters[Plateforme],"IKS")=0),"Cluster IKS inconnu (info)",IF($K239=0,"Aucun déploiement correspondant (info)","OK")))))))))</f>
        <v/>
      </c>
    </row>
    <row r="240" spans="1:12" x14ac:dyDescent="0.2">
      <c r="A240" s="59"/>
      <c r="B240" s="59"/>
      <c r="C240" s="59"/>
      <c r="D240" s="59"/>
      <c r="E240" s="59"/>
      <c r="F240" s="63"/>
      <c r="G240" s="63"/>
      <c r="H240" s="59"/>
      <c r="I240" s="64"/>
      <c r="J240" s="26" t="str">
        <f t="shared" si="3"/>
        <v/>
      </c>
      <c r="K240" s="26" t="str">
        <f>IF($A240="","",COUNTIFS(TblApplications[ID],$A240,TblApplications[Environnement],$B240,TblApplications[Couloir],$C240))</f>
        <v/>
      </c>
      <c r="L240" s="26" t="str">
        <f>IF($A240="","",IF(OR($B240="",$C240="",$F240="",$G240=""),"Données manquantes",IF(OR(AND($B240&lt;&gt;"PRD",$B240&lt;&gt;"NPRD")),"Environnement invalide",IF(COUNTIF(TblDynatrace[Clé],$J240)&gt;1,"Doublon (ID + env + couloir)",IF(OR(NOT(ISNUMBER($F240)),NOT(ISNUMBER($G240))),"Valeur non numérique",IF(MIN($F240,$G240)&lt;0,"Valeur négative",IF(AND($E240&lt;&gt;"",COUNTIFS(TblClusters[Cluster],$E240,TblClusters[Plateforme],"ROKS")&gt;0),"Cluster observé sur ROKS : extraction attendue depuis IKS",IF(AND($E240&lt;&gt;"",COUNTIFS(TblClusters[Cluster],$E240,TblClusters[Plateforme],"IKS")=0),"Cluster IKS inconnu (info)",IF($K240=0,"Aucun déploiement correspondant (info)","OK")))))))))</f>
        <v/>
      </c>
    </row>
    <row r="241" spans="1:12" x14ac:dyDescent="0.2">
      <c r="A241" s="59"/>
      <c r="B241" s="59"/>
      <c r="C241" s="59"/>
      <c r="D241" s="59"/>
      <c r="E241" s="59"/>
      <c r="F241" s="63"/>
      <c r="G241" s="63"/>
      <c r="H241" s="59"/>
      <c r="I241" s="64"/>
      <c r="J241" s="26" t="str">
        <f t="shared" si="3"/>
        <v/>
      </c>
      <c r="K241" s="26" t="str">
        <f>IF($A241="","",COUNTIFS(TblApplications[ID],$A241,TblApplications[Environnement],$B241,TblApplications[Couloir],$C241))</f>
        <v/>
      </c>
      <c r="L241" s="26" t="str">
        <f>IF($A241="","",IF(OR($B241="",$C241="",$F241="",$G241=""),"Données manquantes",IF(OR(AND($B241&lt;&gt;"PRD",$B241&lt;&gt;"NPRD")),"Environnement invalide",IF(COUNTIF(TblDynatrace[Clé],$J241)&gt;1,"Doublon (ID + env + couloir)",IF(OR(NOT(ISNUMBER($F241)),NOT(ISNUMBER($G241))),"Valeur non numérique",IF(MIN($F241,$G241)&lt;0,"Valeur négative",IF(AND($E241&lt;&gt;"",COUNTIFS(TblClusters[Cluster],$E241,TblClusters[Plateforme],"ROKS")&gt;0),"Cluster observé sur ROKS : extraction attendue depuis IKS",IF(AND($E241&lt;&gt;"",COUNTIFS(TblClusters[Cluster],$E241,TblClusters[Plateforme],"IKS")=0),"Cluster IKS inconnu (info)",IF($K241=0,"Aucun déploiement correspondant (info)","OK")))))))))</f>
        <v/>
      </c>
    </row>
    <row r="242" spans="1:12" x14ac:dyDescent="0.2">
      <c r="A242" s="59"/>
      <c r="B242" s="59"/>
      <c r="C242" s="59"/>
      <c r="D242" s="59"/>
      <c r="E242" s="59"/>
      <c r="F242" s="63"/>
      <c r="G242" s="63"/>
      <c r="H242" s="59"/>
      <c r="I242" s="64"/>
      <c r="J242" s="26" t="str">
        <f t="shared" si="3"/>
        <v/>
      </c>
      <c r="K242" s="26" t="str">
        <f>IF($A242="","",COUNTIFS(TblApplications[ID],$A242,TblApplications[Environnement],$B242,TblApplications[Couloir],$C242))</f>
        <v/>
      </c>
      <c r="L242" s="26" t="str">
        <f>IF($A242="","",IF(OR($B242="",$C242="",$F242="",$G242=""),"Données manquantes",IF(OR(AND($B242&lt;&gt;"PRD",$B242&lt;&gt;"NPRD")),"Environnement invalide",IF(COUNTIF(TblDynatrace[Clé],$J242)&gt;1,"Doublon (ID + env + couloir)",IF(OR(NOT(ISNUMBER($F242)),NOT(ISNUMBER($G242))),"Valeur non numérique",IF(MIN($F242,$G242)&lt;0,"Valeur négative",IF(AND($E242&lt;&gt;"",COUNTIFS(TblClusters[Cluster],$E242,TblClusters[Plateforme],"ROKS")&gt;0),"Cluster observé sur ROKS : extraction attendue depuis IKS",IF(AND($E242&lt;&gt;"",COUNTIFS(TblClusters[Cluster],$E242,TblClusters[Plateforme],"IKS")=0),"Cluster IKS inconnu (info)",IF($K242=0,"Aucun déploiement correspondant (info)","OK")))))))))</f>
        <v/>
      </c>
    </row>
    <row r="243" spans="1:12" x14ac:dyDescent="0.2">
      <c r="A243" s="59"/>
      <c r="B243" s="59"/>
      <c r="C243" s="59"/>
      <c r="D243" s="59"/>
      <c r="E243" s="59"/>
      <c r="F243" s="63"/>
      <c r="G243" s="63"/>
      <c r="H243" s="59"/>
      <c r="I243" s="64"/>
      <c r="J243" s="26" t="str">
        <f t="shared" si="3"/>
        <v/>
      </c>
      <c r="K243" s="26" t="str">
        <f>IF($A243="","",COUNTIFS(TblApplications[ID],$A243,TblApplications[Environnement],$B243,TblApplications[Couloir],$C243))</f>
        <v/>
      </c>
      <c r="L243" s="26" t="str">
        <f>IF($A243="","",IF(OR($B243="",$C243="",$F243="",$G243=""),"Données manquantes",IF(OR(AND($B243&lt;&gt;"PRD",$B243&lt;&gt;"NPRD")),"Environnement invalide",IF(COUNTIF(TblDynatrace[Clé],$J243)&gt;1,"Doublon (ID + env + couloir)",IF(OR(NOT(ISNUMBER($F243)),NOT(ISNUMBER($G243))),"Valeur non numérique",IF(MIN($F243,$G243)&lt;0,"Valeur négative",IF(AND($E243&lt;&gt;"",COUNTIFS(TblClusters[Cluster],$E243,TblClusters[Plateforme],"ROKS")&gt;0),"Cluster observé sur ROKS : extraction attendue depuis IKS",IF(AND($E243&lt;&gt;"",COUNTIFS(TblClusters[Cluster],$E243,TblClusters[Plateforme],"IKS")=0),"Cluster IKS inconnu (info)",IF($K243=0,"Aucun déploiement correspondant (info)","OK")))))))))</f>
        <v/>
      </c>
    </row>
    <row r="244" spans="1:12" x14ac:dyDescent="0.2">
      <c r="A244" s="59"/>
      <c r="B244" s="59"/>
      <c r="C244" s="59"/>
      <c r="D244" s="59"/>
      <c r="E244" s="59"/>
      <c r="F244" s="63"/>
      <c r="G244" s="63"/>
      <c r="H244" s="59"/>
      <c r="I244" s="64"/>
      <c r="J244" s="26" t="str">
        <f t="shared" si="3"/>
        <v/>
      </c>
      <c r="K244" s="26" t="str">
        <f>IF($A244="","",COUNTIFS(TblApplications[ID],$A244,TblApplications[Environnement],$B244,TblApplications[Couloir],$C244))</f>
        <v/>
      </c>
      <c r="L244" s="26" t="str">
        <f>IF($A244="","",IF(OR($B244="",$C244="",$F244="",$G244=""),"Données manquantes",IF(OR(AND($B244&lt;&gt;"PRD",$B244&lt;&gt;"NPRD")),"Environnement invalide",IF(COUNTIF(TblDynatrace[Clé],$J244)&gt;1,"Doublon (ID + env + couloir)",IF(OR(NOT(ISNUMBER($F244)),NOT(ISNUMBER($G244))),"Valeur non numérique",IF(MIN($F244,$G244)&lt;0,"Valeur négative",IF(AND($E244&lt;&gt;"",COUNTIFS(TblClusters[Cluster],$E244,TblClusters[Plateforme],"ROKS")&gt;0),"Cluster observé sur ROKS : extraction attendue depuis IKS",IF(AND($E244&lt;&gt;"",COUNTIFS(TblClusters[Cluster],$E244,TblClusters[Plateforme],"IKS")=0),"Cluster IKS inconnu (info)",IF($K244=0,"Aucun déploiement correspondant (info)","OK")))))))))</f>
        <v/>
      </c>
    </row>
    <row r="245" spans="1:12" x14ac:dyDescent="0.2">
      <c r="A245" s="59"/>
      <c r="B245" s="59"/>
      <c r="C245" s="59"/>
      <c r="D245" s="59"/>
      <c r="E245" s="59"/>
      <c r="F245" s="63"/>
      <c r="G245" s="63"/>
      <c r="H245" s="59"/>
      <c r="I245" s="64"/>
      <c r="J245" s="26" t="str">
        <f t="shared" si="3"/>
        <v/>
      </c>
      <c r="K245" s="26" t="str">
        <f>IF($A245="","",COUNTIFS(TblApplications[ID],$A245,TblApplications[Environnement],$B245,TblApplications[Couloir],$C245))</f>
        <v/>
      </c>
      <c r="L245" s="26" t="str">
        <f>IF($A245="","",IF(OR($B245="",$C245="",$F245="",$G245=""),"Données manquantes",IF(OR(AND($B245&lt;&gt;"PRD",$B245&lt;&gt;"NPRD")),"Environnement invalide",IF(COUNTIF(TblDynatrace[Clé],$J245)&gt;1,"Doublon (ID + env + couloir)",IF(OR(NOT(ISNUMBER($F245)),NOT(ISNUMBER($G245))),"Valeur non numérique",IF(MIN($F245,$G245)&lt;0,"Valeur négative",IF(AND($E245&lt;&gt;"",COUNTIFS(TblClusters[Cluster],$E245,TblClusters[Plateforme],"ROKS")&gt;0),"Cluster observé sur ROKS : extraction attendue depuis IKS",IF(AND($E245&lt;&gt;"",COUNTIFS(TblClusters[Cluster],$E245,TblClusters[Plateforme],"IKS")=0),"Cluster IKS inconnu (info)",IF($K245=0,"Aucun déploiement correspondant (info)","OK")))))))))</f>
        <v/>
      </c>
    </row>
    <row r="246" spans="1:12" x14ac:dyDescent="0.2">
      <c r="A246" s="59"/>
      <c r="B246" s="59"/>
      <c r="C246" s="59"/>
      <c r="D246" s="59"/>
      <c r="E246" s="59"/>
      <c r="F246" s="63"/>
      <c r="G246" s="63"/>
      <c r="H246" s="59"/>
      <c r="I246" s="64"/>
      <c r="J246" s="26" t="str">
        <f t="shared" si="3"/>
        <v/>
      </c>
      <c r="K246" s="26" t="str">
        <f>IF($A246="","",COUNTIFS(TblApplications[ID],$A246,TblApplications[Environnement],$B246,TblApplications[Couloir],$C246))</f>
        <v/>
      </c>
      <c r="L246" s="26" t="str">
        <f>IF($A246="","",IF(OR($B246="",$C246="",$F246="",$G246=""),"Données manquantes",IF(OR(AND($B246&lt;&gt;"PRD",$B246&lt;&gt;"NPRD")),"Environnement invalide",IF(COUNTIF(TblDynatrace[Clé],$J246)&gt;1,"Doublon (ID + env + couloir)",IF(OR(NOT(ISNUMBER($F246)),NOT(ISNUMBER($G246))),"Valeur non numérique",IF(MIN($F246,$G246)&lt;0,"Valeur négative",IF(AND($E246&lt;&gt;"",COUNTIFS(TblClusters[Cluster],$E246,TblClusters[Plateforme],"ROKS")&gt;0),"Cluster observé sur ROKS : extraction attendue depuis IKS",IF(AND($E246&lt;&gt;"",COUNTIFS(TblClusters[Cluster],$E246,TblClusters[Plateforme],"IKS")=0),"Cluster IKS inconnu (info)",IF($K246=0,"Aucun déploiement correspondant (info)","OK")))))))))</f>
        <v/>
      </c>
    </row>
    <row r="247" spans="1:12" x14ac:dyDescent="0.2">
      <c r="A247" s="59"/>
      <c r="B247" s="59"/>
      <c r="C247" s="59"/>
      <c r="D247" s="59"/>
      <c r="E247" s="59"/>
      <c r="F247" s="63"/>
      <c r="G247" s="63"/>
      <c r="H247" s="59"/>
      <c r="I247" s="64"/>
      <c r="J247" s="26" t="str">
        <f t="shared" si="3"/>
        <v/>
      </c>
      <c r="K247" s="26" t="str">
        <f>IF($A247="","",COUNTIFS(TblApplications[ID],$A247,TblApplications[Environnement],$B247,TblApplications[Couloir],$C247))</f>
        <v/>
      </c>
      <c r="L247" s="26" t="str">
        <f>IF($A247="","",IF(OR($B247="",$C247="",$F247="",$G247=""),"Données manquantes",IF(OR(AND($B247&lt;&gt;"PRD",$B247&lt;&gt;"NPRD")),"Environnement invalide",IF(COUNTIF(TblDynatrace[Clé],$J247)&gt;1,"Doublon (ID + env + couloir)",IF(OR(NOT(ISNUMBER($F247)),NOT(ISNUMBER($G247))),"Valeur non numérique",IF(MIN($F247,$G247)&lt;0,"Valeur négative",IF(AND($E247&lt;&gt;"",COUNTIFS(TblClusters[Cluster],$E247,TblClusters[Plateforme],"ROKS")&gt;0),"Cluster observé sur ROKS : extraction attendue depuis IKS",IF(AND($E247&lt;&gt;"",COUNTIFS(TblClusters[Cluster],$E247,TblClusters[Plateforme],"IKS")=0),"Cluster IKS inconnu (info)",IF($K247=0,"Aucun déploiement correspondant (info)","OK")))))))))</f>
        <v/>
      </c>
    </row>
    <row r="248" spans="1:12" x14ac:dyDescent="0.2">
      <c r="A248" s="59"/>
      <c r="B248" s="59"/>
      <c r="C248" s="59"/>
      <c r="D248" s="59"/>
      <c r="E248" s="59"/>
      <c r="F248" s="63"/>
      <c r="G248" s="63"/>
      <c r="H248" s="59"/>
      <c r="I248" s="64"/>
      <c r="J248" s="26" t="str">
        <f t="shared" si="3"/>
        <v/>
      </c>
      <c r="K248" s="26" t="str">
        <f>IF($A248="","",COUNTIFS(TblApplications[ID],$A248,TblApplications[Environnement],$B248,TblApplications[Couloir],$C248))</f>
        <v/>
      </c>
      <c r="L248" s="26" t="str">
        <f>IF($A248="","",IF(OR($B248="",$C248="",$F248="",$G248=""),"Données manquantes",IF(OR(AND($B248&lt;&gt;"PRD",$B248&lt;&gt;"NPRD")),"Environnement invalide",IF(COUNTIF(TblDynatrace[Clé],$J248)&gt;1,"Doublon (ID + env + couloir)",IF(OR(NOT(ISNUMBER($F248)),NOT(ISNUMBER($G248))),"Valeur non numérique",IF(MIN($F248,$G248)&lt;0,"Valeur négative",IF(AND($E248&lt;&gt;"",COUNTIFS(TblClusters[Cluster],$E248,TblClusters[Plateforme],"ROKS")&gt;0),"Cluster observé sur ROKS : extraction attendue depuis IKS",IF(AND($E248&lt;&gt;"",COUNTIFS(TblClusters[Cluster],$E248,TblClusters[Plateforme],"IKS")=0),"Cluster IKS inconnu (info)",IF($K248=0,"Aucun déploiement correspondant (info)","OK")))))))))</f>
        <v/>
      </c>
    </row>
    <row r="249" spans="1:12" x14ac:dyDescent="0.2">
      <c r="A249" s="59"/>
      <c r="B249" s="59"/>
      <c r="C249" s="59"/>
      <c r="D249" s="59"/>
      <c r="E249" s="59"/>
      <c r="F249" s="63"/>
      <c r="G249" s="63"/>
      <c r="H249" s="59"/>
      <c r="I249" s="64"/>
      <c r="J249" s="26" t="str">
        <f t="shared" si="3"/>
        <v/>
      </c>
      <c r="K249" s="26" t="str">
        <f>IF($A249="","",COUNTIFS(TblApplications[ID],$A249,TblApplications[Environnement],$B249,TblApplications[Couloir],$C249))</f>
        <v/>
      </c>
      <c r="L249" s="26" t="str">
        <f>IF($A249="","",IF(OR($B249="",$C249="",$F249="",$G249=""),"Données manquantes",IF(OR(AND($B249&lt;&gt;"PRD",$B249&lt;&gt;"NPRD")),"Environnement invalide",IF(COUNTIF(TblDynatrace[Clé],$J249)&gt;1,"Doublon (ID + env + couloir)",IF(OR(NOT(ISNUMBER($F249)),NOT(ISNUMBER($G249))),"Valeur non numérique",IF(MIN($F249,$G249)&lt;0,"Valeur négative",IF(AND($E249&lt;&gt;"",COUNTIFS(TblClusters[Cluster],$E249,TblClusters[Plateforme],"ROKS")&gt;0),"Cluster observé sur ROKS : extraction attendue depuis IKS",IF(AND($E249&lt;&gt;"",COUNTIFS(TblClusters[Cluster],$E249,TblClusters[Plateforme],"IKS")=0),"Cluster IKS inconnu (info)",IF($K249=0,"Aucun déploiement correspondant (info)","OK")))))))))</f>
        <v/>
      </c>
    </row>
    <row r="250" spans="1:12" x14ac:dyDescent="0.2">
      <c r="A250" s="59"/>
      <c r="B250" s="59"/>
      <c r="C250" s="59"/>
      <c r="D250" s="59"/>
      <c r="E250" s="59"/>
      <c r="F250" s="63"/>
      <c r="G250" s="63"/>
      <c r="H250" s="59"/>
      <c r="I250" s="64"/>
      <c r="J250" s="26" t="str">
        <f t="shared" si="3"/>
        <v/>
      </c>
      <c r="K250" s="26" t="str">
        <f>IF($A250="","",COUNTIFS(TblApplications[ID],$A250,TblApplications[Environnement],$B250,TblApplications[Couloir],$C250))</f>
        <v/>
      </c>
      <c r="L250" s="26" t="str">
        <f>IF($A250="","",IF(OR($B250="",$C250="",$F250="",$G250=""),"Données manquantes",IF(OR(AND($B250&lt;&gt;"PRD",$B250&lt;&gt;"NPRD")),"Environnement invalide",IF(COUNTIF(TblDynatrace[Clé],$J250)&gt;1,"Doublon (ID + env + couloir)",IF(OR(NOT(ISNUMBER($F250)),NOT(ISNUMBER($G250))),"Valeur non numérique",IF(MIN($F250,$G250)&lt;0,"Valeur négative",IF(AND($E250&lt;&gt;"",COUNTIFS(TblClusters[Cluster],$E250,TblClusters[Plateforme],"ROKS")&gt;0),"Cluster observé sur ROKS : extraction attendue depuis IKS",IF(AND($E250&lt;&gt;"",COUNTIFS(TblClusters[Cluster],$E250,TblClusters[Plateforme],"IKS")=0),"Cluster IKS inconnu (info)",IF($K250=0,"Aucun déploiement correspondant (info)","OK")))))))))</f>
        <v/>
      </c>
    </row>
    <row r="251" spans="1:12" x14ac:dyDescent="0.2">
      <c r="A251" s="59"/>
      <c r="B251" s="59"/>
      <c r="C251" s="59"/>
      <c r="D251" s="59"/>
      <c r="E251" s="59"/>
      <c r="F251" s="63"/>
      <c r="G251" s="63"/>
      <c r="H251" s="59"/>
      <c r="I251" s="64"/>
      <c r="J251" s="26" t="str">
        <f t="shared" si="3"/>
        <v/>
      </c>
      <c r="K251" s="26" t="str">
        <f>IF($A251="","",COUNTIFS(TblApplications[ID],$A251,TblApplications[Environnement],$B251,TblApplications[Couloir],$C251))</f>
        <v/>
      </c>
      <c r="L251" s="26" t="str">
        <f>IF($A251="","",IF(OR($B251="",$C251="",$F251="",$G251=""),"Données manquantes",IF(OR(AND($B251&lt;&gt;"PRD",$B251&lt;&gt;"NPRD")),"Environnement invalide",IF(COUNTIF(TblDynatrace[Clé],$J251)&gt;1,"Doublon (ID + env + couloir)",IF(OR(NOT(ISNUMBER($F251)),NOT(ISNUMBER($G251))),"Valeur non numérique",IF(MIN($F251,$G251)&lt;0,"Valeur négative",IF(AND($E251&lt;&gt;"",COUNTIFS(TblClusters[Cluster],$E251,TblClusters[Plateforme],"ROKS")&gt;0),"Cluster observé sur ROKS : extraction attendue depuis IKS",IF(AND($E251&lt;&gt;"",COUNTIFS(TblClusters[Cluster],$E251,TblClusters[Plateforme],"IKS")=0),"Cluster IKS inconnu (info)",IF($K251=0,"Aucun déploiement correspondant (info)","OK")))))))))</f>
        <v/>
      </c>
    </row>
    <row r="252" spans="1:12" x14ac:dyDescent="0.2">
      <c r="A252" s="59"/>
      <c r="B252" s="59"/>
      <c r="C252" s="59"/>
      <c r="D252" s="59"/>
      <c r="E252" s="59"/>
      <c r="F252" s="63"/>
      <c r="G252" s="63"/>
      <c r="H252" s="59"/>
      <c r="I252" s="64"/>
      <c r="J252" s="26" t="str">
        <f t="shared" si="3"/>
        <v/>
      </c>
      <c r="K252" s="26" t="str">
        <f>IF($A252="","",COUNTIFS(TblApplications[ID],$A252,TblApplications[Environnement],$B252,TblApplications[Couloir],$C252))</f>
        <v/>
      </c>
      <c r="L252" s="26" t="str">
        <f>IF($A252="","",IF(OR($B252="",$C252="",$F252="",$G252=""),"Données manquantes",IF(OR(AND($B252&lt;&gt;"PRD",$B252&lt;&gt;"NPRD")),"Environnement invalide",IF(COUNTIF(TblDynatrace[Clé],$J252)&gt;1,"Doublon (ID + env + couloir)",IF(OR(NOT(ISNUMBER($F252)),NOT(ISNUMBER($G252))),"Valeur non numérique",IF(MIN($F252,$G252)&lt;0,"Valeur négative",IF(AND($E252&lt;&gt;"",COUNTIFS(TblClusters[Cluster],$E252,TblClusters[Plateforme],"ROKS")&gt;0),"Cluster observé sur ROKS : extraction attendue depuis IKS",IF(AND($E252&lt;&gt;"",COUNTIFS(TblClusters[Cluster],$E252,TblClusters[Plateforme],"IKS")=0),"Cluster IKS inconnu (info)",IF($K252=0,"Aucun déploiement correspondant (info)","OK")))))))))</f>
        <v/>
      </c>
    </row>
    <row r="253" spans="1:12" x14ac:dyDescent="0.2">
      <c r="A253" s="59"/>
      <c r="B253" s="59"/>
      <c r="C253" s="59"/>
      <c r="D253" s="59"/>
      <c r="E253" s="59"/>
      <c r="F253" s="63"/>
      <c r="G253" s="63"/>
      <c r="H253" s="59"/>
      <c r="I253" s="64"/>
      <c r="J253" s="26" t="str">
        <f t="shared" si="3"/>
        <v/>
      </c>
      <c r="K253" s="26" t="str">
        <f>IF($A253="","",COUNTIFS(TblApplications[ID],$A253,TblApplications[Environnement],$B253,TblApplications[Couloir],$C253))</f>
        <v/>
      </c>
      <c r="L253" s="26" t="str">
        <f>IF($A253="","",IF(OR($B253="",$C253="",$F253="",$G253=""),"Données manquantes",IF(OR(AND($B253&lt;&gt;"PRD",$B253&lt;&gt;"NPRD")),"Environnement invalide",IF(COUNTIF(TblDynatrace[Clé],$J253)&gt;1,"Doublon (ID + env + couloir)",IF(OR(NOT(ISNUMBER($F253)),NOT(ISNUMBER($G253))),"Valeur non numérique",IF(MIN($F253,$G253)&lt;0,"Valeur négative",IF(AND($E253&lt;&gt;"",COUNTIFS(TblClusters[Cluster],$E253,TblClusters[Plateforme],"ROKS")&gt;0),"Cluster observé sur ROKS : extraction attendue depuis IKS",IF(AND($E253&lt;&gt;"",COUNTIFS(TblClusters[Cluster],$E253,TblClusters[Plateforme],"IKS")=0),"Cluster IKS inconnu (info)",IF($K253=0,"Aucun déploiement correspondant (info)","OK")))))))))</f>
        <v/>
      </c>
    </row>
    <row r="254" spans="1:12" x14ac:dyDescent="0.2">
      <c r="A254" s="59"/>
      <c r="B254" s="59"/>
      <c r="C254" s="59"/>
      <c r="D254" s="59"/>
      <c r="E254" s="59"/>
      <c r="F254" s="63"/>
      <c r="G254" s="63"/>
      <c r="H254" s="59"/>
      <c r="I254" s="64"/>
      <c r="J254" s="26" t="str">
        <f t="shared" si="3"/>
        <v/>
      </c>
      <c r="K254" s="26" t="str">
        <f>IF($A254="","",COUNTIFS(TblApplications[ID],$A254,TblApplications[Environnement],$B254,TblApplications[Couloir],$C254))</f>
        <v/>
      </c>
      <c r="L254" s="26" t="str">
        <f>IF($A254="","",IF(OR($B254="",$C254="",$F254="",$G254=""),"Données manquantes",IF(OR(AND($B254&lt;&gt;"PRD",$B254&lt;&gt;"NPRD")),"Environnement invalide",IF(COUNTIF(TblDynatrace[Clé],$J254)&gt;1,"Doublon (ID + env + couloir)",IF(OR(NOT(ISNUMBER($F254)),NOT(ISNUMBER($G254))),"Valeur non numérique",IF(MIN($F254,$G254)&lt;0,"Valeur négative",IF(AND($E254&lt;&gt;"",COUNTIFS(TblClusters[Cluster],$E254,TblClusters[Plateforme],"ROKS")&gt;0),"Cluster observé sur ROKS : extraction attendue depuis IKS",IF(AND($E254&lt;&gt;"",COUNTIFS(TblClusters[Cluster],$E254,TblClusters[Plateforme],"IKS")=0),"Cluster IKS inconnu (info)",IF($K254=0,"Aucun déploiement correspondant (info)","OK")))))))))</f>
        <v/>
      </c>
    </row>
    <row r="255" spans="1:12" x14ac:dyDescent="0.2">
      <c r="A255" s="59"/>
      <c r="B255" s="59"/>
      <c r="C255" s="59"/>
      <c r="D255" s="59"/>
      <c r="E255" s="59"/>
      <c r="F255" s="63"/>
      <c r="G255" s="63"/>
      <c r="H255" s="59"/>
      <c r="I255" s="64"/>
      <c r="J255" s="26" t="str">
        <f t="shared" si="3"/>
        <v/>
      </c>
      <c r="K255" s="26" t="str">
        <f>IF($A255="","",COUNTIFS(TblApplications[ID],$A255,TblApplications[Environnement],$B255,TblApplications[Couloir],$C255))</f>
        <v/>
      </c>
      <c r="L255" s="26" t="str">
        <f>IF($A255="","",IF(OR($B255="",$C255="",$F255="",$G255=""),"Données manquantes",IF(OR(AND($B255&lt;&gt;"PRD",$B255&lt;&gt;"NPRD")),"Environnement invalide",IF(COUNTIF(TblDynatrace[Clé],$J255)&gt;1,"Doublon (ID + env + couloir)",IF(OR(NOT(ISNUMBER($F255)),NOT(ISNUMBER($G255))),"Valeur non numérique",IF(MIN($F255,$G255)&lt;0,"Valeur négative",IF(AND($E255&lt;&gt;"",COUNTIFS(TblClusters[Cluster],$E255,TblClusters[Plateforme],"ROKS")&gt;0),"Cluster observé sur ROKS : extraction attendue depuis IKS",IF(AND($E255&lt;&gt;"",COUNTIFS(TblClusters[Cluster],$E255,TblClusters[Plateforme],"IKS")=0),"Cluster IKS inconnu (info)",IF($K255=0,"Aucun déploiement correspondant (info)","OK")))))))))</f>
        <v/>
      </c>
    </row>
    <row r="256" spans="1:12" x14ac:dyDescent="0.2">
      <c r="A256" s="59"/>
      <c r="B256" s="59"/>
      <c r="C256" s="59"/>
      <c r="D256" s="59"/>
      <c r="E256" s="59"/>
      <c r="F256" s="63"/>
      <c r="G256" s="63"/>
      <c r="H256" s="59"/>
      <c r="I256" s="64"/>
      <c r="J256" s="26" t="str">
        <f t="shared" si="3"/>
        <v/>
      </c>
      <c r="K256" s="26" t="str">
        <f>IF($A256="","",COUNTIFS(TblApplications[ID],$A256,TblApplications[Environnement],$B256,TblApplications[Couloir],$C256))</f>
        <v/>
      </c>
      <c r="L256" s="26" t="str">
        <f>IF($A256="","",IF(OR($B256="",$C256="",$F256="",$G256=""),"Données manquantes",IF(OR(AND($B256&lt;&gt;"PRD",$B256&lt;&gt;"NPRD")),"Environnement invalide",IF(COUNTIF(TblDynatrace[Clé],$J256)&gt;1,"Doublon (ID + env + couloir)",IF(OR(NOT(ISNUMBER($F256)),NOT(ISNUMBER($G256))),"Valeur non numérique",IF(MIN($F256,$G256)&lt;0,"Valeur négative",IF(AND($E256&lt;&gt;"",COUNTIFS(TblClusters[Cluster],$E256,TblClusters[Plateforme],"ROKS")&gt;0),"Cluster observé sur ROKS : extraction attendue depuis IKS",IF(AND($E256&lt;&gt;"",COUNTIFS(TblClusters[Cluster],$E256,TblClusters[Plateforme],"IKS")=0),"Cluster IKS inconnu (info)",IF($K256=0,"Aucun déploiement correspondant (info)","OK")))))))))</f>
        <v/>
      </c>
    </row>
    <row r="257" spans="1:12" x14ac:dyDescent="0.2">
      <c r="A257" s="59"/>
      <c r="B257" s="59"/>
      <c r="C257" s="59"/>
      <c r="D257" s="59"/>
      <c r="E257" s="59"/>
      <c r="F257" s="63"/>
      <c r="G257" s="63"/>
      <c r="H257" s="59"/>
      <c r="I257" s="64"/>
      <c r="J257" s="26" t="str">
        <f t="shared" si="3"/>
        <v/>
      </c>
      <c r="K257" s="26" t="str">
        <f>IF($A257="","",COUNTIFS(TblApplications[ID],$A257,TblApplications[Environnement],$B257,TblApplications[Couloir],$C257))</f>
        <v/>
      </c>
      <c r="L257" s="26" t="str">
        <f>IF($A257="","",IF(OR($B257="",$C257="",$F257="",$G257=""),"Données manquantes",IF(OR(AND($B257&lt;&gt;"PRD",$B257&lt;&gt;"NPRD")),"Environnement invalide",IF(COUNTIF(TblDynatrace[Clé],$J257)&gt;1,"Doublon (ID + env + couloir)",IF(OR(NOT(ISNUMBER($F257)),NOT(ISNUMBER($G257))),"Valeur non numérique",IF(MIN($F257,$G257)&lt;0,"Valeur négative",IF(AND($E257&lt;&gt;"",COUNTIFS(TblClusters[Cluster],$E257,TblClusters[Plateforme],"ROKS")&gt;0),"Cluster observé sur ROKS : extraction attendue depuis IKS",IF(AND($E257&lt;&gt;"",COUNTIFS(TblClusters[Cluster],$E257,TblClusters[Plateforme],"IKS")=0),"Cluster IKS inconnu (info)",IF($K257=0,"Aucun déploiement correspondant (info)","OK")))))))))</f>
        <v/>
      </c>
    </row>
    <row r="258" spans="1:12" x14ac:dyDescent="0.2">
      <c r="A258" s="59"/>
      <c r="B258" s="59"/>
      <c r="C258" s="59"/>
      <c r="D258" s="59"/>
      <c r="E258" s="59"/>
      <c r="F258" s="63"/>
      <c r="G258" s="63"/>
      <c r="H258" s="59"/>
      <c r="I258" s="64"/>
      <c r="J258" s="26" t="str">
        <f t="shared" si="3"/>
        <v/>
      </c>
      <c r="K258" s="26" t="str">
        <f>IF($A258="","",COUNTIFS(TblApplications[ID],$A258,TblApplications[Environnement],$B258,TblApplications[Couloir],$C258))</f>
        <v/>
      </c>
      <c r="L258" s="26" t="str">
        <f>IF($A258="","",IF(OR($B258="",$C258="",$F258="",$G258=""),"Données manquantes",IF(OR(AND($B258&lt;&gt;"PRD",$B258&lt;&gt;"NPRD")),"Environnement invalide",IF(COUNTIF(TblDynatrace[Clé],$J258)&gt;1,"Doublon (ID + env + couloir)",IF(OR(NOT(ISNUMBER($F258)),NOT(ISNUMBER($G258))),"Valeur non numérique",IF(MIN($F258,$G258)&lt;0,"Valeur négative",IF(AND($E258&lt;&gt;"",COUNTIFS(TblClusters[Cluster],$E258,TblClusters[Plateforme],"ROKS")&gt;0),"Cluster observé sur ROKS : extraction attendue depuis IKS",IF(AND($E258&lt;&gt;"",COUNTIFS(TblClusters[Cluster],$E258,TblClusters[Plateforme],"IKS")=0),"Cluster IKS inconnu (info)",IF($K258=0,"Aucun déploiement correspondant (info)","OK")))))))))</f>
        <v/>
      </c>
    </row>
    <row r="259" spans="1:12" x14ac:dyDescent="0.2">
      <c r="A259" s="59"/>
      <c r="B259" s="59"/>
      <c r="C259" s="59"/>
      <c r="D259" s="59"/>
      <c r="E259" s="59"/>
      <c r="F259" s="63"/>
      <c r="G259" s="63"/>
      <c r="H259" s="59"/>
      <c r="I259" s="64"/>
      <c r="J259" s="26" t="str">
        <f t="shared" si="3"/>
        <v/>
      </c>
      <c r="K259" s="26" t="str">
        <f>IF($A259="","",COUNTIFS(TblApplications[ID],$A259,TblApplications[Environnement],$B259,TblApplications[Couloir],$C259))</f>
        <v/>
      </c>
      <c r="L259" s="26" t="str">
        <f>IF($A259="","",IF(OR($B259="",$C259="",$F259="",$G259=""),"Données manquantes",IF(OR(AND($B259&lt;&gt;"PRD",$B259&lt;&gt;"NPRD")),"Environnement invalide",IF(COUNTIF(TblDynatrace[Clé],$J259)&gt;1,"Doublon (ID + env + couloir)",IF(OR(NOT(ISNUMBER($F259)),NOT(ISNUMBER($G259))),"Valeur non numérique",IF(MIN($F259,$G259)&lt;0,"Valeur négative",IF(AND($E259&lt;&gt;"",COUNTIFS(TblClusters[Cluster],$E259,TblClusters[Plateforme],"ROKS")&gt;0),"Cluster observé sur ROKS : extraction attendue depuis IKS",IF(AND($E259&lt;&gt;"",COUNTIFS(TblClusters[Cluster],$E259,TblClusters[Plateforme],"IKS")=0),"Cluster IKS inconnu (info)",IF($K259=0,"Aucun déploiement correspondant (info)","OK")))))))))</f>
        <v/>
      </c>
    </row>
    <row r="260" spans="1:12" x14ac:dyDescent="0.2">
      <c r="A260" s="59"/>
      <c r="B260" s="59"/>
      <c r="C260" s="59"/>
      <c r="D260" s="59"/>
      <c r="E260" s="59"/>
      <c r="F260" s="63"/>
      <c r="G260" s="63"/>
      <c r="H260" s="59"/>
      <c r="I260" s="64"/>
      <c r="J260" s="26" t="str">
        <f t="shared" si="3"/>
        <v/>
      </c>
      <c r="K260" s="26" t="str">
        <f>IF($A260="","",COUNTIFS(TblApplications[ID],$A260,TblApplications[Environnement],$B260,TblApplications[Couloir],$C260))</f>
        <v/>
      </c>
      <c r="L260" s="26" t="str">
        <f>IF($A260="","",IF(OR($B260="",$C260="",$F260="",$G260=""),"Données manquantes",IF(OR(AND($B260&lt;&gt;"PRD",$B260&lt;&gt;"NPRD")),"Environnement invalide",IF(COUNTIF(TblDynatrace[Clé],$J260)&gt;1,"Doublon (ID + env + couloir)",IF(OR(NOT(ISNUMBER($F260)),NOT(ISNUMBER($G260))),"Valeur non numérique",IF(MIN($F260,$G260)&lt;0,"Valeur négative",IF(AND($E260&lt;&gt;"",COUNTIFS(TblClusters[Cluster],$E260,TblClusters[Plateforme],"ROKS")&gt;0),"Cluster observé sur ROKS : extraction attendue depuis IKS",IF(AND($E260&lt;&gt;"",COUNTIFS(TblClusters[Cluster],$E260,TblClusters[Plateforme],"IKS")=0),"Cluster IKS inconnu (info)",IF($K260=0,"Aucun déploiement correspondant (info)","OK")))))))))</f>
        <v/>
      </c>
    </row>
    <row r="261" spans="1:12" x14ac:dyDescent="0.2">
      <c r="A261" s="59"/>
      <c r="B261" s="59"/>
      <c r="C261" s="59"/>
      <c r="D261" s="59"/>
      <c r="E261" s="59"/>
      <c r="F261" s="63"/>
      <c r="G261" s="63"/>
      <c r="H261" s="59"/>
      <c r="I261" s="64"/>
      <c r="J261" s="26" t="str">
        <f t="shared" si="3"/>
        <v/>
      </c>
      <c r="K261" s="26" t="str">
        <f>IF($A261="","",COUNTIFS(TblApplications[ID],$A261,TblApplications[Environnement],$B261,TblApplications[Couloir],$C261))</f>
        <v/>
      </c>
      <c r="L261" s="26" t="str">
        <f>IF($A261="","",IF(OR($B261="",$C261="",$F261="",$G261=""),"Données manquantes",IF(OR(AND($B261&lt;&gt;"PRD",$B261&lt;&gt;"NPRD")),"Environnement invalide",IF(COUNTIF(TblDynatrace[Clé],$J261)&gt;1,"Doublon (ID + env + couloir)",IF(OR(NOT(ISNUMBER($F261)),NOT(ISNUMBER($G261))),"Valeur non numérique",IF(MIN($F261,$G261)&lt;0,"Valeur négative",IF(AND($E261&lt;&gt;"",COUNTIFS(TblClusters[Cluster],$E261,TblClusters[Plateforme],"ROKS")&gt;0),"Cluster observé sur ROKS : extraction attendue depuis IKS",IF(AND($E261&lt;&gt;"",COUNTIFS(TblClusters[Cluster],$E261,TblClusters[Plateforme],"IKS")=0),"Cluster IKS inconnu (info)",IF($K261=0,"Aucun déploiement correspondant (info)","OK")))))))))</f>
        <v/>
      </c>
    </row>
    <row r="262" spans="1:12" x14ac:dyDescent="0.2">
      <c r="A262" s="59"/>
      <c r="B262" s="59"/>
      <c r="C262" s="59"/>
      <c r="D262" s="59"/>
      <c r="E262" s="59"/>
      <c r="F262" s="63"/>
      <c r="G262" s="63"/>
      <c r="H262" s="59"/>
      <c r="I262" s="64"/>
      <c r="J262" s="26" t="str">
        <f t="shared" ref="J262:J305" si="4">IF($A262="","",$A262&amp;"|"&amp;$B262&amp;"|"&amp;$C262)</f>
        <v/>
      </c>
      <c r="K262" s="26" t="str">
        <f>IF($A262="","",COUNTIFS(TblApplications[ID],$A262,TblApplications[Environnement],$B262,TblApplications[Couloir],$C262))</f>
        <v/>
      </c>
      <c r="L262" s="26" t="str">
        <f>IF($A262="","",IF(OR($B262="",$C262="",$F262="",$G262=""),"Données manquantes",IF(OR(AND($B262&lt;&gt;"PRD",$B262&lt;&gt;"NPRD")),"Environnement invalide",IF(COUNTIF(TblDynatrace[Clé],$J262)&gt;1,"Doublon (ID + env + couloir)",IF(OR(NOT(ISNUMBER($F262)),NOT(ISNUMBER($G262))),"Valeur non numérique",IF(MIN($F262,$G262)&lt;0,"Valeur négative",IF(AND($E262&lt;&gt;"",COUNTIFS(TblClusters[Cluster],$E262,TblClusters[Plateforme],"ROKS")&gt;0),"Cluster observé sur ROKS : extraction attendue depuis IKS",IF(AND($E262&lt;&gt;"",COUNTIFS(TblClusters[Cluster],$E262,TblClusters[Plateforme],"IKS")=0),"Cluster IKS inconnu (info)",IF($K262=0,"Aucun déploiement correspondant (info)","OK")))))))))</f>
        <v/>
      </c>
    </row>
    <row r="263" spans="1:12" x14ac:dyDescent="0.2">
      <c r="A263" s="59"/>
      <c r="B263" s="59"/>
      <c r="C263" s="59"/>
      <c r="D263" s="59"/>
      <c r="E263" s="59"/>
      <c r="F263" s="63"/>
      <c r="G263" s="63"/>
      <c r="H263" s="59"/>
      <c r="I263" s="64"/>
      <c r="J263" s="26" t="str">
        <f t="shared" si="4"/>
        <v/>
      </c>
      <c r="K263" s="26" t="str">
        <f>IF($A263="","",COUNTIFS(TblApplications[ID],$A263,TblApplications[Environnement],$B263,TblApplications[Couloir],$C263))</f>
        <v/>
      </c>
      <c r="L263" s="26" t="str">
        <f>IF($A263="","",IF(OR($B263="",$C263="",$F263="",$G263=""),"Données manquantes",IF(OR(AND($B263&lt;&gt;"PRD",$B263&lt;&gt;"NPRD")),"Environnement invalide",IF(COUNTIF(TblDynatrace[Clé],$J263)&gt;1,"Doublon (ID + env + couloir)",IF(OR(NOT(ISNUMBER($F263)),NOT(ISNUMBER($G263))),"Valeur non numérique",IF(MIN($F263,$G263)&lt;0,"Valeur négative",IF(AND($E263&lt;&gt;"",COUNTIFS(TblClusters[Cluster],$E263,TblClusters[Plateforme],"ROKS")&gt;0),"Cluster observé sur ROKS : extraction attendue depuis IKS",IF(AND($E263&lt;&gt;"",COUNTIFS(TblClusters[Cluster],$E263,TblClusters[Plateforme],"IKS")=0),"Cluster IKS inconnu (info)",IF($K263=0,"Aucun déploiement correspondant (info)","OK")))))))))</f>
        <v/>
      </c>
    </row>
    <row r="264" spans="1:12" x14ac:dyDescent="0.2">
      <c r="A264" s="59"/>
      <c r="B264" s="59"/>
      <c r="C264" s="59"/>
      <c r="D264" s="59"/>
      <c r="E264" s="59"/>
      <c r="F264" s="63"/>
      <c r="G264" s="63"/>
      <c r="H264" s="59"/>
      <c r="I264" s="64"/>
      <c r="J264" s="26" t="str">
        <f t="shared" si="4"/>
        <v/>
      </c>
      <c r="K264" s="26" t="str">
        <f>IF($A264="","",COUNTIFS(TblApplications[ID],$A264,TblApplications[Environnement],$B264,TblApplications[Couloir],$C264))</f>
        <v/>
      </c>
      <c r="L264" s="26" t="str">
        <f>IF($A264="","",IF(OR($B264="",$C264="",$F264="",$G264=""),"Données manquantes",IF(OR(AND($B264&lt;&gt;"PRD",$B264&lt;&gt;"NPRD")),"Environnement invalide",IF(COUNTIF(TblDynatrace[Clé],$J264)&gt;1,"Doublon (ID + env + couloir)",IF(OR(NOT(ISNUMBER($F264)),NOT(ISNUMBER($G264))),"Valeur non numérique",IF(MIN($F264,$G264)&lt;0,"Valeur négative",IF(AND($E264&lt;&gt;"",COUNTIFS(TblClusters[Cluster],$E264,TblClusters[Plateforme],"ROKS")&gt;0),"Cluster observé sur ROKS : extraction attendue depuis IKS",IF(AND($E264&lt;&gt;"",COUNTIFS(TblClusters[Cluster],$E264,TblClusters[Plateforme],"IKS")=0),"Cluster IKS inconnu (info)",IF($K264=0,"Aucun déploiement correspondant (info)","OK")))))))))</f>
        <v/>
      </c>
    </row>
    <row r="265" spans="1:12" x14ac:dyDescent="0.2">
      <c r="A265" s="59"/>
      <c r="B265" s="59"/>
      <c r="C265" s="59"/>
      <c r="D265" s="59"/>
      <c r="E265" s="59"/>
      <c r="F265" s="63"/>
      <c r="G265" s="63"/>
      <c r="H265" s="59"/>
      <c r="I265" s="64"/>
      <c r="J265" s="26" t="str">
        <f t="shared" si="4"/>
        <v/>
      </c>
      <c r="K265" s="26" t="str">
        <f>IF($A265="","",COUNTIFS(TblApplications[ID],$A265,TblApplications[Environnement],$B265,TblApplications[Couloir],$C265))</f>
        <v/>
      </c>
      <c r="L265" s="26" t="str">
        <f>IF($A265="","",IF(OR($B265="",$C265="",$F265="",$G265=""),"Données manquantes",IF(OR(AND($B265&lt;&gt;"PRD",$B265&lt;&gt;"NPRD")),"Environnement invalide",IF(COUNTIF(TblDynatrace[Clé],$J265)&gt;1,"Doublon (ID + env + couloir)",IF(OR(NOT(ISNUMBER($F265)),NOT(ISNUMBER($G265))),"Valeur non numérique",IF(MIN($F265,$G265)&lt;0,"Valeur négative",IF(AND($E265&lt;&gt;"",COUNTIFS(TblClusters[Cluster],$E265,TblClusters[Plateforme],"ROKS")&gt;0),"Cluster observé sur ROKS : extraction attendue depuis IKS",IF(AND($E265&lt;&gt;"",COUNTIFS(TblClusters[Cluster],$E265,TblClusters[Plateforme],"IKS")=0),"Cluster IKS inconnu (info)",IF($K265=0,"Aucun déploiement correspondant (info)","OK")))))))))</f>
        <v/>
      </c>
    </row>
    <row r="266" spans="1:12" x14ac:dyDescent="0.2">
      <c r="A266" s="59"/>
      <c r="B266" s="59"/>
      <c r="C266" s="59"/>
      <c r="D266" s="59"/>
      <c r="E266" s="59"/>
      <c r="F266" s="63"/>
      <c r="G266" s="63"/>
      <c r="H266" s="59"/>
      <c r="I266" s="64"/>
      <c r="J266" s="26" t="str">
        <f t="shared" si="4"/>
        <v/>
      </c>
      <c r="K266" s="26" t="str">
        <f>IF($A266="","",COUNTIFS(TblApplications[ID],$A266,TblApplications[Environnement],$B266,TblApplications[Couloir],$C266))</f>
        <v/>
      </c>
      <c r="L266" s="26" t="str">
        <f>IF($A266="","",IF(OR($B266="",$C266="",$F266="",$G266=""),"Données manquantes",IF(OR(AND($B266&lt;&gt;"PRD",$B266&lt;&gt;"NPRD")),"Environnement invalide",IF(COUNTIF(TblDynatrace[Clé],$J266)&gt;1,"Doublon (ID + env + couloir)",IF(OR(NOT(ISNUMBER($F266)),NOT(ISNUMBER($G266))),"Valeur non numérique",IF(MIN($F266,$G266)&lt;0,"Valeur négative",IF(AND($E266&lt;&gt;"",COUNTIFS(TblClusters[Cluster],$E266,TblClusters[Plateforme],"ROKS")&gt;0),"Cluster observé sur ROKS : extraction attendue depuis IKS",IF(AND($E266&lt;&gt;"",COUNTIFS(TblClusters[Cluster],$E266,TblClusters[Plateforme],"IKS")=0),"Cluster IKS inconnu (info)",IF($K266=0,"Aucun déploiement correspondant (info)","OK")))))))))</f>
        <v/>
      </c>
    </row>
    <row r="267" spans="1:12" x14ac:dyDescent="0.2">
      <c r="A267" s="59"/>
      <c r="B267" s="59"/>
      <c r="C267" s="59"/>
      <c r="D267" s="59"/>
      <c r="E267" s="59"/>
      <c r="F267" s="63"/>
      <c r="G267" s="63"/>
      <c r="H267" s="59"/>
      <c r="I267" s="64"/>
      <c r="J267" s="26" t="str">
        <f t="shared" si="4"/>
        <v/>
      </c>
      <c r="K267" s="26" t="str">
        <f>IF($A267="","",COUNTIFS(TblApplications[ID],$A267,TblApplications[Environnement],$B267,TblApplications[Couloir],$C267))</f>
        <v/>
      </c>
      <c r="L267" s="26" t="str">
        <f>IF($A267="","",IF(OR($B267="",$C267="",$F267="",$G267=""),"Données manquantes",IF(OR(AND($B267&lt;&gt;"PRD",$B267&lt;&gt;"NPRD")),"Environnement invalide",IF(COUNTIF(TblDynatrace[Clé],$J267)&gt;1,"Doublon (ID + env + couloir)",IF(OR(NOT(ISNUMBER($F267)),NOT(ISNUMBER($G267))),"Valeur non numérique",IF(MIN($F267,$G267)&lt;0,"Valeur négative",IF(AND($E267&lt;&gt;"",COUNTIFS(TblClusters[Cluster],$E267,TblClusters[Plateforme],"ROKS")&gt;0),"Cluster observé sur ROKS : extraction attendue depuis IKS",IF(AND($E267&lt;&gt;"",COUNTIFS(TblClusters[Cluster],$E267,TblClusters[Plateforme],"IKS")=0),"Cluster IKS inconnu (info)",IF($K267=0,"Aucun déploiement correspondant (info)","OK")))))))))</f>
        <v/>
      </c>
    </row>
    <row r="268" spans="1:12" x14ac:dyDescent="0.2">
      <c r="A268" s="59"/>
      <c r="B268" s="59"/>
      <c r="C268" s="59"/>
      <c r="D268" s="59"/>
      <c r="E268" s="59"/>
      <c r="F268" s="63"/>
      <c r="G268" s="63"/>
      <c r="H268" s="59"/>
      <c r="I268" s="64"/>
      <c r="J268" s="26" t="str">
        <f t="shared" si="4"/>
        <v/>
      </c>
      <c r="K268" s="26" t="str">
        <f>IF($A268="","",COUNTIFS(TblApplications[ID],$A268,TblApplications[Environnement],$B268,TblApplications[Couloir],$C268))</f>
        <v/>
      </c>
      <c r="L268" s="26" t="str">
        <f>IF($A268="","",IF(OR($B268="",$C268="",$F268="",$G268=""),"Données manquantes",IF(OR(AND($B268&lt;&gt;"PRD",$B268&lt;&gt;"NPRD")),"Environnement invalide",IF(COUNTIF(TblDynatrace[Clé],$J268)&gt;1,"Doublon (ID + env + couloir)",IF(OR(NOT(ISNUMBER($F268)),NOT(ISNUMBER($G268))),"Valeur non numérique",IF(MIN($F268,$G268)&lt;0,"Valeur négative",IF(AND($E268&lt;&gt;"",COUNTIFS(TblClusters[Cluster],$E268,TblClusters[Plateforme],"ROKS")&gt;0),"Cluster observé sur ROKS : extraction attendue depuis IKS",IF(AND($E268&lt;&gt;"",COUNTIFS(TblClusters[Cluster],$E268,TblClusters[Plateforme],"IKS")=0),"Cluster IKS inconnu (info)",IF($K268=0,"Aucun déploiement correspondant (info)","OK")))))))))</f>
        <v/>
      </c>
    </row>
    <row r="269" spans="1:12" x14ac:dyDescent="0.2">
      <c r="A269" s="59"/>
      <c r="B269" s="59"/>
      <c r="C269" s="59"/>
      <c r="D269" s="59"/>
      <c r="E269" s="59"/>
      <c r="F269" s="63"/>
      <c r="G269" s="63"/>
      <c r="H269" s="59"/>
      <c r="I269" s="64"/>
      <c r="J269" s="26" t="str">
        <f t="shared" si="4"/>
        <v/>
      </c>
      <c r="K269" s="26" t="str">
        <f>IF($A269="","",COUNTIFS(TblApplications[ID],$A269,TblApplications[Environnement],$B269,TblApplications[Couloir],$C269))</f>
        <v/>
      </c>
      <c r="L269" s="26" t="str">
        <f>IF($A269="","",IF(OR($B269="",$C269="",$F269="",$G269=""),"Données manquantes",IF(OR(AND($B269&lt;&gt;"PRD",$B269&lt;&gt;"NPRD")),"Environnement invalide",IF(COUNTIF(TblDynatrace[Clé],$J269)&gt;1,"Doublon (ID + env + couloir)",IF(OR(NOT(ISNUMBER($F269)),NOT(ISNUMBER($G269))),"Valeur non numérique",IF(MIN($F269,$G269)&lt;0,"Valeur négative",IF(AND($E269&lt;&gt;"",COUNTIFS(TblClusters[Cluster],$E269,TblClusters[Plateforme],"ROKS")&gt;0),"Cluster observé sur ROKS : extraction attendue depuis IKS",IF(AND($E269&lt;&gt;"",COUNTIFS(TblClusters[Cluster],$E269,TblClusters[Plateforme],"IKS")=0),"Cluster IKS inconnu (info)",IF($K269=0,"Aucun déploiement correspondant (info)","OK")))))))))</f>
        <v/>
      </c>
    </row>
    <row r="270" spans="1:12" x14ac:dyDescent="0.2">
      <c r="A270" s="59"/>
      <c r="B270" s="59"/>
      <c r="C270" s="59"/>
      <c r="D270" s="59"/>
      <c r="E270" s="59"/>
      <c r="F270" s="63"/>
      <c r="G270" s="63"/>
      <c r="H270" s="59"/>
      <c r="I270" s="64"/>
      <c r="J270" s="26" t="str">
        <f t="shared" si="4"/>
        <v/>
      </c>
      <c r="K270" s="26" t="str">
        <f>IF($A270="","",COUNTIFS(TblApplications[ID],$A270,TblApplications[Environnement],$B270,TblApplications[Couloir],$C270))</f>
        <v/>
      </c>
      <c r="L270" s="26" t="str">
        <f>IF($A270="","",IF(OR($B270="",$C270="",$F270="",$G270=""),"Données manquantes",IF(OR(AND($B270&lt;&gt;"PRD",$B270&lt;&gt;"NPRD")),"Environnement invalide",IF(COUNTIF(TblDynatrace[Clé],$J270)&gt;1,"Doublon (ID + env + couloir)",IF(OR(NOT(ISNUMBER($F270)),NOT(ISNUMBER($G270))),"Valeur non numérique",IF(MIN($F270,$G270)&lt;0,"Valeur négative",IF(AND($E270&lt;&gt;"",COUNTIFS(TblClusters[Cluster],$E270,TblClusters[Plateforme],"ROKS")&gt;0),"Cluster observé sur ROKS : extraction attendue depuis IKS",IF(AND($E270&lt;&gt;"",COUNTIFS(TblClusters[Cluster],$E270,TblClusters[Plateforme],"IKS")=0),"Cluster IKS inconnu (info)",IF($K270=0,"Aucun déploiement correspondant (info)","OK")))))))))</f>
        <v/>
      </c>
    </row>
    <row r="271" spans="1:12" x14ac:dyDescent="0.2">
      <c r="A271" s="59"/>
      <c r="B271" s="59"/>
      <c r="C271" s="59"/>
      <c r="D271" s="59"/>
      <c r="E271" s="59"/>
      <c r="F271" s="63"/>
      <c r="G271" s="63"/>
      <c r="H271" s="59"/>
      <c r="I271" s="64"/>
      <c r="J271" s="26" t="str">
        <f t="shared" si="4"/>
        <v/>
      </c>
      <c r="K271" s="26" t="str">
        <f>IF($A271="","",COUNTIFS(TblApplications[ID],$A271,TblApplications[Environnement],$B271,TblApplications[Couloir],$C271))</f>
        <v/>
      </c>
      <c r="L271" s="26" t="str">
        <f>IF($A271="","",IF(OR($B271="",$C271="",$F271="",$G271=""),"Données manquantes",IF(OR(AND($B271&lt;&gt;"PRD",$B271&lt;&gt;"NPRD")),"Environnement invalide",IF(COUNTIF(TblDynatrace[Clé],$J271)&gt;1,"Doublon (ID + env + couloir)",IF(OR(NOT(ISNUMBER($F271)),NOT(ISNUMBER($G271))),"Valeur non numérique",IF(MIN($F271,$G271)&lt;0,"Valeur négative",IF(AND($E271&lt;&gt;"",COUNTIFS(TblClusters[Cluster],$E271,TblClusters[Plateforme],"ROKS")&gt;0),"Cluster observé sur ROKS : extraction attendue depuis IKS",IF(AND($E271&lt;&gt;"",COUNTIFS(TblClusters[Cluster],$E271,TblClusters[Plateforme],"IKS")=0),"Cluster IKS inconnu (info)",IF($K271=0,"Aucun déploiement correspondant (info)","OK")))))))))</f>
        <v/>
      </c>
    </row>
    <row r="272" spans="1:12" x14ac:dyDescent="0.2">
      <c r="A272" s="59"/>
      <c r="B272" s="59"/>
      <c r="C272" s="59"/>
      <c r="D272" s="59"/>
      <c r="E272" s="59"/>
      <c r="F272" s="63"/>
      <c r="G272" s="63"/>
      <c r="H272" s="59"/>
      <c r="I272" s="64"/>
      <c r="J272" s="26" t="str">
        <f t="shared" si="4"/>
        <v/>
      </c>
      <c r="K272" s="26" t="str">
        <f>IF($A272="","",COUNTIFS(TblApplications[ID],$A272,TblApplications[Environnement],$B272,TblApplications[Couloir],$C272))</f>
        <v/>
      </c>
      <c r="L272" s="26" t="str">
        <f>IF($A272="","",IF(OR($B272="",$C272="",$F272="",$G272=""),"Données manquantes",IF(OR(AND($B272&lt;&gt;"PRD",$B272&lt;&gt;"NPRD")),"Environnement invalide",IF(COUNTIF(TblDynatrace[Clé],$J272)&gt;1,"Doublon (ID + env + couloir)",IF(OR(NOT(ISNUMBER($F272)),NOT(ISNUMBER($G272))),"Valeur non numérique",IF(MIN($F272,$G272)&lt;0,"Valeur négative",IF(AND($E272&lt;&gt;"",COUNTIFS(TblClusters[Cluster],$E272,TblClusters[Plateforme],"ROKS")&gt;0),"Cluster observé sur ROKS : extraction attendue depuis IKS",IF(AND($E272&lt;&gt;"",COUNTIFS(TblClusters[Cluster],$E272,TblClusters[Plateforme],"IKS")=0),"Cluster IKS inconnu (info)",IF($K272=0,"Aucun déploiement correspondant (info)","OK")))))))))</f>
        <v/>
      </c>
    </row>
    <row r="273" spans="1:12" x14ac:dyDescent="0.2">
      <c r="A273" s="59"/>
      <c r="B273" s="59"/>
      <c r="C273" s="59"/>
      <c r="D273" s="59"/>
      <c r="E273" s="59"/>
      <c r="F273" s="63"/>
      <c r="G273" s="63"/>
      <c r="H273" s="59"/>
      <c r="I273" s="64"/>
      <c r="J273" s="26" t="str">
        <f t="shared" si="4"/>
        <v/>
      </c>
      <c r="K273" s="26" t="str">
        <f>IF($A273="","",COUNTIFS(TblApplications[ID],$A273,TblApplications[Environnement],$B273,TblApplications[Couloir],$C273))</f>
        <v/>
      </c>
      <c r="L273" s="26" t="str">
        <f>IF($A273="","",IF(OR($B273="",$C273="",$F273="",$G273=""),"Données manquantes",IF(OR(AND($B273&lt;&gt;"PRD",$B273&lt;&gt;"NPRD")),"Environnement invalide",IF(COUNTIF(TblDynatrace[Clé],$J273)&gt;1,"Doublon (ID + env + couloir)",IF(OR(NOT(ISNUMBER($F273)),NOT(ISNUMBER($G273))),"Valeur non numérique",IF(MIN($F273,$G273)&lt;0,"Valeur négative",IF(AND($E273&lt;&gt;"",COUNTIFS(TblClusters[Cluster],$E273,TblClusters[Plateforme],"ROKS")&gt;0),"Cluster observé sur ROKS : extraction attendue depuis IKS",IF(AND($E273&lt;&gt;"",COUNTIFS(TblClusters[Cluster],$E273,TblClusters[Plateforme],"IKS")=0),"Cluster IKS inconnu (info)",IF($K273=0,"Aucun déploiement correspondant (info)","OK")))))))))</f>
        <v/>
      </c>
    </row>
    <row r="274" spans="1:12" x14ac:dyDescent="0.2">
      <c r="A274" s="59"/>
      <c r="B274" s="59"/>
      <c r="C274" s="59"/>
      <c r="D274" s="59"/>
      <c r="E274" s="59"/>
      <c r="F274" s="63"/>
      <c r="G274" s="63"/>
      <c r="H274" s="59"/>
      <c r="I274" s="64"/>
      <c r="J274" s="26" t="str">
        <f t="shared" si="4"/>
        <v/>
      </c>
      <c r="K274" s="26" t="str">
        <f>IF($A274="","",COUNTIFS(TblApplications[ID],$A274,TblApplications[Environnement],$B274,TblApplications[Couloir],$C274))</f>
        <v/>
      </c>
      <c r="L274" s="26" t="str">
        <f>IF($A274="","",IF(OR($B274="",$C274="",$F274="",$G274=""),"Données manquantes",IF(OR(AND($B274&lt;&gt;"PRD",$B274&lt;&gt;"NPRD")),"Environnement invalide",IF(COUNTIF(TblDynatrace[Clé],$J274)&gt;1,"Doublon (ID + env + couloir)",IF(OR(NOT(ISNUMBER($F274)),NOT(ISNUMBER($G274))),"Valeur non numérique",IF(MIN($F274,$G274)&lt;0,"Valeur négative",IF(AND($E274&lt;&gt;"",COUNTIFS(TblClusters[Cluster],$E274,TblClusters[Plateforme],"ROKS")&gt;0),"Cluster observé sur ROKS : extraction attendue depuis IKS",IF(AND($E274&lt;&gt;"",COUNTIFS(TblClusters[Cluster],$E274,TblClusters[Plateforme],"IKS")=0),"Cluster IKS inconnu (info)",IF($K274=0,"Aucun déploiement correspondant (info)","OK")))))))))</f>
        <v/>
      </c>
    </row>
    <row r="275" spans="1:12" x14ac:dyDescent="0.2">
      <c r="A275" s="59"/>
      <c r="B275" s="59"/>
      <c r="C275" s="59"/>
      <c r="D275" s="59"/>
      <c r="E275" s="59"/>
      <c r="F275" s="63"/>
      <c r="G275" s="63"/>
      <c r="H275" s="59"/>
      <c r="I275" s="64"/>
      <c r="J275" s="26" t="str">
        <f t="shared" si="4"/>
        <v/>
      </c>
      <c r="K275" s="26" t="str">
        <f>IF($A275="","",COUNTIFS(TblApplications[ID],$A275,TblApplications[Environnement],$B275,TblApplications[Couloir],$C275))</f>
        <v/>
      </c>
      <c r="L275" s="26" t="str">
        <f>IF($A275="","",IF(OR($B275="",$C275="",$F275="",$G275=""),"Données manquantes",IF(OR(AND($B275&lt;&gt;"PRD",$B275&lt;&gt;"NPRD")),"Environnement invalide",IF(COUNTIF(TblDynatrace[Clé],$J275)&gt;1,"Doublon (ID + env + couloir)",IF(OR(NOT(ISNUMBER($F275)),NOT(ISNUMBER($G275))),"Valeur non numérique",IF(MIN($F275,$G275)&lt;0,"Valeur négative",IF(AND($E275&lt;&gt;"",COUNTIFS(TblClusters[Cluster],$E275,TblClusters[Plateforme],"ROKS")&gt;0),"Cluster observé sur ROKS : extraction attendue depuis IKS",IF(AND($E275&lt;&gt;"",COUNTIFS(TblClusters[Cluster],$E275,TblClusters[Plateforme],"IKS")=0),"Cluster IKS inconnu (info)",IF($K275=0,"Aucun déploiement correspondant (info)","OK")))))))))</f>
        <v/>
      </c>
    </row>
    <row r="276" spans="1:12" x14ac:dyDescent="0.2">
      <c r="A276" s="59"/>
      <c r="B276" s="59"/>
      <c r="C276" s="59"/>
      <c r="D276" s="59"/>
      <c r="E276" s="59"/>
      <c r="F276" s="63"/>
      <c r="G276" s="63"/>
      <c r="H276" s="59"/>
      <c r="I276" s="64"/>
      <c r="J276" s="26" t="str">
        <f t="shared" si="4"/>
        <v/>
      </c>
      <c r="K276" s="26" t="str">
        <f>IF($A276="","",COUNTIFS(TblApplications[ID],$A276,TblApplications[Environnement],$B276,TblApplications[Couloir],$C276))</f>
        <v/>
      </c>
      <c r="L276" s="26" t="str">
        <f>IF($A276="","",IF(OR($B276="",$C276="",$F276="",$G276=""),"Données manquantes",IF(OR(AND($B276&lt;&gt;"PRD",$B276&lt;&gt;"NPRD")),"Environnement invalide",IF(COUNTIF(TblDynatrace[Clé],$J276)&gt;1,"Doublon (ID + env + couloir)",IF(OR(NOT(ISNUMBER($F276)),NOT(ISNUMBER($G276))),"Valeur non numérique",IF(MIN($F276,$G276)&lt;0,"Valeur négative",IF(AND($E276&lt;&gt;"",COUNTIFS(TblClusters[Cluster],$E276,TblClusters[Plateforme],"ROKS")&gt;0),"Cluster observé sur ROKS : extraction attendue depuis IKS",IF(AND($E276&lt;&gt;"",COUNTIFS(TblClusters[Cluster],$E276,TblClusters[Plateforme],"IKS")=0),"Cluster IKS inconnu (info)",IF($K276=0,"Aucun déploiement correspondant (info)","OK")))))))))</f>
        <v/>
      </c>
    </row>
    <row r="277" spans="1:12" x14ac:dyDescent="0.2">
      <c r="A277" s="59"/>
      <c r="B277" s="59"/>
      <c r="C277" s="59"/>
      <c r="D277" s="59"/>
      <c r="E277" s="59"/>
      <c r="F277" s="63"/>
      <c r="G277" s="63"/>
      <c r="H277" s="59"/>
      <c r="I277" s="64"/>
      <c r="J277" s="26" t="str">
        <f t="shared" si="4"/>
        <v/>
      </c>
      <c r="K277" s="26" t="str">
        <f>IF($A277="","",COUNTIFS(TblApplications[ID],$A277,TblApplications[Environnement],$B277,TblApplications[Couloir],$C277))</f>
        <v/>
      </c>
      <c r="L277" s="26" t="str">
        <f>IF($A277="","",IF(OR($B277="",$C277="",$F277="",$G277=""),"Données manquantes",IF(OR(AND($B277&lt;&gt;"PRD",$B277&lt;&gt;"NPRD")),"Environnement invalide",IF(COUNTIF(TblDynatrace[Clé],$J277)&gt;1,"Doublon (ID + env + couloir)",IF(OR(NOT(ISNUMBER($F277)),NOT(ISNUMBER($G277))),"Valeur non numérique",IF(MIN($F277,$G277)&lt;0,"Valeur négative",IF(AND($E277&lt;&gt;"",COUNTIFS(TblClusters[Cluster],$E277,TblClusters[Plateforme],"ROKS")&gt;0),"Cluster observé sur ROKS : extraction attendue depuis IKS",IF(AND($E277&lt;&gt;"",COUNTIFS(TblClusters[Cluster],$E277,TblClusters[Plateforme],"IKS")=0),"Cluster IKS inconnu (info)",IF($K277=0,"Aucun déploiement correspondant (info)","OK")))))))))</f>
        <v/>
      </c>
    </row>
    <row r="278" spans="1:12" x14ac:dyDescent="0.2">
      <c r="A278" s="59"/>
      <c r="B278" s="59"/>
      <c r="C278" s="59"/>
      <c r="D278" s="59"/>
      <c r="E278" s="59"/>
      <c r="F278" s="63"/>
      <c r="G278" s="63"/>
      <c r="H278" s="59"/>
      <c r="I278" s="64"/>
      <c r="J278" s="26" t="str">
        <f t="shared" si="4"/>
        <v/>
      </c>
      <c r="K278" s="26" t="str">
        <f>IF($A278="","",COUNTIFS(TblApplications[ID],$A278,TblApplications[Environnement],$B278,TblApplications[Couloir],$C278))</f>
        <v/>
      </c>
      <c r="L278" s="26" t="str">
        <f>IF($A278="","",IF(OR($B278="",$C278="",$F278="",$G278=""),"Données manquantes",IF(OR(AND($B278&lt;&gt;"PRD",$B278&lt;&gt;"NPRD")),"Environnement invalide",IF(COUNTIF(TblDynatrace[Clé],$J278)&gt;1,"Doublon (ID + env + couloir)",IF(OR(NOT(ISNUMBER($F278)),NOT(ISNUMBER($G278))),"Valeur non numérique",IF(MIN($F278,$G278)&lt;0,"Valeur négative",IF(AND($E278&lt;&gt;"",COUNTIFS(TblClusters[Cluster],$E278,TblClusters[Plateforme],"ROKS")&gt;0),"Cluster observé sur ROKS : extraction attendue depuis IKS",IF(AND($E278&lt;&gt;"",COUNTIFS(TblClusters[Cluster],$E278,TblClusters[Plateforme],"IKS")=0),"Cluster IKS inconnu (info)",IF($K278=0,"Aucun déploiement correspondant (info)","OK")))))))))</f>
        <v/>
      </c>
    </row>
    <row r="279" spans="1:12" x14ac:dyDescent="0.2">
      <c r="A279" s="59"/>
      <c r="B279" s="59"/>
      <c r="C279" s="59"/>
      <c r="D279" s="59"/>
      <c r="E279" s="59"/>
      <c r="F279" s="63"/>
      <c r="G279" s="63"/>
      <c r="H279" s="59"/>
      <c r="I279" s="64"/>
      <c r="J279" s="26" t="str">
        <f t="shared" si="4"/>
        <v/>
      </c>
      <c r="K279" s="26" t="str">
        <f>IF($A279="","",COUNTIFS(TblApplications[ID],$A279,TblApplications[Environnement],$B279,TblApplications[Couloir],$C279))</f>
        <v/>
      </c>
      <c r="L279" s="26" t="str">
        <f>IF($A279="","",IF(OR($B279="",$C279="",$F279="",$G279=""),"Données manquantes",IF(OR(AND($B279&lt;&gt;"PRD",$B279&lt;&gt;"NPRD")),"Environnement invalide",IF(COUNTIF(TblDynatrace[Clé],$J279)&gt;1,"Doublon (ID + env + couloir)",IF(OR(NOT(ISNUMBER($F279)),NOT(ISNUMBER($G279))),"Valeur non numérique",IF(MIN($F279,$G279)&lt;0,"Valeur négative",IF(AND($E279&lt;&gt;"",COUNTIFS(TblClusters[Cluster],$E279,TblClusters[Plateforme],"ROKS")&gt;0),"Cluster observé sur ROKS : extraction attendue depuis IKS",IF(AND($E279&lt;&gt;"",COUNTIFS(TblClusters[Cluster],$E279,TblClusters[Plateforme],"IKS")=0),"Cluster IKS inconnu (info)",IF($K279=0,"Aucun déploiement correspondant (info)","OK")))))))))</f>
        <v/>
      </c>
    </row>
    <row r="280" spans="1:12" x14ac:dyDescent="0.2">
      <c r="A280" s="59"/>
      <c r="B280" s="59"/>
      <c r="C280" s="59"/>
      <c r="D280" s="59"/>
      <c r="E280" s="59"/>
      <c r="F280" s="63"/>
      <c r="G280" s="63"/>
      <c r="H280" s="59"/>
      <c r="I280" s="64"/>
      <c r="J280" s="26" t="str">
        <f t="shared" si="4"/>
        <v/>
      </c>
      <c r="K280" s="26" t="str">
        <f>IF($A280="","",COUNTIFS(TblApplications[ID],$A280,TblApplications[Environnement],$B280,TblApplications[Couloir],$C280))</f>
        <v/>
      </c>
      <c r="L280" s="26" t="str">
        <f>IF($A280="","",IF(OR($B280="",$C280="",$F280="",$G280=""),"Données manquantes",IF(OR(AND($B280&lt;&gt;"PRD",$B280&lt;&gt;"NPRD")),"Environnement invalide",IF(COUNTIF(TblDynatrace[Clé],$J280)&gt;1,"Doublon (ID + env + couloir)",IF(OR(NOT(ISNUMBER($F280)),NOT(ISNUMBER($G280))),"Valeur non numérique",IF(MIN($F280,$G280)&lt;0,"Valeur négative",IF(AND($E280&lt;&gt;"",COUNTIFS(TblClusters[Cluster],$E280,TblClusters[Plateforme],"ROKS")&gt;0),"Cluster observé sur ROKS : extraction attendue depuis IKS",IF(AND($E280&lt;&gt;"",COUNTIFS(TblClusters[Cluster],$E280,TblClusters[Plateforme],"IKS")=0),"Cluster IKS inconnu (info)",IF($K280=0,"Aucun déploiement correspondant (info)","OK")))))))))</f>
        <v/>
      </c>
    </row>
    <row r="281" spans="1:12" x14ac:dyDescent="0.2">
      <c r="A281" s="59"/>
      <c r="B281" s="59"/>
      <c r="C281" s="59"/>
      <c r="D281" s="59"/>
      <c r="E281" s="59"/>
      <c r="F281" s="63"/>
      <c r="G281" s="63"/>
      <c r="H281" s="59"/>
      <c r="I281" s="64"/>
      <c r="J281" s="26" t="str">
        <f t="shared" si="4"/>
        <v/>
      </c>
      <c r="K281" s="26" t="str">
        <f>IF($A281="","",COUNTIFS(TblApplications[ID],$A281,TblApplications[Environnement],$B281,TblApplications[Couloir],$C281))</f>
        <v/>
      </c>
      <c r="L281" s="26" t="str">
        <f>IF($A281="","",IF(OR($B281="",$C281="",$F281="",$G281=""),"Données manquantes",IF(OR(AND($B281&lt;&gt;"PRD",$B281&lt;&gt;"NPRD")),"Environnement invalide",IF(COUNTIF(TblDynatrace[Clé],$J281)&gt;1,"Doublon (ID + env + couloir)",IF(OR(NOT(ISNUMBER($F281)),NOT(ISNUMBER($G281))),"Valeur non numérique",IF(MIN($F281,$G281)&lt;0,"Valeur négative",IF(AND($E281&lt;&gt;"",COUNTIFS(TblClusters[Cluster],$E281,TblClusters[Plateforme],"ROKS")&gt;0),"Cluster observé sur ROKS : extraction attendue depuis IKS",IF(AND($E281&lt;&gt;"",COUNTIFS(TblClusters[Cluster],$E281,TblClusters[Plateforme],"IKS")=0),"Cluster IKS inconnu (info)",IF($K281=0,"Aucun déploiement correspondant (info)","OK")))))))))</f>
        <v/>
      </c>
    </row>
    <row r="282" spans="1:12" x14ac:dyDescent="0.2">
      <c r="A282" s="59"/>
      <c r="B282" s="59"/>
      <c r="C282" s="59"/>
      <c r="D282" s="59"/>
      <c r="E282" s="59"/>
      <c r="F282" s="63"/>
      <c r="G282" s="63"/>
      <c r="H282" s="59"/>
      <c r="I282" s="64"/>
      <c r="J282" s="26" t="str">
        <f t="shared" si="4"/>
        <v/>
      </c>
      <c r="K282" s="26" t="str">
        <f>IF($A282="","",COUNTIFS(TblApplications[ID],$A282,TblApplications[Environnement],$B282,TblApplications[Couloir],$C282))</f>
        <v/>
      </c>
      <c r="L282" s="26" t="str">
        <f>IF($A282="","",IF(OR($B282="",$C282="",$F282="",$G282=""),"Données manquantes",IF(OR(AND($B282&lt;&gt;"PRD",$B282&lt;&gt;"NPRD")),"Environnement invalide",IF(COUNTIF(TblDynatrace[Clé],$J282)&gt;1,"Doublon (ID + env + couloir)",IF(OR(NOT(ISNUMBER($F282)),NOT(ISNUMBER($G282))),"Valeur non numérique",IF(MIN($F282,$G282)&lt;0,"Valeur négative",IF(AND($E282&lt;&gt;"",COUNTIFS(TblClusters[Cluster],$E282,TblClusters[Plateforme],"ROKS")&gt;0),"Cluster observé sur ROKS : extraction attendue depuis IKS",IF(AND($E282&lt;&gt;"",COUNTIFS(TblClusters[Cluster],$E282,TblClusters[Plateforme],"IKS")=0),"Cluster IKS inconnu (info)",IF($K282=0,"Aucun déploiement correspondant (info)","OK")))))))))</f>
        <v/>
      </c>
    </row>
    <row r="283" spans="1:12" x14ac:dyDescent="0.2">
      <c r="A283" s="59"/>
      <c r="B283" s="59"/>
      <c r="C283" s="59"/>
      <c r="D283" s="59"/>
      <c r="E283" s="59"/>
      <c r="F283" s="63"/>
      <c r="G283" s="63"/>
      <c r="H283" s="59"/>
      <c r="I283" s="64"/>
      <c r="J283" s="26" t="str">
        <f t="shared" si="4"/>
        <v/>
      </c>
      <c r="K283" s="26" t="str">
        <f>IF($A283="","",COUNTIFS(TblApplications[ID],$A283,TblApplications[Environnement],$B283,TblApplications[Couloir],$C283))</f>
        <v/>
      </c>
      <c r="L283" s="26" t="str">
        <f>IF($A283="","",IF(OR($B283="",$C283="",$F283="",$G283=""),"Données manquantes",IF(OR(AND($B283&lt;&gt;"PRD",$B283&lt;&gt;"NPRD")),"Environnement invalide",IF(COUNTIF(TblDynatrace[Clé],$J283)&gt;1,"Doublon (ID + env + couloir)",IF(OR(NOT(ISNUMBER($F283)),NOT(ISNUMBER($G283))),"Valeur non numérique",IF(MIN($F283,$G283)&lt;0,"Valeur négative",IF(AND($E283&lt;&gt;"",COUNTIFS(TblClusters[Cluster],$E283,TblClusters[Plateforme],"ROKS")&gt;0),"Cluster observé sur ROKS : extraction attendue depuis IKS",IF(AND($E283&lt;&gt;"",COUNTIFS(TblClusters[Cluster],$E283,TblClusters[Plateforme],"IKS")=0),"Cluster IKS inconnu (info)",IF($K283=0,"Aucun déploiement correspondant (info)","OK")))))))))</f>
        <v/>
      </c>
    </row>
    <row r="284" spans="1:12" x14ac:dyDescent="0.2">
      <c r="A284" s="59"/>
      <c r="B284" s="59"/>
      <c r="C284" s="59"/>
      <c r="D284" s="59"/>
      <c r="E284" s="59"/>
      <c r="F284" s="63"/>
      <c r="G284" s="63"/>
      <c r="H284" s="59"/>
      <c r="I284" s="64"/>
      <c r="J284" s="26" t="str">
        <f t="shared" si="4"/>
        <v/>
      </c>
      <c r="K284" s="26" t="str">
        <f>IF($A284="","",COUNTIFS(TblApplications[ID],$A284,TblApplications[Environnement],$B284,TblApplications[Couloir],$C284))</f>
        <v/>
      </c>
      <c r="L284" s="26" t="str">
        <f>IF($A284="","",IF(OR($B284="",$C284="",$F284="",$G284=""),"Données manquantes",IF(OR(AND($B284&lt;&gt;"PRD",$B284&lt;&gt;"NPRD")),"Environnement invalide",IF(COUNTIF(TblDynatrace[Clé],$J284)&gt;1,"Doublon (ID + env + couloir)",IF(OR(NOT(ISNUMBER($F284)),NOT(ISNUMBER($G284))),"Valeur non numérique",IF(MIN($F284,$G284)&lt;0,"Valeur négative",IF(AND($E284&lt;&gt;"",COUNTIFS(TblClusters[Cluster],$E284,TblClusters[Plateforme],"ROKS")&gt;0),"Cluster observé sur ROKS : extraction attendue depuis IKS",IF(AND($E284&lt;&gt;"",COUNTIFS(TblClusters[Cluster],$E284,TblClusters[Plateforme],"IKS")=0),"Cluster IKS inconnu (info)",IF($K284=0,"Aucun déploiement correspondant (info)","OK")))))))))</f>
        <v/>
      </c>
    </row>
    <row r="285" spans="1:12" x14ac:dyDescent="0.2">
      <c r="A285" s="59"/>
      <c r="B285" s="59"/>
      <c r="C285" s="59"/>
      <c r="D285" s="59"/>
      <c r="E285" s="59"/>
      <c r="F285" s="63"/>
      <c r="G285" s="63"/>
      <c r="H285" s="59"/>
      <c r="I285" s="64"/>
      <c r="J285" s="26" t="str">
        <f t="shared" si="4"/>
        <v/>
      </c>
      <c r="K285" s="26" t="str">
        <f>IF($A285="","",COUNTIFS(TblApplications[ID],$A285,TblApplications[Environnement],$B285,TblApplications[Couloir],$C285))</f>
        <v/>
      </c>
      <c r="L285" s="26" t="str">
        <f>IF($A285="","",IF(OR($B285="",$C285="",$F285="",$G285=""),"Données manquantes",IF(OR(AND($B285&lt;&gt;"PRD",$B285&lt;&gt;"NPRD")),"Environnement invalide",IF(COUNTIF(TblDynatrace[Clé],$J285)&gt;1,"Doublon (ID + env + couloir)",IF(OR(NOT(ISNUMBER($F285)),NOT(ISNUMBER($G285))),"Valeur non numérique",IF(MIN($F285,$G285)&lt;0,"Valeur négative",IF(AND($E285&lt;&gt;"",COUNTIFS(TblClusters[Cluster],$E285,TblClusters[Plateforme],"ROKS")&gt;0),"Cluster observé sur ROKS : extraction attendue depuis IKS",IF(AND($E285&lt;&gt;"",COUNTIFS(TblClusters[Cluster],$E285,TblClusters[Plateforme],"IKS")=0),"Cluster IKS inconnu (info)",IF($K285=0,"Aucun déploiement correspondant (info)","OK")))))))))</f>
        <v/>
      </c>
    </row>
    <row r="286" spans="1:12" x14ac:dyDescent="0.2">
      <c r="A286" s="59"/>
      <c r="B286" s="59"/>
      <c r="C286" s="59"/>
      <c r="D286" s="59"/>
      <c r="E286" s="59"/>
      <c r="F286" s="63"/>
      <c r="G286" s="63"/>
      <c r="H286" s="59"/>
      <c r="I286" s="64"/>
      <c r="J286" s="26" t="str">
        <f t="shared" si="4"/>
        <v/>
      </c>
      <c r="K286" s="26" t="str">
        <f>IF($A286="","",COUNTIFS(TblApplications[ID],$A286,TblApplications[Environnement],$B286,TblApplications[Couloir],$C286))</f>
        <v/>
      </c>
      <c r="L286" s="26" t="str">
        <f>IF($A286="","",IF(OR($B286="",$C286="",$F286="",$G286=""),"Données manquantes",IF(OR(AND($B286&lt;&gt;"PRD",$B286&lt;&gt;"NPRD")),"Environnement invalide",IF(COUNTIF(TblDynatrace[Clé],$J286)&gt;1,"Doublon (ID + env + couloir)",IF(OR(NOT(ISNUMBER($F286)),NOT(ISNUMBER($G286))),"Valeur non numérique",IF(MIN($F286,$G286)&lt;0,"Valeur négative",IF(AND($E286&lt;&gt;"",COUNTIFS(TblClusters[Cluster],$E286,TblClusters[Plateforme],"ROKS")&gt;0),"Cluster observé sur ROKS : extraction attendue depuis IKS",IF(AND($E286&lt;&gt;"",COUNTIFS(TblClusters[Cluster],$E286,TblClusters[Plateforme],"IKS")=0),"Cluster IKS inconnu (info)",IF($K286=0,"Aucun déploiement correspondant (info)","OK")))))))))</f>
        <v/>
      </c>
    </row>
    <row r="287" spans="1:12" x14ac:dyDescent="0.2">
      <c r="A287" s="59"/>
      <c r="B287" s="59"/>
      <c r="C287" s="59"/>
      <c r="D287" s="59"/>
      <c r="E287" s="59"/>
      <c r="F287" s="63"/>
      <c r="G287" s="63"/>
      <c r="H287" s="59"/>
      <c r="I287" s="64"/>
      <c r="J287" s="26" t="str">
        <f t="shared" si="4"/>
        <v/>
      </c>
      <c r="K287" s="26" t="str">
        <f>IF($A287="","",COUNTIFS(TblApplications[ID],$A287,TblApplications[Environnement],$B287,TblApplications[Couloir],$C287))</f>
        <v/>
      </c>
      <c r="L287" s="26" t="str">
        <f>IF($A287="","",IF(OR($B287="",$C287="",$F287="",$G287=""),"Données manquantes",IF(OR(AND($B287&lt;&gt;"PRD",$B287&lt;&gt;"NPRD")),"Environnement invalide",IF(COUNTIF(TblDynatrace[Clé],$J287)&gt;1,"Doublon (ID + env + couloir)",IF(OR(NOT(ISNUMBER($F287)),NOT(ISNUMBER($G287))),"Valeur non numérique",IF(MIN($F287,$G287)&lt;0,"Valeur négative",IF(AND($E287&lt;&gt;"",COUNTIFS(TblClusters[Cluster],$E287,TblClusters[Plateforme],"ROKS")&gt;0),"Cluster observé sur ROKS : extraction attendue depuis IKS",IF(AND($E287&lt;&gt;"",COUNTIFS(TblClusters[Cluster],$E287,TblClusters[Plateforme],"IKS")=0),"Cluster IKS inconnu (info)",IF($K287=0,"Aucun déploiement correspondant (info)","OK")))))))))</f>
        <v/>
      </c>
    </row>
    <row r="288" spans="1:12" x14ac:dyDescent="0.2">
      <c r="A288" s="59"/>
      <c r="B288" s="59"/>
      <c r="C288" s="59"/>
      <c r="D288" s="59"/>
      <c r="E288" s="59"/>
      <c r="F288" s="63"/>
      <c r="G288" s="63"/>
      <c r="H288" s="59"/>
      <c r="I288" s="64"/>
      <c r="J288" s="26" t="str">
        <f t="shared" si="4"/>
        <v/>
      </c>
      <c r="K288" s="26" t="str">
        <f>IF($A288="","",COUNTIFS(TblApplications[ID],$A288,TblApplications[Environnement],$B288,TblApplications[Couloir],$C288))</f>
        <v/>
      </c>
      <c r="L288" s="26" t="str">
        <f>IF($A288="","",IF(OR($B288="",$C288="",$F288="",$G288=""),"Données manquantes",IF(OR(AND($B288&lt;&gt;"PRD",$B288&lt;&gt;"NPRD")),"Environnement invalide",IF(COUNTIF(TblDynatrace[Clé],$J288)&gt;1,"Doublon (ID + env + couloir)",IF(OR(NOT(ISNUMBER($F288)),NOT(ISNUMBER($G288))),"Valeur non numérique",IF(MIN($F288,$G288)&lt;0,"Valeur négative",IF(AND($E288&lt;&gt;"",COUNTIFS(TblClusters[Cluster],$E288,TblClusters[Plateforme],"ROKS")&gt;0),"Cluster observé sur ROKS : extraction attendue depuis IKS",IF(AND($E288&lt;&gt;"",COUNTIFS(TblClusters[Cluster],$E288,TblClusters[Plateforme],"IKS")=0),"Cluster IKS inconnu (info)",IF($K288=0,"Aucun déploiement correspondant (info)","OK")))))))))</f>
        <v/>
      </c>
    </row>
    <row r="289" spans="1:12" x14ac:dyDescent="0.2">
      <c r="A289" s="59"/>
      <c r="B289" s="59"/>
      <c r="C289" s="59"/>
      <c r="D289" s="59"/>
      <c r="E289" s="59"/>
      <c r="F289" s="63"/>
      <c r="G289" s="63"/>
      <c r="H289" s="59"/>
      <c r="I289" s="64"/>
      <c r="J289" s="26" t="str">
        <f t="shared" si="4"/>
        <v/>
      </c>
      <c r="K289" s="26" t="str">
        <f>IF($A289="","",COUNTIFS(TblApplications[ID],$A289,TblApplications[Environnement],$B289,TblApplications[Couloir],$C289))</f>
        <v/>
      </c>
      <c r="L289" s="26" t="str">
        <f>IF($A289="","",IF(OR($B289="",$C289="",$F289="",$G289=""),"Données manquantes",IF(OR(AND($B289&lt;&gt;"PRD",$B289&lt;&gt;"NPRD")),"Environnement invalide",IF(COUNTIF(TblDynatrace[Clé],$J289)&gt;1,"Doublon (ID + env + couloir)",IF(OR(NOT(ISNUMBER($F289)),NOT(ISNUMBER($G289))),"Valeur non numérique",IF(MIN($F289,$G289)&lt;0,"Valeur négative",IF(AND($E289&lt;&gt;"",COUNTIFS(TblClusters[Cluster],$E289,TblClusters[Plateforme],"ROKS")&gt;0),"Cluster observé sur ROKS : extraction attendue depuis IKS",IF(AND($E289&lt;&gt;"",COUNTIFS(TblClusters[Cluster],$E289,TblClusters[Plateforme],"IKS")=0),"Cluster IKS inconnu (info)",IF($K289=0,"Aucun déploiement correspondant (info)","OK")))))))))</f>
        <v/>
      </c>
    </row>
    <row r="290" spans="1:12" x14ac:dyDescent="0.2">
      <c r="A290" s="59"/>
      <c r="B290" s="59"/>
      <c r="C290" s="59"/>
      <c r="D290" s="59"/>
      <c r="E290" s="59"/>
      <c r="F290" s="63"/>
      <c r="G290" s="63"/>
      <c r="H290" s="59"/>
      <c r="I290" s="64"/>
      <c r="J290" s="26" t="str">
        <f t="shared" si="4"/>
        <v/>
      </c>
      <c r="K290" s="26" t="str">
        <f>IF($A290="","",COUNTIFS(TblApplications[ID],$A290,TblApplications[Environnement],$B290,TblApplications[Couloir],$C290))</f>
        <v/>
      </c>
      <c r="L290" s="26" t="str">
        <f>IF($A290="","",IF(OR($B290="",$C290="",$F290="",$G290=""),"Données manquantes",IF(OR(AND($B290&lt;&gt;"PRD",$B290&lt;&gt;"NPRD")),"Environnement invalide",IF(COUNTIF(TblDynatrace[Clé],$J290)&gt;1,"Doublon (ID + env + couloir)",IF(OR(NOT(ISNUMBER($F290)),NOT(ISNUMBER($G290))),"Valeur non numérique",IF(MIN($F290,$G290)&lt;0,"Valeur négative",IF(AND($E290&lt;&gt;"",COUNTIFS(TblClusters[Cluster],$E290,TblClusters[Plateforme],"ROKS")&gt;0),"Cluster observé sur ROKS : extraction attendue depuis IKS",IF(AND($E290&lt;&gt;"",COUNTIFS(TblClusters[Cluster],$E290,TblClusters[Plateforme],"IKS")=0),"Cluster IKS inconnu (info)",IF($K290=0,"Aucun déploiement correspondant (info)","OK")))))))))</f>
        <v/>
      </c>
    </row>
    <row r="291" spans="1:12" x14ac:dyDescent="0.2">
      <c r="A291" s="59"/>
      <c r="B291" s="59"/>
      <c r="C291" s="59"/>
      <c r="D291" s="59"/>
      <c r="E291" s="59"/>
      <c r="F291" s="63"/>
      <c r="G291" s="63"/>
      <c r="H291" s="59"/>
      <c r="I291" s="64"/>
      <c r="J291" s="26" t="str">
        <f t="shared" si="4"/>
        <v/>
      </c>
      <c r="K291" s="26" t="str">
        <f>IF($A291="","",COUNTIFS(TblApplications[ID],$A291,TblApplications[Environnement],$B291,TblApplications[Couloir],$C291))</f>
        <v/>
      </c>
      <c r="L291" s="26" t="str">
        <f>IF($A291="","",IF(OR($B291="",$C291="",$F291="",$G291=""),"Données manquantes",IF(OR(AND($B291&lt;&gt;"PRD",$B291&lt;&gt;"NPRD")),"Environnement invalide",IF(COUNTIF(TblDynatrace[Clé],$J291)&gt;1,"Doublon (ID + env + couloir)",IF(OR(NOT(ISNUMBER($F291)),NOT(ISNUMBER($G291))),"Valeur non numérique",IF(MIN($F291,$G291)&lt;0,"Valeur négative",IF(AND($E291&lt;&gt;"",COUNTIFS(TblClusters[Cluster],$E291,TblClusters[Plateforme],"ROKS")&gt;0),"Cluster observé sur ROKS : extraction attendue depuis IKS",IF(AND($E291&lt;&gt;"",COUNTIFS(TblClusters[Cluster],$E291,TblClusters[Plateforme],"IKS")=0),"Cluster IKS inconnu (info)",IF($K291=0,"Aucun déploiement correspondant (info)","OK")))))))))</f>
        <v/>
      </c>
    </row>
    <row r="292" spans="1:12" x14ac:dyDescent="0.2">
      <c r="A292" s="59"/>
      <c r="B292" s="59"/>
      <c r="C292" s="59"/>
      <c r="D292" s="59"/>
      <c r="E292" s="59"/>
      <c r="F292" s="63"/>
      <c r="G292" s="63"/>
      <c r="H292" s="59"/>
      <c r="I292" s="64"/>
      <c r="J292" s="26" t="str">
        <f t="shared" si="4"/>
        <v/>
      </c>
      <c r="K292" s="26" t="str">
        <f>IF($A292="","",COUNTIFS(TblApplications[ID],$A292,TblApplications[Environnement],$B292,TblApplications[Couloir],$C292))</f>
        <v/>
      </c>
      <c r="L292" s="26" t="str">
        <f>IF($A292="","",IF(OR($B292="",$C292="",$F292="",$G292=""),"Données manquantes",IF(OR(AND($B292&lt;&gt;"PRD",$B292&lt;&gt;"NPRD")),"Environnement invalide",IF(COUNTIF(TblDynatrace[Clé],$J292)&gt;1,"Doublon (ID + env + couloir)",IF(OR(NOT(ISNUMBER($F292)),NOT(ISNUMBER($G292))),"Valeur non numérique",IF(MIN($F292,$G292)&lt;0,"Valeur négative",IF(AND($E292&lt;&gt;"",COUNTIFS(TblClusters[Cluster],$E292,TblClusters[Plateforme],"ROKS")&gt;0),"Cluster observé sur ROKS : extraction attendue depuis IKS",IF(AND($E292&lt;&gt;"",COUNTIFS(TblClusters[Cluster],$E292,TblClusters[Plateforme],"IKS")=0),"Cluster IKS inconnu (info)",IF($K292=0,"Aucun déploiement correspondant (info)","OK")))))))))</f>
        <v/>
      </c>
    </row>
    <row r="293" spans="1:12" x14ac:dyDescent="0.2">
      <c r="A293" s="59"/>
      <c r="B293" s="59"/>
      <c r="C293" s="59"/>
      <c r="D293" s="59"/>
      <c r="E293" s="59"/>
      <c r="F293" s="63"/>
      <c r="G293" s="63"/>
      <c r="H293" s="59"/>
      <c r="I293" s="64"/>
      <c r="J293" s="26" t="str">
        <f t="shared" si="4"/>
        <v/>
      </c>
      <c r="K293" s="26" t="str">
        <f>IF($A293="","",COUNTIFS(TblApplications[ID],$A293,TblApplications[Environnement],$B293,TblApplications[Couloir],$C293))</f>
        <v/>
      </c>
      <c r="L293" s="26" t="str">
        <f>IF($A293="","",IF(OR($B293="",$C293="",$F293="",$G293=""),"Données manquantes",IF(OR(AND($B293&lt;&gt;"PRD",$B293&lt;&gt;"NPRD")),"Environnement invalide",IF(COUNTIF(TblDynatrace[Clé],$J293)&gt;1,"Doublon (ID + env + couloir)",IF(OR(NOT(ISNUMBER($F293)),NOT(ISNUMBER($G293))),"Valeur non numérique",IF(MIN($F293,$G293)&lt;0,"Valeur négative",IF(AND($E293&lt;&gt;"",COUNTIFS(TblClusters[Cluster],$E293,TblClusters[Plateforme],"ROKS")&gt;0),"Cluster observé sur ROKS : extraction attendue depuis IKS",IF(AND($E293&lt;&gt;"",COUNTIFS(TblClusters[Cluster],$E293,TblClusters[Plateforme],"IKS")=0),"Cluster IKS inconnu (info)",IF($K293=0,"Aucun déploiement correspondant (info)","OK")))))))))</f>
        <v/>
      </c>
    </row>
    <row r="294" spans="1:12" x14ac:dyDescent="0.2">
      <c r="A294" s="59"/>
      <c r="B294" s="59"/>
      <c r="C294" s="59"/>
      <c r="D294" s="59"/>
      <c r="E294" s="59"/>
      <c r="F294" s="63"/>
      <c r="G294" s="63"/>
      <c r="H294" s="59"/>
      <c r="I294" s="64"/>
      <c r="J294" s="26" t="str">
        <f t="shared" si="4"/>
        <v/>
      </c>
      <c r="K294" s="26" t="str">
        <f>IF($A294="","",COUNTIFS(TblApplications[ID],$A294,TblApplications[Environnement],$B294,TblApplications[Couloir],$C294))</f>
        <v/>
      </c>
      <c r="L294" s="26" t="str">
        <f>IF($A294="","",IF(OR($B294="",$C294="",$F294="",$G294=""),"Données manquantes",IF(OR(AND($B294&lt;&gt;"PRD",$B294&lt;&gt;"NPRD")),"Environnement invalide",IF(COUNTIF(TblDynatrace[Clé],$J294)&gt;1,"Doublon (ID + env + couloir)",IF(OR(NOT(ISNUMBER($F294)),NOT(ISNUMBER($G294))),"Valeur non numérique",IF(MIN($F294,$G294)&lt;0,"Valeur négative",IF(AND($E294&lt;&gt;"",COUNTIFS(TblClusters[Cluster],$E294,TblClusters[Plateforme],"ROKS")&gt;0),"Cluster observé sur ROKS : extraction attendue depuis IKS",IF(AND($E294&lt;&gt;"",COUNTIFS(TblClusters[Cluster],$E294,TblClusters[Plateforme],"IKS")=0),"Cluster IKS inconnu (info)",IF($K294=0,"Aucun déploiement correspondant (info)","OK")))))))))</f>
        <v/>
      </c>
    </row>
    <row r="295" spans="1:12" x14ac:dyDescent="0.2">
      <c r="A295" s="59"/>
      <c r="B295" s="59"/>
      <c r="C295" s="59"/>
      <c r="D295" s="59"/>
      <c r="E295" s="59"/>
      <c r="F295" s="63"/>
      <c r="G295" s="63"/>
      <c r="H295" s="59"/>
      <c r="I295" s="64"/>
      <c r="J295" s="26" t="str">
        <f t="shared" si="4"/>
        <v/>
      </c>
      <c r="K295" s="26" t="str">
        <f>IF($A295="","",COUNTIFS(TblApplications[ID],$A295,TblApplications[Environnement],$B295,TblApplications[Couloir],$C295))</f>
        <v/>
      </c>
      <c r="L295" s="26" t="str">
        <f>IF($A295="","",IF(OR($B295="",$C295="",$F295="",$G295=""),"Données manquantes",IF(OR(AND($B295&lt;&gt;"PRD",$B295&lt;&gt;"NPRD")),"Environnement invalide",IF(COUNTIF(TblDynatrace[Clé],$J295)&gt;1,"Doublon (ID + env + couloir)",IF(OR(NOT(ISNUMBER($F295)),NOT(ISNUMBER($G295))),"Valeur non numérique",IF(MIN($F295,$G295)&lt;0,"Valeur négative",IF(AND($E295&lt;&gt;"",COUNTIFS(TblClusters[Cluster],$E295,TblClusters[Plateforme],"ROKS")&gt;0),"Cluster observé sur ROKS : extraction attendue depuis IKS",IF(AND($E295&lt;&gt;"",COUNTIFS(TblClusters[Cluster],$E295,TblClusters[Plateforme],"IKS")=0),"Cluster IKS inconnu (info)",IF($K295=0,"Aucun déploiement correspondant (info)","OK")))))))))</f>
        <v/>
      </c>
    </row>
    <row r="296" spans="1:12" x14ac:dyDescent="0.2">
      <c r="A296" s="59"/>
      <c r="B296" s="59"/>
      <c r="C296" s="59"/>
      <c r="D296" s="59"/>
      <c r="E296" s="59"/>
      <c r="F296" s="63"/>
      <c r="G296" s="63"/>
      <c r="H296" s="59"/>
      <c r="I296" s="64"/>
      <c r="J296" s="26" t="str">
        <f t="shared" si="4"/>
        <v/>
      </c>
      <c r="K296" s="26" t="str">
        <f>IF($A296="","",COUNTIFS(TblApplications[ID],$A296,TblApplications[Environnement],$B296,TblApplications[Couloir],$C296))</f>
        <v/>
      </c>
      <c r="L296" s="26" t="str">
        <f>IF($A296="","",IF(OR($B296="",$C296="",$F296="",$G296=""),"Données manquantes",IF(OR(AND($B296&lt;&gt;"PRD",$B296&lt;&gt;"NPRD")),"Environnement invalide",IF(COUNTIF(TblDynatrace[Clé],$J296)&gt;1,"Doublon (ID + env + couloir)",IF(OR(NOT(ISNUMBER($F296)),NOT(ISNUMBER($G296))),"Valeur non numérique",IF(MIN($F296,$G296)&lt;0,"Valeur négative",IF(AND($E296&lt;&gt;"",COUNTIFS(TblClusters[Cluster],$E296,TblClusters[Plateforme],"ROKS")&gt;0),"Cluster observé sur ROKS : extraction attendue depuis IKS",IF(AND($E296&lt;&gt;"",COUNTIFS(TblClusters[Cluster],$E296,TblClusters[Plateforme],"IKS")=0),"Cluster IKS inconnu (info)",IF($K296=0,"Aucun déploiement correspondant (info)","OK")))))))))</f>
        <v/>
      </c>
    </row>
    <row r="297" spans="1:12" x14ac:dyDescent="0.2">
      <c r="A297" s="59"/>
      <c r="B297" s="59"/>
      <c r="C297" s="59"/>
      <c r="D297" s="59"/>
      <c r="E297" s="59"/>
      <c r="F297" s="63"/>
      <c r="G297" s="63"/>
      <c r="H297" s="59"/>
      <c r="I297" s="64"/>
      <c r="J297" s="26" t="str">
        <f t="shared" si="4"/>
        <v/>
      </c>
      <c r="K297" s="26" t="str">
        <f>IF($A297="","",COUNTIFS(TblApplications[ID],$A297,TblApplications[Environnement],$B297,TblApplications[Couloir],$C297))</f>
        <v/>
      </c>
      <c r="L297" s="26" t="str">
        <f>IF($A297="","",IF(OR($B297="",$C297="",$F297="",$G297=""),"Données manquantes",IF(OR(AND($B297&lt;&gt;"PRD",$B297&lt;&gt;"NPRD")),"Environnement invalide",IF(COUNTIF(TblDynatrace[Clé],$J297)&gt;1,"Doublon (ID + env + couloir)",IF(OR(NOT(ISNUMBER($F297)),NOT(ISNUMBER($G297))),"Valeur non numérique",IF(MIN($F297,$G297)&lt;0,"Valeur négative",IF(AND($E297&lt;&gt;"",COUNTIFS(TblClusters[Cluster],$E297,TblClusters[Plateforme],"ROKS")&gt;0),"Cluster observé sur ROKS : extraction attendue depuis IKS",IF(AND($E297&lt;&gt;"",COUNTIFS(TblClusters[Cluster],$E297,TblClusters[Plateforme],"IKS")=0),"Cluster IKS inconnu (info)",IF($K297=0,"Aucun déploiement correspondant (info)","OK")))))))))</f>
        <v/>
      </c>
    </row>
    <row r="298" spans="1:12" x14ac:dyDescent="0.2">
      <c r="A298" s="59"/>
      <c r="B298" s="59"/>
      <c r="C298" s="59"/>
      <c r="D298" s="59"/>
      <c r="E298" s="59"/>
      <c r="F298" s="63"/>
      <c r="G298" s="63"/>
      <c r="H298" s="59"/>
      <c r="I298" s="64"/>
      <c r="J298" s="26" t="str">
        <f t="shared" si="4"/>
        <v/>
      </c>
      <c r="K298" s="26" t="str">
        <f>IF($A298="","",COUNTIFS(TblApplications[ID],$A298,TblApplications[Environnement],$B298,TblApplications[Couloir],$C298))</f>
        <v/>
      </c>
      <c r="L298" s="26" t="str">
        <f>IF($A298="","",IF(OR($B298="",$C298="",$F298="",$G298=""),"Données manquantes",IF(OR(AND($B298&lt;&gt;"PRD",$B298&lt;&gt;"NPRD")),"Environnement invalide",IF(COUNTIF(TblDynatrace[Clé],$J298)&gt;1,"Doublon (ID + env + couloir)",IF(OR(NOT(ISNUMBER($F298)),NOT(ISNUMBER($G298))),"Valeur non numérique",IF(MIN($F298,$G298)&lt;0,"Valeur négative",IF(AND($E298&lt;&gt;"",COUNTIFS(TblClusters[Cluster],$E298,TblClusters[Plateforme],"ROKS")&gt;0),"Cluster observé sur ROKS : extraction attendue depuis IKS",IF(AND($E298&lt;&gt;"",COUNTIFS(TblClusters[Cluster],$E298,TblClusters[Plateforme],"IKS")=0),"Cluster IKS inconnu (info)",IF($K298=0,"Aucun déploiement correspondant (info)","OK")))))))))</f>
        <v/>
      </c>
    </row>
    <row r="299" spans="1:12" x14ac:dyDescent="0.2">
      <c r="A299" s="59"/>
      <c r="B299" s="59"/>
      <c r="C299" s="59"/>
      <c r="D299" s="59"/>
      <c r="E299" s="59"/>
      <c r="F299" s="63"/>
      <c r="G299" s="63"/>
      <c r="H299" s="59"/>
      <c r="I299" s="64"/>
      <c r="J299" s="26" t="str">
        <f t="shared" si="4"/>
        <v/>
      </c>
      <c r="K299" s="26" t="str">
        <f>IF($A299="","",COUNTIFS(TblApplications[ID],$A299,TblApplications[Environnement],$B299,TblApplications[Couloir],$C299))</f>
        <v/>
      </c>
      <c r="L299" s="26" t="str">
        <f>IF($A299="","",IF(OR($B299="",$C299="",$F299="",$G299=""),"Données manquantes",IF(OR(AND($B299&lt;&gt;"PRD",$B299&lt;&gt;"NPRD")),"Environnement invalide",IF(COUNTIF(TblDynatrace[Clé],$J299)&gt;1,"Doublon (ID + env + couloir)",IF(OR(NOT(ISNUMBER($F299)),NOT(ISNUMBER($G299))),"Valeur non numérique",IF(MIN($F299,$G299)&lt;0,"Valeur négative",IF(AND($E299&lt;&gt;"",COUNTIFS(TblClusters[Cluster],$E299,TblClusters[Plateforme],"ROKS")&gt;0),"Cluster observé sur ROKS : extraction attendue depuis IKS",IF(AND($E299&lt;&gt;"",COUNTIFS(TblClusters[Cluster],$E299,TblClusters[Plateforme],"IKS")=0),"Cluster IKS inconnu (info)",IF($K299=0,"Aucun déploiement correspondant (info)","OK")))))))))</f>
        <v/>
      </c>
    </row>
    <row r="300" spans="1:12" x14ac:dyDescent="0.2">
      <c r="A300" s="59"/>
      <c r="B300" s="59"/>
      <c r="C300" s="59"/>
      <c r="D300" s="59"/>
      <c r="E300" s="59"/>
      <c r="F300" s="63"/>
      <c r="G300" s="63"/>
      <c r="H300" s="59"/>
      <c r="I300" s="64"/>
      <c r="J300" s="26" t="str">
        <f t="shared" si="4"/>
        <v/>
      </c>
      <c r="K300" s="26" t="str">
        <f>IF($A300="","",COUNTIFS(TblApplications[ID],$A300,TblApplications[Environnement],$B300,TblApplications[Couloir],$C300))</f>
        <v/>
      </c>
      <c r="L300" s="26" t="str">
        <f>IF($A300="","",IF(OR($B300="",$C300="",$F300="",$G300=""),"Données manquantes",IF(OR(AND($B300&lt;&gt;"PRD",$B300&lt;&gt;"NPRD")),"Environnement invalide",IF(COUNTIF(TblDynatrace[Clé],$J300)&gt;1,"Doublon (ID + env + couloir)",IF(OR(NOT(ISNUMBER($F300)),NOT(ISNUMBER($G300))),"Valeur non numérique",IF(MIN($F300,$G300)&lt;0,"Valeur négative",IF(AND($E300&lt;&gt;"",COUNTIFS(TblClusters[Cluster],$E300,TblClusters[Plateforme],"ROKS")&gt;0),"Cluster observé sur ROKS : extraction attendue depuis IKS",IF(AND($E300&lt;&gt;"",COUNTIFS(TblClusters[Cluster],$E300,TblClusters[Plateforme],"IKS")=0),"Cluster IKS inconnu (info)",IF($K300=0,"Aucun déploiement correspondant (info)","OK")))))))))</f>
        <v/>
      </c>
    </row>
    <row r="301" spans="1:12" x14ac:dyDescent="0.2">
      <c r="A301" s="59"/>
      <c r="B301" s="59"/>
      <c r="C301" s="59"/>
      <c r="D301" s="59"/>
      <c r="E301" s="59"/>
      <c r="F301" s="63"/>
      <c r="G301" s="63"/>
      <c r="H301" s="59"/>
      <c r="I301" s="64"/>
      <c r="J301" s="26" t="str">
        <f t="shared" si="4"/>
        <v/>
      </c>
      <c r="K301" s="26" t="str">
        <f>IF($A301="","",COUNTIFS(TblApplications[ID],$A301,TblApplications[Environnement],$B301,TblApplications[Couloir],$C301))</f>
        <v/>
      </c>
      <c r="L301" s="26" t="str">
        <f>IF($A301="","",IF(OR($B301="",$C301="",$F301="",$G301=""),"Données manquantes",IF(OR(AND($B301&lt;&gt;"PRD",$B301&lt;&gt;"NPRD")),"Environnement invalide",IF(COUNTIF(TblDynatrace[Clé],$J301)&gt;1,"Doublon (ID + env + couloir)",IF(OR(NOT(ISNUMBER($F301)),NOT(ISNUMBER($G301))),"Valeur non numérique",IF(MIN($F301,$G301)&lt;0,"Valeur négative",IF(AND($E301&lt;&gt;"",COUNTIFS(TblClusters[Cluster],$E301,TblClusters[Plateforme],"ROKS")&gt;0),"Cluster observé sur ROKS : extraction attendue depuis IKS",IF(AND($E301&lt;&gt;"",COUNTIFS(TblClusters[Cluster],$E301,TblClusters[Plateforme],"IKS")=0),"Cluster IKS inconnu (info)",IF($K301=0,"Aucun déploiement correspondant (info)","OK")))))))))</f>
        <v/>
      </c>
    </row>
    <row r="302" spans="1:12" x14ac:dyDescent="0.2">
      <c r="A302" s="59"/>
      <c r="B302" s="59"/>
      <c r="C302" s="59"/>
      <c r="D302" s="59"/>
      <c r="E302" s="59"/>
      <c r="F302" s="63"/>
      <c r="G302" s="63"/>
      <c r="H302" s="59"/>
      <c r="I302" s="64"/>
      <c r="J302" s="26" t="str">
        <f t="shared" si="4"/>
        <v/>
      </c>
      <c r="K302" s="26" t="str">
        <f>IF($A302="","",COUNTIFS(TblApplications[ID],$A302,TblApplications[Environnement],$B302,TblApplications[Couloir],$C302))</f>
        <v/>
      </c>
      <c r="L302" s="26" t="str">
        <f>IF($A302="","",IF(OR($B302="",$C302="",$F302="",$G302=""),"Données manquantes",IF(OR(AND($B302&lt;&gt;"PRD",$B302&lt;&gt;"NPRD")),"Environnement invalide",IF(COUNTIF(TblDynatrace[Clé],$J302)&gt;1,"Doublon (ID + env + couloir)",IF(OR(NOT(ISNUMBER($F302)),NOT(ISNUMBER($G302))),"Valeur non numérique",IF(MIN($F302,$G302)&lt;0,"Valeur négative",IF(AND($E302&lt;&gt;"",COUNTIFS(TblClusters[Cluster],$E302,TblClusters[Plateforme],"ROKS")&gt;0),"Cluster observé sur ROKS : extraction attendue depuis IKS",IF(AND($E302&lt;&gt;"",COUNTIFS(TblClusters[Cluster],$E302,TblClusters[Plateforme],"IKS")=0),"Cluster IKS inconnu (info)",IF($K302=0,"Aucun déploiement correspondant (info)","OK")))))))))</f>
        <v/>
      </c>
    </row>
    <row r="303" spans="1:12" x14ac:dyDescent="0.2">
      <c r="A303" s="59"/>
      <c r="B303" s="59"/>
      <c r="C303" s="59"/>
      <c r="D303" s="59"/>
      <c r="E303" s="59"/>
      <c r="F303" s="63"/>
      <c r="G303" s="63"/>
      <c r="H303" s="59"/>
      <c r="I303" s="64"/>
      <c r="J303" s="26" t="str">
        <f t="shared" si="4"/>
        <v/>
      </c>
      <c r="K303" s="26" t="str">
        <f>IF($A303="","",COUNTIFS(TblApplications[ID],$A303,TblApplications[Environnement],$B303,TblApplications[Couloir],$C303))</f>
        <v/>
      </c>
      <c r="L303" s="26" t="str">
        <f>IF($A303="","",IF(OR($B303="",$C303="",$F303="",$G303=""),"Données manquantes",IF(OR(AND($B303&lt;&gt;"PRD",$B303&lt;&gt;"NPRD")),"Environnement invalide",IF(COUNTIF(TblDynatrace[Clé],$J303)&gt;1,"Doublon (ID + env + couloir)",IF(OR(NOT(ISNUMBER($F303)),NOT(ISNUMBER($G303))),"Valeur non numérique",IF(MIN($F303,$G303)&lt;0,"Valeur négative",IF(AND($E303&lt;&gt;"",COUNTIFS(TblClusters[Cluster],$E303,TblClusters[Plateforme],"ROKS")&gt;0),"Cluster observé sur ROKS : extraction attendue depuis IKS",IF(AND($E303&lt;&gt;"",COUNTIFS(TblClusters[Cluster],$E303,TblClusters[Plateforme],"IKS")=0),"Cluster IKS inconnu (info)",IF($K303=0,"Aucun déploiement correspondant (info)","OK")))))))))</f>
        <v/>
      </c>
    </row>
    <row r="304" spans="1:12" x14ac:dyDescent="0.2">
      <c r="A304" s="59"/>
      <c r="B304" s="59"/>
      <c r="C304" s="59"/>
      <c r="D304" s="59"/>
      <c r="E304" s="59"/>
      <c r="F304" s="63"/>
      <c r="G304" s="63"/>
      <c r="H304" s="59"/>
      <c r="I304" s="64"/>
      <c r="J304" s="26" t="str">
        <f t="shared" si="4"/>
        <v/>
      </c>
      <c r="K304" s="26" t="str">
        <f>IF($A304="","",COUNTIFS(TblApplications[ID],$A304,TblApplications[Environnement],$B304,TblApplications[Couloir],$C304))</f>
        <v/>
      </c>
      <c r="L304" s="26" t="str">
        <f>IF($A304="","",IF(OR($B304="",$C304="",$F304="",$G304=""),"Données manquantes",IF(OR(AND($B304&lt;&gt;"PRD",$B304&lt;&gt;"NPRD")),"Environnement invalide",IF(COUNTIF(TblDynatrace[Clé],$J304)&gt;1,"Doublon (ID + env + couloir)",IF(OR(NOT(ISNUMBER($F304)),NOT(ISNUMBER($G304))),"Valeur non numérique",IF(MIN($F304,$G304)&lt;0,"Valeur négative",IF(AND($E304&lt;&gt;"",COUNTIFS(TblClusters[Cluster],$E304,TblClusters[Plateforme],"ROKS")&gt;0),"Cluster observé sur ROKS : extraction attendue depuis IKS",IF(AND($E304&lt;&gt;"",COUNTIFS(TblClusters[Cluster],$E304,TblClusters[Plateforme],"IKS")=0),"Cluster IKS inconnu (info)",IF($K304=0,"Aucun déploiement correspondant (info)","OK")))))))))</f>
        <v/>
      </c>
    </row>
    <row r="305" spans="1:12" x14ac:dyDescent="0.2">
      <c r="A305" s="59"/>
      <c r="B305" s="59"/>
      <c r="C305" s="59"/>
      <c r="D305" s="59"/>
      <c r="E305" s="59"/>
      <c r="F305" s="63"/>
      <c r="G305" s="63"/>
      <c r="H305" s="59"/>
      <c r="I305" s="64"/>
      <c r="J305" s="26" t="str">
        <f t="shared" si="4"/>
        <v/>
      </c>
      <c r="K305" s="26" t="str">
        <f>IF($A305="","",COUNTIFS(TblApplications[ID],$A305,TblApplications[Environnement],$B305,TblApplications[Couloir],$C305))</f>
        <v/>
      </c>
      <c r="L305" s="26" t="str">
        <f>IF($A305="","",IF(OR($B305="",$C305="",$F305="",$G305=""),"Données manquantes",IF(OR(AND($B305&lt;&gt;"PRD",$B305&lt;&gt;"NPRD")),"Environnement invalide",IF(COUNTIF(TblDynatrace[Clé],$J305)&gt;1,"Doublon (ID + env + couloir)",IF(OR(NOT(ISNUMBER($F305)),NOT(ISNUMBER($G305))),"Valeur non numérique",IF(MIN($F305,$G305)&lt;0,"Valeur négative",IF(AND($E305&lt;&gt;"",COUNTIFS(TblClusters[Cluster],$E305,TblClusters[Plateforme],"ROKS")&gt;0),"Cluster observé sur ROKS : extraction attendue depuis IKS",IF(AND($E305&lt;&gt;"",COUNTIFS(TblClusters[Cluster],$E305,TblClusters[Plateforme],"IKS")=0),"Cluster IKS inconnu (info)",IF($K305=0,"Aucun déploiement correspondant (info)","OK")))))))))</f>
        <v/>
      </c>
    </row>
  </sheetData>
  <conditionalFormatting sqref="L6:L305">
    <cfRule type="expression" dxfId="5" priority="2">
      <formula>AND(L6&lt;&gt;"",L6&lt;&gt;"OK",ISERROR(SEARCH("(info)",L6)))</formula>
    </cfRule>
    <cfRule type="expression" dxfId="4" priority="3">
      <formula>ISNUMBER(SEARCH("(info)",L6))</formula>
    </cfRule>
  </conditionalFormatting>
  <dataValidations count="1">
    <dataValidation type="decimal" operator="greaterThanOrEqual" allowBlank="1" showErrorMessage="1" errorTitle="Saisie invalide" error="Valeur ≥ 0" sqref="F6:G305" xr:uid="{00000000-0002-0000-07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Saisie invalide" error="Valeur non autorisée : choisir dans la liste ou respecter le format attendu." xr:uid="{00000000-0002-0000-0700-000001000000}">
          <x14:formula1>
            <xm:f>'Paramètres &amp; ABS'!$M$4:$M$5</xm:f>
          </x14:formula1>
          <x14:formula2>
            <xm:f>0</xm:f>
          </x14:formula2>
          <xm:sqref>B6:B305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5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B19" sqref="AB19"/>
    </sheetView>
  </sheetViews>
  <sheetFormatPr baseColWidth="10" defaultColWidth="8.6640625" defaultRowHeight="15" x14ac:dyDescent="0.2"/>
  <cols>
    <col min="1" max="1" width="11" customWidth="1"/>
    <col min="2" max="2" width="16" customWidth="1"/>
    <col min="3" max="3" width="14" customWidth="1"/>
    <col min="4" max="4" width="16" customWidth="1"/>
    <col min="5" max="5" width="13" customWidth="1"/>
    <col min="6" max="6" width="14" customWidth="1"/>
    <col min="7" max="7" width="10" customWidth="1"/>
    <col min="8" max="9" width="9" customWidth="1"/>
    <col min="10" max="14" width="10" customWidth="1"/>
    <col min="15" max="15" width="11" customWidth="1"/>
    <col min="16" max="16" width="9" customWidth="1"/>
    <col min="17" max="17" width="32" customWidth="1"/>
    <col min="18" max="18" width="12" customWidth="1"/>
    <col min="19" max="19" width="11" customWidth="1"/>
    <col min="20" max="21" width="8" customWidth="1"/>
    <col min="22" max="22" width="15" customWidth="1"/>
    <col min="23" max="23" width="16.5" bestFit="1" customWidth="1"/>
    <col min="24" max="24" width="33.1640625" bestFit="1" customWidth="1"/>
  </cols>
  <sheetData>
    <row r="1" spans="1:24" ht="18" x14ac:dyDescent="0.2">
      <c r="A1" s="50" t="s">
        <v>306</v>
      </c>
    </row>
    <row r="2" spans="1:24" x14ac:dyDescent="0.2">
      <c r="A2" s="16" t="s">
        <v>307</v>
      </c>
    </row>
    <row r="3" spans="1:24" x14ac:dyDescent="0.2">
      <c r="F3" s="18" t="s">
        <v>231</v>
      </c>
      <c r="G3" s="59" t="s">
        <v>232</v>
      </c>
      <c r="H3" s="26" t="s">
        <v>233</v>
      </c>
    </row>
    <row r="5" spans="1:24" ht="45" customHeight="1" x14ac:dyDescent="0.2">
      <c r="A5" s="25" t="s">
        <v>61</v>
      </c>
      <c r="B5" s="25" t="s">
        <v>60</v>
      </c>
      <c r="C5" s="25" t="s">
        <v>308</v>
      </c>
      <c r="D5" s="25" t="s">
        <v>309</v>
      </c>
      <c r="E5" s="25" t="s">
        <v>26</v>
      </c>
      <c r="F5" s="25" t="s">
        <v>63</v>
      </c>
      <c r="G5" s="25" t="s">
        <v>310</v>
      </c>
      <c r="H5" s="25" t="s">
        <v>311</v>
      </c>
      <c r="I5" s="25" t="s">
        <v>312</v>
      </c>
      <c r="J5" s="25" t="s">
        <v>313</v>
      </c>
      <c r="K5" s="25" t="s">
        <v>314</v>
      </c>
      <c r="L5" s="25" t="s">
        <v>315</v>
      </c>
      <c r="M5" s="25" t="s">
        <v>316</v>
      </c>
      <c r="N5" s="25" t="s">
        <v>317</v>
      </c>
      <c r="O5" s="25" t="s">
        <v>318</v>
      </c>
      <c r="P5" s="25" t="s">
        <v>250</v>
      </c>
      <c r="Q5" s="25" t="s">
        <v>259</v>
      </c>
      <c r="R5" s="25" t="s">
        <v>319</v>
      </c>
      <c r="S5" s="25" t="s">
        <v>79</v>
      </c>
      <c r="T5" s="25" t="s">
        <v>320</v>
      </c>
      <c r="U5" s="25" t="s">
        <v>266</v>
      </c>
      <c r="V5" s="25" t="s">
        <v>321</v>
      </c>
      <c r="W5" s="25" t="s">
        <v>322</v>
      </c>
      <c r="X5" s="25" t="s">
        <v>323</v>
      </c>
    </row>
    <row r="6" spans="1:24" x14ac:dyDescent="0.2">
      <c r="A6" s="59" t="s">
        <v>324</v>
      </c>
      <c r="B6" s="59" t="s">
        <v>277</v>
      </c>
      <c r="C6" s="59" t="s">
        <v>325</v>
      </c>
      <c r="D6" s="59" t="s">
        <v>326</v>
      </c>
      <c r="E6" s="59" t="s">
        <v>39</v>
      </c>
      <c r="F6" s="59" t="s">
        <v>327</v>
      </c>
      <c r="G6" s="59">
        <v>6</v>
      </c>
      <c r="H6" s="26">
        <f>IF($F6="","",IFERROR(INDEX(TblABS[vCPU par nœud],MATCH($F6,TblABS[Flavor],0)),"?"))</f>
        <v>8</v>
      </c>
      <c r="I6" s="26">
        <f>IF($F6="","",IFERROR(INDEX(TblABS[RAM par nœud (Go)],MATCH($F6,TblABS[Flavor],0)),"?"))</f>
        <v>40</v>
      </c>
      <c r="J6" s="26">
        <f t="shared" ref="J6:J45" si="0">IF(AND(ISNUMBER($G6),ISNUMBER($H6)),$G6*$H6,"")</f>
        <v>48</v>
      </c>
      <c r="K6" s="26">
        <f t="shared" ref="K6:K45" si="1">IF(AND(ISNUMBER($G6),ISNUMBER($I6)),$G6*$I6,"")</f>
        <v>240</v>
      </c>
      <c r="L6" s="59">
        <v>6</v>
      </c>
      <c r="M6" s="26">
        <f t="shared" ref="M6:M45" si="2">IF(AND(ISNUMBER($L6),ISNUMBER($H6)),$L6*$H6,"")</f>
        <v>48</v>
      </c>
      <c r="N6" s="26">
        <f t="shared" ref="N6:N45" si="3">IF(AND(ISNUMBER($L6),ISNUMBER($I6)),$L6*$I6,"")</f>
        <v>240</v>
      </c>
      <c r="O6" s="65">
        <f>IF($F6="","",IFERROR(INDEX(TblABS[Tarif par nœud],MATCH($F6,TblABS[Flavor],0)),"?"))</f>
        <v>368</v>
      </c>
      <c r="P6" s="59" t="s">
        <v>278</v>
      </c>
      <c r="Q6" s="26" t="str">
        <f>IF($B6="","",IF(OR($A6="",$E6="",$F6="",$G6="",$L6=""),IF(COUNTIFS(TblApplications[Cluster IKS source],$B6)+COUNTIFS(TblApplications[Cluster ROKS cible],$B6)=0,"À compléter : flavor / workers (info)","Données manquantes"),IF(AND($A6&lt;&gt;"IKS",$A6&lt;&gt;"ROKS"),"Plateforme invalide",IF(AND($E6&lt;&gt;"PRD",$E6&lt;&gt;"NPRD"),"Environnement invalide",IF(OR(NOT(ISNUMBER($G6)),NOT(ISNUMBER($L6))),"Workers non numérique",IF(OR($G6&lt;0,$L6&lt;0),"Valeur négative",IF(OR($G6&lt;&gt;INT($G6),$L6&lt;&gt;INT($L6)),"Workers non entier",IF(NOT(ISNUMBER($H6)),IF(COUNTIFS(TblApplications[Cluster IKS source],$B6)+COUNTIFS(TblApplications[Cluster ROKS cible],$B6)=0,"Flavor à corriger (info)","Flavor inconnu"),IF(AND(p_mode="Nœud",OR(NOT(ISNUMBER($O6)),$O6&lt;=0)),"Tarif du flavor manquant ou invalide",IF(COUNTIF(TblClusters[Cluster],$B6)&gt;1,"Cluster en doublon",IF($L6&gt;$G6,"Plancher &gt; capacité initiale",IF(AND($A6="ROKS",$G6&gt;p_maxworkers),"Workers &gt; max ROKS",IF(AND($A6="IKS",(SUMIFS(TblApplications[CPU IKS libérable (vCPU)],TblApplications[Cluster IKS source],$B6,TblApplications[Action],"À migrer")+SUMIFS(TblApplications[CPU IKS libérable (vCPU)],TblApplications[Cluster IKS source],$B6,TblApplications[Action],"À décommissionner"))&gt;$J6),"Libérations CPU &gt; capacité initiale",IF(AND($A6="IKS",(SUMIFS(TblApplications[RAM IKS libérable (Go)],TblApplications[Cluster IKS source],$B6,TblApplications[Action],"À migrer")+SUMIFS(TblApplications[RAM IKS libérable (Go)],TblApplications[Cluster IKS source],$B6,TblApplications[Action],"À décommissionner"))&gt;$K6),"Libérations RAM &gt; capacité initiale",IF(SUMIFS(TblCalculs[Alerte max workers],TblCalculs[Cluster],$B6)&gt;0,"Max workers ROKS dépassé ("&amp;SUMIFS(TblCalculs[Alerte max workers],TblCalculs[Cluster],$B6)&amp;" mois) : flavor plus gros ou second cluster",IF(SUMIFS(TblCalculs[Alerte plancher IKS],TblCalculs[Cluster],$B6)&gt;0,"Plancher IKS atteint ("&amp;SUMIFS(TblCalculs[Alerte plancher IKS],TblCalculs[Cluster],$B6)&amp;" mois) (info)",IF(AND($A6="IKS",ISNUMBER($R6),$R6&lt;_xlfn.MAXIFS(TblApplications[Mois lib (calc)],TblApplications[Cluster IKS source],$B6)),"Fermeture avant la dernière libération",IF(AND($R6&lt;&gt;"",OR($A6&lt;&gt;"IKS",NOT(ISNUMBER($R6)))),"Fermeture : IKS uniquement, date attendue","OK"))))))))))))))))))</f>
        <v>OK</v>
      </c>
      <c r="R6" s="61"/>
      <c r="S6" s="33" t="str">
        <f>IF(OR($B6="",$A6&lt;&gt;"IKS"),"",IF(ISNUMBER($R6),DATE(YEAR($R6),MONTH($R6),1),IF(p_fermauto&lt;&gt;"Oui","",IF(COUNTIFS(TblApplications[Cluster IKS source],$B6,TblApplications[Action],"À migrer")+COUNTIFS(TblApplications[Cluster IKS source],$B6,TblApplications[Action],"À décommissionner")=0,"",IF(COUNTIFS(TblApplications[Cluster IKS source],$B6,TblApplications[Action],"À migrer",TblApplications[Mois lib (calc)],"")+COUNTIFS(TblApplications[Cluster IKS source],$B6,TblApplications[Action],"À décommissionner",TblApplications[Mois lib (calc)],"")&gt;0,"",_xlfn.MAXIFS(TblApplications[Mois lib (calc)],TblApplications[Cluster IKS source],$B6))))))</f>
        <v/>
      </c>
      <c r="T6" s="26">
        <f>IF(OR($B6="",COUNTIFS($E6,ca_envc)=0),"",COUNTIFS($B$6:$B6,"&lt;&gt;",$E$6:$E6,ca_envc))</f>
        <v>1</v>
      </c>
      <c r="U6" s="26" t="str">
        <f>IF(OR($B6="",$A6&lt;&gt;"IKS",COUNTIFS($E6,ex_envc)=0),"",COUNTIFS($B$6:$B6,"&lt;&gt;",$A$6:$A6,"IKS",$E$6:$E6,ex_envc))</f>
        <v/>
      </c>
      <c r="V6" s="35">
        <f>IF($B6="","",IFERROR((SUMIFS(TblApplications[CPU Dynatrace (vCPU)],TblApplications[Cluster IKS source],$B6)+SUMIFS(TblApplications[Besoin ROKS CPU (vCPU)],TblApplications[Cluster ROKS cible],$B6,TblApplications[Action],"Migré")+SUMIFS(TblApplications[Besoin ROKS CPU (vCPU)],TblApplications[Cluster ROKS cible],$B6,TblApplications[Action],"À migrer"))/$J6,""))</f>
        <v>0.95833333333333337</v>
      </c>
      <c r="W6" s="35">
        <f>IF($B6="","",IFERROR((SUMIFS(TblApplications[RAM Dynatrace (Go)],TblApplications[Cluster IKS source],$B6)+SUMIFS(TblApplications[Besoin ROKS RAM (Go)],TblApplications[Cluster ROKS cible],$B6,TblApplications[Action],"Migré")+SUMIFS(TblApplications[Besoin ROKS RAM (Go)],TblApplications[Cluster ROKS cible],$B6,TblApplications[Action],"À migrer"))/$K6,""))</f>
        <v>1.1041666666666667</v>
      </c>
      <c r="X6" s="26" t="str">
        <f t="shared" ref="X6:X45" si="4">IF($B6="","",IF(OR(AND(ISNUMBER($V6),$V6&gt;0.66),AND(ISNUMBER($W6),$W6&gt;0.66)),"Alerte capacité (&gt;66% CPU ou RAM)","OK"))</f>
        <v>Alerte capacité (&gt;66% CPU ou RAM)</v>
      </c>
    </row>
    <row r="7" spans="1:24" x14ac:dyDescent="0.2">
      <c r="A7" s="59" t="s">
        <v>324</v>
      </c>
      <c r="B7" s="59" t="s">
        <v>328</v>
      </c>
      <c r="C7" s="59" t="s">
        <v>329</v>
      </c>
      <c r="D7" s="59" t="s">
        <v>326</v>
      </c>
      <c r="E7" s="59" t="s">
        <v>40</v>
      </c>
      <c r="F7" s="59" t="s">
        <v>330</v>
      </c>
      <c r="G7" s="59">
        <v>6</v>
      </c>
      <c r="H7" s="26">
        <f>IF($F7="","",IFERROR(INDEX(TblABS[vCPU par nœud],MATCH($F7,TblABS[Flavor],0)),"?"))</f>
        <v>32</v>
      </c>
      <c r="I7" s="26">
        <f>IF($F7="","",IFERROR(INDEX(TblABS[RAM par nœud (Go)],MATCH($F7,TblABS[Flavor],0)),"?"))</f>
        <v>80</v>
      </c>
      <c r="J7" s="26">
        <f t="shared" si="0"/>
        <v>192</v>
      </c>
      <c r="K7" s="26">
        <f t="shared" si="1"/>
        <v>480</v>
      </c>
      <c r="L7" s="59">
        <v>6</v>
      </c>
      <c r="M7" s="26">
        <f t="shared" si="2"/>
        <v>192</v>
      </c>
      <c r="N7" s="26">
        <f t="shared" si="3"/>
        <v>480</v>
      </c>
      <c r="O7" s="65">
        <f>IF($F7="","",IFERROR(INDEX(TblABS[Tarif par nœud],MATCH($F7,TblABS[Flavor],0)),"?"))</f>
        <v>1216</v>
      </c>
      <c r="P7" s="59" t="s">
        <v>278</v>
      </c>
      <c r="Q7" s="26" t="str">
        <f>IF($B7="","",IF(OR($A7="",$E7="",$F7="",$G7="",$L7=""),IF(COUNTIFS(TblApplications[Cluster IKS source],$B7)+COUNTIFS(TblApplications[Cluster ROKS cible],$B7)=0,"À compléter : flavor / workers (info)","Données manquantes"),IF(AND($A7&lt;&gt;"IKS",$A7&lt;&gt;"ROKS"),"Plateforme invalide",IF(AND($E7&lt;&gt;"PRD",$E7&lt;&gt;"NPRD"),"Environnement invalide",IF(OR(NOT(ISNUMBER($G7)),NOT(ISNUMBER($L7))),"Workers non numérique",IF(OR($G7&lt;0,$L7&lt;0),"Valeur négative",IF(OR($G7&lt;&gt;INT($G7),$L7&lt;&gt;INT($L7)),"Workers non entier",IF(NOT(ISNUMBER($H7)),IF(COUNTIFS(TblApplications[Cluster IKS source],$B7)+COUNTIFS(TblApplications[Cluster ROKS cible],$B7)=0,"Flavor à corriger (info)","Flavor inconnu"),IF(AND(p_mode="Nœud",OR(NOT(ISNUMBER($O7)),$O7&lt;=0)),"Tarif du flavor manquant ou invalide",IF(COUNTIF(TblClusters[Cluster],$B7)&gt;1,"Cluster en doublon",IF($L7&gt;$G7,"Plancher &gt; capacité initiale",IF(AND($A7="ROKS",$G7&gt;p_maxworkers),"Workers &gt; max ROKS",IF(AND($A7="IKS",(SUMIFS(TblApplications[CPU IKS libérable (vCPU)],TblApplications[Cluster IKS source],$B7,TblApplications[Action],"À migrer")+SUMIFS(TblApplications[CPU IKS libérable (vCPU)],TblApplications[Cluster IKS source],$B7,TblApplications[Action],"À décommissionner"))&gt;$J7),"Libérations CPU &gt; capacité initiale",IF(AND($A7="IKS",(SUMIFS(TblApplications[RAM IKS libérable (Go)],TblApplications[Cluster IKS source],$B7,TblApplications[Action],"À migrer")+SUMIFS(TblApplications[RAM IKS libérable (Go)],TblApplications[Cluster IKS source],$B7,TblApplications[Action],"À décommissionner"))&gt;$K7),"Libérations RAM &gt; capacité initiale",IF(SUMIFS(TblCalculs[Alerte max workers],TblCalculs[Cluster],$B7)&gt;0,"Max workers ROKS dépassé ("&amp;SUMIFS(TblCalculs[Alerte max workers],TblCalculs[Cluster],$B7)&amp;" mois) : flavor plus gros ou second cluster",IF(SUMIFS(TblCalculs[Alerte plancher IKS],TblCalculs[Cluster],$B7)&gt;0,"Plancher IKS atteint ("&amp;SUMIFS(TblCalculs[Alerte plancher IKS],TblCalculs[Cluster],$B7)&amp;" mois) (info)",IF(AND($A7="IKS",ISNUMBER($R7),$R7&lt;_xlfn.MAXIFS(TblApplications[Mois lib (calc)],TblApplications[Cluster IKS source],$B7)),"Fermeture avant la dernière libération",IF(AND($R7&lt;&gt;"",OR($A7&lt;&gt;"IKS",NOT(ISNUMBER($R7)))),"Fermeture : IKS uniquement, date attendue","OK"))))))))))))))))))</f>
        <v>OK</v>
      </c>
      <c r="R7" s="61"/>
      <c r="S7" s="33" t="str">
        <f>IF(OR($B7="",$A7&lt;&gt;"IKS"),"",IF(ISNUMBER($R7),DATE(YEAR($R7),MONTH($R7),1),IF(p_fermauto&lt;&gt;"Oui","",IF(COUNTIFS(TblApplications[Cluster IKS source],$B7,TblApplications[Action],"À migrer")+COUNTIFS(TblApplications[Cluster IKS source],$B7,TblApplications[Action],"À décommissionner")=0,"",IF(COUNTIFS(TblApplications[Cluster IKS source],$B7,TblApplications[Action],"À migrer",TblApplications[Mois lib (calc)],"")+COUNTIFS(TblApplications[Cluster IKS source],$B7,TblApplications[Action],"À décommissionner",TblApplications[Mois lib (calc)],"")&gt;0,"",_xlfn.MAXIFS(TblApplications[Mois lib (calc)],TblApplications[Cluster IKS source],$B7))))))</f>
        <v/>
      </c>
      <c r="T7" s="26">
        <f>IF(OR($B7="",COUNTIFS($E7,ca_envc)=0),"",COUNTIFS($B$6:$B7,"&lt;&gt;",$E$6:$E7,ca_envc))</f>
        <v>2</v>
      </c>
      <c r="U7" s="26" t="str">
        <f>IF(OR($B7="",$A7&lt;&gt;"IKS",COUNTIFS($E7,ex_envc)=0),"",COUNTIFS($B$6:$B7,"&lt;&gt;",$A$6:$A7,"IKS",$E$6:$E7,ex_envc))</f>
        <v/>
      </c>
      <c r="V7" s="35">
        <f>IF($B7="","",IFERROR((SUMIFS(TblApplications[CPU Dynatrace (vCPU)],TblApplications[Cluster IKS source],$B7)+SUMIFS(TblApplications[Besoin ROKS CPU (vCPU)],TblApplications[Cluster ROKS cible],$B7,TblApplications[Action],"Migré")+SUMIFS(TblApplications[Besoin ROKS CPU (vCPU)],TblApplications[Cluster ROKS cible],$B7,TblApplications[Action],"À migrer"))/$J7,""))</f>
        <v>0</v>
      </c>
      <c r="W7" s="35">
        <f>IF($B7="","",IFERROR((SUMIFS(TblApplications[RAM Dynatrace (Go)],TblApplications[Cluster IKS source],$B7)+SUMIFS(TblApplications[Besoin ROKS RAM (Go)],TblApplications[Cluster ROKS cible],$B7,TblApplications[Action],"Migré")+SUMIFS(TblApplications[Besoin ROKS RAM (Go)],TblApplications[Cluster ROKS cible],$B7,TblApplications[Action],"À migrer"))/$K7,""))</f>
        <v>0</v>
      </c>
      <c r="X7" s="26" t="str">
        <f t="shared" si="4"/>
        <v>OK</v>
      </c>
    </row>
    <row r="8" spans="1:24" x14ac:dyDescent="0.2">
      <c r="A8" s="59" t="s">
        <v>324</v>
      </c>
      <c r="B8" s="59" t="s">
        <v>331</v>
      </c>
      <c r="C8" s="59" t="s">
        <v>329</v>
      </c>
      <c r="D8" s="59" t="s">
        <v>332</v>
      </c>
      <c r="E8" s="59" t="s">
        <v>40</v>
      </c>
      <c r="F8" s="59" t="s">
        <v>333</v>
      </c>
      <c r="G8" s="59">
        <v>6</v>
      </c>
      <c r="H8" s="26">
        <f>IF($F8="","",IFERROR(INDEX(TblABS[vCPU par nœud],MATCH($F8,TblABS[Flavor],0)),"?"))</f>
        <v>16</v>
      </c>
      <c r="I8" s="26">
        <f>IF($F8="","",IFERROR(INDEX(TblABS[RAM par nœud (Go)],MATCH($F8,TblABS[Flavor],0)),"?"))</f>
        <v>80</v>
      </c>
      <c r="J8" s="26">
        <f t="shared" si="0"/>
        <v>96</v>
      </c>
      <c r="K8" s="26">
        <f t="shared" si="1"/>
        <v>480</v>
      </c>
      <c r="L8" s="59">
        <v>6</v>
      </c>
      <c r="M8" s="26">
        <f t="shared" si="2"/>
        <v>96</v>
      </c>
      <c r="N8" s="26">
        <f t="shared" si="3"/>
        <v>480</v>
      </c>
      <c r="O8" s="65">
        <f>IF($F8="","",IFERROR(INDEX(TblABS[Tarif par nœud],MATCH($F8,TblABS[Flavor],0)),"?"))</f>
        <v>736</v>
      </c>
      <c r="P8" s="59" t="s">
        <v>278</v>
      </c>
      <c r="Q8" s="26" t="str">
        <f>IF($B8="","",IF(OR($A8="",$E8="",$F8="",$G8="",$L8=""),IF(COUNTIFS(TblApplications[Cluster IKS source],$B8)+COUNTIFS(TblApplications[Cluster ROKS cible],$B8)=0,"À compléter : flavor / workers (info)","Données manquantes"),IF(AND($A8&lt;&gt;"IKS",$A8&lt;&gt;"ROKS"),"Plateforme invalide",IF(AND($E8&lt;&gt;"PRD",$E8&lt;&gt;"NPRD"),"Environnement invalide",IF(OR(NOT(ISNUMBER($G8)),NOT(ISNUMBER($L8))),"Workers non numérique",IF(OR($G8&lt;0,$L8&lt;0),"Valeur négative",IF(OR($G8&lt;&gt;INT($G8),$L8&lt;&gt;INT($L8)),"Workers non entier",IF(NOT(ISNUMBER($H8)),IF(COUNTIFS(TblApplications[Cluster IKS source],$B8)+COUNTIFS(TblApplications[Cluster ROKS cible],$B8)=0,"Flavor à corriger (info)","Flavor inconnu"),IF(AND(p_mode="Nœud",OR(NOT(ISNUMBER($O8)),$O8&lt;=0)),"Tarif du flavor manquant ou invalide",IF(COUNTIF(TblClusters[Cluster],$B8)&gt;1,"Cluster en doublon",IF($L8&gt;$G8,"Plancher &gt; capacité initiale",IF(AND($A8="ROKS",$G8&gt;p_maxworkers),"Workers &gt; max ROKS",IF(AND($A8="IKS",(SUMIFS(TblApplications[CPU IKS libérable (vCPU)],TblApplications[Cluster IKS source],$B8,TblApplications[Action],"À migrer")+SUMIFS(TblApplications[CPU IKS libérable (vCPU)],TblApplications[Cluster IKS source],$B8,TblApplications[Action],"À décommissionner"))&gt;$J8),"Libérations CPU &gt; capacité initiale",IF(AND($A8="IKS",(SUMIFS(TblApplications[RAM IKS libérable (Go)],TblApplications[Cluster IKS source],$B8,TblApplications[Action],"À migrer")+SUMIFS(TblApplications[RAM IKS libérable (Go)],TblApplications[Cluster IKS source],$B8,TblApplications[Action],"À décommissionner"))&gt;$K8),"Libérations RAM &gt; capacité initiale",IF(SUMIFS(TblCalculs[Alerte max workers],TblCalculs[Cluster],$B8)&gt;0,"Max workers ROKS dépassé ("&amp;SUMIFS(TblCalculs[Alerte max workers],TblCalculs[Cluster],$B8)&amp;" mois) : flavor plus gros ou second cluster",IF(SUMIFS(TblCalculs[Alerte plancher IKS],TblCalculs[Cluster],$B8)&gt;0,"Plancher IKS atteint ("&amp;SUMIFS(TblCalculs[Alerte plancher IKS],TblCalculs[Cluster],$B8)&amp;" mois) (info)",IF(AND($A8="IKS",ISNUMBER($R8),$R8&lt;_xlfn.MAXIFS(TblApplications[Mois lib (calc)],TblApplications[Cluster IKS source],$B8)),"Fermeture avant la dernière libération",IF(AND($R8&lt;&gt;"",OR($A8&lt;&gt;"IKS",NOT(ISNUMBER($R8)))),"Fermeture : IKS uniquement, date attendue","OK"))))))))))))))))))</f>
        <v>OK</v>
      </c>
      <c r="R8" s="61"/>
      <c r="S8" s="33" t="str">
        <f>IF(OR($B8="",$A8&lt;&gt;"IKS"),"",IF(ISNUMBER($R8),DATE(YEAR($R8),MONTH($R8),1),IF(p_fermauto&lt;&gt;"Oui","",IF(COUNTIFS(TblApplications[Cluster IKS source],$B8,TblApplications[Action],"À migrer")+COUNTIFS(TblApplications[Cluster IKS source],$B8,TblApplications[Action],"À décommissionner")=0,"",IF(COUNTIFS(TblApplications[Cluster IKS source],$B8,TblApplications[Action],"À migrer",TblApplications[Mois lib (calc)],"")+COUNTIFS(TblApplications[Cluster IKS source],$B8,TblApplications[Action],"À décommissionner",TblApplications[Mois lib (calc)],"")&gt;0,"",_xlfn.MAXIFS(TblApplications[Mois lib (calc)],TblApplications[Cluster IKS source],$B8))))))</f>
        <v/>
      </c>
      <c r="T8" s="26">
        <f>IF(OR($B8="",COUNTIFS($E8,ca_envc)=0),"",COUNTIFS($B$6:$B8,"&lt;&gt;",$E$6:$E8,ca_envc))</f>
        <v>3</v>
      </c>
      <c r="U8" s="26" t="str">
        <f>IF(OR($B8="",$A8&lt;&gt;"IKS",COUNTIFS($E8,ex_envc)=0),"",COUNTIFS($B$6:$B8,"&lt;&gt;",$A$6:$A8,"IKS",$E$6:$E8,ex_envc))</f>
        <v/>
      </c>
      <c r="V8" s="35">
        <f>IF($B8="","",IFERROR((SUMIFS(TblApplications[CPU Dynatrace (vCPU)],TblApplications[Cluster IKS source],$B8)+SUMIFS(TblApplications[Besoin ROKS CPU (vCPU)],TblApplications[Cluster ROKS cible],$B8,TblApplications[Action],"Migré")+SUMIFS(TblApplications[Besoin ROKS CPU (vCPU)],TblApplications[Cluster ROKS cible],$B8,TblApplications[Action],"À migrer"))/$J8,""))</f>
        <v>0</v>
      </c>
      <c r="W8" s="35">
        <f>IF($B8="","",IFERROR((SUMIFS(TblApplications[RAM Dynatrace (Go)],TblApplications[Cluster IKS source],$B8)+SUMIFS(TblApplications[Besoin ROKS RAM (Go)],TblApplications[Cluster ROKS cible],$B8,TblApplications[Action],"Migré")+SUMIFS(TblApplications[Besoin ROKS RAM (Go)],TblApplications[Cluster ROKS cible],$B8,TblApplications[Action],"À migrer"))/$K8,""))</f>
        <v>0</v>
      </c>
      <c r="X8" s="26" t="str">
        <f t="shared" si="4"/>
        <v>OK</v>
      </c>
    </row>
    <row r="9" spans="1:24" x14ac:dyDescent="0.2">
      <c r="A9" s="59" t="s">
        <v>324</v>
      </c>
      <c r="B9" s="59" t="s">
        <v>334</v>
      </c>
      <c r="C9" s="59" t="s">
        <v>325</v>
      </c>
      <c r="D9" s="59" t="s">
        <v>332</v>
      </c>
      <c r="E9" s="59" t="s">
        <v>39</v>
      </c>
      <c r="F9" s="59" t="s">
        <v>327</v>
      </c>
      <c r="G9" s="59">
        <v>6</v>
      </c>
      <c r="H9" s="26">
        <f>IF($F9="","",IFERROR(INDEX(TblABS[vCPU par nœud],MATCH($F9,TblABS[Flavor],0)),"?"))</f>
        <v>8</v>
      </c>
      <c r="I9" s="26">
        <f>IF($F9="","",IFERROR(INDEX(TblABS[RAM par nœud (Go)],MATCH($F9,TblABS[Flavor],0)),"?"))</f>
        <v>40</v>
      </c>
      <c r="J9" s="26">
        <f t="shared" si="0"/>
        <v>48</v>
      </c>
      <c r="K9" s="26">
        <f t="shared" si="1"/>
        <v>240</v>
      </c>
      <c r="L9" s="59">
        <v>6</v>
      </c>
      <c r="M9" s="26">
        <f t="shared" si="2"/>
        <v>48</v>
      </c>
      <c r="N9" s="26">
        <f t="shared" si="3"/>
        <v>240</v>
      </c>
      <c r="O9" s="65">
        <f>IF($F9="","",IFERROR(INDEX(TblABS[Tarif par nœud],MATCH($F9,TblABS[Flavor],0)),"?"))</f>
        <v>368</v>
      </c>
      <c r="P9" s="59" t="s">
        <v>278</v>
      </c>
      <c r="Q9" s="26" t="str">
        <f>IF($B9="","",IF(OR($A9="",$E9="",$F9="",$G9="",$L9=""),IF(COUNTIFS(TblApplications[Cluster IKS source],$B9)+COUNTIFS(TblApplications[Cluster ROKS cible],$B9)=0,"À compléter : flavor / workers (info)","Données manquantes"),IF(AND($A9&lt;&gt;"IKS",$A9&lt;&gt;"ROKS"),"Plateforme invalide",IF(AND($E9&lt;&gt;"PRD",$E9&lt;&gt;"NPRD"),"Environnement invalide",IF(OR(NOT(ISNUMBER($G9)),NOT(ISNUMBER($L9))),"Workers non numérique",IF(OR($G9&lt;0,$L9&lt;0),"Valeur négative",IF(OR($G9&lt;&gt;INT($G9),$L9&lt;&gt;INT($L9)),"Workers non entier",IF(NOT(ISNUMBER($H9)),IF(COUNTIFS(TblApplications[Cluster IKS source],$B9)+COUNTIFS(TblApplications[Cluster ROKS cible],$B9)=0,"Flavor à corriger (info)","Flavor inconnu"),IF(AND(p_mode="Nœud",OR(NOT(ISNUMBER($O9)),$O9&lt;=0)),"Tarif du flavor manquant ou invalide",IF(COUNTIF(TblClusters[Cluster],$B9)&gt;1,"Cluster en doublon",IF($L9&gt;$G9,"Plancher &gt; capacité initiale",IF(AND($A9="ROKS",$G9&gt;p_maxworkers),"Workers &gt; max ROKS",IF(AND($A9="IKS",(SUMIFS(TblApplications[CPU IKS libérable (vCPU)],TblApplications[Cluster IKS source],$B9,TblApplications[Action],"À migrer")+SUMIFS(TblApplications[CPU IKS libérable (vCPU)],TblApplications[Cluster IKS source],$B9,TblApplications[Action],"À décommissionner"))&gt;$J9),"Libérations CPU &gt; capacité initiale",IF(AND($A9="IKS",(SUMIFS(TblApplications[RAM IKS libérable (Go)],TblApplications[Cluster IKS source],$B9,TblApplications[Action],"À migrer")+SUMIFS(TblApplications[RAM IKS libérable (Go)],TblApplications[Cluster IKS source],$B9,TblApplications[Action],"À décommissionner"))&gt;$K9),"Libérations RAM &gt; capacité initiale",IF(SUMIFS(TblCalculs[Alerte max workers],TblCalculs[Cluster],$B9)&gt;0,"Max workers ROKS dépassé ("&amp;SUMIFS(TblCalculs[Alerte max workers],TblCalculs[Cluster],$B9)&amp;" mois) : flavor plus gros ou second cluster",IF(SUMIFS(TblCalculs[Alerte plancher IKS],TblCalculs[Cluster],$B9)&gt;0,"Plancher IKS atteint ("&amp;SUMIFS(TblCalculs[Alerte plancher IKS],TblCalculs[Cluster],$B9)&amp;" mois) (info)",IF(AND($A9="IKS",ISNUMBER($R9),$R9&lt;_xlfn.MAXIFS(TblApplications[Mois lib (calc)],TblApplications[Cluster IKS source],$B9)),"Fermeture avant la dernière libération",IF(AND($R9&lt;&gt;"",OR($A9&lt;&gt;"IKS",NOT(ISNUMBER($R9)))),"Fermeture : IKS uniquement, date attendue","OK"))))))))))))))))))</f>
        <v>OK</v>
      </c>
      <c r="R9" s="61"/>
      <c r="S9" s="33" t="str">
        <f>IF(OR($B9="",$A9&lt;&gt;"IKS"),"",IF(ISNUMBER($R9),DATE(YEAR($R9),MONTH($R9),1),IF(p_fermauto&lt;&gt;"Oui","",IF(COUNTIFS(TblApplications[Cluster IKS source],$B9,TblApplications[Action],"À migrer")+COUNTIFS(TblApplications[Cluster IKS source],$B9,TblApplications[Action],"À décommissionner")=0,"",IF(COUNTIFS(TblApplications[Cluster IKS source],$B9,TblApplications[Action],"À migrer",TblApplications[Mois lib (calc)],"")+COUNTIFS(TblApplications[Cluster IKS source],$B9,TblApplications[Action],"À décommissionner",TblApplications[Mois lib (calc)],"")&gt;0,"",_xlfn.MAXIFS(TblApplications[Mois lib (calc)],TblApplications[Cluster IKS source],$B9))))))</f>
        <v/>
      </c>
      <c r="T9" s="26">
        <f>IF(OR($B9="",COUNTIFS($E9,ca_envc)=0),"",COUNTIFS($B$6:$B9,"&lt;&gt;",$E$6:$E9,ca_envc))</f>
        <v>4</v>
      </c>
      <c r="U9" s="26" t="str">
        <f>IF(OR($B9="",$A9&lt;&gt;"IKS",COUNTIFS($E9,ex_envc)=0),"",COUNTIFS($B$6:$B9,"&lt;&gt;",$A$6:$A9,"IKS",$E$6:$E9,ex_envc))</f>
        <v/>
      </c>
      <c r="V9" s="35">
        <f>IF($B9="","",IFERROR((SUMIFS(TblApplications[CPU Dynatrace (vCPU)],TblApplications[Cluster IKS source],$B9)+SUMIFS(TblApplications[Besoin ROKS CPU (vCPU)],TblApplications[Cluster ROKS cible],$B9,TblApplications[Action],"Migré")+SUMIFS(TblApplications[Besoin ROKS CPU (vCPU)],TblApplications[Cluster ROKS cible],$B9,TblApplications[Action],"À migrer"))/$J9,""))</f>
        <v>0</v>
      </c>
      <c r="W9" s="35">
        <f>IF($B9="","",IFERROR((SUMIFS(TblApplications[RAM Dynatrace (Go)],TblApplications[Cluster IKS source],$B9)+SUMIFS(TblApplications[Besoin ROKS RAM (Go)],TblApplications[Cluster ROKS cible],$B9,TblApplications[Action],"Migré")+SUMIFS(TblApplications[Besoin ROKS RAM (Go)],TblApplications[Cluster ROKS cible],$B9,TblApplications[Action],"À migrer"))/$K9,""))</f>
        <v>0</v>
      </c>
      <c r="X9" s="26" t="str">
        <f t="shared" si="4"/>
        <v>OK</v>
      </c>
    </row>
    <row r="10" spans="1:24" x14ac:dyDescent="0.2">
      <c r="A10" s="59" t="s">
        <v>324</v>
      </c>
      <c r="B10" s="59" t="s">
        <v>335</v>
      </c>
      <c r="C10" s="59" t="s">
        <v>336</v>
      </c>
      <c r="D10" s="59" t="s">
        <v>337</v>
      </c>
      <c r="E10" s="59" t="s">
        <v>40</v>
      </c>
      <c r="F10" s="59" t="s">
        <v>327</v>
      </c>
      <c r="G10" s="59">
        <v>6</v>
      </c>
      <c r="H10" s="26">
        <f>IF($F10="","",IFERROR(INDEX(TblABS[vCPU par nœud],MATCH($F10,TblABS[Flavor],0)),"?"))</f>
        <v>8</v>
      </c>
      <c r="I10" s="26">
        <f>IF($F10="","",IFERROR(INDEX(TblABS[RAM par nœud (Go)],MATCH($F10,TblABS[Flavor],0)),"?"))</f>
        <v>40</v>
      </c>
      <c r="J10" s="26">
        <f t="shared" si="0"/>
        <v>48</v>
      </c>
      <c r="K10" s="26">
        <f t="shared" si="1"/>
        <v>240</v>
      </c>
      <c r="L10" s="59">
        <v>6</v>
      </c>
      <c r="M10" s="26">
        <f t="shared" si="2"/>
        <v>48</v>
      </c>
      <c r="N10" s="26">
        <f t="shared" si="3"/>
        <v>240</v>
      </c>
      <c r="O10" s="65">
        <f>IF($F10="","",IFERROR(INDEX(TblABS[Tarif par nœud],MATCH($F10,TblABS[Flavor],0)),"?"))</f>
        <v>368</v>
      </c>
      <c r="P10" s="59" t="s">
        <v>278</v>
      </c>
      <c r="Q10" s="26" t="str">
        <f>IF($B10="","",IF(OR($A10="",$E10="",$F10="",$G10="",$L10=""),IF(COUNTIFS(TblApplications[Cluster IKS source],$B10)+COUNTIFS(TblApplications[Cluster ROKS cible],$B10)=0,"À compléter : flavor / workers (info)","Données manquantes"),IF(AND($A10&lt;&gt;"IKS",$A10&lt;&gt;"ROKS"),"Plateforme invalide",IF(AND($E10&lt;&gt;"PRD",$E10&lt;&gt;"NPRD"),"Environnement invalide",IF(OR(NOT(ISNUMBER($G10)),NOT(ISNUMBER($L10))),"Workers non numérique",IF(OR($G10&lt;0,$L10&lt;0),"Valeur négative",IF(OR($G10&lt;&gt;INT($G10),$L10&lt;&gt;INT($L10)),"Workers non entier",IF(NOT(ISNUMBER($H10)),IF(COUNTIFS(TblApplications[Cluster IKS source],$B10)+COUNTIFS(TblApplications[Cluster ROKS cible],$B10)=0,"Flavor à corriger (info)","Flavor inconnu"),IF(AND(p_mode="Nœud",OR(NOT(ISNUMBER($O10)),$O10&lt;=0)),"Tarif du flavor manquant ou invalide",IF(COUNTIF(TblClusters[Cluster],$B10)&gt;1,"Cluster en doublon",IF($L10&gt;$G10,"Plancher &gt; capacité initiale",IF(AND($A10="ROKS",$G10&gt;p_maxworkers),"Workers &gt; max ROKS",IF(AND($A10="IKS",(SUMIFS(TblApplications[CPU IKS libérable (vCPU)],TblApplications[Cluster IKS source],$B10,TblApplications[Action],"À migrer")+SUMIFS(TblApplications[CPU IKS libérable (vCPU)],TblApplications[Cluster IKS source],$B10,TblApplications[Action],"À décommissionner"))&gt;$J10),"Libérations CPU &gt; capacité initiale",IF(AND($A10="IKS",(SUMIFS(TblApplications[RAM IKS libérable (Go)],TblApplications[Cluster IKS source],$B10,TblApplications[Action],"À migrer")+SUMIFS(TblApplications[RAM IKS libérable (Go)],TblApplications[Cluster IKS source],$B10,TblApplications[Action],"À décommissionner"))&gt;$K10),"Libérations RAM &gt; capacité initiale",IF(SUMIFS(TblCalculs[Alerte max workers],TblCalculs[Cluster],$B10)&gt;0,"Max workers ROKS dépassé ("&amp;SUMIFS(TblCalculs[Alerte max workers],TblCalculs[Cluster],$B10)&amp;" mois) : flavor plus gros ou second cluster",IF(SUMIFS(TblCalculs[Alerte plancher IKS],TblCalculs[Cluster],$B10)&gt;0,"Plancher IKS atteint ("&amp;SUMIFS(TblCalculs[Alerte plancher IKS],TblCalculs[Cluster],$B10)&amp;" mois) (info)",IF(AND($A10="IKS",ISNUMBER($R10),$R10&lt;_xlfn.MAXIFS(TblApplications[Mois lib (calc)],TblApplications[Cluster IKS source],$B10)),"Fermeture avant la dernière libération",IF(AND($R10&lt;&gt;"",OR($A10&lt;&gt;"IKS",NOT(ISNUMBER($R10)))),"Fermeture : IKS uniquement, date attendue","OK"))))))))))))))))))</f>
        <v>OK</v>
      </c>
      <c r="R10" s="61"/>
      <c r="S10" s="33" t="str">
        <f>IF(OR($B10="",$A10&lt;&gt;"IKS"),"",IF(ISNUMBER($R10),DATE(YEAR($R10),MONTH($R10),1),IF(p_fermauto&lt;&gt;"Oui","",IF(COUNTIFS(TblApplications[Cluster IKS source],$B10,TblApplications[Action],"À migrer")+COUNTIFS(TblApplications[Cluster IKS source],$B10,TblApplications[Action],"À décommissionner")=0,"",IF(COUNTIFS(TblApplications[Cluster IKS source],$B10,TblApplications[Action],"À migrer",TblApplications[Mois lib (calc)],"")+COUNTIFS(TblApplications[Cluster IKS source],$B10,TblApplications[Action],"À décommissionner",TblApplications[Mois lib (calc)],"")&gt;0,"",_xlfn.MAXIFS(TblApplications[Mois lib (calc)],TblApplications[Cluster IKS source],$B10))))))</f>
        <v/>
      </c>
      <c r="T10" s="26">
        <f>IF(OR($B10="",COUNTIFS($E10,ca_envc)=0),"",COUNTIFS($B$6:$B10,"&lt;&gt;",$E$6:$E10,ca_envc))</f>
        <v>5</v>
      </c>
      <c r="U10" s="26" t="str">
        <f>IF(OR($B10="",$A10&lt;&gt;"IKS",COUNTIFS($E10,ex_envc)=0),"",COUNTIFS($B$6:$B10,"&lt;&gt;",$A$6:$A10,"IKS",$E$6:$E10,ex_envc))</f>
        <v/>
      </c>
      <c r="V10" s="35">
        <f>IF($B10="","",IFERROR((SUMIFS(TblApplications[CPU Dynatrace (vCPU)],TblApplications[Cluster IKS source],$B10)+SUMIFS(TblApplications[Besoin ROKS CPU (vCPU)],TblApplications[Cluster ROKS cible],$B10,TblApplications[Action],"Migré")+SUMIFS(TblApplications[Besoin ROKS CPU (vCPU)],TblApplications[Cluster ROKS cible],$B10,TblApplications[Action],"À migrer"))/$J10,""))</f>
        <v>0</v>
      </c>
      <c r="W10" s="35">
        <f>IF($B10="","",IFERROR((SUMIFS(TblApplications[RAM Dynatrace (Go)],TblApplications[Cluster IKS source],$B10)+SUMIFS(TblApplications[Besoin ROKS RAM (Go)],TblApplications[Cluster ROKS cible],$B10,TblApplications[Action],"Migré")+SUMIFS(TblApplications[Besoin ROKS RAM (Go)],TblApplications[Cluster ROKS cible],$B10,TblApplications[Action],"À migrer"))/$K10,""))</f>
        <v>0</v>
      </c>
      <c r="X10" s="26" t="str">
        <f t="shared" si="4"/>
        <v>OK</v>
      </c>
    </row>
    <row r="11" spans="1:24" x14ac:dyDescent="0.2">
      <c r="A11" s="59" t="s">
        <v>324</v>
      </c>
      <c r="B11" s="59" t="s">
        <v>338</v>
      </c>
      <c r="C11" s="59" t="s">
        <v>339</v>
      </c>
      <c r="D11" s="59" t="s">
        <v>340</v>
      </c>
      <c r="E11" s="59" t="s">
        <v>39</v>
      </c>
      <c r="F11" s="59" t="s">
        <v>327</v>
      </c>
      <c r="G11" s="59">
        <v>6</v>
      </c>
      <c r="H11" s="26">
        <f>IF($F11="","",IFERROR(INDEX(TblABS[vCPU par nœud],MATCH($F11,TblABS[Flavor],0)),"?"))</f>
        <v>8</v>
      </c>
      <c r="I11" s="26">
        <f>IF($F11="","",IFERROR(INDEX(TblABS[RAM par nœud (Go)],MATCH($F11,TblABS[Flavor],0)),"?"))</f>
        <v>40</v>
      </c>
      <c r="J11" s="26">
        <f t="shared" si="0"/>
        <v>48</v>
      </c>
      <c r="K11" s="26">
        <f t="shared" si="1"/>
        <v>240</v>
      </c>
      <c r="L11" s="59">
        <v>6</v>
      </c>
      <c r="M11" s="26">
        <f t="shared" si="2"/>
        <v>48</v>
      </c>
      <c r="N11" s="26">
        <f t="shared" si="3"/>
        <v>240</v>
      </c>
      <c r="O11" s="65">
        <f>IF($F11="","",IFERROR(INDEX(TblABS[Tarif par nœud],MATCH($F11,TblABS[Flavor],0)),"?"))</f>
        <v>368</v>
      </c>
      <c r="P11" s="59" t="s">
        <v>278</v>
      </c>
      <c r="Q11" s="26" t="str">
        <f>IF($B11="","",IF(OR($A11="",$E11="",$F11="",$G11="",$L11=""),IF(COUNTIFS(TblApplications[Cluster IKS source],$B11)+COUNTIFS(TblApplications[Cluster ROKS cible],$B11)=0,"À compléter : flavor / workers (info)","Données manquantes"),IF(AND($A11&lt;&gt;"IKS",$A11&lt;&gt;"ROKS"),"Plateforme invalide",IF(AND($E11&lt;&gt;"PRD",$E11&lt;&gt;"NPRD"),"Environnement invalide",IF(OR(NOT(ISNUMBER($G11)),NOT(ISNUMBER($L11))),"Workers non numérique",IF(OR($G11&lt;0,$L11&lt;0),"Valeur négative",IF(OR($G11&lt;&gt;INT($G11),$L11&lt;&gt;INT($L11)),"Workers non entier",IF(NOT(ISNUMBER($H11)),IF(COUNTIFS(TblApplications[Cluster IKS source],$B11)+COUNTIFS(TblApplications[Cluster ROKS cible],$B11)=0,"Flavor à corriger (info)","Flavor inconnu"),IF(AND(p_mode="Nœud",OR(NOT(ISNUMBER($O11)),$O11&lt;=0)),"Tarif du flavor manquant ou invalide",IF(COUNTIF(TblClusters[Cluster],$B11)&gt;1,"Cluster en doublon",IF($L11&gt;$G11,"Plancher &gt; capacité initiale",IF(AND($A11="ROKS",$G11&gt;p_maxworkers),"Workers &gt; max ROKS",IF(AND($A11="IKS",(SUMIFS(TblApplications[CPU IKS libérable (vCPU)],TblApplications[Cluster IKS source],$B11,TblApplications[Action],"À migrer")+SUMIFS(TblApplications[CPU IKS libérable (vCPU)],TblApplications[Cluster IKS source],$B11,TblApplications[Action],"À décommissionner"))&gt;$J11),"Libérations CPU &gt; capacité initiale",IF(AND($A11="IKS",(SUMIFS(TblApplications[RAM IKS libérable (Go)],TblApplications[Cluster IKS source],$B11,TblApplications[Action],"À migrer")+SUMIFS(TblApplications[RAM IKS libérable (Go)],TblApplications[Cluster IKS source],$B11,TblApplications[Action],"À décommissionner"))&gt;$K11),"Libérations RAM &gt; capacité initiale",IF(SUMIFS(TblCalculs[Alerte max workers],TblCalculs[Cluster],$B11)&gt;0,"Max workers ROKS dépassé ("&amp;SUMIFS(TblCalculs[Alerte max workers],TblCalculs[Cluster],$B11)&amp;" mois) : flavor plus gros ou second cluster",IF(SUMIFS(TblCalculs[Alerte plancher IKS],TblCalculs[Cluster],$B11)&gt;0,"Plancher IKS atteint ("&amp;SUMIFS(TblCalculs[Alerte plancher IKS],TblCalculs[Cluster],$B11)&amp;" mois) (info)",IF(AND($A11="IKS",ISNUMBER($R11),$R11&lt;_xlfn.MAXIFS(TblApplications[Mois lib (calc)],TblApplications[Cluster IKS source],$B11)),"Fermeture avant la dernière libération",IF(AND($R11&lt;&gt;"",OR($A11&lt;&gt;"IKS",NOT(ISNUMBER($R11)))),"Fermeture : IKS uniquement, date attendue","OK"))))))))))))))))))</f>
        <v>OK</v>
      </c>
      <c r="R11" s="61"/>
      <c r="S11" s="33" t="str">
        <f>IF(OR($B11="",$A11&lt;&gt;"IKS"),"",IF(ISNUMBER($R11),DATE(YEAR($R11),MONTH($R11),1),IF(p_fermauto&lt;&gt;"Oui","",IF(COUNTIFS(TblApplications[Cluster IKS source],$B11,TblApplications[Action],"À migrer")+COUNTIFS(TblApplications[Cluster IKS source],$B11,TblApplications[Action],"À décommissionner")=0,"",IF(COUNTIFS(TblApplications[Cluster IKS source],$B11,TblApplications[Action],"À migrer",TblApplications[Mois lib (calc)],"")+COUNTIFS(TblApplications[Cluster IKS source],$B11,TblApplications[Action],"À décommissionner",TblApplications[Mois lib (calc)],"")&gt;0,"",_xlfn.MAXIFS(TblApplications[Mois lib (calc)],TblApplications[Cluster IKS source],$B11))))))</f>
        <v/>
      </c>
      <c r="T11" s="26">
        <f>IF(OR($B11="",COUNTIFS($E11,ca_envc)=0),"",COUNTIFS($B$6:$B11,"&lt;&gt;",$E$6:$E11,ca_envc))</f>
        <v>6</v>
      </c>
      <c r="U11" s="26" t="str">
        <f>IF(OR($B11="",$A11&lt;&gt;"IKS",COUNTIFS($E11,ex_envc)=0),"",COUNTIFS($B$6:$B11,"&lt;&gt;",$A$6:$A11,"IKS",$E$6:$E11,ex_envc))</f>
        <v/>
      </c>
      <c r="V11" s="35">
        <f>IF($B11="","",IFERROR((SUMIFS(TblApplications[CPU Dynatrace (vCPU)],TblApplications[Cluster IKS source],$B11)+SUMIFS(TblApplications[Besoin ROKS CPU (vCPU)],TblApplications[Cluster ROKS cible],$B11,TblApplications[Action],"Migré")+SUMIFS(TblApplications[Besoin ROKS CPU (vCPU)],TblApplications[Cluster ROKS cible],$B11,TblApplications[Action],"À migrer"))/$J11,""))</f>
        <v>0</v>
      </c>
      <c r="W11" s="35">
        <f>IF($B11="","",IFERROR((SUMIFS(TblApplications[RAM Dynatrace (Go)],TblApplications[Cluster IKS source],$B11)+SUMIFS(TblApplications[Besoin ROKS RAM (Go)],TblApplications[Cluster ROKS cible],$B11,TblApplications[Action],"Migré")+SUMIFS(TblApplications[Besoin ROKS RAM (Go)],TblApplications[Cluster ROKS cible],$B11,TblApplications[Action],"À migrer"))/$K11,""))</f>
        <v>0</v>
      </c>
      <c r="X11" s="26" t="str">
        <f t="shared" si="4"/>
        <v>OK</v>
      </c>
    </row>
    <row r="12" spans="1:24" x14ac:dyDescent="0.2">
      <c r="A12" s="59" t="s">
        <v>324</v>
      </c>
      <c r="B12" s="59" t="s">
        <v>341</v>
      </c>
      <c r="C12" s="59"/>
      <c r="D12" s="59" t="s">
        <v>342</v>
      </c>
      <c r="E12" s="59" t="s">
        <v>40</v>
      </c>
      <c r="F12" s="59"/>
      <c r="G12" s="59">
        <v>0</v>
      </c>
      <c r="H12" s="26" t="str">
        <f>IF($F12="","",IFERROR(INDEX(TblABS[vCPU par nœud],MATCH($F12,TblABS[Flavor],0)),"?"))</f>
        <v/>
      </c>
      <c r="I12" s="26" t="str">
        <f>IF($F12="","",IFERROR(INDEX(TblABS[RAM par nœud (Go)],MATCH($F12,TblABS[Flavor],0)),"?"))</f>
        <v/>
      </c>
      <c r="J12" s="26" t="str">
        <f t="shared" si="0"/>
        <v/>
      </c>
      <c r="K12" s="26" t="str">
        <f t="shared" si="1"/>
        <v/>
      </c>
      <c r="L12" s="59">
        <v>0</v>
      </c>
      <c r="M12" s="26" t="str">
        <f t="shared" si="2"/>
        <v/>
      </c>
      <c r="N12" s="26" t="str">
        <f t="shared" si="3"/>
        <v/>
      </c>
      <c r="O12" s="65" t="str">
        <f>IF($F12="","",IFERROR(INDEX(TblABS[Tarif par nœud],MATCH($F12,TblABS[Flavor],0)),"?"))</f>
        <v/>
      </c>
      <c r="P12" s="59" t="s">
        <v>278</v>
      </c>
      <c r="Q12" s="26" t="str">
        <f>IF($B12="","",IF(OR($A12="",$E12="",$F12="",$G12="",$L12=""),IF(COUNTIFS(TblApplications[Cluster IKS source],$B12)+COUNTIFS(TblApplications[Cluster ROKS cible],$B12)=0,"À compléter : flavor / workers (info)","Données manquantes"),IF(AND($A12&lt;&gt;"IKS",$A12&lt;&gt;"ROKS"),"Plateforme invalide",IF(AND($E12&lt;&gt;"PRD",$E12&lt;&gt;"NPRD"),"Environnement invalide",IF(OR(NOT(ISNUMBER($G12)),NOT(ISNUMBER($L12))),"Workers non numérique",IF(OR($G12&lt;0,$L12&lt;0),"Valeur négative",IF(OR($G12&lt;&gt;INT($G12),$L12&lt;&gt;INT($L12)),"Workers non entier",IF(NOT(ISNUMBER($H12)),IF(COUNTIFS(TblApplications[Cluster IKS source],$B12)+COUNTIFS(TblApplications[Cluster ROKS cible],$B12)=0,"Flavor à corriger (info)","Flavor inconnu"),IF(AND(p_mode="Nœud",OR(NOT(ISNUMBER($O12)),$O12&lt;=0)),"Tarif du flavor manquant ou invalide",IF(COUNTIF(TblClusters[Cluster],$B12)&gt;1,"Cluster en doublon",IF($L12&gt;$G12,"Plancher &gt; capacité initiale",IF(AND($A12="ROKS",$G12&gt;p_maxworkers),"Workers &gt; max ROKS",IF(AND($A12="IKS",(SUMIFS(TblApplications[CPU IKS libérable (vCPU)],TblApplications[Cluster IKS source],$B12,TblApplications[Action],"À migrer")+SUMIFS(TblApplications[CPU IKS libérable (vCPU)],TblApplications[Cluster IKS source],$B12,TblApplications[Action],"À décommissionner"))&gt;$J12),"Libérations CPU &gt; capacité initiale",IF(AND($A12="IKS",(SUMIFS(TblApplications[RAM IKS libérable (Go)],TblApplications[Cluster IKS source],$B12,TblApplications[Action],"À migrer")+SUMIFS(TblApplications[RAM IKS libérable (Go)],TblApplications[Cluster IKS source],$B12,TblApplications[Action],"À décommissionner"))&gt;$K12),"Libérations RAM &gt; capacité initiale",IF(SUMIFS(TblCalculs[Alerte max workers],TblCalculs[Cluster],$B12)&gt;0,"Max workers ROKS dépassé ("&amp;SUMIFS(TblCalculs[Alerte max workers],TblCalculs[Cluster],$B12)&amp;" mois) : flavor plus gros ou second cluster",IF(SUMIFS(TblCalculs[Alerte plancher IKS],TblCalculs[Cluster],$B12)&gt;0,"Plancher IKS atteint ("&amp;SUMIFS(TblCalculs[Alerte plancher IKS],TblCalculs[Cluster],$B12)&amp;" mois) (info)",IF(AND($A12="IKS",ISNUMBER($R12),$R12&lt;_xlfn.MAXIFS(TblApplications[Mois lib (calc)],TblApplications[Cluster IKS source],$B12)),"Fermeture avant la dernière libération",IF(AND($R12&lt;&gt;"",OR($A12&lt;&gt;"IKS",NOT(ISNUMBER($R12)))),"Fermeture : IKS uniquement, date attendue","OK"))))))))))))))))))</f>
        <v>À compléter : flavor / workers (info)</v>
      </c>
      <c r="R12" s="61"/>
      <c r="S12" s="33" t="str">
        <f>IF(OR($B12="",$A12&lt;&gt;"IKS"),"",IF(ISNUMBER($R12),DATE(YEAR($R12),MONTH($R12),1),IF(p_fermauto&lt;&gt;"Oui","",IF(COUNTIFS(TblApplications[Cluster IKS source],$B12,TblApplications[Action],"À migrer")+COUNTIFS(TblApplications[Cluster IKS source],$B12,TblApplications[Action],"À décommissionner")=0,"",IF(COUNTIFS(TblApplications[Cluster IKS source],$B12,TblApplications[Action],"À migrer",TblApplications[Mois lib (calc)],"")+COUNTIFS(TblApplications[Cluster IKS source],$B12,TblApplications[Action],"À décommissionner",TblApplications[Mois lib (calc)],"")&gt;0,"",_xlfn.MAXIFS(TblApplications[Mois lib (calc)],TblApplications[Cluster IKS source],$B12))))))</f>
        <v/>
      </c>
      <c r="T12" s="26">
        <f>IF(OR($B12="",COUNTIFS($E12,ca_envc)=0),"",COUNTIFS($B$6:$B12,"&lt;&gt;",$E$6:$E12,ca_envc))</f>
        <v>7</v>
      </c>
      <c r="U12" s="26" t="str">
        <f>IF(OR($B12="",$A12&lt;&gt;"IKS",COUNTIFS($E12,ex_envc)=0),"",COUNTIFS($B$6:$B12,"&lt;&gt;",$A$6:$A12,"IKS",$E$6:$E12,ex_envc))</f>
        <v/>
      </c>
      <c r="V12" s="35" t="str">
        <f>IF($B12="","",IFERROR((SUMIFS(TblApplications[CPU Dynatrace (vCPU)],TblApplications[Cluster IKS source],$B12)+SUMIFS(TblApplications[Besoin ROKS CPU (vCPU)],TblApplications[Cluster ROKS cible],$B12,TblApplications[Action],"Migré")+SUMIFS(TblApplications[Besoin ROKS CPU (vCPU)],TblApplications[Cluster ROKS cible],$B12,TblApplications[Action],"À migrer"))/$J12,""))</f>
        <v/>
      </c>
      <c r="W12" s="35" t="str">
        <f>IF($B12="","",IFERROR((SUMIFS(TblApplications[RAM Dynatrace (Go)],TblApplications[Cluster IKS source],$B12)+SUMIFS(TblApplications[Besoin ROKS RAM (Go)],TblApplications[Cluster ROKS cible],$B12,TblApplications[Action],"Migré")+SUMIFS(TblApplications[Besoin ROKS RAM (Go)],TblApplications[Cluster ROKS cible],$B12,TblApplications[Action],"À migrer"))/$K12,""))</f>
        <v/>
      </c>
      <c r="X12" s="26" t="str">
        <f t="shared" si="4"/>
        <v>OK</v>
      </c>
    </row>
    <row r="13" spans="1:24" x14ac:dyDescent="0.2">
      <c r="A13" s="59" t="s">
        <v>324</v>
      </c>
      <c r="B13" s="59" t="s">
        <v>343</v>
      </c>
      <c r="C13" s="59" t="s">
        <v>329</v>
      </c>
      <c r="D13" s="59" t="s">
        <v>344</v>
      </c>
      <c r="E13" s="59" t="s">
        <v>40</v>
      </c>
      <c r="F13" s="59" t="s">
        <v>327</v>
      </c>
      <c r="G13" s="59">
        <v>6</v>
      </c>
      <c r="H13" s="26">
        <f>IF($F13="","",IFERROR(INDEX(TblABS[vCPU par nœud],MATCH($F13,TblABS[Flavor],0)),"?"))</f>
        <v>8</v>
      </c>
      <c r="I13" s="26">
        <f>IF($F13="","",IFERROR(INDEX(TblABS[RAM par nœud (Go)],MATCH($F13,TblABS[Flavor],0)),"?"))</f>
        <v>40</v>
      </c>
      <c r="J13" s="26">
        <f t="shared" si="0"/>
        <v>48</v>
      </c>
      <c r="K13" s="26">
        <f t="shared" si="1"/>
        <v>240</v>
      </c>
      <c r="L13" s="59">
        <v>6</v>
      </c>
      <c r="M13" s="26">
        <f t="shared" si="2"/>
        <v>48</v>
      </c>
      <c r="N13" s="26">
        <f t="shared" si="3"/>
        <v>240</v>
      </c>
      <c r="O13" s="65">
        <f>IF($F13="","",IFERROR(INDEX(TblABS[Tarif par nœud],MATCH($F13,TblABS[Flavor],0)),"?"))</f>
        <v>368</v>
      </c>
      <c r="P13" s="59" t="s">
        <v>278</v>
      </c>
      <c r="Q13" s="26" t="str">
        <f>IF($B13="","",IF(OR($A13="",$E13="",$F13="",$G13="",$L13=""),IF(COUNTIFS(TblApplications[Cluster IKS source],$B13)+COUNTIFS(TblApplications[Cluster ROKS cible],$B13)=0,"À compléter : flavor / workers (info)","Données manquantes"),IF(AND($A13&lt;&gt;"IKS",$A13&lt;&gt;"ROKS"),"Plateforme invalide",IF(AND($E13&lt;&gt;"PRD",$E13&lt;&gt;"NPRD"),"Environnement invalide",IF(OR(NOT(ISNUMBER($G13)),NOT(ISNUMBER($L13))),"Workers non numérique",IF(OR($G13&lt;0,$L13&lt;0),"Valeur négative",IF(OR($G13&lt;&gt;INT($G13),$L13&lt;&gt;INT($L13)),"Workers non entier",IF(NOT(ISNUMBER($H13)),IF(COUNTIFS(TblApplications[Cluster IKS source],$B13)+COUNTIFS(TblApplications[Cluster ROKS cible],$B13)=0,"Flavor à corriger (info)","Flavor inconnu"),IF(AND(p_mode="Nœud",OR(NOT(ISNUMBER($O13)),$O13&lt;=0)),"Tarif du flavor manquant ou invalide",IF(COUNTIF(TblClusters[Cluster],$B13)&gt;1,"Cluster en doublon",IF($L13&gt;$G13,"Plancher &gt; capacité initiale",IF(AND($A13="ROKS",$G13&gt;p_maxworkers),"Workers &gt; max ROKS",IF(AND($A13="IKS",(SUMIFS(TblApplications[CPU IKS libérable (vCPU)],TblApplications[Cluster IKS source],$B13,TblApplications[Action],"À migrer")+SUMIFS(TblApplications[CPU IKS libérable (vCPU)],TblApplications[Cluster IKS source],$B13,TblApplications[Action],"À décommissionner"))&gt;$J13),"Libérations CPU &gt; capacité initiale",IF(AND($A13="IKS",(SUMIFS(TblApplications[RAM IKS libérable (Go)],TblApplications[Cluster IKS source],$B13,TblApplications[Action],"À migrer")+SUMIFS(TblApplications[RAM IKS libérable (Go)],TblApplications[Cluster IKS source],$B13,TblApplications[Action],"À décommissionner"))&gt;$K13),"Libérations RAM &gt; capacité initiale",IF(SUMIFS(TblCalculs[Alerte max workers],TblCalculs[Cluster],$B13)&gt;0,"Max workers ROKS dépassé ("&amp;SUMIFS(TblCalculs[Alerte max workers],TblCalculs[Cluster],$B13)&amp;" mois) : flavor plus gros ou second cluster",IF(SUMIFS(TblCalculs[Alerte plancher IKS],TblCalculs[Cluster],$B13)&gt;0,"Plancher IKS atteint ("&amp;SUMIFS(TblCalculs[Alerte plancher IKS],TblCalculs[Cluster],$B13)&amp;" mois) (info)",IF(AND($A13="IKS",ISNUMBER($R13),$R13&lt;_xlfn.MAXIFS(TblApplications[Mois lib (calc)],TblApplications[Cluster IKS source],$B13)),"Fermeture avant la dernière libération",IF(AND($R13&lt;&gt;"",OR($A13&lt;&gt;"IKS",NOT(ISNUMBER($R13)))),"Fermeture : IKS uniquement, date attendue","OK"))))))))))))))))))</f>
        <v>OK</v>
      </c>
      <c r="R13" s="61"/>
      <c r="S13" s="33" t="str">
        <f>IF(OR($B13="",$A13&lt;&gt;"IKS"),"",IF(ISNUMBER($R13),DATE(YEAR($R13),MONTH($R13),1),IF(p_fermauto&lt;&gt;"Oui","",IF(COUNTIFS(TblApplications[Cluster IKS source],$B13,TblApplications[Action],"À migrer")+COUNTIFS(TblApplications[Cluster IKS source],$B13,TblApplications[Action],"À décommissionner")=0,"",IF(COUNTIFS(TblApplications[Cluster IKS source],$B13,TblApplications[Action],"À migrer",TblApplications[Mois lib (calc)],"")+COUNTIFS(TblApplications[Cluster IKS source],$B13,TblApplications[Action],"À décommissionner",TblApplications[Mois lib (calc)],"")&gt;0,"",_xlfn.MAXIFS(TblApplications[Mois lib (calc)],TblApplications[Cluster IKS source],$B13))))))</f>
        <v/>
      </c>
      <c r="T13" s="26">
        <f>IF(OR($B13="",COUNTIFS($E13,ca_envc)=0),"",COUNTIFS($B$6:$B13,"&lt;&gt;",$E$6:$E13,ca_envc))</f>
        <v>8</v>
      </c>
      <c r="U13" s="26" t="str">
        <f>IF(OR($B13="",$A13&lt;&gt;"IKS",COUNTIFS($E13,ex_envc)=0),"",COUNTIFS($B$6:$B13,"&lt;&gt;",$A$6:$A13,"IKS",$E$6:$E13,ex_envc))</f>
        <v/>
      </c>
      <c r="V13" s="35">
        <f>IF($B13="","",IFERROR((SUMIFS(TblApplications[CPU Dynatrace (vCPU)],TblApplications[Cluster IKS source],$B13)+SUMIFS(TblApplications[Besoin ROKS CPU (vCPU)],TblApplications[Cluster ROKS cible],$B13,TblApplications[Action],"Migré")+SUMIFS(TblApplications[Besoin ROKS CPU (vCPU)],TblApplications[Cluster ROKS cible],$B13,TblApplications[Action],"À migrer"))/$J13,""))</f>
        <v>0</v>
      </c>
      <c r="W13" s="35">
        <f>IF($B13="","",IFERROR((SUMIFS(TblApplications[RAM Dynatrace (Go)],TblApplications[Cluster IKS source],$B13)+SUMIFS(TblApplications[Besoin ROKS RAM (Go)],TblApplications[Cluster ROKS cible],$B13,TblApplications[Action],"Migré")+SUMIFS(TblApplications[Besoin ROKS RAM (Go)],TblApplications[Cluster ROKS cible],$B13,TblApplications[Action],"À migrer"))/$K13,""))</f>
        <v>0</v>
      </c>
      <c r="X13" s="26" t="str">
        <f t="shared" si="4"/>
        <v>OK</v>
      </c>
    </row>
    <row r="14" spans="1:24" x14ac:dyDescent="0.2">
      <c r="A14" s="59" t="s">
        <v>324</v>
      </c>
      <c r="B14" s="59" t="s">
        <v>345</v>
      </c>
      <c r="C14" s="59"/>
      <c r="D14" s="59" t="s">
        <v>342</v>
      </c>
      <c r="E14" s="59" t="s">
        <v>40</v>
      </c>
      <c r="F14" s="59"/>
      <c r="G14" s="59">
        <v>0</v>
      </c>
      <c r="H14" s="26" t="str">
        <f>IF($F14="","",IFERROR(INDEX(TblABS[vCPU par nœud],MATCH($F14,TblABS[Flavor],0)),"?"))</f>
        <v/>
      </c>
      <c r="I14" s="26" t="str">
        <f>IF($F14="","",IFERROR(INDEX(TblABS[RAM par nœud (Go)],MATCH($F14,TblABS[Flavor],0)),"?"))</f>
        <v/>
      </c>
      <c r="J14" s="26" t="str">
        <f t="shared" si="0"/>
        <v/>
      </c>
      <c r="K14" s="26" t="str">
        <f t="shared" si="1"/>
        <v/>
      </c>
      <c r="L14" s="59">
        <v>0</v>
      </c>
      <c r="M14" s="26" t="str">
        <f t="shared" si="2"/>
        <v/>
      </c>
      <c r="N14" s="26" t="str">
        <f t="shared" si="3"/>
        <v/>
      </c>
      <c r="O14" s="65" t="str">
        <f>IF($F14="","",IFERROR(INDEX(TblABS[Tarif par nœud],MATCH($F14,TblABS[Flavor],0)),"?"))</f>
        <v/>
      </c>
      <c r="P14" s="59" t="s">
        <v>278</v>
      </c>
      <c r="Q14" s="26" t="str">
        <f>IF($B14="","",IF(OR($A14="",$E14="",$F14="",$G14="",$L14=""),IF(COUNTIFS(TblApplications[Cluster IKS source],$B14)+COUNTIFS(TblApplications[Cluster ROKS cible],$B14)=0,"À compléter : flavor / workers (info)","Données manquantes"),IF(AND($A14&lt;&gt;"IKS",$A14&lt;&gt;"ROKS"),"Plateforme invalide",IF(AND($E14&lt;&gt;"PRD",$E14&lt;&gt;"NPRD"),"Environnement invalide",IF(OR(NOT(ISNUMBER($G14)),NOT(ISNUMBER($L14))),"Workers non numérique",IF(OR($G14&lt;0,$L14&lt;0),"Valeur négative",IF(OR($G14&lt;&gt;INT($G14),$L14&lt;&gt;INT($L14)),"Workers non entier",IF(NOT(ISNUMBER($H14)),IF(COUNTIFS(TblApplications[Cluster IKS source],$B14)+COUNTIFS(TblApplications[Cluster ROKS cible],$B14)=0,"Flavor à corriger (info)","Flavor inconnu"),IF(AND(p_mode="Nœud",OR(NOT(ISNUMBER($O14)),$O14&lt;=0)),"Tarif du flavor manquant ou invalide",IF(COUNTIF(TblClusters[Cluster],$B14)&gt;1,"Cluster en doublon",IF($L14&gt;$G14,"Plancher &gt; capacité initiale",IF(AND($A14="ROKS",$G14&gt;p_maxworkers),"Workers &gt; max ROKS",IF(AND($A14="IKS",(SUMIFS(TblApplications[CPU IKS libérable (vCPU)],TblApplications[Cluster IKS source],$B14,TblApplications[Action],"À migrer")+SUMIFS(TblApplications[CPU IKS libérable (vCPU)],TblApplications[Cluster IKS source],$B14,TblApplications[Action],"À décommissionner"))&gt;$J14),"Libérations CPU &gt; capacité initiale",IF(AND($A14="IKS",(SUMIFS(TblApplications[RAM IKS libérable (Go)],TblApplications[Cluster IKS source],$B14,TblApplications[Action],"À migrer")+SUMIFS(TblApplications[RAM IKS libérable (Go)],TblApplications[Cluster IKS source],$B14,TblApplications[Action],"À décommissionner"))&gt;$K14),"Libérations RAM &gt; capacité initiale",IF(SUMIFS(TblCalculs[Alerte max workers],TblCalculs[Cluster],$B14)&gt;0,"Max workers ROKS dépassé ("&amp;SUMIFS(TblCalculs[Alerte max workers],TblCalculs[Cluster],$B14)&amp;" mois) : flavor plus gros ou second cluster",IF(SUMIFS(TblCalculs[Alerte plancher IKS],TblCalculs[Cluster],$B14)&gt;0,"Plancher IKS atteint ("&amp;SUMIFS(TblCalculs[Alerte plancher IKS],TblCalculs[Cluster],$B14)&amp;" mois) (info)",IF(AND($A14="IKS",ISNUMBER($R14),$R14&lt;_xlfn.MAXIFS(TblApplications[Mois lib (calc)],TblApplications[Cluster IKS source],$B14)),"Fermeture avant la dernière libération",IF(AND($R14&lt;&gt;"",OR($A14&lt;&gt;"IKS",NOT(ISNUMBER($R14)))),"Fermeture : IKS uniquement, date attendue","OK"))))))))))))))))))</f>
        <v>À compléter : flavor / workers (info)</v>
      </c>
      <c r="R14" s="61"/>
      <c r="S14" s="33" t="str">
        <f>IF(OR($B14="",$A14&lt;&gt;"IKS"),"",IF(ISNUMBER($R14),DATE(YEAR($R14),MONTH($R14),1),IF(p_fermauto&lt;&gt;"Oui","",IF(COUNTIFS(TblApplications[Cluster IKS source],$B14,TblApplications[Action],"À migrer")+COUNTIFS(TblApplications[Cluster IKS source],$B14,TblApplications[Action],"À décommissionner")=0,"",IF(COUNTIFS(TblApplications[Cluster IKS source],$B14,TblApplications[Action],"À migrer",TblApplications[Mois lib (calc)],"")+COUNTIFS(TblApplications[Cluster IKS source],$B14,TblApplications[Action],"À décommissionner",TblApplications[Mois lib (calc)],"")&gt;0,"",_xlfn.MAXIFS(TblApplications[Mois lib (calc)],TblApplications[Cluster IKS source],$B14))))))</f>
        <v/>
      </c>
      <c r="T14" s="26">
        <f>IF(OR($B14="",COUNTIFS($E14,ca_envc)=0),"",COUNTIFS($B$6:$B14,"&lt;&gt;",$E$6:$E14,ca_envc))</f>
        <v>9</v>
      </c>
      <c r="U14" s="26" t="str">
        <f>IF(OR($B14="",$A14&lt;&gt;"IKS",COUNTIFS($E14,ex_envc)=0),"",COUNTIFS($B$6:$B14,"&lt;&gt;",$A$6:$A14,"IKS",$E$6:$E14,ex_envc))</f>
        <v/>
      </c>
      <c r="V14" s="35" t="str">
        <f>IF($B14="","",IFERROR((SUMIFS(TblApplications[CPU Dynatrace (vCPU)],TblApplications[Cluster IKS source],$B14)+SUMIFS(TblApplications[Besoin ROKS CPU (vCPU)],TblApplications[Cluster ROKS cible],$B14,TblApplications[Action],"Migré")+SUMIFS(TblApplications[Besoin ROKS CPU (vCPU)],TblApplications[Cluster ROKS cible],$B14,TblApplications[Action],"À migrer"))/$J14,""))</f>
        <v/>
      </c>
      <c r="W14" s="35" t="str">
        <f>IF($B14="","",IFERROR((SUMIFS(TblApplications[RAM Dynatrace (Go)],TblApplications[Cluster IKS source],$B14)+SUMIFS(TblApplications[Besoin ROKS RAM (Go)],TblApplications[Cluster ROKS cible],$B14,TblApplications[Action],"Migré")+SUMIFS(TblApplications[Besoin ROKS RAM (Go)],TblApplications[Cluster ROKS cible],$B14,TblApplications[Action],"À migrer"))/$K14,""))</f>
        <v/>
      </c>
      <c r="X14" s="26" t="str">
        <f t="shared" si="4"/>
        <v>OK</v>
      </c>
    </row>
    <row r="15" spans="1:24" x14ac:dyDescent="0.2">
      <c r="A15" s="59" t="s">
        <v>324</v>
      </c>
      <c r="B15" s="59" t="s">
        <v>346</v>
      </c>
      <c r="C15" s="59" t="s">
        <v>325</v>
      </c>
      <c r="D15" s="59" t="s">
        <v>347</v>
      </c>
      <c r="E15" s="59" t="s">
        <v>39</v>
      </c>
      <c r="F15" s="59" t="s">
        <v>327</v>
      </c>
      <c r="G15" s="59">
        <v>6</v>
      </c>
      <c r="H15" s="26">
        <f>IF($F15="","",IFERROR(INDEX(TblABS[vCPU par nœud],MATCH($F15,TblABS[Flavor],0)),"?"))</f>
        <v>8</v>
      </c>
      <c r="I15" s="26">
        <f>IF($F15="","",IFERROR(INDEX(TblABS[RAM par nœud (Go)],MATCH($F15,TblABS[Flavor],0)),"?"))</f>
        <v>40</v>
      </c>
      <c r="J15" s="26">
        <f t="shared" si="0"/>
        <v>48</v>
      </c>
      <c r="K15" s="26">
        <f t="shared" si="1"/>
        <v>240</v>
      </c>
      <c r="L15" s="59">
        <v>6</v>
      </c>
      <c r="M15" s="26">
        <f t="shared" si="2"/>
        <v>48</v>
      </c>
      <c r="N15" s="26">
        <f t="shared" si="3"/>
        <v>240</v>
      </c>
      <c r="O15" s="65">
        <f>IF($F15="","",IFERROR(INDEX(TblABS[Tarif par nœud],MATCH($F15,TblABS[Flavor],0)),"?"))</f>
        <v>368</v>
      </c>
      <c r="P15" s="59" t="s">
        <v>278</v>
      </c>
      <c r="Q15" s="26" t="str">
        <f>IF($B15="","",IF(OR($A15="",$E15="",$F15="",$G15="",$L15=""),IF(COUNTIFS(TblApplications[Cluster IKS source],$B15)+COUNTIFS(TblApplications[Cluster ROKS cible],$B15)=0,"À compléter : flavor / workers (info)","Données manquantes"),IF(AND($A15&lt;&gt;"IKS",$A15&lt;&gt;"ROKS"),"Plateforme invalide",IF(AND($E15&lt;&gt;"PRD",$E15&lt;&gt;"NPRD"),"Environnement invalide",IF(OR(NOT(ISNUMBER($G15)),NOT(ISNUMBER($L15))),"Workers non numérique",IF(OR($G15&lt;0,$L15&lt;0),"Valeur négative",IF(OR($G15&lt;&gt;INT($G15),$L15&lt;&gt;INT($L15)),"Workers non entier",IF(NOT(ISNUMBER($H15)),IF(COUNTIFS(TblApplications[Cluster IKS source],$B15)+COUNTIFS(TblApplications[Cluster ROKS cible],$B15)=0,"Flavor à corriger (info)","Flavor inconnu"),IF(AND(p_mode="Nœud",OR(NOT(ISNUMBER($O15)),$O15&lt;=0)),"Tarif du flavor manquant ou invalide",IF(COUNTIF(TblClusters[Cluster],$B15)&gt;1,"Cluster en doublon",IF($L15&gt;$G15,"Plancher &gt; capacité initiale",IF(AND($A15="ROKS",$G15&gt;p_maxworkers),"Workers &gt; max ROKS",IF(AND($A15="IKS",(SUMIFS(TblApplications[CPU IKS libérable (vCPU)],TblApplications[Cluster IKS source],$B15,TblApplications[Action],"À migrer")+SUMIFS(TblApplications[CPU IKS libérable (vCPU)],TblApplications[Cluster IKS source],$B15,TblApplications[Action],"À décommissionner"))&gt;$J15),"Libérations CPU &gt; capacité initiale",IF(AND($A15="IKS",(SUMIFS(TblApplications[RAM IKS libérable (Go)],TblApplications[Cluster IKS source],$B15,TblApplications[Action],"À migrer")+SUMIFS(TblApplications[RAM IKS libérable (Go)],TblApplications[Cluster IKS source],$B15,TblApplications[Action],"À décommissionner"))&gt;$K15),"Libérations RAM &gt; capacité initiale",IF(SUMIFS(TblCalculs[Alerte max workers],TblCalculs[Cluster],$B15)&gt;0,"Max workers ROKS dépassé ("&amp;SUMIFS(TblCalculs[Alerte max workers],TblCalculs[Cluster],$B15)&amp;" mois) : flavor plus gros ou second cluster",IF(SUMIFS(TblCalculs[Alerte plancher IKS],TblCalculs[Cluster],$B15)&gt;0,"Plancher IKS atteint ("&amp;SUMIFS(TblCalculs[Alerte plancher IKS],TblCalculs[Cluster],$B15)&amp;" mois) (info)",IF(AND($A15="IKS",ISNUMBER($R15),$R15&lt;_xlfn.MAXIFS(TblApplications[Mois lib (calc)],TblApplications[Cluster IKS source],$B15)),"Fermeture avant la dernière libération",IF(AND($R15&lt;&gt;"",OR($A15&lt;&gt;"IKS",NOT(ISNUMBER($R15)))),"Fermeture : IKS uniquement, date attendue","OK"))))))))))))))))))</f>
        <v>OK</v>
      </c>
      <c r="R15" s="61"/>
      <c r="S15" s="33" t="str">
        <f>IF(OR($B15="",$A15&lt;&gt;"IKS"),"",IF(ISNUMBER($R15),DATE(YEAR($R15),MONTH($R15),1),IF(p_fermauto&lt;&gt;"Oui","",IF(COUNTIFS(TblApplications[Cluster IKS source],$B15,TblApplications[Action],"À migrer")+COUNTIFS(TblApplications[Cluster IKS source],$B15,TblApplications[Action],"À décommissionner")=0,"",IF(COUNTIFS(TblApplications[Cluster IKS source],$B15,TblApplications[Action],"À migrer",TblApplications[Mois lib (calc)],"")+COUNTIFS(TblApplications[Cluster IKS source],$B15,TblApplications[Action],"À décommissionner",TblApplications[Mois lib (calc)],"")&gt;0,"",_xlfn.MAXIFS(TblApplications[Mois lib (calc)],TblApplications[Cluster IKS source],$B15))))))</f>
        <v/>
      </c>
      <c r="T15" s="26">
        <f>IF(OR($B15="",COUNTIFS($E15,ca_envc)=0),"",COUNTIFS($B$6:$B15,"&lt;&gt;",$E$6:$E15,ca_envc))</f>
        <v>10</v>
      </c>
      <c r="U15" s="26" t="str">
        <f>IF(OR($B15="",$A15&lt;&gt;"IKS",COUNTIFS($E15,ex_envc)=0),"",COUNTIFS($B$6:$B15,"&lt;&gt;",$A$6:$A15,"IKS",$E$6:$E15,ex_envc))</f>
        <v/>
      </c>
      <c r="V15" s="35">
        <f>IF($B15="","",IFERROR((SUMIFS(TblApplications[CPU Dynatrace (vCPU)],TblApplications[Cluster IKS source],$B15)+SUMIFS(TblApplications[Besoin ROKS CPU (vCPU)],TblApplications[Cluster ROKS cible],$B15,TblApplications[Action],"Migré")+SUMIFS(TblApplications[Besoin ROKS CPU (vCPU)],TblApplications[Cluster ROKS cible],$B15,TblApplications[Action],"À migrer"))/$J15,""))</f>
        <v>0</v>
      </c>
      <c r="W15" s="35">
        <f>IF($B15="","",IFERROR((SUMIFS(TblApplications[RAM Dynatrace (Go)],TblApplications[Cluster IKS source],$B15)+SUMIFS(TblApplications[Besoin ROKS RAM (Go)],TblApplications[Cluster ROKS cible],$B15,TblApplications[Action],"Migré")+SUMIFS(TblApplications[Besoin ROKS RAM (Go)],TblApplications[Cluster ROKS cible],$B15,TblApplications[Action],"À migrer"))/$K15,""))</f>
        <v>0</v>
      </c>
      <c r="X15" s="26" t="str">
        <f t="shared" si="4"/>
        <v>OK</v>
      </c>
    </row>
    <row r="16" spans="1:24" x14ac:dyDescent="0.2">
      <c r="A16" s="59" t="s">
        <v>324</v>
      </c>
      <c r="B16" s="59" t="s">
        <v>348</v>
      </c>
      <c r="C16" s="59" t="s">
        <v>329</v>
      </c>
      <c r="D16" s="59" t="s">
        <v>349</v>
      </c>
      <c r="E16" s="59" t="s">
        <v>40</v>
      </c>
      <c r="F16" s="59" t="s">
        <v>327</v>
      </c>
      <c r="G16" s="59">
        <v>6</v>
      </c>
      <c r="H16" s="26">
        <f>IF($F16="","",IFERROR(INDEX(TblABS[vCPU par nœud],MATCH($F16,TblABS[Flavor],0)),"?"))</f>
        <v>8</v>
      </c>
      <c r="I16" s="26">
        <f>IF($F16="","",IFERROR(INDEX(TblABS[RAM par nœud (Go)],MATCH($F16,TblABS[Flavor],0)),"?"))</f>
        <v>40</v>
      </c>
      <c r="J16" s="26">
        <f t="shared" si="0"/>
        <v>48</v>
      </c>
      <c r="K16" s="26">
        <f t="shared" si="1"/>
        <v>240</v>
      </c>
      <c r="L16" s="59">
        <v>6</v>
      </c>
      <c r="M16" s="26">
        <f t="shared" si="2"/>
        <v>48</v>
      </c>
      <c r="N16" s="26">
        <f t="shared" si="3"/>
        <v>240</v>
      </c>
      <c r="O16" s="65">
        <f>IF($F16="","",IFERROR(INDEX(TblABS[Tarif par nœud],MATCH($F16,TblABS[Flavor],0)),"?"))</f>
        <v>368</v>
      </c>
      <c r="P16" s="59" t="s">
        <v>278</v>
      </c>
      <c r="Q16" s="26" t="str">
        <f>IF($B16="","",IF(OR($A16="",$E16="",$F16="",$G16="",$L16=""),IF(COUNTIFS(TblApplications[Cluster IKS source],$B16)+COUNTIFS(TblApplications[Cluster ROKS cible],$B16)=0,"À compléter : flavor / workers (info)","Données manquantes"),IF(AND($A16&lt;&gt;"IKS",$A16&lt;&gt;"ROKS"),"Plateforme invalide",IF(AND($E16&lt;&gt;"PRD",$E16&lt;&gt;"NPRD"),"Environnement invalide",IF(OR(NOT(ISNUMBER($G16)),NOT(ISNUMBER($L16))),"Workers non numérique",IF(OR($G16&lt;0,$L16&lt;0),"Valeur négative",IF(OR($G16&lt;&gt;INT($G16),$L16&lt;&gt;INT($L16)),"Workers non entier",IF(NOT(ISNUMBER($H16)),IF(COUNTIFS(TblApplications[Cluster IKS source],$B16)+COUNTIFS(TblApplications[Cluster ROKS cible],$B16)=0,"Flavor à corriger (info)","Flavor inconnu"),IF(AND(p_mode="Nœud",OR(NOT(ISNUMBER($O16)),$O16&lt;=0)),"Tarif du flavor manquant ou invalide",IF(COUNTIF(TblClusters[Cluster],$B16)&gt;1,"Cluster en doublon",IF($L16&gt;$G16,"Plancher &gt; capacité initiale",IF(AND($A16="ROKS",$G16&gt;p_maxworkers),"Workers &gt; max ROKS",IF(AND($A16="IKS",(SUMIFS(TblApplications[CPU IKS libérable (vCPU)],TblApplications[Cluster IKS source],$B16,TblApplications[Action],"À migrer")+SUMIFS(TblApplications[CPU IKS libérable (vCPU)],TblApplications[Cluster IKS source],$B16,TblApplications[Action],"À décommissionner"))&gt;$J16),"Libérations CPU &gt; capacité initiale",IF(AND($A16="IKS",(SUMIFS(TblApplications[RAM IKS libérable (Go)],TblApplications[Cluster IKS source],$B16,TblApplications[Action],"À migrer")+SUMIFS(TblApplications[RAM IKS libérable (Go)],TblApplications[Cluster IKS source],$B16,TblApplications[Action],"À décommissionner"))&gt;$K16),"Libérations RAM &gt; capacité initiale",IF(SUMIFS(TblCalculs[Alerte max workers],TblCalculs[Cluster],$B16)&gt;0,"Max workers ROKS dépassé ("&amp;SUMIFS(TblCalculs[Alerte max workers],TblCalculs[Cluster],$B16)&amp;" mois) : flavor plus gros ou second cluster",IF(SUMIFS(TblCalculs[Alerte plancher IKS],TblCalculs[Cluster],$B16)&gt;0,"Plancher IKS atteint ("&amp;SUMIFS(TblCalculs[Alerte plancher IKS],TblCalculs[Cluster],$B16)&amp;" mois) (info)",IF(AND($A16="IKS",ISNUMBER($R16),$R16&lt;_xlfn.MAXIFS(TblApplications[Mois lib (calc)],TblApplications[Cluster IKS source],$B16)),"Fermeture avant la dernière libération",IF(AND($R16&lt;&gt;"",OR($A16&lt;&gt;"IKS",NOT(ISNUMBER($R16)))),"Fermeture : IKS uniquement, date attendue","OK"))))))))))))))))))</f>
        <v>OK</v>
      </c>
      <c r="R16" s="61"/>
      <c r="S16" s="33" t="str">
        <f>IF(OR($B16="",$A16&lt;&gt;"IKS"),"",IF(ISNUMBER($R16),DATE(YEAR($R16),MONTH($R16),1),IF(p_fermauto&lt;&gt;"Oui","",IF(COUNTIFS(TblApplications[Cluster IKS source],$B16,TblApplications[Action],"À migrer")+COUNTIFS(TblApplications[Cluster IKS source],$B16,TblApplications[Action],"À décommissionner")=0,"",IF(COUNTIFS(TblApplications[Cluster IKS source],$B16,TblApplications[Action],"À migrer",TblApplications[Mois lib (calc)],"")+COUNTIFS(TblApplications[Cluster IKS source],$B16,TblApplications[Action],"À décommissionner",TblApplications[Mois lib (calc)],"")&gt;0,"",_xlfn.MAXIFS(TblApplications[Mois lib (calc)],TblApplications[Cluster IKS source],$B16))))))</f>
        <v/>
      </c>
      <c r="T16" s="26">
        <f>IF(OR($B16="",COUNTIFS($E16,ca_envc)=0),"",COUNTIFS($B$6:$B16,"&lt;&gt;",$E$6:$E16,ca_envc))</f>
        <v>11</v>
      </c>
      <c r="U16" s="26" t="str">
        <f>IF(OR($B16="",$A16&lt;&gt;"IKS",COUNTIFS($E16,ex_envc)=0),"",COUNTIFS($B$6:$B16,"&lt;&gt;",$A$6:$A16,"IKS",$E$6:$E16,ex_envc))</f>
        <v/>
      </c>
      <c r="V16" s="35">
        <f>IF($B16="","",IFERROR((SUMIFS(TblApplications[CPU Dynatrace (vCPU)],TblApplications[Cluster IKS source],$B16)+SUMIFS(TblApplications[Besoin ROKS CPU (vCPU)],TblApplications[Cluster ROKS cible],$B16,TblApplications[Action],"Migré")+SUMIFS(TblApplications[Besoin ROKS CPU (vCPU)],TblApplications[Cluster ROKS cible],$B16,TblApplications[Action],"À migrer"))/$J16,""))</f>
        <v>0</v>
      </c>
      <c r="W16" s="35">
        <f>IF($B16="","",IFERROR((SUMIFS(TblApplications[RAM Dynatrace (Go)],TblApplications[Cluster IKS source],$B16)+SUMIFS(TblApplications[Besoin ROKS RAM (Go)],TblApplications[Cluster ROKS cible],$B16,TblApplications[Action],"Migré")+SUMIFS(TblApplications[Besoin ROKS RAM (Go)],TblApplications[Cluster ROKS cible],$B16,TblApplications[Action],"À migrer"))/$K16,""))</f>
        <v>0</v>
      </c>
      <c r="X16" s="26" t="str">
        <f t="shared" si="4"/>
        <v>OK</v>
      </c>
    </row>
    <row r="17" spans="1:24" x14ac:dyDescent="0.2">
      <c r="A17" s="59" t="s">
        <v>324</v>
      </c>
      <c r="B17" s="59" t="s">
        <v>350</v>
      </c>
      <c r="C17" s="59" t="s">
        <v>325</v>
      </c>
      <c r="D17" s="59" t="s">
        <v>351</v>
      </c>
      <c r="E17" s="59" t="s">
        <v>39</v>
      </c>
      <c r="F17" s="59" t="s">
        <v>327</v>
      </c>
      <c r="G17" s="59">
        <v>6</v>
      </c>
      <c r="H17" s="26">
        <f>IF($F17="","",IFERROR(INDEX(TblABS[vCPU par nœud],MATCH($F17,TblABS[Flavor],0)),"?"))</f>
        <v>8</v>
      </c>
      <c r="I17" s="26">
        <f>IF($F17="","",IFERROR(INDEX(TblABS[RAM par nœud (Go)],MATCH($F17,TblABS[Flavor],0)),"?"))</f>
        <v>40</v>
      </c>
      <c r="J17" s="26">
        <f t="shared" si="0"/>
        <v>48</v>
      </c>
      <c r="K17" s="26">
        <f t="shared" si="1"/>
        <v>240</v>
      </c>
      <c r="L17" s="59">
        <v>6</v>
      </c>
      <c r="M17" s="26">
        <f t="shared" si="2"/>
        <v>48</v>
      </c>
      <c r="N17" s="26">
        <f t="shared" si="3"/>
        <v>240</v>
      </c>
      <c r="O17" s="65">
        <f>IF($F17="","",IFERROR(INDEX(TblABS[Tarif par nœud],MATCH($F17,TblABS[Flavor],0)),"?"))</f>
        <v>368</v>
      </c>
      <c r="P17" s="59" t="s">
        <v>278</v>
      </c>
      <c r="Q17" s="26" t="str">
        <f>IF($B17="","",IF(OR($A17="",$E17="",$F17="",$G17="",$L17=""),IF(COUNTIFS(TblApplications[Cluster IKS source],$B17)+COUNTIFS(TblApplications[Cluster ROKS cible],$B17)=0,"À compléter : flavor / workers (info)","Données manquantes"),IF(AND($A17&lt;&gt;"IKS",$A17&lt;&gt;"ROKS"),"Plateforme invalide",IF(AND($E17&lt;&gt;"PRD",$E17&lt;&gt;"NPRD"),"Environnement invalide",IF(OR(NOT(ISNUMBER($G17)),NOT(ISNUMBER($L17))),"Workers non numérique",IF(OR($G17&lt;0,$L17&lt;0),"Valeur négative",IF(OR($G17&lt;&gt;INT($G17),$L17&lt;&gt;INT($L17)),"Workers non entier",IF(NOT(ISNUMBER($H17)),IF(COUNTIFS(TblApplications[Cluster IKS source],$B17)+COUNTIFS(TblApplications[Cluster ROKS cible],$B17)=0,"Flavor à corriger (info)","Flavor inconnu"),IF(AND(p_mode="Nœud",OR(NOT(ISNUMBER($O17)),$O17&lt;=0)),"Tarif du flavor manquant ou invalide",IF(COUNTIF(TblClusters[Cluster],$B17)&gt;1,"Cluster en doublon",IF($L17&gt;$G17,"Plancher &gt; capacité initiale",IF(AND($A17="ROKS",$G17&gt;p_maxworkers),"Workers &gt; max ROKS",IF(AND($A17="IKS",(SUMIFS(TblApplications[CPU IKS libérable (vCPU)],TblApplications[Cluster IKS source],$B17,TblApplications[Action],"À migrer")+SUMIFS(TblApplications[CPU IKS libérable (vCPU)],TblApplications[Cluster IKS source],$B17,TblApplications[Action],"À décommissionner"))&gt;$J17),"Libérations CPU &gt; capacité initiale",IF(AND($A17="IKS",(SUMIFS(TblApplications[RAM IKS libérable (Go)],TblApplications[Cluster IKS source],$B17,TblApplications[Action],"À migrer")+SUMIFS(TblApplications[RAM IKS libérable (Go)],TblApplications[Cluster IKS source],$B17,TblApplications[Action],"À décommissionner"))&gt;$K17),"Libérations RAM &gt; capacité initiale",IF(SUMIFS(TblCalculs[Alerte max workers],TblCalculs[Cluster],$B17)&gt;0,"Max workers ROKS dépassé ("&amp;SUMIFS(TblCalculs[Alerte max workers],TblCalculs[Cluster],$B17)&amp;" mois) : flavor plus gros ou second cluster",IF(SUMIFS(TblCalculs[Alerte plancher IKS],TblCalculs[Cluster],$B17)&gt;0,"Plancher IKS atteint ("&amp;SUMIFS(TblCalculs[Alerte plancher IKS],TblCalculs[Cluster],$B17)&amp;" mois) (info)",IF(AND($A17="IKS",ISNUMBER($R17),$R17&lt;_xlfn.MAXIFS(TblApplications[Mois lib (calc)],TblApplications[Cluster IKS source],$B17)),"Fermeture avant la dernière libération",IF(AND($R17&lt;&gt;"",OR($A17&lt;&gt;"IKS",NOT(ISNUMBER($R17)))),"Fermeture : IKS uniquement, date attendue","OK"))))))))))))))))))</f>
        <v>OK</v>
      </c>
      <c r="R17" s="61"/>
      <c r="S17" s="33" t="str">
        <f>IF(OR($B17="",$A17&lt;&gt;"IKS"),"",IF(ISNUMBER($R17),DATE(YEAR($R17),MONTH($R17),1),IF(p_fermauto&lt;&gt;"Oui","",IF(COUNTIFS(TblApplications[Cluster IKS source],$B17,TblApplications[Action],"À migrer")+COUNTIFS(TblApplications[Cluster IKS source],$B17,TblApplications[Action],"À décommissionner")=0,"",IF(COUNTIFS(TblApplications[Cluster IKS source],$B17,TblApplications[Action],"À migrer",TblApplications[Mois lib (calc)],"")+COUNTIFS(TblApplications[Cluster IKS source],$B17,TblApplications[Action],"À décommissionner",TblApplications[Mois lib (calc)],"")&gt;0,"",_xlfn.MAXIFS(TblApplications[Mois lib (calc)],TblApplications[Cluster IKS source],$B17))))))</f>
        <v/>
      </c>
      <c r="T17" s="26">
        <f>IF(OR($B17="",COUNTIFS($E17,ca_envc)=0),"",COUNTIFS($B$6:$B17,"&lt;&gt;",$E$6:$E17,ca_envc))</f>
        <v>12</v>
      </c>
      <c r="U17" s="26" t="str">
        <f>IF(OR($B17="",$A17&lt;&gt;"IKS",COUNTIFS($E17,ex_envc)=0),"",COUNTIFS($B$6:$B17,"&lt;&gt;",$A$6:$A17,"IKS",$E$6:$E17,ex_envc))</f>
        <v/>
      </c>
      <c r="V17" s="35">
        <f>IF($B17="","",IFERROR((SUMIFS(TblApplications[CPU Dynatrace (vCPU)],TblApplications[Cluster IKS source],$B17)+SUMIFS(TblApplications[Besoin ROKS CPU (vCPU)],TblApplications[Cluster ROKS cible],$B17,TblApplications[Action],"Migré")+SUMIFS(TblApplications[Besoin ROKS CPU (vCPU)],TblApplications[Cluster ROKS cible],$B17,TblApplications[Action],"À migrer"))/$J17,""))</f>
        <v>0</v>
      </c>
      <c r="W17" s="35">
        <f>IF($B17="","",IFERROR((SUMIFS(TblApplications[RAM Dynatrace (Go)],TblApplications[Cluster IKS source],$B17)+SUMIFS(TblApplications[Besoin ROKS RAM (Go)],TblApplications[Cluster ROKS cible],$B17,TblApplications[Action],"Migré")+SUMIFS(TblApplications[Besoin ROKS RAM (Go)],TblApplications[Cluster ROKS cible],$B17,TblApplications[Action],"À migrer"))/$K17,""))</f>
        <v>0</v>
      </c>
      <c r="X17" s="26" t="str">
        <f t="shared" si="4"/>
        <v>OK</v>
      </c>
    </row>
    <row r="18" spans="1:24" x14ac:dyDescent="0.2">
      <c r="A18" s="59" t="s">
        <v>324</v>
      </c>
      <c r="B18" s="59" t="s">
        <v>352</v>
      </c>
      <c r="C18" s="59" t="s">
        <v>325</v>
      </c>
      <c r="D18" s="59" t="s">
        <v>353</v>
      </c>
      <c r="E18" s="59" t="s">
        <v>39</v>
      </c>
      <c r="F18" s="59"/>
      <c r="G18" s="59"/>
      <c r="H18" s="26" t="str">
        <f>IF($F18="","",IFERROR(INDEX(TblABS[vCPU par nœud],MATCH($F18,TblABS[Flavor],0)),"?"))</f>
        <v/>
      </c>
      <c r="I18" s="26" t="str">
        <f>IF($F18="","",IFERROR(INDEX(TblABS[RAM par nœud (Go)],MATCH($F18,TblABS[Flavor],0)),"?"))</f>
        <v/>
      </c>
      <c r="J18" s="26" t="str">
        <f t="shared" si="0"/>
        <v/>
      </c>
      <c r="K18" s="26" t="str">
        <f t="shared" si="1"/>
        <v/>
      </c>
      <c r="L18" s="59">
        <v>6</v>
      </c>
      <c r="M18" s="26" t="str">
        <f t="shared" si="2"/>
        <v/>
      </c>
      <c r="N18" s="26" t="str">
        <f t="shared" si="3"/>
        <v/>
      </c>
      <c r="O18" s="65" t="str">
        <f>IF($F18="","",IFERROR(INDEX(TblABS[Tarif par nœud],MATCH($F18,TblABS[Flavor],0)),"?"))</f>
        <v/>
      </c>
      <c r="P18" s="59" t="s">
        <v>278</v>
      </c>
      <c r="Q18" s="26" t="str">
        <f>IF($B18="","",IF(OR($A18="",$E18="",$F18="",$G18="",$L18=""),IF(COUNTIFS(TblApplications[Cluster IKS source],$B18)+COUNTIFS(TblApplications[Cluster ROKS cible],$B18)=0,"À compléter : flavor / workers (info)","Données manquantes"),IF(AND($A18&lt;&gt;"IKS",$A18&lt;&gt;"ROKS"),"Plateforme invalide",IF(AND($E18&lt;&gt;"PRD",$E18&lt;&gt;"NPRD"),"Environnement invalide",IF(OR(NOT(ISNUMBER($G18)),NOT(ISNUMBER($L18))),"Workers non numérique",IF(OR($G18&lt;0,$L18&lt;0),"Valeur négative",IF(OR($G18&lt;&gt;INT($G18),$L18&lt;&gt;INT($L18)),"Workers non entier",IF(NOT(ISNUMBER($H18)),IF(COUNTIFS(TblApplications[Cluster IKS source],$B18)+COUNTIFS(TblApplications[Cluster ROKS cible],$B18)=0,"Flavor à corriger (info)","Flavor inconnu"),IF(AND(p_mode="Nœud",OR(NOT(ISNUMBER($O18)),$O18&lt;=0)),"Tarif du flavor manquant ou invalide",IF(COUNTIF(TblClusters[Cluster],$B18)&gt;1,"Cluster en doublon",IF($L18&gt;$G18,"Plancher &gt; capacité initiale",IF(AND($A18="ROKS",$G18&gt;p_maxworkers),"Workers &gt; max ROKS",IF(AND($A18="IKS",(SUMIFS(TblApplications[CPU IKS libérable (vCPU)],TblApplications[Cluster IKS source],$B18,TblApplications[Action],"À migrer")+SUMIFS(TblApplications[CPU IKS libérable (vCPU)],TblApplications[Cluster IKS source],$B18,TblApplications[Action],"À décommissionner"))&gt;$J18),"Libérations CPU &gt; capacité initiale",IF(AND($A18="IKS",(SUMIFS(TblApplications[RAM IKS libérable (Go)],TblApplications[Cluster IKS source],$B18,TblApplications[Action],"À migrer")+SUMIFS(TblApplications[RAM IKS libérable (Go)],TblApplications[Cluster IKS source],$B18,TblApplications[Action],"À décommissionner"))&gt;$K18),"Libérations RAM &gt; capacité initiale",IF(SUMIFS(TblCalculs[Alerte max workers],TblCalculs[Cluster],$B18)&gt;0,"Max workers ROKS dépassé ("&amp;SUMIFS(TblCalculs[Alerte max workers],TblCalculs[Cluster],$B18)&amp;" mois) : flavor plus gros ou second cluster",IF(SUMIFS(TblCalculs[Alerte plancher IKS],TblCalculs[Cluster],$B18)&gt;0,"Plancher IKS atteint ("&amp;SUMIFS(TblCalculs[Alerte plancher IKS],TblCalculs[Cluster],$B18)&amp;" mois) (info)",IF(AND($A18="IKS",ISNUMBER($R18),$R18&lt;_xlfn.MAXIFS(TblApplications[Mois lib (calc)],TblApplications[Cluster IKS source],$B18)),"Fermeture avant la dernière libération",IF(AND($R18&lt;&gt;"",OR($A18&lt;&gt;"IKS",NOT(ISNUMBER($R18)))),"Fermeture : IKS uniquement, date attendue","OK"))))))))))))))))))</f>
        <v>À compléter : flavor / workers (info)</v>
      </c>
      <c r="R18" s="61"/>
      <c r="S18" s="33" t="str">
        <f>IF(OR($B18="",$A18&lt;&gt;"IKS"),"",IF(ISNUMBER($R18),DATE(YEAR($R18),MONTH($R18),1),IF(p_fermauto&lt;&gt;"Oui","",IF(COUNTIFS(TblApplications[Cluster IKS source],$B18,TblApplications[Action],"À migrer")+COUNTIFS(TblApplications[Cluster IKS source],$B18,TblApplications[Action],"À décommissionner")=0,"",IF(COUNTIFS(TblApplications[Cluster IKS source],$B18,TblApplications[Action],"À migrer",TblApplications[Mois lib (calc)],"")+COUNTIFS(TblApplications[Cluster IKS source],$B18,TblApplications[Action],"À décommissionner",TblApplications[Mois lib (calc)],"")&gt;0,"",_xlfn.MAXIFS(TblApplications[Mois lib (calc)],TblApplications[Cluster IKS source],$B18))))))</f>
        <v/>
      </c>
      <c r="T18" s="26">
        <f>IF(OR($B18="",COUNTIFS($E18,ca_envc)=0),"",COUNTIFS($B$6:$B18,"&lt;&gt;",$E$6:$E18,ca_envc))</f>
        <v>13</v>
      </c>
      <c r="U18" s="26" t="str">
        <f>IF(OR($B18="",$A18&lt;&gt;"IKS",COUNTIFS($E18,ex_envc)=0),"",COUNTIFS($B$6:$B18,"&lt;&gt;",$A$6:$A18,"IKS",$E$6:$E18,ex_envc))</f>
        <v/>
      </c>
      <c r="V18" s="35" t="str">
        <f>IF($B18="","",IFERROR((SUMIFS(TblApplications[CPU Dynatrace (vCPU)],TblApplications[Cluster IKS source],$B18)+SUMIFS(TblApplications[Besoin ROKS CPU (vCPU)],TblApplications[Cluster ROKS cible],$B18,TblApplications[Action],"Migré")+SUMIFS(TblApplications[Besoin ROKS CPU (vCPU)],TblApplications[Cluster ROKS cible],$B18,TblApplications[Action],"À migrer"))/$J18,""))</f>
        <v/>
      </c>
      <c r="W18" s="35" t="str">
        <f>IF($B18="","",IFERROR((SUMIFS(TblApplications[RAM Dynatrace (Go)],TblApplications[Cluster IKS source],$B18)+SUMIFS(TblApplications[Besoin ROKS RAM (Go)],TblApplications[Cluster ROKS cible],$B18,TblApplications[Action],"Migré")+SUMIFS(TblApplications[Besoin ROKS RAM (Go)],TblApplications[Cluster ROKS cible],$B18,TblApplications[Action],"À migrer"))/$K18,""))</f>
        <v/>
      </c>
      <c r="X18" s="26" t="str">
        <f t="shared" si="4"/>
        <v>OK</v>
      </c>
    </row>
    <row r="19" spans="1:24" x14ac:dyDescent="0.2">
      <c r="A19" s="59" t="s">
        <v>324</v>
      </c>
      <c r="B19" s="59" t="s">
        <v>354</v>
      </c>
      <c r="C19" s="59" t="s">
        <v>325</v>
      </c>
      <c r="D19" s="59" t="s">
        <v>355</v>
      </c>
      <c r="E19" s="59" t="s">
        <v>39</v>
      </c>
      <c r="F19" s="59"/>
      <c r="G19" s="59"/>
      <c r="H19" s="26" t="str">
        <f>IF($F19="","",IFERROR(INDEX(TblABS[vCPU par nœud],MATCH($F19,TblABS[Flavor],0)),"?"))</f>
        <v/>
      </c>
      <c r="I19" s="26" t="str">
        <f>IF($F19="","",IFERROR(INDEX(TblABS[RAM par nœud (Go)],MATCH($F19,TblABS[Flavor],0)),"?"))</f>
        <v/>
      </c>
      <c r="J19" s="26" t="str">
        <f t="shared" si="0"/>
        <v/>
      </c>
      <c r="K19" s="26" t="str">
        <f t="shared" si="1"/>
        <v/>
      </c>
      <c r="L19" s="59">
        <v>6</v>
      </c>
      <c r="M19" s="26" t="str">
        <f t="shared" si="2"/>
        <v/>
      </c>
      <c r="N19" s="26" t="str">
        <f t="shared" si="3"/>
        <v/>
      </c>
      <c r="O19" s="65" t="str">
        <f>IF($F19="","",IFERROR(INDEX(TblABS[Tarif par nœud],MATCH($F19,TblABS[Flavor],0)),"?"))</f>
        <v/>
      </c>
      <c r="P19" s="59" t="s">
        <v>278</v>
      </c>
      <c r="Q19" s="26" t="str">
        <f>IF($B19="","",IF(OR($A19="",$E19="",$F19="",$G19="",$L19=""),IF(COUNTIFS(TblApplications[Cluster IKS source],$B19)+COUNTIFS(TblApplications[Cluster ROKS cible],$B19)=0,"À compléter : flavor / workers (info)","Données manquantes"),IF(AND($A19&lt;&gt;"IKS",$A19&lt;&gt;"ROKS"),"Plateforme invalide",IF(AND($E19&lt;&gt;"PRD",$E19&lt;&gt;"NPRD"),"Environnement invalide",IF(OR(NOT(ISNUMBER($G19)),NOT(ISNUMBER($L19))),"Workers non numérique",IF(OR($G19&lt;0,$L19&lt;0),"Valeur négative",IF(OR($G19&lt;&gt;INT($G19),$L19&lt;&gt;INT($L19)),"Workers non entier",IF(NOT(ISNUMBER($H19)),IF(COUNTIFS(TblApplications[Cluster IKS source],$B19)+COUNTIFS(TblApplications[Cluster ROKS cible],$B19)=0,"Flavor à corriger (info)","Flavor inconnu"),IF(AND(p_mode="Nœud",OR(NOT(ISNUMBER($O19)),$O19&lt;=0)),"Tarif du flavor manquant ou invalide",IF(COUNTIF(TblClusters[Cluster],$B19)&gt;1,"Cluster en doublon",IF($L19&gt;$G19,"Plancher &gt; capacité initiale",IF(AND($A19="ROKS",$G19&gt;p_maxworkers),"Workers &gt; max ROKS",IF(AND($A19="IKS",(SUMIFS(TblApplications[CPU IKS libérable (vCPU)],TblApplications[Cluster IKS source],$B19,TblApplications[Action],"À migrer")+SUMIFS(TblApplications[CPU IKS libérable (vCPU)],TblApplications[Cluster IKS source],$B19,TblApplications[Action],"À décommissionner"))&gt;$J19),"Libérations CPU &gt; capacité initiale",IF(AND($A19="IKS",(SUMIFS(TblApplications[RAM IKS libérable (Go)],TblApplications[Cluster IKS source],$B19,TblApplications[Action],"À migrer")+SUMIFS(TblApplications[RAM IKS libérable (Go)],TblApplications[Cluster IKS source],$B19,TblApplications[Action],"À décommissionner"))&gt;$K19),"Libérations RAM &gt; capacité initiale",IF(SUMIFS(TblCalculs[Alerte max workers],TblCalculs[Cluster],$B19)&gt;0,"Max workers ROKS dépassé ("&amp;SUMIFS(TblCalculs[Alerte max workers],TblCalculs[Cluster],$B19)&amp;" mois) : flavor plus gros ou second cluster",IF(SUMIFS(TblCalculs[Alerte plancher IKS],TblCalculs[Cluster],$B19)&gt;0,"Plancher IKS atteint ("&amp;SUMIFS(TblCalculs[Alerte plancher IKS],TblCalculs[Cluster],$B19)&amp;" mois) (info)",IF(AND($A19="IKS",ISNUMBER($R19),$R19&lt;_xlfn.MAXIFS(TblApplications[Mois lib (calc)],TblApplications[Cluster IKS source],$B19)),"Fermeture avant la dernière libération",IF(AND($R19&lt;&gt;"",OR($A19&lt;&gt;"IKS",NOT(ISNUMBER($R19)))),"Fermeture : IKS uniquement, date attendue","OK"))))))))))))))))))</f>
        <v>À compléter : flavor / workers (info)</v>
      </c>
      <c r="R19" s="61"/>
      <c r="S19" s="33" t="str">
        <f>IF(OR($B19="",$A19&lt;&gt;"IKS"),"",IF(ISNUMBER($R19),DATE(YEAR($R19),MONTH($R19),1),IF(p_fermauto&lt;&gt;"Oui","",IF(COUNTIFS(TblApplications[Cluster IKS source],$B19,TblApplications[Action],"À migrer")+COUNTIFS(TblApplications[Cluster IKS source],$B19,TblApplications[Action],"À décommissionner")=0,"",IF(COUNTIFS(TblApplications[Cluster IKS source],$B19,TblApplications[Action],"À migrer",TblApplications[Mois lib (calc)],"")+COUNTIFS(TblApplications[Cluster IKS source],$B19,TblApplications[Action],"À décommissionner",TblApplications[Mois lib (calc)],"")&gt;0,"",_xlfn.MAXIFS(TblApplications[Mois lib (calc)],TblApplications[Cluster IKS source],$B19))))))</f>
        <v/>
      </c>
      <c r="T19" s="26">
        <f>IF(OR($B19="",COUNTIFS($E19,ca_envc)=0),"",COUNTIFS($B$6:$B19,"&lt;&gt;",$E$6:$E19,ca_envc))</f>
        <v>14</v>
      </c>
      <c r="U19" s="26" t="str">
        <f>IF(OR($B19="",$A19&lt;&gt;"IKS",COUNTIFS($E19,ex_envc)=0),"",COUNTIFS($B$6:$B19,"&lt;&gt;",$A$6:$A19,"IKS",$E$6:$E19,ex_envc))</f>
        <v/>
      </c>
      <c r="V19" s="35" t="str">
        <f>IF($B19="","",IFERROR((SUMIFS(TblApplications[CPU Dynatrace (vCPU)],TblApplications[Cluster IKS source],$B19)+SUMIFS(TblApplications[Besoin ROKS CPU (vCPU)],TblApplications[Cluster ROKS cible],$B19,TblApplications[Action],"Migré")+SUMIFS(TblApplications[Besoin ROKS CPU (vCPU)],TblApplications[Cluster ROKS cible],$B19,TblApplications[Action],"À migrer"))/$J19,""))</f>
        <v/>
      </c>
      <c r="W19" s="35" t="str">
        <f>IF($B19="","",IFERROR((SUMIFS(TblApplications[RAM Dynatrace (Go)],TblApplications[Cluster IKS source],$B19)+SUMIFS(TblApplications[Besoin ROKS RAM (Go)],TblApplications[Cluster ROKS cible],$B19,TblApplications[Action],"Migré")+SUMIFS(TblApplications[Besoin ROKS RAM (Go)],TblApplications[Cluster ROKS cible],$B19,TblApplications[Action],"À migrer"))/$K19,""))</f>
        <v/>
      </c>
      <c r="X19" s="26" t="str">
        <f t="shared" si="4"/>
        <v>OK</v>
      </c>
    </row>
    <row r="20" spans="1:24" x14ac:dyDescent="0.2">
      <c r="A20" s="59" t="s">
        <v>324</v>
      </c>
      <c r="B20" s="59" t="s">
        <v>356</v>
      </c>
      <c r="C20" s="59" t="s">
        <v>325</v>
      </c>
      <c r="D20" s="59" t="s">
        <v>357</v>
      </c>
      <c r="E20" s="59" t="s">
        <v>39</v>
      </c>
      <c r="F20" s="59"/>
      <c r="G20" s="59"/>
      <c r="H20" s="26" t="str">
        <f>IF($F20="","",IFERROR(INDEX(TblABS[vCPU par nœud],MATCH($F20,TblABS[Flavor],0)),"?"))</f>
        <v/>
      </c>
      <c r="I20" s="26" t="str">
        <f>IF($F20="","",IFERROR(INDEX(TblABS[RAM par nœud (Go)],MATCH($F20,TblABS[Flavor],0)),"?"))</f>
        <v/>
      </c>
      <c r="J20" s="26" t="str">
        <f t="shared" si="0"/>
        <v/>
      </c>
      <c r="K20" s="26" t="str">
        <f t="shared" si="1"/>
        <v/>
      </c>
      <c r="L20" s="59">
        <v>6</v>
      </c>
      <c r="M20" s="26" t="str">
        <f t="shared" si="2"/>
        <v/>
      </c>
      <c r="N20" s="26" t="str">
        <f t="shared" si="3"/>
        <v/>
      </c>
      <c r="O20" s="65" t="str">
        <f>IF($F20="","",IFERROR(INDEX(TblABS[Tarif par nœud],MATCH($F20,TblABS[Flavor],0)),"?"))</f>
        <v/>
      </c>
      <c r="P20" s="59" t="s">
        <v>278</v>
      </c>
      <c r="Q20" s="26" t="str">
        <f>IF($B20="","",IF(OR($A20="",$E20="",$F20="",$G20="",$L20=""),IF(COUNTIFS(TblApplications[Cluster IKS source],$B20)+COUNTIFS(TblApplications[Cluster ROKS cible],$B20)=0,"À compléter : flavor / workers (info)","Données manquantes"),IF(AND($A20&lt;&gt;"IKS",$A20&lt;&gt;"ROKS"),"Plateforme invalide",IF(AND($E20&lt;&gt;"PRD",$E20&lt;&gt;"NPRD"),"Environnement invalide",IF(OR(NOT(ISNUMBER($G20)),NOT(ISNUMBER($L20))),"Workers non numérique",IF(OR($G20&lt;0,$L20&lt;0),"Valeur négative",IF(OR($G20&lt;&gt;INT($G20),$L20&lt;&gt;INT($L20)),"Workers non entier",IF(NOT(ISNUMBER($H20)),IF(COUNTIFS(TblApplications[Cluster IKS source],$B20)+COUNTIFS(TblApplications[Cluster ROKS cible],$B20)=0,"Flavor à corriger (info)","Flavor inconnu"),IF(AND(p_mode="Nœud",OR(NOT(ISNUMBER($O20)),$O20&lt;=0)),"Tarif du flavor manquant ou invalide",IF(COUNTIF(TblClusters[Cluster],$B20)&gt;1,"Cluster en doublon",IF($L20&gt;$G20,"Plancher &gt; capacité initiale",IF(AND($A20="ROKS",$G20&gt;p_maxworkers),"Workers &gt; max ROKS",IF(AND($A20="IKS",(SUMIFS(TblApplications[CPU IKS libérable (vCPU)],TblApplications[Cluster IKS source],$B20,TblApplications[Action],"À migrer")+SUMIFS(TblApplications[CPU IKS libérable (vCPU)],TblApplications[Cluster IKS source],$B20,TblApplications[Action],"À décommissionner"))&gt;$J20),"Libérations CPU &gt; capacité initiale",IF(AND($A20="IKS",(SUMIFS(TblApplications[RAM IKS libérable (Go)],TblApplications[Cluster IKS source],$B20,TblApplications[Action],"À migrer")+SUMIFS(TblApplications[RAM IKS libérable (Go)],TblApplications[Cluster IKS source],$B20,TblApplications[Action],"À décommissionner"))&gt;$K20),"Libérations RAM &gt; capacité initiale",IF(SUMIFS(TblCalculs[Alerte max workers],TblCalculs[Cluster],$B20)&gt;0,"Max workers ROKS dépassé ("&amp;SUMIFS(TblCalculs[Alerte max workers],TblCalculs[Cluster],$B20)&amp;" mois) : flavor plus gros ou second cluster",IF(SUMIFS(TblCalculs[Alerte plancher IKS],TblCalculs[Cluster],$B20)&gt;0,"Plancher IKS atteint ("&amp;SUMIFS(TblCalculs[Alerte plancher IKS],TblCalculs[Cluster],$B20)&amp;" mois) (info)",IF(AND($A20="IKS",ISNUMBER($R20),$R20&lt;_xlfn.MAXIFS(TblApplications[Mois lib (calc)],TblApplications[Cluster IKS source],$B20)),"Fermeture avant la dernière libération",IF(AND($R20&lt;&gt;"",OR($A20&lt;&gt;"IKS",NOT(ISNUMBER($R20)))),"Fermeture : IKS uniquement, date attendue","OK"))))))))))))))))))</f>
        <v>À compléter : flavor / workers (info)</v>
      </c>
      <c r="R20" s="61"/>
      <c r="S20" s="33" t="str">
        <f>IF(OR($B20="",$A20&lt;&gt;"IKS"),"",IF(ISNUMBER($R20),DATE(YEAR($R20),MONTH($R20),1),IF(p_fermauto&lt;&gt;"Oui","",IF(COUNTIFS(TblApplications[Cluster IKS source],$B20,TblApplications[Action],"À migrer")+COUNTIFS(TblApplications[Cluster IKS source],$B20,TblApplications[Action],"À décommissionner")=0,"",IF(COUNTIFS(TblApplications[Cluster IKS source],$B20,TblApplications[Action],"À migrer",TblApplications[Mois lib (calc)],"")+COUNTIFS(TblApplications[Cluster IKS source],$B20,TblApplications[Action],"À décommissionner",TblApplications[Mois lib (calc)],"")&gt;0,"",_xlfn.MAXIFS(TblApplications[Mois lib (calc)],TblApplications[Cluster IKS source],$B20))))))</f>
        <v/>
      </c>
      <c r="T20" s="26">
        <f>IF(OR($B20="",COUNTIFS($E20,ca_envc)=0),"",COUNTIFS($B$6:$B20,"&lt;&gt;",$E$6:$E20,ca_envc))</f>
        <v>15</v>
      </c>
      <c r="U20" s="26" t="str">
        <f>IF(OR($B20="",$A20&lt;&gt;"IKS",COUNTIFS($E20,ex_envc)=0),"",COUNTIFS($B$6:$B20,"&lt;&gt;",$A$6:$A20,"IKS",$E$6:$E20,ex_envc))</f>
        <v/>
      </c>
      <c r="V20" s="35" t="str">
        <f>IF($B20="","",IFERROR((SUMIFS(TblApplications[CPU Dynatrace (vCPU)],TblApplications[Cluster IKS source],$B20)+SUMIFS(TblApplications[Besoin ROKS CPU (vCPU)],TblApplications[Cluster ROKS cible],$B20,TblApplications[Action],"Migré")+SUMIFS(TblApplications[Besoin ROKS CPU (vCPU)],TblApplications[Cluster ROKS cible],$B20,TblApplications[Action],"À migrer"))/$J20,""))</f>
        <v/>
      </c>
      <c r="W20" s="35" t="str">
        <f>IF($B20="","",IFERROR((SUMIFS(TblApplications[RAM Dynatrace (Go)],TblApplications[Cluster IKS source],$B20)+SUMIFS(TblApplications[Besoin ROKS RAM (Go)],TblApplications[Cluster ROKS cible],$B20,TblApplications[Action],"Migré")+SUMIFS(TblApplications[Besoin ROKS RAM (Go)],TblApplications[Cluster ROKS cible],$B20,TblApplications[Action],"À migrer"))/$K20,""))</f>
        <v/>
      </c>
      <c r="X20" s="26" t="str">
        <f t="shared" si="4"/>
        <v>OK</v>
      </c>
    </row>
    <row r="21" spans="1:24" x14ac:dyDescent="0.2">
      <c r="A21" s="59" t="s">
        <v>324</v>
      </c>
      <c r="B21" s="59" t="s">
        <v>358</v>
      </c>
      <c r="C21" s="59" t="s">
        <v>325</v>
      </c>
      <c r="D21" s="59" t="s">
        <v>359</v>
      </c>
      <c r="E21" s="59" t="s">
        <v>40</v>
      </c>
      <c r="F21" s="59"/>
      <c r="G21" s="59"/>
      <c r="H21" s="26" t="str">
        <f>IF($F21="","",IFERROR(INDEX(TblABS[vCPU par nœud],MATCH($F21,TblABS[Flavor],0)),"?"))</f>
        <v/>
      </c>
      <c r="I21" s="26" t="str">
        <f>IF($F21="","",IFERROR(INDEX(TblABS[RAM par nœud (Go)],MATCH($F21,TblABS[Flavor],0)),"?"))</f>
        <v/>
      </c>
      <c r="J21" s="26" t="str">
        <f t="shared" si="0"/>
        <v/>
      </c>
      <c r="K21" s="26" t="str">
        <f t="shared" si="1"/>
        <v/>
      </c>
      <c r="L21" s="59">
        <v>6</v>
      </c>
      <c r="M21" s="26" t="str">
        <f t="shared" si="2"/>
        <v/>
      </c>
      <c r="N21" s="26" t="str">
        <f t="shared" si="3"/>
        <v/>
      </c>
      <c r="O21" s="65" t="str">
        <f>IF($F21="","",IFERROR(INDEX(TblABS[Tarif par nœud],MATCH($F21,TblABS[Flavor],0)),"?"))</f>
        <v/>
      </c>
      <c r="P21" s="59" t="s">
        <v>278</v>
      </c>
      <c r="Q21" s="26" t="str">
        <f>IF($B21="","",IF(OR($A21="",$E21="",$F21="",$G21="",$L21=""),IF(COUNTIFS(TblApplications[Cluster IKS source],$B21)+COUNTIFS(TblApplications[Cluster ROKS cible],$B21)=0,"À compléter : flavor / workers (info)","Données manquantes"),IF(AND($A21&lt;&gt;"IKS",$A21&lt;&gt;"ROKS"),"Plateforme invalide",IF(AND($E21&lt;&gt;"PRD",$E21&lt;&gt;"NPRD"),"Environnement invalide",IF(OR(NOT(ISNUMBER($G21)),NOT(ISNUMBER($L21))),"Workers non numérique",IF(OR($G21&lt;0,$L21&lt;0),"Valeur négative",IF(OR($G21&lt;&gt;INT($G21),$L21&lt;&gt;INT($L21)),"Workers non entier",IF(NOT(ISNUMBER($H21)),IF(COUNTIFS(TblApplications[Cluster IKS source],$B21)+COUNTIFS(TblApplications[Cluster ROKS cible],$B21)=0,"Flavor à corriger (info)","Flavor inconnu"),IF(AND(p_mode="Nœud",OR(NOT(ISNUMBER($O21)),$O21&lt;=0)),"Tarif du flavor manquant ou invalide",IF(COUNTIF(TblClusters[Cluster],$B21)&gt;1,"Cluster en doublon",IF($L21&gt;$G21,"Plancher &gt; capacité initiale",IF(AND($A21="ROKS",$G21&gt;p_maxworkers),"Workers &gt; max ROKS",IF(AND($A21="IKS",(SUMIFS(TblApplications[CPU IKS libérable (vCPU)],TblApplications[Cluster IKS source],$B21,TblApplications[Action],"À migrer")+SUMIFS(TblApplications[CPU IKS libérable (vCPU)],TblApplications[Cluster IKS source],$B21,TblApplications[Action],"À décommissionner"))&gt;$J21),"Libérations CPU &gt; capacité initiale",IF(AND($A21="IKS",(SUMIFS(TblApplications[RAM IKS libérable (Go)],TblApplications[Cluster IKS source],$B21,TblApplications[Action],"À migrer")+SUMIFS(TblApplications[RAM IKS libérable (Go)],TblApplications[Cluster IKS source],$B21,TblApplications[Action],"À décommissionner"))&gt;$K21),"Libérations RAM &gt; capacité initiale",IF(SUMIFS(TblCalculs[Alerte max workers],TblCalculs[Cluster],$B21)&gt;0,"Max workers ROKS dépassé ("&amp;SUMIFS(TblCalculs[Alerte max workers],TblCalculs[Cluster],$B21)&amp;" mois) : flavor plus gros ou second cluster",IF(SUMIFS(TblCalculs[Alerte plancher IKS],TblCalculs[Cluster],$B21)&gt;0,"Plancher IKS atteint ("&amp;SUMIFS(TblCalculs[Alerte plancher IKS],TblCalculs[Cluster],$B21)&amp;" mois) (info)",IF(AND($A21="IKS",ISNUMBER($R21),$R21&lt;_xlfn.MAXIFS(TblApplications[Mois lib (calc)],TblApplications[Cluster IKS source],$B21)),"Fermeture avant la dernière libération",IF(AND($R21&lt;&gt;"",OR($A21&lt;&gt;"IKS",NOT(ISNUMBER($R21)))),"Fermeture : IKS uniquement, date attendue","OK"))))))))))))))))))</f>
        <v>À compléter : flavor / workers (info)</v>
      </c>
      <c r="R21" s="61"/>
      <c r="S21" s="33" t="str">
        <f>IF(OR($B21="",$A21&lt;&gt;"IKS"),"",IF(ISNUMBER($R21),DATE(YEAR($R21),MONTH($R21),1),IF(p_fermauto&lt;&gt;"Oui","",IF(COUNTIFS(TblApplications[Cluster IKS source],$B21,TblApplications[Action],"À migrer")+COUNTIFS(TblApplications[Cluster IKS source],$B21,TblApplications[Action],"À décommissionner")=0,"",IF(COUNTIFS(TblApplications[Cluster IKS source],$B21,TblApplications[Action],"À migrer",TblApplications[Mois lib (calc)],"")+COUNTIFS(TblApplications[Cluster IKS source],$B21,TblApplications[Action],"À décommissionner",TblApplications[Mois lib (calc)],"")&gt;0,"",_xlfn.MAXIFS(TblApplications[Mois lib (calc)],TblApplications[Cluster IKS source],$B21))))))</f>
        <v/>
      </c>
      <c r="T21" s="26">
        <f>IF(OR($B21="",COUNTIFS($E21,ca_envc)=0),"",COUNTIFS($B$6:$B21,"&lt;&gt;",$E$6:$E21,ca_envc))</f>
        <v>16</v>
      </c>
      <c r="U21" s="26" t="str">
        <f>IF(OR($B21="",$A21&lt;&gt;"IKS",COUNTIFS($E21,ex_envc)=0),"",COUNTIFS($B$6:$B21,"&lt;&gt;",$A$6:$A21,"IKS",$E$6:$E21,ex_envc))</f>
        <v/>
      </c>
      <c r="V21" s="35" t="str">
        <f>IF($B21="","",IFERROR((SUMIFS(TblApplications[CPU Dynatrace (vCPU)],TblApplications[Cluster IKS source],$B21)+SUMIFS(TblApplications[Besoin ROKS CPU (vCPU)],TblApplications[Cluster ROKS cible],$B21,TblApplications[Action],"Migré")+SUMIFS(TblApplications[Besoin ROKS CPU (vCPU)],TblApplications[Cluster ROKS cible],$B21,TblApplications[Action],"À migrer"))/$J21,""))</f>
        <v/>
      </c>
      <c r="W21" s="35" t="str">
        <f>IF($B21="","",IFERROR((SUMIFS(TblApplications[RAM Dynatrace (Go)],TblApplications[Cluster IKS source],$B21)+SUMIFS(TblApplications[Besoin ROKS RAM (Go)],TblApplications[Cluster ROKS cible],$B21,TblApplications[Action],"Migré")+SUMIFS(TblApplications[Besoin ROKS RAM (Go)],TblApplications[Cluster ROKS cible],$B21,TblApplications[Action],"À migrer"))/$K21,""))</f>
        <v/>
      </c>
      <c r="X21" s="26" t="str">
        <f t="shared" si="4"/>
        <v>OK</v>
      </c>
    </row>
    <row r="22" spans="1:24" x14ac:dyDescent="0.2">
      <c r="A22" s="59" t="s">
        <v>324</v>
      </c>
      <c r="B22" s="59" t="s">
        <v>360</v>
      </c>
      <c r="C22" s="59" t="s">
        <v>325</v>
      </c>
      <c r="D22" s="59" t="s">
        <v>361</v>
      </c>
      <c r="E22" s="59" t="s">
        <v>40</v>
      </c>
      <c r="F22" s="59"/>
      <c r="G22" s="59"/>
      <c r="H22" s="26" t="str">
        <f>IF($F22="","",IFERROR(INDEX(TblABS[vCPU par nœud],MATCH($F22,TblABS[Flavor],0)),"?"))</f>
        <v/>
      </c>
      <c r="I22" s="26" t="str">
        <f>IF($F22="","",IFERROR(INDEX(TblABS[RAM par nœud (Go)],MATCH($F22,TblABS[Flavor],0)),"?"))</f>
        <v/>
      </c>
      <c r="J22" s="26" t="str">
        <f t="shared" si="0"/>
        <v/>
      </c>
      <c r="K22" s="26" t="str">
        <f t="shared" si="1"/>
        <v/>
      </c>
      <c r="L22" s="59">
        <v>6</v>
      </c>
      <c r="M22" s="26" t="str">
        <f t="shared" si="2"/>
        <v/>
      </c>
      <c r="N22" s="26" t="str">
        <f t="shared" si="3"/>
        <v/>
      </c>
      <c r="O22" s="65" t="str">
        <f>IF($F22="","",IFERROR(INDEX(TblABS[Tarif par nœud],MATCH($F22,TblABS[Flavor],0)),"?"))</f>
        <v/>
      </c>
      <c r="P22" s="59" t="s">
        <v>278</v>
      </c>
      <c r="Q22" s="26" t="str">
        <f>IF($B22="","",IF(OR($A22="",$E22="",$F22="",$G22="",$L22=""),IF(COUNTIFS(TblApplications[Cluster IKS source],$B22)+COUNTIFS(TblApplications[Cluster ROKS cible],$B22)=0,"À compléter : flavor / workers (info)","Données manquantes"),IF(AND($A22&lt;&gt;"IKS",$A22&lt;&gt;"ROKS"),"Plateforme invalide",IF(AND($E22&lt;&gt;"PRD",$E22&lt;&gt;"NPRD"),"Environnement invalide",IF(OR(NOT(ISNUMBER($G22)),NOT(ISNUMBER($L22))),"Workers non numérique",IF(OR($G22&lt;0,$L22&lt;0),"Valeur négative",IF(OR($G22&lt;&gt;INT($G22),$L22&lt;&gt;INT($L22)),"Workers non entier",IF(NOT(ISNUMBER($H22)),IF(COUNTIFS(TblApplications[Cluster IKS source],$B22)+COUNTIFS(TblApplications[Cluster ROKS cible],$B22)=0,"Flavor à corriger (info)","Flavor inconnu"),IF(AND(p_mode="Nœud",OR(NOT(ISNUMBER($O22)),$O22&lt;=0)),"Tarif du flavor manquant ou invalide",IF(COUNTIF(TblClusters[Cluster],$B22)&gt;1,"Cluster en doublon",IF($L22&gt;$G22,"Plancher &gt; capacité initiale",IF(AND($A22="ROKS",$G22&gt;p_maxworkers),"Workers &gt; max ROKS",IF(AND($A22="IKS",(SUMIFS(TblApplications[CPU IKS libérable (vCPU)],TblApplications[Cluster IKS source],$B22,TblApplications[Action],"À migrer")+SUMIFS(TblApplications[CPU IKS libérable (vCPU)],TblApplications[Cluster IKS source],$B22,TblApplications[Action],"À décommissionner"))&gt;$J22),"Libérations CPU &gt; capacité initiale",IF(AND($A22="IKS",(SUMIFS(TblApplications[RAM IKS libérable (Go)],TblApplications[Cluster IKS source],$B22,TblApplications[Action],"À migrer")+SUMIFS(TblApplications[RAM IKS libérable (Go)],TblApplications[Cluster IKS source],$B22,TblApplications[Action],"À décommissionner"))&gt;$K22),"Libérations RAM &gt; capacité initiale",IF(SUMIFS(TblCalculs[Alerte max workers],TblCalculs[Cluster],$B22)&gt;0,"Max workers ROKS dépassé ("&amp;SUMIFS(TblCalculs[Alerte max workers],TblCalculs[Cluster],$B22)&amp;" mois) : flavor plus gros ou second cluster",IF(SUMIFS(TblCalculs[Alerte plancher IKS],TblCalculs[Cluster],$B22)&gt;0,"Plancher IKS atteint ("&amp;SUMIFS(TblCalculs[Alerte plancher IKS],TblCalculs[Cluster],$B22)&amp;" mois) (info)",IF(AND($A22="IKS",ISNUMBER($R22),$R22&lt;_xlfn.MAXIFS(TblApplications[Mois lib (calc)],TblApplications[Cluster IKS source],$B22)),"Fermeture avant la dernière libération",IF(AND($R22&lt;&gt;"",OR($A22&lt;&gt;"IKS",NOT(ISNUMBER($R22)))),"Fermeture : IKS uniquement, date attendue","OK"))))))))))))))))))</f>
        <v>À compléter : flavor / workers (info)</v>
      </c>
      <c r="R22" s="61"/>
      <c r="S22" s="33" t="str">
        <f>IF(OR($B22="",$A22&lt;&gt;"IKS"),"",IF(ISNUMBER($R22),DATE(YEAR($R22),MONTH($R22),1),IF(p_fermauto&lt;&gt;"Oui","",IF(COUNTIFS(TblApplications[Cluster IKS source],$B22,TblApplications[Action],"À migrer")+COUNTIFS(TblApplications[Cluster IKS source],$B22,TblApplications[Action],"À décommissionner")=0,"",IF(COUNTIFS(TblApplications[Cluster IKS source],$B22,TblApplications[Action],"À migrer",TblApplications[Mois lib (calc)],"")+COUNTIFS(TblApplications[Cluster IKS source],$B22,TblApplications[Action],"À décommissionner",TblApplications[Mois lib (calc)],"")&gt;0,"",_xlfn.MAXIFS(TblApplications[Mois lib (calc)],TblApplications[Cluster IKS source],$B22))))))</f>
        <v/>
      </c>
      <c r="T22" s="26">
        <f>IF(OR($B22="",COUNTIFS($E22,ca_envc)=0),"",COUNTIFS($B$6:$B22,"&lt;&gt;",$E$6:$E22,ca_envc))</f>
        <v>17</v>
      </c>
      <c r="U22" s="26" t="str">
        <f>IF(OR($B22="",$A22&lt;&gt;"IKS",COUNTIFS($E22,ex_envc)=0),"",COUNTIFS($B$6:$B22,"&lt;&gt;",$A$6:$A22,"IKS",$E$6:$E22,ex_envc))</f>
        <v/>
      </c>
      <c r="V22" s="35" t="str">
        <f>IF($B22="","",IFERROR((SUMIFS(TblApplications[CPU Dynatrace (vCPU)],TblApplications[Cluster IKS source],$B22)+SUMIFS(TblApplications[Besoin ROKS CPU (vCPU)],TblApplications[Cluster ROKS cible],$B22,TblApplications[Action],"Migré")+SUMIFS(TblApplications[Besoin ROKS CPU (vCPU)],TblApplications[Cluster ROKS cible],$B22,TblApplications[Action],"À migrer"))/$J22,""))</f>
        <v/>
      </c>
      <c r="W22" s="35" t="str">
        <f>IF($B22="","",IFERROR((SUMIFS(TblApplications[RAM Dynatrace (Go)],TblApplications[Cluster IKS source],$B22)+SUMIFS(TblApplications[Besoin ROKS RAM (Go)],TblApplications[Cluster ROKS cible],$B22,TblApplications[Action],"Migré")+SUMIFS(TblApplications[Besoin ROKS RAM (Go)],TblApplications[Cluster ROKS cible],$B22,TblApplications[Action],"À migrer"))/$K22,""))</f>
        <v/>
      </c>
      <c r="X22" s="26" t="str">
        <f t="shared" si="4"/>
        <v>OK</v>
      </c>
    </row>
    <row r="23" spans="1:24" x14ac:dyDescent="0.2">
      <c r="A23" s="59" t="s">
        <v>324</v>
      </c>
      <c r="B23" s="59" t="s">
        <v>362</v>
      </c>
      <c r="C23" s="59" t="s">
        <v>363</v>
      </c>
      <c r="D23" s="59" t="s">
        <v>364</v>
      </c>
      <c r="E23" s="59" t="s">
        <v>39</v>
      </c>
      <c r="F23" s="59" t="s">
        <v>327</v>
      </c>
      <c r="G23" s="59">
        <v>6</v>
      </c>
      <c r="H23" s="26">
        <f>IF($F23="","",IFERROR(INDEX(TblABS[vCPU par nœud],MATCH($F23,TblABS[Flavor],0)),"?"))</f>
        <v>8</v>
      </c>
      <c r="I23" s="26">
        <f>IF($F23="","",IFERROR(INDEX(TblABS[RAM par nœud (Go)],MATCH($F23,TblABS[Flavor],0)),"?"))</f>
        <v>40</v>
      </c>
      <c r="J23" s="26">
        <f t="shared" si="0"/>
        <v>48</v>
      </c>
      <c r="K23" s="26">
        <f t="shared" si="1"/>
        <v>240</v>
      </c>
      <c r="L23" s="59">
        <v>6</v>
      </c>
      <c r="M23" s="26">
        <f t="shared" si="2"/>
        <v>48</v>
      </c>
      <c r="N23" s="26">
        <f t="shared" si="3"/>
        <v>240</v>
      </c>
      <c r="O23" s="65">
        <f>IF($F23="","",IFERROR(INDEX(TblABS[Tarif par nœud],MATCH($F23,TblABS[Flavor],0)),"?"))</f>
        <v>368</v>
      </c>
      <c r="P23" s="59" t="s">
        <v>278</v>
      </c>
      <c r="Q23" s="26" t="str">
        <f>IF($B23="","",IF(OR($A23="",$E23="",$F23="",$G23="",$L23=""),IF(COUNTIFS(TblApplications[Cluster IKS source],$B23)+COUNTIFS(TblApplications[Cluster ROKS cible],$B23)=0,"À compléter : flavor / workers (info)","Données manquantes"),IF(AND($A23&lt;&gt;"IKS",$A23&lt;&gt;"ROKS"),"Plateforme invalide",IF(AND($E23&lt;&gt;"PRD",$E23&lt;&gt;"NPRD"),"Environnement invalide",IF(OR(NOT(ISNUMBER($G23)),NOT(ISNUMBER($L23))),"Workers non numérique",IF(OR($G23&lt;0,$L23&lt;0),"Valeur négative",IF(OR($G23&lt;&gt;INT($G23),$L23&lt;&gt;INT($L23)),"Workers non entier",IF(NOT(ISNUMBER($H23)),IF(COUNTIFS(TblApplications[Cluster IKS source],$B23)+COUNTIFS(TblApplications[Cluster ROKS cible],$B23)=0,"Flavor à corriger (info)","Flavor inconnu"),IF(AND(p_mode="Nœud",OR(NOT(ISNUMBER($O23)),$O23&lt;=0)),"Tarif du flavor manquant ou invalide",IF(COUNTIF(TblClusters[Cluster],$B23)&gt;1,"Cluster en doublon",IF($L23&gt;$G23,"Plancher &gt; capacité initiale",IF(AND($A23="ROKS",$G23&gt;p_maxworkers),"Workers &gt; max ROKS",IF(AND($A23="IKS",(SUMIFS(TblApplications[CPU IKS libérable (vCPU)],TblApplications[Cluster IKS source],$B23,TblApplications[Action],"À migrer")+SUMIFS(TblApplications[CPU IKS libérable (vCPU)],TblApplications[Cluster IKS source],$B23,TblApplications[Action],"À décommissionner"))&gt;$J23),"Libérations CPU &gt; capacité initiale",IF(AND($A23="IKS",(SUMIFS(TblApplications[RAM IKS libérable (Go)],TblApplications[Cluster IKS source],$B23,TblApplications[Action],"À migrer")+SUMIFS(TblApplications[RAM IKS libérable (Go)],TblApplications[Cluster IKS source],$B23,TblApplications[Action],"À décommissionner"))&gt;$K23),"Libérations RAM &gt; capacité initiale",IF(SUMIFS(TblCalculs[Alerte max workers],TblCalculs[Cluster],$B23)&gt;0,"Max workers ROKS dépassé ("&amp;SUMIFS(TblCalculs[Alerte max workers],TblCalculs[Cluster],$B23)&amp;" mois) : flavor plus gros ou second cluster",IF(SUMIFS(TblCalculs[Alerte plancher IKS],TblCalculs[Cluster],$B23)&gt;0,"Plancher IKS atteint ("&amp;SUMIFS(TblCalculs[Alerte plancher IKS],TblCalculs[Cluster],$B23)&amp;" mois) (info)",IF(AND($A23="IKS",ISNUMBER($R23),$R23&lt;_xlfn.MAXIFS(TblApplications[Mois lib (calc)],TblApplications[Cluster IKS source],$B23)),"Fermeture avant la dernière libération",IF(AND($R23&lt;&gt;"",OR($A23&lt;&gt;"IKS",NOT(ISNUMBER($R23)))),"Fermeture : IKS uniquement, date attendue","OK"))))))))))))))))))</f>
        <v>OK</v>
      </c>
      <c r="R23" s="61"/>
      <c r="S23" s="33" t="str">
        <f>IF(OR($B23="",$A23&lt;&gt;"IKS"),"",IF(ISNUMBER($R23),DATE(YEAR($R23),MONTH($R23),1),IF(p_fermauto&lt;&gt;"Oui","",IF(COUNTIFS(TblApplications[Cluster IKS source],$B23,TblApplications[Action],"À migrer")+COUNTIFS(TblApplications[Cluster IKS source],$B23,TblApplications[Action],"À décommissionner")=0,"",IF(COUNTIFS(TblApplications[Cluster IKS source],$B23,TblApplications[Action],"À migrer",TblApplications[Mois lib (calc)],"")+COUNTIFS(TblApplications[Cluster IKS source],$B23,TblApplications[Action],"À décommissionner",TblApplications[Mois lib (calc)],"")&gt;0,"",_xlfn.MAXIFS(TblApplications[Mois lib (calc)],TblApplications[Cluster IKS source],$B23))))))</f>
        <v/>
      </c>
      <c r="T23" s="26">
        <f>IF(OR($B23="",COUNTIFS($E23,ca_envc)=0),"",COUNTIFS($B$6:$B23,"&lt;&gt;",$E$6:$E23,ca_envc))</f>
        <v>18</v>
      </c>
      <c r="U23" s="26" t="str">
        <f>IF(OR($B23="",$A23&lt;&gt;"IKS",COUNTIFS($E23,ex_envc)=0),"",COUNTIFS($B$6:$B23,"&lt;&gt;",$A$6:$A23,"IKS",$E$6:$E23,ex_envc))</f>
        <v/>
      </c>
      <c r="V23" s="35">
        <f>IF($B23="","",IFERROR((SUMIFS(TblApplications[CPU Dynatrace (vCPU)],TblApplications[Cluster IKS source],$B23)+SUMIFS(TblApplications[Besoin ROKS CPU (vCPU)],TblApplications[Cluster ROKS cible],$B23,TblApplications[Action],"Migré")+SUMIFS(TblApplications[Besoin ROKS CPU (vCPU)],TblApplications[Cluster ROKS cible],$B23,TblApplications[Action],"À migrer"))/$J23,""))</f>
        <v>0</v>
      </c>
      <c r="W23" s="35">
        <f>IF($B23="","",IFERROR((SUMIFS(TblApplications[RAM Dynatrace (Go)],TblApplications[Cluster IKS source],$B23)+SUMIFS(TblApplications[Besoin ROKS RAM (Go)],TblApplications[Cluster ROKS cible],$B23,TblApplications[Action],"Migré")+SUMIFS(TblApplications[Besoin ROKS RAM (Go)],TblApplications[Cluster ROKS cible],$B23,TblApplications[Action],"À migrer"))/$K23,""))</f>
        <v>0</v>
      </c>
      <c r="X23" s="26" t="str">
        <f t="shared" si="4"/>
        <v>OK</v>
      </c>
    </row>
    <row r="24" spans="1:24" x14ac:dyDescent="0.2">
      <c r="A24" s="59" t="s">
        <v>324</v>
      </c>
      <c r="B24" s="59" t="s">
        <v>365</v>
      </c>
      <c r="C24" s="59" t="s">
        <v>366</v>
      </c>
      <c r="D24" s="59" t="s">
        <v>367</v>
      </c>
      <c r="E24" s="59" t="s">
        <v>40</v>
      </c>
      <c r="F24" s="59"/>
      <c r="G24" s="59"/>
      <c r="H24" s="26" t="str">
        <f>IF($F24="","",IFERROR(INDEX(TblABS[vCPU par nœud],MATCH($F24,TblABS[Flavor],0)),"?"))</f>
        <v/>
      </c>
      <c r="I24" s="26" t="str">
        <f>IF($F24="","",IFERROR(INDEX(TblABS[RAM par nœud (Go)],MATCH($F24,TblABS[Flavor],0)),"?"))</f>
        <v/>
      </c>
      <c r="J24" s="26" t="str">
        <f t="shared" si="0"/>
        <v/>
      </c>
      <c r="K24" s="26" t="str">
        <f t="shared" si="1"/>
        <v/>
      </c>
      <c r="L24" s="59">
        <v>6</v>
      </c>
      <c r="M24" s="26" t="str">
        <f t="shared" si="2"/>
        <v/>
      </c>
      <c r="N24" s="26" t="str">
        <f t="shared" si="3"/>
        <v/>
      </c>
      <c r="O24" s="65" t="str">
        <f>IF($F24="","",IFERROR(INDEX(TblABS[Tarif par nœud],MATCH($F24,TblABS[Flavor],0)),"?"))</f>
        <v/>
      </c>
      <c r="P24" s="59" t="s">
        <v>278</v>
      </c>
      <c r="Q24" s="26" t="str">
        <f>IF($B24="","",IF(OR($A24="",$E24="",$F24="",$G24="",$L24=""),IF(COUNTIFS(TblApplications[Cluster IKS source],$B24)+COUNTIFS(TblApplications[Cluster ROKS cible],$B24)=0,"À compléter : flavor / workers (info)","Données manquantes"),IF(AND($A24&lt;&gt;"IKS",$A24&lt;&gt;"ROKS"),"Plateforme invalide",IF(AND($E24&lt;&gt;"PRD",$E24&lt;&gt;"NPRD"),"Environnement invalide",IF(OR(NOT(ISNUMBER($G24)),NOT(ISNUMBER($L24))),"Workers non numérique",IF(OR($G24&lt;0,$L24&lt;0),"Valeur négative",IF(OR($G24&lt;&gt;INT($G24),$L24&lt;&gt;INT($L24)),"Workers non entier",IF(NOT(ISNUMBER($H24)),IF(COUNTIFS(TblApplications[Cluster IKS source],$B24)+COUNTIFS(TblApplications[Cluster ROKS cible],$B24)=0,"Flavor à corriger (info)","Flavor inconnu"),IF(AND(p_mode="Nœud",OR(NOT(ISNUMBER($O24)),$O24&lt;=0)),"Tarif du flavor manquant ou invalide",IF(COUNTIF(TblClusters[Cluster],$B24)&gt;1,"Cluster en doublon",IF($L24&gt;$G24,"Plancher &gt; capacité initiale",IF(AND($A24="ROKS",$G24&gt;p_maxworkers),"Workers &gt; max ROKS",IF(AND($A24="IKS",(SUMIFS(TblApplications[CPU IKS libérable (vCPU)],TblApplications[Cluster IKS source],$B24,TblApplications[Action],"À migrer")+SUMIFS(TblApplications[CPU IKS libérable (vCPU)],TblApplications[Cluster IKS source],$B24,TblApplications[Action],"À décommissionner"))&gt;$J24),"Libérations CPU &gt; capacité initiale",IF(AND($A24="IKS",(SUMIFS(TblApplications[RAM IKS libérable (Go)],TblApplications[Cluster IKS source],$B24,TblApplications[Action],"À migrer")+SUMIFS(TblApplications[RAM IKS libérable (Go)],TblApplications[Cluster IKS source],$B24,TblApplications[Action],"À décommissionner"))&gt;$K24),"Libérations RAM &gt; capacité initiale",IF(SUMIFS(TblCalculs[Alerte max workers],TblCalculs[Cluster],$B24)&gt;0,"Max workers ROKS dépassé ("&amp;SUMIFS(TblCalculs[Alerte max workers],TblCalculs[Cluster],$B24)&amp;" mois) : flavor plus gros ou second cluster",IF(SUMIFS(TblCalculs[Alerte plancher IKS],TblCalculs[Cluster],$B24)&gt;0,"Plancher IKS atteint ("&amp;SUMIFS(TblCalculs[Alerte plancher IKS],TblCalculs[Cluster],$B24)&amp;" mois) (info)",IF(AND($A24="IKS",ISNUMBER($R24),$R24&lt;_xlfn.MAXIFS(TblApplications[Mois lib (calc)],TblApplications[Cluster IKS source],$B24)),"Fermeture avant la dernière libération",IF(AND($R24&lt;&gt;"",OR($A24&lt;&gt;"IKS",NOT(ISNUMBER($R24)))),"Fermeture : IKS uniquement, date attendue","OK"))))))))))))))))))</f>
        <v>À compléter : flavor / workers (info)</v>
      </c>
      <c r="R24" s="61"/>
      <c r="S24" s="33" t="str">
        <f>IF(OR($B24="",$A24&lt;&gt;"IKS"),"",IF(ISNUMBER($R24),DATE(YEAR($R24),MONTH($R24),1),IF(p_fermauto&lt;&gt;"Oui","",IF(COUNTIFS(TblApplications[Cluster IKS source],$B24,TblApplications[Action],"À migrer")+COUNTIFS(TblApplications[Cluster IKS source],$B24,TblApplications[Action],"À décommissionner")=0,"",IF(COUNTIFS(TblApplications[Cluster IKS source],$B24,TblApplications[Action],"À migrer",TblApplications[Mois lib (calc)],"")+COUNTIFS(TblApplications[Cluster IKS source],$B24,TblApplications[Action],"À décommissionner",TblApplications[Mois lib (calc)],"")&gt;0,"",_xlfn.MAXIFS(TblApplications[Mois lib (calc)],TblApplications[Cluster IKS source],$B24))))))</f>
        <v/>
      </c>
      <c r="T24" s="26">
        <f>IF(OR($B24="",COUNTIFS($E24,ca_envc)=0),"",COUNTIFS($B$6:$B24,"&lt;&gt;",$E$6:$E24,ca_envc))</f>
        <v>19</v>
      </c>
      <c r="U24" s="26" t="str">
        <f>IF(OR($B24="",$A24&lt;&gt;"IKS",COUNTIFS($E24,ex_envc)=0),"",COUNTIFS($B$6:$B24,"&lt;&gt;",$A$6:$A24,"IKS",$E$6:$E24,ex_envc))</f>
        <v/>
      </c>
      <c r="V24" s="35" t="str">
        <f>IF($B24="","",IFERROR((SUMIFS(TblApplications[CPU Dynatrace (vCPU)],TblApplications[Cluster IKS source],$B24)+SUMIFS(TblApplications[Besoin ROKS CPU (vCPU)],TblApplications[Cluster ROKS cible],$B24,TblApplications[Action],"Migré")+SUMIFS(TblApplications[Besoin ROKS CPU (vCPU)],TblApplications[Cluster ROKS cible],$B24,TblApplications[Action],"À migrer"))/$J24,""))</f>
        <v/>
      </c>
      <c r="W24" s="35" t="str">
        <f>IF($B24="","",IFERROR((SUMIFS(TblApplications[RAM Dynatrace (Go)],TblApplications[Cluster IKS source],$B24)+SUMIFS(TblApplications[Besoin ROKS RAM (Go)],TblApplications[Cluster ROKS cible],$B24,TblApplications[Action],"Migré")+SUMIFS(TblApplications[Besoin ROKS RAM (Go)],TblApplications[Cluster ROKS cible],$B24,TblApplications[Action],"À migrer"))/$K24,""))</f>
        <v/>
      </c>
      <c r="X24" s="26" t="str">
        <f t="shared" si="4"/>
        <v>OK</v>
      </c>
    </row>
    <row r="25" spans="1:24" x14ac:dyDescent="0.2">
      <c r="A25" s="59" t="s">
        <v>324</v>
      </c>
      <c r="B25" s="59" t="s">
        <v>368</v>
      </c>
      <c r="C25" s="59"/>
      <c r="D25" s="59" t="s">
        <v>369</v>
      </c>
      <c r="E25" s="59" t="s">
        <v>39</v>
      </c>
      <c r="F25" s="59"/>
      <c r="G25" s="59"/>
      <c r="H25" s="26" t="str">
        <f>IF($F25="","",IFERROR(INDEX(TblABS[vCPU par nœud],MATCH($F25,TblABS[Flavor],0)),"?"))</f>
        <v/>
      </c>
      <c r="I25" s="26" t="str">
        <f>IF($F25="","",IFERROR(INDEX(TblABS[RAM par nœud (Go)],MATCH($F25,TblABS[Flavor],0)),"?"))</f>
        <v/>
      </c>
      <c r="J25" s="26" t="str">
        <f t="shared" si="0"/>
        <v/>
      </c>
      <c r="K25" s="26" t="str">
        <f t="shared" si="1"/>
        <v/>
      </c>
      <c r="L25" s="59">
        <v>6</v>
      </c>
      <c r="M25" s="26" t="str">
        <f t="shared" si="2"/>
        <v/>
      </c>
      <c r="N25" s="26" t="str">
        <f t="shared" si="3"/>
        <v/>
      </c>
      <c r="O25" s="65" t="str">
        <f>IF($F25="","",IFERROR(INDEX(TblABS[Tarif par nœud],MATCH($F25,TblABS[Flavor],0)),"?"))</f>
        <v/>
      </c>
      <c r="P25" s="59" t="s">
        <v>278</v>
      </c>
      <c r="Q25" s="26" t="str">
        <f>IF($B25="","",IF(OR($A25="",$E25="",$F25="",$G25="",$L25=""),IF(COUNTIFS(TblApplications[Cluster IKS source],$B25)+COUNTIFS(TblApplications[Cluster ROKS cible],$B25)=0,"À compléter : flavor / workers (info)","Données manquantes"),IF(AND($A25&lt;&gt;"IKS",$A25&lt;&gt;"ROKS"),"Plateforme invalide",IF(AND($E25&lt;&gt;"PRD",$E25&lt;&gt;"NPRD"),"Environnement invalide",IF(OR(NOT(ISNUMBER($G25)),NOT(ISNUMBER($L25))),"Workers non numérique",IF(OR($G25&lt;0,$L25&lt;0),"Valeur négative",IF(OR($G25&lt;&gt;INT($G25),$L25&lt;&gt;INT($L25)),"Workers non entier",IF(NOT(ISNUMBER($H25)),IF(COUNTIFS(TblApplications[Cluster IKS source],$B25)+COUNTIFS(TblApplications[Cluster ROKS cible],$B25)=0,"Flavor à corriger (info)","Flavor inconnu"),IF(AND(p_mode="Nœud",OR(NOT(ISNUMBER($O25)),$O25&lt;=0)),"Tarif du flavor manquant ou invalide",IF(COUNTIF(TblClusters[Cluster],$B25)&gt;1,"Cluster en doublon",IF($L25&gt;$G25,"Plancher &gt; capacité initiale",IF(AND($A25="ROKS",$G25&gt;p_maxworkers),"Workers &gt; max ROKS",IF(AND($A25="IKS",(SUMIFS(TblApplications[CPU IKS libérable (vCPU)],TblApplications[Cluster IKS source],$B25,TblApplications[Action],"À migrer")+SUMIFS(TblApplications[CPU IKS libérable (vCPU)],TblApplications[Cluster IKS source],$B25,TblApplications[Action],"À décommissionner"))&gt;$J25),"Libérations CPU &gt; capacité initiale",IF(AND($A25="IKS",(SUMIFS(TblApplications[RAM IKS libérable (Go)],TblApplications[Cluster IKS source],$B25,TblApplications[Action],"À migrer")+SUMIFS(TblApplications[RAM IKS libérable (Go)],TblApplications[Cluster IKS source],$B25,TblApplications[Action],"À décommissionner"))&gt;$K25),"Libérations RAM &gt; capacité initiale",IF(SUMIFS(TblCalculs[Alerte max workers],TblCalculs[Cluster],$B25)&gt;0,"Max workers ROKS dépassé ("&amp;SUMIFS(TblCalculs[Alerte max workers],TblCalculs[Cluster],$B25)&amp;" mois) : flavor plus gros ou second cluster",IF(SUMIFS(TblCalculs[Alerte plancher IKS],TblCalculs[Cluster],$B25)&gt;0,"Plancher IKS atteint ("&amp;SUMIFS(TblCalculs[Alerte plancher IKS],TblCalculs[Cluster],$B25)&amp;" mois) (info)",IF(AND($A25="IKS",ISNUMBER($R25),$R25&lt;_xlfn.MAXIFS(TblApplications[Mois lib (calc)],TblApplications[Cluster IKS source],$B25)),"Fermeture avant la dernière libération",IF(AND($R25&lt;&gt;"",OR($A25&lt;&gt;"IKS",NOT(ISNUMBER($R25)))),"Fermeture : IKS uniquement, date attendue","OK"))))))))))))))))))</f>
        <v>À compléter : flavor / workers (info)</v>
      </c>
      <c r="R25" s="61"/>
      <c r="S25" s="33" t="str">
        <f>IF(OR($B25="",$A25&lt;&gt;"IKS"),"",IF(ISNUMBER($R25),DATE(YEAR($R25),MONTH($R25),1),IF(p_fermauto&lt;&gt;"Oui","",IF(COUNTIFS(TblApplications[Cluster IKS source],$B25,TblApplications[Action],"À migrer")+COUNTIFS(TblApplications[Cluster IKS source],$B25,TblApplications[Action],"À décommissionner")=0,"",IF(COUNTIFS(TblApplications[Cluster IKS source],$B25,TblApplications[Action],"À migrer",TblApplications[Mois lib (calc)],"")+COUNTIFS(TblApplications[Cluster IKS source],$B25,TblApplications[Action],"À décommissionner",TblApplications[Mois lib (calc)],"")&gt;0,"",_xlfn.MAXIFS(TblApplications[Mois lib (calc)],TblApplications[Cluster IKS source],$B25))))))</f>
        <v/>
      </c>
      <c r="T25" s="26">
        <f>IF(OR($B25="",COUNTIFS($E25,ca_envc)=0),"",COUNTIFS($B$6:$B25,"&lt;&gt;",$E$6:$E25,ca_envc))</f>
        <v>20</v>
      </c>
      <c r="U25" s="26" t="str">
        <f>IF(OR($B25="",$A25&lt;&gt;"IKS",COUNTIFS($E25,ex_envc)=0),"",COUNTIFS($B$6:$B25,"&lt;&gt;",$A$6:$A25,"IKS",$E$6:$E25,ex_envc))</f>
        <v/>
      </c>
      <c r="V25" s="35" t="str">
        <f>IF($B25="","",IFERROR((SUMIFS(TblApplications[CPU Dynatrace (vCPU)],TblApplications[Cluster IKS source],$B25)+SUMIFS(TblApplications[Besoin ROKS CPU (vCPU)],TblApplications[Cluster ROKS cible],$B25,TblApplications[Action],"Migré")+SUMIFS(TblApplications[Besoin ROKS CPU (vCPU)],TblApplications[Cluster ROKS cible],$B25,TblApplications[Action],"À migrer"))/$J25,""))</f>
        <v/>
      </c>
      <c r="W25" s="35" t="str">
        <f>IF($B25="","",IFERROR((SUMIFS(TblApplications[RAM Dynatrace (Go)],TblApplications[Cluster IKS source],$B25)+SUMIFS(TblApplications[Besoin ROKS RAM (Go)],TblApplications[Cluster ROKS cible],$B25,TblApplications[Action],"Migré")+SUMIFS(TblApplications[Besoin ROKS RAM (Go)],TblApplications[Cluster ROKS cible],$B25,TblApplications[Action],"À migrer"))/$K25,""))</f>
        <v/>
      </c>
      <c r="X25" s="26" t="str">
        <f t="shared" si="4"/>
        <v>OK</v>
      </c>
    </row>
    <row r="26" spans="1:24" x14ac:dyDescent="0.2">
      <c r="A26" s="59" t="s">
        <v>324</v>
      </c>
      <c r="B26" s="59" t="s">
        <v>370</v>
      </c>
      <c r="C26" s="59"/>
      <c r="D26" s="59" t="s">
        <v>371</v>
      </c>
      <c r="E26" s="59" t="s">
        <v>39</v>
      </c>
      <c r="F26" s="59"/>
      <c r="G26" s="59"/>
      <c r="H26" s="26" t="str">
        <f>IF($F26="","",IFERROR(INDEX(TblABS[vCPU par nœud],MATCH($F26,TblABS[Flavor],0)),"?"))</f>
        <v/>
      </c>
      <c r="I26" s="26" t="str">
        <f>IF($F26="","",IFERROR(INDEX(TblABS[RAM par nœud (Go)],MATCH($F26,TblABS[Flavor],0)),"?"))</f>
        <v/>
      </c>
      <c r="J26" s="26" t="str">
        <f t="shared" si="0"/>
        <v/>
      </c>
      <c r="K26" s="26" t="str">
        <f t="shared" si="1"/>
        <v/>
      </c>
      <c r="L26" s="59">
        <v>6</v>
      </c>
      <c r="M26" s="26" t="str">
        <f t="shared" si="2"/>
        <v/>
      </c>
      <c r="N26" s="26" t="str">
        <f t="shared" si="3"/>
        <v/>
      </c>
      <c r="O26" s="65" t="str">
        <f>IF($F26="","",IFERROR(INDEX(TblABS[Tarif par nœud],MATCH($F26,TblABS[Flavor],0)),"?"))</f>
        <v/>
      </c>
      <c r="P26" s="59" t="s">
        <v>278</v>
      </c>
      <c r="Q26" s="26" t="str">
        <f>IF($B26="","",IF(OR($A26="",$E26="",$F26="",$G26="",$L26=""),IF(COUNTIFS(TblApplications[Cluster IKS source],$B26)+COUNTIFS(TblApplications[Cluster ROKS cible],$B26)=0,"À compléter : flavor / workers (info)","Données manquantes"),IF(AND($A26&lt;&gt;"IKS",$A26&lt;&gt;"ROKS"),"Plateforme invalide",IF(AND($E26&lt;&gt;"PRD",$E26&lt;&gt;"NPRD"),"Environnement invalide",IF(OR(NOT(ISNUMBER($G26)),NOT(ISNUMBER($L26))),"Workers non numérique",IF(OR($G26&lt;0,$L26&lt;0),"Valeur négative",IF(OR($G26&lt;&gt;INT($G26),$L26&lt;&gt;INT($L26)),"Workers non entier",IF(NOT(ISNUMBER($H26)),IF(COUNTIFS(TblApplications[Cluster IKS source],$B26)+COUNTIFS(TblApplications[Cluster ROKS cible],$B26)=0,"Flavor à corriger (info)","Flavor inconnu"),IF(AND(p_mode="Nœud",OR(NOT(ISNUMBER($O26)),$O26&lt;=0)),"Tarif du flavor manquant ou invalide",IF(COUNTIF(TblClusters[Cluster],$B26)&gt;1,"Cluster en doublon",IF($L26&gt;$G26,"Plancher &gt; capacité initiale",IF(AND($A26="ROKS",$G26&gt;p_maxworkers),"Workers &gt; max ROKS",IF(AND($A26="IKS",(SUMIFS(TblApplications[CPU IKS libérable (vCPU)],TblApplications[Cluster IKS source],$B26,TblApplications[Action],"À migrer")+SUMIFS(TblApplications[CPU IKS libérable (vCPU)],TblApplications[Cluster IKS source],$B26,TblApplications[Action],"À décommissionner"))&gt;$J26),"Libérations CPU &gt; capacité initiale",IF(AND($A26="IKS",(SUMIFS(TblApplications[RAM IKS libérable (Go)],TblApplications[Cluster IKS source],$B26,TblApplications[Action],"À migrer")+SUMIFS(TblApplications[RAM IKS libérable (Go)],TblApplications[Cluster IKS source],$B26,TblApplications[Action],"À décommissionner"))&gt;$K26),"Libérations RAM &gt; capacité initiale",IF(SUMIFS(TblCalculs[Alerte max workers],TblCalculs[Cluster],$B26)&gt;0,"Max workers ROKS dépassé ("&amp;SUMIFS(TblCalculs[Alerte max workers],TblCalculs[Cluster],$B26)&amp;" mois) : flavor plus gros ou second cluster",IF(SUMIFS(TblCalculs[Alerte plancher IKS],TblCalculs[Cluster],$B26)&gt;0,"Plancher IKS atteint ("&amp;SUMIFS(TblCalculs[Alerte plancher IKS],TblCalculs[Cluster],$B26)&amp;" mois) (info)",IF(AND($A26="IKS",ISNUMBER($R26),$R26&lt;_xlfn.MAXIFS(TblApplications[Mois lib (calc)],TblApplications[Cluster IKS source],$B26)),"Fermeture avant la dernière libération",IF(AND($R26&lt;&gt;"",OR($A26&lt;&gt;"IKS",NOT(ISNUMBER($R26)))),"Fermeture : IKS uniquement, date attendue","OK"))))))))))))))))))</f>
        <v>À compléter : flavor / workers (info)</v>
      </c>
      <c r="R26" s="61"/>
      <c r="S26" s="33" t="str">
        <f>IF(OR($B26="",$A26&lt;&gt;"IKS"),"",IF(ISNUMBER($R26),DATE(YEAR($R26),MONTH($R26),1),IF(p_fermauto&lt;&gt;"Oui","",IF(COUNTIFS(TblApplications[Cluster IKS source],$B26,TblApplications[Action],"À migrer")+COUNTIFS(TblApplications[Cluster IKS source],$B26,TblApplications[Action],"À décommissionner")=0,"",IF(COUNTIFS(TblApplications[Cluster IKS source],$B26,TblApplications[Action],"À migrer",TblApplications[Mois lib (calc)],"")+COUNTIFS(TblApplications[Cluster IKS source],$B26,TblApplications[Action],"À décommissionner",TblApplications[Mois lib (calc)],"")&gt;0,"",_xlfn.MAXIFS(TblApplications[Mois lib (calc)],TblApplications[Cluster IKS source],$B26))))))</f>
        <v/>
      </c>
      <c r="T26" s="26">
        <f>IF(OR($B26="",COUNTIFS($E26,ca_envc)=0),"",COUNTIFS($B$6:$B26,"&lt;&gt;",$E$6:$E26,ca_envc))</f>
        <v>21</v>
      </c>
      <c r="U26" s="26" t="str">
        <f>IF(OR($B26="",$A26&lt;&gt;"IKS",COUNTIFS($E26,ex_envc)=0),"",COUNTIFS($B$6:$B26,"&lt;&gt;",$A$6:$A26,"IKS",$E$6:$E26,ex_envc))</f>
        <v/>
      </c>
      <c r="V26" s="35" t="str">
        <f>IF($B26="","",IFERROR((SUMIFS(TblApplications[CPU Dynatrace (vCPU)],TblApplications[Cluster IKS source],$B26)+SUMIFS(TblApplications[Besoin ROKS CPU (vCPU)],TblApplications[Cluster ROKS cible],$B26,TblApplications[Action],"Migré")+SUMIFS(TblApplications[Besoin ROKS CPU (vCPU)],TblApplications[Cluster ROKS cible],$B26,TblApplications[Action],"À migrer"))/$J26,""))</f>
        <v/>
      </c>
      <c r="W26" s="35" t="str">
        <f>IF($B26="","",IFERROR((SUMIFS(TblApplications[RAM Dynatrace (Go)],TblApplications[Cluster IKS source],$B26)+SUMIFS(TblApplications[Besoin ROKS RAM (Go)],TblApplications[Cluster ROKS cible],$B26,TblApplications[Action],"Migré")+SUMIFS(TblApplications[Besoin ROKS RAM (Go)],TblApplications[Cluster ROKS cible],$B26,TblApplications[Action],"À migrer"))/$K26,""))</f>
        <v/>
      </c>
      <c r="X26" s="26" t="str">
        <f t="shared" si="4"/>
        <v>OK</v>
      </c>
    </row>
    <row r="27" spans="1:24" x14ac:dyDescent="0.2">
      <c r="A27" s="59" t="s">
        <v>372</v>
      </c>
      <c r="B27" s="59" t="s">
        <v>276</v>
      </c>
      <c r="C27" s="59"/>
      <c r="D27" s="59" t="s">
        <v>373</v>
      </c>
      <c r="E27" s="59" t="s">
        <v>39</v>
      </c>
      <c r="F27" s="59" t="s">
        <v>374</v>
      </c>
      <c r="G27" s="59">
        <v>15</v>
      </c>
      <c r="H27" s="26">
        <f>IF($F27="","",IFERROR(INDEX(TblABS[vCPU par nœud],MATCH($F27,TblABS[Flavor],0)),"?"))</f>
        <v>32</v>
      </c>
      <c r="I27" s="26">
        <f>IF($F27="","",IFERROR(INDEX(TblABS[RAM par nœud (Go)],MATCH($F27,TblABS[Flavor],0)),"?"))</f>
        <v>128</v>
      </c>
      <c r="J27" s="26">
        <f t="shared" si="0"/>
        <v>480</v>
      </c>
      <c r="K27" s="26">
        <f t="shared" si="1"/>
        <v>1920</v>
      </c>
      <c r="L27" s="59">
        <v>3</v>
      </c>
      <c r="M27" s="26">
        <f t="shared" si="2"/>
        <v>96</v>
      </c>
      <c r="N27" s="26">
        <f t="shared" si="3"/>
        <v>384</v>
      </c>
      <c r="O27" s="65">
        <f>IF($F27="","",IFERROR(INDEX(TblABS[Tarif par nœud],MATCH($F27,TblABS[Flavor],0)),"?"))</f>
        <v>1062</v>
      </c>
      <c r="P27" s="59" t="s">
        <v>278</v>
      </c>
      <c r="Q27" s="26" t="str">
        <f>IF($B27="","",IF(OR($A27="",$E27="",$F27="",$G27="",$L27=""),IF(COUNTIFS(TblApplications[Cluster IKS source],$B27)+COUNTIFS(TblApplications[Cluster ROKS cible],$B27)=0,"À compléter : flavor / workers (info)","Données manquantes"),IF(AND($A27&lt;&gt;"IKS",$A27&lt;&gt;"ROKS"),"Plateforme invalide",IF(AND($E27&lt;&gt;"PRD",$E27&lt;&gt;"NPRD"),"Environnement invalide",IF(OR(NOT(ISNUMBER($G27)),NOT(ISNUMBER($L27))),"Workers non numérique",IF(OR($G27&lt;0,$L27&lt;0),"Valeur négative",IF(OR($G27&lt;&gt;INT($G27),$L27&lt;&gt;INT($L27)),"Workers non entier",IF(NOT(ISNUMBER($H27)),IF(COUNTIFS(TblApplications[Cluster IKS source],$B27)+COUNTIFS(TblApplications[Cluster ROKS cible],$B27)=0,"Flavor à corriger (info)","Flavor inconnu"),IF(AND(p_mode="Nœud",OR(NOT(ISNUMBER($O27)),$O27&lt;=0)),"Tarif du flavor manquant ou invalide",IF(COUNTIF(TblClusters[Cluster],$B27)&gt;1,"Cluster en doublon",IF($L27&gt;$G27,"Plancher &gt; capacité initiale",IF(AND($A27="ROKS",$G27&gt;p_maxworkers),"Workers &gt; max ROKS",IF(AND($A27="IKS",(SUMIFS(TblApplications[CPU IKS libérable (vCPU)],TblApplications[Cluster IKS source],$B27,TblApplications[Action],"À migrer")+SUMIFS(TblApplications[CPU IKS libérable (vCPU)],TblApplications[Cluster IKS source],$B27,TblApplications[Action],"À décommissionner"))&gt;$J27),"Libérations CPU &gt; capacité initiale",IF(AND($A27="IKS",(SUMIFS(TblApplications[RAM IKS libérable (Go)],TblApplications[Cluster IKS source],$B27,TblApplications[Action],"À migrer")+SUMIFS(TblApplications[RAM IKS libérable (Go)],TblApplications[Cluster IKS source],$B27,TblApplications[Action],"À décommissionner"))&gt;$K27),"Libérations RAM &gt; capacité initiale",IF(SUMIFS(TblCalculs[Alerte max workers],TblCalculs[Cluster],$B27)&gt;0,"Max workers ROKS dépassé ("&amp;SUMIFS(TblCalculs[Alerte max workers],TblCalculs[Cluster],$B27)&amp;" mois) : flavor plus gros ou second cluster",IF(SUMIFS(TblCalculs[Alerte plancher IKS],TblCalculs[Cluster],$B27)&gt;0,"Plancher IKS atteint ("&amp;SUMIFS(TblCalculs[Alerte plancher IKS],TblCalculs[Cluster],$B27)&amp;" mois) (info)",IF(AND($A27="IKS",ISNUMBER($R27),$R27&lt;_xlfn.MAXIFS(TblApplications[Mois lib (calc)],TblApplications[Cluster IKS source],$B27)),"Fermeture avant la dernière libération",IF(AND($R27&lt;&gt;"",OR($A27&lt;&gt;"IKS",NOT(ISNUMBER($R27)))),"Fermeture : IKS uniquement, date attendue","OK"))))))))))))))))))</f>
        <v>Plancher IKS atteint (9 mois) (info)</v>
      </c>
      <c r="R27" s="61"/>
      <c r="S27" s="33">
        <f>IF(OR($B27="",$A27&lt;&gt;"IKS"),"",IF(ISNUMBER($R27),DATE(YEAR($R27),MONTH($R27),1),IF(p_fermauto&lt;&gt;"Oui","",IF(COUNTIFS(TblApplications[Cluster IKS source],$B27,TblApplications[Action],"À migrer")+COUNTIFS(TblApplications[Cluster IKS source],$B27,TblApplications[Action],"À décommissionner")=0,"",IF(COUNTIFS(TblApplications[Cluster IKS source],$B27,TblApplications[Action],"À migrer",TblApplications[Mois lib (calc)],"")+COUNTIFS(TblApplications[Cluster IKS source],$B27,TblApplications[Action],"À décommissionner",TblApplications[Mois lib (calc)],"")&gt;0,"",_xlfn.MAXIFS(TblApplications[Mois lib (calc)],TblApplications[Cluster IKS source],$B27))))))</f>
        <v>47088</v>
      </c>
      <c r="T27" s="26">
        <f>IF(OR($B27="",COUNTIFS($E27,ca_envc)=0),"",COUNTIFS($B$6:$B27,"&lt;&gt;",$E$6:$E27,ca_envc))</f>
        <v>22</v>
      </c>
      <c r="U27" s="26">
        <f>IF(OR($B27="",$A27&lt;&gt;"IKS",COUNTIFS($E27,ex_envc)=0),"",COUNTIFS($B$6:$B27,"&lt;&gt;",$A$6:$A27,"IKS",$E$6:$E27,ex_envc))</f>
        <v>1</v>
      </c>
      <c r="V27" s="35">
        <f>IF($B27="","",IFERROR((SUMIFS(TblApplications[CPU Dynatrace (vCPU)],TblApplications[Cluster IKS source],$B27)+SUMIFS(TblApplications[Besoin ROKS CPU (vCPU)],TblApplications[Cluster ROKS cible],$B27,TblApplications[Action],"Migré")+SUMIFS(TblApplications[Besoin ROKS CPU (vCPU)],TblApplications[Cluster ROKS cible],$B27,TblApplications[Action],"À migrer"))/$J27,""))</f>
        <v>0.10833333333333334</v>
      </c>
      <c r="W27" s="35">
        <f>IF($B27="","",IFERROR((SUMIFS(TblApplications[RAM Dynatrace (Go)],TblApplications[Cluster IKS source],$B27)+SUMIFS(TblApplications[Besoin ROKS RAM (Go)],TblApplications[Cluster ROKS cible],$B27,TblApplications[Action],"Migré")+SUMIFS(TblApplications[Besoin ROKS RAM (Go)],TblApplications[Cluster ROKS cible],$B27,TblApplications[Action],"À migrer"))/$K27,""))</f>
        <v>0.16458333333333333</v>
      </c>
      <c r="X27" s="26" t="str">
        <f t="shared" si="4"/>
        <v>OK</v>
      </c>
    </row>
    <row r="28" spans="1:24" x14ac:dyDescent="0.2">
      <c r="A28" s="59" t="s">
        <v>372</v>
      </c>
      <c r="B28" s="59" t="s">
        <v>375</v>
      </c>
      <c r="C28" s="59"/>
      <c r="D28" s="59" t="s">
        <v>373</v>
      </c>
      <c r="E28" s="59" t="s">
        <v>40</v>
      </c>
      <c r="F28" s="59" t="s">
        <v>374</v>
      </c>
      <c r="G28" s="59">
        <v>15</v>
      </c>
      <c r="H28" s="26">
        <f>IF($F28="","",IFERROR(INDEX(TblABS[vCPU par nœud],MATCH($F28,TblABS[Flavor],0)),"?"))</f>
        <v>32</v>
      </c>
      <c r="I28" s="26">
        <f>IF($F28="","",IFERROR(INDEX(TblABS[RAM par nœud (Go)],MATCH($F28,TblABS[Flavor],0)),"?"))</f>
        <v>128</v>
      </c>
      <c r="J28" s="26">
        <f t="shared" si="0"/>
        <v>480</v>
      </c>
      <c r="K28" s="26">
        <f t="shared" si="1"/>
        <v>1920</v>
      </c>
      <c r="L28" s="59">
        <v>3</v>
      </c>
      <c r="M28" s="26">
        <f t="shared" si="2"/>
        <v>96</v>
      </c>
      <c r="N28" s="26">
        <f t="shared" si="3"/>
        <v>384</v>
      </c>
      <c r="O28" s="65">
        <f>IF($F28="","",IFERROR(INDEX(TblABS[Tarif par nœud],MATCH($F28,TblABS[Flavor],0)),"?"))</f>
        <v>1062</v>
      </c>
      <c r="P28" s="59" t="s">
        <v>278</v>
      </c>
      <c r="Q28" s="26" t="str">
        <f>IF($B28="","",IF(OR($A28="",$E28="",$F28="",$G28="",$L28=""),IF(COUNTIFS(TblApplications[Cluster IKS source],$B28)+COUNTIFS(TblApplications[Cluster ROKS cible],$B28)=0,"À compléter : flavor / workers (info)","Données manquantes"),IF(AND($A28&lt;&gt;"IKS",$A28&lt;&gt;"ROKS"),"Plateforme invalide",IF(AND($E28&lt;&gt;"PRD",$E28&lt;&gt;"NPRD"),"Environnement invalide",IF(OR(NOT(ISNUMBER($G28)),NOT(ISNUMBER($L28))),"Workers non numérique",IF(OR($G28&lt;0,$L28&lt;0),"Valeur négative",IF(OR($G28&lt;&gt;INT($G28),$L28&lt;&gt;INT($L28)),"Workers non entier",IF(NOT(ISNUMBER($H28)),IF(COUNTIFS(TblApplications[Cluster IKS source],$B28)+COUNTIFS(TblApplications[Cluster ROKS cible],$B28)=0,"Flavor à corriger (info)","Flavor inconnu"),IF(AND(p_mode="Nœud",OR(NOT(ISNUMBER($O28)),$O28&lt;=0)),"Tarif du flavor manquant ou invalide",IF(COUNTIF(TblClusters[Cluster],$B28)&gt;1,"Cluster en doublon",IF($L28&gt;$G28,"Plancher &gt; capacité initiale",IF(AND($A28="ROKS",$G28&gt;p_maxworkers),"Workers &gt; max ROKS",IF(AND($A28="IKS",(SUMIFS(TblApplications[CPU IKS libérable (vCPU)],TblApplications[Cluster IKS source],$B28,TblApplications[Action],"À migrer")+SUMIFS(TblApplications[CPU IKS libérable (vCPU)],TblApplications[Cluster IKS source],$B28,TblApplications[Action],"À décommissionner"))&gt;$J28),"Libérations CPU &gt; capacité initiale",IF(AND($A28="IKS",(SUMIFS(TblApplications[RAM IKS libérable (Go)],TblApplications[Cluster IKS source],$B28,TblApplications[Action],"À migrer")+SUMIFS(TblApplications[RAM IKS libérable (Go)],TblApplications[Cluster IKS source],$B28,TblApplications[Action],"À décommissionner"))&gt;$K28),"Libérations RAM &gt; capacité initiale",IF(SUMIFS(TblCalculs[Alerte max workers],TblCalculs[Cluster],$B28)&gt;0,"Max workers ROKS dépassé ("&amp;SUMIFS(TblCalculs[Alerte max workers],TblCalculs[Cluster],$B28)&amp;" mois) : flavor plus gros ou second cluster",IF(SUMIFS(TblCalculs[Alerte plancher IKS],TblCalculs[Cluster],$B28)&gt;0,"Plancher IKS atteint ("&amp;SUMIFS(TblCalculs[Alerte plancher IKS],TblCalculs[Cluster],$B28)&amp;" mois) (info)",IF(AND($A28="IKS",ISNUMBER($R28),$R28&lt;_xlfn.MAXIFS(TblApplications[Mois lib (calc)],TblApplications[Cluster IKS source],$B28)),"Fermeture avant la dernière libération",IF(AND($R28&lt;&gt;"",OR($A28&lt;&gt;"IKS",NOT(ISNUMBER($R28)))),"Fermeture : IKS uniquement, date attendue","OK"))))))))))))))))))</f>
        <v>OK</v>
      </c>
      <c r="R28" s="61"/>
      <c r="S28" s="33" t="str">
        <f>IF(OR($B28="",$A28&lt;&gt;"IKS"),"",IF(ISNUMBER($R28),DATE(YEAR($R28),MONTH($R28),1),IF(p_fermauto&lt;&gt;"Oui","",IF(COUNTIFS(TblApplications[Cluster IKS source],$B28,TblApplications[Action],"À migrer")+COUNTIFS(TblApplications[Cluster IKS source],$B28,TblApplications[Action],"À décommissionner")=0,"",IF(COUNTIFS(TblApplications[Cluster IKS source],$B28,TblApplications[Action],"À migrer",TblApplications[Mois lib (calc)],"")+COUNTIFS(TblApplications[Cluster IKS source],$B28,TblApplications[Action],"À décommissionner",TblApplications[Mois lib (calc)],"")&gt;0,"",_xlfn.MAXIFS(TblApplications[Mois lib (calc)],TblApplications[Cluster IKS source],$B28))))))</f>
        <v/>
      </c>
      <c r="T28" s="26">
        <f>IF(OR($B28="",COUNTIFS($E28,ca_envc)=0),"",COUNTIFS($B$6:$B28,"&lt;&gt;",$E$6:$E28,ca_envc))</f>
        <v>23</v>
      </c>
      <c r="U28" s="26">
        <f>IF(OR($B28="",$A28&lt;&gt;"IKS",COUNTIFS($E28,ex_envc)=0),"",COUNTIFS($B$6:$B28,"&lt;&gt;",$A$6:$A28,"IKS",$E$6:$E28,ex_envc))</f>
        <v>2</v>
      </c>
      <c r="V28" s="35">
        <f>IF($B28="","",IFERROR((SUMIFS(TblApplications[CPU Dynatrace (vCPU)],TblApplications[Cluster IKS source],$B28)+SUMIFS(TblApplications[Besoin ROKS CPU (vCPU)],TblApplications[Cluster ROKS cible],$B28,TblApplications[Action],"Migré")+SUMIFS(TblApplications[Besoin ROKS CPU (vCPU)],TblApplications[Cluster ROKS cible],$B28,TblApplications[Action],"À migrer"))/$J28,""))</f>
        <v>0</v>
      </c>
      <c r="W28" s="35">
        <f>IF($B28="","",IFERROR((SUMIFS(TblApplications[RAM Dynatrace (Go)],TblApplications[Cluster IKS source],$B28)+SUMIFS(TblApplications[Besoin ROKS RAM (Go)],TblApplications[Cluster ROKS cible],$B28,TblApplications[Action],"Migré")+SUMIFS(TblApplications[Besoin ROKS RAM (Go)],TblApplications[Cluster ROKS cible],$B28,TblApplications[Action],"À migrer"))/$K28,""))</f>
        <v>0</v>
      </c>
      <c r="X28" s="26" t="str">
        <f t="shared" si="4"/>
        <v>OK</v>
      </c>
    </row>
    <row r="29" spans="1:24" x14ac:dyDescent="0.2">
      <c r="A29" s="59" t="s">
        <v>372</v>
      </c>
      <c r="B29" s="59" t="s">
        <v>376</v>
      </c>
      <c r="C29" s="59"/>
      <c r="D29" s="59" t="s">
        <v>377</v>
      </c>
      <c r="E29" s="59" t="s">
        <v>40</v>
      </c>
      <c r="F29" s="59" t="s">
        <v>378</v>
      </c>
      <c r="G29" s="59">
        <v>6</v>
      </c>
      <c r="H29" s="26">
        <f>IF($F29="","",IFERROR(INDEX(TblABS[vCPU par nœud],MATCH($F29,TblABS[Flavor],0)),"?"))</f>
        <v>8</v>
      </c>
      <c r="I29" s="26">
        <f>IF($F29="","",IFERROR(INDEX(TblABS[RAM par nœud (Go)],MATCH($F29,TblABS[Flavor],0)),"?"))</f>
        <v>32</v>
      </c>
      <c r="J29" s="26">
        <f t="shared" si="0"/>
        <v>48</v>
      </c>
      <c r="K29" s="26">
        <f t="shared" si="1"/>
        <v>192</v>
      </c>
      <c r="L29" s="59">
        <v>3</v>
      </c>
      <c r="M29" s="26">
        <f t="shared" si="2"/>
        <v>24</v>
      </c>
      <c r="N29" s="26">
        <f t="shared" si="3"/>
        <v>96</v>
      </c>
      <c r="O29" s="65">
        <f>IF($F29="","",IFERROR(INDEX(TblABS[Tarif par nœud],MATCH($F29,TblABS[Flavor],0)),"?"))</f>
        <v>266</v>
      </c>
      <c r="P29" s="59" t="s">
        <v>278</v>
      </c>
      <c r="Q29" s="26" t="str">
        <f>IF($B29="","",IF(OR($A29="",$E29="",$F29="",$G29="",$L29=""),IF(COUNTIFS(TblApplications[Cluster IKS source],$B29)+COUNTIFS(TblApplications[Cluster ROKS cible],$B29)=0,"À compléter : flavor / workers (info)","Données manquantes"),IF(AND($A29&lt;&gt;"IKS",$A29&lt;&gt;"ROKS"),"Plateforme invalide",IF(AND($E29&lt;&gt;"PRD",$E29&lt;&gt;"NPRD"),"Environnement invalide",IF(OR(NOT(ISNUMBER($G29)),NOT(ISNUMBER($L29))),"Workers non numérique",IF(OR($G29&lt;0,$L29&lt;0),"Valeur négative",IF(OR($G29&lt;&gt;INT($G29),$L29&lt;&gt;INT($L29)),"Workers non entier",IF(NOT(ISNUMBER($H29)),IF(COUNTIFS(TblApplications[Cluster IKS source],$B29)+COUNTIFS(TblApplications[Cluster ROKS cible],$B29)=0,"Flavor à corriger (info)","Flavor inconnu"),IF(AND(p_mode="Nœud",OR(NOT(ISNUMBER($O29)),$O29&lt;=0)),"Tarif du flavor manquant ou invalide",IF(COUNTIF(TblClusters[Cluster],$B29)&gt;1,"Cluster en doublon",IF($L29&gt;$G29,"Plancher &gt; capacité initiale",IF(AND($A29="ROKS",$G29&gt;p_maxworkers),"Workers &gt; max ROKS",IF(AND($A29="IKS",(SUMIFS(TblApplications[CPU IKS libérable (vCPU)],TblApplications[Cluster IKS source],$B29,TblApplications[Action],"À migrer")+SUMIFS(TblApplications[CPU IKS libérable (vCPU)],TblApplications[Cluster IKS source],$B29,TblApplications[Action],"À décommissionner"))&gt;$J29),"Libérations CPU &gt; capacité initiale",IF(AND($A29="IKS",(SUMIFS(TblApplications[RAM IKS libérable (Go)],TblApplications[Cluster IKS source],$B29,TblApplications[Action],"À migrer")+SUMIFS(TblApplications[RAM IKS libérable (Go)],TblApplications[Cluster IKS source],$B29,TblApplications[Action],"À décommissionner"))&gt;$K29),"Libérations RAM &gt; capacité initiale",IF(SUMIFS(TblCalculs[Alerte max workers],TblCalculs[Cluster],$B29)&gt;0,"Max workers ROKS dépassé ("&amp;SUMIFS(TblCalculs[Alerte max workers],TblCalculs[Cluster],$B29)&amp;" mois) : flavor plus gros ou second cluster",IF(SUMIFS(TblCalculs[Alerte plancher IKS],TblCalculs[Cluster],$B29)&gt;0,"Plancher IKS atteint ("&amp;SUMIFS(TblCalculs[Alerte plancher IKS],TblCalculs[Cluster],$B29)&amp;" mois) (info)",IF(AND($A29="IKS",ISNUMBER($R29),$R29&lt;_xlfn.MAXIFS(TblApplications[Mois lib (calc)],TblApplications[Cluster IKS source],$B29)),"Fermeture avant la dernière libération",IF(AND($R29&lt;&gt;"",OR($A29&lt;&gt;"IKS",NOT(ISNUMBER($R29)))),"Fermeture : IKS uniquement, date attendue","OK"))))))))))))))))))</f>
        <v>OK</v>
      </c>
      <c r="R29" s="61"/>
      <c r="S29" s="33" t="str">
        <f>IF(OR($B29="",$A29&lt;&gt;"IKS"),"",IF(ISNUMBER($R29),DATE(YEAR($R29),MONTH($R29),1),IF(p_fermauto&lt;&gt;"Oui","",IF(COUNTIFS(TblApplications[Cluster IKS source],$B29,TblApplications[Action],"À migrer")+COUNTIFS(TblApplications[Cluster IKS source],$B29,TblApplications[Action],"À décommissionner")=0,"",IF(COUNTIFS(TblApplications[Cluster IKS source],$B29,TblApplications[Action],"À migrer",TblApplications[Mois lib (calc)],"")+COUNTIFS(TblApplications[Cluster IKS source],$B29,TblApplications[Action],"À décommissionner",TblApplications[Mois lib (calc)],"")&gt;0,"",_xlfn.MAXIFS(TblApplications[Mois lib (calc)],TblApplications[Cluster IKS source],$B29))))))</f>
        <v/>
      </c>
      <c r="T29" s="26">
        <f>IF(OR($B29="",COUNTIFS($E29,ca_envc)=0),"",COUNTIFS($B$6:$B29,"&lt;&gt;",$E$6:$E29,ca_envc))</f>
        <v>24</v>
      </c>
      <c r="U29" s="26">
        <f>IF(OR($B29="",$A29&lt;&gt;"IKS",COUNTIFS($E29,ex_envc)=0),"",COUNTIFS($B$6:$B29,"&lt;&gt;",$A$6:$A29,"IKS",$E$6:$E29,ex_envc))</f>
        <v>3</v>
      </c>
      <c r="V29" s="35">
        <f>IF($B29="","",IFERROR((SUMIFS(TblApplications[CPU Dynatrace (vCPU)],TblApplications[Cluster IKS source],$B29)+SUMIFS(TblApplications[Besoin ROKS CPU (vCPU)],TblApplications[Cluster ROKS cible],$B29,TblApplications[Action],"Migré")+SUMIFS(TblApplications[Besoin ROKS CPU (vCPU)],TblApplications[Cluster ROKS cible],$B29,TblApplications[Action],"À migrer"))/$J29,""))</f>
        <v>0</v>
      </c>
      <c r="W29" s="35">
        <f>IF($B29="","",IFERROR((SUMIFS(TblApplications[RAM Dynatrace (Go)],TblApplications[Cluster IKS source],$B29)+SUMIFS(TblApplications[Besoin ROKS RAM (Go)],TblApplications[Cluster ROKS cible],$B29,TblApplications[Action],"Migré")+SUMIFS(TblApplications[Besoin ROKS RAM (Go)],TblApplications[Cluster ROKS cible],$B29,TblApplications[Action],"À migrer"))/$K29,""))</f>
        <v>0</v>
      </c>
      <c r="X29" s="26" t="str">
        <f t="shared" si="4"/>
        <v>OK</v>
      </c>
    </row>
    <row r="30" spans="1:24" x14ac:dyDescent="0.2">
      <c r="A30" s="59" t="s">
        <v>372</v>
      </c>
      <c r="B30" s="59" t="s">
        <v>379</v>
      </c>
      <c r="C30" s="59"/>
      <c r="D30" s="59" t="s">
        <v>377</v>
      </c>
      <c r="E30" s="59" t="s">
        <v>39</v>
      </c>
      <c r="F30" s="59" t="s">
        <v>378</v>
      </c>
      <c r="G30" s="59">
        <v>6</v>
      </c>
      <c r="H30" s="26">
        <f>IF($F30="","",IFERROR(INDEX(TblABS[vCPU par nœud],MATCH($F30,TblABS[Flavor],0)),"?"))</f>
        <v>8</v>
      </c>
      <c r="I30" s="26">
        <f>IF($F30="","",IFERROR(INDEX(TblABS[RAM par nœud (Go)],MATCH($F30,TblABS[Flavor],0)),"?"))</f>
        <v>32</v>
      </c>
      <c r="J30" s="26">
        <f t="shared" si="0"/>
        <v>48</v>
      </c>
      <c r="K30" s="26">
        <f t="shared" si="1"/>
        <v>192</v>
      </c>
      <c r="L30" s="59">
        <v>3</v>
      </c>
      <c r="M30" s="26">
        <f t="shared" si="2"/>
        <v>24</v>
      </c>
      <c r="N30" s="26">
        <f t="shared" si="3"/>
        <v>96</v>
      </c>
      <c r="O30" s="65">
        <f>IF($F30="","",IFERROR(INDEX(TblABS[Tarif par nœud],MATCH($F30,TblABS[Flavor],0)),"?"))</f>
        <v>266</v>
      </c>
      <c r="P30" s="59" t="s">
        <v>278</v>
      </c>
      <c r="Q30" s="26" t="str">
        <f>IF($B30="","",IF(OR($A30="",$E30="",$F30="",$G30="",$L30=""),IF(COUNTIFS(TblApplications[Cluster IKS source],$B30)+COUNTIFS(TblApplications[Cluster ROKS cible],$B30)=0,"À compléter : flavor / workers (info)","Données manquantes"),IF(AND($A30&lt;&gt;"IKS",$A30&lt;&gt;"ROKS"),"Plateforme invalide",IF(AND($E30&lt;&gt;"PRD",$E30&lt;&gt;"NPRD"),"Environnement invalide",IF(OR(NOT(ISNUMBER($G30)),NOT(ISNUMBER($L30))),"Workers non numérique",IF(OR($G30&lt;0,$L30&lt;0),"Valeur négative",IF(OR($G30&lt;&gt;INT($G30),$L30&lt;&gt;INT($L30)),"Workers non entier",IF(NOT(ISNUMBER($H30)),IF(COUNTIFS(TblApplications[Cluster IKS source],$B30)+COUNTIFS(TblApplications[Cluster ROKS cible],$B30)=0,"Flavor à corriger (info)","Flavor inconnu"),IF(AND(p_mode="Nœud",OR(NOT(ISNUMBER($O30)),$O30&lt;=0)),"Tarif du flavor manquant ou invalide",IF(COUNTIF(TblClusters[Cluster],$B30)&gt;1,"Cluster en doublon",IF($L30&gt;$G30,"Plancher &gt; capacité initiale",IF(AND($A30="ROKS",$G30&gt;p_maxworkers),"Workers &gt; max ROKS",IF(AND($A30="IKS",(SUMIFS(TblApplications[CPU IKS libérable (vCPU)],TblApplications[Cluster IKS source],$B30,TblApplications[Action],"À migrer")+SUMIFS(TblApplications[CPU IKS libérable (vCPU)],TblApplications[Cluster IKS source],$B30,TblApplications[Action],"À décommissionner"))&gt;$J30),"Libérations CPU &gt; capacité initiale",IF(AND($A30="IKS",(SUMIFS(TblApplications[RAM IKS libérable (Go)],TblApplications[Cluster IKS source],$B30,TblApplications[Action],"À migrer")+SUMIFS(TblApplications[RAM IKS libérable (Go)],TblApplications[Cluster IKS source],$B30,TblApplications[Action],"À décommissionner"))&gt;$K30),"Libérations RAM &gt; capacité initiale",IF(SUMIFS(TblCalculs[Alerte max workers],TblCalculs[Cluster],$B30)&gt;0,"Max workers ROKS dépassé ("&amp;SUMIFS(TblCalculs[Alerte max workers],TblCalculs[Cluster],$B30)&amp;" mois) : flavor plus gros ou second cluster",IF(SUMIFS(TblCalculs[Alerte plancher IKS],TblCalculs[Cluster],$B30)&gt;0,"Plancher IKS atteint ("&amp;SUMIFS(TblCalculs[Alerte plancher IKS],TblCalculs[Cluster],$B30)&amp;" mois) (info)",IF(AND($A30="IKS",ISNUMBER($R30),$R30&lt;_xlfn.MAXIFS(TblApplications[Mois lib (calc)],TblApplications[Cluster IKS source],$B30)),"Fermeture avant la dernière libération",IF(AND($R30&lt;&gt;"",OR($A30&lt;&gt;"IKS",NOT(ISNUMBER($R30)))),"Fermeture : IKS uniquement, date attendue","OK"))))))))))))))))))</f>
        <v>OK</v>
      </c>
      <c r="R30" s="61"/>
      <c r="S30" s="33" t="str">
        <f>IF(OR($B30="",$A30&lt;&gt;"IKS"),"",IF(ISNUMBER($R30),DATE(YEAR($R30),MONTH($R30),1),IF(p_fermauto&lt;&gt;"Oui","",IF(COUNTIFS(TblApplications[Cluster IKS source],$B30,TblApplications[Action],"À migrer")+COUNTIFS(TblApplications[Cluster IKS source],$B30,TblApplications[Action],"À décommissionner")=0,"",IF(COUNTIFS(TblApplications[Cluster IKS source],$B30,TblApplications[Action],"À migrer",TblApplications[Mois lib (calc)],"")+COUNTIFS(TblApplications[Cluster IKS source],$B30,TblApplications[Action],"À décommissionner",TblApplications[Mois lib (calc)],"")&gt;0,"",_xlfn.MAXIFS(TblApplications[Mois lib (calc)],TblApplications[Cluster IKS source],$B30))))))</f>
        <v/>
      </c>
      <c r="T30" s="26">
        <f>IF(OR($B30="",COUNTIFS($E30,ca_envc)=0),"",COUNTIFS($B$6:$B30,"&lt;&gt;",$E$6:$E30,ca_envc))</f>
        <v>25</v>
      </c>
      <c r="U30" s="26">
        <f>IF(OR($B30="",$A30&lt;&gt;"IKS",COUNTIFS($E30,ex_envc)=0),"",COUNTIFS($B$6:$B30,"&lt;&gt;",$A$6:$A30,"IKS",$E$6:$E30,ex_envc))</f>
        <v>4</v>
      </c>
      <c r="V30" s="35">
        <f>IF($B30="","",IFERROR((SUMIFS(TblApplications[CPU Dynatrace (vCPU)],TblApplications[Cluster IKS source],$B30)+SUMIFS(TblApplications[Besoin ROKS CPU (vCPU)],TblApplications[Cluster ROKS cible],$B30,TblApplications[Action],"Migré")+SUMIFS(TblApplications[Besoin ROKS CPU (vCPU)],TblApplications[Cluster ROKS cible],$B30,TblApplications[Action],"À migrer"))/$J30,""))</f>
        <v>0</v>
      </c>
      <c r="W30" s="35">
        <f>IF($B30="","",IFERROR((SUMIFS(TblApplications[RAM Dynatrace (Go)],TblApplications[Cluster IKS source],$B30)+SUMIFS(TblApplications[Besoin ROKS RAM (Go)],TblApplications[Cluster ROKS cible],$B30,TblApplications[Action],"Migré")+SUMIFS(TblApplications[Besoin ROKS RAM (Go)],TblApplications[Cluster ROKS cible],$B30,TblApplications[Action],"À migrer"))/$K30,""))</f>
        <v>0</v>
      </c>
      <c r="X30" s="26" t="str">
        <f t="shared" si="4"/>
        <v>OK</v>
      </c>
    </row>
    <row r="31" spans="1:24" x14ac:dyDescent="0.2">
      <c r="A31" s="59" t="s">
        <v>372</v>
      </c>
      <c r="B31" s="59" t="s">
        <v>380</v>
      </c>
      <c r="C31" s="59"/>
      <c r="D31" s="59" t="s">
        <v>381</v>
      </c>
      <c r="E31" s="59" t="s">
        <v>40</v>
      </c>
      <c r="F31" s="59" t="s">
        <v>382</v>
      </c>
      <c r="G31" s="59">
        <v>6</v>
      </c>
      <c r="H31" s="26">
        <f>IF($F31="","",IFERROR(INDEX(TblABS[vCPU par nœud],MATCH($F31,TblABS[Flavor],0)),"?"))</f>
        <v>64</v>
      </c>
      <c r="I31" s="26">
        <f>IF($F31="","",IFERROR(INDEX(TblABS[RAM par nœud (Go)],MATCH($F31,TblABS[Flavor],0)),"?"))</f>
        <v>512</v>
      </c>
      <c r="J31" s="26">
        <f t="shared" si="0"/>
        <v>384</v>
      </c>
      <c r="K31" s="26">
        <f t="shared" si="1"/>
        <v>3072</v>
      </c>
      <c r="L31" s="59">
        <v>3</v>
      </c>
      <c r="M31" s="26">
        <f t="shared" si="2"/>
        <v>192</v>
      </c>
      <c r="N31" s="26">
        <f t="shared" si="3"/>
        <v>1536</v>
      </c>
      <c r="O31" s="65">
        <f>IF($F31="","",IFERROR(INDEX(TblABS[Tarif par nœud],MATCH($F31,TblABS[Flavor],0)),"?"))</f>
        <v>2842</v>
      </c>
      <c r="P31" s="59" t="s">
        <v>278</v>
      </c>
      <c r="Q31" s="26" t="str">
        <f>IF($B31="","",IF(OR($A31="",$E31="",$F31="",$G31="",$L31=""),IF(COUNTIFS(TblApplications[Cluster IKS source],$B31)+COUNTIFS(TblApplications[Cluster ROKS cible],$B31)=0,"À compléter : flavor / workers (info)","Données manquantes"),IF(AND($A31&lt;&gt;"IKS",$A31&lt;&gt;"ROKS"),"Plateforme invalide",IF(AND($E31&lt;&gt;"PRD",$E31&lt;&gt;"NPRD"),"Environnement invalide",IF(OR(NOT(ISNUMBER($G31)),NOT(ISNUMBER($L31))),"Workers non numérique",IF(OR($G31&lt;0,$L31&lt;0),"Valeur négative",IF(OR($G31&lt;&gt;INT($G31),$L31&lt;&gt;INT($L31)),"Workers non entier",IF(NOT(ISNUMBER($H31)),IF(COUNTIFS(TblApplications[Cluster IKS source],$B31)+COUNTIFS(TblApplications[Cluster ROKS cible],$B31)=0,"Flavor à corriger (info)","Flavor inconnu"),IF(AND(p_mode="Nœud",OR(NOT(ISNUMBER($O31)),$O31&lt;=0)),"Tarif du flavor manquant ou invalide",IF(COUNTIF(TblClusters[Cluster],$B31)&gt;1,"Cluster en doublon",IF($L31&gt;$G31,"Plancher &gt; capacité initiale",IF(AND($A31="ROKS",$G31&gt;p_maxworkers),"Workers &gt; max ROKS",IF(AND($A31="IKS",(SUMIFS(TblApplications[CPU IKS libérable (vCPU)],TblApplications[Cluster IKS source],$B31,TblApplications[Action],"À migrer")+SUMIFS(TblApplications[CPU IKS libérable (vCPU)],TblApplications[Cluster IKS source],$B31,TblApplications[Action],"À décommissionner"))&gt;$J31),"Libérations CPU &gt; capacité initiale",IF(AND($A31="IKS",(SUMIFS(TblApplications[RAM IKS libérable (Go)],TblApplications[Cluster IKS source],$B31,TblApplications[Action],"À migrer")+SUMIFS(TblApplications[RAM IKS libérable (Go)],TblApplications[Cluster IKS source],$B31,TblApplications[Action],"À décommissionner"))&gt;$K31),"Libérations RAM &gt; capacité initiale",IF(SUMIFS(TblCalculs[Alerte max workers],TblCalculs[Cluster],$B31)&gt;0,"Max workers ROKS dépassé ("&amp;SUMIFS(TblCalculs[Alerte max workers],TblCalculs[Cluster],$B31)&amp;" mois) : flavor plus gros ou second cluster",IF(SUMIFS(TblCalculs[Alerte plancher IKS],TblCalculs[Cluster],$B31)&gt;0,"Plancher IKS atteint ("&amp;SUMIFS(TblCalculs[Alerte plancher IKS],TblCalculs[Cluster],$B31)&amp;" mois) (info)",IF(AND($A31="IKS",ISNUMBER($R31),$R31&lt;_xlfn.MAXIFS(TblApplications[Mois lib (calc)],TblApplications[Cluster IKS source],$B31)),"Fermeture avant la dernière libération",IF(AND($R31&lt;&gt;"",OR($A31&lt;&gt;"IKS",NOT(ISNUMBER($R31)))),"Fermeture : IKS uniquement, date attendue","OK"))))))))))))))))))</f>
        <v>OK</v>
      </c>
      <c r="R31" s="61"/>
      <c r="S31" s="33" t="str">
        <f>IF(OR($B31="",$A31&lt;&gt;"IKS"),"",IF(ISNUMBER($R31),DATE(YEAR($R31),MONTH($R31),1),IF(p_fermauto&lt;&gt;"Oui","",IF(COUNTIFS(TblApplications[Cluster IKS source],$B31,TblApplications[Action],"À migrer")+COUNTIFS(TblApplications[Cluster IKS source],$B31,TblApplications[Action],"À décommissionner")=0,"",IF(COUNTIFS(TblApplications[Cluster IKS source],$B31,TblApplications[Action],"À migrer",TblApplications[Mois lib (calc)],"")+COUNTIFS(TblApplications[Cluster IKS source],$B31,TblApplications[Action],"À décommissionner",TblApplications[Mois lib (calc)],"")&gt;0,"",_xlfn.MAXIFS(TblApplications[Mois lib (calc)],TblApplications[Cluster IKS source],$B31))))))</f>
        <v/>
      </c>
      <c r="T31" s="26">
        <f>IF(OR($B31="",COUNTIFS($E31,ca_envc)=0),"",COUNTIFS($B$6:$B31,"&lt;&gt;",$E$6:$E31,ca_envc))</f>
        <v>26</v>
      </c>
      <c r="U31" s="26">
        <f>IF(OR($B31="",$A31&lt;&gt;"IKS",COUNTIFS($E31,ex_envc)=0),"",COUNTIFS($B$6:$B31,"&lt;&gt;",$A$6:$A31,"IKS",$E$6:$E31,ex_envc))</f>
        <v>5</v>
      </c>
      <c r="V31" s="35">
        <f>IF($B31="","",IFERROR((SUMIFS(TblApplications[CPU Dynatrace (vCPU)],TblApplications[Cluster IKS source],$B31)+SUMIFS(TblApplications[Besoin ROKS CPU (vCPU)],TblApplications[Cluster ROKS cible],$B31,TblApplications[Action],"Migré")+SUMIFS(TblApplications[Besoin ROKS CPU (vCPU)],TblApplications[Cluster ROKS cible],$B31,TblApplications[Action],"À migrer"))/$J31,""))</f>
        <v>0</v>
      </c>
      <c r="W31" s="35">
        <f>IF($B31="","",IFERROR((SUMIFS(TblApplications[RAM Dynatrace (Go)],TblApplications[Cluster IKS source],$B31)+SUMIFS(TblApplications[Besoin ROKS RAM (Go)],TblApplications[Cluster ROKS cible],$B31,TblApplications[Action],"Migré")+SUMIFS(TblApplications[Besoin ROKS RAM (Go)],TblApplications[Cluster ROKS cible],$B31,TblApplications[Action],"À migrer"))/$K31,""))</f>
        <v>0</v>
      </c>
      <c r="X31" s="26" t="str">
        <f t="shared" si="4"/>
        <v>OK</v>
      </c>
    </row>
    <row r="32" spans="1:24" x14ac:dyDescent="0.2">
      <c r="A32" s="59" t="s">
        <v>372</v>
      </c>
      <c r="B32" s="59" t="s">
        <v>383</v>
      </c>
      <c r="C32" s="59"/>
      <c r="D32" s="59" t="s">
        <v>384</v>
      </c>
      <c r="E32" s="59" t="s">
        <v>39</v>
      </c>
      <c r="F32" s="59" t="s">
        <v>385</v>
      </c>
      <c r="G32" s="59">
        <v>6</v>
      </c>
      <c r="H32" s="26">
        <f>IF($F32="","",IFERROR(INDEX(TblABS[vCPU par nœud],MATCH($F32,TblABS[Flavor],0)),"?"))</f>
        <v>32</v>
      </c>
      <c r="I32" s="26">
        <f>IF($F32="","",IFERROR(INDEX(TblABS[RAM par nœud (Go)],MATCH($F32,TblABS[Flavor],0)),"?"))</f>
        <v>256</v>
      </c>
      <c r="J32" s="26">
        <f t="shared" si="0"/>
        <v>192</v>
      </c>
      <c r="K32" s="26">
        <f t="shared" si="1"/>
        <v>1536</v>
      </c>
      <c r="L32" s="59">
        <v>3</v>
      </c>
      <c r="M32" s="26">
        <f t="shared" si="2"/>
        <v>96</v>
      </c>
      <c r="N32" s="26">
        <f t="shared" si="3"/>
        <v>768</v>
      </c>
      <c r="O32" s="65">
        <f>IF($F32="","",IFERROR(INDEX(TblABS[Tarif par nœud],MATCH($F32,TblABS[Flavor],0)),"?"))</f>
        <v>1421</v>
      </c>
      <c r="P32" s="59" t="s">
        <v>278</v>
      </c>
      <c r="Q32" s="26" t="str">
        <f>IF($B32="","",IF(OR($A32="",$E32="",$F32="",$G32="",$L32=""),IF(COUNTIFS(TblApplications[Cluster IKS source],$B32)+COUNTIFS(TblApplications[Cluster ROKS cible],$B32)=0,"À compléter : flavor / workers (info)","Données manquantes"),IF(AND($A32&lt;&gt;"IKS",$A32&lt;&gt;"ROKS"),"Plateforme invalide",IF(AND($E32&lt;&gt;"PRD",$E32&lt;&gt;"NPRD"),"Environnement invalide",IF(OR(NOT(ISNUMBER($G32)),NOT(ISNUMBER($L32))),"Workers non numérique",IF(OR($G32&lt;0,$L32&lt;0),"Valeur négative",IF(OR($G32&lt;&gt;INT($G32),$L32&lt;&gt;INT($L32)),"Workers non entier",IF(NOT(ISNUMBER($H32)),IF(COUNTIFS(TblApplications[Cluster IKS source],$B32)+COUNTIFS(TblApplications[Cluster ROKS cible],$B32)=0,"Flavor à corriger (info)","Flavor inconnu"),IF(AND(p_mode="Nœud",OR(NOT(ISNUMBER($O32)),$O32&lt;=0)),"Tarif du flavor manquant ou invalide",IF(COUNTIF(TblClusters[Cluster],$B32)&gt;1,"Cluster en doublon",IF($L32&gt;$G32,"Plancher &gt; capacité initiale",IF(AND($A32="ROKS",$G32&gt;p_maxworkers),"Workers &gt; max ROKS",IF(AND($A32="IKS",(SUMIFS(TblApplications[CPU IKS libérable (vCPU)],TblApplications[Cluster IKS source],$B32,TblApplications[Action],"À migrer")+SUMIFS(TblApplications[CPU IKS libérable (vCPU)],TblApplications[Cluster IKS source],$B32,TblApplications[Action],"À décommissionner"))&gt;$J32),"Libérations CPU &gt; capacité initiale",IF(AND($A32="IKS",(SUMIFS(TblApplications[RAM IKS libérable (Go)],TblApplications[Cluster IKS source],$B32,TblApplications[Action],"À migrer")+SUMIFS(TblApplications[RAM IKS libérable (Go)],TblApplications[Cluster IKS source],$B32,TblApplications[Action],"À décommissionner"))&gt;$K32),"Libérations RAM &gt; capacité initiale",IF(SUMIFS(TblCalculs[Alerte max workers],TblCalculs[Cluster],$B32)&gt;0,"Max workers ROKS dépassé ("&amp;SUMIFS(TblCalculs[Alerte max workers],TblCalculs[Cluster],$B32)&amp;" mois) : flavor plus gros ou second cluster",IF(SUMIFS(TblCalculs[Alerte plancher IKS],TblCalculs[Cluster],$B32)&gt;0,"Plancher IKS atteint ("&amp;SUMIFS(TblCalculs[Alerte plancher IKS],TblCalculs[Cluster],$B32)&amp;" mois) (info)",IF(AND($A32="IKS",ISNUMBER($R32),$R32&lt;_xlfn.MAXIFS(TblApplications[Mois lib (calc)],TblApplications[Cluster IKS source],$B32)),"Fermeture avant la dernière libération",IF(AND($R32&lt;&gt;"",OR($A32&lt;&gt;"IKS",NOT(ISNUMBER($R32)))),"Fermeture : IKS uniquement, date attendue","OK"))))))))))))))))))</f>
        <v>OK</v>
      </c>
      <c r="R32" s="61"/>
      <c r="S32" s="33" t="str">
        <f>IF(OR($B32="",$A32&lt;&gt;"IKS"),"",IF(ISNUMBER($R32),DATE(YEAR($R32),MONTH($R32),1),IF(p_fermauto&lt;&gt;"Oui","",IF(COUNTIFS(TblApplications[Cluster IKS source],$B32,TblApplications[Action],"À migrer")+COUNTIFS(TblApplications[Cluster IKS source],$B32,TblApplications[Action],"À décommissionner")=0,"",IF(COUNTIFS(TblApplications[Cluster IKS source],$B32,TblApplications[Action],"À migrer",TblApplications[Mois lib (calc)],"")+COUNTIFS(TblApplications[Cluster IKS source],$B32,TblApplications[Action],"À décommissionner",TblApplications[Mois lib (calc)],"")&gt;0,"",_xlfn.MAXIFS(TblApplications[Mois lib (calc)],TblApplications[Cluster IKS source],$B32))))))</f>
        <v/>
      </c>
      <c r="T32" s="26">
        <f>IF(OR($B32="",COUNTIFS($E32,ca_envc)=0),"",COUNTIFS($B$6:$B32,"&lt;&gt;",$E$6:$E32,ca_envc))</f>
        <v>27</v>
      </c>
      <c r="U32" s="26">
        <f>IF(OR($B32="",$A32&lt;&gt;"IKS",COUNTIFS($E32,ex_envc)=0),"",COUNTIFS($B$6:$B32,"&lt;&gt;",$A$6:$A32,"IKS",$E$6:$E32,ex_envc))</f>
        <v>6</v>
      </c>
      <c r="V32" s="35">
        <f>IF($B32="","",IFERROR((SUMIFS(TblApplications[CPU Dynatrace (vCPU)],TblApplications[Cluster IKS source],$B32)+SUMIFS(TblApplications[Besoin ROKS CPU (vCPU)],TblApplications[Cluster ROKS cible],$B32,TblApplications[Action],"Migré")+SUMIFS(TblApplications[Besoin ROKS CPU (vCPU)],TblApplications[Cluster ROKS cible],$B32,TblApplications[Action],"À migrer"))/$J32,""))</f>
        <v>0</v>
      </c>
      <c r="W32" s="35">
        <f>IF($B32="","",IFERROR((SUMIFS(TblApplications[RAM Dynatrace (Go)],TblApplications[Cluster IKS source],$B32)+SUMIFS(TblApplications[Besoin ROKS RAM (Go)],TblApplications[Cluster ROKS cible],$B32,TblApplications[Action],"Migré")+SUMIFS(TblApplications[Besoin ROKS RAM (Go)],TblApplications[Cluster ROKS cible],$B32,TblApplications[Action],"À migrer"))/$K32,""))</f>
        <v>0</v>
      </c>
      <c r="X32" s="26" t="str">
        <f t="shared" si="4"/>
        <v>OK</v>
      </c>
    </row>
    <row r="33" spans="1:24" x14ac:dyDescent="0.2">
      <c r="A33" s="59" t="s">
        <v>372</v>
      </c>
      <c r="B33" s="59" t="s">
        <v>386</v>
      </c>
      <c r="C33" s="59"/>
      <c r="D33" s="59" t="s">
        <v>384</v>
      </c>
      <c r="E33" s="59" t="s">
        <v>40</v>
      </c>
      <c r="F33" s="59" t="s">
        <v>385</v>
      </c>
      <c r="G33" s="59">
        <v>9</v>
      </c>
      <c r="H33" s="26">
        <f>IF($F33="","",IFERROR(INDEX(TblABS[vCPU par nœud],MATCH($F33,TblABS[Flavor],0)),"?"))</f>
        <v>32</v>
      </c>
      <c r="I33" s="26">
        <f>IF($F33="","",IFERROR(INDEX(TblABS[RAM par nœud (Go)],MATCH($F33,TblABS[Flavor],0)),"?"))</f>
        <v>256</v>
      </c>
      <c r="J33" s="26">
        <f t="shared" si="0"/>
        <v>288</v>
      </c>
      <c r="K33" s="26">
        <f t="shared" si="1"/>
        <v>2304</v>
      </c>
      <c r="L33" s="59">
        <v>3</v>
      </c>
      <c r="M33" s="26">
        <f t="shared" si="2"/>
        <v>96</v>
      </c>
      <c r="N33" s="26">
        <f t="shared" si="3"/>
        <v>768</v>
      </c>
      <c r="O33" s="65">
        <f>IF($F33="","",IFERROR(INDEX(TblABS[Tarif par nœud],MATCH($F33,TblABS[Flavor],0)),"?"))</f>
        <v>1421</v>
      </c>
      <c r="P33" s="59" t="s">
        <v>278</v>
      </c>
      <c r="Q33" s="26" t="str">
        <f>IF($B33="","",IF(OR($A33="",$E33="",$F33="",$G33="",$L33=""),IF(COUNTIFS(TblApplications[Cluster IKS source],$B33)+COUNTIFS(TblApplications[Cluster ROKS cible],$B33)=0,"À compléter : flavor / workers (info)","Données manquantes"),IF(AND($A33&lt;&gt;"IKS",$A33&lt;&gt;"ROKS"),"Plateforme invalide",IF(AND($E33&lt;&gt;"PRD",$E33&lt;&gt;"NPRD"),"Environnement invalide",IF(OR(NOT(ISNUMBER($G33)),NOT(ISNUMBER($L33))),"Workers non numérique",IF(OR($G33&lt;0,$L33&lt;0),"Valeur négative",IF(OR($G33&lt;&gt;INT($G33),$L33&lt;&gt;INT($L33)),"Workers non entier",IF(NOT(ISNUMBER($H33)),IF(COUNTIFS(TblApplications[Cluster IKS source],$B33)+COUNTIFS(TblApplications[Cluster ROKS cible],$B33)=0,"Flavor à corriger (info)","Flavor inconnu"),IF(AND(p_mode="Nœud",OR(NOT(ISNUMBER($O33)),$O33&lt;=0)),"Tarif du flavor manquant ou invalide",IF(COUNTIF(TblClusters[Cluster],$B33)&gt;1,"Cluster en doublon",IF($L33&gt;$G33,"Plancher &gt; capacité initiale",IF(AND($A33="ROKS",$G33&gt;p_maxworkers),"Workers &gt; max ROKS",IF(AND($A33="IKS",(SUMIFS(TblApplications[CPU IKS libérable (vCPU)],TblApplications[Cluster IKS source],$B33,TblApplications[Action],"À migrer")+SUMIFS(TblApplications[CPU IKS libérable (vCPU)],TblApplications[Cluster IKS source],$B33,TblApplications[Action],"À décommissionner"))&gt;$J33),"Libérations CPU &gt; capacité initiale",IF(AND($A33="IKS",(SUMIFS(TblApplications[RAM IKS libérable (Go)],TblApplications[Cluster IKS source],$B33,TblApplications[Action],"À migrer")+SUMIFS(TblApplications[RAM IKS libérable (Go)],TblApplications[Cluster IKS source],$B33,TblApplications[Action],"À décommissionner"))&gt;$K33),"Libérations RAM &gt; capacité initiale",IF(SUMIFS(TblCalculs[Alerte max workers],TblCalculs[Cluster],$B33)&gt;0,"Max workers ROKS dépassé ("&amp;SUMIFS(TblCalculs[Alerte max workers],TblCalculs[Cluster],$B33)&amp;" mois) : flavor plus gros ou second cluster",IF(SUMIFS(TblCalculs[Alerte plancher IKS],TblCalculs[Cluster],$B33)&gt;0,"Plancher IKS atteint ("&amp;SUMIFS(TblCalculs[Alerte plancher IKS],TblCalculs[Cluster],$B33)&amp;" mois) (info)",IF(AND($A33="IKS",ISNUMBER($R33),$R33&lt;_xlfn.MAXIFS(TblApplications[Mois lib (calc)],TblApplications[Cluster IKS source],$B33)),"Fermeture avant la dernière libération",IF(AND($R33&lt;&gt;"",OR($A33&lt;&gt;"IKS",NOT(ISNUMBER($R33)))),"Fermeture : IKS uniquement, date attendue","OK"))))))))))))))))))</f>
        <v>OK</v>
      </c>
      <c r="R33" s="61"/>
      <c r="S33" s="33" t="str">
        <f>IF(OR($B33="",$A33&lt;&gt;"IKS"),"",IF(ISNUMBER($R33),DATE(YEAR($R33),MONTH($R33),1),IF(p_fermauto&lt;&gt;"Oui","",IF(COUNTIFS(TblApplications[Cluster IKS source],$B33,TblApplications[Action],"À migrer")+COUNTIFS(TblApplications[Cluster IKS source],$B33,TblApplications[Action],"À décommissionner")=0,"",IF(COUNTIFS(TblApplications[Cluster IKS source],$B33,TblApplications[Action],"À migrer",TblApplications[Mois lib (calc)],"")+COUNTIFS(TblApplications[Cluster IKS source],$B33,TblApplications[Action],"À décommissionner",TblApplications[Mois lib (calc)],"")&gt;0,"",_xlfn.MAXIFS(TblApplications[Mois lib (calc)],TblApplications[Cluster IKS source],$B33))))))</f>
        <v/>
      </c>
      <c r="T33" s="26">
        <f>IF(OR($B33="",COUNTIFS($E33,ca_envc)=0),"",COUNTIFS($B$6:$B33,"&lt;&gt;",$E$6:$E33,ca_envc))</f>
        <v>28</v>
      </c>
      <c r="U33" s="26">
        <f>IF(OR($B33="",$A33&lt;&gt;"IKS",COUNTIFS($E33,ex_envc)=0),"",COUNTIFS($B$6:$B33,"&lt;&gt;",$A$6:$A33,"IKS",$E$6:$E33,ex_envc))</f>
        <v>7</v>
      </c>
      <c r="V33" s="35">
        <f>IF($B33="","",IFERROR((SUMIFS(TblApplications[CPU Dynatrace (vCPU)],TblApplications[Cluster IKS source],$B33)+SUMIFS(TblApplications[Besoin ROKS CPU (vCPU)],TblApplications[Cluster ROKS cible],$B33,TblApplications[Action],"Migré")+SUMIFS(TblApplications[Besoin ROKS CPU (vCPU)],TblApplications[Cluster ROKS cible],$B33,TblApplications[Action],"À migrer"))/$J33,""))</f>
        <v>0</v>
      </c>
      <c r="W33" s="35">
        <f>IF($B33="","",IFERROR((SUMIFS(TblApplications[RAM Dynatrace (Go)],TblApplications[Cluster IKS source],$B33)+SUMIFS(TblApplications[Besoin ROKS RAM (Go)],TblApplications[Cluster ROKS cible],$B33,TblApplications[Action],"Migré")+SUMIFS(TblApplications[Besoin ROKS RAM (Go)],TblApplications[Cluster ROKS cible],$B33,TblApplications[Action],"À migrer"))/$K33,""))</f>
        <v>0</v>
      </c>
      <c r="X33" s="26" t="str">
        <f t="shared" si="4"/>
        <v>OK</v>
      </c>
    </row>
    <row r="34" spans="1:24" x14ac:dyDescent="0.2">
      <c r="A34" s="59" t="s">
        <v>372</v>
      </c>
      <c r="B34" s="59" t="s">
        <v>387</v>
      </c>
      <c r="C34" s="59"/>
      <c r="D34" s="59" t="s">
        <v>381</v>
      </c>
      <c r="E34" s="59" t="s">
        <v>39</v>
      </c>
      <c r="F34" s="59" t="s">
        <v>382</v>
      </c>
      <c r="G34" s="59">
        <v>6</v>
      </c>
      <c r="H34" s="26">
        <f>IF($F34="","",IFERROR(INDEX(TblABS[vCPU par nœud],MATCH($F34,TblABS[Flavor],0)),"?"))</f>
        <v>64</v>
      </c>
      <c r="I34" s="26">
        <f>IF($F34="","",IFERROR(INDEX(TblABS[RAM par nœud (Go)],MATCH($F34,TblABS[Flavor],0)),"?"))</f>
        <v>512</v>
      </c>
      <c r="J34" s="26">
        <f t="shared" si="0"/>
        <v>384</v>
      </c>
      <c r="K34" s="26">
        <f t="shared" si="1"/>
        <v>3072</v>
      </c>
      <c r="L34" s="59">
        <v>3</v>
      </c>
      <c r="M34" s="26">
        <f t="shared" si="2"/>
        <v>192</v>
      </c>
      <c r="N34" s="26">
        <f t="shared" si="3"/>
        <v>1536</v>
      </c>
      <c r="O34" s="65">
        <f>IF($F34="","",IFERROR(INDEX(TblABS[Tarif par nœud],MATCH($F34,TblABS[Flavor],0)),"?"))</f>
        <v>2842</v>
      </c>
      <c r="P34" s="59" t="s">
        <v>278</v>
      </c>
      <c r="Q34" s="26" t="str">
        <f>IF($B34="","",IF(OR($A34="",$E34="",$F34="",$G34="",$L34=""),IF(COUNTIFS(TblApplications[Cluster IKS source],$B34)+COUNTIFS(TblApplications[Cluster ROKS cible],$B34)=0,"À compléter : flavor / workers (info)","Données manquantes"),IF(AND($A34&lt;&gt;"IKS",$A34&lt;&gt;"ROKS"),"Plateforme invalide",IF(AND($E34&lt;&gt;"PRD",$E34&lt;&gt;"NPRD"),"Environnement invalide",IF(OR(NOT(ISNUMBER($G34)),NOT(ISNUMBER($L34))),"Workers non numérique",IF(OR($G34&lt;0,$L34&lt;0),"Valeur négative",IF(OR($G34&lt;&gt;INT($G34),$L34&lt;&gt;INT($L34)),"Workers non entier",IF(NOT(ISNUMBER($H34)),IF(COUNTIFS(TblApplications[Cluster IKS source],$B34)+COUNTIFS(TblApplications[Cluster ROKS cible],$B34)=0,"Flavor à corriger (info)","Flavor inconnu"),IF(AND(p_mode="Nœud",OR(NOT(ISNUMBER($O34)),$O34&lt;=0)),"Tarif du flavor manquant ou invalide",IF(COUNTIF(TblClusters[Cluster],$B34)&gt;1,"Cluster en doublon",IF($L34&gt;$G34,"Plancher &gt; capacité initiale",IF(AND($A34="ROKS",$G34&gt;p_maxworkers),"Workers &gt; max ROKS",IF(AND($A34="IKS",(SUMIFS(TblApplications[CPU IKS libérable (vCPU)],TblApplications[Cluster IKS source],$B34,TblApplications[Action],"À migrer")+SUMIFS(TblApplications[CPU IKS libérable (vCPU)],TblApplications[Cluster IKS source],$B34,TblApplications[Action],"À décommissionner"))&gt;$J34),"Libérations CPU &gt; capacité initiale",IF(AND($A34="IKS",(SUMIFS(TblApplications[RAM IKS libérable (Go)],TblApplications[Cluster IKS source],$B34,TblApplications[Action],"À migrer")+SUMIFS(TblApplications[RAM IKS libérable (Go)],TblApplications[Cluster IKS source],$B34,TblApplications[Action],"À décommissionner"))&gt;$K34),"Libérations RAM &gt; capacité initiale",IF(SUMIFS(TblCalculs[Alerte max workers],TblCalculs[Cluster],$B34)&gt;0,"Max workers ROKS dépassé ("&amp;SUMIFS(TblCalculs[Alerte max workers],TblCalculs[Cluster],$B34)&amp;" mois) : flavor plus gros ou second cluster",IF(SUMIFS(TblCalculs[Alerte plancher IKS],TblCalculs[Cluster],$B34)&gt;0,"Plancher IKS atteint ("&amp;SUMIFS(TblCalculs[Alerte plancher IKS],TblCalculs[Cluster],$B34)&amp;" mois) (info)",IF(AND($A34="IKS",ISNUMBER($R34),$R34&lt;_xlfn.MAXIFS(TblApplications[Mois lib (calc)],TblApplications[Cluster IKS source],$B34)),"Fermeture avant la dernière libération",IF(AND($R34&lt;&gt;"",OR($A34&lt;&gt;"IKS",NOT(ISNUMBER($R34)))),"Fermeture : IKS uniquement, date attendue","OK"))))))))))))))))))</f>
        <v>OK</v>
      </c>
      <c r="R34" s="61"/>
      <c r="S34" s="33" t="str">
        <f>IF(OR($B34="",$A34&lt;&gt;"IKS"),"",IF(ISNUMBER($R34),DATE(YEAR($R34),MONTH($R34),1),IF(p_fermauto&lt;&gt;"Oui","",IF(COUNTIFS(TblApplications[Cluster IKS source],$B34,TblApplications[Action],"À migrer")+COUNTIFS(TblApplications[Cluster IKS source],$B34,TblApplications[Action],"À décommissionner")=0,"",IF(COUNTIFS(TblApplications[Cluster IKS source],$B34,TblApplications[Action],"À migrer",TblApplications[Mois lib (calc)],"")+COUNTIFS(TblApplications[Cluster IKS source],$B34,TblApplications[Action],"À décommissionner",TblApplications[Mois lib (calc)],"")&gt;0,"",_xlfn.MAXIFS(TblApplications[Mois lib (calc)],TblApplications[Cluster IKS source],$B34))))))</f>
        <v/>
      </c>
      <c r="T34" s="26">
        <f>IF(OR($B34="",COUNTIFS($E34,ca_envc)=0),"",COUNTIFS($B$6:$B34,"&lt;&gt;",$E$6:$E34,ca_envc))</f>
        <v>29</v>
      </c>
      <c r="U34" s="26">
        <f>IF(OR($B34="",$A34&lt;&gt;"IKS",COUNTIFS($E34,ex_envc)=0),"",COUNTIFS($B$6:$B34,"&lt;&gt;",$A$6:$A34,"IKS",$E$6:$E34,ex_envc))</f>
        <v>8</v>
      </c>
      <c r="V34" s="35">
        <f>IF($B34="","",IFERROR((SUMIFS(TblApplications[CPU Dynatrace (vCPU)],TblApplications[Cluster IKS source],$B34)+SUMIFS(TblApplications[Besoin ROKS CPU (vCPU)],TblApplications[Cluster ROKS cible],$B34,TblApplications[Action],"Migré")+SUMIFS(TblApplications[Besoin ROKS CPU (vCPU)],TblApplications[Cluster ROKS cible],$B34,TblApplications[Action],"À migrer"))/$J34,""))</f>
        <v>0</v>
      </c>
      <c r="W34" s="35">
        <f>IF($B34="","",IFERROR((SUMIFS(TblApplications[RAM Dynatrace (Go)],TblApplications[Cluster IKS source],$B34)+SUMIFS(TblApplications[Besoin ROKS RAM (Go)],TblApplications[Cluster ROKS cible],$B34,TblApplications[Action],"Migré")+SUMIFS(TblApplications[Besoin ROKS RAM (Go)],TblApplications[Cluster ROKS cible],$B34,TblApplications[Action],"À migrer"))/$K34,""))</f>
        <v>0</v>
      </c>
      <c r="X34" s="26" t="str">
        <f t="shared" si="4"/>
        <v>OK</v>
      </c>
    </row>
    <row r="35" spans="1:24" x14ac:dyDescent="0.2">
      <c r="A35" s="59" t="s">
        <v>372</v>
      </c>
      <c r="B35" s="59" t="s">
        <v>388</v>
      </c>
      <c r="C35" s="59"/>
      <c r="D35" s="59" t="s">
        <v>389</v>
      </c>
      <c r="E35" s="59" t="s">
        <v>40</v>
      </c>
      <c r="F35" s="59"/>
      <c r="G35" s="59"/>
      <c r="H35" s="26" t="str">
        <f>IF($F35="","",IFERROR(INDEX(TblABS[vCPU par nœud],MATCH($F35,TblABS[Flavor],0)),"?"))</f>
        <v/>
      </c>
      <c r="I35" s="26" t="str">
        <f>IF($F35="","",IFERROR(INDEX(TblABS[RAM par nœud (Go)],MATCH($F35,TblABS[Flavor],0)),"?"))</f>
        <v/>
      </c>
      <c r="J35" s="26" t="str">
        <f t="shared" si="0"/>
        <v/>
      </c>
      <c r="K35" s="26" t="str">
        <f t="shared" si="1"/>
        <v/>
      </c>
      <c r="L35" s="59">
        <v>3</v>
      </c>
      <c r="M35" s="26" t="str">
        <f t="shared" si="2"/>
        <v/>
      </c>
      <c r="N35" s="26" t="str">
        <f t="shared" si="3"/>
        <v/>
      </c>
      <c r="O35" s="65" t="str">
        <f>IF($F35="","",IFERROR(INDEX(TblABS[Tarif par nœud],MATCH($F35,TblABS[Flavor],0)),"?"))</f>
        <v/>
      </c>
      <c r="P35" s="59" t="s">
        <v>278</v>
      </c>
      <c r="Q35" s="26" t="str">
        <f>IF($B35="","",IF(OR($A35="",$E35="",$F35="",$G35="",$L35=""),IF(COUNTIFS(TblApplications[Cluster IKS source],$B35)+COUNTIFS(TblApplications[Cluster ROKS cible],$B35)=0,"À compléter : flavor / workers (info)","Données manquantes"),IF(AND($A35&lt;&gt;"IKS",$A35&lt;&gt;"ROKS"),"Plateforme invalide",IF(AND($E35&lt;&gt;"PRD",$E35&lt;&gt;"NPRD"),"Environnement invalide",IF(OR(NOT(ISNUMBER($G35)),NOT(ISNUMBER($L35))),"Workers non numérique",IF(OR($G35&lt;0,$L35&lt;0),"Valeur négative",IF(OR($G35&lt;&gt;INT($G35),$L35&lt;&gt;INT($L35)),"Workers non entier",IF(NOT(ISNUMBER($H35)),IF(COUNTIFS(TblApplications[Cluster IKS source],$B35)+COUNTIFS(TblApplications[Cluster ROKS cible],$B35)=0,"Flavor à corriger (info)","Flavor inconnu"),IF(AND(p_mode="Nœud",OR(NOT(ISNUMBER($O35)),$O35&lt;=0)),"Tarif du flavor manquant ou invalide",IF(COUNTIF(TblClusters[Cluster],$B35)&gt;1,"Cluster en doublon",IF($L35&gt;$G35,"Plancher &gt; capacité initiale",IF(AND($A35="ROKS",$G35&gt;p_maxworkers),"Workers &gt; max ROKS",IF(AND($A35="IKS",(SUMIFS(TblApplications[CPU IKS libérable (vCPU)],TblApplications[Cluster IKS source],$B35,TblApplications[Action],"À migrer")+SUMIFS(TblApplications[CPU IKS libérable (vCPU)],TblApplications[Cluster IKS source],$B35,TblApplications[Action],"À décommissionner"))&gt;$J35),"Libérations CPU &gt; capacité initiale",IF(AND($A35="IKS",(SUMIFS(TblApplications[RAM IKS libérable (Go)],TblApplications[Cluster IKS source],$B35,TblApplications[Action],"À migrer")+SUMIFS(TblApplications[RAM IKS libérable (Go)],TblApplications[Cluster IKS source],$B35,TblApplications[Action],"À décommissionner"))&gt;$K35),"Libérations RAM &gt; capacité initiale",IF(SUMIFS(TblCalculs[Alerte max workers],TblCalculs[Cluster],$B35)&gt;0,"Max workers ROKS dépassé ("&amp;SUMIFS(TblCalculs[Alerte max workers],TblCalculs[Cluster],$B35)&amp;" mois) : flavor plus gros ou second cluster",IF(SUMIFS(TblCalculs[Alerte plancher IKS],TblCalculs[Cluster],$B35)&gt;0,"Plancher IKS atteint ("&amp;SUMIFS(TblCalculs[Alerte plancher IKS],TblCalculs[Cluster],$B35)&amp;" mois) (info)",IF(AND($A35="IKS",ISNUMBER($R35),$R35&lt;_xlfn.MAXIFS(TblApplications[Mois lib (calc)],TblApplications[Cluster IKS source],$B35)),"Fermeture avant la dernière libération",IF(AND($R35&lt;&gt;"",OR($A35&lt;&gt;"IKS",NOT(ISNUMBER($R35)))),"Fermeture : IKS uniquement, date attendue","OK"))))))))))))))))))</f>
        <v>À compléter : flavor / workers (info)</v>
      </c>
      <c r="R35" s="61"/>
      <c r="S35" s="33" t="str">
        <f>IF(OR($B35="",$A35&lt;&gt;"IKS"),"",IF(ISNUMBER($R35),DATE(YEAR($R35),MONTH($R35),1),IF(p_fermauto&lt;&gt;"Oui","",IF(COUNTIFS(TblApplications[Cluster IKS source],$B35,TblApplications[Action],"À migrer")+COUNTIFS(TblApplications[Cluster IKS source],$B35,TblApplications[Action],"À décommissionner")=0,"",IF(COUNTIFS(TblApplications[Cluster IKS source],$B35,TblApplications[Action],"À migrer",TblApplications[Mois lib (calc)],"")+COUNTIFS(TblApplications[Cluster IKS source],$B35,TblApplications[Action],"À décommissionner",TblApplications[Mois lib (calc)],"")&gt;0,"",_xlfn.MAXIFS(TblApplications[Mois lib (calc)],TblApplications[Cluster IKS source],$B35))))))</f>
        <v/>
      </c>
      <c r="T35" s="26">
        <f>IF(OR($B35="",COUNTIFS($E35,ca_envc)=0),"",COUNTIFS($B$6:$B35,"&lt;&gt;",$E$6:$E35,ca_envc))</f>
        <v>30</v>
      </c>
      <c r="U35" s="26">
        <f>IF(OR($B35="",$A35&lt;&gt;"IKS",COUNTIFS($E35,ex_envc)=0),"",COUNTIFS($B$6:$B35,"&lt;&gt;",$A$6:$A35,"IKS",$E$6:$E35,ex_envc))</f>
        <v>9</v>
      </c>
      <c r="V35" s="35" t="str">
        <f>IF($B35="","",IFERROR((SUMIFS(TblApplications[CPU Dynatrace (vCPU)],TblApplications[Cluster IKS source],$B35)+SUMIFS(TblApplications[Besoin ROKS CPU (vCPU)],TblApplications[Cluster ROKS cible],$B35,TblApplications[Action],"Migré")+SUMIFS(TblApplications[Besoin ROKS CPU (vCPU)],TblApplications[Cluster ROKS cible],$B35,TblApplications[Action],"À migrer"))/$J35,""))</f>
        <v/>
      </c>
      <c r="W35" s="35" t="str">
        <f>IF($B35="","",IFERROR((SUMIFS(TblApplications[RAM Dynatrace (Go)],TblApplications[Cluster IKS source],$B35)+SUMIFS(TblApplications[Besoin ROKS RAM (Go)],TblApplications[Cluster ROKS cible],$B35,TblApplications[Action],"Migré")+SUMIFS(TblApplications[Besoin ROKS RAM (Go)],TblApplications[Cluster ROKS cible],$B35,TblApplications[Action],"À migrer"))/$K35,""))</f>
        <v/>
      </c>
      <c r="X35" s="26" t="str">
        <f t="shared" si="4"/>
        <v>OK</v>
      </c>
    </row>
    <row r="36" spans="1:24" x14ac:dyDescent="0.2">
      <c r="A36" s="59"/>
      <c r="B36" s="59"/>
      <c r="C36" s="59"/>
      <c r="D36" s="59"/>
      <c r="E36" s="59"/>
      <c r="F36" s="59"/>
      <c r="G36" s="59"/>
      <c r="H36" s="26" t="str">
        <f>IF($F36="","",IFERROR(INDEX(TblABS[vCPU par nœud],MATCH($F36,TblABS[Flavor],0)),"?"))</f>
        <v/>
      </c>
      <c r="I36" s="26" t="str">
        <f>IF($F36="","",IFERROR(INDEX(TblABS[RAM par nœud (Go)],MATCH($F36,TblABS[Flavor],0)),"?"))</f>
        <v/>
      </c>
      <c r="J36" s="26" t="str">
        <f t="shared" si="0"/>
        <v/>
      </c>
      <c r="K36" s="26" t="str">
        <f t="shared" si="1"/>
        <v/>
      </c>
      <c r="L36" s="59"/>
      <c r="M36" s="26" t="str">
        <f t="shared" si="2"/>
        <v/>
      </c>
      <c r="N36" s="26" t="str">
        <f t="shared" si="3"/>
        <v/>
      </c>
      <c r="O36" s="65" t="str">
        <f>IF($F36="","",IFERROR(INDEX(TblABS[Tarif par nœud],MATCH($F36,TblABS[Flavor],0)),"?"))</f>
        <v/>
      </c>
      <c r="P36" s="59"/>
      <c r="Q36" s="26" t="str">
        <f>IF($B36="","",IF(OR($A36="",$E36="",$F36="",$G36="",$L36=""),IF(COUNTIFS(TblApplications[Cluster IKS source],$B36)+COUNTIFS(TblApplications[Cluster ROKS cible],$B36)=0,"À compléter : flavor / workers (info)","Données manquantes"),IF(AND($A36&lt;&gt;"IKS",$A36&lt;&gt;"ROKS"),"Plateforme invalide",IF(AND($E36&lt;&gt;"PRD",$E36&lt;&gt;"NPRD"),"Environnement invalide",IF(OR(NOT(ISNUMBER($G36)),NOT(ISNUMBER($L36))),"Workers non numérique",IF(OR($G36&lt;0,$L36&lt;0),"Valeur négative",IF(OR($G36&lt;&gt;INT($G36),$L36&lt;&gt;INT($L36)),"Workers non entier",IF(NOT(ISNUMBER($H36)),IF(COUNTIFS(TblApplications[Cluster IKS source],$B36)+COUNTIFS(TblApplications[Cluster ROKS cible],$B36)=0,"Flavor à corriger (info)","Flavor inconnu"),IF(AND(p_mode="Nœud",OR(NOT(ISNUMBER($O36)),$O36&lt;=0)),"Tarif du flavor manquant ou invalide",IF(COUNTIF(TblClusters[Cluster],$B36)&gt;1,"Cluster en doublon",IF($L36&gt;$G36,"Plancher &gt; capacité initiale",IF(AND($A36="ROKS",$G36&gt;p_maxworkers),"Workers &gt; max ROKS",IF(AND($A36="IKS",(SUMIFS(TblApplications[CPU IKS libérable (vCPU)],TblApplications[Cluster IKS source],$B36,TblApplications[Action],"À migrer")+SUMIFS(TblApplications[CPU IKS libérable (vCPU)],TblApplications[Cluster IKS source],$B36,TblApplications[Action],"À décommissionner"))&gt;$J36),"Libérations CPU &gt; capacité initiale",IF(AND($A36="IKS",(SUMIFS(TblApplications[RAM IKS libérable (Go)],TblApplications[Cluster IKS source],$B36,TblApplications[Action],"À migrer")+SUMIFS(TblApplications[RAM IKS libérable (Go)],TblApplications[Cluster IKS source],$B36,TblApplications[Action],"À décommissionner"))&gt;$K36),"Libérations RAM &gt; capacité initiale",IF(SUMIFS(TblCalculs[Alerte max workers],TblCalculs[Cluster],$B36)&gt;0,"Max workers ROKS dépassé ("&amp;SUMIFS(TblCalculs[Alerte max workers],TblCalculs[Cluster],$B36)&amp;" mois) : flavor plus gros ou second cluster",IF(SUMIFS(TblCalculs[Alerte plancher IKS],TblCalculs[Cluster],$B36)&gt;0,"Plancher IKS atteint ("&amp;SUMIFS(TblCalculs[Alerte plancher IKS],TblCalculs[Cluster],$B36)&amp;" mois) (info)",IF(AND($A36="IKS",ISNUMBER($R36),$R36&lt;_xlfn.MAXIFS(TblApplications[Mois lib (calc)],TblApplications[Cluster IKS source],$B36)),"Fermeture avant la dernière libération",IF(AND($R36&lt;&gt;"",OR($A36&lt;&gt;"IKS",NOT(ISNUMBER($R36)))),"Fermeture : IKS uniquement, date attendue","OK"))))))))))))))))))</f>
        <v/>
      </c>
      <c r="R36" s="61"/>
      <c r="S36" s="33" t="str">
        <f>IF(OR($B36="",$A36&lt;&gt;"IKS"),"",IF(ISNUMBER($R36),DATE(YEAR($R36),MONTH($R36),1),IF(p_fermauto&lt;&gt;"Oui","",IF(COUNTIFS(TblApplications[Cluster IKS source],$B36,TblApplications[Action],"À migrer")+COUNTIFS(TblApplications[Cluster IKS source],$B36,TblApplications[Action],"À décommissionner")=0,"",IF(COUNTIFS(TblApplications[Cluster IKS source],$B36,TblApplications[Action],"À migrer",TblApplications[Mois lib (calc)],"")+COUNTIFS(TblApplications[Cluster IKS source],$B36,TblApplications[Action],"À décommissionner",TblApplications[Mois lib (calc)],"")&gt;0,"",_xlfn.MAXIFS(TblApplications[Mois lib (calc)],TblApplications[Cluster IKS source],$B36))))))</f>
        <v/>
      </c>
      <c r="T36" s="26" t="str">
        <f>IF(OR($B36="",COUNTIFS($E36,ca_envc)=0),"",COUNTIFS($B$6:$B36,"&lt;&gt;",$E$6:$E36,ca_envc))</f>
        <v/>
      </c>
      <c r="U36" s="26" t="str">
        <f>IF(OR($B36="",$A36&lt;&gt;"IKS",COUNTIFS($E36,ex_envc)=0),"",COUNTIFS($B$6:$B36,"&lt;&gt;",$A$6:$A36,"IKS",$E$6:$E36,ex_envc))</f>
        <v/>
      </c>
      <c r="V36" s="35" t="str">
        <f>IF($B36="","",IFERROR((SUMIFS(TblApplications[CPU Dynatrace (vCPU)],TblApplications[Cluster IKS source],$B36)+SUMIFS(TblApplications[Besoin ROKS CPU (vCPU)],TblApplications[Cluster ROKS cible],$B36,TblApplications[Action],"Migré")+SUMIFS(TblApplications[Besoin ROKS CPU (vCPU)],TblApplications[Cluster ROKS cible],$B36,TblApplications[Action],"À migrer"))/$J36,""))</f>
        <v/>
      </c>
      <c r="W36" s="35" t="str">
        <f>IF($B36="","",IFERROR((SUMIFS(TblApplications[RAM Dynatrace (Go)],TblApplications[Cluster IKS source],$B36)+SUMIFS(TblApplications[Besoin ROKS RAM (Go)],TblApplications[Cluster ROKS cible],$B36,TblApplications[Action],"Migré")+SUMIFS(TblApplications[Besoin ROKS RAM (Go)],TblApplications[Cluster ROKS cible],$B36,TblApplications[Action],"À migrer"))/$K36,""))</f>
        <v/>
      </c>
      <c r="X36" s="26" t="str">
        <f t="shared" si="4"/>
        <v/>
      </c>
    </row>
    <row r="37" spans="1:24" x14ac:dyDescent="0.2">
      <c r="A37" s="59"/>
      <c r="B37" s="59"/>
      <c r="C37" s="59"/>
      <c r="D37" s="59"/>
      <c r="E37" s="59"/>
      <c r="F37" s="59"/>
      <c r="G37" s="59"/>
      <c r="H37" s="26" t="str">
        <f>IF($F37="","",IFERROR(INDEX(TblABS[vCPU par nœud],MATCH($F37,TblABS[Flavor],0)),"?"))</f>
        <v/>
      </c>
      <c r="I37" s="26" t="str">
        <f>IF($F37="","",IFERROR(INDEX(TblABS[RAM par nœud (Go)],MATCH($F37,TblABS[Flavor],0)),"?"))</f>
        <v/>
      </c>
      <c r="J37" s="26" t="str">
        <f t="shared" si="0"/>
        <v/>
      </c>
      <c r="K37" s="26" t="str">
        <f t="shared" si="1"/>
        <v/>
      </c>
      <c r="L37" s="59"/>
      <c r="M37" s="26" t="str">
        <f t="shared" si="2"/>
        <v/>
      </c>
      <c r="N37" s="26" t="str">
        <f t="shared" si="3"/>
        <v/>
      </c>
      <c r="O37" s="65" t="str">
        <f>IF($F37="","",IFERROR(INDEX(TblABS[Tarif par nœud],MATCH($F37,TblABS[Flavor],0)),"?"))</f>
        <v/>
      </c>
      <c r="P37" s="59"/>
      <c r="Q37" s="26" t="str">
        <f>IF($B37="","",IF(OR($A37="",$E37="",$F37="",$G37="",$L37=""),IF(COUNTIFS(TblApplications[Cluster IKS source],$B37)+COUNTIFS(TblApplications[Cluster ROKS cible],$B37)=0,"À compléter : flavor / workers (info)","Données manquantes"),IF(AND($A37&lt;&gt;"IKS",$A37&lt;&gt;"ROKS"),"Plateforme invalide",IF(AND($E37&lt;&gt;"PRD",$E37&lt;&gt;"NPRD"),"Environnement invalide",IF(OR(NOT(ISNUMBER($G37)),NOT(ISNUMBER($L37))),"Workers non numérique",IF(OR($G37&lt;0,$L37&lt;0),"Valeur négative",IF(OR($G37&lt;&gt;INT($G37),$L37&lt;&gt;INT($L37)),"Workers non entier",IF(NOT(ISNUMBER($H37)),IF(COUNTIFS(TblApplications[Cluster IKS source],$B37)+COUNTIFS(TblApplications[Cluster ROKS cible],$B37)=0,"Flavor à corriger (info)","Flavor inconnu"),IF(AND(p_mode="Nœud",OR(NOT(ISNUMBER($O37)),$O37&lt;=0)),"Tarif du flavor manquant ou invalide",IF(COUNTIF(TblClusters[Cluster],$B37)&gt;1,"Cluster en doublon",IF($L37&gt;$G37,"Plancher &gt; capacité initiale",IF(AND($A37="ROKS",$G37&gt;p_maxworkers),"Workers &gt; max ROKS",IF(AND($A37="IKS",(SUMIFS(TblApplications[CPU IKS libérable (vCPU)],TblApplications[Cluster IKS source],$B37,TblApplications[Action],"À migrer")+SUMIFS(TblApplications[CPU IKS libérable (vCPU)],TblApplications[Cluster IKS source],$B37,TblApplications[Action],"À décommissionner"))&gt;$J37),"Libérations CPU &gt; capacité initiale",IF(AND($A37="IKS",(SUMIFS(TblApplications[RAM IKS libérable (Go)],TblApplications[Cluster IKS source],$B37,TblApplications[Action],"À migrer")+SUMIFS(TblApplications[RAM IKS libérable (Go)],TblApplications[Cluster IKS source],$B37,TblApplications[Action],"À décommissionner"))&gt;$K37),"Libérations RAM &gt; capacité initiale",IF(SUMIFS(TblCalculs[Alerte max workers],TblCalculs[Cluster],$B37)&gt;0,"Max workers ROKS dépassé ("&amp;SUMIFS(TblCalculs[Alerte max workers],TblCalculs[Cluster],$B37)&amp;" mois) : flavor plus gros ou second cluster",IF(SUMIFS(TblCalculs[Alerte plancher IKS],TblCalculs[Cluster],$B37)&gt;0,"Plancher IKS atteint ("&amp;SUMIFS(TblCalculs[Alerte plancher IKS],TblCalculs[Cluster],$B37)&amp;" mois) (info)",IF(AND($A37="IKS",ISNUMBER($R37),$R37&lt;_xlfn.MAXIFS(TblApplications[Mois lib (calc)],TblApplications[Cluster IKS source],$B37)),"Fermeture avant la dernière libération",IF(AND($R37&lt;&gt;"",OR($A37&lt;&gt;"IKS",NOT(ISNUMBER($R37)))),"Fermeture : IKS uniquement, date attendue","OK"))))))))))))))))))</f>
        <v/>
      </c>
      <c r="R37" s="61"/>
      <c r="S37" s="33" t="str">
        <f>IF(OR($B37="",$A37&lt;&gt;"IKS"),"",IF(ISNUMBER($R37),DATE(YEAR($R37),MONTH($R37),1),IF(p_fermauto&lt;&gt;"Oui","",IF(COUNTIFS(TblApplications[Cluster IKS source],$B37,TblApplications[Action],"À migrer")+COUNTIFS(TblApplications[Cluster IKS source],$B37,TblApplications[Action],"À décommissionner")=0,"",IF(COUNTIFS(TblApplications[Cluster IKS source],$B37,TblApplications[Action],"À migrer",TblApplications[Mois lib (calc)],"")+COUNTIFS(TblApplications[Cluster IKS source],$B37,TblApplications[Action],"À décommissionner",TblApplications[Mois lib (calc)],"")&gt;0,"",_xlfn.MAXIFS(TblApplications[Mois lib (calc)],TblApplications[Cluster IKS source],$B37))))))</f>
        <v/>
      </c>
      <c r="T37" s="26" t="str">
        <f>IF(OR($B37="",COUNTIFS($E37,ca_envc)=0),"",COUNTIFS($B$6:$B37,"&lt;&gt;",$E$6:$E37,ca_envc))</f>
        <v/>
      </c>
      <c r="U37" s="26" t="str">
        <f>IF(OR($B37="",$A37&lt;&gt;"IKS",COUNTIFS($E37,ex_envc)=0),"",COUNTIFS($B$6:$B37,"&lt;&gt;",$A$6:$A37,"IKS",$E$6:$E37,ex_envc))</f>
        <v/>
      </c>
      <c r="V37" s="35" t="str">
        <f>IF($B37="","",IFERROR((SUMIFS(TblApplications[CPU Dynatrace (vCPU)],TblApplications[Cluster IKS source],$B37)+SUMIFS(TblApplications[Besoin ROKS CPU (vCPU)],TblApplications[Cluster ROKS cible],$B37,TblApplications[Action],"Migré")+SUMIFS(TblApplications[Besoin ROKS CPU (vCPU)],TblApplications[Cluster ROKS cible],$B37,TblApplications[Action],"À migrer"))/$J37,""))</f>
        <v/>
      </c>
      <c r="W37" s="35" t="str">
        <f>IF($B37="","",IFERROR((SUMIFS(TblApplications[RAM Dynatrace (Go)],TblApplications[Cluster IKS source],$B37)+SUMIFS(TblApplications[Besoin ROKS RAM (Go)],TblApplications[Cluster ROKS cible],$B37,TblApplications[Action],"Migré")+SUMIFS(TblApplications[Besoin ROKS RAM (Go)],TblApplications[Cluster ROKS cible],$B37,TblApplications[Action],"À migrer"))/$K37,""))</f>
        <v/>
      </c>
      <c r="X37" s="26" t="str">
        <f t="shared" si="4"/>
        <v/>
      </c>
    </row>
    <row r="38" spans="1:24" x14ac:dyDescent="0.2">
      <c r="A38" s="59"/>
      <c r="B38" s="59"/>
      <c r="C38" s="59"/>
      <c r="D38" s="59"/>
      <c r="E38" s="59"/>
      <c r="F38" s="59"/>
      <c r="G38" s="59"/>
      <c r="H38" s="26" t="str">
        <f>IF($F38="","",IFERROR(INDEX(TblABS[vCPU par nœud],MATCH($F38,TblABS[Flavor],0)),"?"))</f>
        <v/>
      </c>
      <c r="I38" s="26" t="str">
        <f>IF($F38="","",IFERROR(INDEX(TblABS[RAM par nœud (Go)],MATCH($F38,TblABS[Flavor],0)),"?"))</f>
        <v/>
      </c>
      <c r="J38" s="26" t="str">
        <f t="shared" si="0"/>
        <v/>
      </c>
      <c r="K38" s="26" t="str">
        <f t="shared" si="1"/>
        <v/>
      </c>
      <c r="L38" s="59"/>
      <c r="M38" s="26" t="str">
        <f t="shared" si="2"/>
        <v/>
      </c>
      <c r="N38" s="26" t="str">
        <f t="shared" si="3"/>
        <v/>
      </c>
      <c r="O38" s="65" t="str">
        <f>IF($F38="","",IFERROR(INDEX(TblABS[Tarif par nœud],MATCH($F38,TblABS[Flavor],0)),"?"))</f>
        <v/>
      </c>
      <c r="P38" s="59"/>
      <c r="Q38" s="26" t="str">
        <f>IF($B38="","",IF(OR($A38="",$E38="",$F38="",$G38="",$L38=""),IF(COUNTIFS(TblApplications[Cluster IKS source],$B38)+COUNTIFS(TblApplications[Cluster ROKS cible],$B38)=0,"À compléter : flavor / workers (info)","Données manquantes"),IF(AND($A38&lt;&gt;"IKS",$A38&lt;&gt;"ROKS"),"Plateforme invalide",IF(AND($E38&lt;&gt;"PRD",$E38&lt;&gt;"NPRD"),"Environnement invalide",IF(OR(NOT(ISNUMBER($G38)),NOT(ISNUMBER($L38))),"Workers non numérique",IF(OR($G38&lt;0,$L38&lt;0),"Valeur négative",IF(OR($G38&lt;&gt;INT($G38),$L38&lt;&gt;INT($L38)),"Workers non entier",IF(NOT(ISNUMBER($H38)),IF(COUNTIFS(TblApplications[Cluster IKS source],$B38)+COUNTIFS(TblApplications[Cluster ROKS cible],$B38)=0,"Flavor à corriger (info)","Flavor inconnu"),IF(AND(p_mode="Nœud",OR(NOT(ISNUMBER($O38)),$O38&lt;=0)),"Tarif du flavor manquant ou invalide",IF(COUNTIF(TblClusters[Cluster],$B38)&gt;1,"Cluster en doublon",IF($L38&gt;$G38,"Plancher &gt; capacité initiale",IF(AND($A38="ROKS",$G38&gt;p_maxworkers),"Workers &gt; max ROKS",IF(AND($A38="IKS",(SUMIFS(TblApplications[CPU IKS libérable (vCPU)],TblApplications[Cluster IKS source],$B38,TblApplications[Action],"À migrer")+SUMIFS(TblApplications[CPU IKS libérable (vCPU)],TblApplications[Cluster IKS source],$B38,TblApplications[Action],"À décommissionner"))&gt;$J38),"Libérations CPU &gt; capacité initiale",IF(AND($A38="IKS",(SUMIFS(TblApplications[RAM IKS libérable (Go)],TblApplications[Cluster IKS source],$B38,TblApplications[Action],"À migrer")+SUMIFS(TblApplications[RAM IKS libérable (Go)],TblApplications[Cluster IKS source],$B38,TblApplications[Action],"À décommissionner"))&gt;$K38),"Libérations RAM &gt; capacité initiale",IF(SUMIFS(TblCalculs[Alerte max workers],TblCalculs[Cluster],$B38)&gt;0,"Max workers ROKS dépassé ("&amp;SUMIFS(TblCalculs[Alerte max workers],TblCalculs[Cluster],$B38)&amp;" mois) : flavor plus gros ou second cluster",IF(SUMIFS(TblCalculs[Alerte plancher IKS],TblCalculs[Cluster],$B38)&gt;0,"Plancher IKS atteint ("&amp;SUMIFS(TblCalculs[Alerte plancher IKS],TblCalculs[Cluster],$B38)&amp;" mois) (info)",IF(AND($A38="IKS",ISNUMBER($R38),$R38&lt;_xlfn.MAXIFS(TblApplications[Mois lib (calc)],TblApplications[Cluster IKS source],$B38)),"Fermeture avant la dernière libération",IF(AND($R38&lt;&gt;"",OR($A38&lt;&gt;"IKS",NOT(ISNUMBER($R38)))),"Fermeture : IKS uniquement, date attendue","OK"))))))))))))))))))</f>
        <v/>
      </c>
      <c r="R38" s="61"/>
      <c r="S38" s="33" t="str">
        <f>IF(OR($B38="",$A38&lt;&gt;"IKS"),"",IF(ISNUMBER($R38),DATE(YEAR($R38),MONTH($R38),1),IF(p_fermauto&lt;&gt;"Oui","",IF(COUNTIFS(TblApplications[Cluster IKS source],$B38,TblApplications[Action],"À migrer")+COUNTIFS(TblApplications[Cluster IKS source],$B38,TblApplications[Action],"À décommissionner")=0,"",IF(COUNTIFS(TblApplications[Cluster IKS source],$B38,TblApplications[Action],"À migrer",TblApplications[Mois lib (calc)],"")+COUNTIFS(TblApplications[Cluster IKS source],$B38,TblApplications[Action],"À décommissionner",TblApplications[Mois lib (calc)],"")&gt;0,"",_xlfn.MAXIFS(TblApplications[Mois lib (calc)],TblApplications[Cluster IKS source],$B38))))))</f>
        <v/>
      </c>
      <c r="T38" s="26" t="str">
        <f>IF(OR($B38="",COUNTIFS($E38,ca_envc)=0),"",COUNTIFS($B$6:$B38,"&lt;&gt;",$E$6:$E38,ca_envc))</f>
        <v/>
      </c>
      <c r="U38" s="26" t="str">
        <f>IF(OR($B38="",$A38&lt;&gt;"IKS",COUNTIFS($E38,ex_envc)=0),"",COUNTIFS($B$6:$B38,"&lt;&gt;",$A$6:$A38,"IKS",$E$6:$E38,ex_envc))</f>
        <v/>
      </c>
      <c r="V38" s="35" t="str">
        <f>IF($B38="","",IFERROR((SUMIFS(TblApplications[CPU Dynatrace (vCPU)],TblApplications[Cluster IKS source],$B38)+SUMIFS(TblApplications[Besoin ROKS CPU (vCPU)],TblApplications[Cluster ROKS cible],$B38,TblApplications[Action],"Migré")+SUMIFS(TblApplications[Besoin ROKS CPU (vCPU)],TblApplications[Cluster ROKS cible],$B38,TblApplications[Action],"À migrer"))/$J38,""))</f>
        <v/>
      </c>
      <c r="W38" s="35" t="str">
        <f>IF($B38="","",IFERROR((SUMIFS(TblApplications[RAM Dynatrace (Go)],TblApplications[Cluster IKS source],$B38)+SUMIFS(TblApplications[Besoin ROKS RAM (Go)],TblApplications[Cluster ROKS cible],$B38,TblApplications[Action],"Migré")+SUMIFS(TblApplications[Besoin ROKS RAM (Go)],TblApplications[Cluster ROKS cible],$B38,TblApplications[Action],"À migrer"))/$K38,""))</f>
        <v/>
      </c>
      <c r="X38" s="26" t="str">
        <f t="shared" si="4"/>
        <v/>
      </c>
    </row>
    <row r="39" spans="1:24" x14ac:dyDescent="0.2">
      <c r="A39" s="59"/>
      <c r="B39" s="59"/>
      <c r="C39" s="59"/>
      <c r="D39" s="59"/>
      <c r="E39" s="59"/>
      <c r="F39" s="59"/>
      <c r="G39" s="59"/>
      <c r="H39" s="26" t="str">
        <f>IF($F39="","",IFERROR(INDEX(TblABS[vCPU par nœud],MATCH($F39,TblABS[Flavor],0)),"?"))</f>
        <v/>
      </c>
      <c r="I39" s="26" t="str">
        <f>IF($F39="","",IFERROR(INDEX(TblABS[RAM par nœud (Go)],MATCH($F39,TblABS[Flavor],0)),"?"))</f>
        <v/>
      </c>
      <c r="J39" s="26" t="str">
        <f t="shared" si="0"/>
        <v/>
      </c>
      <c r="K39" s="26" t="str">
        <f t="shared" si="1"/>
        <v/>
      </c>
      <c r="L39" s="59"/>
      <c r="M39" s="26" t="str">
        <f t="shared" si="2"/>
        <v/>
      </c>
      <c r="N39" s="26" t="str">
        <f t="shared" si="3"/>
        <v/>
      </c>
      <c r="O39" s="65" t="str">
        <f>IF($F39="","",IFERROR(INDEX(TblABS[Tarif par nœud],MATCH($F39,TblABS[Flavor],0)),"?"))</f>
        <v/>
      </c>
      <c r="P39" s="59"/>
      <c r="Q39" s="26" t="str">
        <f>IF($B39="","",IF(OR($A39="",$E39="",$F39="",$G39="",$L39=""),IF(COUNTIFS(TblApplications[Cluster IKS source],$B39)+COUNTIFS(TblApplications[Cluster ROKS cible],$B39)=0,"À compléter : flavor / workers (info)","Données manquantes"),IF(AND($A39&lt;&gt;"IKS",$A39&lt;&gt;"ROKS"),"Plateforme invalide",IF(AND($E39&lt;&gt;"PRD",$E39&lt;&gt;"NPRD"),"Environnement invalide",IF(OR(NOT(ISNUMBER($G39)),NOT(ISNUMBER($L39))),"Workers non numérique",IF(OR($G39&lt;0,$L39&lt;0),"Valeur négative",IF(OR($G39&lt;&gt;INT($G39),$L39&lt;&gt;INT($L39)),"Workers non entier",IF(NOT(ISNUMBER($H39)),IF(COUNTIFS(TblApplications[Cluster IKS source],$B39)+COUNTIFS(TblApplications[Cluster ROKS cible],$B39)=0,"Flavor à corriger (info)","Flavor inconnu"),IF(AND(p_mode="Nœud",OR(NOT(ISNUMBER($O39)),$O39&lt;=0)),"Tarif du flavor manquant ou invalide",IF(COUNTIF(TblClusters[Cluster],$B39)&gt;1,"Cluster en doublon",IF($L39&gt;$G39,"Plancher &gt; capacité initiale",IF(AND($A39="ROKS",$G39&gt;p_maxworkers),"Workers &gt; max ROKS",IF(AND($A39="IKS",(SUMIFS(TblApplications[CPU IKS libérable (vCPU)],TblApplications[Cluster IKS source],$B39,TblApplications[Action],"À migrer")+SUMIFS(TblApplications[CPU IKS libérable (vCPU)],TblApplications[Cluster IKS source],$B39,TblApplications[Action],"À décommissionner"))&gt;$J39),"Libérations CPU &gt; capacité initiale",IF(AND($A39="IKS",(SUMIFS(TblApplications[RAM IKS libérable (Go)],TblApplications[Cluster IKS source],$B39,TblApplications[Action],"À migrer")+SUMIFS(TblApplications[RAM IKS libérable (Go)],TblApplications[Cluster IKS source],$B39,TblApplications[Action],"À décommissionner"))&gt;$K39),"Libérations RAM &gt; capacité initiale",IF(SUMIFS(TblCalculs[Alerte max workers],TblCalculs[Cluster],$B39)&gt;0,"Max workers ROKS dépassé ("&amp;SUMIFS(TblCalculs[Alerte max workers],TblCalculs[Cluster],$B39)&amp;" mois) : flavor plus gros ou second cluster",IF(SUMIFS(TblCalculs[Alerte plancher IKS],TblCalculs[Cluster],$B39)&gt;0,"Plancher IKS atteint ("&amp;SUMIFS(TblCalculs[Alerte plancher IKS],TblCalculs[Cluster],$B39)&amp;" mois) (info)",IF(AND($A39="IKS",ISNUMBER($R39),$R39&lt;_xlfn.MAXIFS(TblApplications[Mois lib (calc)],TblApplications[Cluster IKS source],$B39)),"Fermeture avant la dernière libération",IF(AND($R39&lt;&gt;"",OR($A39&lt;&gt;"IKS",NOT(ISNUMBER($R39)))),"Fermeture : IKS uniquement, date attendue","OK"))))))))))))))))))</f>
        <v/>
      </c>
      <c r="R39" s="61"/>
      <c r="S39" s="33" t="str">
        <f>IF(OR($B39="",$A39&lt;&gt;"IKS"),"",IF(ISNUMBER($R39),DATE(YEAR($R39),MONTH($R39),1),IF(p_fermauto&lt;&gt;"Oui","",IF(COUNTIFS(TblApplications[Cluster IKS source],$B39,TblApplications[Action],"À migrer")+COUNTIFS(TblApplications[Cluster IKS source],$B39,TblApplications[Action],"À décommissionner")=0,"",IF(COUNTIFS(TblApplications[Cluster IKS source],$B39,TblApplications[Action],"À migrer",TblApplications[Mois lib (calc)],"")+COUNTIFS(TblApplications[Cluster IKS source],$B39,TblApplications[Action],"À décommissionner",TblApplications[Mois lib (calc)],"")&gt;0,"",_xlfn.MAXIFS(TblApplications[Mois lib (calc)],TblApplications[Cluster IKS source],$B39))))))</f>
        <v/>
      </c>
      <c r="T39" s="26" t="str">
        <f>IF(OR($B39="",COUNTIFS($E39,ca_envc)=0),"",COUNTIFS($B$6:$B39,"&lt;&gt;",$E$6:$E39,ca_envc))</f>
        <v/>
      </c>
      <c r="U39" s="26" t="str">
        <f>IF(OR($B39="",$A39&lt;&gt;"IKS",COUNTIFS($E39,ex_envc)=0),"",COUNTIFS($B$6:$B39,"&lt;&gt;",$A$6:$A39,"IKS",$E$6:$E39,ex_envc))</f>
        <v/>
      </c>
      <c r="V39" s="35" t="str">
        <f>IF($B39="","",IFERROR((SUMIFS(TblApplications[CPU Dynatrace (vCPU)],TblApplications[Cluster IKS source],$B39)+SUMIFS(TblApplications[Besoin ROKS CPU (vCPU)],TblApplications[Cluster ROKS cible],$B39,TblApplications[Action],"Migré")+SUMIFS(TblApplications[Besoin ROKS CPU (vCPU)],TblApplications[Cluster ROKS cible],$B39,TblApplications[Action],"À migrer"))/$J39,""))</f>
        <v/>
      </c>
      <c r="W39" s="35" t="str">
        <f>IF($B39="","",IFERROR((SUMIFS(TblApplications[RAM Dynatrace (Go)],TblApplications[Cluster IKS source],$B39)+SUMIFS(TblApplications[Besoin ROKS RAM (Go)],TblApplications[Cluster ROKS cible],$B39,TblApplications[Action],"Migré")+SUMIFS(TblApplications[Besoin ROKS RAM (Go)],TblApplications[Cluster ROKS cible],$B39,TblApplications[Action],"À migrer"))/$K39,""))</f>
        <v/>
      </c>
      <c r="X39" s="26" t="str">
        <f t="shared" si="4"/>
        <v/>
      </c>
    </row>
    <row r="40" spans="1:24" x14ac:dyDescent="0.2">
      <c r="A40" s="59"/>
      <c r="B40" s="59"/>
      <c r="C40" s="59"/>
      <c r="D40" s="59"/>
      <c r="E40" s="59"/>
      <c r="F40" s="59"/>
      <c r="G40" s="59"/>
      <c r="H40" s="26" t="str">
        <f>IF($F40="","",IFERROR(INDEX(TblABS[vCPU par nœud],MATCH($F40,TblABS[Flavor],0)),"?"))</f>
        <v/>
      </c>
      <c r="I40" s="26" t="str">
        <f>IF($F40="","",IFERROR(INDEX(TblABS[RAM par nœud (Go)],MATCH($F40,TblABS[Flavor],0)),"?"))</f>
        <v/>
      </c>
      <c r="J40" s="26" t="str">
        <f t="shared" si="0"/>
        <v/>
      </c>
      <c r="K40" s="26" t="str">
        <f t="shared" si="1"/>
        <v/>
      </c>
      <c r="L40" s="59"/>
      <c r="M40" s="26" t="str">
        <f t="shared" si="2"/>
        <v/>
      </c>
      <c r="N40" s="26" t="str">
        <f t="shared" si="3"/>
        <v/>
      </c>
      <c r="O40" s="65" t="str">
        <f>IF($F40="","",IFERROR(INDEX(TblABS[Tarif par nœud],MATCH($F40,TblABS[Flavor],0)),"?"))</f>
        <v/>
      </c>
      <c r="P40" s="59"/>
      <c r="Q40" s="26" t="str">
        <f>IF($B40="","",IF(OR($A40="",$E40="",$F40="",$G40="",$L40=""),IF(COUNTIFS(TblApplications[Cluster IKS source],$B40)+COUNTIFS(TblApplications[Cluster ROKS cible],$B40)=0,"À compléter : flavor / workers (info)","Données manquantes"),IF(AND($A40&lt;&gt;"IKS",$A40&lt;&gt;"ROKS"),"Plateforme invalide",IF(AND($E40&lt;&gt;"PRD",$E40&lt;&gt;"NPRD"),"Environnement invalide",IF(OR(NOT(ISNUMBER($G40)),NOT(ISNUMBER($L40))),"Workers non numérique",IF(OR($G40&lt;0,$L40&lt;0),"Valeur négative",IF(OR($G40&lt;&gt;INT($G40),$L40&lt;&gt;INT($L40)),"Workers non entier",IF(NOT(ISNUMBER($H40)),IF(COUNTIFS(TblApplications[Cluster IKS source],$B40)+COUNTIFS(TblApplications[Cluster ROKS cible],$B40)=0,"Flavor à corriger (info)","Flavor inconnu"),IF(AND(p_mode="Nœud",OR(NOT(ISNUMBER($O40)),$O40&lt;=0)),"Tarif du flavor manquant ou invalide",IF(COUNTIF(TblClusters[Cluster],$B40)&gt;1,"Cluster en doublon",IF($L40&gt;$G40,"Plancher &gt; capacité initiale",IF(AND($A40="ROKS",$G40&gt;p_maxworkers),"Workers &gt; max ROKS",IF(AND($A40="IKS",(SUMIFS(TblApplications[CPU IKS libérable (vCPU)],TblApplications[Cluster IKS source],$B40,TblApplications[Action],"À migrer")+SUMIFS(TblApplications[CPU IKS libérable (vCPU)],TblApplications[Cluster IKS source],$B40,TblApplications[Action],"À décommissionner"))&gt;$J40),"Libérations CPU &gt; capacité initiale",IF(AND($A40="IKS",(SUMIFS(TblApplications[RAM IKS libérable (Go)],TblApplications[Cluster IKS source],$B40,TblApplications[Action],"À migrer")+SUMIFS(TblApplications[RAM IKS libérable (Go)],TblApplications[Cluster IKS source],$B40,TblApplications[Action],"À décommissionner"))&gt;$K40),"Libérations RAM &gt; capacité initiale",IF(SUMIFS(TblCalculs[Alerte max workers],TblCalculs[Cluster],$B40)&gt;0,"Max workers ROKS dépassé ("&amp;SUMIFS(TblCalculs[Alerte max workers],TblCalculs[Cluster],$B40)&amp;" mois) : flavor plus gros ou second cluster",IF(SUMIFS(TblCalculs[Alerte plancher IKS],TblCalculs[Cluster],$B40)&gt;0,"Plancher IKS atteint ("&amp;SUMIFS(TblCalculs[Alerte plancher IKS],TblCalculs[Cluster],$B40)&amp;" mois) (info)",IF(AND($A40="IKS",ISNUMBER($R40),$R40&lt;_xlfn.MAXIFS(TblApplications[Mois lib (calc)],TblApplications[Cluster IKS source],$B40)),"Fermeture avant la dernière libération",IF(AND($R40&lt;&gt;"",OR($A40&lt;&gt;"IKS",NOT(ISNUMBER($R40)))),"Fermeture : IKS uniquement, date attendue","OK"))))))))))))))))))</f>
        <v/>
      </c>
      <c r="R40" s="61"/>
      <c r="S40" s="33" t="str">
        <f>IF(OR($B40="",$A40&lt;&gt;"IKS"),"",IF(ISNUMBER($R40),DATE(YEAR($R40),MONTH($R40),1),IF(p_fermauto&lt;&gt;"Oui","",IF(COUNTIFS(TblApplications[Cluster IKS source],$B40,TblApplications[Action],"À migrer")+COUNTIFS(TblApplications[Cluster IKS source],$B40,TblApplications[Action],"À décommissionner")=0,"",IF(COUNTIFS(TblApplications[Cluster IKS source],$B40,TblApplications[Action],"À migrer",TblApplications[Mois lib (calc)],"")+COUNTIFS(TblApplications[Cluster IKS source],$B40,TblApplications[Action],"À décommissionner",TblApplications[Mois lib (calc)],"")&gt;0,"",_xlfn.MAXIFS(TblApplications[Mois lib (calc)],TblApplications[Cluster IKS source],$B40))))))</f>
        <v/>
      </c>
      <c r="T40" s="26" t="str">
        <f>IF(OR($B40="",COUNTIFS($E40,ca_envc)=0),"",COUNTIFS($B$6:$B40,"&lt;&gt;",$E$6:$E40,ca_envc))</f>
        <v/>
      </c>
      <c r="U40" s="26" t="str">
        <f>IF(OR($B40="",$A40&lt;&gt;"IKS",COUNTIFS($E40,ex_envc)=0),"",COUNTIFS($B$6:$B40,"&lt;&gt;",$A$6:$A40,"IKS",$E$6:$E40,ex_envc))</f>
        <v/>
      </c>
      <c r="V40" s="35" t="str">
        <f>IF($B40="","",IFERROR((SUMIFS(TblApplications[CPU Dynatrace (vCPU)],TblApplications[Cluster IKS source],$B40)+SUMIFS(TblApplications[Besoin ROKS CPU (vCPU)],TblApplications[Cluster ROKS cible],$B40,TblApplications[Action],"Migré")+SUMIFS(TblApplications[Besoin ROKS CPU (vCPU)],TblApplications[Cluster ROKS cible],$B40,TblApplications[Action],"À migrer"))/$J40,""))</f>
        <v/>
      </c>
      <c r="W40" s="35" t="str">
        <f>IF($B40="","",IFERROR((SUMIFS(TblApplications[RAM Dynatrace (Go)],TblApplications[Cluster IKS source],$B40)+SUMIFS(TblApplications[Besoin ROKS RAM (Go)],TblApplications[Cluster ROKS cible],$B40,TblApplications[Action],"Migré")+SUMIFS(TblApplications[Besoin ROKS RAM (Go)],TblApplications[Cluster ROKS cible],$B40,TblApplications[Action],"À migrer"))/$K40,""))</f>
        <v/>
      </c>
      <c r="X40" s="26" t="str">
        <f t="shared" si="4"/>
        <v/>
      </c>
    </row>
    <row r="41" spans="1:24" x14ac:dyDescent="0.2">
      <c r="A41" s="59"/>
      <c r="B41" s="59"/>
      <c r="C41" s="59"/>
      <c r="D41" s="59"/>
      <c r="E41" s="59"/>
      <c r="F41" s="59"/>
      <c r="G41" s="59"/>
      <c r="H41" s="26" t="str">
        <f>IF($F41="","",IFERROR(INDEX(TblABS[vCPU par nœud],MATCH($F41,TblABS[Flavor],0)),"?"))</f>
        <v/>
      </c>
      <c r="I41" s="26" t="str">
        <f>IF($F41="","",IFERROR(INDEX(TblABS[RAM par nœud (Go)],MATCH($F41,TblABS[Flavor],0)),"?"))</f>
        <v/>
      </c>
      <c r="J41" s="26" t="str">
        <f t="shared" si="0"/>
        <v/>
      </c>
      <c r="K41" s="26" t="str">
        <f t="shared" si="1"/>
        <v/>
      </c>
      <c r="L41" s="59"/>
      <c r="M41" s="26" t="str">
        <f t="shared" si="2"/>
        <v/>
      </c>
      <c r="N41" s="26" t="str">
        <f t="shared" si="3"/>
        <v/>
      </c>
      <c r="O41" s="65" t="str">
        <f>IF($F41="","",IFERROR(INDEX(TblABS[Tarif par nœud],MATCH($F41,TblABS[Flavor],0)),"?"))</f>
        <v/>
      </c>
      <c r="P41" s="59"/>
      <c r="Q41" s="26" t="str">
        <f>IF($B41="","",IF(OR($A41="",$E41="",$F41="",$G41="",$L41=""),IF(COUNTIFS(TblApplications[Cluster IKS source],$B41)+COUNTIFS(TblApplications[Cluster ROKS cible],$B41)=0,"À compléter : flavor / workers (info)","Données manquantes"),IF(AND($A41&lt;&gt;"IKS",$A41&lt;&gt;"ROKS"),"Plateforme invalide",IF(AND($E41&lt;&gt;"PRD",$E41&lt;&gt;"NPRD"),"Environnement invalide",IF(OR(NOT(ISNUMBER($G41)),NOT(ISNUMBER($L41))),"Workers non numérique",IF(OR($G41&lt;0,$L41&lt;0),"Valeur négative",IF(OR($G41&lt;&gt;INT($G41),$L41&lt;&gt;INT($L41)),"Workers non entier",IF(NOT(ISNUMBER($H41)),IF(COUNTIFS(TblApplications[Cluster IKS source],$B41)+COUNTIFS(TblApplications[Cluster ROKS cible],$B41)=0,"Flavor à corriger (info)","Flavor inconnu"),IF(AND(p_mode="Nœud",OR(NOT(ISNUMBER($O41)),$O41&lt;=0)),"Tarif du flavor manquant ou invalide",IF(COUNTIF(TblClusters[Cluster],$B41)&gt;1,"Cluster en doublon",IF($L41&gt;$G41,"Plancher &gt; capacité initiale",IF(AND($A41="ROKS",$G41&gt;p_maxworkers),"Workers &gt; max ROKS",IF(AND($A41="IKS",(SUMIFS(TblApplications[CPU IKS libérable (vCPU)],TblApplications[Cluster IKS source],$B41,TblApplications[Action],"À migrer")+SUMIFS(TblApplications[CPU IKS libérable (vCPU)],TblApplications[Cluster IKS source],$B41,TblApplications[Action],"À décommissionner"))&gt;$J41),"Libérations CPU &gt; capacité initiale",IF(AND($A41="IKS",(SUMIFS(TblApplications[RAM IKS libérable (Go)],TblApplications[Cluster IKS source],$B41,TblApplications[Action],"À migrer")+SUMIFS(TblApplications[RAM IKS libérable (Go)],TblApplications[Cluster IKS source],$B41,TblApplications[Action],"À décommissionner"))&gt;$K41),"Libérations RAM &gt; capacité initiale",IF(SUMIFS(TblCalculs[Alerte max workers],TblCalculs[Cluster],$B41)&gt;0,"Max workers ROKS dépassé ("&amp;SUMIFS(TblCalculs[Alerte max workers],TblCalculs[Cluster],$B41)&amp;" mois) : flavor plus gros ou second cluster",IF(SUMIFS(TblCalculs[Alerte plancher IKS],TblCalculs[Cluster],$B41)&gt;0,"Plancher IKS atteint ("&amp;SUMIFS(TblCalculs[Alerte plancher IKS],TblCalculs[Cluster],$B41)&amp;" mois) (info)",IF(AND($A41="IKS",ISNUMBER($R41),$R41&lt;_xlfn.MAXIFS(TblApplications[Mois lib (calc)],TblApplications[Cluster IKS source],$B41)),"Fermeture avant la dernière libération",IF(AND($R41&lt;&gt;"",OR($A41&lt;&gt;"IKS",NOT(ISNUMBER($R41)))),"Fermeture : IKS uniquement, date attendue","OK"))))))))))))))))))</f>
        <v/>
      </c>
      <c r="R41" s="61"/>
      <c r="S41" s="33" t="str">
        <f>IF(OR($B41="",$A41&lt;&gt;"IKS"),"",IF(ISNUMBER($R41),DATE(YEAR($R41),MONTH($R41),1),IF(p_fermauto&lt;&gt;"Oui","",IF(COUNTIFS(TblApplications[Cluster IKS source],$B41,TblApplications[Action],"À migrer")+COUNTIFS(TblApplications[Cluster IKS source],$B41,TblApplications[Action],"À décommissionner")=0,"",IF(COUNTIFS(TblApplications[Cluster IKS source],$B41,TblApplications[Action],"À migrer",TblApplications[Mois lib (calc)],"")+COUNTIFS(TblApplications[Cluster IKS source],$B41,TblApplications[Action],"À décommissionner",TblApplications[Mois lib (calc)],"")&gt;0,"",_xlfn.MAXIFS(TblApplications[Mois lib (calc)],TblApplications[Cluster IKS source],$B41))))))</f>
        <v/>
      </c>
      <c r="T41" s="26" t="str">
        <f>IF(OR($B41="",COUNTIFS($E41,ca_envc)=0),"",COUNTIFS($B$6:$B41,"&lt;&gt;",$E$6:$E41,ca_envc))</f>
        <v/>
      </c>
      <c r="U41" s="26" t="str">
        <f>IF(OR($B41="",$A41&lt;&gt;"IKS",COUNTIFS($E41,ex_envc)=0),"",COUNTIFS($B$6:$B41,"&lt;&gt;",$A$6:$A41,"IKS",$E$6:$E41,ex_envc))</f>
        <v/>
      </c>
      <c r="V41" s="35" t="str">
        <f>IF($B41="","",IFERROR((SUMIFS(TblApplications[CPU Dynatrace (vCPU)],TblApplications[Cluster IKS source],$B41)+SUMIFS(TblApplications[Besoin ROKS CPU (vCPU)],TblApplications[Cluster ROKS cible],$B41,TblApplications[Action],"Migré")+SUMIFS(TblApplications[Besoin ROKS CPU (vCPU)],TblApplications[Cluster ROKS cible],$B41,TblApplications[Action],"À migrer"))/$J41,""))</f>
        <v/>
      </c>
      <c r="W41" s="35" t="str">
        <f>IF($B41="","",IFERROR((SUMIFS(TblApplications[RAM Dynatrace (Go)],TblApplications[Cluster IKS source],$B41)+SUMIFS(TblApplications[Besoin ROKS RAM (Go)],TblApplications[Cluster ROKS cible],$B41,TblApplications[Action],"Migré")+SUMIFS(TblApplications[Besoin ROKS RAM (Go)],TblApplications[Cluster ROKS cible],$B41,TblApplications[Action],"À migrer"))/$K41,""))</f>
        <v/>
      </c>
      <c r="X41" s="26" t="str">
        <f t="shared" si="4"/>
        <v/>
      </c>
    </row>
    <row r="42" spans="1:24" x14ac:dyDescent="0.2">
      <c r="A42" s="59"/>
      <c r="B42" s="59"/>
      <c r="C42" s="59"/>
      <c r="D42" s="59"/>
      <c r="E42" s="59"/>
      <c r="F42" s="59"/>
      <c r="G42" s="59"/>
      <c r="H42" s="26" t="str">
        <f>IF($F42="","",IFERROR(INDEX(TblABS[vCPU par nœud],MATCH($F42,TblABS[Flavor],0)),"?"))</f>
        <v/>
      </c>
      <c r="I42" s="26" t="str">
        <f>IF($F42="","",IFERROR(INDEX(TblABS[RAM par nœud (Go)],MATCH($F42,TblABS[Flavor],0)),"?"))</f>
        <v/>
      </c>
      <c r="J42" s="26" t="str">
        <f t="shared" si="0"/>
        <v/>
      </c>
      <c r="K42" s="26" t="str">
        <f t="shared" si="1"/>
        <v/>
      </c>
      <c r="L42" s="59"/>
      <c r="M42" s="26" t="str">
        <f t="shared" si="2"/>
        <v/>
      </c>
      <c r="N42" s="26" t="str">
        <f t="shared" si="3"/>
        <v/>
      </c>
      <c r="O42" s="65" t="str">
        <f>IF($F42="","",IFERROR(INDEX(TblABS[Tarif par nœud],MATCH($F42,TblABS[Flavor],0)),"?"))</f>
        <v/>
      </c>
      <c r="P42" s="59"/>
      <c r="Q42" s="26" t="str">
        <f>IF($B42="","",IF(OR($A42="",$E42="",$F42="",$G42="",$L42=""),IF(COUNTIFS(TblApplications[Cluster IKS source],$B42)+COUNTIFS(TblApplications[Cluster ROKS cible],$B42)=0,"À compléter : flavor / workers (info)","Données manquantes"),IF(AND($A42&lt;&gt;"IKS",$A42&lt;&gt;"ROKS"),"Plateforme invalide",IF(AND($E42&lt;&gt;"PRD",$E42&lt;&gt;"NPRD"),"Environnement invalide",IF(OR(NOT(ISNUMBER($G42)),NOT(ISNUMBER($L42))),"Workers non numérique",IF(OR($G42&lt;0,$L42&lt;0),"Valeur négative",IF(OR($G42&lt;&gt;INT($G42),$L42&lt;&gt;INT($L42)),"Workers non entier",IF(NOT(ISNUMBER($H42)),IF(COUNTIFS(TblApplications[Cluster IKS source],$B42)+COUNTIFS(TblApplications[Cluster ROKS cible],$B42)=0,"Flavor à corriger (info)","Flavor inconnu"),IF(AND(p_mode="Nœud",OR(NOT(ISNUMBER($O42)),$O42&lt;=0)),"Tarif du flavor manquant ou invalide",IF(COUNTIF(TblClusters[Cluster],$B42)&gt;1,"Cluster en doublon",IF($L42&gt;$G42,"Plancher &gt; capacité initiale",IF(AND($A42="ROKS",$G42&gt;p_maxworkers),"Workers &gt; max ROKS",IF(AND($A42="IKS",(SUMIFS(TblApplications[CPU IKS libérable (vCPU)],TblApplications[Cluster IKS source],$B42,TblApplications[Action],"À migrer")+SUMIFS(TblApplications[CPU IKS libérable (vCPU)],TblApplications[Cluster IKS source],$B42,TblApplications[Action],"À décommissionner"))&gt;$J42),"Libérations CPU &gt; capacité initiale",IF(AND($A42="IKS",(SUMIFS(TblApplications[RAM IKS libérable (Go)],TblApplications[Cluster IKS source],$B42,TblApplications[Action],"À migrer")+SUMIFS(TblApplications[RAM IKS libérable (Go)],TblApplications[Cluster IKS source],$B42,TblApplications[Action],"À décommissionner"))&gt;$K42),"Libérations RAM &gt; capacité initiale",IF(SUMIFS(TblCalculs[Alerte max workers],TblCalculs[Cluster],$B42)&gt;0,"Max workers ROKS dépassé ("&amp;SUMIFS(TblCalculs[Alerte max workers],TblCalculs[Cluster],$B42)&amp;" mois) : flavor plus gros ou second cluster",IF(SUMIFS(TblCalculs[Alerte plancher IKS],TblCalculs[Cluster],$B42)&gt;0,"Plancher IKS atteint ("&amp;SUMIFS(TblCalculs[Alerte plancher IKS],TblCalculs[Cluster],$B42)&amp;" mois) (info)",IF(AND($A42="IKS",ISNUMBER($R42),$R42&lt;_xlfn.MAXIFS(TblApplications[Mois lib (calc)],TblApplications[Cluster IKS source],$B42)),"Fermeture avant la dernière libération",IF(AND($R42&lt;&gt;"",OR($A42&lt;&gt;"IKS",NOT(ISNUMBER($R42)))),"Fermeture : IKS uniquement, date attendue","OK"))))))))))))))))))</f>
        <v/>
      </c>
      <c r="R42" s="61"/>
      <c r="S42" s="33" t="str">
        <f>IF(OR($B42="",$A42&lt;&gt;"IKS"),"",IF(ISNUMBER($R42),DATE(YEAR($R42),MONTH($R42),1),IF(p_fermauto&lt;&gt;"Oui","",IF(COUNTIFS(TblApplications[Cluster IKS source],$B42,TblApplications[Action],"À migrer")+COUNTIFS(TblApplications[Cluster IKS source],$B42,TblApplications[Action],"À décommissionner")=0,"",IF(COUNTIFS(TblApplications[Cluster IKS source],$B42,TblApplications[Action],"À migrer",TblApplications[Mois lib (calc)],"")+COUNTIFS(TblApplications[Cluster IKS source],$B42,TblApplications[Action],"À décommissionner",TblApplications[Mois lib (calc)],"")&gt;0,"",_xlfn.MAXIFS(TblApplications[Mois lib (calc)],TblApplications[Cluster IKS source],$B42))))))</f>
        <v/>
      </c>
      <c r="T42" s="26" t="str">
        <f>IF(OR($B42="",COUNTIFS($E42,ca_envc)=0),"",COUNTIFS($B$6:$B42,"&lt;&gt;",$E$6:$E42,ca_envc))</f>
        <v/>
      </c>
      <c r="U42" s="26" t="str">
        <f>IF(OR($B42="",$A42&lt;&gt;"IKS",COUNTIFS($E42,ex_envc)=0),"",COUNTIFS($B$6:$B42,"&lt;&gt;",$A$6:$A42,"IKS",$E$6:$E42,ex_envc))</f>
        <v/>
      </c>
      <c r="V42" s="35" t="str">
        <f>IF($B42="","",IFERROR((SUMIFS(TblApplications[CPU Dynatrace (vCPU)],TblApplications[Cluster IKS source],$B42)+SUMIFS(TblApplications[Besoin ROKS CPU (vCPU)],TblApplications[Cluster ROKS cible],$B42,TblApplications[Action],"Migré")+SUMIFS(TblApplications[Besoin ROKS CPU (vCPU)],TblApplications[Cluster ROKS cible],$B42,TblApplications[Action],"À migrer"))/$J42,""))</f>
        <v/>
      </c>
      <c r="W42" s="35" t="str">
        <f>IF($B42="","",IFERROR((SUMIFS(TblApplications[RAM Dynatrace (Go)],TblApplications[Cluster IKS source],$B42)+SUMIFS(TblApplications[Besoin ROKS RAM (Go)],TblApplications[Cluster ROKS cible],$B42,TblApplications[Action],"Migré")+SUMIFS(TblApplications[Besoin ROKS RAM (Go)],TblApplications[Cluster ROKS cible],$B42,TblApplications[Action],"À migrer"))/$K42,""))</f>
        <v/>
      </c>
      <c r="X42" s="26" t="str">
        <f t="shared" si="4"/>
        <v/>
      </c>
    </row>
    <row r="43" spans="1:24" x14ac:dyDescent="0.2">
      <c r="A43" s="59"/>
      <c r="B43" s="59"/>
      <c r="C43" s="59"/>
      <c r="D43" s="59"/>
      <c r="E43" s="59"/>
      <c r="F43" s="59"/>
      <c r="G43" s="59"/>
      <c r="H43" s="26" t="str">
        <f>IF($F43="","",IFERROR(INDEX(TblABS[vCPU par nœud],MATCH($F43,TblABS[Flavor],0)),"?"))</f>
        <v/>
      </c>
      <c r="I43" s="26" t="str">
        <f>IF($F43="","",IFERROR(INDEX(TblABS[RAM par nœud (Go)],MATCH($F43,TblABS[Flavor],0)),"?"))</f>
        <v/>
      </c>
      <c r="J43" s="26" t="str">
        <f t="shared" si="0"/>
        <v/>
      </c>
      <c r="K43" s="26" t="str">
        <f t="shared" si="1"/>
        <v/>
      </c>
      <c r="L43" s="59"/>
      <c r="M43" s="26" t="str">
        <f t="shared" si="2"/>
        <v/>
      </c>
      <c r="N43" s="26" t="str">
        <f t="shared" si="3"/>
        <v/>
      </c>
      <c r="O43" s="65" t="str">
        <f>IF($F43="","",IFERROR(INDEX(TblABS[Tarif par nœud],MATCH($F43,TblABS[Flavor],0)),"?"))</f>
        <v/>
      </c>
      <c r="P43" s="59"/>
      <c r="Q43" s="26" t="str">
        <f>IF($B43="","",IF(OR($A43="",$E43="",$F43="",$G43="",$L43=""),IF(COUNTIFS(TblApplications[Cluster IKS source],$B43)+COUNTIFS(TblApplications[Cluster ROKS cible],$B43)=0,"À compléter : flavor / workers (info)","Données manquantes"),IF(AND($A43&lt;&gt;"IKS",$A43&lt;&gt;"ROKS"),"Plateforme invalide",IF(AND($E43&lt;&gt;"PRD",$E43&lt;&gt;"NPRD"),"Environnement invalide",IF(OR(NOT(ISNUMBER($G43)),NOT(ISNUMBER($L43))),"Workers non numérique",IF(OR($G43&lt;0,$L43&lt;0),"Valeur négative",IF(OR($G43&lt;&gt;INT($G43),$L43&lt;&gt;INT($L43)),"Workers non entier",IF(NOT(ISNUMBER($H43)),IF(COUNTIFS(TblApplications[Cluster IKS source],$B43)+COUNTIFS(TblApplications[Cluster ROKS cible],$B43)=0,"Flavor à corriger (info)","Flavor inconnu"),IF(AND(p_mode="Nœud",OR(NOT(ISNUMBER($O43)),$O43&lt;=0)),"Tarif du flavor manquant ou invalide",IF(COUNTIF(TblClusters[Cluster],$B43)&gt;1,"Cluster en doublon",IF($L43&gt;$G43,"Plancher &gt; capacité initiale",IF(AND($A43="ROKS",$G43&gt;p_maxworkers),"Workers &gt; max ROKS",IF(AND($A43="IKS",(SUMIFS(TblApplications[CPU IKS libérable (vCPU)],TblApplications[Cluster IKS source],$B43,TblApplications[Action],"À migrer")+SUMIFS(TblApplications[CPU IKS libérable (vCPU)],TblApplications[Cluster IKS source],$B43,TblApplications[Action],"À décommissionner"))&gt;$J43),"Libérations CPU &gt; capacité initiale",IF(AND($A43="IKS",(SUMIFS(TblApplications[RAM IKS libérable (Go)],TblApplications[Cluster IKS source],$B43,TblApplications[Action],"À migrer")+SUMIFS(TblApplications[RAM IKS libérable (Go)],TblApplications[Cluster IKS source],$B43,TblApplications[Action],"À décommissionner"))&gt;$K43),"Libérations RAM &gt; capacité initiale",IF(SUMIFS(TblCalculs[Alerte max workers],TblCalculs[Cluster],$B43)&gt;0,"Max workers ROKS dépassé ("&amp;SUMIFS(TblCalculs[Alerte max workers],TblCalculs[Cluster],$B43)&amp;" mois) : flavor plus gros ou second cluster",IF(SUMIFS(TblCalculs[Alerte plancher IKS],TblCalculs[Cluster],$B43)&gt;0,"Plancher IKS atteint ("&amp;SUMIFS(TblCalculs[Alerte plancher IKS],TblCalculs[Cluster],$B43)&amp;" mois) (info)",IF(AND($A43="IKS",ISNUMBER($R43),$R43&lt;_xlfn.MAXIFS(TblApplications[Mois lib (calc)],TblApplications[Cluster IKS source],$B43)),"Fermeture avant la dernière libération",IF(AND($R43&lt;&gt;"",OR($A43&lt;&gt;"IKS",NOT(ISNUMBER($R43)))),"Fermeture : IKS uniquement, date attendue","OK"))))))))))))))))))</f>
        <v/>
      </c>
      <c r="R43" s="61"/>
      <c r="S43" s="33" t="str">
        <f>IF(OR($B43="",$A43&lt;&gt;"IKS"),"",IF(ISNUMBER($R43),DATE(YEAR($R43),MONTH($R43),1),IF(p_fermauto&lt;&gt;"Oui","",IF(COUNTIFS(TblApplications[Cluster IKS source],$B43,TblApplications[Action],"À migrer")+COUNTIFS(TblApplications[Cluster IKS source],$B43,TblApplications[Action],"À décommissionner")=0,"",IF(COUNTIFS(TblApplications[Cluster IKS source],$B43,TblApplications[Action],"À migrer",TblApplications[Mois lib (calc)],"")+COUNTIFS(TblApplications[Cluster IKS source],$B43,TblApplications[Action],"À décommissionner",TblApplications[Mois lib (calc)],"")&gt;0,"",_xlfn.MAXIFS(TblApplications[Mois lib (calc)],TblApplications[Cluster IKS source],$B43))))))</f>
        <v/>
      </c>
      <c r="T43" s="26" t="str">
        <f>IF(OR($B43="",COUNTIFS($E43,ca_envc)=0),"",COUNTIFS($B$6:$B43,"&lt;&gt;",$E$6:$E43,ca_envc))</f>
        <v/>
      </c>
      <c r="U43" s="26" t="str">
        <f>IF(OR($B43="",$A43&lt;&gt;"IKS",COUNTIFS($E43,ex_envc)=0),"",COUNTIFS($B$6:$B43,"&lt;&gt;",$A$6:$A43,"IKS",$E$6:$E43,ex_envc))</f>
        <v/>
      </c>
      <c r="V43" s="35" t="str">
        <f>IF($B43="","",IFERROR((SUMIFS(TblApplications[CPU Dynatrace (vCPU)],TblApplications[Cluster IKS source],$B43)+SUMIFS(TblApplications[Besoin ROKS CPU (vCPU)],TblApplications[Cluster ROKS cible],$B43,TblApplications[Action],"Migré")+SUMIFS(TblApplications[Besoin ROKS CPU (vCPU)],TblApplications[Cluster ROKS cible],$B43,TblApplications[Action],"À migrer"))/$J43,""))</f>
        <v/>
      </c>
      <c r="W43" s="35" t="str">
        <f>IF($B43="","",IFERROR((SUMIFS(TblApplications[RAM Dynatrace (Go)],TblApplications[Cluster IKS source],$B43)+SUMIFS(TblApplications[Besoin ROKS RAM (Go)],TblApplications[Cluster ROKS cible],$B43,TblApplications[Action],"Migré")+SUMIFS(TblApplications[Besoin ROKS RAM (Go)],TblApplications[Cluster ROKS cible],$B43,TblApplications[Action],"À migrer"))/$K43,""))</f>
        <v/>
      </c>
      <c r="X43" s="26" t="str">
        <f t="shared" si="4"/>
        <v/>
      </c>
    </row>
    <row r="44" spans="1:24" x14ac:dyDescent="0.2">
      <c r="A44" s="59"/>
      <c r="B44" s="59"/>
      <c r="C44" s="59"/>
      <c r="D44" s="59"/>
      <c r="E44" s="59"/>
      <c r="F44" s="59"/>
      <c r="G44" s="59"/>
      <c r="H44" s="26" t="str">
        <f>IF($F44="","",IFERROR(INDEX(TblABS[vCPU par nœud],MATCH($F44,TblABS[Flavor],0)),"?"))</f>
        <v/>
      </c>
      <c r="I44" s="26" t="str">
        <f>IF($F44="","",IFERROR(INDEX(TblABS[RAM par nœud (Go)],MATCH($F44,TblABS[Flavor],0)),"?"))</f>
        <v/>
      </c>
      <c r="J44" s="26" t="str">
        <f t="shared" si="0"/>
        <v/>
      </c>
      <c r="K44" s="26" t="str">
        <f t="shared" si="1"/>
        <v/>
      </c>
      <c r="L44" s="59"/>
      <c r="M44" s="26" t="str">
        <f t="shared" si="2"/>
        <v/>
      </c>
      <c r="N44" s="26" t="str">
        <f t="shared" si="3"/>
        <v/>
      </c>
      <c r="O44" s="65" t="str">
        <f>IF($F44="","",IFERROR(INDEX(TblABS[Tarif par nœud],MATCH($F44,TblABS[Flavor],0)),"?"))</f>
        <v/>
      </c>
      <c r="P44" s="59"/>
      <c r="Q44" s="26" t="str">
        <f>IF($B44="","",IF(OR($A44="",$E44="",$F44="",$G44="",$L44=""),IF(COUNTIFS(TblApplications[Cluster IKS source],$B44)+COUNTIFS(TblApplications[Cluster ROKS cible],$B44)=0,"À compléter : flavor / workers (info)","Données manquantes"),IF(AND($A44&lt;&gt;"IKS",$A44&lt;&gt;"ROKS"),"Plateforme invalide",IF(AND($E44&lt;&gt;"PRD",$E44&lt;&gt;"NPRD"),"Environnement invalide",IF(OR(NOT(ISNUMBER($G44)),NOT(ISNUMBER($L44))),"Workers non numérique",IF(OR($G44&lt;0,$L44&lt;0),"Valeur négative",IF(OR($G44&lt;&gt;INT($G44),$L44&lt;&gt;INT($L44)),"Workers non entier",IF(NOT(ISNUMBER($H44)),IF(COUNTIFS(TblApplications[Cluster IKS source],$B44)+COUNTIFS(TblApplications[Cluster ROKS cible],$B44)=0,"Flavor à corriger (info)","Flavor inconnu"),IF(AND(p_mode="Nœud",OR(NOT(ISNUMBER($O44)),$O44&lt;=0)),"Tarif du flavor manquant ou invalide",IF(COUNTIF(TblClusters[Cluster],$B44)&gt;1,"Cluster en doublon",IF($L44&gt;$G44,"Plancher &gt; capacité initiale",IF(AND($A44="ROKS",$G44&gt;p_maxworkers),"Workers &gt; max ROKS",IF(AND($A44="IKS",(SUMIFS(TblApplications[CPU IKS libérable (vCPU)],TblApplications[Cluster IKS source],$B44,TblApplications[Action],"À migrer")+SUMIFS(TblApplications[CPU IKS libérable (vCPU)],TblApplications[Cluster IKS source],$B44,TblApplications[Action],"À décommissionner"))&gt;$J44),"Libérations CPU &gt; capacité initiale",IF(AND($A44="IKS",(SUMIFS(TblApplications[RAM IKS libérable (Go)],TblApplications[Cluster IKS source],$B44,TblApplications[Action],"À migrer")+SUMIFS(TblApplications[RAM IKS libérable (Go)],TblApplications[Cluster IKS source],$B44,TblApplications[Action],"À décommissionner"))&gt;$K44),"Libérations RAM &gt; capacité initiale",IF(SUMIFS(TblCalculs[Alerte max workers],TblCalculs[Cluster],$B44)&gt;0,"Max workers ROKS dépassé ("&amp;SUMIFS(TblCalculs[Alerte max workers],TblCalculs[Cluster],$B44)&amp;" mois) : flavor plus gros ou second cluster",IF(SUMIFS(TblCalculs[Alerte plancher IKS],TblCalculs[Cluster],$B44)&gt;0,"Plancher IKS atteint ("&amp;SUMIFS(TblCalculs[Alerte plancher IKS],TblCalculs[Cluster],$B44)&amp;" mois) (info)",IF(AND($A44="IKS",ISNUMBER($R44),$R44&lt;_xlfn.MAXIFS(TblApplications[Mois lib (calc)],TblApplications[Cluster IKS source],$B44)),"Fermeture avant la dernière libération",IF(AND($R44&lt;&gt;"",OR($A44&lt;&gt;"IKS",NOT(ISNUMBER($R44)))),"Fermeture : IKS uniquement, date attendue","OK"))))))))))))))))))</f>
        <v/>
      </c>
      <c r="R44" s="61"/>
      <c r="S44" s="33" t="str">
        <f>IF(OR($B44="",$A44&lt;&gt;"IKS"),"",IF(ISNUMBER($R44),DATE(YEAR($R44),MONTH($R44),1),IF(p_fermauto&lt;&gt;"Oui","",IF(COUNTIFS(TblApplications[Cluster IKS source],$B44,TblApplications[Action],"À migrer")+COUNTIFS(TblApplications[Cluster IKS source],$B44,TblApplications[Action],"À décommissionner")=0,"",IF(COUNTIFS(TblApplications[Cluster IKS source],$B44,TblApplications[Action],"À migrer",TblApplications[Mois lib (calc)],"")+COUNTIFS(TblApplications[Cluster IKS source],$B44,TblApplications[Action],"À décommissionner",TblApplications[Mois lib (calc)],"")&gt;0,"",_xlfn.MAXIFS(TblApplications[Mois lib (calc)],TblApplications[Cluster IKS source],$B44))))))</f>
        <v/>
      </c>
      <c r="T44" s="26" t="str">
        <f>IF(OR($B44="",COUNTIFS($E44,ca_envc)=0),"",COUNTIFS($B$6:$B44,"&lt;&gt;",$E$6:$E44,ca_envc))</f>
        <v/>
      </c>
      <c r="U44" s="26" t="str">
        <f>IF(OR($B44="",$A44&lt;&gt;"IKS",COUNTIFS($E44,ex_envc)=0),"",COUNTIFS($B$6:$B44,"&lt;&gt;",$A$6:$A44,"IKS",$E$6:$E44,ex_envc))</f>
        <v/>
      </c>
      <c r="V44" s="35" t="str">
        <f>IF($B44="","",IFERROR((SUMIFS(TblApplications[CPU Dynatrace (vCPU)],TblApplications[Cluster IKS source],$B44)+SUMIFS(TblApplications[Besoin ROKS CPU (vCPU)],TblApplications[Cluster ROKS cible],$B44,TblApplications[Action],"Migré")+SUMIFS(TblApplications[Besoin ROKS CPU (vCPU)],TblApplications[Cluster ROKS cible],$B44,TblApplications[Action],"À migrer"))/$J44,""))</f>
        <v/>
      </c>
      <c r="W44" s="35" t="str">
        <f>IF($B44="","",IFERROR((SUMIFS(TblApplications[RAM Dynatrace (Go)],TblApplications[Cluster IKS source],$B44)+SUMIFS(TblApplications[Besoin ROKS RAM (Go)],TblApplications[Cluster ROKS cible],$B44,TblApplications[Action],"Migré")+SUMIFS(TblApplications[Besoin ROKS RAM (Go)],TblApplications[Cluster ROKS cible],$B44,TblApplications[Action],"À migrer"))/$K44,""))</f>
        <v/>
      </c>
      <c r="X44" s="26" t="str">
        <f t="shared" si="4"/>
        <v/>
      </c>
    </row>
    <row r="45" spans="1:24" x14ac:dyDescent="0.2">
      <c r="A45" s="59"/>
      <c r="B45" s="59"/>
      <c r="C45" s="59"/>
      <c r="D45" s="59"/>
      <c r="E45" s="59"/>
      <c r="F45" s="59"/>
      <c r="G45" s="59"/>
      <c r="H45" s="26" t="str">
        <f>IF($F45="","",IFERROR(INDEX(TblABS[vCPU par nœud],MATCH($F45,TblABS[Flavor],0)),"?"))</f>
        <v/>
      </c>
      <c r="I45" s="26" t="str">
        <f>IF($F45="","",IFERROR(INDEX(TblABS[RAM par nœud (Go)],MATCH($F45,TblABS[Flavor],0)),"?"))</f>
        <v/>
      </c>
      <c r="J45" s="26" t="str">
        <f t="shared" si="0"/>
        <v/>
      </c>
      <c r="K45" s="26" t="str">
        <f t="shared" si="1"/>
        <v/>
      </c>
      <c r="L45" s="59"/>
      <c r="M45" s="26" t="str">
        <f t="shared" si="2"/>
        <v/>
      </c>
      <c r="N45" s="26" t="str">
        <f t="shared" si="3"/>
        <v/>
      </c>
      <c r="O45" s="65" t="str">
        <f>IF($F45="","",IFERROR(INDEX(TblABS[Tarif par nœud],MATCH($F45,TblABS[Flavor],0)),"?"))</f>
        <v/>
      </c>
      <c r="P45" s="59"/>
      <c r="Q45" s="26" t="str">
        <f>IF($B45="","",IF(OR($A45="",$E45="",$F45="",$G45="",$L45=""),IF(COUNTIFS(TblApplications[Cluster IKS source],$B45)+COUNTIFS(TblApplications[Cluster ROKS cible],$B45)=0,"À compléter : flavor / workers (info)","Données manquantes"),IF(AND($A45&lt;&gt;"IKS",$A45&lt;&gt;"ROKS"),"Plateforme invalide",IF(AND($E45&lt;&gt;"PRD",$E45&lt;&gt;"NPRD"),"Environnement invalide",IF(OR(NOT(ISNUMBER($G45)),NOT(ISNUMBER($L45))),"Workers non numérique",IF(OR($G45&lt;0,$L45&lt;0),"Valeur négative",IF(OR($G45&lt;&gt;INT($G45),$L45&lt;&gt;INT($L45)),"Workers non entier",IF(NOT(ISNUMBER($H45)),IF(COUNTIFS(TblApplications[Cluster IKS source],$B45)+COUNTIFS(TblApplications[Cluster ROKS cible],$B45)=0,"Flavor à corriger (info)","Flavor inconnu"),IF(AND(p_mode="Nœud",OR(NOT(ISNUMBER($O45)),$O45&lt;=0)),"Tarif du flavor manquant ou invalide",IF(COUNTIF(TblClusters[Cluster],$B45)&gt;1,"Cluster en doublon",IF($L45&gt;$G45,"Plancher &gt; capacité initiale",IF(AND($A45="ROKS",$G45&gt;p_maxworkers),"Workers &gt; max ROKS",IF(AND($A45="IKS",(SUMIFS(TblApplications[CPU IKS libérable (vCPU)],TblApplications[Cluster IKS source],$B45,TblApplications[Action],"À migrer")+SUMIFS(TblApplications[CPU IKS libérable (vCPU)],TblApplications[Cluster IKS source],$B45,TblApplications[Action],"À décommissionner"))&gt;$J45),"Libérations CPU &gt; capacité initiale",IF(AND($A45="IKS",(SUMIFS(TblApplications[RAM IKS libérable (Go)],TblApplications[Cluster IKS source],$B45,TblApplications[Action],"À migrer")+SUMIFS(TblApplications[RAM IKS libérable (Go)],TblApplications[Cluster IKS source],$B45,TblApplications[Action],"À décommissionner"))&gt;$K45),"Libérations RAM &gt; capacité initiale",IF(SUMIFS(TblCalculs[Alerte max workers],TblCalculs[Cluster],$B45)&gt;0,"Max workers ROKS dépassé ("&amp;SUMIFS(TblCalculs[Alerte max workers],TblCalculs[Cluster],$B45)&amp;" mois) : flavor plus gros ou second cluster",IF(SUMIFS(TblCalculs[Alerte plancher IKS],TblCalculs[Cluster],$B45)&gt;0,"Plancher IKS atteint ("&amp;SUMIFS(TblCalculs[Alerte plancher IKS],TblCalculs[Cluster],$B45)&amp;" mois) (info)",IF(AND($A45="IKS",ISNUMBER($R45),$R45&lt;_xlfn.MAXIFS(TblApplications[Mois lib (calc)],TblApplications[Cluster IKS source],$B45)),"Fermeture avant la dernière libération",IF(AND($R45&lt;&gt;"",OR($A45&lt;&gt;"IKS",NOT(ISNUMBER($R45)))),"Fermeture : IKS uniquement, date attendue","OK"))))))))))))))))))</f>
        <v/>
      </c>
      <c r="R45" s="61"/>
      <c r="S45" s="33" t="str">
        <f>IF(OR($B45="",$A45&lt;&gt;"IKS"),"",IF(ISNUMBER($R45),DATE(YEAR($R45),MONTH($R45),1),IF(p_fermauto&lt;&gt;"Oui","",IF(COUNTIFS(TblApplications[Cluster IKS source],$B45,TblApplications[Action],"À migrer")+COUNTIFS(TblApplications[Cluster IKS source],$B45,TblApplications[Action],"À décommissionner")=0,"",IF(COUNTIFS(TblApplications[Cluster IKS source],$B45,TblApplications[Action],"À migrer",TblApplications[Mois lib (calc)],"")+COUNTIFS(TblApplications[Cluster IKS source],$B45,TblApplications[Action],"À décommissionner",TblApplications[Mois lib (calc)],"")&gt;0,"",_xlfn.MAXIFS(TblApplications[Mois lib (calc)],TblApplications[Cluster IKS source],$B45))))))</f>
        <v/>
      </c>
      <c r="T45" s="26" t="str">
        <f>IF(OR($B45="",COUNTIFS($E45,ca_envc)=0),"",COUNTIFS($B$6:$B45,"&lt;&gt;",$E$6:$E45,ca_envc))</f>
        <v/>
      </c>
      <c r="U45" s="26" t="str">
        <f>IF(OR($B45="",$A45&lt;&gt;"IKS",COUNTIFS($E45,ex_envc)=0),"",COUNTIFS($B$6:$B45,"&lt;&gt;",$A$6:$A45,"IKS",$E$6:$E45,ex_envc))</f>
        <v/>
      </c>
      <c r="V45" s="35" t="str">
        <f>IF($B45="","",IFERROR((SUMIFS(TblApplications[CPU Dynatrace (vCPU)],TblApplications[Cluster IKS source],$B45)+SUMIFS(TblApplications[Besoin ROKS CPU (vCPU)],TblApplications[Cluster ROKS cible],$B45,TblApplications[Action],"Migré")+SUMIFS(TblApplications[Besoin ROKS CPU (vCPU)],TblApplications[Cluster ROKS cible],$B45,TblApplications[Action],"À migrer"))/$J45,""))</f>
        <v/>
      </c>
      <c r="W45" s="35" t="str">
        <f>IF($B45="","",IFERROR((SUMIFS(TblApplications[RAM Dynatrace (Go)],TblApplications[Cluster IKS source],$B45)+SUMIFS(TblApplications[Besoin ROKS RAM (Go)],TblApplications[Cluster ROKS cible],$B45,TblApplications[Action],"Migré")+SUMIFS(TblApplications[Besoin ROKS RAM (Go)],TblApplications[Cluster ROKS cible],$B45,TblApplications[Action],"À migrer"))/$K45,""))</f>
        <v/>
      </c>
      <c r="X45" s="26" t="str">
        <f t="shared" si="4"/>
        <v/>
      </c>
    </row>
  </sheetData>
  <conditionalFormatting sqref="Q6:Q45">
    <cfRule type="expression" dxfId="3" priority="2">
      <formula>AND(Q6&lt;&gt;"",Q6&lt;&gt;"OK")</formula>
    </cfRule>
  </conditionalFormatting>
  <conditionalFormatting sqref="V6:W45">
    <cfRule type="expression" dxfId="2" priority="4">
      <formula>AND(ISNUMBER(V6),V6&gt;0.66)</formula>
    </cfRule>
  </conditionalFormatting>
  <conditionalFormatting sqref="X6:X45">
    <cfRule type="expression" dxfId="1" priority="3">
      <formula>AND(X6&lt;&gt;"",X6&lt;&gt;"OK")</formula>
    </cfRule>
  </conditionalFormatting>
  <dataValidations count="2">
    <dataValidation type="date" operator="greaterThan" allowBlank="1" showErrorMessage="1" errorTitle="Saisie invalide" error="Saisir un mois (date)" sqref="R6:R45" xr:uid="{00000000-0002-0000-0800-000000000000}">
      <formula1>36526</formula1>
      <formula2>0</formula2>
    </dataValidation>
    <dataValidation type="whole" operator="greaterThanOrEqual" allowBlank="1" showErrorMessage="1" errorTitle="Saisie invalide" error="Nombre entier de workers ≥ 0" sqref="G6:G45 L6:L45" xr:uid="{00000000-0002-0000-08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Saisie invalide" error="Valeur non autorisée : choisir dans la liste ou respecter le format attendu." xr:uid="{00000000-0002-0000-0800-000002000000}">
          <x14:formula1>
            <xm:f>'Paramètres &amp; ABS'!$M$4:$M$5</xm:f>
          </x14:formula1>
          <x14:formula2>
            <xm:f>0</xm:f>
          </x14:formula2>
          <xm:sqref>E6:E45</xm:sqref>
        </x14:dataValidation>
        <x14:dataValidation type="list" allowBlank="1" showErrorMessage="1" errorTitle="Saisie invalide" error="Valeur non autorisée : choisir dans la liste ou respecter le format attendu." xr:uid="{00000000-0002-0000-0800-000003000000}">
          <x14:formula1>
            <xm:f>'Paramètres &amp; ABS'!$I$4:$I$5</xm:f>
          </x14:formula1>
          <x14:formula2>
            <xm:f>0</xm:f>
          </x14:formula2>
          <xm:sqref>A6:A45</xm:sqref>
        </x14:dataValidation>
        <x14:dataValidation type="list" allowBlank="1" showErrorMessage="1" errorTitle="Saisie invalide" error="Valeur non autorisée : choisir dans la liste ou respecter le format attendu." xr:uid="{00000000-0002-0000-0800-000004000000}">
          <x14:formula1>
            <xm:f>'Paramètres &amp; ABS'!$D$21:$D$60</xm:f>
          </x14:formula1>
          <x14:formula2>
            <xm:f>0</xm:f>
          </x14:formula2>
          <xm:sqref>F6:F45</xm:sqref>
        </x14:dataValidation>
        <x14:dataValidation type="list" allowBlank="1" showErrorMessage="1" errorTitle="Saisie invalide" error="Valeur non autorisée : choisir dans la liste ou respecter le format attendu." xr:uid="{00000000-0002-0000-0800-000005000000}">
          <x14:formula1>
            <xm:f>'Paramètres &amp; ABS'!$L$4:$L$6</xm:f>
          </x14:formula1>
          <x14:formula2>
            <xm:f>0</xm:f>
          </x14:formula2>
          <xm:sqref>P6:P45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1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38" customWidth="1"/>
    <col min="3" max="3" width="16" customWidth="1"/>
    <col min="4" max="4" width="58" customWidth="1"/>
    <col min="5" max="5" width="26" customWidth="1"/>
    <col min="6" max="6" width="16" customWidth="1"/>
    <col min="7" max="7" width="20" customWidth="1"/>
    <col min="8" max="8" width="14" customWidth="1"/>
    <col min="9" max="9" width="12" customWidth="1"/>
    <col min="10" max="11" width="20" customWidth="1"/>
    <col min="12" max="12" width="12" customWidth="1"/>
    <col min="13" max="13" width="20" customWidth="1"/>
    <col min="15" max="16" width="16" customWidth="1"/>
    <col min="18" max="18" width="13" customWidth="1"/>
    <col min="19" max="19" width="26" customWidth="1"/>
    <col min="20" max="20" width="40" customWidth="1"/>
  </cols>
  <sheetData>
    <row r="1" spans="1:20" ht="18" x14ac:dyDescent="0.2">
      <c r="A1" s="50" t="s">
        <v>390</v>
      </c>
    </row>
    <row r="2" spans="1:20" x14ac:dyDescent="0.2">
      <c r="A2" s="16" t="s">
        <v>391</v>
      </c>
      <c r="F2" s="18" t="s">
        <v>231</v>
      </c>
      <c r="G2" s="59" t="s">
        <v>232</v>
      </c>
      <c r="H2" s="26" t="s">
        <v>233</v>
      </c>
    </row>
    <row r="3" spans="1:20" ht="19.5" customHeight="1" x14ac:dyDescent="0.2">
      <c r="B3" s="25" t="s">
        <v>392</v>
      </c>
      <c r="C3" s="25" t="s">
        <v>94</v>
      </c>
      <c r="D3" s="25" t="s">
        <v>393</v>
      </c>
      <c r="E3" s="25" t="s">
        <v>259</v>
      </c>
      <c r="H3" s="32" t="s">
        <v>394</v>
      </c>
      <c r="I3" s="32" t="s">
        <v>395</v>
      </c>
      <c r="J3" s="32" t="s">
        <v>396</v>
      </c>
      <c r="K3" s="32" t="s">
        <v>397</v>
      </c>
      <c r="L3" s="32" t="s">
        <v>250</v>
      </c>
      <c r="M3" s="32" t="s">
        <v>398</v>
      </c>
      <c r="N3" s="32" t="s">
        <v>399</v>
      </c>
      <c r="R3" s="57" t="s">
        <v>400</v>
      </c>
    </row>
    <row r="4" spans="1:20" x14ac:dyDescent="0.2">
      <c r="B4" s="66" t="s">
        <v>401</v>
      </c>
      <c r="C4" s="61">
        <v>46296</v>
      </c>
      <c r="D4" s="55" t="s">
        <v>402</v>
      </c>
      <c r="E4" s="26" t="str">
        <f>IF(ISNUMBER(C4),"OK","Date invalide")</f>
        <v>OK</v>
      </c>
      <c r="H4" s="67" t="s">
        <v>403</v>
      </c>
      <c r="I4" s="67" t="s">
        <v>372</v>
      </c>
      <c r="J4" s="67" t="s">
        <v>404</v>
      </c>
      <c r="K4" s="67" t="s">
        <v>405</v>
      </c>
      <c r="L4" s="67" t="s">
        <v>406</v>
      </c>
      <c r="M4" s="67" t="s">
        <v>39</v>
      </c>
      <c r="N4" s="67" t="s">
        <v>36</v>
      </c>
      <c r="R4" s="54" t="s">
        <v>407</v>
      </c>
      <c r="S4" s="68">
        <v>30</v>
      </c>
      <c r="T4" s="24" t="s">
        <v>408</v>
      </c>
    </row>
    <row r="5" spans="1:20" x14ac:dyDescent="0.2">
      <c r="B5" s="66" t="s">
        <v>409</v>
      </c>
      <c r="C5" s="59">
        <v>36</v>
      </c>
      <c r="D5" s="55" t="s">
        <v>410</v>
      </c>
      <c r="E5" s="26" t="str">
        <f>IF(AND(ISNUMBER(C5),C5=INT(C5),C5&gt;=1,C5&lt;=36),"OK","Entier entre 1 et 36")</f>
        <v>OK</v>
      </c>
      <c r="H5" s="67" t="s">
        <v>275</v>
      </c>
      <c r="I5" s="67" t="s">
        <v>324</v>
      </c>
      <c r="J5" s="67" t="s">
        <v>411</v>
      </c>
      <c r="K5" s="67" t="s">
        <v>412</v>
      </c>
      <c r="L5" s="67" t="s">
        <v>278</v>
      </c>
      <c r="M5" s="67" t="s">
        <v>40</v>
      </c>
      <c r="N5" s="67" t="s">
        <v>29</v>
      </c>
      <c r="R5" s="54" t="s">
        <v>413</v>
      </c>
      <c r="S5" s="68">
        <v>500</v>
      </c>
      <c r="T5" s="24" t="s">
        <v>408</v>
      </c>
    </row>
    <row r="6" spans="1:20" x14ac:dyDescent="0.2">
      <c r="B6" s="66" t="s">
        <v>414</v>
      </c>
      <c r="C6" s="33">
        <f>EDATE(C4,C5-1)</f>
        <v>47362</v>
      </c>
      <c r="D6" s="55" t="s">
        <v>233</v>
      </c>
      <c r="K6" s="67" t="s">
        <v>415</v>
      </c>
      <c r="L6" s="67" t="s">
        <v>416</v>
      </c>
      <c r="N6" s="67" t="s">
        <v>30</v>
      </c>
    </row>
    <row r="7" spans="1:20" x14ac:dyDescent="0.2">
      <c r="B7" s="66" t="s">
        <v>417</v>
      </c>
      <c r="C7" s="62">
        <v>0.2</v>
      </c>
      <c r="D7" s="55" t="s">
        <v>418</v>
      </c>
      <c r="E7" s="26" t="str">
        <f>IF(AND(ISNUMBER(C7),C7&gt;=0,C7&lt;=1),"OK","Marge entre 0 et 100 %")</f>
        <v>OK</v>
      </c>
      <c r="N7" s="67" t="s">
        <v>37</v>
      </c>
      <c r="R7" s="18" t="s">
        <v>419</v>
      </c>
    </row>
    <row r="8" spans="1:20" x14ac:dyDescent="0.2">
      <c r="B8" s="66" t="s">
        <v>420</v>
      </c>
      <c r="C8" s="62">
        <v>0.2</v>
      </c>
      <c r="D8" s="55" t="s">
        <v>418</v>
      </c>
      <c r="E8" s="26" t="str">
        <f>IF(AND(ISNUMBER(C8),C8&gt;=0,C8&lt;=1),"OK","Marge entre 0 et 100 %")</f>
        <v>OK</v>
      </c>
      <c r="R8" s="69" t="s">
        <v>421</v>
      </c>
    </row>
    <row r="9" spans="1:20" x14ac:dyDescent="0.2">
      <c r="B9" s="66" t="s">
        <v>422</v>
      </c>
      <c r="C9" s="59" t="s">
        <v>404</v>
      </c>
      <c r="D9" s="55" t="s">
        <v>423</v>
      </c>
      <c r="E9" s="26" t="str">
        <f>IF(OR(C9="Nœud",C9="Unitaire"),"OK","Mode invalide")</f>
        <v>OK</v>
      </c>
      <c r="R9" s="69" t="s">
        <v>424</v>
      </c>
    </row>
    <row r="10" spans="1:20" x14ac:dyDescent="0.2">
      <c r="B10" s="66" t="s">
        <v>425</v>
      </c>
      <c r="C10" s="59" t="s">
        <v>405</v>
      </c>
      <c r="D10" s="55" t="s">
        <v>426</v>
      </c>
      <c r="E10" s="26" t="str">
        <f>IF(OR(C10="Mensuel",C10="Annuel",C10="Horaire"),"OK","Périodicité invalide")</f>
        <v>OK</v>
      </c>
      <c r="R10" s="69" t="s">
        <v>427</v>
      </c>
    </row>
    <row r="11" spans="1:20" x14ac:dyDescent="0.2">
      <c r="B11" s="66" t="s">
        <v>428</v>
      </c>
      <c r="C11" s="26">
        <f>IF(C10="Mensuel",1,IF(C10="Annuel",1/12,730))</f>
        <v>1</v>
      </c>
      <c r="D11" s="55" t="s">
        <v>233</v>
      </c>
      <c r="R11" s="69" t="s">
        <v>429</v>
      </c>
    </row>
    <row r="12" spans="1:20" x14ac:dyDescent="0.2">
      <c r="B12" s="66" t="s">
        <v>430</v>
      </c>
      <c r="C12" s="70">
        <v>22</v>
      </c>
      <c r="D12" s="55" t="s">
        <v>431</v>
      </c>
      <c r="E12" s="26" t="str">
        <f>IF(C9="Nœud",IF(OR(C12="",AND(ISNUMBER(C12),C12&gt;=0)),"OK","Tarif invalide (≥ 0)"),IF(AND(ISNUMBER(C12),C12&gt;0),"OK","Tarif requis en mode Unitaire"))</f>
        <v>OK</v>
      </c>
      <c r="R12" s="24" t="s">
        <v>432</v>
      </c>
    </row>
    <row r="13" spans="1:20" x14ac:dyDescent="0.2">
      <c r="B13" s="66" t="s">
        <v>433</v>
      </c>
      <c r="C13" s="70">
        <v>2.8</v>
      </c>
      <c r="D13" s="55" t="s">
        <v>431</v>
      </c>
      <c r="E13" s="26" t="str">
        <f>IF(C9="Nœud",IF(OR(C13="",AND(ISNUMBER(C13),C13&gt;=0)),"OK","Tarif invalide (≥ 0)"),IF(AND(ISNUMBER(C13),C13&gt;0),"OK","Tarif requis en mode Unitaire"))</f>
        <v>OK</v>
      </c>
    </row>
    <row r="14" spans="1:20" x14ac:dyDescent="0.2">
      <c r="B14" s="66" t="s">
        <v>434</v>
      </c>
      <c r="C14" s="70">
        <v>30</v>
      </c>
      <c r="D14" s="55" t="s">
        <v>431</v>
      </c>
      <c r="E14" s="26" t="str">
        <f>IF(C9="Nœud",IF(OR(C14="",AND(ISNUMBER(C14),C14&gt;=0)),"OK","Tarif invalide (≥ 0)"),IF(AND(ISNUMBER(C14),C14&gt;0),"OK","Tarif requis en mode Unitaire"))</f>
        <v>OK</v>
      </c>
    </row>
    <row r="15" spans="1:20" x14ac:dyDescent="0.2">
      <c r="B15" s="66" t="s">
        <v>435</v>
      </c>
      <c r="C15" s="70">
        <v>3.2</v>
      </c>
      <c r="D15" s="55" t="s">
        <v>431</v>
      </c>
      <c r="E15" s="26" t="str">
        <f>IF(C9="Nœud",IF(OR(C15="",AND(ISNUMBER(C15),C15&gt;=0)),"OK","Tarif invalide (≥ 0)"),IF(AND(ISNUMBER(C15),C15&gt;0),"OK","Tarif requis en mode Unitaire"))</f>
        <v>OK</v>
      </c>
    </row>
    <row r="16" spans="1:20" x14ac:dyDescent="0.2">
      <c r="B16" s="66" t="s">
        <v>436</v>
      </c>
      <c r="C16" s="59">
        <v>18</v>
      </c>
      <c r="D16" s="55" t="s">
        <v>437</v>
      </c>
      <c r="E16" s="26" t="str">
        <f>IF(AND(ISNUMBER(C16),C16=INT(C16),C16&gt;=1),"OK","Entier ≥ 1")</f>
        <v>OK</v>
      </c>
    </row>
    <row r="17" spans="2:16" x14ac:dyDescent="0.2">
      <c r="B17" s="66" t="s">
        <v>438</v>
      </c>
      <c r="C17" s="59">
        <v>0.1</v>
      </c>
      <c r="D17" s="55" t="s">
        <v>439</v>
      </c>
      <c r="E17" s="26" t="str">
        <f>IF(AND(ISNUMBER(C17),C17&gt;=0),"OK","Poids ≥ 0")</f>
        <v>OK</v>
      </c>
    </row>
    <row r="18" spans="2:16" x14ac:dyDescent="0.2">
      <c r="B18" s="66" t="s">
        <v>440</v>
      </c>
      <c r="C18" s="59" t="s">
        <v>403</v>
      </c>
      <c r="D18" s="55" t="s">
        <v>441</v>
      </c>
      <c r="E18" s="26" t="str">
        <f>IF(OR(C18="Oui",C18="Non"),"OK","Oui ou Non")</f>
        <v>OK</v>
      </c>
    </row>
    <row r="19" spans="2:16" x14ac:dyDescent="0.2">
      <c r="B19" s="57" t="s">
        <v>442</v>
      </c>
      <c r="J19" s="57" t="s">
        <v>443</v>
      </c>
    </row>
    <row r="20" spans="2:16" ht="45" customHeight="1" x14ac:dyDescent="0.2">
      <c r="B20" s="25" t="s">
        <v>444</v>
      </c>
      <c r="C20" s="25" t="s">
        <v>61</v>
      </c>
      <c r="D20" s="25" t="s">
        <v>63</v>
      </c>
      <c r="E20" s="25" t="s">
        <v>311</v>
      </c>
      <c r="F20" s="25" t="s">
        <v>312</v>
      </c>
      <c r="G20" s="25" t="s">
        <v>318</v>
      </c>
      <c r="H20" s="25" t="s">
        <v>445</v>
      </c>
      <c r="J20" s="25" t="s">
        <v>19</v>
      </c>
      <c r="K20" s="25" t="s">
        <v>446</v>
      </c>
      <c r="M20" s="25" t="s">
        <v>20</v>
      </c>
      <c r="O20" s="32" t="s">
        <v>447</v>
      </c>
      <c r="P20" s="32" t="s">
        <v>448</v>
      </c>
    </row>
    <row r="21" spans="2:16" x14ac:dyDescent="0.2">
      <c r="B21" s="59" t="s">
        <v>449</v>
      </c>
      <c r="C21" s="59" t="s">
        <v>324</v>
      </c>
      <c r="D21" s="59" t="s">
        <v>450</v>
      </c>
      <c r="E21" s="59">
        <v>8</v>
      </c>
      <c r="F21" s="59">
        <v>20</v>
      </c>
      <c r="G21" s="71">
        <v>304</v>
      </c>
      <c r="H21" s="59" t="s">
        <v>278</v>
      </c>
      <c r="J21" s="59" t="s">
        <v>272</v>
      </c>
      <c r="K21" s="59" t="s">
        <v>271</v>
      </c>
      <c r="M21" s="59" t="s">
        <v>271</v>
      </c>
      <c r="O21" t="s">
        <v>10</v>
      </c>
      <c r="P21" t="s">
        <v>10</v>
      </c>
    </row>
    <row r="22" spans="2:16" x14ac:dyDescent="0.2">
      <c r="B22" s="59" t="s">
        <v>449</v>
      </c>
      <c r="C22" s="59" t="s">
        <v>324</v>
      </c>
      <c r="D22" s="59" t="s">
        <v>327</v>
      </c>
      <c r="E22" s="59">
        <v>8</v>
      </c>
      <c r="F22" s="59">
        <v>40</v>
      </c>
      <c r="G22" s="71">
        <v>368</v>
      </c>
      <c r="H22" s="59" t="s">
        <v>278</v>
      </c>
      <c r="J22" s="59" t="s">
        <v>279</v>
      </c>
      <c r="K22" s="59" t="s">
        <v>271</v>
      </c>
      <c r="M22" s="59" t="s">
        <v>282</v>
      </c>
      <c r="O22" s="67" t="str">
        <f>IFERROR(IF(INDEX(TblDomaines[Domaine],1)="","",INDEX(TblDomaines[Domaine],1)),"")</f>
        <v>Distribution</v>
      </c>
      <c r="P22" s="67" t="str">
        <f>IFERROR(IF(INDEX(TblTribes[Tribe],1)="","",INDEX(TblTribes[Tribe],1)),"")</f>
        <v>Parcours client</v>
      </c>
    </row>
    <row r="23" spans="2:16" x14ac:dyDescent="0.2">
      <c r="B23" s="59" t="s">
        <v>449</v>
      </c>
      <c r="C23" s="59" t="s">
        <v>324</v>
      </c>
      <c r="D23" s="59" t="s">
        <v>451</v>
      </c>
      <c r="E23" s="59">
        <v>16</v>
      </c>
      <c r="F23" s="59">
        <v>40</v>
      </c>
      <c r="G23" s="71">
        <v>608</v>
      </c>
      <c r="H23" s="59" t="s">
        <v>278</v>
      </c>
      <c r="J23" s="59" t="s">
        <v>283</v>
      </c>
      <c r="K23" s="59" t="s">
        <v>282</v>
      </c>
      <c r="M23" s="59"/>
      <c r="O23" s="67" t="str">
        <f>IFERROR(IF(INDEX(TblDomaines[Domaine],2)="","",INDEX(TblDomaines[Domaine],2)),"")</f>
        <v>Indemnisation</v>
      </c>
      <c r="P23" s="67" t="str">
        <f>IFERROR(IF(INDEX(TblTribes[Tribe],2)="","",INDEX(TblTribes[Tribe],2)),"")</f>
        <v>Tarification</v>
      </c>
    </row>
    <row r="24" spans="2:16" x14ac:dyDescent="0.2">
      <c r="B24" s="59" t="s">
        <v>449</v>
      </c>
      <c r="C24" s="59" t="s">
        <v>324</v>
      </c>
      <c r="D24" s="59" t="s">
        <v>333</v>
      </c>
      <c r="E24" s="59">
        <v>16</v>
      </c>
      <c r="F24" s="59">
        <v>80</v>
      </c>
      <c r="G24" s="71">
        <v>736</v>
      </c>
      <c r="H24" s="59" t="s">
        <v>278</v>
      </c>
      <c r="J24" s="59"/>
      <c r="K24" s="59"/>
      <c r="M24" s="59"/>
      <c r="O24" s="67" t="str">
        <f>IFERROR(IF(INDEX(TblDomaines[Domaine],3)="","",INDEX(TblDomaines[Domaine],3)),"")</f>
        <v/>
      </c>
      <c r="P24" s="67" t="str">
        <f>IFERROR(IF(INDEX(TblTribes[Tribe],3)="","",INDEX(TblTribes[Tribe],3)),"")</f>
        <v>Sinistres</v>
      </c>
    </row>
    <row r="25" spans="2:16" x14ac:dyDescent="0.2">
      <c r="B25" s="59" t="s">
        <v>449</v>
      </c>
      <c r="C25" s="59" t="s">
        <v>324</v>
      </c>
      <c r="D25" s="59" t="s">
        <v>452</v>
      </c>
      <c r="E25" s="59">
        <v>24</v>
      </c>
      <c r="F25" s="59">
        <v>240</v>
      </c>
      <c r="G25" s="71">
        <v>1488</v>
      </c>
      <c r="H25" s="59" t="s">
        <v>278</v>
      </c>
      <c r="J25" s="59"/>
      <c r="K25" s="59"/>
      <c r="M25" s="59"/>
      <c r="O25" s="67" t="str">
        <f>IFERROR(IF(INDEX(TblDomaines[Domaine],4)="","",INDEX(TblDomaines[Domaine],4)),"")</f>
        <v/>
      </c>
      <c r="P25" s="67" t="str">
        <f>IFERROR(IF(INDEX(TblTribes[Tribe],4)="","",INDEX(TblTribes[Tribe],4)),"")</f>
        <v/>
      </c>
    </row>
    <row r="26" spans="2:16" x14ac:dyDescent="0.2">
      <c r="B26" s="59" t="s">
        <v>449</v>
      </c>
      <c r="C26" s="59" t="s">
        <v>324</v>
      </c>
      <c r="D26" s="59" t="s">
        <v>330</v>
      </c>
      <c r="E26" s="59">
        <v>32</v>
      </c>
      <c r="F26" s="59">
        <v>80</v>
      </c>
      <c r="G26" s="71">
        <v>1216</v>
      </c>
      <c r="H26" s="59" t="s">
        <v>278</v>
      </c>
      <c r="J26" s="59"/>
      <c r="K26" s="59"/>
      <c r="M26" s="59"/>
      <c r="O26" s="67" t="str">
        <f>IFERROR(IF(INDEX(TblDomaines[Domaine],5)="","",INDEX(TblDomaines[Domaine],5)),"")</f>
        <v/>
      </c>
      <c r="P26" s="67" t="str">
        <f>IFERROR(IF(INDEX(TblTribes[Tribe],5)="","",INDEX(TblTribes[Tribe],5)),"")</f>
        <v/>
      </c>
    </row>
    <row r="27" spans="2:16" x14ac:dyDescent="0.2">
      <c r="B27" s="59" t="s">
        <v>449</v>
      </c>
      <c r="C27" s="59" t="s">
        <v>324</v>
      </c>
      <c r="D27" s="59" t="s">
        <v>453</v>
      </c>
      <c r="E27" s="59">
        <v>32</v>
      </c>
      <c r="F27" s="59">
        <v>160</v>
      </c>
      <c r="G27" s="71">
        <v>1472</v>
      </c>
      <c r="H27" s="59" t="s">
        <v>278</v>
      </c>
      <c r="J27" s="59"/>
      <c r="K27" s="59"/>
      <c r="M27" s="59"/>
      <c r="O27" s="67" t="str">
        <f>IFERROR(IF(INDEX(TblDomaines[Domaine],6)="","",INDEX(TblDomaines[Domaine],6)),"")</f>
        <v/>
      </c>
      <c r="P27" s="67" t="str">
        <f>IFERROR(IF(INDEX(TblTribes[Tribe],6)="","",INDEX(TblTribes[Tribe],6)),"")</f>
        <v/>
      </c>
    </row>
    <row r="28" spans="2:16" x14ac:dyDescent="0.2">
      <c r="B28" s="59" t="s">
        <v>449</v>
      </c>
      <c r="C28" s="59" t="s">
        <v>324</v>
      </c>
      <c r="D28" s="59" t="s">
        <v>454</v>
      </c>
      <c r="E28" s="59">
        <v>32</v>
      </c>
      <c r="F28" s="59">
        <v>320</v>
      </c>
      <c r="G28" s="71">
        <v>1984</v>
      </c>
      <c r="H28" s="59" t="s">
        <v>278</v>
      </c>
      <c r="J28" s="59"/>
      <c r="K28" s="59"/>
      <c r="M28" s="59"/>
      <c r="O28" s="67" t="str">
        <f>IFERROR(IF(INDEX(TblDomaines[Domaine],7)="","",INDEX(TblDomaines[Domaine],7)),"")</f>
        <v/>
      </c>
      <c r="P28" s="67" t="str">
        <f>IFERROR(IF(INDEX(TblTribes[Tribe],7)="","",INDEX(TblTribes[Tribe],7)),"")</f>
        <v/>
      </c>
    </row>
    <row r="29" spans="2:16" x14ac:dyDescent="0.2">
      <c r="B29" s="59" t="s">
        <v>449</v>
      </c>
      <c r="C29" s="59" t="s">
        <v>324</v>
      </c>
      <c r="D29" s="59" t="s">
        <v>455</v>
      </c>
      <c r="E29" s="59">
        <v>48</v>
      </c>
      <c r="F29" s="59">
        <v>240</v>
      </c>
      <c r="G29" s="71">
        <v>2208</v>
      </c>
      <c r="H29" s="59" t="s">
        <v>278</v>
      </c>
      <c r="J29" s="59"/>
      <c r="K29" s="59"/>
      <c r="M29" s="59"/>
      <c r="O29" s="67" t="str">
        <f>IFERROR(IF(INDEX(TblDomaines[Domaine],8)="","",INDEX(TblDomaines[Domaine],8)),"")</f>
        <v/>
      </c>
      <c r="P29" s="67" t="str">
        <f>IFERROR(IF(INDEX(TblTribes[Tribe],8)="","",INDEX(TblTribes[Tribe],8)),"")</f>
        <v/>
      </c>
    </row>
    <row r="30" spans="2:16" x14ac:dyDescent="0.2">
      <c r="B30" s="59" t="s">
        <v>449</v>
      </c>
      <c r="C30" s="59" t="s">
        <v>324</v>
      </c>
      <c r="D30" s="59" t="s">
        <v>456</v>
      </c>
      <c r="E30" s="59">
        <v>96</v>
      </c>
      <c r="F30" s="59">
        <v>240</v>
      </c>
      <c r="G30" s="71">
        <v>3648</v>
      </c>
      <c r="H30" s="59" t="s">
        <v>278</v>
      </c>
      <c r="J30" s="59"/>
      <c r="K30" s="59"/>
      <c r="M30" s="59"/>
      <c r="O30" s="67" t="str">
        <f>IFERROR(IF(INDEX(TblDomaines[Domaine],9)="","",INDEX(TblDomaines[Domaine],9)),"")</f>
        <v/>
      </c>
      <c r="P30" s="67" t="str">
        <f>IFERROR(IF(INDEX(TblTribes[Tribe],9)="","",INDEX(TblTribes[Tribe],9)),"")</f>
        <v/>
      </c>
    </row>
    <row r="31" spans="2:16" x14ac:dyDescent="0.2">
      <c r="B31" s="59" t="s">
        <v>457</v>
      </c>
      <c r="C31" s="59" t="s">
        <v>372</v>
      </c>
      <c r="D31" s="59" t="s">
        <v>458</v>
      </c>
      <c r="E31" s="59">
        <v>4</v>
      </c>
      <c r="F31" s="59">
        <v>16</v>
      </c>
      <c r="G31" s="71">
        <v>133</v>
      </c>
      <c r="H31" s="59" t="s">
        <v>278</v>
      </c>
      <c r="J31" s="59"/>
      <c r="K31" s="59"/>
      <c r="M31" s="59"/>
      <c r="O31" s="67" t="str">
        <f>IFERROR(IF(INDEX(TblDomaines[Domaine],10)="","",INDEX(TblDomaines[Domaine],10)),"")</f>
        <v/>
      </c>
      <c r="P31" s="67" t="str">
        <f>IFERROR(IF(INDEX(TblTribes[Tribe],10)="","",INDEX(TblTribes[Tribe],10)),"")</f>
        <v/>
      </c>
    </row>
    <row r="32" spans="2:16" x14ac:dyDescent="0.2">
      <c r="B32" s="59" t="s">
        <v>457</v>
      </c>
      <c r="C32" s="59" t="s">
        <v>372</v>
      </c>
      <c r="D32" s="59" t="s">
        <v>459</v>
      </c>
      <c r="E32" s="59">
        <v>4</v>
      </c>
      <c r="F32" s="59">
        <v>32</v>
      </c>
      <c r="G32" s="71">
        <v>178</v>
      </c>
      <c r="H32" s="59" t="s">
        <v>278</v>
      </c>
      <c r="J32" s="59"/>
      <c r="K32" s="59"/>
      <c r="M32" s="59"/>
      <c r="O32" s="67" t="str">
        <f>IFERROR(IF(INDEX(TblDomaines[Domaine],11)="","",INDEX(TblDomaines[Domaine],11)),"")</f>
        <v/>
      </c>
      <c r="P32" s="67" t="str">
        <f>IFERROR(IF(INDEX(TblTribes[Tribe],11)="","",INDEX(TblTribes[Tribe],11)),"")</f>
        <v/>
      </c>
    </row>
    <row r="33" spans="2:16" x14ac:dyDescent="0.2">
      <c r="B33" s="59" t="s">
        <v>457</v>
      </c>
      <c r="C33" s="59" t="s">
        <v>372</v>
      </c>
      <c r="D33" s="59" t="s">
        <v>460</v>
      </c>
      <c r="E33" s="59">
        <v>8</v>
      </c>
      <c r="F33" s="59">
        <v>16</v>
      </c>
      <c r="G33" s="71">
        <v>221</v>
      </c>
      <c r="H33" s="59" t="s">
        <v>278</v>
      </c>
      <c r="J33" s="59"/>
      <c r="K33" s="59"/>
      <c r="M33" s="59"/>
      <c r="O33" s="67" t="str">
        <f>IFERROR(IF(INDEX(TblDomaines[Domaine],12)="","",INDEX(TblDomaines[Domaine],12)),"")</f>
        <v/>
      </c>
      <c r="P33" s="67" t="str">
        <f>IFERROR(IF(INDEX(TblTribes[Tribe],12)="","",INDEX(TblTribes[Tribe],12)),"")</f>
        <v/>
      </c>
    </row>
    <row r="34" spans="2:16" x14ac:dyDescent="0.2">
      <c r="B34" s="59" t="s">
        <v>457</v>
      </c>
      <c r="C34" s="59" t="s">
        <v>372</v>
      </c>
      <c r="D34" s="59" t="s">
        <v>378</v>
      </c>
      <c r="E34" s="59">
        <v>8</v>
      </c>
      <c r="F34" s="59">
        <v>32</v>
      </c>
      <c r="G34" s="71">
        <v>266</v>
      </c>
      <c r="H34" s="59" t="s">
        <v>278</v>
      </c>
      <c r="J34" s="59"/>
      <c r="K34" s="59"/>
      <c r="M34" s="59"/>
      <c r="O34" s="67" t="str">
        <f>IFERROR(IF(INDEX(TblDomaines[Domaine],13)="","",INDEX(TblDomaines[Domaine],13)),"")</f>
        <v/>
      </c>
      <c r="P34" s="67" t="str">
        <f>IFERROR(IF(INDEX(TblTribes[Tribe],13)="","",INDEX(TblTribes[Tribe],13)),"")</f>
        <v/>
      </c>
    </row>
    <row r="35" spans="2:16" x14ac:dyDescent="0.2">
      <c r="B35" s="59" t="s">
        <v>457</v>
      </c>
      <c r="C35" s="59" t="s">
        <v>372</v>
      </c>
      <c r="D35" s="59" t="s">
        <v>461</v>
      </c>
      <c r="E35" s="59">
        <v>8</v>
      </c>
      <c r="F35" s="59">
        <v>64</v>
      </c>
      <c r="G35" s="71">
        <v>355</v>
      </c>
      <c r="H35" s="59" t="s">
        <v>278</v>
      </c>
      <c r="J35" s="59"/>
      <c r="K35" s="59"/>
      <c r="M35" s="59"/>
      <c r="O35" s="67" t="str">
        <f>IFERROR(IF(INDEX(TblDomaines[Domaine],14)="","",INDEX(TblDomaines[Domaine],14)),"")</f>
        <v/>
      </c>
      <c r="P35" s="67" t="str">
        <f>IFERROR(IF(INDEX(TblTribes[Tribe],14)="","",INDEX(TblTribes[Tribe],14)),"")</f>
        <v/>
      </c>
    </row>
    <row r="36" spans="2:16" x14ac:dyDescent="0.2">
      <c r="B36" s="59" t="s">
        <v>457</v>
      </c>
      <c r="C36" s="59" t="s">
        <v>372</v>
      </c>
      <c r="D36" s="59" t="s">
        <v>462</v>
      </c>
      <c r="E36" s="59">
        <v>16</v>
      </c>
      <c r="F36" s="59">
        <v>32</v>
      </c>
      <c r="G36" s="71">
        <v>442</v>
      </c>
      <c r="H36" s="59" t="s">
        <v>278</v>
      </c>
      <c r="J36" s="59"/>
      <c r="K36" s="59"/>
      <c r="M36" s="59"/>
      <c r="O36" s="67" t="str">
        <f>IFERROR(IF(INDEX(TblDomaines[Domaine],15)="","",INDEX(TblDomaines[Domaine],15)),"")</f>
        <v/>
      </c>
      <c r="P36" s="67" t="str">
        <f>IFERROR(IF(INDEX(TblTribes[Tribe],15)="","",INDEX(TblTribes[Tribe],15)),"")</f>
        <v/>
      </c>
    </row>
    <row r="37" spans="2:16" x14ac:dyDescent="0.2">
      <c r="B37" s="59" t="s">
        <v>457</v>
      </c>
      <c r="C37" s="59" t="s">
        <v>372</v>
      </c>
      <c r="D37" s="59" t="s">
        <v>463</v>
      </c>
      <c r="E37" s="59">
        <v>16</v>
      </c>
      <c r="F37" s="59">
        <v>64</v>
      </c>
      <c r="G37" s="71">
        <v>531</v>
      </c>
      <c r="H37" s="59" t="s">
        <v>278</v>
      </c>
      <c r="J37" s="59"/>
      <c r="K37" s="59"/>
      <c r="M37" s="59"/>
      <c r="O37" s="67" t="str">
        <f>IFERROR(IF(INDEX(TblDomaines[Domaine],16)="","",INDEX(TblDomaines[Domaine],16)),"")</f>
        <v/>
      </c>
      <c r="P37" s="67" t="str">
        <f>IFERROR(IF(INDEX(TblTribes[Tribe],16)="","",INDEX(TblTribes[Tribe],16)),"")</f>
        <v/>
      </c>
    </row>
    <row r="38" spans="2:16" x14ac:dyDescent="0.2">
      <c r="B38" s="59" t="s">
        <v>457</v>
      </c>
      <c r="C38" s="59" t="s">
        <v>372</v>
      </c>
      <c r="D38" s="59" t="s">
        <v>464</v>
      </c>
      <c r="E38" s="59">
        <v>16</v>
      </c>
      <c r="F38" s="59">
        <v>128</v>
      </c>
      <c r="G38" s="71">
        <v>710</v>
      </c>
      <c r="H38" s="59" t="s">
        <v>278</v>
      </c>
      <c r="J38" s="59"/>
      <c r="K38" s="59"/>
      <c r="M38" s="59"/>
      <c r="O38" s="67" t="str">
        <f>IFERROR(IF(INDEX(TblDomaines[Domaine],17)="","",INDEX(TblDomaines[Domaine],17)),"")</f>
        <v/>
      </c>
      <c r="P38" s="67" t="str">
        <f>IFERROR(IF(INDEX(TblTribes[Tribe],17)="","",INDEX(TblTribes[Tribe],17)),"")</f>
        <v/>
      </c>
    </row>
    <row r="39" spans="2:16" x14ac:dyDescent="0.2">
      <c r="B39" s="59" t="s">
        <v>457</v>
      </c>
      <c r="C39" s="59" t="s">
        <v>372</v>
      </c>
      <c r="D39" s="59" t="s">
        <v>465</v>
      </c>
      <c r="E39" s="59">
        <v>32</v>
      </c>
      <c r="F39" s="59">
        <v>64</v>
      </c>
      <c r="G39" s="71">
        <v>883</v>
      </c>
      <c r="H39" s="59" t="s">
        <v>278</v>
      </c>
      <c r="J39" s="59"/>
      <c r="K39" s="59"/>
      <c r="M39" s="59"/>
      <c r="O39" s="67" t="str">
        <f>IFERROR(IF(INDEX(TblDomaines[Domaine],18)="","",INDEX(TblDomaines[Domaine],18)),"")</f>
        <v/>
      </c>
      <c r="P39" s="67" t="str">
        <f>IFERROR(IF(INDEX(TblTribes[Tribe],18)="","",INDEX(TblTribes[Tribe],18)),"")</f>
        <v/>
      </c>
    </row>
    <row r="40" spans="2:16" x14ac:dyDescent="0.2">
      <c r="B40" s="59" t="s">
        <v>457</v>
      </c>
      <c r="C40" s="59" t="s">
        <v>372</v>
      </c>
      <c r="D40" s="59" t="s">
        <v>374</v>
      </c>
      <c r="E40" s="59">
        <v>32</v>
      </c>
      <c r="F40" s="59">
        <v>128</v>
      </c>
      <c r="G40" s="71">
        <v>1062</v>
      </c>
      <c r="H40" s="59" t="s">
        <v>278</v>
      </c>
      <c r="J40" s="59"/>
      <c r="K40" s="59"/>
      <c r="M40" s="59"/>
      <c r="O40" s="67" t="str">
        <f>IFERROR(IF(INDEX(TblDomaines[Domaine],19)="","",INDEX(TblDomaines[Domaine],19)),"")</f>
        <v/>
      </c>
      <c r="P40" s="67" t="str">
        <f>IFERROR(IF(INDEX(TblTribes[Tribe],19)="","",INDEX(TblTribes[Tribe],19)),"")</f>
        <v/>
      </c>
    </row>
    <row r="41" spans="2:16" x14ac:dyDescent="0.2">
      <c r="B41" s="59" t="s">
        <v>457</v>
      </c>
      <c r="C41" s="59" t="s">
        <v>372</v>
      </c>
      <c r="D41" s="59" t="s">
        <v>385</v>
      </c>
      <c r="E41" s="59">
        <v>32</v>
      </c>
      <c r="F41" s="59">
        <v>256</v>
      </c>
      <c r="G41" s="71">
        <v>1421</v>
      </c>
      <c r="H41" s="59" t="s">
        <v>278</v>
      </c>
      <c r="J41" s="59"/>
      <c r="K41" s="59"/>
      <c r="O41" s="67" t="str">
        <f>IFERROR(IF(INDEX(TblDomaines[Domaine],20)="","",INDEX(TblDomaines[Domaine],20)),"")</f>
        <v/>
      </c>
      <c r="P41" s="67" t="str">
        <f>IFERROR(IF(INDEX(TblTribes[Tribe],20)="","",INDEX(TblTribes[Tribe],20)),"")</f>
        <v/>
      </c>
    </row>
    <row r="42" spans="2:16" x14ac:dyDescent="0.2">
      <c r="B42" s="59" t="s">
        <v>457</v>
      </c>
      <c r="C42" s="59" t="s">
        <v>372</v>
      </c>
      <c r="D42" s="59" t="s">
        <v>466</v>
      </c>
      <c r="E42" s="59">
        <v>48</v>
      </c>
      <c r="F42" s="59">
        <v>96</v>
      </c>
      <c r="G42" s="71">
        <v>1325</v>
      </c>
      <c r="H42" s="59" t="s">
        <v>278</v>
      </c>
      <c r="J42" s="59"/>
      <c r="K42" s="59"/>
      <c r="P42" s="67" t="str">
        <f>IFERROR(IF(INDEX(TblTribes[Tribe],21)="","",INDEX(TblTribes[Tribe],21)),"")</f>
        <v/>
      </c>
    </row>
    <row r="43" spans="2:16" x14ac:dyDescent="0.2">
      <c r="B43" s="59" t="s">
        <v>457</v>
      </c>
      <c r="C43" s="59" t="s">
        <v>372</v>
      </c>
      <c r="D43" s="59" t="s">
        <v>467</v>
      </c>
      <c r="E43" s="59">
        <v>48</v>
      </c>
      <c r="F43" s="59">
        <v>192</v>
      </c>
      <c r="G43" s="71">
        <v>1594</v>
      </c>
      <c r="H43" s="59" t="s">
        <v>278</v>
      </c>
      <c r="J43" s="59"/>
      <c r="K43" s="59"/>
      <c r="P43" s="67" t="str">
        <f>IFERROR(IF(INDEX(TblTribes[Tribe],22)="","",INDEX(TblTribes[Tribe],22)),"")</f>
        <v/>
      </c>
    </row>
    <row r="44" spans="2:16" x14ac:dyDescent="0.2">
      <c r="B44" s="59" t="s">
        <v>457</v>
      </c>
      <c r="C44" s="59" t="s">
        <v>372</v>
      </c>
      <c r="D44" s="59" t="s">
        <v>468</v>
      </c>
      <c r="E44" s="59">
        <v>48</v>
      </c>
      <c r="F44" s="59">
        <v>384</v>
      </c>
      <c r="G44" s="71">
        <v>2131</v>
      </c>
      <c r="H44" s="59" t="s">
        <v>278</v>
      </c>
      <c r="J44" s="59"/>
      <c r="K44" s="59"/>
      <c r="P44" s="67" t="str">
        <f>IFERROR(IF(INDEX(TblTribes[Tribe],23)="","",INDEX(TblTribes[Tribe],23)),"")</f>
        <v/>
      </c>
    </row>
    <row r="45" spans="2:16" x14ac:dyDescent="0.2">
      <c r="B45" s="59" t="s">
        <v>457</v>
      </c>
      <c r="C45" s="59" t="s">
        <v>372</v>
      </c>
      <c r="D45" s="59" t="s">
        <v>382</v>
      </c>
      <c r="E45" s="59">
        <v>64</v>
      </c>
      <c r="F45" s="59">
        <v>512</v>
      </c>
      <c r="G45" s="71">
        <v>2842</v>
      </c>
      <c r="H45" s="59" t="s">
        <v>278</v>
      </c>
      <c r="J45" s="59"/>
      <c r="K45" s="59"/>
      <c r="P45" s="67" t="str">
        <f>IFERROR(IF(INDEX(TblTribes[Tribe],24)="","",INDEX(TblTribes[Tribe],24)),"")</f>
        <v/>
      </c>
    </row>
    <row r="46" spans="2:16" x14ac:dyDescent="0.2">
      <c r="B46" s="59" t="s">
        <v>457</v>
      </c>
      <c r="C46" s="59" t="s">
        <v>372</v>
      </c>
      <c r="D46" s="59" t="s">
        <v>469</v>
      </c>
      <c r="E46" s="59">
        <v>128</v>
      </c>
      <c r="F46" s="59">
        <v>1024</v>
      </c>
      <c r="G46" s="71">
        <v>5683</v>
      </c>
      <c r="H46" s="59" t="s">
        <v>278</v>
      </c>
      <c r="J46" s="59"/>
      <c r="K46" s="59"/>
      <c r="P46" s="67" t="str">
        <f>IFERROR(IF(INDEX(TblTribes[Tribe],25)="","",INDEX(TblTribes[Tribe],25)),"")</f>
        <v/>
      </c>
    </row>
    <row r="47" spans="2:16" x14ac:dyDescent="0.2">
      <c r="B47" s="59"/>
      <c r="C47" s="59"/>
      <c r="D47" s="59"/>
      <c r="E47" s="59"/>
      <c r="F47" s="59"/>
      <c r="G47" s="71"/>
      <c r="H47" s="59"/>
      <c r="J47" s="59"/>
      <c r="K47" s="59"/>
      <c r="P47" s="67" t="str">
        <f>IFERROR(IF(INDEX(TblTribes[Tribe],26)="","",INDEX(TblTribes[Tribe],26)),"")</f>
        <v/>
      </c>
    </row>
    <row r="48" spans="2:16" x14ac:dyDescent="0.2">
      <c r="B48" s="59"/>
      <c r="C48" s="59"/>
      <c r="D48" s="59"/>
      <c r="E48" s="59"/>
      <c r="F48" s="59"/>
      <c r="G48" s="71"/>
      <c r="H48" s="59"/>
      <c r="J48" s="59"/>
      <c r="K48" s="59"/>
      <c r="P48" s="67" t="str">
        <f>IFERROR(IF(INDEX(TblTribes[Tribe],27)="","",INDEX(TblTribes[Tribe],27)),"")</f>
        <v/>
      </c>
    </row>
    <row r="49" spans="2:16" x14ac:dyDescent="0.2">
      <c r="B49" s="59"/>
      <c r="C49" s="59"/>
      <c r="D49" s="59"/>
      <c r="E49" s="59"/>
      <c r="F49" s="59"/>
      <c r="G49" s="71"/>
      <c r="H49" s="59"/>
      <c r="J49" s="59"/>
      <c r="K49" s="59"/>
      <c r="P49" s="67" t="str">
        <f>IFERROR(IF(INDEX(TblTribes[Tribe],28)="","",INDEX(TblTribes[Tribe],28)),"")</f>
        <v/>
      </c>
    </row>
    <row r="50" spans="2:16" x14ac:dyDescent="0.2">
      <c r="B50" s="59"/>
      <c r="C50" s="59"/>
      <c r="D50" s="59"/>
      <c r="E50" s="59"/>
      <c r="F50" s="59"/>
      <c r="G50" s="71"/>
      <c r="H50" s="59"/>
      <c r="J50" s="59"/>
      <c r="K50" s="59"/>
      <c r="P50" s="67" t="str">
        <f>IFERROR(IF(INDEX(TblTribes[Tribe],29)="","",INDEX(TblTribes[Tribe],29)),"")</f>
        <v/>
      </c>
    </row>
    <row r="51" spans="2:16" x14ac:dyDescent="0.2">
      <c r="B51" s="59"/>
      <c r="C51" s="59"/>
      <c r="D51" s="59"/>
      <c r="E51" s="59"/>
      <c r="F51" s="59"/>
      <c r="G51" s="71"/>
      <c r="H51" s="59"/>
      <c r="J51" s="59"/>
      <c r="K51" s="59"/>
      <c r="P51" s="67" t="str">
        <f>IFERROR(IF(INDEX(TblTribes[Tribe],30)="","",INDEX(TblTribes[Tribe],30)),"")</f>
        <v/>
      </c>
    </row>
    <row r="52" spans="2:16" x14ac:dyDescent="0.2">
      <c r="B52" s="59"/>
      <c r="C52" s="59"/>
      <c r="D52" s="59"/>
      <c r="E52" s="59"/>
      <c r="F52" s="59"/>
      <c r="G52" s="71"/>
      <c r="H52" s="59"/>
      <c r="J52" s="59"/>
      <c r="K52" s="59"/>
      <c r="P52" s="67" t="str">
        <f>IFERROR(IF(INDEX(TblTribes[Tribe],31)="","",INDEX(TblTribes[Tribe],31)),"")</f>
        <v/>
      </c>
    </row>
    <row r="53" spans="2:16" x14ac:dyDescent="0.2">
      <c r="B53" s="59"/>
      <c r="C53" s="59"/>
      <c r="D53" s="59"/>
      <c r="E53" s="59"/>
      <c r="F53" s="59"/>
      <c r="G53" s="71"/>
      <c r="H53" s="59"/>
      <c r="J53" s="59"/>
      <c r="K53" s="59"/>
      <c r="P53" s="67" t="str">
        <f>IFERROR(IF(INDEX(TblTribes[Tribe],32)="","",INDEX(TblTribes[Tribe],32)),"")</f>
        <v/>
      </c>
    </row>
    <row r="54" spans="2:16" x14ac:dyDescent="0.2">
      <c r="B54" s="59"/>
      <c r="C54" s="59"/>
      <c r="D54" s="59"/>
      <c r="E54" s="59"/>
      <c r="F54" s="59"/>
      <c r="G54" s="71"/>
      <c r="H54" s="59"/>
      <c r="J54" s="59"/>
      <c r="K54" s="59"/>
      <c r="P54" s="67" t="str">
        <f>IFERROR(IF(INDEX(TblTribes[Tribe],33)="","",INDEX(TblTribes[Tribe],33)),"")</f>
        <v/>
      </c>
    </row>
    <row r="55" spans="2:16" x14ac:dyDescent="0.2">
      <c r="B55" s="59"/>
      <c r="C55" s="59"/>
      <c r="D55" s="59"/>
      <c r="E55" s="59"/>
      <c r="F55" s="59"/>
      <c r="G55" s="71"/>
      <c r="H55" s="59"/>
      <c r="J55" s="59"/>
      <c r="K55" s="59"/>
      <c r="P55" s="67" t="str">
        <f>IFERROR(IF(INDEX(TblTribes[Tribe],34)="","",INDEX(TblTribes[Tribe],34)),"")</f>
        <v/>
      </c>
    </row>
    <row r="56" spans="2:16" x14ac:dyDescent="0.2">
      <c r="B56" s="59"/>
      <c r="C56" s="59"/>
      <c r="D56" s="59"/>
      <c r="E56" s="59"/>
      <c r="F56" s="59"/>
      <c r="G56" s="71"/>
      <c r="H56" s="59"/>
      <c r="J56" s="59"/>
      <c r="K56" s="59"/>
      <c r="P56" s="67" t="str">
        <f>IFERROR(IF(INDEX(TblTribes[Tribe],35)="","",INDEX(TblTribes[Tribe],35)),"")</f>
        <v/>
      </c>
    </row>
    <row r="57" spans="2:16" x14ac:dyDescent="0.2">
      <c r="B57" s="59"/>
      <c r="C57" s="59"/>
      <c r="D57" s="59"/>
      <c r="E57" s="59"/>
      <c r="F57" s="59"/>
      <c r="G57" s="71"/>
      <c r="H57" s="59"/>
      <c r="J57" s="59"/>
      <c r="K57" s="59"/>
      <c r="P57" s="67" t="str">
        <f>IFERROR(IF(INDEX(TblTribes[Tribe],36)="","",INDEX(TblTribes[Tribe],36)),"")</f>
        <v/>
      </c>
    </row>
    <row r="58" spans="2:16" x14ac:dyDescent="0.2">
      <c r="B58" s="59"/>
      <c r="C58" s="59"/>
      <c r="D58" s="59"/>
      <c r="E58" s="59"/>
      <c r="F58" s="59"/>
      <c r="G58" s="71"/>
      <c r="H58" s="59"/>
      <c r="J58" s="59"/>
      <c r="K58" s="59"/>
      <c r="P58" s="67" t="str">
        <f>IFERROR(IF(INDEX(TblTribes[Tribe],37)="","",INDEX(TblTribes[Tribe],37)),"")</f>
        <v/>
      </c>
    </row>
    <row r="59" spans="2:16" x14ac:dyDescent="0.2">
      <c r="B59" s="59"/>
      <c r="C59" s="59"/>
      <c r="D59" s="59"/>
      <c r="E59" s="59"/>
      <c r="F59" s="59"/>
      <c r="G59" s="71"/>
      <c r="H59" s="59"/>
      <c r="J59" s="59"/>
      <c r="K59" s="59"/>
      <c r="P59" s="67" t="str">
        <f>IFERROR(IF(INDEX(TblTribes[Tribe],38)="","",INDEX(TblTribes[Tribe],38)),"")</f>
        <v/>
      </c>
    </row>
    <row r="60" spans="2:16" x14ac:dyDescent="0.2">
      <c r="B60" s="59"/>
      <c r="C60" s="59"/>
      <c r="D60" s="59"/>
      <c r="E60" s="59"/>
      <c r="F60" s="59"/>
      <c r="G60" s="71"/>
      <c r="H60" s="59"/>
      <c r="J60" s="59"/>
      <c r="K60" s="59"/>
      <c r="P60" s="67" t="str">
        <f>IFERROR(IF(INDEX(TblTribes[Tribe],39)="","",INDEX(TblTribes[Tribe],39)),"")</f>
        <v/>
      </c>
    </row>
    <row r="61" spans="2:16" x14ac:dyDescent="0.2">
      <c r="P61" s="67" t="str">
        <f>IFERROR(IF(INDEX(TblTribes[Tribe],40)="","",INDEX(TblTribes[Tribe],40)),"")</f>
        <v/>
      </c>
    </row>
  </sheetData>
  <conditionalFormatting sqref="E4:E18">
    <cfRule type="expression" dxfId="0" priority="2">
      <formula>AND(E4&lt;&gt;"",E4&lt;&gt;"OK")</formula>
    </cfRule>
  </conditionalFormatting>
  <dataValidations count="14">
    <dataValidation type="decimal" allowBlank="1" showErrorMessage="1" errorTitle="Saisie invalide" error="Marge entre 0 et 100 %" sqref="C7:C8" xr:uid="{00000000-0002-0000-0900-000000000000}">
      <formula1>0</formula1>
      <formula2>1</formula2>
    </dataValidation>
    <dataValidation type="decimal" operator="greaterThanOrEqual" allowBlank="1" showErrorMessage="1" errorTitle="Saisie invalide" error="Tarif ≥ 0" sqref="C12:C15" xr:uid="{00000000-0002-0000-0900-000001000000}">
      <formula1>0</formula1>
      <formula2>0</formula2>
    </dataValidation>
    <dataValidation type="list" allowBlank="1" showErrorMessage="1" errorTitle="Saisie invalide" error="Valeur non autorisée : choisir dans la liste ou respecter le format attendu." sqref="C18" xr:uid="{00000000-0002-0000-0900-000002000000}">
      <formula1>$H$4:$H$5</formula1>
      <formula2>0</formula2>
    </dataValidation>
    <dataValidation type="decimal" operator="greaterThanOrEqual" allowBlank="1" showErrorMessage="1" errorTitle="Saisie invalide" error="Poids ≥ 0" sqref="C17" xr:uid="{00000000-0002-0000-0900-000003000000}">
      <formula1>0</formula1>
      <formula2>0</formula2>
    </dataValidation>
    <dataValidation type="whole" operator="greaterThanOrEqual" allowBlank="1" showErrorMessage="1" errorTitle="Saisie invalide" error="Nombre entier ≥ 1" sqref="C16 E21:F60" xr:uid="{00000000-0002-0000-0900-000004000000}">
      <formula1>1</formula1>
      <formula2>0</formula2>
    </dataValidation>
    <dataValidation type="date" operator="greaterThan" allowBlank="1" showErrorMessage="1" errorTitle="Saisie invalide" error="Saisir une date" sqref="C4" xr:uid="{00000000-0002-0000-0900-000005000000}">
      <formula1>36526</formula1>
      <formula2>0</formula2>
    </dataValidation>
    <dataValidation type="list" allowBlank="1" showErrorMessage="1" errorTitle="Saisie invalide" error="Valeur non autorisée : choisir dans la liste ou respecter le format attendu." sqref="C9" xr:uid="{00000000-0002-0000-0900-000006000000}">
      <formula1>$J$4:$J$5</formula1>
      <formula2>0</formula2>
    </dataValidation>
    <dataValidation type="list" allowBlank="1" showErrorMessage="1" errorTitle="Saisie invalide" error="Valeur non autorisée : choisir dans la liste ou respecter le format attendu." sqref="C10" xr:uid="{00000000-0002-0000-0900-000007000000}">
      <formula1>$K$4:$K$6</formula1>
      <formula2>0</formula2>
    </dataValidation>
    <dataValidation type="whole" allowBlank="1" showErrorMessage="1" errorTitle="Saisie invalide" error="Horizon entre 1 et 36 mois" sqref="C5" xr:uid="{00000000-0002-0000-0900-000008000000}">
      <formula1>1</formula1>
      <formula2>36</formula2>
    </dataValidation>
    <dataValidation type="decimal" operator="greaterThan" allowBlank="1" showErrorMessage="1" errorTitle="Saisie invalide" error="Tarif &gt; 0" sqref="G21:G60" xr:uid="{00000000-0002-0000-0900-000009000000}">
      <formula1>0</formula1>
      <formula2>0</formula2>
    </dataValidation>
    <dataValidation type="list" allowBlank="1" showErrorMessage="1" errorTitle="Saisie invalide" error="Valeur non autorisée : choisir dans la liste ou respecter le format attendu." sqref="C21:C60" xr:uid="{00000000-0002-0000-0900-00000A000000}">
      <formula1>$I$4:$I$5</formula1>
      <formula2>0</formula2>
    </dataValidation>
    <dataValidation type="list" allowBlank="1" showErrorMessage="1" errorTitle="Saisie invalide" error="Valeur non autorisée : choisir dans la liste ou respecter le format attendu." sqref="H21:H60" xr:uid="{00000000-0002-0000-0900-00000B000000}">
      <formula1>$L$4:$L$6</formula1>
      <formula2>0</formula2>
    </dataValidation>
    <dataValidation type="list" allowBlank="1" showErrorMessage="1" errorTitle="Saisie invalide" error="Valeur non autorisée : choisir dans la liste ou respecter le format attendu." sqref="K21:K60" xr:uid="{00000000-0002-0000-0900-00000C000000}">
      <formula1>$M$21:$M$40</formula1>
      <formula2>0</formula2>
    </dataValidation>
    <dataValidation type="whole" operator="greaterThanOrEqual" allowBlank="1" showErrorMessage="1" errorTitle="Saisie invalide" error="Nombre entier ≥ 0" sqref="S4:S5" xr:uid="{00000000-0002-0000-0900-00000D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445"/>
  <sheetViews>
    <sheetView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/>
    </sheetView>
  </sheetViews>
  <sheetFormatPr baseColWidth="10" defaultColWidth="8.6640625" defaultRowHeight="15" outlineLevelCol="1" x14ac:dyDescent="0.2"/>
  <cols>
    <col min="1" max="4" width="11" hidden="1" customWidth="1" outlineLevel="1"/>
    <col min="5" max="5" width="11" customWidth="1"/>
    <col min="6" max="6" width="15" customWidth="1"/>
    <col min="7" max="23" width="11" customWidth="1"/>
    <col min="24" max="31" width="11" customWidth="1" outlineLevel="1"/>
    <col min="32" max="35" width="11" customWidth="1"/>
  </cols>
  <sheetData>
    <row r="1" spans="1:35" ht="18" x14ac:dyDescent="0.2">
      <c r="A1" s="50" t="s">
        <v>470</v>
      </c>
    </row>
    <row r="2" spans="1:35" x14ac:dyDescent="0.2">
      <c r="A2" s="16" t="s">
        <v>471</v>
      </c>
    </row>
    <row r="5" spans="1:35" ht="45" customHeight="1" x14ac:dyDescent="0.2">
      <c r="A5" s="25" t="s">
        <v>472</v>
      </c>
      <c r="B5" s="25" t="s">
        <v>473</v>
      </c>
      <c r="C5" s="25" t="s">
        <v>474</v>
      </c>
      <c r="D5" s="25" t="s">
        <v>475</v>
      </c>
      <c r="E5" s="25" t="s">
        <v>42</v>
      </c>
      <c r="F5" s="25" t="s">
        <v>60</v>
      </c>
      <c r="G5" s="25" t="s">
        <v>61</v>
      </c>
      <c r="H5" s="25" t="s">
        <v>311</v>
      </c>
      <c r="I5" s="25" t="s">
        <v>476</v>
      </c>
      <c r="J5" s="25" t="s">
        <v>315</v>
      </c>
      <c r="K5" s="25" t="s">
        <v>318</v>
      </c>
      <c r="L5" s="25" t="s">
        <v>477</v>
      </c>
      <c r="M5" s="25" t="s">
        <v>478</v>
      </c>
      <c r="N5" s="25" t="s">
        <v>479</v>
      </c>
      <c r="O5" s="25" t="s">
        <v>480</v>
      </c>
      <c r="P5" s="25" t="s">
        <v>481</v>
      </c>
      <c r="Q5" s="25" t="s">
        <v>482</v>
      </c>
      <c r="R5" s="25" t="s">
        <v>483</v>
      </c>
      <c r="S5" s="25" t="s">
        <v>484</v>
      </c>
      <c r="T5" s="25" t="s">
        <v>50</v>
      </c>
      <c r="U5" s="25" t="s">
        <v>485</v>
      </c>
      <c r="V5" s="25" t="s">
        <v>486</v>
      </c>
      <c r="W5" s="25" t="s">
        <v>487</v>
      </c>
      <c r="X5" s="25" t="s">
        <v>488</v>
      </c>
      <c r="Y5" s="25" t="s">
        <v>489</v>
      </c>
      <c r="Z5" s="25" t="s">
        <v>490</v>
      </c>
      <c r="AA5" s="25" t="s">
        <v>491</v>
      </c>
      <c r="AB5" s="25" t="s">
        <v>492</v>
      </c>
      <c r="AC5" s="25" t="s">
        <v>493</v>
      </c>
      <c r="AD5" s="25" t="s">
        <v>494</v>
      </c>
      <c r="AE5" s="25" t="s">
        <v>495</v>
      </c>
      <c r="AF5" s="25" t="s">
        <v>26</v>
      </c>
      <c r="AG5" s="25" t="s">
        <v>496</v>
      </c>
      <c r="AH5" s="25" t="s">
        <v>497</v>
      </c>
      <c r="AI5" s="25" t="s">
        <v>498</v>
      </c>
    </row>
    <row r="6" spans="1:35" x14ac:dyDescent="0.2">
      <c r="A6" s="19">
        <v>1</v>
      </c>
      <c r="B6" s="19">
        <f t="shared" ref="B6:B69" si="0">INT(($A6-1)/36)+1</f>
        <v>1</v>
      </c>
      <c r="C6" s="19">
        <f t="shared" ref="C6:C69" si="1">MOD($A6-1,36)+1</f>
        <v>1</v>
      </c>
      <c r="D6" s="19">
        <f>IF($C6&gt;p_horizon,0,IFERROR(IF(AND(INDEX(TblClusters[Cluster],$B6)&lt;&gt;"",ISNUMBER(INDEX(TblClusters[CPU initial (vCPU)],$B6)),ISNUMBER(INDEX(TblClusters[CPU min (vCPU)],$B6)),OR(INDEX(TblClusters[Plateforme],$B6)="IKS",INDEX(TblClusters[Plateforme],$B6)="ROKS")),1,0),0))</f>
        <v>1</v>
      </c>
      <c r="E6" s="72">
        <f t="shared" ref="E6:E69" si="2">IF($D6=1,EDATE(p_debut,$C6-1),"")</f>
        <v>46296</v>
      </c>
      <c r="F6" s="19" t="str">
        <f>IF($D6=1,INDEX(TblClusters[Cluster],$B6),"")</f>
        <v>oc002i000577</v>
      </c>
      <c r="G6" s="19" t="str">
        <f>IF($D6=1,INDEX(TblClusters[Plateforme],$B6),"")</f>
        <v>ROKS</v>
      </c>
      <c r="H6" s="19">
        <f>IF($D6=1,INDEX(TblClusters[vCPU par nœud],$B6),"")</f>
        <v>8</v>
      </c>
      <c r="I6" s="19">
        <f>IF($D6=1,INDEX(TblClusters[RAM par nœud (Go)],$B6),"")</f>
        <v>40</v>
      </c>
      <c r="J6" s="19">
        <f>IF($D6=1,INDEX(TblClusters[Workers min],$B6),"")</f>
        <v>6</v>
      </c>
      <c r="K6" s="73">
        <f>IF($D6=1,INDEX(TblClusters[Tarif par nœud],$B6),"")</f>
        <v>368</v>
      </c>
      <c r="L6" s="19">
        <f>IF($D6=1,INDEX(TblClusters[CPU initial (vCPU)],$B6),"")</f>
        <v>48</v>
      </c>
      <c r="M6" s="19">
        <f>IF($D6=1,INDEX(TblClusters[RAM initiale (Go)],$B6),"")</f>
        <v>240</v>
      </c>
      <c r="N6" s="19">
        <f>IF($D6=1,INDEX(TblClusters[CPU min (vCPU)],$B6),"")</f>
        <v>48</v>
      </c>
      <c r="O6" s="19">
        <f>IF($D6=1,INDEX(TblClusters[RAM min (Go)],$B6),"")</f>
        <v>240</v>
      </c>
      <c r="P6" s="19">
        <f>IF($D6&lt;&gt;1,"",IF($G6="ROKS",SUMIFS(TblApplications[Besoin ROKS CPU (vCPU)],TblApplications[Cluster ROKS cible],$F6,TblApplications[Action],"À migrer",TblApplications[Déjà incluse ROKS],"Non",TblApplications[Mois prov (calc)],"&lt;="&amp;$E6),SUMIFS(TblApplications[CPU IKS libérable (vCPU)],TblApplications[Cluster IKS source],$F6,TblApplications[Mois lib (calc)],"&lt;="&amp;$E6)))</f>
        <v>0</v>
      </c>
      <c r="Q6" s="19">
        <f>IF($D6&lt;&gt;1,"",IF($G6="ROKS",SUMIFS(TblApplications[Besoin ROKS RAM (Go)],TblApplications[Cluster ROKS cible],$F6,TblApplications[Action],"À migrer",TblApplications[Déjà incluse ROKS],"Non",TblApplications[Mois prov (calc)],"&lt;="&amp;$E6),SUMIFS(TblApplications[RAM IKS libérable (Go)],TblApplications[Cluster IKS source],$F6,TblApplications[Mois lib (calc)],"&lt;="&amp;$E6)))</f>
        <v>0</v>
      </c>
      <c r="R6" s="19">
        <f t="shared" ref="R6:R69" si="3">IF($D6&lt;&gt;1,"",IF($G6="ROKS",$L6+$P6,IF($AI6=1,0,MAX($N6,$L6-$P6))))</f>
        <v>48</v>
      </c>
      <c r="S6" s="19">
        <f t="shared" ref="S6:S69" si="4">IF($D6&lt;&gt;1,"",IF($G6="ROKS",$M6+$Q6,IF($AI6=1,0,MAX($O6,$M6-$Q6))))</f>
        <v>240</v>
      </c>
      <c r="T6" s="19">
        <f t="shared" ref="T6:T69" si="5">IF($D6&lt;&gt;1,"",IF($AI6=1,0,MAX($J6,ROUNDUP(MAX($R6/$H6,$S6/$I6),0))))</f>
        <v>6</v>
      </c>
      <c r="U6" s="19">
        <f t="shared" ref="U6:U69" si="6">IF($D6&lt;&gt;1,"",IF(p_mode="Nœud",$T6*$H6,$R6))</f>
        <v>48</v>
      </c>
      <c r="V6" s="19">
        <f t="shared" ref="V6:V69" si="7">IF($D6&lt;&gt;1,"",IF(p_mode="Nœud",$T6*$I6,$S6))</f>
        <v>240</v>
      </c>
      <c r="W6" s="73">
        <f t="shared" ref="W6:W69" si="8">IF($D6&lt;&gt;1,"",IF(p_mode="Nœud",$T6*$K6,$R6*IF($G6="IKS",p_iks_cpu,p_roks_cpu)+$S6*IF($G6="IKS",p_iks_ram,p_roks_ram))*p_facteur)</f>
        <v>2208</v>
      </c>
      <c r="X6" s="19">
        <f>IF($D6&lt;&gt;1,"",IF($G6="ROKS",$R6,IF($AI6=1,0,MAX($N6,$L6-SUMIFS(TblApplications[CPU IKS libérable (vCPU)],TblApplications[Cluster IKS source],$F6,TblApplications[Action],"À migrer",TblApplications[Mois prov (calc)],"&lt;="&amp;$E6)-SUMIFS(TblApplications[CPU IKS libérable (vCPU)],TblApplications[Cluster IKS source],$F6,TblApplications[Action],"À décommissionner",TblApplications[Mois lib (calc)],"&lt;="&amp;$E6)))))</f>
        <v>48</v>
      </c>
      <c r="Y6" s="19">
        <f>IF($D6&lt;&gt;1,"",IF($G6="ROKS",$S6,IF($AI6=1,0,MAX($O6,$M6-SUMIFS(TblApplications[RAM IKS libérable (Go)],TblApplications[Cluster IKS source],$F6,TblApplications[Action],"À migrer",TblApplications[Mois prov (calc)],"&lt;="&amp;$E6)-SUMIFS(TblApplications[RAM IKS libérable (Go)],TblApplications[Cluster IKS source],$F6,TblApplications[Action],"À décommissionner",TblApplications[Mois lib (calc)],"&lt;="&amp;$E6)))))</f>
        <v>240</v>
      </c>
      <c r="Z6" s="19">
        <f t="shared" ref="Z6:Z69" si="9">IF($D6&lt;&gt;1,"",IF($AI6=1,0,MAX($J6,ROUNDUP(MAX($X6/$H6,$Y6/$I6),0))))</f>
        <v>6</v>
      </c>
      <c r="AA6" s="73">
        <f t="shared" ref="AA6:AA69" si="10">IF($D6&lt;&gt;1,"",IF(p_mode="Nœud",$Z6*$K6,$X6*IF($G6="IKS",p_iks_cpu,p_roks_cpu)+$Y6*IF($G6="IKS",p_iks_ram,p_roks_ram))*p_facteur)</f>
        <v>2208</v>
      </c>
      <c r="AB6" s="19">
        <f t="shared" ref="AB6:AB69" si="11">IF($D6&lt;&gt;1,"",MAX($J6,ROUNDUP(MAX($L6/$H6,$M6/$I6),0)))</f>
        <v>6</v>
      </c>
      <c r="AC6" s="73">
        <f t="shared" ref="AC6:AC69" si="12">IF($D6&lt;&gt;1,"",IF(p_mode="Nœud",$AB6*$K6,$L6*IF($G6="IKS",p_iks_cpu,p_roks_cpu)+$M6*IF($G6="IKS",p_iks_ram,p_roks_ram))*p_facteur)</f>
        <v>2208</v>
      </c>
      <c r="AD6" s="19">
        <f t="shared" ref="AD6:AD69" si="13">IF($D6&lt;&gt;1,"",IF(AND($G6="IKS",$AI6&lt;&gt;1,OR($L6-$P6&lt;$N6,$M6-$Q6&lt;$O6)),1,0))</f>
        <v>0</v>
      </c>
      <c r="AE6" s="19">
        <f t="shared" ref="AE6:AE69" si="14">IF($D6&lt;&gt;1,"",IF(AND($G6="ROKS",$T6&gt;p_maxworkers),1,0))</f>
        <v>0</v>
      </c>
      <c r="AF6" s="19" t="str">
        <f>IF($D6&lt;&gt;1,"",IF(INDEX(TblClusters[Environnement],$B6)="","(vide)",INDEX(TblClusters[Environnement],$B6)))</f>
        <v>PRD</v>
      </c>
      <c r="AG6" s="19">
        <f t="shared" ref="AG6:AG69" si="15">IF($D6&lt;&gt;1,"",$R6+p_poidsram*$S6)</f>
        <v>72</v>
      </c>
      <c r="AH6" s="19">
        <f t="shared" ref="AH6:AH69" si="16">IF($D6&lt;&gt;1,"",IFERROR($W6/$AG6,0))</f>
        <v>30.666666666666668</v>
      </c>
      <c r="AI6" s="19">
        <f>IF($D6&lt;&gt;1,"",IF(AND($G6="IKS",ISNUMBER(INDEX(TblClusters[Fermeture retenue],$B6))),IF($E6&gt;=INDEX(TblClusters[Fermeture retenue],$B6),1,0),0))</f>
        <v>0</v>
      </c>
    </row>
    <row r="7" spans="1:35" x14ac:dyDescent="0.2">
      <c r="A7" s="19">
        <v>2</v>
      </c>
      <c r="B7" s="19">
        <f t="shared" si="0"/>
        <v>1</v>
      </c>
      <c r="C7" s="19">
        <f t="shared" si="1"/>
        <v>2</v>
      </c>
      <c r="D7" s="19">
        <f>IF($C7&gt;p_horizon,0,IFERROR(IF(AND(INDEX(TblClusters[Cluster],$B7)&lt;&gt;"",ISNUMBER(INDEX(TblClusters[CPU initial (vCPU)],$B7)),ISNUMBER(INDEX(TblClusters[CPU min (vCPU)],$B7)),OR(INDEX(TblClusters[Plateforme],$B7)="IKS",INDEX(TblClusters[Plateforme],$B7)="ROKS")),1,0),0))</f>
        <v>1</v>
      </c>
      <c r="E7" s="72">
        <f t="shared" si="2"/>
        <v>46327</v>
      </c>
      <c r="F7" s="19" t="str">
        <f>IF($D7=1,INDEX(TblClusters[Cluster],$B7),"")</f>
        <v>oc002i000577</v>
      </c>
      <c r="G7" s="19" t="str">
        <f>IF($D7=1,INDEX(TblClusters[Plateforme],$B7),"")</f>
        <v>ROKS</v>
      </c>
      <c r="H7" s="19">
        <f>IF($D7=1,INDEX(TblClusters[vCPU par nœud],$B7),"")</f>
        <v>8</v>
      </c>
      <c r="I7" s="19">
        <f>IF($D7=1,INDEX(TblClusters[RAM par nœud (Go)],$B7),"")</f>
        <v>40</v>
      </c>
      <c r="J7" s="19">
        <f>IF($D7=1,INDEX(TblClusters[Workers min],$B7),"")</f>
        <v>6</v>
      </c>
      <c r="K7" s="73">
        <f>IF($D7=1,INDEX(TblClusters[Tarif par nœud],$B7),"")</f>
        <v>368</v>
      </c>
      <c r="L7" s="19">
        <f>IF($D7=1,INDEX(TblClusters[CPU initial (vCPU)],$B7),"")</f>
        <v>48</v>
      </c>
      <c r="M7" s="19">
        <f>IF($D7=1,INDEX(TblClusters[RAM initiale (Go)],$B7),"")</f>
        <v>240</v>
      </c>
      <c r="N7" s="19">
        <f>IF($D7=1,INDEX(TblClusters[CPU min (vCPU)],$B7),"")</f>
        <v>48</v>
      </c>
      <c r="O7" s="19">
        <f>IF($D7=1,INDEX(TblClusters[RAM min (Go)],$B7),"")</f>
        <v>240</v>
      </c>
      <c r="P7" s="19">
        <f>IF($D7&lt;&gt;1,"",IF($G7="ROKS",SUMIFS(TblApplications[Besoin ROKS CPU (vCPU)],TblApplications[Cluster ROKS cible],$F7,TblApplications[Action],"À migrer",TblApplications[Déjà incluse ROKS],"Non",TblApplications[Mois prov (calc)],"&lt;="&amp;$E7),SUMIFS(TblApplications[CPU IKS libérable (vCPU)],TblApplications[Cluster IKS source],$F7,TblApplications[Mois lib (calc)],"&lt;="&amp;$E7)))</f>
        <v>0</v>
      </c>
      <c r="Q7" s="19">
        <f>IF($D7&lt;&gt;1,"",IF($G7="ROKS",SUMIFS(TblApplications[Besoin ROKS RAM (Go)],TblApplications[Cluster ROKS cible],$F7,TblApplications[Action],"À migrer",TblApplications[Déjà incluse ROKS],"Non",TblApplications[Mois prov (calc)],"&lt;="&amp;$E7),SUMIFS(TblApplications[RAM IKS libérable (Go)],TblApplications[Cluster IKS source],$F7,TblApplications[Mois lib (calc)],"&lt;="&amp;$E7)))</f>
        <v>0</v>
      </c>
      <c r="R7" s="19">
        <f t="shared" si="3"/>
        <v>48</v>
      </c>
      <c r="S7" s="19">
        <f t="shared" si="4"/>
        <v>240</v>
      </c>
      <c r="T7" s="19">
        <f t="shared" si="5"/>
        <v>6</v>
      </c>
      <c r="U7" s="19">
        <f t="shared" si="6"/>
        <v>48</v>
      </c>
      <c r="V7" s="19">
        <f t="shared" si="7"/>
        <v>240</v>
      </c>
      <c r="W7" s="73">
        <f t="shared" si="8"/>
        <v>2208</v>
      </c>
      <c r="X7" s="19">
        <f>IF($D7&lt;&gt;1,"",IF($G7="ROKS",$R7,IF($AI7=1,0,MAX($N7,$L7-SUMIFS(TblApplications[CPU IKS libérable (vCPU)],TblApplications[Cluster IKS source],$F7,TblApplications[Action],"À migrer",TblApplications[Mois prov (calc)],"&lt;="&amp;$E7)-SUMIFS(TblApplications[CPU IKS libérable (vCPU)],TblApplications[Cluster IKS source],$F7,TblApplications[Action],"À décommissionner",TblApplications[Mois lib (calc)],"&lt;="&amp;$E7)))))</f>
        <v>48</v>
      </c>
      <c r="Y7" s="19">
        <f>IF($D7&lt;&gt;1,"",IF($G7="ROKS",$S7,IF($AI7=1,0,MAX($O7,$M7-SUMIFS(TblApplications[RAM IKS libérable (Go)],TblApplications[Cluster IKS source],$F7,TblApplications[Action],"À migrer",TblApplications[Mois prov (calc)],"&lt;="&amp;$E7)-SUMIFS(TblApplications[RAM IKS libérable (Go)],TblApplications[Cluster IKS source],$F7,TblApplications[Action],"À décommissionner",TblApplications[Mois lib (calc)],"&lt;="&amp;$E7)))))</f>
        <v>240</v>
      </c>
      <c r="Z7" s="19">
        <f t="shared" si="9"/>
        <v>6</v>
      </c>
      <c r="AA7" s="73">
        <f t="shared" si="10"/>
        <v>2208</v>
      </c>
      <c r="AB7" s="19">
        <f t="shared" si="11"/>
        <v>6</v>
      </c>
      <c r="AC7" s="73">
        <f t="shared" si="12"/>
        <v>2208</v>
      </c>
      <c r="AD7" s="19">
        <f t="shared" si="13"/>
        <v>0</v>
      </c>
      <c r="AE7" s="19">
        <f t="shared" si="14"/>
        <v>0</v>
      </c>
      <c r="AF7" s="19" t="str">
        <f>IF($D7&lt;&gt;1,"",IF(INDEX(TblClusters[Environnement],$B7)="","(vide)",INDEX(TblClusters[Environnement],$B7)))</f>
        <v>PRD</v>
      </c>
      <c r="AG7" s="19">
        <f t="shared" si="15"/>
        <v>72</v>
      </c>
      <c r="AH7" s="19">
        <f t="shared" si="16"/>
        <v>30.666666666666668</v>
      </c>
      <c r="AI7" s="19">
        <f>IF($D7&lt;&gt;1,"",IF(AND($G7="IKS",ISNUMBER(INDEX(TblClusters[Fermeture retenue],$B7))),IF($E7&gt;=INDEX(TblClusters[Fermeture retenue],$B7),1,0),0))</f>
        <v>0</v>
      </c>
    </row>
    <row r="8" spans="1:35" x14ac:dyDescent="0.2">
      <c r="A8" s="19">
        <v>3</v>
      </c>
      <c r="B8" s="19">
        <f t="shared" si="0"/>
        <v>1</v>
      </c>
      <c r="C8" s="19">
        <f t="shared" si="1"/>
        <v>3</v>
      </c>
      <c r="D8" s="19">
        <f>IF($C8&gt;p_horizon,0,IFERROR(IF(AND(INDEX(TblClusters[Cluster],$B8)&lt;&gt;"",ISNUMBER(INDEX(TblClusters[CPU initial (vCPU)],$B8)),ISNUMBER(INDEX(TblClusters[CPU min (vCPU)],$B8)),OR(INDEX(TblClusters[Plateforme],$B8)="IKS",INDEX(TblClusters[Plateforme],$B8)="ROKS")),1,0),0))</f>
        <v>1</v>
      </c>
      <c r="E8" s="72">
        <f t="shared" si="2"/>
        <v>46357</v>
      </c>
      <c r="F8" s="19" t="str">
        <f>IF($D8=1,INDEX(TblClusters[Cluster],$B8),"")</f>
        <v>oc002i000577</v>
      </c>
      <c r="G8" s="19" t="str">
        <f>IF($D8=1,INDEX(TblClusters[Plateforme],$B8),"")</f>
        <v>ROKS</v>
      </c>
      <c r="H8" s="19">
        <f>IF($D8=1,INDEX(TblClusters[vCPU par nœud],$B8),"")</f>
        <v>8</v>
      </c>
      <c r="I8" s="19">
        <f>IF($D8=1,INDEX(TblClusters[RAM par nœud (Go)],$B8),"")</f>
        <v>40</v>
      </c>
      <c r="J8" s="19">
        <f>IF($D8=1,INDEX(TblClusters[Workers min],$B8),"")</f>
        <v>6</v>
      </c>
      <c r="K8" s="73">
        <f>IF($D8=1,INDEX(TblClusters[Tarif par nœud],$B8),"")</f>
        <v>368</v>
      </c>
      <c r="L8" s="19">
        <f>IF($D8=1,INDEX(TblClusters[CPU initial (vCPU)],$B8),"")</f>
        <v>48</v>
      </c>
      <c r="M8" s="19">
        <f>IF($D8=1,INDEX(TblClusters[RAM initiale (Go)],$B8),"")</f>
        <v>240</v>
      </c>
      <c r="N8" s="19">
        <f>IF($D8=1,INDEX(TblClusters[CPU min (vCPU)],$B8),"")</f>
        <v>48</v>
      </c>
      <c r="O8" s="19">
        <f>IF($D8=1,INDEX(TblClusters[RAM min (Go)],$B8),"")</f>
        <v>240</v>
      </c>
      <c r="P8" s="19">
        <f>IF($D8&lt;&gt;1,"",IF($G8="ROKS",SUMIFS(TblApplications[Besoin ROKS CPU (vCPU)],TblApplications[Cluster ROKS cible],$F8,TblApplications[Action],"À migrer",TblApplications[Déjà incluse ROKS],"Non",TblApplications[Mois prov (calc)],"&lt;="&amp;$E8),SUMIFS(TblApplications[CPU IKS libérable (vCPU)],TblApplications[Cluster IKS source],$F8,TblApplications[Mois lib (calc)],"&lt;="&amp;$E8)))</f>
        <v>0</v>
      </c>
      <c r="Q8" s="19">
        <f>IF($D8&lt;&gt;1,"",IF($G8="ROKS",SUMIFS(TblApplications[Besoin ROKS RAM (Go)],TblApplications[Cluster ROKS cible],$F8,TblApplications[Action],"À migrer",TblApplications[Déjà incluse ROKS],"Non",TblApplications[Mois prov (calc)],"&lt;="&amp;$E8),SUMIFS(TblApplications[RAM IKS libérable (Go)],TblApplications[Cluster IKS source],$F8,TblApplications[Mois lib (calc)],"&lt;="&amp;$E8)))</f>
        <v>0</v>
      </c>
      <c r="R8" s="19">
        <f t="shared" si="3"/>
        <v>48</v>
      </c>
      <c r="S8" s="19">
        <f t="shared" si="4"/>
        <v>240</v>
      </c>
      <c r="T8" s="19">
        <f t="shared" si="5"/>
        <v>6</v>
      </c>
      <c r="U8" s="19">
        <f t="shared" si="6"/>
        <v>48</v>
      </c>
      <c r="V8" s="19">
        <f t="shared" si="7"/>
        <v>240</v>
      </c>
      <c r="W8" s="73">
        <f t="shared" si="8"/>
        <v>2208</v>
      </c>
      <c r="X8" s="19">
        <f>IF($D8&lt;&gt;1,"",IF($G8="ROKS",$R8,IF($AI8=1,0,MAX($N8,$L8-SUMIFS(TblApplications[CPU IKS libérable (vCPU)],TblApplications[Cluster IKS source],$F8,TblApplications[Action],"À migrer",TblApplications[Mois prov (calc)],"&lt;="&amp;$E8)-SUMIFS(TblApplications[CPU IKS libérable (vCPU)],TblApplications[Cluster IKS source],$F8,TblApplications[Action],"À décommissionner",TblApplications[Mois lib (calc)],"&lt;="&amp;$E8)))))</f>
        <v>48</v>
      </c>
      <c r="Y8" s="19">
        <f>IF($D8&lt;&gt;1,"",IF($G8="ROKS",$S8,IF($AI8=1,0,MAX($O8,$M8-SUMIFS(TblApplications[RAM IKS libérable (Go)],TblApplications[Cluster IKS source],$F8,TblApplications[Action],"À migrer",TblApplications[Mois prov (calc)],"&lt;="&amp;$E8)-SUMIFS(TblApplications[RAM IKS libérable (Go)],TblApplications[Cluster IKS source],$F8,TblApplications[Action],"À décommissionner",TblApplications[Mois lib (calc)],"&lt;="&amp;$E8)))))</f>
        <v>240</v>
      </c>
      <c r="Z8" s="19">
        <f t="shared" si="9"/>
        <v>6</v>
      </c>
      <c r="AA8" s="73">
        <f t="shared" si="10"/>
        <v>2208</v>
      </c>
      <c r="AB8" s="19">
        <f t="shared" si="11"/>
        <v>6</v>
      </c>
      <c r="AC8" s="73">
        <f t="shared" si="12"/>
        <v>2208</v>
      </c>
      <c r="AD8" s="19">
        <f t="shared" si="13"/>
        <v>0</v>
      </c>
      <c r="AE8" s="19">
        <f t="shared" si="14"/>
        <v>0</v>
      </c>
      <c r="AF8" s="19" t="str">
        <f>IF($D8&lt;&gt;1,"",IF(INDEX(TblClusters[Environnement],$B8)="","(vide)",INDEX(TblClusters[Environnement],$B8)))</f>
        <v>PRD</v>
      </c>
      <c r="AG8" s="19">
        <f t="shared" si="15"/>
        <v>72</v>
      </c>
      <c r="AH8" s="19">
        <f t="shared" si="16"/>
        <v>30.666666666666668</v>
      </c>
      <c r="AI8" s="19">
        <f>IF($D8&lt;&gt;1,"",IF(AND($G8="IKS",ISNUMBER(INDEX(TblClusters[Fermeture retenue],$B8))),IF($E8&gt;=INDEX(TblClusters[Fermeture retenue],$B8),1,0),0))</f>
        <v>0</v>
      </c>
    </row>
    <row r="9" spans="1:35" x14ac:dyDescent="0.2">
      <c r="A9" s="19">
        <v>4</v>
      </c>
      <c r="B9" s="19">
        <f t="shared" si="0"/>
        <v>1</v>
      </c>
      <c r="C9" s="19">
        <f t="shared" si="1"/>
        <v>4</v>
      </c>
      <c r="D9" s="19">
        <f>IF($C9&gt;p_horizon,0,IFERROR(IF(AND(INDEX(TblClusters[Cluster],$B9)&lt;&gt;"",ISNUMBER(INDEX(TblClusters[CPU initial (vCPU)],$B9)),ISNUMBER(INDEX(TblClusters[CPU min (vCPU)],$B9)),OR(INDEX(TblClusters[Plateforme],$B9)="IKS",INDEX(TblClusters[Plateforme],$B9)="ROKS")),1,0),0))</f>
        <v>1</v>
      </c>
      <c r="E9" s="72">
        <f t="shared" si="2"/>
        <v>46388</v>
      </c>
      <c r="F9" s="19" t="str">
        <f>IF($D9=1,INDEX(TblClusters[Cluster],$B9),"")</f>
        <v>oc002i000577</v>
      </c>
      <c r="G9" s="19" t="str">
        <f>IF($D9=1,INDEX(TblClusters[Plateforme],$B9),"")</f>
        <v>ROKS</v>
      </c>
      <c r="H9" s="19">
        <f>IF($D9=1,INDEX(TblClusters[vCPU par nœud],$B9),"")</f>
        <v>8</v>
      </c>
      <c r="I9" s="19">
        <f>IF($D9=1,INDEX(TblClusters[RAM par nœud (Go)],$B9),"")</f>
        <v>40</v>
      </c>
      <c r="J9" s="19">
        <f>IF($D9=1,INDEX(TblClusters[Workers min],$B9),"")</f>
        <v>6</v>
      </c>
      <c r="K9" s="73">
        <f>IF($D9=1,INDEX(TblClusters[Tarif par nœud],$B9),"")</f>
        <v>368</v>
      </c>
      <c r="L9" s="19">
        <f>IF($D9=1,INDEX(TblClusters[CPU initial (vCPU)],$B9),"")</f>
        <v>48</v>
      </c>
      <c r="M9" s="19">
        <f>IF($D9=1,INDEX(TblClusters[RAM initiale (Go)],$B9),"")</f>
        <v>240</v>
      </c>
      <c r="N9" s="19">
        <f>IF($D9=1,INDEX(TblClusters[CPU min (vCPU)],$B9),"")</f>
        <v>48</v>
      </c>
      <c r="O9" s="19">
        <f>IF($D9=1,INDEX(TblClusters[RAM min (Go)],$B9),"")</f>
        <v>240</v>
      </c>
      <c r="P9" s="19">
        <f>IF($D9&lt;&gt;1,"",IF($G9="ROKS",SUMIFS(TblApplications[Besoin ROKS CPU (vCPU)],TblApplications[Cluster ROKS cible],$F9,TblApplications[Action],"À migrer",TblApplications[Déjà incluse ROKS],"Non",TblApplications[Mois prov (calc)],"&lt;="&amp;$E9),SUMIFS(TblApplications[CPU IKS libérable (vCPU)],TblApplications[Cluster IKS source],$F9,TblApplications[Mois lib (calc)],"&lt;="&amp;$E9)))</f>
        <v>0</v>
      </c>
      <c r="Q9" s="19">
        <f>IF($D9&lt;&gt;1,"",IF($G9="ROKS",SUMIFS(TblApplications[Besoin ROKS RAM (Go)],TblApplications[Cluster ROKS cible],$F9,TblApplications[Action],"À migrer",TblApplications[Déjà incluse ROKS],"Non",TblApplications[Mois prov (calc)],"&lt;="&amp;$E9),SUMIFS(TblApplications[RAM IKS libérable (Go)],TblApplications[Cluster IKS source],$F9,TblApplications[Mois lib (calc)],"&lt;="&amp;$E9)))</f>
        <v>0</v>
      </c>
      <c r="R9" s="19">
        <f t="shared" si="3"/>
        <v>48</v>
      </c>
      <c r="S9" s="19">
        <f t="shared" si="4"/>
        <v>240</v>
      </c>
      <c r="T9" s="19">
        <f t="shared" si="5"/>
        <v>6</v>
      </c>
      <c r="U9" s="19">
        <f t="shared" si="6"/>
        <v>48</v>
      </c>
      <c r="V9" s="19">
        <f t="shared" si="7"/>
        <v>240</v>
      </c>
      <c r="W9" s="73">
        <f t="shared" si="8"/>
        <v>2208</v>
      </c>
      <c r="X9" s="19">
        <f>IF($D9&lt;&gt;1,"",IF($G9="ROKS",$R9,IF($AI9=1,0,MAX($N9,$L9-SUMIFS(TblApplications[CPU IKS libérable (vCPU)],TblApplications[Cluster IKS source],$F9,TblApplications[Action],"À migrer",TblApplications[Mois prov (calc)],"&lt;="&amp;$E9)-SUMIFS(TblApplications[CPU IKS libérable (vCPU)],TblApplications[Cluster IKS source],$F9,TblApplications[Action],"À décommissionner",TblApplications[Mois lib (calc)],"&lt;="&amp;$E9)))))</f>
        <v>48</v>
      </c>
      <c r="Y9" s="19">
        <f>IF($D9&lt;&gt;1,"",IF($G9="ROKS",$S9,IF($AI9=1,0,MAX($O9,$M9-SUMIFS(TblApplications[RAM IKS libérable (Go)],TblApplications[Cluster IKS source],$F9,TblApplications[Action],"À migrer",TblApplications[Mois prov (calc)],"&lt;="&amp;$E9)-SUMIFS(TblApplications[RAM IKS libérable (Go)],TblApplications[Cluster IKS source],$F9,TblApplications[Action],"À décommissionner",TblApplications[Mois lib (calc)],"&lt;="&amp;$E9)))))</f>
        <v>240</v>
      </c>
      <c r="Z9" s="19">
        <f t="shared" si="9"/>
        <v>6</v>
      </c>
      <c r="AA9" s="73">
        <f t="shared" si="10"/>
        <v>2208</v>
      </c>
      <c r="AB9" s="19">
        <f t="shared" si="11"/>
        <v>6</v>
      </c>
      <c r="AC9" s="73">
        <f t="shared" si="12"/>
        <v>2208</v>
      </c>
      <c r="AD9" s="19">
        <f t="shared" si="13"/>
        <v>0</v>
      </c>
      <c r="AE9" s="19">
        <f t="shared" si="14"/>
        <v>0</v>
      </c>
      <c r="AF9" s="19" t="str">
        <f>IF($D9&lt;&gt;1,"",IF(INDEX(TblClusters[Environnement],$B9)="","(vide)",INDEX(TblClusters[Environnement],$B9)))</f>
        <v>PRD</v>
      </c>
      <c r="AG9" s="19">
        <f t="shared" si="15"/>
        <v>72</v>
      </c>
      <c r="AH9" s="19">
        <f t="shared" si="16"/>
        <v>30.666666666666668</v>
      </c>
      <c r="AI9" s="19">
        <f>IF($D9&lt;&gt;1,"",IF(AND($G9="IKS",ISNUMBER(INDEX(TblClusters[Fermeture retenue],$B9))),IF($E9&gt;=INDEX(TblClusters[Fermeture retenue],$B9),1,0),0))</f>
        <v>0</v>
      </c>
    </row>
    <row r="10" spans="1:35" x14ac:dyDescent="0.2">
      <c r="A10" s="19">
        <v>5</v>
      </c>
      <c r="B10" s="19">
        <f t="shared" si="0"/>
        <v>1</v>
      </c>
      <c r="C10" s="19">
        <f t="shared" si="1"/>
        <v>5</v>
      </c>
      <c r="D10" s="19">
        <f>IF($C10&gt;p_horizon,0,IFERROR(IF(AND(INDEX(TblClusters[Cluster],$B10)&lt;&gt;"",ISNUMBER(INDEX(TblClusters[CPU initial (vCPU)],$B10)),ISNUMBER(INDEX(TblClusters[CPU min (vCPU)],$B10)),OR(INDEX(TblClusters[Plateforme],$B10)="IKS",INDEX(TblClusters[Plateforme],$B10)="ROKS")),1,0),0))</f>
        <v>1</v>
      </c>
      <c r="E10" s="72">
        <f t="shared" si="2"/>
        <v>46419</v>
      </c>
      <c r="F10" s="19" t="str">
        <f>IF($D10=1,INDEX(TblClusters[Cluster],$B10),"")</f>
        <v>oc002i000577</v>
      </c>
      <c r="G10" s="19" t="str">
        <f>IF($D10=1,INDEX(TblClusters[Plateforme],$B10),"")</f>
        <v>ROKS</v>
      </c>
      <c r="H10" s="19">
        <f>IF($D10=1,INDEX(TblClusters[vCPU par nœud],$B10),"")</f>
        <v>8</v>
      </c>
      <c r="I10" s="19">
        <f>IF($D10=1,INDEX(TblClusters[RAM par nœud (Go)],$B10),"")</f>
        <v>40</v>
      </c>
      <c r="J10" s="19">
        <f>IF($D10=1,INDEX(TblClusters[Workers min],$B10),"")</f>
        <v>6</v>
      </c>
      <c r="K10" s="73">
        <f>IF($D10=1,INDEX(TblClusters[Tarif par nœud],$B10),"")</f>
        <v>368</v>
      </c>
      <c r="L10" s="19">
        <f>IF($D10=1,INDEX(TblClusters[CPU initial (vCPU)],$B10),"")</f>
        <v>48</v>
      </c>
      <c r="M10" s="19">
        <f>IF($D10=1,INDEX(TblClusters[RAM initiale (Go)],$B10),"")</f>
        <v>240</v>
      </c>
      <c r="N10" s="19">
        <f>IF($D10=1,INDEX(TblClusters[CPU min (vCPU)],$B10),"")</f>
        <v>48</v>
      </c>
      <c r="O10" s="19">
        <f>IF($D10=1,INDEX(TblClusters[RAM min (Go)],$B10),"")</f>
        <v>240</v>
      </c>
      <c r="P10" s="19">
        <f>IF($D10&lt;&gt;1,"",IF($G10="ROKS",SUMIFS(TblApplications[Besoin ROKS CPU (vCPU)],TblApplications[Cluster ROKS cible],$F10,TblApplications[Action],"À migrer",TblApplications[Déjà incluse ROKS],"Non",TblApplications[Mois prov (calc)],"&lt;="&amp;$E10),SUMIFS(TblApplications[CPU IKS libérable (vCPU)],TblApplications[Cluster IKS source],$F10,TblApplications[Mois lib (calc)],"&lt;="&amp;$E10)))</f>
        <v>0</v>
      </c>
      <c r="Q10" s="19">
        <f>IF($D10&lt;&gt;1,"",IF($G10="ROKS",SUMIFS(TblApplications[Besoin ROKS RAM (Go)],TblApplications[Cluster ROKS cible],$F10,TblApplications[Action],"À migrer",TblApplications[Déjà incluse ROKS],"Non",TblApplications[Mois prov (calc)],"&lt;="&amp;$E10),SUMIFS(TblApplications[RAM IKS libérable (Go)],TblApplications[Cluster IKS source],$F10,TblApplications[Mois lib (calc)],"&lt;="&amp;$E10)))</f>
        <v>0</v>
      </c>
      <c r="R10" s="19">
        <f t="shared" si="3"/>
        <v>48</v>
      </c>
      <c r="S10" s="19">
        <f t="shared" si="4"/>
        <v>240</v>
      </c>
      <c r="T10" s="19">
        <f t="shared" si="5"/>
        <v>6</v>
      </c>
      <c r="U10" s="19">
        <f t="shared" si="6"/>
        <v>48</v>
      </c>
      <c r="V10" s="19">
        <f t="shared" si="7"/>
        <v>240</v>
      </c>
      <c r="W10" s="73">
        <f t="shared" si="8"/>
        <v>2208</v>
      </c>
      <c r="X10" s="19">
        <f>IF($D10&lt;&gt;1,"",IF($G10="ROKS",$R10,IF($AI10=1,0,MAX($N10,$L10-SUMIFS(TblApplications[CPU IKS libérable (vCPU)],TblApplications[Cluster IKS source],$F10,TblApplications[Action],"À migrer",TblApplications[Mois prov (calc)],"&lt;="&amp;$E10)-SUMIFS(TblApplications[CPU IKS libérable (vCPU)],TblApplications[Cluster IKS source],$F10,TblApplications[Action],"À décommissionner",TblApplications[Mois lib (calc)],"&lt;="&amp;$E10)))))</f>
        <v>48</v>
      </c>
      <c r="Y10" s="19">
        <f>IF($D10&lt;&gt;1,"",IF($G10="ROKS",$S10,IF($AI10=1,0,MAX($O10,$M10-SUMIFS(TblApplications[RAM IKS libérable (Go)],TblApplications[Cluster IKS source],$F10,TblApplications[Action],"À migrer",TblApplications[Mois prov (calc)],"&lt;="&amp;$E10)-SUMIFS(TblApplications[RAM IKS libérable (Go)],TblApplications[Cluster IKS source],$F10,TblApplications[Action],"À décommissionner",TblApplications[Mois lib (calc)],"&lt;="&amp;$E10)))))</f>
        <v>240</v>
      </c>
      <c r="Z10" s="19">
        <f t="shared" si="9"/>
        <v>6</v>
      </c>
      <c r="AA10" s="73">
        <f t="shared" si="10"/>
        <v>2208</v>
      </c>
      <c r="AB10" s="19">
        <f t="shared" si="11"/>
        <v>6</v>
      </c>
      <c r="AC10" s="73">
        <f t="shared" si="12"/>
        <v>2208</v>
      </c>
      <c r="AD10" s="19">
        <f t="shared" si="13"/>
        <v>0</v>
      </c>
      <c r="AE10" s="19">
        <f t="shared" si="14"/>
        <v>0</v>
      </c>
      <c r="AF10" s="19" t="str">
        <f>IF($D10&lt;&gt;1,"",IF(INDEX(TblClusters[Environnement],$B10)="","(vide)",INDEX(TblClusters[Environnement],$B10)))</f>
        <v>PRD</v>
      </c>
      <c r="AG10" s="19">
        <f t="shared" si="15"/>
        <v>72</v>
      </c>
      <c r="AH10" s="19">
        <f t="shared" si="16"/>
        <v>30.666666666666668</v>
      </c>
      <c r="AI10" s="19">
        <f>IF($D10&lt;&gt;1,"",IF(AND($G10="IKS",ISNUMBER(INDEX(TblClusters[Fermeture retenue],$B10))),IF($E10&gt;=INDEX(TblClusters[Fermeture retenue],$B10),1,0),0))</f>
        <v>0</v>
      </c>
    </row>
    <row r="11" spans="1:35" x14ac:dyDescent="0.2">
      <c r="A11" s="19">
        <v>6</v>
      </c>
      <c r="B11" s="19">
        <f t="shared" si="0"/>
        <v>1</v>
      </c>
      <c r="C11" s="19">
        <f t="shared" si="1"/>
        <v>6</v>
      </c>
      <c r="D11" s="19">
        <f>IF($C11&gt;p_horizon,0,IFERROR(IF(AND(INDEX(TblClusters[Cluster],$B11)&lt;&gt;"",ISNUMBER(INDEX(TblClusters[CPU initial (vCPU)],$B11)),ISNUMBER(INDEX(TblClusters[CPU min (vCPU)],$B11)),OR(INDEX(TblClusters[Plateforme],$B11)="IKS",INDEX(TblClusters[Plateforme],$B11)="ROKS")),1,0),0))</f>
        <v>1</v>
      </c>
      <c r="E11" s="72">
        <f t="shared" si="2"/>
        <v>46447</v>
      </c>
      <c r="F11" s="19" t="str">
        <f>IF($D11=1,INDEX(TblClusters[Cluster],$B11),"")</f>
        <v>oc002i000577</v>
      </c>
      <c r="G11" s="19" t="str">
        <f>IF($D11=1,INDEX(TblClusters[Plateforme],$B11),"")</f>
        <v>ROKS</v>
      </c>
      <c r="H11" s="19">
        <f>IF($D11=1,INDEX(TblClusters[vCPU par nœud],$B11),"")</f>
        <v>8</v>
      </c>
      <c r="I11" s="19">
        <f>IF($D11=1,INDEX(TblClusters[RAM par nœud (Go)],$B11),"")</f>
        <v>40</v>
      </c>
      <c r="J11" s="19">
        <f>IF($D11=1,INDEX(TblClusters[Workers min],$B11),"")</f>
        <v>6</v>
      </c>
      <c r="K11" s="73">
        <f>IF($D11=1,INDEX(TblClusters[Tarif par nœud],$B11),"")</f>
        <v>368</v>
      </c>
      <c r="L11" s="19">
        <f>IF($D11=1,INDEX(TblClusters[CPU initial (vCPU)],$B11),"")</f>
        <v>48</v>
      </c>
      <c r="M11" s="19">
        <f>IF($D11=1,INDEX(TblClusters[RAM initiale (Go)],$B11),"")</f>
        <v>240</v>
      </c>
      <c r="N11" s="19">
        <f>IF($D11=1,INDEX(TblClusters[CPU min (vCPU)],$B11),"")</f>
        <v>48</v>
      </c>
      <c r="O11" s="19">
        <f>IF($D11=1,INDEX(TblClusters[RAM min (Go)],$B11),"")</f>
        <v>240</v>
      </c>
      <c r="P11" s="19">
        <f>IF($D11&lt;&gt;1,"",IF($G11="ROKS",SUMIFS(TblApplications[Besoin ROKS CPU (vCPU)],TblApplications[Cluster ROKS cible],$F11,TblApplications[Action],"À migrer",TblApplications[Déjà incluse ROKS],"Non",TblApplications[Mois prov (calc)],"&lt;="&amp;$E11),SUMIFS(TblApplications[CPU IKS libérable (vCPU)],TblApplications[Cluster IKS source],$F11,TblApplications[Mois lib (calc)],"&lt;="&amp;$E11)))</f>
        <v>0</v>
      </c>
      <c r="Q11" s="19">
        <f>IF($D11&lt;&gt;1,"",IF($G11="ROKS",SUMIFS(TblApplications[Besoin ROKS RAM (Go)],TblApplications[Cluster ROKS cible],$F11,TblApplications[Action],"À migrer",TblApplications[Déjà incluse ROKS],"Non",TblApplications[Mois prov (calc)],"&lt;="&amp;$E11),SUMIFS(TblApplications[RAM IKS libérable (Go)],TblApplications[Cluster IKS source],$F11,TblApplications[Mois lib (calc)],"&lt;="&amp;$E11)))</f>
        <v>0</v>
      </c>
      <c r="R11" s="19">
        <f t="shared" si="3"/>
        <v>48</v>
      </c>
      <c r="S11" s="19">
        <f t="shared" si="4"/>
        <v>240</v>
      </c>
      <c r="T11" s="19">
        <f t="shared" si="5"/>
        <v>6</v>
      </c>
      <c r="U11" s="19">
        <f t="shared" si="6"/>
        <v>48</v>
      </c>
      <c r="V11" s="19">
        <f t="shared" si="7"/>
        <v>240</v>
      </c>
      <c r="W11" s="73">
        <f t="shared" si="8"/>
        <v>2208</v>
      </c>
      <c r="X11" s="19">
        <f>IF($D11&lt;&gt;1,"",IF($G11="ROKS",$R11,IF($AI11=1,0,MAX($N11,$L11-SUMIFS(TblApplications[CPU IKS libérable (vCPU)],TblApplications[Cluster IKS source],$F11,TblApplications[Action],"À migrer",TblApplications[Mois prov (calc)],"&lt;="&amp;$E11)-SUMIFS(TblApplications[CPU IKS libérable (vCPU)],TblApplications[Cluster IKS source],$F11,TblApplications[Action],"À décommissionner",TblApplications[Mois lib (calc)],"&lt;="&amp;$E11)))))</f>
        <v>48</v>
      </c>
      <c r="Y11" s="19">
        <f>IF($D11&lt;&gt;1,"",IF($G11="ROKS",$S11,IF($AI11=1,0,MAX($O11,$M11-SUMIFS(TblApplications[RAM IKS libérable (Go)],TblApplications[Cluster IKS source],$F11,TblApplications[Action],"À migrer",TblApplications[Mois prov (calc)],"&lt;="&amp;$E11)-SUMIFS(TblApplications[RAM IKS libérable (Go)],TblApplications[Cluster IKS source],$F11,TblApplications[Action],"À décommissionner",TblApplications[Mois lib (calc)],"&lt;="&amp;$E11)))))</f>
        <v>240</v>
      </c>
      <c r="Z11" s="19">
        <f t="shared" si="9"/>
        <v>6</v>
      </c>
      <c r="AA11" s="73">
        <f t="shared" si="10"/>
        <v>2208</v>
      </c>
      <c r="AB11" s="19">
        <f t="shared" si="11"/>
        <v>6</v>
      </c>
      <c r="AC11" s="73">
        <f t="shared" si="12"/>
        <v>2208</v>
      </c>
      <c r="AD11" s="19">
        <f t="shared" si="13"/>
        <v>0</v>
      </c>
      <c r="AE11" s="19">
        <f t="shared" si="14"/>
        <v>0</v>
      </c>
      <c r="AF11" s="19" t="str">
        <f>IF($D11&lt;&gt;1,"",IF(INDEX(TblClusters[Environnement],$B11)="","(vide)",INDEX(TblClusters[Environnement],$B11)))</f>
        <v>PRD</v>
      </c>
      <c r="AG11" s="19">
        <f t="shared" si="15"/>
        <v>72</v>
      </c>
      <c r="AH11" s="19">
        <f t="shared" si="16"/>
        <v>30.666666666666668</v>
      </c>
      <c r="AI11" s="19">
        <f>IF($D11&lt;&gt;1,"",IF(AND($G11="IKS",ISNUMBER(INDEX(TblClusters[Fermeture retenue],$B11))),IF($E11&gt;=INDEX(TblClusters[Fermeture retenue],$B11),1,0),0))</f>
        <v>0</v>
      </c>
    </row>
    <row r="12" spans="1:35" x14ac:dyDescent="0.2">
      <c r="A12" s="19">
        <v>7</v>
      </c>
      <c r="B12" s="19">
        <f t="shared" si="0"/>
        <v>1</v>
      </c>
      <c r="C12" s="19">
        <f t="shared" si="1"/>
        <v>7</v>
      </c>
      <c r="D12" s="19">
        <f>IF($C12&gt;p_horizon,0,IFERROR(IF(AND(INDEX(TblClusters[Cluster],$B12)&lt;&gt;"",ISNUMBER(INDEX(TblClusters[CPU initial (vCPU)],$B12)),ISNUMBER(INDEX(TblClusters[CPU min (vCPU)],$B12)),OR(INDEX(TblClusters[Plateforme],$B12)="IKS",INDEX(TblClusters[Plateforme],$B12)="ROKS")),1,0),0))</f>
        <v>1</v>
      </c>
      <c r="E12" s="72">
        <f t="shared" si="2"/>
        <v>46478</v>
      </c>
      <c r="F12" s="19" t="str">
        <f>IF($D12=1,INDEX(TblClusters[Cluster],$B12),"")</f>
        <v>oc002i000577</v>
      </c>
      <c r="G12" s="19" t="str">
        <f>IF($D12=1,INDEX(TblClusters[Plateforme],$B12),"")</f>
        <v>ROKS</v>
      </c>
      <c r="H12" s="19">
        <f>IF($D12=1,INDEX(TblClusters[vCPU par nœud],$B12),"")</f>
        <v>8</v>
      </c>
      <c r="I12" s="19">
        <f>IF($D12=1,INDEX(TblClusters[RAM par nœud (Go)],$B12),"")</f>
        <v>40</v>
      </c>
      <c r="J12" s="19">
        <f>IF($D12=1,INDEX(TblClusters[Workers min],$B12),"")</f>
        <v>6</v>
      </c>
      <c r="K12" s="73">
        <f>IF($D12=1,INDEX(TblClusters[Tarif par nœud],$B12),"")</f>
        <v>368</v>
      </c>
      <c r="L12" s="19">
        <f>IF($D12=1,INDEX(TblClusters[CPU initial (vCPU)],$B12),"")</f>
        <v>48</v>
      </c>
      <c r="M12" s="19">
        <f>IF($D12=1,INDEX(TblClusters[RAM initiale (Go)],$B12),"")</f>
        <v>240</v>
      </c>
      <c r="N12" s="19">
        <f>IF($D12=1,INDEX(TblClusters[CPU min (vCPU)],$B12),"")</f>
        <v>48</v>
      </c>
      <c r="O12" s="19">
        <f>IF($D12=1,INDEX(TblClusters[RAM min (Go)],$B12),"")</f>
        <v>240</v>
      </c>
      <c r="P12" s="19">
        <f>IF($D12&lt;&gt;1,"",IF($G12="ROKS",SUMIFS(TblApplications[Besoin ROKS CPU (vCPU)],TblApplications[Cluster ROKS cible],$F12,TblApplications[Action],"À migrer",TblApplications[Déjà incluse ROKS],"Non",TblApplications[Mois prov (calc)],"&lt;="&amp;$E12),SUMIFS(TblApplications[CPU IKS libérable (vCPU)],TblApplications[Cluster IKS source],$F12,TblApplications[Mois lib (calc)],"&lt;="&amp;$E12)))</f>
        <v>15</v>
      </c>
      <c r="Q12" s="19">
        <f>IF($D12&lt;&gt;1,"",IF($G12="ROKS",SUMIFS(TblApplications[Besoin ROKS RAM (Go)],TblApplications[Cluster ROKS cible],$F12,TblApplications[Action],"À migrer",TblApplications[Déjà incluse ROKS],"Non",TblApplications[Mois prov (calc)],"&lt;="&amp;$E12),SUMIFS(TblApplications[RAM IKS libérable (Go)],TblApplications[Cluster IKS source],$F12,TblApplications[Mois lib (calc)],"&lt;="&amp;$E12)))</f>
        <v>72</v>
      </c>
      <c r="R12" s="19">
        <f t="shared" si="3"/>
        <v>63</v>
      </c>
      <c r="S12" s="19">
        <f t="shared" si="4"/>
        <v>312</v>
      </c>
      <c r="T12" s="19">
        <f t="shared" si="5"/>
        <v>8</v>
      </c>
      <c r="U12" s="19">
        <f t="shared" si="6"/>
        <v>64</v>
      </c>
      <c r="V12" s="19">
        <f t="shared" si="7"/>
        <v>320</v>
      </c>
      <c r="W12" s="73">
        <f t="shared" si="8"/>
        <v>2944</v>
      </c>
      <c r="X12" s="19">
        <f>IF($D12&lt;&gt;1,"",IF($G12="ROKS",$R12,IF($AI12=1,0,MAX($N12,$L12-SUMIFS(TblApplications[CPU IKS libérable (vCPU)],TblApplications[Cluster IKS source],$F12,TblApplications[Action],"À migrer",TblApplications[Mois prov (calc)],"&lt;="&amp;$E12)-SUMIFS(TblApplications[CPU IKS libérable (vCPU)],TblApplications[Cluster IKS source],$F12,TblApplications[Action],"À décommissionner",TblApplications[Mois lib (calc)],"&lt;="&amp;$E12)))))</f>
        <v>63</v>
      </c>
      <c r="Y12" s="19">
        <f>IF($D12&lt;&gt;1,"",IF($G12="ROKS",$S12,IF($AI12=1,0,MAX($O12,$M12-SUMIFS(TblApplications[RAM IKS libérable (Go)],TblApplications[Cluster IKS source],$F12,TblApplications[Action],"À migrer",TblApplications[Mois prov (calc)],"&lt;="&amp;$E12)-SUMIFS(TblApplications[RAM IKS libérable (Go)],TblApplications[Cluster IKS source],$F12,TblApplications[Action],"À décommissionner",TblApplications[Mois lib (calc)],"&lt;="&amp;$E12)))))</f>
        <v>312</v>
      </c>
      <c r="Z12" s="19">
        <f t="shared" si="9"/>
        <v>8</v>
      </c>
      <c r="AA12" s="73">
        <f t="shared" si="10"/>
        <v>2944</v>
      </c>
      <c r="AB12" s="19">
        <f t="shared" si="11"/>
        <v>6</v>
      </c>
      <c r="AC12" s="73">
        <f t="shared" si="12"/>
        <v>2208</v>
      </c>
      <c r="AD12" s="19">
        <f t="shared" si="13"/>
        <v>0</v>
      </c>
      <c r="AE12" s="19">
        <f t="shared" si="14"/>
        <v>0</v>
      </c>
      <c r="AF12" s="19" t="str">
        <f>IF($D12&lt;&gt;1,"",IF(INDEX(TblClusters[Environnement],$B12)="","(vide)",INDEX(TblClusters[Environnement],$B12)))</f>
        <v>PRD</v>
      </c>
      <c r="AG12" s="19">
        <f t="shared" si="15"/>
        <v>94.2</v>
      </c>
      <c r="AH12" s="19">
        <f t="shared" si="16"/>
        <v>31.252653927813164</v>
      </c>
      <c r="AI12" s="19">
        <f>IF($D12&lt;&gt;1,"",IF(AND($G12="IKS",ISNUMBER(INDEX(TblClusters[Fermeture retenue],$B12))),IF($E12&gt;=INDEX(TblClusters[Fermeture retenue],$B12),1,0),0))</f>
        <v>0</v>
      </c>
    </row>
    <row r="13" spans="1:35" x14ac:dyDescent="0.2">
      <c r="A13" s="19">
        <v>8</v>
      </c>
      <c r="B13" s="19">
        <f t="shared" si="0"/>
        <v>1</v>
      </c>
      <c r="C13" s="19">
        <f t="shared" si="1"/>
        <v>8</v>
      </c>
      <c r="D13" s="19">
        <f>IF($C13&gt;p_horizon,0,IFERROR(IF(AND(INDEX(TblClusters[Cluster],$B13)&lt;&gt;"",ISNUMBER(INDEX(TblClusters[CPU initial (vCPU)],$B13)),ISNUMBER(INDEX(TblClusters[CPU min (vCPU)],$B13)),OR(INDEX(TblClusters[Plateforme],$B13)="IKS",INDEX(TblClusters[Plateforme],$B13)="ROKS")),1,0),0))</f>
        <v>1</v>
      </c>
      <c r="E13" s="72">
        <f t="shared" si="2"/>
        <v>46508</v>
      </c>
      <c r="F13" s="19" t="str">
        <f>IF($D13=1,INDEX(TblClusters[Cluster],$B13),"")</f>
        <v>oc002i000577</v>
      </c>
      <c r="G13" s="19" t="str">
        <f>IF($D13=1,INDEX(TblClusters[Plateforme],$B13),"")</f>
        <v>ROKS</v>
      </c>
      <c r="H13" s="19">
        <f>IF($D13=1,INDEX(TblClusters[vCPU par nœud],$B13),"")</f>
        <v>8</v>
      </c>
      <c r="I13" s="19">
        <f>IF($D13=1,INDEX(TblClusters[RAM par nœud (Go)],$B13),"")</f>
        <v>40</v>
      </c>
      <c r="J13" s="19">
        <f>IF($D13=1,INDEX(TblClusters[Workers min],$B13),"")</f>
        <v>6</v>
      </c>
      <c r="K13" s="73">
        <f>IF($D13=1,INDEX(TblClusters[Tarif par nœud],$B13),"")</f>
        <v>368</v>
      </c>
      <c r="L13" s="19">
        <f>IF($D13=1,INDEX(TblClusters[CPU initial (vCPU)],$B13),"")</f>
        <v>48</v>
      </c>
      <c r="M13" s="19">
        <f>IF($D13=1,INDEX(TblClusters[RAM initiale (Go)],$B13),"")</f>
        <v>240</v>
      </c>
      <c r="N13" s="19">
        <f>IF($D13=1,INDEX(TblClusters[CPU min (vCPU)],$B13),"")</f>
        <v>48</v>
      </c>
      <c r="O13" s="19">
        <f>IF($D13=1,INDEX(TblClusters[RAM min (Go)],$B13),"")</f>
        <v>240</v>
      </c>
      <c r="P13" s="19">
        <f>IF($D13&lt;&gt;1,"",IF($G13="ROKS",SUMIFS(TblApplications[Besoin ROKS CPU (vCPU)],TblApplications[Cluster ROKS cible],$F13,TblApplications[Action],"À migrer",TblApplications[Déjà incluse ROKS],"Non",TblApplications[Mois prov (calc)],"&lt;="&amp;$E13),SUMIFS(TblApplications[CPU IKS libérable (vCPU)],TblApplications[Cluster IKS source],$F13,TblApplications[Mois lib (calc)],"&lt;="&amp;$E13)))</f>
        <v>15</v>
      </c>
      <c r="Q13" s="19">
        <f>IF($D13&lt;&gt;1,"",IF($G13="ROKS",SUMIFS(TblApplications[Besoin ROKS RAM (Go)],TblApplications[Cluster ROKS cible],$F13,TblApplications[Action],"À migrer",TblApplications[Déjà incluse ROKS],"Non",TblApplications[Mois prov (calc)],"&lt;="&amp;$E13),SUMIFS(TblApplications[RAM IKS libérable (Go)],TblApplications[Cluster IKS source],$F13,TblApplications[Mois lib (calc)],"&lt;="&amp;$E13)))</f>
        <v>72</v>
      </c>
      <c r="R13" s="19">
        <f t="shared" si="3"/>
        <v>63</v>
      </c>
      <c r="S13" s="19">
        <f t="shared" si="4"/>
        <v>312</v>
      </c>
      <c r="T13" s="19">
        <f t="shared" si="5"/>
        <v>8</v>
      </c>
      <c r="U13" s="19">
        <f t="shared" si="6"/>
        <v>64</v>
      </c>
      <c r="V13" s="19">
        <f t="shared" si="7"/>
        <v>320</v>
      </c>
      <c r="W13" s="73">
        <f t="shared" si="8"/>
        <v>2944</v>
      </c>
      <c r="X13" s="19">
        <f>IF($D13&lt;&gt;1,"",IF($G13="ROKS",$R13,IF($AI13=1,0,MAX($N13,$L13-SUMIFS(TblApplications[CPU IKS libérable (vCPU)],TblApplications[Cluster IKS source],$F13,TblApplications[Action],"À migrer",TblApplications[Mois prov (calc)],"&lt;="&amp;$E13)-SUMIFS(TblApplications[CPU IKS libérable (vCPU)],TblApplications[Cluster IKS source],$F13,TblApplications[Action],"À décommissionner",TblApplications[Mois lib (calc)],"&lt;="&amp;$E13)))))</f>
        <v>63</v>
      </c>
      <c r="Y13" s="19">
        <f>IF($D13&lt;&gt;1,"",IF($G13="ROKS",$S13,IF($AI13=1,0,MAX($O13,$M13-SUMIFS(TblApplications[RAM IKS libérable (Go)],TblApplications[Cluster IKS source],$F13,TblApplications[Action],"À migrer",TblApplications[Mois prov (calc)],"&lt;="&amp;$E13)-SUMIFS(TblApplications[RAM IKS libérable (Go)],TblApplications[Cluster IKS source],$F13,TblApplications[Action],"À décommissionner",TblApplications[Mois lib (calc)],"&lt;="&amp;$E13)))))</f>
        <v>312</v>
      </c>
      <c r="Z13" s="19">
        <f t="shared" si="9"/>
        <v>8</v>
      </c>
      <c r="AA13" s="73">
        <f t="shared" si="10"/>
        <v>2944</v>
      </c>
      <c r="AB13" s="19">
        <f t="shared" si="11"/>
        <v>6</v>
      </c>
      <c r="AC13" s="73">
        <f t="shared" si="12"/>
        <v>2208</v>
      </c>
      <c r="AD13" s="19">
        <f t="shared" si="13"/>
        <v>0</v>
      </c>
      <c r="AE13" s="19">
        <f t="shared" si="14"/>
        <v>0</v>
      </c>
      <c r="AF13" s="19" t="str">
        <f>IF($D13&lt;&gt;1,"",IF(INDEX(TblClusters[Environnement],$B13)="","(vide)",INDEX(TblClusters[Environnement],$B13)))</f>
        <v>PRD</v>
      </c>
      <c r="AG13" s="19">
        <f t="shared" si="15"/>
        <v>94.2</v>
      </c>
      <c r="AH13" s="19">
        <f t="shared" si="16"/>
        <v>31.252653927813164</v>
      </c>
      <c r="AI13" s="19">
        <f>IF($D13&lt;&gt;1,"",IF(AND($G13="IKS",ISNUMBER(INDEX(TblClusters[Fermeture retenue],$B13))),IF($E13&gt;=INDEX(TblClusters[Fermeture retenue],$B13),1,0),0))</f>
        <v>0</v>
      </c>
    </row>
    <row r="14" spans="1:35" x14ac:dyDescent="0.2">
      <c r="A14" s="19">
        <v>9</v>
      </c>
      <c r="B14" s="19">
        <f t="shared" si="0"/>
        <v>1</v>
      </c>
      <c r="C14" s="19">
        <f t="shared" si="1"/>
        <v>9</v>
      </c>
      <c r="D14" s="19">
        <f>IF($C14&gt;p_horizon,0,IFERROR(IF(AND(INDEX(TblClusters[Cluster],$B14)&lt;&gt;"",ISNUMBER(INDEX(TblClusters[CPU initial (vCPU)],$B14)),ISNUMBER(INDEX(TblClusters[CPU min (vCPU)],$B14)),OR(INDEX(TblClusters[Plateforme],$B14)="IKS",INDEX(TblClusters[Plateforme],$B14)="ROKS")),1,0),0))</f>
        <v>1</v>
      </c>
      <c r="E14" s="72">
        <f t="shared" si="2"/>
        <v>46539</v>
      </c>
      <c r="F14" s="19" t="str">
        <f>IF($D14=1,INDEX(TblClusters[Cluster],$B14),"")</f>
        <v>oc002i000577</v>
      </c>
      <c r="G14" s="19" t="str">
        <f>IF($D14=1,INDEX(TblClusters[Plateforme],$B14),"")</f>
        <v>ROKS</v>
      </c>
      <c r="H14" s="19">
        <f>IF($D14=1,INDEX(TblClusters[vCPU par nœud],$B14),"")</f>
        <v>8</v>
      </c>
      <c r="I14" s="19">
        <f>IF($D14=1,INDEX(TblClusters[RAM par nœud (Go)],$B14),"")</f>
        <v>40</v>
      </c>
      <c r="J14" s="19">
        <f>IF($D14=1,INDEX(TblClusters[Workers min],$B14),"")</f>
        <v>6</v>
      </c>
      <c r="K14" s="73">
        <f>IF($D14=1,INDEX(TblClusters[Tarif par nœud],$B14),"")</f>
        <v>368</v>
      </c>
      <c r="L14" s="19">
        <f>IF($D14=1,INDEX(TblClusters[CPU initial (vCPU)],$B14),"")</f>
        <v>48</v>
      </c>
      <c r="M14" s="19">
        <f>IF($D14=1,INDEX(TblClusters[RAM initiale (Go)],$B14),"")</f>
        <v>240</v>
      </c>
      <c r="N14" s="19">
        <f>IF($D14=1,INDEX(TblClusters[CPU min (vCPU)],$B14),"")</f>
        <v>48</v>
      </c>
      <c r="O14" s="19">
        <f>IF($D14=1,INDEX(TblClusters[RAM min (Go)],$B14),"")</f>
        <v>240</v>
      </c>
      <c r="P14" s="19">
        <f>IF($D14&lt;&gt;1,"",IF($G14="ROKS",SUMIFS(TblApplications[Besoin ROKS CPU (vCPU)],TblApplications[Cluster ROKS cible],$F14,TblApplications[Action],"À migrer",TblApplications[Déjà incluse ROKS],"Non",TblApplications[Mois prov (calc)],"&lt;="&amp;$E14),SUMIFS(TblApplications[CPU IKS libérable (vCPU)],TblApplications[Cluster IKS source],$F14,TblApplications[Mois lib (calc)],"&lt;="&amp;$E14)))</f>
        <v>15</v>
      </c>
      <c r="Q14" s="19">
        <f>IF($D14&lt;&gt;1,"",IF($G14="ROKS",SUMIFS(TblApplications[Besoin ROKS RAM (Go)],TblApplications[Cluster ROKS cible],$F14,TblApplications[Action],"À migrer",TblApplications[Déjà incluse ROKS],"Non",TblApplications[Mois prov (calc)],"&lt;="&amp;$E14),SUMIFS(TblApplications[RAM IKS libérable (Go)],TblApplications[Cluster IKS source],$F14,TblApplications[Mois lib (calc)],"&lt;="&amp;$E14)))</f>
        <v>72</v>
      </c>
      <c r="R14" s="19">
        <f t="shared" si="3"/>
        <v>63</v>
      </c>
      <c r="S14" s="19">
        <f t="shared" si="4"/>
        <v>312</v>
      </c>
      <c r="T14" s="19">
        <f t="shared" si="5"/>
        <v>8</v>
      </c>
      <c r="U14" s="19">
        <f t="shared" si="6"/>
        <v>64</v>
      </c>
      <c r="V14" s="19">
        <f t="shared" si="7"/>
        <v>320</v>
      </c>
      <c r="W14" s="73">
        <f t="shared" si="8"/>
        <v>2944</v>
      </c>
      <c r="X14" s="19">
        <f>IF($D14&lt;&gt;1,"",IF($G14="ROKS",$R14,IF($AI14=1,0,MAX($N14,$L14-SUMIFS(TblApplications[CPU IKS libérable (vCPU)],TblApplications[Cluster IKS source],$F14,TblApplications[Action],"À migrer",TblApplications[Mois prov (calc)],"&lt;="&amp;$E14)-SUMIFS(TblApplications[CPU IKS libérable (vCPU)],TblApplications[Cluster IKS source],$F14,TblApplications[Action],"À décommissionner",TblApplications[Mois lib (calc)],"&lt;="&amp;$E14)))))</f>
        <v>63</v>
      </c>
      <c r="Y14" s="19">
        <f>IF($D14&lt;&gt;1,"",IF($G14="ROKS",$S14,IF($AI14=1,0,MAX($O14,$M14-SUMIFS(TblApplications[RAM IKS libérable (Go)],TblApplications[Cluster IKS source],$F14,TblApplications[Action],"À migrer",TblApplications[Mois prov (calc)],"&lt;="&amp;$E14)-SUMIFS(TblApplications[RAM IKS libérable (Go)],TblApplications[Cluster IKS source],$F14,TblApplications[Action],"À décommissionner",TblApplications[Mois lib (calc)],"&lt;="&amp;$E14)))))</f>
        <v>312</v>
      </c>
      <c r="Z14" s="19">
        <f t="shared" si="9"/>
        <v>8</v>
      </c>
      <c r="AA14" s="73">
        <f t="shared" si="10"/>
        <v>2944</v>
      </c>
      <c r="AB14" s="19">
        <f t="shared" si="11"/>
        <v>6</v>
      </c>
      <c r="AC14" s="73">
        <f t="shared" si="12"/>
        <v>2208</v>
      </c>
      <c r="AD14" s="19">
        <f t="shared" si="13"/>
        <v>0</v>
      </c>
      <c r="AE14" s="19">
        <f t="shared" si="14"/>
        <v>0</v>
      </c>
      <c r="AF14" s="19" t="str">
        <f>IF($D14&lt;&gt;1,"",IF(INDEX(TblClusters[Environnement],$B14)="","(vide)",INDEX(TblClusters[Environnement],$B14)))</f>
        <v>PRD</v>
      </c>
      <c r="AG14" s="19">
        <f t="shared" si="15"/>
        <v>94.2</v>
      </c>
      <c r="AH14" s="19">
        <f t="shared" si="16"/>
        <v>31.252653927813164</v>
      </c>
      <c r="AI14" s="19">
        <f>IF($D14&lt;&gt;1,"",IF(AND($G14="IKS",ISNUMBER(INDEX(TblClusters[Fermeture retenue],$B14))),IF($E14&gt;=INDEX(TblClusters[Fermeture retenue],$B14),1,0),0))</f>
        <v>0</v>
      </c>
    </row>
    <row r="15" spans="1:35" x14ac:dyDescent="0.2">
      <c r="A15" s="19">
        <v>10</v>
      </c>
      <c r="B15" s="19">
        <f t="shared" si="0"/>
        <v>1</v>
      </c>
      <c r="C15" s="19">
        <f t="shared" si="1"/>
        <v>10</v>
      </c>
      <c r="D15" s="19">
        <f>IF($C15&gt;p_horizon,0,IFERROR(IF(AND(INDEX(TblClusters[Cluster],$B15)&lt;&gt;"",ISNUMBER(INDEX(TblClusters[CPU initial (vCPU)],$B15)),ISNUMBER(INDEX(TblClusters[CPU min (vCPU)],$B15)),OR(INDEX(TblClusters[Plateforme],$B15)="IKS",INDEX(TblClusters[Plateforme],$B15)="ROKS")),1,0),0))</f>
        <v>1</v>
      </c>
      <c r="E15" s="72">
        <f t="shared" si="2"/>
        <v>46569</v>
      </c>
      <c r="F15" s="19" t="str">
        <f>IF($D15=1,INDEX(TblClusters[Cluster],$B15),"")</f>
        <v>oc002i000577</v>
      </c>
      <c r="G15" s="19" t="str">
        <f>IF($D15=1,INDEX(TblClusters[Plateforme],$B15),"")</f>
        <v>ROKS</v>
      </c>
      <c r="H15" s="19">
        <f>IF($D15=1,INDEX(TblClusters[vCPU par nœud],$B15),"")</f>
        <v>8</v>
      </c>
      <c r="I15" s="19">
        <f>IF($D15=1,INDEX(TblClusters[RAM par nœud (Go)],$B15),"")</f>
        <v>40</v>
      </c>
      <c r="J15" s="19">
        <f>IF($D15=1,INDEX(TblClusters[Workers min],$B15),"")</f>
        <v>6</v>
      </c>
      <c r="K15" s="73">
        <f>IF($D15=1,INDEX(TblClusters[Tarif par nœud],$B15),"")</f>
        <v>368</v>
      </c>
      <c r="L15" s="19">
        <f>IF($D15=1,INDEX(TblClusters[CPU initial (vCPU)],$B15),"")</f>
        <v>48</v>
      </c>
      <c r="M15" s="19">
        <f>IF($D15=1,INDEX(TblClusters[RAM initiale (Go)],$B15),"")</f>
        <v>240</v>
      </c>
      <c r="N15" s="19">
        <f>IF($D15=1,INDEX(TblClusters[CPU min (vCPU)],$B15),"")</f>
        <v>48</v>
      </c>
      <c r="O15" s="19">
        <f>IF($D15=1,INDEX(TblClusters[RAM min (Go)],$B15),"")</f>
        <v>240</v>
      </c>
      <c r="P15" s="19">
        <f>IF($D15&lt;&gt;1,"",IF($G15="ROKS",SUMIFS(TblApplications[Besoin ROKS CPU (vCPU)],TblApplications[Cluster ROKS cible],$F15,TblApplications[Action],"À migrer",TblApplications[Déjà incluse ROKS],"Non",TblApplications[Mois prov (calc)],"&lt;="&amp;$E15),SUMIFS(TblApplications[CPU IKS libérable (vCPU)],TblApplications[Cluster IKS source],$F15,TblApplications[Mois lib (calc)],"&lt;="&amp;$E15)))</f>
        <v>15</v>
      </c>
      <c r="Q15" s="19">
        <f>IF($D15&lt;&gt;1,"",IF($G15="ROKS",SUMIFS(TblApplications[Besoin ROKS RAM (Go)],TblApplications[Cluster ROKS cible],$F15,TblApplications[Action],"À migrer",TblApplications[Déjà incluse ROKS],"Non",TblApplications[Mois prov (calc)],"&lt;="&amp;$E15),SUMIFS(TblApplications[RAM IKS libérable (Go)],TblApplications[Cluster IKS source],$F15,TblApplications[Mois lib (calc)],"&lt;="&amp;$E15)))</f>
        <v>72</v>
      </c>
      <c r="R15" s="19">
        <f t="shared" si="3"/>
        <v>63</v>
      </c>
      <c r="S15" s="19">
        <f t="shared" si="4"/>
        <v>312</v>
      </c>
      <c r="T15" s="19">
        <f t="shared" si="5"/>
        <v>8</v>
      </c>
      <c r="U15" s="19">
        <f t="shared" si="6"/>
        <v>64</v>
      </c>
      <c r="V15" s="19">
        <f t="shared" si="7"/>
        <v>320</v>
      </c>
      <c r="W15" s="73">
        <f t="shared" si="8"/>
        <v>2944</v>
      </c>
      <c r="X15" s="19">
        <f>IF($D15&lt;&gt;1,"",IF($G15="ROKS",$R15,IF($AI15=1,0,MAX($N15,$L15-SUMIFS(TblApplications[CPU IKS libérable (vCPU)],TblApplications[Cluster IKS source],$F15,TblApplications[Action],"À migrer",TblApplications[Mois prov (calc)],"&lt;="&amp;$E15)-SUMIFS(TblApplications[CPU IKS libérable (vCPU)],TblApplications[Cluster IKS source],$F15,TblApplications[Action],"À décommissionner",TblApplications[Mois lib (calc)],"&lt;="&amp;$E15)))))</f>
        <v>63</v>
      </c>
      <c r="Y15" s="19">
        <f>IF($D15&lt;&gt;1,"",IF($G15="ROKS",$S15,IF($AI15=1,0,MAX($O15,$M15-SUMIFS(TblApplications[RAM IKS libérable (Go)],TblApplications[Cluster IKS source],$F15,TblApplications[Action],"À migrer",TblApplications[Mois prov (calc)],"&lt;="&amp;$E15)-SUMIFS(TblApplications[RAM IKS libérable (Go)],TblApplications[Cluster IKS source],$F15,TblApplications[Action],"À décommissionner",TblApplications[Mois lib (calc)],"&lt;="&amp;$E15)))))</f>
        <v>312</v>
      </c>
      <c r="Z15" s="19">
        <f t="shared" si="9"/>
        <v>8</v>
      </c>
      <c r="AA15" s="73">
        <f t="shared" si="10"/>
        <v>2944</v>
      </c>
      <c r="AB15" s="19">
        <f t="shared" si="11"/>
        <v>6</v>
      </c>
      <c r="AC15" s="73">
        <f t="shared" si="12"/>
        <v>2208</v>
      </c>
      <c r="AD15" s="19">
        <f t="shared" si="13"/>
        <v>0</v>
      </c>
      <c r="AE15" s="19">
        <f t="shared" si="14"/>
        <v>0</v>
      </c>
      <c r="AF15" s="19" t="str">
        <f>IF($D15&lt;&gt;1,"",IF(INDEX(TblClusters[Environnement],$B15)="","(vide)",INDEX(TblClusters[Environnement],$B15)))</f>
        <v>PRD</v>
      </c>
      <c r="AG15" s="19">
        <f t="shared" si="15"/>
        <v>94.2</v>
      </c>
      <c r="AH15" s="19">
        <f t="shared" si="16"/>
        <v>31.252653927813164</v>
      </c>
      <c r="AI15" s="19">
        <f>IF($D15&lt;&gt;1,"",IF(AND($G15="IKS",ISNUMBER(INDEX(TblClusters[Fermeture retenue],$B15))),IF($E15&gt;=INDEX(TblClusters[Fermeture retenue],$B15),1,0),0))</f>
        <v>0</v>
      </c>
    </row>
    <row r="16" spans="1:35" x14ac:dyDescent="0.2">
      <c r="A16" s="19">
        <v>11</v>
      </c>
      <c r="B16" s="19">
        <f t="shared" si="0"/>
        <v>1</v>
      </c>
      <c r="C16" s="19">
        <f t="shared" si="1"/>
        <v>11</v>
      </c>
      <c r="D16" s="19">
        <f>IF($C16&gt;p_horizon,0,IFERROR(IF(AND(INDEX(TblClusters[Cluster],$B16)&lt;&gt;"",ISNUMBER(INDEX(TblClusters[CPU initial (vCPU)],$B16)),ISNUMBER(INDEX(TblClusters[CPU min (vCPU)],$B16)),OR(INDEX(TblClusters[Plateforme],$B16)="IKS",INDEX(TblClusters[Plateforme],$B16)="ROKS")),1,0),0))</f>
        <v>1</v>
      </c>
      <c r="E16" s="72">
        <f t="shared" si="2"/>
        <v>46600</v>
      </c>
      <c r="F16" s="19" t="str">
        <f>IF($D16=1,INDEX(TblClusters[Cluster],$B16),"")</f>
        <v>oc002i000577</v>
      </c>
      <c r="G16" s="19" t="str">
        <f>IF($D16=1,INDEX(TblClusters[Plateforme],$B16),"")</f>
        <v>ROKS</v>
      </c>
      <c r="H16" s="19">
        <f>IF($D16=1,INDEX(TblClusters[vCPU par nœud],$B16),"")</f>
        <v>8</v>
      </c>
      <c r="I16" s="19">
        <f>IF($D16=1,INDEX(TblClusters[RAM par nœud (Go)],$B16),"")</f>
        <v>40</v>
      </c>
      <c r="J16" s="19">
        <f>IF($D16=1,INDEX(TblClusters[Workers min],$B16),"")</f>
        <v>6</v>
      </c>
      <c r="K16" s="73">
        <f>IF($D16=1,INDEX(TblClusters[Tarif par nœud],$B16),"")</f>
        <v>368</v>
      </c>
      <c r="L16" s="19">
        <f>IF($D16=1,INDEX(TblClusters[CPU initial (vCPU)],$B16),"")</f>
        <v>48</v>
      </c>
      <c r="M16" s="19">
        <f>IF($D16=1,INDEX(TblClusters[RAM initiale (Go)],$B16),"")</f>
        <v>240</v>
      </c>
      <c r="N16" s="19">
        <f>IF($D16=1,INDEX(TblClusters[CPU min (vCPU)],$B16),"")</f>
        <v>48</v>
      </c>
      <c r="O16" s="19">
        <f>IF($D16=1,INDEX(TblClusters[RAM min (Go)],$B16),"")</f>
        <v>240</v>
      </c>
      <c r="P16" s="19">
        <f>IF($D16&lt;&gt;1,"",IF($G16="ROKS",SUMIFS(TblApplications[Besoin ROKS CPU (vCPU)],TblApplications[Cluster ROKS cible],$F16,TblApplications[Action],"À migrer",TblApplications[Déjà incluse ROKS],"Non",TblApplications[Mois prov (calc)],"&lt;="&amp;$E16),SUMIFS(TblApplications[CPU IKS libérable (vCPU)],TblApplications[Cluster IKS source],$F16,TblApplications[Mois lib (calc)],"&lt;="&amp;$E16)))</f>
        <v>15</v>
      </c>
      <c r="Q16" s="19">
        <f>IF($D16&lt;&gt;1,"",IF($G16="ROKS",SUMIFS(TblApplications[Besoin ROKS RAM (Go)],TblApplications[Cluster ROKS cible],$F16,TblApplications[Action],"À migrer",TblApplications[Déjà incluse ROKS],"Non",TblApplications[Mois prov (calc)],"&lt;="&amp;$E16),SUMIFS(TblApplications[RAM IKS libérable (Go)],TblApplications[Cluster IKS source],$F16,TblApplications[Mois lib (calc)],"&lt;="&amp;$E16)))</f>
        <v>72</v>
      </c>
      <c r="R16" s="19">
        <f t="shared" si="3"/>
        <v>63</v>
      </c>
      <c r="S16" s="19">
        <f t="shared" si="4"/>
        <v>312</v>
      </c>
      <c r="T16" s="19">
        <f t="shared" si="5"/>
        <v>8</v>
      </c>
      <c r="U16" s="19">
        <f t="shared" si="6"/>
        <v>64</v>
      </c>
      <c r="V16" s="19">
        <f t="shared" si="7"/>
        <v>320</v>
      </c>
      <c r="W16" s="73">
        <f t="shared" si="8"/>
        <v>2944</v>
      </c>
      <c r="X16" s="19">
        <f>IF($D16&lt;&gt;1,"",IF($G16="ROKS",$R16,IF($AI16=1,0,MAX($N16,$L16-SUMIFS(TblApplications[CPU IKS libérable (vCPU)],TblApplications[Cluster IKS source],$F16,TblApplications[Action],"À migrer",TblApplications[Mois prov (calc)],"&lt;="&amp;$E16)-SUMIFS(TblApplications[CPU IKS libérable (vCPU)],TblApplications[Cluster IKS source],$F16,TblApplications[Action],"À décommissionner",TblApplications[Mois lib (calc)],"&lt;="&amp;$E16)))))</f>
        <v>63</v>
      </c>
      <c r="Y16" s="19">
        <f>IF($D16&lt;&gt;1,"",IF($G16="ROKS",$S16,IF($AI16=1,0,MAX($O16,$M16-SUMIFS(TblApplications[RAM IKS libérable (Go)],TblApplications[Cluster IKS source],$F16,TblApplications[Action],"À migrer",TblApplications[Mois prov (calc)],"&lt;="&amp;$E16)-SUMIFS(TblApplications[RAM IKS libérable (Go)],TblApplications[Cluster IKS source],$F16,TblApplications[Action],"À décommissionner",TblApplications[Mois lib (calc)],"&lt;="&amp;$E16)))))</f>
        <v>312</v>
      </c>
      <c r="Z16" s="19">
        <f t="shared" si="9"/>
        <v>8</v>
      </c>
      <c r="AA16" s="73">
        <f t="shared" si="10"/>
        <v>2944</v>
      </c>
      <c r="AB16" s="19">
        <f t="shared" si="11"/>
        <v>6</v>
      </c>
      <c r="AC16" s="73">
        <f t="shared" si="12"/>
        <v>2208</v>
      </c>
      <c r="AD16" s="19">
        <f t="shared" si="13"/>
        <v>0</v>
      </c>
      <c r="AE16" s="19">
        <f t="shared" si="14"/>
        <v>0</v>
      </c>
      <c r="AF16" s="19" t="str">
        <f>IF($D16&lt;&gt;1,"",IF(INDEX(TblClusters[Environnement],$B16)="","(vide)",INDEX(TblClusters[Environnement],$B16)))</f>
        <v>PRD</v>
      </c>
      <c r="AG16" s="19">
        <f t="shared" si="15"/>
        <v>94.2</v>
      </c>
      <c r="AH16" s="19">
        <f t="shared" si="16"/>
        <v>31.252653927813164</v>
      </c>
      <c r="AI16" s="19">
        <f>IF($D16&lt;&gt;1,"",IF(AND($G16="IKS",ISNUMBER(INDEX(TblClusters[Fermeture retenue],$B16))),IF($E16&gt;=INDEX(TblClusters[Fermeture retenue],$B16),1,0),0))</f>
        <v>0</v>
      </c>
    </row>
    <row r="17" spans="1:35" x14ac:dyDescent="0.2">
      <c r="A17" s="19">
        <v>12</v>
      </c>
      <c r="B17" s="19">
        <f t="shared" si="0"/>
        <v>1</v>
      </c>
      <c r="C17" s="19">
        <f t="shared" si="1"/>
        <v>12</v>
      </c>
      <c r="D17" s="19">
        <f>IF($C17&gt;p_horizon,0,IFERROR(IF(AND(INDEX(TblClusters[Cluster],$B17)&lt;&gt;"",ISNUMBER(INDEX(TblClusters[CPU initial (vCPU)],$B17)),ISNUMBER(INDEX(TblClusters[CPU min (vCPU)],$B17)),OR(INDEX(TblClusters[Plateforme],$B17)="IKS",INDEX(TblClusters[Plateforme],$B17)="ROKS")),1,0),0))</f>
        <v>1</v>
      </c>
      <c r="E17" s="72">
        <f t="shared" si="2"/>
        <v>46631</v>
      </c>
      <c r="F17" s="19" t="str">
        <f>IF($D17=1,INDEX(TblClusters[Cluster],$B17),"")</f>
        <v>oc002i000577</v>
      </c>
      <c r="G17" s="19" t="str">
        <f>IF($D17=1,INDEX(TblClusters[Plateforme],$B17),"")</f>
        <v>ROKS</v>
      </c>
      <c r="H17" s="19">
        <f>IF($D17=1,INDEX(TblClusters[vCPU par nœud],$B17),"")</f>
        <v>8</v>
      </c>
      <c r="I17" s="19">
        <f>IF($D17=1,INDEX(TblClusters[RAM par nœud (Go)],$B17),"")</f>
        <v>40</v>
      </c>
      <c r="J17" s="19">
        <f>IF($D17=1,INDEX(TblClusters[Workers min],$B17),"")</f>
        <v>6</v>
      </c>
      <c r="K17" s="73">
        <f>IF($D17=1,INDEX(TblClusters[Tarif par nœud],$B17),"")</f>
        <v>368</v>
      </c>
      <c r="L17" s="19">
        <f>IF($D17=1,INDEX(TblClusters[CPU initial (vCPU)],$B17),"")</f>
        <v>48</v>
      </c>
      <c r="M17" s="19">
        <f>IF($D17=1,INDEX(TblClusters[RAM initiale (Go)],$B17),"")</f>
        <v>240</v>
      </c>
      <c r="N17" s="19">
        <f>IF($D17=1,INDEX(TblClusters[CPU min (vCPU)],$B17),"")</f>
        <v>48</v>
      </c>
      <c r="O17" s="19">
        <f>IF($D17=1,INDEX(TblClusters[RAM min (Go)],$B17),"")</f>
        <v>240</v>
      </c>
      <c r="P17" s="19">
        <f>IF($D17&lt;&gt;1,"",IF($G17="ROKS",SUMIFS(TblApplications[Besoin ROKS CPU (vCPU)],TblApplications[Cluster ROKS cible],$F17,TblApplications[Action],"À migrer",TblApplications[Déjà incluse ROKS],"Non",TblApplications[Mois prov (calc)],"&lt;="&amp;$E17),SUMIFS(TblApplications[CPU IKS libérable (vCPU)],TblApplications[Cluster IKS source],$F17,TblApplications[Mois lib (calc)],"&lt;="&amp;$E17)))</f>
        <v>15</v>
      </c>
      <c r="Q17" s="19">
        <f>IF($D17&lt;&gt;1,"",IF($G17="ROKS",SUMIFS(TblApplications[Besoin ROKS RAM (Go)],TblApplications[Cluster ROKS cible],$F17,TblApplications[Action],"À migrer",TblApplications[Déjà incluse ROKS],"Non",TblApplications[Mois prov (calc)],"&lt;="&amp;$E17),SUMIFS(TblApplications[RAM IKS libérable (Go)],TblApplications[Cluster IKS source],$F17,TblApplications[Mois lib (calc)],"&lt;="&amp;$E17)))</f>
        <v>72</v>
      </c>
      <c r="R17" s="19">
        <f t="shared" si="3"/>
        <v>63</v>
      </c>
      <c r="S17" s="19">
        <f t="shared" si="4"/>
        <v>312</v>
      </c>
      <c r="T17" s="19">
        <f t="shared" si="5"/>
        <v>8</v>
      </c>
      <c r="U17" s="19">
        <f t="shared" si="6"/>
        <v>64</v>
      </c>
      <c r="V17" s="19">
        <f t="shared" si="7"/>
        <v>320</v>
      </c>
      <c r="W17" s="73">
        <f t="shared" si="8"/>
        <v>2944</v>
      </c>
      <c r="X17" s="19">
        <f>IF($D17&lt;&gt;1,"",IF($G17="ROKS",$R17,IF($AI17=1,0,MAX($N17,$L17-SUMIFS(TblApplications[CPU IKS libérable (vCPU)],TblApplications[Cluster IKS source],$F17,TblApplications[Action],"À migrer",TblApplications[Mois prov (calc)],"&lt;="&amp;$E17)-SUMIFS(TblApplications[CPU IKS libérable (vCPU)],TblApplications[Cluster IKS source],$F17,TblApplications[Action],"À décommissionner",TblApplications[Mois lib (calc)],"&lt;="&amp;$E17)))))</f>
        <v>63</v>
      </c>
      <c r="Y17" s="19">
        <f>IF($D17&lt;&gt;1,"",IF($G17="ROKS",$S17,IF($AI17=1,0,MAX($O17,$M17-SUMIFS(TblApplications[RAM IKS libérable (Go)],TblApplications[Cluster IKS source],$F17,TblApplications[Action],"À migrer",TblApplications[Mois prov (calc)],"&lt;="&amp;$E17)-SUMIFS(TblApplications[RAM IKS libérable (Go)],TblApplications[Cluster IKS source],$F17,TblApplications[Action],"À décommissionner",TblApplications[Mois lib (calc)],"&lt;="&amp;$E17)))))</f>
        <v>312</v>
      </c>
      <c r="Z17" s="19">
        <f t="shared" si="9"/>
        <v>8</v>
      </c>
      <c r="AA17" s="73">
        <f t="shared" si="10"/>
        <v>2944</v>
      </c>
      <c r="AB17" s="19">
        <f t="shared" si="11"/>
        <v>6</v>
      </c>
      <c r="AC17" s="73">
        <f t="shared" si="12"/>
        <v>2208</v>
      </c>
      <c r="AD17" s="19">
        <f t="shared" si="13"/>
        <v>0</v>
      </c>
      <c r="AE17" s="19">
        <f t="shared" si="14"/>
        <v>0</v>
      </c>
      <c r="AF17" s="19" t="str">
        <f>IF($D17&lt;&gt;1,"",IF(INDEX(TblClusters[Environnement],$B17)="","(vide)",INDEX(TblClusters[Environnement],$B17)))</f>
        <v>PRD</v>
      </c>
      <c r="AG17" s="19">
        <f t="shared" si="15"/>
        <v>94.2</v>
      </c>
      <c r="AH17" s="19">
        <f t="shared" si="16"/>
        <v>31.252653927813164</v>
      </c>
      <c r="AI17" s="19">
        <f>IF($D17&lt;&gt;1,"",IF(AND($G17="IKS",ISNUMBER(INDEX(TblClusters[Fermeture retenue],$B17))),IF($E17&gt;=INDEX(TblClusters[Fermeture retenue],$B17),1,0),0))</f>
        <v>0</v>
      </c>
    </row>
    <row r="18" spans="1:35" x14ac:dyDescent="0.2">
      <c r="A18" s="19">
        <v>13</v>
      </c>
      <c r="B18" s="19">
        <f t="shared" si="0"/>
        <v>1</v>
      </c>
      <c r="C18" s="19">
        <f t="shared" si="1"/>
        <v>13</v>
      </c>
      <c r="D18" s="19">
        <f>IF($C18&gt;p_horizon,0,IFERROR(IF(AND(INDEX(TblClusters[Cluster],$B18)&lt;&gt;"",ISNUMBER(INDEX(TblClusters[CPU initial (vCPU)],$B18)),ISNUMBER(INDEX(TblClusters[CPU min (vCPU)],$B18)),OR(INDEX(TblClusters[Plateforme],$B18)="IKS",INDEX(TblClusters[Plateforme],$B18)="ROKS")),1,0),0))</f>
        <v>1</v>
      </c>
      <c r="E18" s="72">
        <f t="shared" si="2"/>
        <v>46661</v>
      </c>
      <c r="F18" s="19" t="str">
        <f>IF($D18=1,INDEX(TblClusters[Cluster],$B18),"")</f>
        <v>oc002i000577</v>
      </c>
      <c r="G18" s="19" t="str">
        <f>IF($D18=1,INDEX(TblClusters[Plateforme],$B18),"")</f>
        <v>ROKS</v>
      </c>
      <c r="H18" s="19">
        <f>IF($D18=1,INDEX(TblClusters[vCPU par nœud],$B18),"")</f>
        <v>8</v>
      </c>
      <c r="I18" s="19">
        <f>IF($D18=1,INDEX(TblClusters[RAM par nœud (Go)],$B18),"")</f>
        <v>40</v>
      </c>
      <c r="J18" s="19">
        <f>IF($D18=1,INDEX(TblClusters[Workers min],$B18),"")</f>
        <v>6</v>
      </c>
      <c r="K18" s="73">
        <f>IF($D18=1,INDEX(TblClusters[Tarif par nœud],$B18),"")</f>
        <v>368</v>
      </c>
      <c r="L18" s="19">
        <f>IF($D18=1,INDEX(TblClusters[CPU initial (vCPU)],$B18),"")</f>
        <v>48</v>
      </c>
      <c r="M18" s="19">
        <f>IF($D18=1,INDEX(TblClusters[RAM initiale (Go)],$B18),"")</f>
        <v>240</v>
      </c>
      <c r="N18" s="19">
        <f>IF($D18=1,INDEX(TblClusters[CPU min (vCPU)],$B18),"")</f>
        <v>48</v>
      </c>
      <c r="O18" s="19">
        <f>IF($D18=1,INDEX(TblClusters[RAM min (Go)],$B18),"")</f>
        <v>240</v>
      </c>
      <c r="P18" s="19">
        <f>IF($D18&lt;&gt;1,"",IF($G18="ROKS",SUMIFS(TblApplications[Besoin ROKS CPU (vCPU)],TblApplications[Cluster ROKS cible],$F18,TblApplications[Action],"À migrer",TblApplications[Déjà incluse ROKS],"Non",TblApplications[Mois prov (calc)],"&lt;="&amp;$E18),SUMIFS(TblApplications[CPU IKS libérable (vCPU)],TblApplications[Cluster IKS source],$F18,TblApplications[Mois lib (calc)],"&lt;="&amp;$E18)))</f>
        <v>15</v>
      </c>
      <c r="Q18" s="19">
        <f>IF($D18&lt;&gt;1,"",IF($G18="ROKS",SUMIFS(TblApplications[Besoin ROKS RAM (Go)],TblApplications[Cluster ROKS cible],$F18,TblApplications[Action],"À migrer",TblApplications[Déjà incluse ROKS],"Non",TblApplications[Mois prov (calc)],"&lt;="&amp;$E18),SUMIFS(TblApplications[RAM IKS libérable (Go)],TblApplications[Cluster IKS source],$F18,TblApplications[Mois lib (calc)],"&lt;="&amp;$E18)))</f>
        <v>72</v>
      </c>
      <c r="R18" s="19">
        <f t="shared" si="3"/>
        <v>63</v>
      </c>
      <c r="S18" s="19">
        <f t="shared" si="4"/>
        <v>312</v>
      </c>
      <c r="T18" s="19">
        <f t="shared" si="5"/>
        <v>8</v>
      </c>
      <c r="U18" s="19">
        <f t="shared" si="6"/>
        <v>64</v>
      </c>
      <c r="V18" s="19">
        <f t="shared" si="7"/>
        <v>320</v>
      </c>
      <c r="W18" s="73">
        <f t="shared" si="8"/>
        <v>2944</v>
      </c>
      <c r="X18" s="19">
        <f>IF($D18&lt;&gt;1,"",IF($G18="ROKS",$R18,IF($AI18=1,0,MAX($N18,$L18-SUMIFS(TblApplications[CPU IKS libérable (vCPU)],TblApplications[Cluster IKS source],$F18,TblApplications[Action],"À migrer",TblApplications[Mois prov (calc)],"&lt;="&amp;$E18)-SUMIFS(TblApplications[CPU IKS libérable (vCPU)],TblApplications[Cluster IKS source],$F18,TblApplications[Action],"À décommissionner",TblApplications[Mois lib (calc)],"&lt;="&amp;$E18)))))</f>
        <v>63</v>
      </c>
      <c r="Y18" s="19">
        <f>IF($D18&lt;&gt;1,"",IF($G18="ROKS",$S18,IF($AI18=1,0,MAX($O18,$M18-SUMIFS(TblApplications[RAM IKS libérable (Go)],TblApplications[Cluster IKS source],$F18,TblApplications[Action],"À migrer",TblApplications[Mois prov (calc)],"&lt;="&amp;$E18)-SUMIFS(TblApplications[RAM IKS libérable (Go)],TblApplications[Cluster IKS source],$F18,TblApplications[Action],"À décommissionner",TblApplications[Mois lib (calc)],"&lt;="&amp;$E18)))))</f>
        <v>312</v>
      </c>
      <c r="Z18" s="19">
        <f t="shared" si="9"/>
        <v>8</v>
      </c>
      <c r="AA18" s="73">
        <f t="shared" si="10"/>
        <v>2944</v>
      </c>
      <c r="AB18" s="19">
        <f t="shared" si="11"/>
        <v>6</v>
      </c>
      <c r="AC18" s="73">
        <f t="shared" si="12"/>
        <v>2208</v>
      </c>
      <c r="AD18" s="19">
        <f t="shared" si="13"/>
        <v>0</v>
      </c>
      <c r="AE18" s="19">
        <f t="shared" si="14"/>
        <v>0</v>
      </c>
      <c r="AF18" s="19" t="str">
        <f>IF($D18&lt;&gt;1,"",IF(INDEX(TblClusters[Environnement],$B18)="","(vide)",INDEX(TblClusters[Environnement],$B18)))</f>
        <v>PRD</v>
      </c>
      <c r="AG18" s="19">
        <f t="shared" si="15"/>
        <v>94.2</v>
      </c>
      <c r="AH18" s="19">
        <f t="shared" si="16"/>
        <v>31.252653927813164</v>
      </c>
      <c r="AI18" s="19">
        <f>IF($D18&lt;&gt;1,"",IF(AND($G18="IKS",ISNUMBER(INDEX(TblClusters[Fermeture retenue],$B18))),IF($E18&gt;=INDEX(TblClusters[Fermeture retenue],$B18),1,0),0))</f>
        <v>0</v>
      </c>
    </row>
    <row r="19" spans="1:35" x14ac:dyDescent="0.2">
      <c r="A19" s="19">
        <v>14</v>
      </c>
      <c r="B19" s="19">
        <f t="shared" si="0"/>
        <v>1</v>
      </c>
      <c r="C19" s="19">
        <f t="shared" si="1"/>
        <v>14</v>
      </c>
      <c r="D19" s="19">
        <f>IF($C19&gt;p_horizon,0,IFERROR(IF(AND(INDEX(TblClusters[Cluster],$B19)&lt;&gt;"",ISNUMBER(INDEX(TblClusters[CPU initial (vCPU)],$B19)),ISNUMBER(INDEX(TblClusters[CPU min (vCPU)],$B19)),OR(INDEX(TblClusters[Plateforme],$B19)="IKS",INDEX(TblClusters[Plateforme],$B19)="ROKS")),1,0),0))</f>
        <v>1</v>
      </c>
      <c r="E19" s="72">
        <f t="shared" si="2"/>
        <v>46692</v>
      </c>
      <c r="F19" s="19" t="str">
        <f>IF($D19=1,INDEX(TblClusters[Cluster],$B19),"")</f>
        <v>oc002i000577</v>
      </c>
      <c r="G19" s="19" t="str">
        <f>IF($D19=1,INDEX(TblClusters[Plateforme],$B19),"")</f>
        <v>ROKS</v>
      </c>
      <c r="H19" s="19">
        <f>IF($D19=1,INDEX(TblClusters[vCPU par nœud],$B19),"")</f>
        <v>8</v>
      </c>
      <c r="I19" s="19">
        <f>IF($D19=1,INDEX(TblClusters[RAM par nœud (Go)],$B19),"")</f>
        <v>40</v>
      </c>
      <c r="J19" s="19">
        <f>IF($D19=1,INDEX(TblClusters[Workers min],$B19),"")</f>
        <v>6</v>
      </c>
      <c r="K19" s="73">
        <f>IF($D19=1,INDEX(TblClusters[Tarif par nœud],$B19),"")</f>
        <v>368</v>
      </c>
      <c r="L19" s="19">
        <f>IF($D19=1,INDEX(TblClusters[CPU initial (vCPU)],$B19),"")</f>
        <v>48</v>
      </c>
      <c r="M19" s="19">
        <f>IF($D19=1,INDEX(TblClusters[RAM initiale (Go)],$B19),"")</f>
        <v>240</v>
      </c>
      <c r="N19" s="19">
        <f>IF($D19=1,INDEX(TblClusters[CPU min (vCPU)],$B19),"")</f>
        <v>48</v>
      </c>
      <c r="O19" s="19">
        <f>IF($D19=1,INDEX(TblClusters[RAM min (Go)],$B19),"")</f>
        <v>240</v>
      </c>
      <c r="P19" s="19">
        <f>IF($D19&lt;&gt;1,"",IF($G19="ROKS",SUMIFS(TblApplications[Besoin ROKS CPU (vCPU)],TblApplications[Cluster ROKS cible],$F19,TblApplications[Action],"À migrer",TblApplications[Déjà incluse ROKS],"Non",TblApplications[Mois prov (calc)],"&lt;="&amp;$E19),SUMIFS(TblApplications[CPU IKS libérable (vCPU)],TblApplications[Cluster IKS source],$F19,TblApplications[Mois lib (calc)],"&lt;="&amp;$E19)))</f>
        <v>15</v>
      </c>
      <c r="Q19" s="19">
        <f>IF($D19&lt;&gt;1,"",IF($G19="ROKS",SUMIFS(TblApplications[Besoin ROKS RAM (Go)],TblApplications[Cluster ROKS cible],$F19,TblApplications[Action],"À migrer",TblApplications[Déjà incluse ROKS],"Non",TblApplications[Mois prov (calc)],"&lt;="&amp;$E19),SUMIFS(TblApplications[RAM IKS libérable (Go)],TblApplications[Cluster IKS source],$F19,TblApplications[Mois lib (calc)],"&lt;="&amp;$E19)))</f>
        <v>72</v>
      </c>
      <c r="R19" s="19">
        <f t="shared" si="3"/>
        <v>63</v>
      </c>
      <c r="S19" s="19">
        <f t="shared" si="4"/>
        <v>312</v>
      </c>
      <c r="T19" s="19">
        <f t="shared" si="5"/>
        <v>8</v>
      </c>
      <c r="U19" s="19">
        <f t="shared" si="6"/>
        <v>64</v>
      </c>
      <c r="V19" s="19">
        <f t="shared" si="7"/>
        <v>320</v>
      </c>
      <c r="W19" s="73">
        <f t="shared" si="8"/>
        <v>2944</v>
      </c>
      <c r="X19" s="19">
        <f>IF($D19&lt;&gt;1,"",IF($G19="ROKS",$R19,IF($AI19=1,0,MAX($N19,$L19-SUMIFS(TblApplications[CPU IKS libérable (vCPU)],TblApplications[Cluster IKS source],$F19,TblApplications[Action],"À migrer",TblApplications[Mois prov (calc)],"&lt;="&amp;$E19)-SUMIFS(TblApplications[CPU IKS libérable (vCPU)],TblApplications[Cluster IKS source],$F19,TblApplications[Action],"À décommissionner",TblApplications[Mois lib (calc)],"&lt;="&amp;$E19)))))</f>
        <v>63</v>
      </c>
      <c r="Y19" s="19">
        <f>IF($D19&lt;&gt;1,"",IF($G19="ROKS",$S19,IF($AI19=1,0,MAX($O19,$M19-SUMIFS(TblApplications[RAM IKS libérable (Go)],TblApplications[Cluster IKS source],$F19,TblApplications[Action],"À migrer",TblApplications[Mois prov (calc)],"&lt;="&amp;$E19)-SUMIFS(TblApplications[RAM IKS libérable (Go)],TblApplications[Cluster IKS source],$F19,TblApplications[Action],"À décommissionner",TblApplications[Mois lib (calc)],"&lt;="&amp;$E19)))))</f>
        <v>312</v>
      </c>
      <c r="Z19" s="19">
        <f t="shared" si="9"/>
        <v>8</v>
      </c>
      <c r="AA19" s="73">
        <f t="shared" si="10"/>
        <v>2944</v>
      </c>
      <c r="AB19" s="19">
        <f t="shared" si="11"/>
        <v>6</v>
      </c>
      <c r="AC19" s="73">
        <f t="shared" si="12"/>
        <v>2208</v>
      </c>
      <c r="AD19" s="19">
        <f t="shared" si="13"/>
        <v>0</v>
      </c>
      <c r="AE19" s="19">
        <f t="shared" si="14"/>
        <v>0</v>
      </c>
      <c r="AF19" s="19" t="str">
        <f>IF($D19&lt;&gt;1,"",IF(INDEX(TblClusters[Environnement],$B19)="","(vide)",INDEX(TblClusters[Environnement],$B19)))</f>
        <v>PRD</v>
      </c>
      <c r="AG19" s="19">
        <f t="shared" si="15"/>
        <v>94.2</v>
      </c>
      <c r="AH19" s="19">
        <f t="shared" si="16"/>
        <v>31.252653927813164</v>
      </c>
      <c r="AI19" s="19">
        <f>IF($D19&lt;&gt;1,"",IF(AND($G19="IKS",ISNUMBER(INDEX(TblClusters[Fermeture retenue],$B19))),IF($E19&gt;=INDEX(TblClusters[Fermeture retenue],$B19),1,0),0))</f>
        <v>0</v>
      </c>
    </row>
    <row r="20" spans="1:35" x14ac:dyDescent="0.2">
      <c r="A20" s="19">
        <v>15</v>
      </c>
      <c r="B20" s="19">
        <f t="shared" si="0"/>
        <v>1</v>
      </c>
      <c r="C20" s="19">
        <f t="shared" si="1"/>
        <v>15</v>
      </c>
      <c r="D20" s="19">
        <f>IF($C20&gt;p_horizon,0,IFERROR(IF(AND(INDEX(TblClusters[Cluster],$B20)&lt;&gt;"",ISNUMBER(INDEX(TblClusters[CPU initial (vCPU)],$B20)),ISNUMBER(INDEX(TblClusters[CPU min (vCPU)],$B20)),OR(INDEX(TblClusters[Plateforme],$B20)="IKS",INDEX(TblClusters[Plateforme],$B20)="ROKS")),1,0),0))</f>
        <v>1</v>
      </c>
      <c r="E20" s="72">
        <f t="shared" si="2"/>
        <v>46722</v>
      </c>
      <c r="F20" s="19" t="str">
        <f>IF($D20=1,INDEX(TblClusters[Cluster],$B20),"")</f>
        <v>oc002i000577</v>
      </c>
      <c r="G20" s="19" t="str">
        <f>IF($D20=1,INDEX(TblClusters[Plateforme],$B20),"")</f>
        <v>ROKS</v>
      </c>
      <c r="H20" s="19">
        <f>IF($D20=1,INDEX(TblClusters[vCPU par nœud],$B20),"")</f>
        <v>8</v>
      </c>
      <c r="I20" s="19">
        <f>IF($D20=1,INDEX(TblClusters[RAM par nœud (Go)],$B20),"")</f>
        <v>40</v>
      </c>
      <c r="J20" s="19">
        <f>IF($D20=1,INDEX(TblClusters[Workers min],$B20),"")</f>
        <v>6</v>
      </c>
      <c r="K20" s="73">
        <f>IF($D20=1,INDEX(TblClusters[Tarif par nœud],$B20),"")</f>
        <v>368</v>
      </c>
      <c r="L20" s="19">
        <f>IF($D20=1,INDEX(TblClusters[CPU initial (vCPU)],$B20),"")</f>
        <v>48</v>
      </c>
      <c r="M20" s="19">
        <f>IF($D20=1,INDEX(TblClusters[RAM initiale (Go)],$B20),"")</f>
        <v>240</v>
      </c>
      <c r="N20" s="19">
        <f>IF($D20=1,INDEX(TblClusters[CPU min (vCPU)],$B20),"")</f>
        <v>48</v>
      </c>
      <c r="O20" s="19">
        <f>IF($D20=1,INDEX(TblClusters[RAM min (Go)],$B20),"")</f>
        <v>240</v>
      </c>
      <c r="P20" s="19">
        <f>IF($D20&lt;&gt;1,"",IF($G20="ROKS",SUMIFS(TblApplications[Besoin ROKS CPU (vCPU)],TblApplications[Cluster ROKS cible],$F20,TblApplications[Action],"À migrer",TblApplications[Déjà incluse ROKS],"Non",TblApplications[Mois prov (calc)],"&lt;="&amp;$E20),SUMIFS(TblApplications[CPU IKS libérable (vCPU)],TblApplications[Cluster IKS source],$F20,TblApplications[Mois lib (calc)],"&lt;="&amp;$E20)))</f>
        <v>15</v>
      </c>
      <c r="Q20" s="19">
        <f>IF($D20&lt;&gt;1,"",IF($G20="ROKS",SUMIFS(TblApplications[Besoin ROKS RAM (Go)],TblApplications[Cluster ROKS cible],$F20,TblApplications[Action],"À migrer",TblApplications[Déjà incluse ROKS],"Non",TblApplications[Mois prov (calc)],"&lt;="&amp;$E20),SUMIFS(TblApplications[RAM IKS libérable (Go)],TblApplications[Cluster IKS source],$F20,TblApplications[Mois lib (calc)],"&lt;="&amp;$E20)))</f>
        <v>72</v>
      </c>
      <c r="R20" s="19">
        <f t="shared" si="3"/>
        <v>63</v>
      </c>
      <c r="S20" s="19">
        <f t="shared" si="4"/>
        <v>312</v>
      </c>
      <c r="T20" s="19">
        <f t="shared" si="5"/>
        <v>8</v>
      </c>
      <c r="U20" s="19">
        <f t="shared" si="6"/>
        <v>64</v>
      </c>
      <c r="V20" s="19">
        <f t="shared" si="7"/>
        <v>320</v>
      </c>
      <c r="W20" s="73">
        <f t="shared" si="8"/>
        <v>2944</v>
      </c>
      <c r="X20" s="19">
        <f>IF($D20&lt;&gt;1,"",IF($G20="ROKS",$R20,IF($AI20=1,0,MAX($N20,$L20-SUMIFS(TblApplications[CPU IKS libérable (vCPU)],TblApplications[Cluster IKS source],$F20,TblApplications[Action],"À migrer",TblApplications[Mois prov (calc)],"&lt;="&amp;$E20)-SUMIFS(TblApplications[CPU IKS libérable (vCPU)],TblApplications[Cluster IKS source],$F20,TblApplications[Action],"À décommissionner",TblApplications[Mois lib (calc)],"&lt;="&amp;$E20)))))</f>
        <v>63</v>
      </c>
      <c r="Y20" s="19">
        <f>IF($D20&lt;&gt;1,"",IF($G20="ROKS",$S20,IF($AI20=1,0,MAX($O20,$M20-SUMIFS(TblApplications[RAM IKS libérable (Go)],TblApplications[Cluster IKS source],$F20,TblApplications[Action],"À migrer",TblApplications[Mois prov (calc)],"&lt;="&amp;$E20)-SUMIFS(TblApplications[RAM IKS libérable (Go)],TblApplications[Cluster IKS source],$F20,TblApplications[Action],"À décommissionner",TblApplications[Mois lib (calc)],"&lt;="&amp;$E20)))))</f>
        <v>312</v>
      </c>
      <c r="Z20" s="19">
        <f t="shared" si="9"/>
        <v>8</v>
      </c>
      <c r="AA20" s="73">
        <f t="shared" si="10"/>
        <v>2944</v>
      </c>
      <c r="AB20" s="19">
        <f t="shared" si="11"/>
        <v>6</v>
      </c>
      <c r="AC20" s="73">
        <f t="shared" si="12"/>
        <v>2208</v>
      </c>
      <c r="AD20" s="19">
        <f t="shared" si="13"/>
        <v>0</v>
      </c>
      <c r="AE20" s="19">
        <f t="shared" si="14"/>
        <v>0</v>
      </c>
      <c r="AF20" s="19" t="str">
        <f>IF($D20&lt;&gt;1,"",IF(INDEX(TblClusters[Environnement],$B20)="","(vide)",INDEX(TblClusters[Environnement],$B20)))</f>
        <v>PRD</v>
      </c>
      <c r="AG20" s="19">
        <f t="shared" si="15"/>
        <v>94.2</v>
      </c>
      <c r="AH20" s="19">
        <f t="shared" si="16"/>
        <v>31.252653927813164</v>
      </c>
      <c r="AI20" s="19">
        <f>IF($D20&lt;&gt;1,"",IF(AND($G20="IKS",ISNUMBER(INDEX(TblClusters[Fermeture retenue],$B20))),IF($E20&gt;=INDEX(TblClusters[Fermeture retenue],$B20),1,0),0))</f>
        <v>0</v>
      </c>
    </row>
    <row r="21" spans="1:35" x14ac:dyDescent="0.2">
      <c r="A21" s="19">
        <v>16</v>
      </c>
      <c r="B21" s="19">
        <f t="shared" si="0"/>
        <v>1</v>
      </c>
      <c r="C21" s="19">
        <f t="shared" si="1"/>
        <v>16</v>
      </c>
      <c r="D21" s="19">
        <f>IF($C21&gt;p_horizon,0,IFERROR(IF(AND(INDEX(TblClusters[Cluster],$B21)&lt;&gt;"",ISNUMBER(INDEX(TblClusters[CPU initial (vCPU)],$B21)),ISNUMBER(INDEX(TblClusters[CPU min (vCPU)],$B21)),OR(INDEX(TblClusters[Plateforme],$B21)="IKS",INDEX(TblClusters[Plateforme],$B21)="ROKS")),1,0),0))</f>
        <v>1</v>
      </c>
      <c r="E21" s="72">
        <f t="shared" si="2"/>
        <v>46753</v>
      </c>
      <c r="F21" s="19" t="str">
        <f>IF($D21=1,INDEX(TblClusters[Cluster],$B21),"")</f>
        <v>oc002i000577</v>
      </c>
      <c r="G21" s="19" t="str">
        <f>IF($D21=1,INDEX(TblClusters[Plateforme],$B21),"")</f>
        <v>ROKS</v>
      </c>
      <c r="H21" s="19">
        <f>IF($D21=1,INDEX(TblClusters[vCPU par nœud],$B21),"")</f>
        <v>8</v>
      </c>
      <c r="I21" s="19">
        <f>IF($D21=1,INDEX(TblClusters[RAM par nœud (Go)],$B21),"")</f>
        <v>40</v>
      </c>
      <c r="J21" s="19">
        <f>IF($D21=1,INDEX(TblClusters[Workers min],$B21),"")</f>
        <v>6</v>
      </c>
      <c r="K21" s="73">
        <f>IF($D21=1,INDEX(TblClusters[Tarif par nœud],$B21),"")</f>
        <v>368</v>
      </c>
      <c r="L21" s="19">
        <f>IF($D21=1,INDEX(TblClusters[CPU initial (vCPU)],$B21),"")</f>
        <v>48</v>
      </c>
      <c r="M21" s="19">
        <f>IF($D21=1,INDEX(TblClusters[RAM initiale (Go)],$B21),"")</f>
        <v>240</v>
      </c>
      <c r="N21" s="19">
        <f>IF($D21=1,INDEX(TblClusters[CPU min (vCPU)],$B21),"")</f>
        <v>48</v>
      </c>
      <c r="O21" s="19">
        <f>IF($D21=1,INDEX(TblClusters[RAM min (Go)],$B21),"")</f>
        <v>240</v>
      </c>
      <c r="P21" s="19">
        <f>IF($D21&lt;&gt;1,"",IF($G21="ROKS",SUMIFS(TblApplications[Besoin ROKS CPU (vCPU)],TblApplications[Cluster ROKS cible],$F21,TblApplications[Action],"À migrer",TblApplications[Déjà incluse ROKS],"Non",TblApplications[Mois prov (calc)],"&lt;="&amp;$E21),SUMIFS(TblApplications[CPU IKS libérable (vCPU)],TblApplications[Cluster IKS source],$F21,TblApplications[Mois lib (calc)],"&lt;="&amp;$E21)))</f>
        <v>27</v>
      </c>
      <c r="Q21" s="19">
        <f>IF($D21&lt;&gt;1,"",IF($G21="ROKS",SUMIFS(TblApplications[Besoin ROKS RAM (Go)],TblApplications[Cluster ROKS cible],$F21,TblApplications[Action],"À migrer",TblApplications[Déjà incluse ROKS],"Non",TblApplications[Mois prov (calc)],"&lt;="&amp;$E21),SUMIFS(TblApplications[RAM IKS libérable (Go)],TblApplications[Cluster IKS source],$F21,TblApplications[Mois lib (calc)],"&lt;="&amp;$E21)))</f>
        <v>140</v>
      </c>
      <c r="R21" s="19">
        <f t="shared" si="3"/>
        <v>75</v>
      </c>
      <c r="S21" s="19">
        <f t="shared" si="4"/>
        <v>380</v>
      </c>
      <c r="T21" s="19">
        <f t="shared" si="5"/>
        <v>10</v>
      </c>
      <c r="U21" s="19">
        <f t="shared" si="6"/>
        <v>80</v>
      </c>
      <c r="V21" s="19">
        <f t="shared" si="7"/>
        <v>400</v>
      </c>
      <c r="W21" s="73">
        <f t="shared" si="8"/>
        <v>3680</v>
      </c>
      <c r="X21" s="19">
        <f>IF($D21&lt;&gt;1,"",IF($G21="ROKS",$R21,IF($AI21=1,0,MAX($N21,$L21-SUMIFS(TblApplications[CPU IKS libérable (vCPU)],TblApplications[Cluster IKS source],$F21,TblApplications[Action],"À migrer",TblApplications[Mois prov (calc)],"&lt;="&amp;$E21)-SUMIFS(TblApplications[CPU IKS libérable (vCPU)],TblApplications[Cluster IKS source],$F21,TblApplications[Action],"À décommissionner",TblApplications[Mois lib (calc)],"&lt;="&amp;$E21)))))</f>
        <v>75</v>
      </c>
      <c r="Y21" s="19">
        <f>IF($D21&lt;&gt;1,"",IF($G21="ROKS",$S21,IF($AI21=1,0,MAX($O21,$M21-SUMIFS(TblApplications[RAM IKS libérable (Go)],TblApplications[Cluster IKS source],$F21,TblApplications[Action],"À migrer",TblApplications[Mois prov (calc)],"&lt;="&amp;$E21)-SUMIFS(TblApplications[RAM IKS libérable (Go)],TblApplications[Cluster IKS source],$F21,TblApplications[Action],"À décommissionner",TblApplications[Mois lib (calc)],"&lt;="&amp;$E21)))))</f>
        <v>380</v>
      </c>
      <c r="Z21" s="19">
        <f t="shared" si="9"/>
        <v>10</v>
      </c>
      <c r="AA21" s="73">
        <f t="shared" si="10"/>
        <v>3680</v>
      </c>
      <c r="AB21" s="19">
        <f t="shared" si="11"/>
        <v>6</v>
      </c>
      <c r="AC21" s="73">
        <f t="shared" si="12"/>
        <v>2208</v>
      </c>
      <c r="AD21" s="19">
        <f t="shared" si="13"/>
        <v>0</v>
      </c>
      <c r="AE21" s="19">
        <f t="shared" si="14"/>
        <v>0</v>
      </c>
      <c r="AF21" s="19" t="str">
        <f>IF($D21&lt;&gt;1,"",IF(INDEX(TblClusters[Environnement],$B21)="","(vide)",INDEX(TblClusters[Environnement],$B21)))</f>
        <v>PRD</v>
      </c>
      <c r="AG21" s="19">
        <f t="shared" si="15"/>
        <v>113</v>
      </c>
      <c r="AH21" s="19">
        <f t="shared" si="16"/>
        <v>32.56637168141593</v>
      </c>
      <c r="AI21" s="19">
        <f>IF($D21&lt;&gt;1,"",IF(AND($G21="IKS",ISNUMBER(INDEX(TblClusters[Fermeture retenue],$B21))),IF($E21&gt;=INDEX(TblClusters[Fermeture retenue],$B21),1,0),0))</f>
        <v>0</v>
      </c>
    </row>
    <row r="22" spans="1:35" x14ac:dyDescent="0.2">
      <c r="A22" s="19">
        <v>17</v>
      </c>
      <c r="B22" s="19">
        <f t="shared" si="0"/>
        <v>1</v>
      </c>
      <c r="C22" s="19">
        <f t="shared" si="1"/>
        <v>17</v>
      </c>
      <c r="D22" s="19">
        <f>IF($C22&gt;p_horizon,0,IFERROR(IF(AND(INDEX(TblClusters[Cluster],$B22)&lt;&gt;"",ISNUMBER(INDEX(TblClusters[CPU initial (vCPU)],$B22)),ISNUMBER(INDEX(TblClusters[CPU min (vCPU)],$B22)),OR(INDEX(TblClusters[Plateforme],$B22)="IKS",INDEX(TblClusters[Plateforme],$B22)="ROKS")),1,0),0))</f>
        <v>1</v>
      </c>
      <c r="E22" s="72">
        <f t="shared" si="2"/>
        <v>46784</v>
      </c>
      <c r="F22" s="19" t="str">
        <f>IF($D22=1,INDEX(TblClusters[Cluster],$B22),"")</f>
        <v>oc002i000577</v>
      </c>
      <c r="G22" s="19" t="str">
        <f>IF($D22=1,INDEX(TblClusters[Plateforme],$B22),"")</f>
        <v>ROKS</v>
      </c>
      <c r="H22" s="19">
        <f>IF($D22=1,INDEX(TblClusters[vCPU par nœud],$B22),"")</f>
        <v>8</v>
      </c>
      <c r="I22" s="19">
        <f>IF($D22=1,INDEX(TblClusters[RAM par nœud (Go)],$B22),"")</f>
        <v>40</v>
      </c>
      <c r="J22" s="19">
        <f>IF($D22=1,INDEX(TblClusters[Workers min],$B22),"")</f>
        <v>6</v>
      </c>
      <c r="K22" s="73">
        <f>IF($D22=1,INDEX(TblClusters[Tarif par nœud],$B22),"")</f>
        <v>368</v>
      </c>
      <c r="L22" s="19">
        <f>IF($D22=1,INDEX(TblClusters[CPU initial (vCPU)],$B22),"")</f>
        <v>48</v>
      </c>
      <c r="M22" s="19">
        <f>IF($D22=1,INDEX(TblClusters[RAM initiale (Go)],$B22),"")</f>
        <v>240</v>
      </c>
      <c r="N22" s="19">
        <f>IF($D22=1,INDEX(TblClusters[CPU min (vCPU)],$B22),"")</f>
        <v>48</v>
      </c>
      <c r="O22" s="19">
        <f>IF($D22=1,INDEX(TblClusters[RAM min (Go)],$B22),"")</f>
        <v>240</v>
      </c>
      <c r="P22" s="19">
        <f>IF($D22&lt;&gt;1,"",IF($G22="ROKS",SUMIFS(TblApplications[Besoin ROKS CPU (vCPU)],TblApplications[Cluster ROKS cible],$F22,TblApplications[Action],"À migrer",TblApplications[Déjà incluse ROKS],"Non",TblApplications[Mois prov (calc)],"&lt;="&amp;$E22),SUMIFS(TblApplications[CPU IKS libérable (vCPU)],TblApplications[Cluster IKS source],$F22,TblApplications[Mois lib (calc)],"&lt;="&amp;$E22)))</f>
        <v>27</v>
      </c>
      <c r="Q22" s="19">
        <f>IF($D22&lt;&gt;1,"",IF($G22="ROKS",SUMIFS(TblApplications[Besoin ROKS RAM (Go)],TblApplications[Cluster ROKS cible],$F22,TblApplications[Action],"À migrer",TblApplications[Déjà incluse ROKS],"Non",TblApplications[Mois prov (calc)],"&lt;="&amp;$E22),SUMIFS(TblApplications[RAM IKS libérable (Go)],TblApplications[Cluster IKS source],$F22,TblApplications[Mois lib (calc)],"&lt;="&amp;$E22)))</f>
        <v>140</v>
      </c>
      <c r="R22" s="19">
        <f t="shared" si="3"/>
        <v>75</v>
      </c>
      <c r="S22" s="19">
        <f t="shared" si="4"/>
        <v>380</v>
      </c>
      <c r="T22" s="19">
        <f t="shared" si="5"/>
        <v>10</v>
      </c>
      <c r="U22" s="19">
        <f t="shared" si="6"/>
        <v>80</v>
      </c>
      <c r="V22" s="19">
        <f t="shared" si="7"/>
        <v>400</v>
      </c>
      <c r="W22" s="73">
        <f t="shared" si="8"/>
        <v>3680</v>
      </c>
      <c r="X22" s="19">
        <f>IF($D22&lt;&gt;1,"",IF($G22="ROKS",$R22,IF($AI22=1,0,MAX($N22,$L22-SUMIFS(TblApplications[CPU IKS libérable (vCPU)],TblApplications[Cluster IKS source],$F22,TblApplications[Action],"À migrer",TblApplications[Mois prov (calc)],"&lt;="&amp;$E22)-SUMIFS(TblApplications[CPU IKS libérable (vCPU)],TblApplications[Cluster IKS source],$F22,TblApplications[Action],"À décommissionner",TblApplications[Mois lib (calc)],"&lt;="&amp;$E22)))))</f>
        <v>75</v>
      </c>
      <c r="Y22" s="19">
        <f>IF($D22&lt;&gt;1,"",IF($G22="ROKS",$S22,IF($AI22=1,0,MAX($O22,$M22-SUMIFS(TblApplications[RAM IKS libérable (Go)],TblApplications[Cluster IKS source],$F22,TblApplications[Action],"À migrer",TblApplications[Mois prov (calc)],"&lt;="&amp;$E22)-SUMIFS(TblApplications[RAM IKS libérable (Go)],TblApplications[Cluster IKS source],$F22,TblApplications[Action],"À décommissionner",TblApplications[Mois lib (calc)],"&lt;="&amp;$E22)))))</f>
        <v>380</v>
      </c>
      <c r="Z22" s="19">
        <f t="shared" si="9"/>
        <v>10</v>
      </c>
      <c r="AA22" s="73">
        <f t="shared" si="10"/>
        <v>3680</v>
      </c>
      <c r="AB22" s="19">
        <f t="shared" si="11"/>
        <v>6</v>
      </c>
      <c r="AC22" s="73">
        <f t="shared" si="12"/>
        <v>2208</v>
      </c>
      <c r="AD22" s="19">
        <f t="shared" si="13"/>
        <v>0</v>
      </c>
      <c r="AE22" s="19">
        <f t="shared" si="14"/>
        <v>0</v>
      </c>
      <c r="AF22" s="19" t="str">
        <f>IF($D22&lt;&gt;1,"",IF(INDEX(TblClusters[Environnement],$B22)="","(vide)",INDEX(TblClusters[Environnement],$B22)))</f>
        <v>PRD</v>
      </c>
      <c r="AG22" s="19">
        <f t="shared" si="15"/>
        <v>113</v>
      </c>
      <c r="AH22" s="19">
        <f t="shared" si="16"/>
        <v>32.56637168141593</v>
      </c>
      <c r="AI22" s="19">
        <f>IF($D22&lt;&gt;1,"",IF(AND($G22="IKS",ISNUMBER(INDEX(TblClusters[Fermeture retenue],$B22))),IF($E22&gt;=INDEX(TblClusters[Fermeture retenue],$B22),1,0),0))</f>
        <v>0</v>
      </c>
    </row>
    <row r="23" spans="1:35" x14ac:dyDescent="0.2">
      <c r="A23" s="19">
        <v>18</v>
      </c>
      <c r="B23" s="19">
        <f t="shared" si="0"/>
        <v>1</v>
      </c>
      <c r="C23" s="19">
        <f t="shared" si="1"/>
        <v>18</v>
      </c>
      <c r="D23" s="19">
        <f>IF($C23&gt;p_horizon,0,IFERROR(IF(AND(INDEX(TblClusters[Cluster],$B23)&lt;&gt;"",ISNUMBER(INDEX(TblClusters[CPU initial (vCPU)],$B23)),ISNUMBER(INDEX(TblClusters[CPU min (vCPU)],$B23)),OR(INDEX(TblClusters[Plateforme],$B23)="IKS",INDEX(TblClusters[Plateforme],$B23)="ROKS")),1,0),0))</f>
        <v>1</v>
      </c>
      <c r="E23" s="72">
        <f t="shared" si="2"/>
        <v>46813</v>
      </c>
      <c r="F23" s="19" t="str">
        <f>IF($D23=1,INDEX(TblClusters[Cluster],$B23),"")</f>
        <v>oc002i000577</v>
      </c>
      <c r="G23" s="19" t="str">
        <f>IF($D23=1,INDEX(TblClusters[Plateforme],$B23),"")</f>
        <v>ROKS</v>
      </c>
      <c r="H23" s="19">
        <f>IF($D23=1,INDEX(TblClusters[vCPU par nœud],$B23),"")</f>
        <v>8</v>
      </c>
      <c r="I23" s="19">
        <f>IF($D23=1,INDEX(TblClusters[RAM par nœud (Go)],$B23),"")</f>
        <v>40</v>
      </c>
      <c r="J23" s="19">
        <f>IF($D23=1,INDEX(TblClusters[Workers min],$B23),"")</f>
        <v>6</v>
      </c>
      <c r="K23" s="73">
        <f>IF($D23=1,INDEX(TblClusters[Tarif par nœud],$B23),"")</f>
        <v>368</v>
      </c>
      <c r="L23" s="19">
        <f>IF($D23=1,INDEX(TblClusters[CPU initial (vCPU)],$B23),"")</f>
        <v>48</v>
      </c>
      <c r="M23" s="19">
        <f>IF($D23=1,INDEX(TblClusters[RAM initiale (Go)],$B23),"")</f>
        <v>240</v>
      </c>
      <c r="N23" s="19">
        <f>IF($D23=1,INDEX(TblClusters[CPU min (vCPU)],$B23),"")</f>
        <v>48</v>
      </c>
      <c r="O23" s="19">
        <f>IF($D23=1,INDEX(TblClusters[RAM min (Go)],$B23),"")</f>
        <v>240</v>
      </c>
      <c r="P23" s="19">
        <f>IF($D23&lt;&gt;1,"",IF($G23="ROKS",SUMIFS(TblApplications[Besoin ROKS CPU (vCPU)],TblApplications[Cluster ROKS cible],$F23,TblApplications[Action],"À migrer",TblApplications[Déjà incluse ROKS],"Non",TblApplications[Mois prov (calc)],"&lt;="&amp;$E23),SUMIFS(TblApplications[CPU IKS libérable (vCPU)],TblApplications[Cluster IKS source],$F23,TblApplications[Mois lib (calc)],"&lt;="&amp;$E23)))</f>
        <v>27</v>
      </c>
      <c r="Q23" s="19">
        <f>IF($D23&lt;&gt;1,"",IF($G23="ROKS",SUMIFS(TblApplications[Besoin ROKS RAM (Go)],TblApplications[Cluster ROKS cible],$F23,TblApplications[Action],"À migrer",TblApplications[Déjà incluse ROKS],"Non",TblApplications[Mois prov (calc)],"&lt;="&amp;$E23),SUMIFS(TblApplications[RAM IKS libérable (Go)],TblApplications[Cluster IKS source],$F23,TblApplications[Mois lib (calc)],"&lt;="&amp;$E23)))</f>
        <v>140</v>
      </c>
      <c r="R23" s="19">
        <f t="shared" si="3"/>
        <v>75</v>
      </c>
      <c r="S23" s="19">
        <f t="shared" si="4"/>
        <v>380</v>
      </c>
      <c r="T23" s="19">
        <f t="shared" si="5"/>
        <v>10</v>
      </c>
      <c r="U23" s="19">
        <f t="shared" si="6"/>
        <v>80</v>
      </c>
      <c r="V23" s="19">
        <f t="shared" si="7"/>
        <v>400</v>
      </c>
      <c r="W23" s="73">
        <f t="shared" si="8"/>
        <v>3680</v>
      </c>
      <c r="X23" s="19">
        <f>IF($D23&lt;&gt;1,"",IF($G23="ROKS",$R23,IF($AI23=1,0,MAX($N23,$L23-SUMIFS(TblApplications[CPU IKS libérable (vCPU)],TblApplications[Cluster IKS source],$F23,TblApplications[Action],"À migrer",TblApplications[Mois prov (calc)],"&lt;="&amp;$E23)-SUMIFS(TblApplications[CPU IKS libérable (vCPU)],TblApplications[Cluster IKS source],$F23,TblApplications[Action],"À décommissionner",TblApplications[Mois lib (calc)],"&lt;="&amp;$E23)))))</f>
        <v>75</v>
      </c>
      <c r="Y23" s="19">
        <f>IF($D23&lt;&gt;1,"",IF($G23="ROKS",$S23,IF($AI23=1,0,MAX($O23,$M23-SUMIFS(TblApplications[RAM IKS libérable (Go)],TblApplications[Cluster IKS source],$F23,TblApplications[Action],"À migrer",TblApplications[Mois prov (calc)],"&lt;="&amp;$E23)-SUMIFS(TblApplications[RAM IKS libérable (Go)],TblApplications[Cluster IKS source],$F23,TblApplications[Action],"À décommissionner",TblApplications[Mois lib (calc)],"&lt;="&amp;$E23)))))</f>
        <v>380</v>
      </c>
      <c r="Z23" s="19">
        <f t="shared" si="9"/>
        <v>10</v>
      </c>
      <c r="AA23" s="73">
        <f t="shared" si="10"/>
        <v>3680</v>
      </c>
      <c r="AB23" s="19">
        <f t="shared" si="11"/>
        <v>6</v>
      </c>
      <c r="AC23" s="73">
        <f t="shared" si="12"/>
        <v>2208</v>
      </c>
      <c r="AD23" s="19">
        <f t="shared" si="13"/>
        <v>0</v>
      </c>
      <c r="AE23" s="19">
        <f t="shared" si="14"/>
        <v>0</v>
      </c>
      <c r="AF23" s="19" t="str">
        <f>IF($D23&lt;&gt;1,"",IF(INDEX(TblClusters[Environnement],$B23)="","(vide)",INDEX(TblClusters[Environnement],$B23)))</f>
        <v>PRD</v>
      </c>
      <c r="AG23" s="19">
        <f t="shared" si="15"/>
        <v>113</v>
      </c>
      <c r="AH23" s="19">
        <f t="shared" si="16"/>
        <v>32.56637168141593</v>
      </c>
      <c r="AI23" s="19">
        <f>IF($D23&lt;&gt;1,"",IF(AND($G23="IKS",ISNUMBER(INDEX(TblClusters[Fermeture retenue],$B23))),IF($E23&gt;=INDEX(TblClusters[Fermeture retenue],$B23),1,0),0))</f>
        <v>0</v>
      </c>
    </row>
    <row r="24" spans="1:35" x14ac:dyDescent="0.2">
      <c r="A24" s="19">
        <v>19</v>
      </c>
      <c r="B24" s="19">
        <f t="shared" si="0"/>
        <v>1</v>
      </c>
      <c r="C24" s="19">
        <f t="shared" si="1"/>
        <v>19</v>
      </c>
      <c r="D24" s="19">
        <f>IF($C24&gt;p_horizon,0,IFERROR(IF(AND(INDEX(TblClusters[Cluster],$B24)&lt;&gt;"",ISNUMBER(INDEX(TblClusters[CPU initial (vCPU)],$B24)),ISNUMBER(INDEX(TblClusters[CPU min (vCPU)],$B24)),OR(INDEX(TblClusters[Plateforme],$B24)="IKS",INDEX(TblClusters[Plateforme],$B24)="ROKS")),1,0),0))</f>
        <v>1</v>
      </c>
      <c r="E24" s="72">
        <f t="shared" si="2"/>
        <v>46844</v>
      </c>
      <c r="F24" s="19" t="str">
        <f>IF($D24=1,INDEX(TblClusters[Cluster],$B24),"")</f>
        <v>oc002i000577</v>
      </c>
      <c r="G24" s="19" t="str">
        <f>IF($D24=1,INDEX(TblClusters[Plateforme],$B24),"")</f>
        <v>ROKS</v>
      </c>
      <c r="H24" s="19">
        <f>IF($D24=1,INDEX(TblClusters[vCPU par nœud],$B24),"")</f>
        <v>8</v>
      </c>
      <c r="I24" s="19">
        <f>IF($D24=1,INDEX(TblClusters[RAM par nœud (Go)],$B24),"")</f>
        <v>40</v>
      </c>
      <c r="J24" s="19">
        <f>IF($D24=1,INDEX(TblClusters[Workers min],$B24),"")</f>
        <v>6</v>
      </c>
      <c r="K24" s="73">
        <f>IF($D24=1,INDEX(TblClusters[Tarif par nœud],$B24),"")</f>
        <v>368</v>
      </c>
      <c r="L24" s="19">
        <f>IF($D24=1,INDEX(TblClusters[CPU initial (vCPU)],$B24),"")</f>
        <v>48</v>
      </c>
      <c r="M24" s="19">
        <f>IF($D24=1,INDEX(TblClusters[RAM initiale (Go)],$B24),"")</f>
        <v>240</v>
      </c>
      <c r="N24" s="19">
        <f>IF($D24=1,INDEX(TblClusters[CPU min (vCPU)],$B24),"")</f>
        <v>48</v>
      </c>
      <c r="O24" s="19">
        <f>IF($D24=1,INDEX(TblClusters[RAM min (Go)],$B24),"")</f>
        <v>240</v>
      </c>
      <c r="P24" s="19">
        <f>IF($D24&lt;&gt;1,"",IF($G24="ROKS",SUMIFS(TblApplications[Besoin ROKS CPU (vCPU)],TblApplications[Cluster ROKS cible],$F24,TblApplications[Action],"À migrer",TblApplications[Déjà incluse ROKS],"Non",TblApplications[Mois prov (calc)],"&lt;="&amp;$E24),SUMIFS(TblApplications[CPU IKS libérable (vCPU)],TblApplications[Cluster IKS source],$F24,TblApplications[Mois lib (calc)],"&lt;="&amp;$E24)))</f>
        <v>27</v>
      </c>
      <c r="Q24" s="19">
        <f>IF($D24&lt;&gt;1,"",IF($G24="ROKS",SUMIFS(TblApplications[Besoin ROKS RAM (Go)],TblApplications[Cluster ROKS cible],$F24,TblApplications[Action],"À migrer",TblApplications[Déjà incluse ROKS],"Non",TblApplications[Mois prov (calc)],"&lt;="&amp;$E24),SUMIFS(TblApplications[RAM IKS libérable (Go)],TblApplications[Cluster IKS source],$F24,TblApplications[Mois lib (calc)],"&lt;="&amp;$E24)))</f>
        <v>140</v>
      </c>
      <c r="R24" s="19">
        <f t="shared" si="3"/>
        <v>75</v>
      </c>
      <c r="S24" s="19">
        <f t="shared" si="4"/>
        <v>380</v>
      </c>
      <c r="T24" s="19">
        <f t="shared" si="5"/>
        <v>10</v>
      </c>
      <c r="U24" s="19">
        <f t="shared" si="6"/>
        <v>80</v>
      </c>
      <c r="V24" s="19">
        <f t="shared" si="7"/>
        <v>400</v>
      </c>
      <c r="W24" s="73">
        <f t="shared" si="8"/>
        <v>3680</v>
      </c>
      <c r="X24" s="19">
        <f>IF($D24&lt;&gt;1,"",IF($G24="ROKS",$R24,IF($AI24=1,0,MAX($N24,$L24-SUMIFS(TblApplications[CPU IKS libérable (vCPU)],TblApplications[Cluster IKS source],$F24,TblApplications[Action],"À migrer",TblApplications[Mois prov (calc)],"&lt;="&amp;$E24)-SUMIFS(TblApplications[CPU IKS libérable (vCPU)],TblApplications[Cluster IKS source],$F24,TblApplications[Action],"À décommissionner",TblApplications[Mois lib (calc)],"&lt;="&amp;$E24)))))</f>
        <v>75</v>
      </c>
      <c r="Y24" s="19">
        <f>IF($D24&lt;&gt;1,"",IF($G24="ROKS",$S24,IF($AI24=1,0,MAX($O24,$M24-SUMIFS(TblApplications[RAM IKS libérable (Go)],TblApplications[Cluster IKS source],$F24,TblApplications[Action],"À migrer",TblApplications[Mois prov (calc)],"&lt;="&amp;$E24)-SUMIFS(TblApplications[RAM IKS libérable (Go)],TblApplications[Cluster IKS source],$F24,TblApplications[Action],"À décommissionner",TblApplications[Mois lib (calc)],"&lt;="&amp;$E24)))))</f>
        <v>380</v>
      </c>
      <c r="Z24" s="19">
        <f t="shared" si="9"/>
        <v>10</v>
      </c>
      <c r="AA24" s="73">
        <f t="shared" si="10"/>
        <v>3680</v>
      </c>
      <c r="AB24" s="19">
        <f t="shared" si="11"/>
        <v>6</v>
      </c>
      <c r="AC24" s="73">
        <f t="shared" si="12"/>
        <v>2208</v>
      </c>
      <c r="AD24" s="19">
        <f t="shared" si="13"/>
        <v>0</v>
      </c>
      <c r="AE24" s="19">
        <f t="shared" si="14"/>
        <v>0</v>
      </c>
      <c r="AF24" s="19" t="str">
        <f>IF($D24&lt;&gt;1,"",IF(INDEX(TblClusters[Environnement],$B24)="","(vide)",INDEX(TblClusters[Environnement],$B24)))</f>
        <v>PRD</v>
      </c>
      <c r="AG24" s="19">
        <f t="shared" si="15"/>
        <v>113</v>
      </c>
      <c r="AH24" s="19">
        <f t="shared" si="16"/>
        <v>32.56637168141593</v>
      </c>
      <c r="AI24" s="19">
        <f>IF($D24&lt;&gt;1,"",IF(AND($G24="IKS",ISNUMBER(INDEX(TblClusters[Fermeture retenue],$B24))),IF($E24&gt;=INDEX(TblClusters[Fermeture retenue],$B24),1,0),0))</f>
        <v>0</v>
      </c>
    </row>
    <row r="25" spans="1:35" x14ac:dyDescent="0.2">
      <c r="A25" s="19">
        <v>20</v>
      </c>
      <c r="B25" s="19">
        <f t="shared" si="0"/>
        <v>1</v>
      </c>
      <c r="C25" s="19">
        <f t="shared" si="1"/>
        <v>20</v>
      </c>
      <c r="D25" s="19">
        <f>IF($C25&gt;p_horizon,0,IFERROR(IF(AND(INDEX(TblClusters[Cluster],$B25)&lt;&gt;"",ISNUMBER(INDEX(TblClusters[CPU initial (vCPU)],$B25)),ISNUMBER(INDEX(TblClusters[CPU min (vCPU)],$B25)),OR(INDEX(TblClusters[Plateforme],$B25)="IKS",INDEX(TblClusters[Plateforme],$B25)="ROKS")),1,0),0))</f>
        <v>1</v>
      </c>
      <c r="E25" s="72">
        <f t="shared" si="2"/>
        <v>46874</v>
      </c>
      <c r="F25" s="19" t="str">
        <f>IF($D25=1,INDEX(TblClusters[Cluster],$B25),"")</f>
        <v>oc002i000577</v>
      </c>
      <c r="G25" s="19" t="str">
        <f>IF($D25=1,INDEX(TblClusters[Plateforme],$B25),"")</f>
        <v>ROKS</v>
      </c>
      <c r="H25" s="19">
        <f>IF($D25=1,INDEX(TblClusters[vCPU par nœud],$B25),"")</f>
        <v>8</v>
      </c>
      <c r="I25" s="19">
        <f>IF($D25=1,INDEX(TblClusters[RAM par nœud (Go)],$B25),"")</f>
        <v>40</v>
      </c>
      <c r="J25" s="19">
        <f>IF($D25=1,INDEX(TblClusters[Workers min],$B25),"")</f>
        <v>6</v>
      </c>
      <c r="K25" s="73">
        <f>IF($D25=1,INDEX(TblClusters[Tarif par nœud],$B25),"")</f>
        <v>368</v>
      </c>
      <c r="L25" s="19">
        <f>IF($D25=1,INDEX(TblClusters[CPU initial (vCPU)],$B25),"")</f>
        <v>48</v>
      </c>
      <c r="M25" s="19">
        <f>IF($D25=1,INDEX(TblClusters[RAM initiale (Go)],$B25),"")</f>
        <v>240</v>
      </c>
      <c r="N25" s="19">
        <f>IF($D25=1,INDEX(TblClusters[CPU min (vCPU)],$B25),"")</f>
        <v>48</v>
      </c>
      <c r="O25" s="19">
        <f>IF($D25=1,INDEX(TblClusters[RAM min (Go)],$B25),"")</f>
        <v>240</v>
      </c>
      <c r="P25" s="19">
        <f>IF($D25&lt;&gt;1,"",IF($G25="ROKS",SUMIFS(TblApplications[Besoin ROKS CPU (vCPU)],TblApplications[Cluster ROKS cible],$F25,TblApplications[Action],"À migrer",TblApplications[Déjà incluse ROKS],"Non",TblApplications[Mois prov (calc)],"&lt;="&amp;$E25),SUMIFS(TblApplications[CPU IKS libérable (vCPU)],TblApplications[Cluster IKS source],$F25,TblApplications[Mois lib (calc)],"&lt;="&amp;$E25)))</f>
        <v>27</v>
      </c>
      <c r="Q25" s="19">
        <f>IF($D25&lt;&gt;1,"",IF($G25="ROKS",SUMIFS(TblApplications[Besoin ROKS RAM (Go)],TblApplications[Cluster ROKS cible],$F25,TblApplications[Action],"À migrer",TblApplications[Déjà incluse ROKS],"Non",TblApplications[Mois prov (calc)],"&lt;="&amp;$E25),SUMIFS(TblApplications[RAM IKS libérable (Go)],TblApplications[Cluster IKS source],$F25,TblApplications[Mois lib (calc)],"&lt;="&amp;$E25)))</f>
        <v>140</v>
      </c>
      <c r="R25" s="19">
        <f t="shared" si="3"/>
        <v>75</v>
      </c>
      <c r="S25" s="19">
        <f t="shared" si="4"/>
        <v>380</v>
      </c>
      <c r="T25" s="19">
        <f t="shared" si="5"/>
        <v>10</v>
      </c>
      <c r="U25" s="19">
        <f t="shared" si="6"/>
        <v>80</v>
      </c>
      <c r="V25" s="19">
        <f t="shared" si="7"/>
        <v>400</v>
      </c>
      <c r="W25" s="73">
        <f t="shared" si="8"/>
        <v>3680</v>
      </c>
      <c r="X25" s="19">
        <f>IF($D25&lt;&gt;1,"",IF($G25="ROKS",$R25,IF($AI25=1,0,MAX($N25,$L25-SUMIFS(TblApplications[CPU IKS libérable (vCPU)],TblApplications[Cluster IKS source],$F25,TblApplications[Action],"À migrer",TblApplications[Mois prov (calc)],"&lt;="&amp;$E25)-SUMIFS(TblApplications[CPU IKS libérable (vCPU)],TblApplications[Cluster IKS source],$F25,TblApplications[Action],"À décommissionner",TblApplications[Mois lib (calc)],"&lt;="&amp;$E25)))))</f>
        <v>75</v>
      </c>
      <c r="Y25" s="19">
        <f>IF($D25&lt;&gt;1,"",IF($G25="ROKS",$S25,IF($AI25=1,0,MAX($O25,$M25-SUMIFS(TblApplications[RAM IKS libérable (Go)],TblApplications[Cluster IKS source],$F25,TblApplications[Action],"À migrer",TblApplications[Mois prov (calc)],"&lt;="&amp;$E25)-SUMIFS(TblApplications[RAM IKS libérable (Go)],TblApplications[Cluster IKS source],$F25,TblApplications[Action],"À décommissionner",TblApplications[Mois lib (calc)],"&lt;="&amp;$E25)))))</f>
        <v>380</v>
      </c>
      <c r="Z25" s="19">
        <f t="shared" si="9"/>
        <v>10</v>
      </c>
      <c r="AA25" s="73">
        <f t="shared" si="10"/>
        <v>3680</v>
      </c>
      <c r="AB25" s="19">
        <f t="shared" si="11"/>
        <v>6</v>
      </c>
      <c r="AC25" s="73">
        <f t="shared" si="12"/>
        <v>2208</v>
      </c>
      <c r="AD25" s="19">
        <f t="shared" si="13"/>
        <v>0</v>
      </c>
      <c r="AE25" s="19">
        <f t="shared" si="14"/>
        <v>0</v>
      </c>
      <c r="AF25" s="19" t="str">
        <f>IF($D25&lt;&gt;1,"",IF(INDEX(TblClusters[Environnement],$B25)="","(vide)",INDEX(TblClusters[Environnement],$B25)))</f>
        <v>PRD</v>
      </c>
      <c r="AG25" s="19">
        <f t="shared" si="15"/>
        <v>113</v>
      </c>
      <c r="AH25" s="19">
        <f t="shared" si="16"/>
        <v>32.56637168141593</v>
      </c>
      <c r="AI25" s="19">
        <f>IF($D25&lt;&gt;1,"",IF(AND($G25="IKS",ISNUMBER(INDEX(TblClusters[Fermeture retenue],$B25))),IF($E25&gt;=INDEX(TblClusters[Fermeture retenue],$B25),1,0),0))</f>
        <v>0</v>
      </c>
    </row>
    <row r="26" spans="1:35" x14ac:dyDescent="0.2">
      <c r="A26" s="19">
        <v>21</v>
      </c>
      <c r="B26" s="19">
        <f t="shared" si="0"/>
        <v>1</v>
      </c>
      <c r="C26" s="19">
        <f t="shared" si="1"/>
        <v>21</v>
      </c>
      <c r="D26" s="19">
        <f>IF($C26&gt;p_horizon,0,IFERROR(IF(AND(INDEX(TblClusters[Cluster],$B26)&lt;&gt;"",ISNUMBER(INDEX(TblClusters[CPU initial (vCPU)],$B26)),ISNUMBER(INDEX(TblClusters[CPU min (vCPU)],$B26)),OR(INDEX(TblClusters[Plateforme],$B26)="IKS",INDEX(TblClusters[Plateforme],$B26)="ROKS")),1,0),0))</f>
        <v>1</v>
      </c>
      <c r="E26" s="72">
        <f t="shared" si="2"/>
        <v>46905</v>
      </c>
      <c r="F26" s="19" t="str">
        <f>IF($D26=1,INDEX(TblClusters[Cluster],$B26),"")</f>
        <v>oc002i000577</v>
      </c>
      <c r="G26" s="19" t="str">
        <f>IF($D26=1,INDEX(TblClusters[Plateforme],$B26),"")</f>
        <v>ROKS</v>
      </c>
      <c r="H26" s="19">
        <f>IF($D26=1,INDEX(TblClusters[vCPU par nœud],$B26),"")</f>
        <v>8</v>
      </c>
      <c r="I26" s="19">
        <f>IF($D26=1,INDEX(TblClusters[RAM par nœud (Go)],$B26),"")</f>
        <v>40</v>
      </c>
      <c r="J26" s="19">
        <f>IF($D26=1,INDEX(TblClusters[Workers min],$B26),"")</f>
        <v>6</v>
      </c>
      <c r="K26" s="73">
        <f>IF($D26=1,INDEX(TblClusters[Tarif par nœud],$B26),"")</f>
        <v>368</v>
      </c>
      <c r="L26" s="19">
        <f>IF($D26=1,INDEX(TblClusters[CPU initial (vCPU)],$B26),"")</f>
        <v>48</v>
      </c>
      <c r="M26" s="19">
        <f>IF($D26=1,INDEX(TblClusters[RAM initiale (Go)],$B26),"")</f>
        <v>240</v>
      </c>
      <c r="N26" s="19">
        <f>IF($D26=1,INDEX(TblClusters[CPU min (vCPU)],$B26),"")</f>
        <v>48</v>
      </c>
      <c r="O26" s="19">
        <f>IF($D26=1,INDEX(TblClusters[RAM min (Go)],$B26),"")</f>
        <v>240</v>
      </c>
      <c r="P26" s="19">
        <f>IF($D26&lt;&gt;1,"",IF($G26="ROKS",SUMIFS(TblApplications[Besoin ROKS CPU (vCPU)],TblApplications[Cluster ROKS cible],$F26,TblApplications[Action],"À migrer",TblApplications[Déjà incluse ROKS],"Non",TblApplications[Mois prov (calc)],"&lt;="&amp;$E26),SUMIFS(TblApplications[CPU IKS libérable (vCPU)],TblApplications[Cluster IKS source],$F26,TblApplications[Mois lib (calc)],"&lt;="&amp;$E26)))</f>
        <v>27</v>
      </c>
      <c r="Q26" s="19">
        <f>IF($D26&lt;&gt;1,"",IF($G26="ROKS",SUMIFS(TblApplications[Besoin ROKS RAM (Go)],TblApplications[Cluster ROKS cible],$F26,TblApplications[Action],"À migrer",TblApplications[Déjà incluse ROKS],"Non",TblApplications[Mois prov (calc)],"&lt;="&amp;$E26),SUMIFS(TblApplications[RAM IKS libérable (Go)],TblApplications[Cluster IKS source],$F26,TblApplications[Mois lib (calc)],"&lt;="&amp;$E26)))</f>
        <v>140</v>
      </c>
      <c r="R26" s="19">
        <f t="shared" si="3"/>
        <v>75</v>
      </c>
      <c r="S26" s="19">
        <f t="shared" si="4"/>
        <v>380</v>
      </c>
      <c r="T26" s="19">
        <f t="shared" si="5"/>
        <v>10</v>
      </c>
      <c r="U26" s="19">
        <f t="shared" si="6"/>
        <v>80</v>
      </c>
      <c r="V26" s="19">
        <f t="shared" si="7"/>
        <v>400</v>
      </c>
      <c r="W26" s="73">
        <f t="shared" si="8"/>
        <v>3680</v>
      </c>
      <c r="X26" s="19">
        <f>IF($D26&lt;&gt;1,"",IF($G26="ROKS",$R26,IF($AI26=1,0,MAX($N26,$L26-SUMIFS(TblApplications[CPU IKS libérable (vCPU)],TblApplications[Cluster IKS source],$F26,TblApplications[Action],"À migrer",TblApplications[Mois prov (calc)],"&lt;="&amp;$E26)-SUMIFS(TblApplications[CPU IKS libérable (vCPU)],TblApplications[Cluster IKS source],$F26,TblApplications[Action],"À décommissionner",TblApplications[Mois lib (calc)],"&lt;="&amp;$E26)))))</f>
        <v>75</v>
      </c>
      <c r="Y26" s="19">
        <f>IF($D26&lt;&gt;1,"",IF($G26="ROKS",$S26,IF($AI26=1,0,MAX($O26,$M26-SUMIFS(TblApplications[RAM IKS libérable (Go)],TblApplications[Cluster IKS source],$F26,TblApplications[Action],"À migrer",TblApplications[Mois prov (calc)],"&lt;="&amp;$E26)-SUMIFS(TblApplications[RAM IKS libérable (Go)],TblApplications[Cluster IKS source],$F26,TblApplications[Action],"À décommissionner",TblApplications[Mois lib (calc)],"&lt;="&amp;$E26)))))</f>
        <v>380</v>
      </c>
      <c r="Z26" s="19">
        <f t="shared" si="9"/>
        <v>10</v>
      </c>
      <c r="AA26" s="73">
        <f t="shared" si="10"/>
        <v>3680</v>
      </c>
      <c r="AB26" s="19">
        <f t="shared" si="11"/>
        <v>6</v>
      </c>
      <c r="AC26" s="73">
        <f t="shared" si="12"/>
        <v>2208</v>
      </c>
      <c r="AD26" s="19">
        <f t="shared" si="13"/>
        <v>0</v>
      </c>
      <c r="AE26" s="19">
        <f t="shared" si="14"/>
        <v>0</v>
      </c>
      <c r="AF26" s="19" t="str">
        <f>IF($D26&lt;&gt;1,"",IF(INDEX(TblClusters[Environnement],$B26)="","(vide)",INDEX(TblClusters[Environnement],$B26)))</f>
        <v>PRD</v>
      </c>
      <c r="AG26" s="19">
        <f t="shared" si="15"/>
        <v>113</v>
      </c>
      <c r="AH26" s="19">
        <f t="shared" si="16"/>
        <v>32.56637168141593</v>
      </c>
      <c r="AI26" s="19">
        <f>IF($D26&lt;&gt;1,"",IF(AND($G26="IKS",ISNUMBER(INDEX(TblClusters[Fermeture retenue],$B26))),IF($E26&gt;=INDEX(TblClusters[Fermeture retenue],$B26),1,0),0))</f>
        <v>0</v>
      </c>
    </row>
    <row r="27" spans="1:35" x14ac:dyDescent="0.2">
      <c r="A27" s="19">
        <v>22</v>
      </c>
      <c r="B27" s="19">
        <f t="shared" si="0"/>
        <v>1</v>
      </c>
      <c r="C27" s="19">
        <f t="shared" si="1"/>
        <v>22</v>
      </c>
      <c r="D27" s="19">
        <f>IF($C27&gt;p_horizon,0,IFERROR(IF(AND(INDEX(TblClusters[Cluster],$B27)&lt;&gt;"",ISNUMBER(INDEX(TblClusters[CPU initial (vCPU)],$B27)),ISNUMBER(INDEX(TblClusters[CPU min (vCPU)],$B27)),OR(INDEX(TblClusters[Plateforme],$B27)="IKS",INDEX(TblClusters[Plateforme],$B27)="ROKS")),1,0),0))</f>
        <v>1</v>
      </c>
      <c r="E27" s="72">
        <f t="shared" si="2"/>
        <v>46935</v>
      </c>
      <c r="F27" s="19" t="str">
        <f>IF($D27=1,INDEX(TblClusters[Cluster],$B27),"")</f>
        <v>oc002i000577</v>
      </c>
      <c r="G27" s="19" t="str">
        <f>IF($D27=1,INDEX(TblClusters[Plateforme],$B27),"")</f>
        <v>ROKS</v>
      </c>
      <c r="H27" s="19">
        <f>IF($D27=1,INDEX(TblClusters[vCPU par nœud],$B27),"")</f>
        <v>8</v>
      </c>
      <c r="I27" s="19">
        <f>IF($D27=1,INDEX(TblClusters[RAM par nœud (Go)],$B27),"")</f>
        <v>40</v>
      </c>
      <c r="J27" s="19">
        <f>IF($D27=1,INDEX(TblClusters[Workers min],$B27),"")</f>
        <v>6</v>
      </c>
      <c r="K27" s="73">
        <f>IF($D27=1,INDEX(TblClusters[Tarif par nœud],$B27),"")</f>
        <v>368</v>
      </c>
      <c r="L27" s="19">
        <f>IF($D27=1,INDEX(TblClusters[CPU initial (vCPU)],$B27),"")</f>
        <v>48</v>
      </c>
      <c r="M27" s="19">
        <f>IF($D27=1,INDEX(TblClusters[RAM initiale (Go)],$B27),"")</f>
        <v>240</v>
      </c>
      <c r="N27" s="19">
        <f>IF($D27=1,INDEX(TblClusters[CPU min (vCPU)],$B27),"")</f>
        <v>48</v>
      </c>
      <c r="O27" s="19">
        <f>IF($D27=1,INDEX(TblClusters[RAM min (Go)],$B27),"")</f>
        <v>240</v>
      </c>
      <c r="P27" s="19">
        <f>IF($D27&lt;&gt;1,"",IF($G27="ROKS",SUMIFS(TblApplications[Besoin ROKS CPU (vCPU)],TblApplications[Cluster ROKS cible],$F27,TblApplications[Action],"À migrer",TblApplications[Déjà incluse ROKS],"Non",TblApplications[Mois prov (calc)],"&lt;="&amp;$E27),SUMIFS(TblApplications[CPU IKS libérable (vCPU)],TblApplications[Cluster IKS source],$F27,TblApplications[Mois lib (calc)],"&lt;="&amp;$E27)))</f>
        <v>27</v>
      </c>
      <c r="Q27" s="19">
        <f>IF($D27&lt;&gt;1,"",IF($G27="ROKS",SUMIFS(TblApplications[Besoin ROKS RAM (Go)],TblApplications[Cluster ROKS cible],$F27,TblApplications[Action],"À migrer",TblApplications[Déjà incluse ROKS],"Non",TblApplications[Mois prov (calc)],"&lt;="&amp;$E27),SUMIFS(TblApplications[RAM IKS libérable (Go)],TblApplications[Cluster IKS source],$F27,TblApplications[Mois lib (calc)],"&lt;="&amp;$E27)))</f>
        <v>140</v>
      </c>
      <c r="R27" s="19">
        <f t="shared" si="3"/>
        <v>75</v>
      </c>
      <c r="S27" s="19">
        <f t="shared" si="4"/>
        <v>380</v>
      </c>
      <c r="T27" s="19">
        <f t="shared" si="5"/>
        <v>10</v>
      </c>
      <c r="U27" s="19">
        <f t="shared" si="6"/>
        <v>80</v>
      </c>
      <c r="V27" s="19">
        <f t="shared" si="7"/>
        <v>400</v>
      </c>
      <c r="W27" s="73">
        <f t="shared" si="8"/>
        <v>3680</v>
      </c>
      <c r="X27" s="19">
        <f>IF($D27&lt;&gt;1,"",IF($G27="ROKS",$R27,IF($AI27=1,0,MAX($N27,$L27-SUMIFS(TblApplications[CPU IKS libérable (vCPU)],TblApplications[Cluster IKS source],$F27,TblApplications[Action],"À migrer",TblApplications[Mois prov (calc)],"&lt;="&amp;$E27)-SUMIFS(TblApplications[CPU IKS libérable (vCPU)],TblApplications[Cluster IKS source],$F27,TblApplications[Action],"À décommissionner",TblApplications[Mois lib (calc)],"&lt;="&amp;$E27)))))</f>
        <v>75</v>
      </c>
      <c r="Y27" s="19">
        <f>IF($D27&lt;&gt;1,"",IF($G27="ROKS",$S27,IF($AI27=1,0,MAX($O27,$M27-SUMIFS(TblApplications[RAM IKS libérable (Go)],TblApplications[Cluster IKS source],$F27,TblApplications[Action],"À migrer",TblApplications[Mois prov (calc)],"&lt;="&amp;$E27)-SUMIFS(TblApplications[RAM IKS libérable (Go)],TblApplications[Cluster IKS source],$F27,TblApplications[Action],"À décommissionner",TblApplications[Mois lib (calc)],"&lt;="&amp;$E27)))))</f>
        <v>380</v>
      </c>
      <c r="Z27" s="19">
        <f t="shared" si="9"/>
        <v>10</v>
      </c>
      <c r="AA27" s="73">
        <f t="shared" si="10"/>
        <v>3680</v>
      </c>
      <c r="AB27" s="19">
        <f t="shared" si="11"/>
        <v>6</v>
      </c>
      <c r="AC27" s="73">
        <f t="shared" si="12"/>
        <v>2208</v>
      </c>
      <c r="AD27" s="19">
        <f t="shared" si="13"/>
        <v>0</v>
      </c>
      <c r="AE27" s="19">
        <f t="shared" si="14"/>
        <v>0</v>
      </c>
      <c r="AF27" s="19" t="str">
        <f>IF($D27&lt;&gt;1,"",IF(INDEX(TblClusters[Environnement],$B27)="","(vide)",INDEX(TblClusters[Environnement],$B27)))</f>
        <v>PRD</v>
      </c>
      <c r="AG27" s="19">
        <f t="shared" si="15"/>
        <v>113</v>
      </c>
      <c r="AH27" s="19">
        <f t="shared" si="16"/>
        <v>32.56637168141593</v>
      </c>
      <c r="AI27" s="19">
        <f>IF($D27&lt;&gt;1,"",IF(AND($G27="IKS",ISNUMBER(INDEX(TblClusters[Fermeture retenue],$B27))),IF($E27&gt;=INDEX(TblClusters[Fermeture retenue],$B27),1,0),0))</f>
        <v>0</v>
      </c>
    </row>
    <row r="28" spans="1:35" x14ac:dyDescent="0.2">
      <c r="A28" s="19">
        <v>23</v>
      </c>
      <c r="B28" s="19">
        <f t="shared" si="0"/>
        <v>1</v>
      </c>
      <c r="C28" s="19">
        <f t="shared" si="1"/>
        <v>23</v>
      </c>
      <c r="D28" s="19">
        <f>IF($C28&gt;p_horizon,0,IFERROR(IF(AND(INDEX(TblClusters[Cluster],$B28)&lt;&gt;"",ISNUMBER(INDEX(TblClusters[CPU initial (vCPU)],$B28)),ISNUMBER(INDEX(TblClusters[CPU min (vCPU)],$B28)),OR(INDEX(TblClusters[Plateforme],$B28)="IKS",INDEX(TblClusters[Plateforme],$B28)="ROKS")),1,0),0))</f>
        <v>1</v>
      </c>
      <c r="E28" s="72">
        <f t="shared" si="2"/>
        <v>46966</v>
      </c>
      <c r="F28" s="19" t="str">
        <f>IF($D28=1,INDEX(TblClusters[Cluster],$B28),"")</f>
        <v>oc002i000577</v>
      </c>
      <c r="G28" s="19" t="str">
        <f>IF($D28=1,INDEX(TblClusters[Plateforme],$B28),"")</f>
        <v>ROKS</v>
      </c>
      <c r="H28" s="19">
        <f>IF($D28=1,INDEX(TblClusters[vCPU par nœud],$B28),"")</f>
        <v>8</v>
      </c>
      <c r="I28" s="19">
        <f>IF($D28=1,INDEX(TblClusters[RAM par nœud (Go)],$B28),"")</f>
        <v>40</v>
      </c>
      <c r="J28" s="19">
        <f>IF($D28=1,INDEX(TblClusters[Workers min],$B28),"")</f>
        <v>6</v>
      </c>
      <c r="K28" s="73">
        <f>IF($D28=1,INDEX(TblClusters[Tarif par nœud],$B28),"")</f>
        <v>368</v>
      </c>
      <c r="L28" s="19">
        <f>IF($D28=1,INDEX(TblClusters[CPU initial (vCPU)],$B28),"")</f>
        <v>48</v>
      </c>
      <c r="M28" s="19">
        <f>IF($D28=1,INDEX(TblClusters[RAM initiale (Go)],$B28),"")</f>
        <v>240</v>
      </c>
      <c r="N28" s="19">
        <f>IF($D28=1,INDEX(TblClusters[CPU min (vCPU)],$B28),"")</f>
        <v>48</v>
      </c>
      <c r="O28" s="19">
        <f>IF($D28=1,INDEX(TblClusters[RAM min (Go)],$B28),"")</f>
        <v>240</v>
      </c>
      <c r="P28" s="19">
        <f>IF($D28&lt;&gt;1,"",IF($G28="ROKS",SUMIFS(TblApplications[Besoin ROKS CPU (vCPU)],TblApplications[Cluster ROKS cible],$F28,TblApplications[Action],"À migrer",TblApplications[Déjà incluse ROKS],"Non",TblApplications[Mois prov (calc)],"&lt;="&amp;$E28),SUMIFS(TblApplications[CPU IKS libérable (vCPU)],TblApplications[Cluster IKS source],$F28,TblApplications[Mois lib (calc)],"&lt;="&amp;$E28)))</f>
        <v>27</v>
      </c>
      <c r="Q28" s="19">
        <f>IF($D28&lt;&gt;1,"",IF($G28="ROKS",SUMIFS(TblApplications[Besoin ROKS RAM (Go)],TblApplications[Cluster ROKS cible],$F28,TblApplications[Action],"À migrer",TblApplications[Déjà incluse ROKS],"Non",TblApplications[Mois prov (calc)],"&lt;="&amp;$E28),SUMIFS(TblApplications[RAM IKS libérable (Go)],TblApplications[Cluster IKS source],$F28,TblApplications[Mois lib (calc)],"&lt;="&amp;$E28)))</f>
        <v>140</v>
      </c>
      <c r="R28" s="19">
        <f t="shared" si="3"/>
        <v>75</v>
      </c>
      <c r="S28" s="19">
        <f t="shared" si="4"/>
        <v>380</v>
      </c>
      <c r="T28" s="19">
        <f t="shared" si="5"/>
        <v>10</v>
      </c>
      <c r="U28" s="19">
        <f t="shared" si="6"/>
        <v>80</v>
      </c>
      <c r="V28" s="19">
        <f t="shared" si="7"/>
        <v>400</v>
      </c>
      <c r="W28" s="73">
        <f t="shared" si="8"/>
        <v>3680</v>
      </c>
      <c r="X28" s="19">
        <f>IF($D28&lt;&gt;1,"",IF($G28="ROKS",$R28,IF($AI28=1,0,MAX($N28,$L28-SUMIFS(TblApplications[CPU IKS libérable (vCPU)],TblApplications[Cluster IKS source],$F28,TblApplications[Action],"À migrer",TblApplications[Mois prov (calc)],"&lt;="&amp;$E28)-SUMIFS(TblApplications[CPU IKS libérable (vCPU)],TblApplications[Cluster IKS source],$F28,TblApplications[Action],"À décommissionner",TblApplications[Mois lib (calc)],"&lt;="&amp;$E28)))))</f>
        <v>75</v>
      </c>
      <c r="Y28" s="19">
        <f>IF($D28&lt;&gt;1,"",IF($G28="ROKS",$S28,IF($AI28=1,0,MAX($O28,$M28-SUMIFS(TblApplications[RAM IKS libérable (Go)],TblApplications[Cluster IKS source],$F28,TblApplications[Action],"À migrer",TblApplications[Mois prov (calc)],"&lt;="&amp;$E28)-SUMIFS(TblApplications[RAM IKS libérable (Go)],TblApplications[Cluster IKS source],$F28,TblApplications[Action],"À décommissionner",TblApplications[Mois lib (calc)],"&lt;="&amp;$E28)))))</f>
        <v>380</v>
      </c>
      <c r="Z28" s="19">
        <f t="shared" si="9"/>
        <v>10</v>
      </c>
      <c r="AA28" s="73">
        <f t="shared" si="10"/>
        <v>3680</v>
      </c>
      <c r="AB28" s="19">
        <f t="shared" si="11"/>
        <v>6</v>
      </c>
      <c r="AC28" s="73">
        <f t="shared" si="12"/>
        <v>2208</v>
      </c>
      <c r="AD28" s="19">
        <f t="shared" si="13"/>
        <v>0</v>
      </c>
      <c r="AE28" s="19">
        <f t="shared" si="14"/>
        <v>0</v>
      </c>
      <c r="AF28" s="19" t="str">
        <f>IF($D28&lt;&gt;1,"",IF(INDEX(TblClusters[Environnement],$B28)="","(vide)",INDEX(TblClusters[Environnement],$B28)))</f>
        <v>PRD</v>
      </c>
      <c r="AG28" s="19">
        <f t="shared" si="15"/>
        <v>113</v>
      </c>
      <c r="AH28" s="19">
        <f t="shared" si="16"/>
        <v>32.56637168141593</v>
      </c>
      <c r="AI28" s="19">
        <f>IF($D28&lt;&gt;1,"",IF(AND($G28="IKS",ISNUMBER(INDEX(TblClusters[Fermeture retenue],$B28))),IF($E28&gt;=INDEX(TblClusters[Fermeture retenue],$B28),1,0),0))</f>
        <v>0</v>
      </c>
    </row>
    <row r="29" spans="1:35" x14ac:dyDescent="0.2">
      <c r="A29" s="19">
        <v>24</v>
      </c>
      <c r="B29" s="19">
        <f t="shared" si="0"/>
        <v>1</v>
      </c>
      <c r="C29" s="19">
        <f t="shared" si="1"/>
        <v>24</v>
      </c>
      <c r="D29" s="19">
        <f>IF($C29&gt;p_horizon,0,IFERROR(IF(AND(INDEX(TblClusters[Cluster],$B29)&lt;&gt;"",ISNUMBER(INDEX(TblClusters[CPU initial (vCPU)],$B29)),ISNUMBER(INDEX(TblClusters[CPU min (vCPU)],$B29)),OR(INDEX(TblClusters[Plateforme],$B29)="IKS",INDEX(TblClusters[Plateforme],$B29)="ROKS")),1,0),0))</f>
        <v>1</v>
      </c>
      <c r="E29" s="72">
        <f t="shared" si="2"/>
        <v>46997</v>
      </c>
      <c r="F29" s="19" t="str">
        <f>IF($D29=1,INDEX(TblClusters[Cluster],$B29),"")</f>
        <v>oc002i000577</v>
      </c>
      <c r="G29" s="19" t="str">
        <f>IF($D29=1,INDEX(TblClusters[Plateforme],$B29),"")</f>
        <v>ROKS</v>
      </c>
      <c r="H29" s="19">
        <f>IF($D29=1,INDEX(TblClusters[vCPU par nœud],$B29),"")</f>
        <v>8</v>
      </c>
      <c r="I29" s="19">
        <f>IF($D29=1,INDEX(TblClusters[RAM par nœud (Go)],$B29),"")</f>
        <v>40</v>
      </c>
      <c r="J29" s="19">
        <f>IF($D29=1,INDEX(TblClusters[Workers min],$B29),"")</f>
        <v>6</v>
      </c>
      <c r="K29" s="73">
        <f>IF($D29=1,INDEX(TblClusters[Tarif par nœud],$B29),"")</f>
        <v>368</v>
      </c>
      <c r="L29" s="19">
        <f>IF($D29=1,INDEX(TblClusters[CPU initial (vCPU)],$B29),"")</f>
        <v>48</v>
      </c>
      <c r="M29" s="19">
        <f>IF($D29=1,INDEX(TblClusters[RAM initiale (Go)],$B29),"")</f>
        <v>240</v>
      </c>
      <c r="N29" s="19">
        <f>IF($D29=1,INDEX(TblClusters[CPU min (vCPU)],$B29),"")</f>
        <v>48</v>
      </c>
      <c r="O29" s="19">
        <f>IF($D29=1,INDEX(TblClusters[RAM min (Go)],$B29),"")</f>
        <v>240</v>
      </c>
      <c r="P29" s="19">
        <f>IF($D29&lt;&gt;1,"",IF($G29="ROKS",SUMIFS(TblApplications[Besoin ROKS CPU (vCPU)],TblApplications[Cluster ROKS cible],$F29,TblApplications[Action],"À migrer",TblApplications[Déjà incluse ROKS],"Non",TblApplications[Mois prov (calc)],"&lt;="&amp;$E29),SUMIFS(TblApplications[CPU IKS libérable (vCPU)],TblApplications[Cluster IKS source],$F29,TblApplications[Mois lib (calc)],"&lt;="&amp;$E29)))</f>
        <v>38</v>
      </c>
      <c r="Q29" s="19">
        <f>IF($D29&lt;&gt;1,"",IF($G29="ROKS",SUMIFS(TblApplications[Besoin ROKS RAM (Go)],TblApplications[Cluster ROKS cible],$F29,TblApplications[Action],"À migrer",TblApplications[Déjà incluse ROKS],"Non",TblApplications[Mois prov (calc)],"&lt;="&amp;$E29),SUMIFS(TblApplications[RAM IKS libérable (Go)],TblApplications[Cluster IKS source],$F29,TblApplications[Mois lib (calc)],"&lt;="&amp;$E29)))</f>
        <v>236</v>
      </c>
      <c r="R29" s="19">
        <f t="shared" si="3"/>
        <v>86</v>
      </c>
      <c r="S29" s="19">
        <f t="shared" si="4"/>
        <v>476</v>
      </c>
      <c r="T29" s="19">
        <f t="shared" si="5"/>
        <v>12</v>
      </c>
      <c r="U29" s="19">
        <f t="shared" si="6"/>
        <v>96</v>
      </c>
      <c r="V29" s="19">
        <f t="shared" si="7"/>
        <v>480</v>
      </c>
      <c r="W29" s="73">
        <f t="shared" si="8"/>
        <v>4416</v>
      </c>
      <c r="X29" s="19">
        <f>IF($D29&lt;&gt;1,"",IF($G29="ROKS",$R29,IF($AI29=1,0,MAX($N29,$L29-SUMIFS(TblApplications[CPU IKS libérable (vCPU)],TblApplications[Cluster IKS source],$F29,TblApplications[Action],"À migrer",TblApplications[Mois prov (calc)],"&lt;="&amp;$E29)-SUMIFS(TblApplications[CPU IKS libérable (vCPU)],TblApplications[Cluster IKS source],$F29,TblApplications[Action],"À décommissionner",TblApplications[Mois lib (calc)],"&lt;="&amp;$E29)))))</f>
        <v>86</v>
      </c>
      <c r="Y29" s="19">
        <f>IF($D29&lt;&gt;1,"",IF($G29="ROKS",$S29,IF($AI29=1,0,MAX($O29,$M29-SUMIFS(TblApplications[RAM IKS libérable (Go)],TblApplications[Cluster IKS source],$F29,TblApplications[Action],"À migrer",TblApplications[Mois prov (calc)],"&lt;="&amp;$E29)-SUMIFS(TblApplications[RAM IKS libérable (Go)],TblApplications[Cluster IKS source],$F29,TblApplications[Action],"À décommissionner",TblApplications[Mois lib (calc)],"&lt;="&amp;$E29)))))</f>
        <v>476</v>
      </c>
      <c r="Z29" s="19">
        <f t="shared" si="9"/>
        <v>12</v>
      </c>
      <c r="AA29" s="73">
        <f t="shared" si="10"/>
        <v>4416</v>
      </c>
      <c r="AB29" s="19">
        <f t="shared" si="11"/>
        <v>6</v>
      </c>
      <c r="AC29" s="73">
        <f t="shared" si="12"/>
        <v>2208</v>
      </c>
      <c r="AD29" s="19">
        <f t="shared" si="13"/>
        <v>0</v>
      </c>
      <c r="AE29" s="19">
        <f t="shared" si="14"/>
        <v>0</v>
      </c>
      <c r="AF29" s="19" t="str">
        <f>IF($D29&lt;&gt;1,"",IF(INDEX(TblClusters[Environnement],$B29)="","(vide)",INDEX(TblClusters[Environnement],$B29)))</f>
        <v>PRD</v>
      </c>
      <c r="AG29" s="19">
        <f t="shared" si="15"/>
        <v>133.6</v>
      </c>
      <c r="AH29" s="19">
        <f t="shared" si="16"/>
        <v>33.053892215568865</v>
      </c>
      <c r="AI29" s="19">
        <f>IF($D29&lt;&gt;1,"",IF(AND($G29="IKS",ISNUMBER(INDEX(TblClusters[Fermeture retenue],$B29))),IF($E29&gt;=INDEX(TblClusters[Fermeture retenue],$B29),1,0),0))</f>
        <v>0</v>
      </c>
    </row>
    <row r="30" spans="1:35" x14ac:dyDescent="0.2">
      <c r="A30" s="19">
        <v>25</v>
      </c>
      <c r="B30" s="19">
        <f t="shared" si="0"/>
        <v>1</v>
      </c>
      <c r="C30" s="19">
        <f t="shared" si="1"/>
        <v>25</v>
      </c>
      <c r="D30" s="19">
        <f>IF($C30&gt;p_horizon,0,IFERROR(IF(AND(INDEX(TblClusters[Cluster],$B30)&lt;&gt;"",ISNUMBER(INDEX(TblClusters[CPU initial (vCPU)],$B30)),ISNUMBER(INDEX(TblClusters[CPU min (vCPU)],$B30)),OR(INDEX(TblClusters[Plateforme],$B30)="IKS",INDEX(TblClusters[Plateforme],$B30)="ROKS")),1,0),0))</f>
        <v>1</v>
      </c>
      <c r="E30" s="72">
        <f t="shared" si="2"/>
        <v>47027</v>
      </c>
      <c r="F30" s="19" t="str">
        <f>IF($D30=1,INDEX(TblClusters[Cluster],$B30),"")</f>
        <v>oc002i000577</v>
      </c>
      <c r="G30" s="19" t="str">
        <f>IF($D30=1,INDEX(TblClusters[Plateforme],$B30),"")</f>
        <v>ROKS</v>
      </c>
      <c r="H30" s="19">
        <f>IF($D30=1,INDEX(TblClusters[vCPU par nœud],$B30),"")</f>
        <v>8</v>
      </c>
      <c r="I30" s="19">
        <f>IF($D30=1,INDEX(TblClusters[RAM par nœud (Go)],$B30),"")</f>
        <v>40</v>
      </c>
      <c r="J30" s="19">
        <f>IF($D30=1,INDEX(TblClusters[Workers min],$B30),"")</f>
        <v>6</v>
      </c>
      <c r="K30" s="73">
        <f>IF($D30=1,INDEX(TblClusters[Tarif par nœud],$B30),"")</f>
        <v>368</v>
      </c>
      <c r="L30" s="19">
        <f>IF($D30=1,INDEX(TblClusters[CPU initial (vCPU)],$B30),"")</f>
        <v>48</v>
      </c>
      <c r="M30" s="19">
        <f>IF($D30=1,INDEX(TblClusters[RAM initiale (Go)],$B30),"")</f>
        <v>240</v>
      </c>
      <c r="N30" s="19">
        <f>IF($D30=1,INDEX(TblClusters[CPU min (vCPU)],$B30),"")</f>
        <v>48</v>
      </c>
      <c r="O30" s="19">
        <f>IF($D30=1,INDEX(TblClusters[RAM min (Go)],$B30),"")</f>
        <v>240</v>
      </c>
      <c r="P30" s="19">
        <f>IF($D30&lt;&gt;1,"",IF($G30="ROKS",SUMIFS(TblApplications[Besoin ROKS CPU (vCPU)],TblApplications[Cluster ROKS cible],$F30,TblApplications[Action],"À migrer",TblApplications[Déjà incluse ROKS],"Non",TblApplications[Mois prov (calc)],"&lt;="&amp;$E30),SUMIFS(TblApplications[CPU IKS libérable (vCPU)],TblApplications[Cluster IKS source],$F30,TblApplications[Mois lib (calc)],"&lt;="&amp;$E30)))</f>
        <v>38</v>
      </c>
      <c r="Q30" s="19">
        <f>IF($D30&lt;&gt;1,"",IF($G30="ROKS",SUMIFS(TblApplications[Besoin ROKS RAM (Go)],TblApplications[Cluster ROKS cible],$F30,TblApplications[Action],"À migrer",TblApplications[Déjà incluse ROKS],"Non",TblApplications[Mois prov (calc)],"&lt;="&amp;$E30),SUMIFS(TblApplications[RAM IKS libérable (Go)],TblApplications[Cluster IKS source],$F30,TblApplications[Mois lib (calc)],"&lt;="&amp;$E30)))</f>
        <v>236</v>
      </c>
      <c r="R30" s="19">
        <f t="shared" si="3"/>
        <v>86</v>
      </c>
      <c r="S30" s="19">
        <f t="shared" si="4"/>
        <v>476</v>
      </c>
      <c r="T30" s="19">
        <f t="shared" si="5"/>
        <v>12</v>
      </c>
      <c r="U30" s="19">
        <f t="shared" si="6"/>
        <v>96</v>
      </c>
      <c r="V30" s="19">
        <f t="shared" si="7"/>
        <v>480</v>
      </c>
      <c r="W30" s="73">
        <f t="shared" si="8"/>
        <v>4416</v>
      </c>
      <c r="X30" s="19">
        <f>IF($D30&lt;&gt;1,"",IF($G30="ROKS",$R30,IF($AI30=1,0,MAX($N30,$L30-SUMIFS(TblApplications[CPU IKS libérable (vCPU)],TblApplications[Cluster IKS source],$F30,TblApplications[Action],"À migrer",TblApplications[Mois prov (calc)],"&lt;="&amp;$E30)-SUMIFS(TblApplications[CPU IKS libérable (vCPU)],TblApplications[Cluster IKS source],$F30,TblApplications[Action],"À décommissionner",TblApplications[Mois lib (calc)],"&lt;="&amp;$E30)))))</f>
        <v>86</v>
      </c>
      <c r="Y30" s="19">
        <f>IF($D30&lt;&gt;1,"",IF($G30="ROKS",$S30,IF($AI30=1,0,MAX($O30,$M30-SUMIFS(TblApplications[RAM IKS libérable (Go)],TblApplications[Cluster IKS source],$F30,TblApplications[Action],"À migrer",TblApplications[Mois prov (calc)],"&lt;="&amp;$E30)-SUMIFS(TblApplications[RAM IKS libérable (Go)],TblApplications[Cluster IKS source],$F30,TblApplications[Action],"À décommissionner",TblApplications[Mois lib (calc)],"&lt;="&amp;$E30)))))</f>
        <v>476</v>
      </c>
      <c r="Z30" s="19">
        <f t="shared" si="9"/>
        <v>12</v>
      </c>
      <c r="AA30" s="73">
        <f t="shared" si="10"/>
        <v>4416</v>
      </c>
      <c r="AB30" s="19">
        <f t="shared" si="11"/>
        <v>6</v>
      </c>
      <c r="AC30" s="73">
        <f t="shared" si="12"/>
        <v>2208</v>
      </c>
      <c r="AD30" s="19">
        <f t="shared" si="13"/>
        <v>0</v>
      </c>
      <c r="AE30" s="19">
        <f t="shared" si="14"/>
        <v>0</v>
      </c>
      <c r="AF30" s="19" t="str">
        <f>IF($D30&lt;&gt;1,"",IF(INDEX(TblClusters[Environnement],$B30)="","(vide)",INDEX(TblClusters[Environnement],$B30)))</f>
        <v>PRD</v>
      </c>
      <c r="AG30" s="19">
        <f t="shared" si="15"/>
        <v>133.6</v>
      </c>
      <c r="AH30" s="19">
        <f t="shared" si="16"/>
        <v>33.053892215568865</v>
      </c>
      <c r="AI30" s="19">
        <f>IF($D30&lt;&gt;1,"",IF(AND($G30="IKS",ISNUMBER(INDEX(TblClusters[Fermeture retenue],$B30))),IF($E30&gt;=INDEX(TblClusters[Fermeture retenue],$B30),1,0),0))</f>
        <v>0</v>
      </c>
    </row>
    <row r="31" spans="1:35" x14ac:dyDescent="0.2">
      <c r="A31" s="19">
        <v>26</v>
      </c>
      <c r="B31" s="19">
        <f t="shared" si="0"/>
        <v>1</v>
      </c>
      <c r="C31" s="19">
        <f t="shared" si="1"/>
        <v>26</v>
      </c>
      <c r="D31" s="19">
        <f>IF($C31&gt;p_horizon,0,IFERROR(IF(AND(INDEX(TblClusters[Cluster],$B31)&lt;&gt;"",ISNUMBER(INDEX(TblClusters[CPU initial (vCPU)],$B31)),ISNUMBER(INDEX(TblClusters[CPU min (vCPU)],$B31)),OR(INDEX(TblClusters[Plateforme],$B31)="IKS",INDEX(TblClusters[Plateforme],$B31)="ROKS")),1,0),0))</f>
        <v>1</v>
      </c>
      <c r="E31" s="72">
        <f t="shared" si="2"/>
        <v>47058</v>
      </c>
      <c r="F31" s="19" t="str">
        <f>IF($D31=1,INDEX(TblClusters[Cluster],$B31),"")</f>
        <v>oc002i000577</v>
      </c>
      <c r="G31" s="19" t="str">
        <f>IF($D31=1,INDEX(TblClusters[Plateforme],$B31),"")</f>
        <v>ROKS</v>
      </c>
      <c r="H31" s="19">
        <f>IF($D31=1,INDEX(TblClusters[vCPU par nœud],$B31),"")</f>
        <v>8</v>
      </c>
      <c r="I31" s="19">
        <f>IF($D31=1,INDEX(TblClusters[RAM par nœud (Go)],$B31),"")</f>
        <v>40</v>
      </c>
      <c r="J31" s="19">
        <f>IF($D31=1,INDEX(TblClusters[Workers min],$B31),"")</f>
        <v>6</v>
      </c>
      <c r="K31" s="73">
        <f>IF($D31=1,INDEX(TblClusters[Tarif par nœud],$B31),"")</f>
        <v>368</v>
      </c>
      <c r="L31" s="19">
        <f>IF($D31=1,INDEX(TblClusters[CPU initial (vCPU)],$B31),"")</f>
        <v>48</v>
      </c>
      <c r="M31" s="19">
        <f>IF($D31=1,INDEX(TblClusters[RAM initiale (Go)],$B31),"")</f>
        <v>240</v>
      </c>
      <c r="N31" s="19">
        <f>IF($D31=1,INDEX(TblClusters[CPU min (vCPU)],$B31),"")</f>
        <v>48</v>
      </c>
      <c r="O31" s="19">
        <f>IF($D31=1,INDEX(TblClusters[RAM min (Go)],$B31),"")</f>
        <v>240</v>
      </c>
      <c r="P31" s="19">
        <f>IF($D31&lt;&gt;1,"",IF($G31="ROKS",SUMIFS(TblApplications[Besoin ROKS CPU (vCPU)],TblApplications[Cluster ROKS cible],$F31,TblApplications[Action],"À migrer",TblApplications[Déjà incluse ROKS],"Non",TblApplications[Mois prov (calc)],"&lt;="&amp;$E31),SUMIFS(TblApplications[CPU IKS libérable (vCPU)],TblApplications[Cluster IKS source],$F31,TblApplications[Mois lib (calc)],"&lt;="&amp;$E31)))</f>
        <v>38</v>
      </c>
      <c r="Q31" s="19">
        <f>IF($D31&lt;&gt;1,"",IF($G31="ROKS",SUMIFS(TblApplications[Besoin ROKS RAM (Go)],TblApplications[Cluster ROKS cible],$F31,TblApplications[Action],"À migrer",TblApplications[Déjà incluse ROKS],"Non",TblApplications[Mois prov (calc)],"&lt;="&amp;$E31),SUMIFS(TblApplications[RAM IKS libérable (Go)],TblApplications[Cluster IKS source],$F31,TblApplications[Mois lib (calc)],"&lt;="&amp;$E31)))</f>
        <v>236</v>
      </c>
      <c r="R31" s="19">
        <f t="shared" si="3"/>
        <v>86</v>
      </c>
      <c r="S31" s="19">
        <f t="shared" si="4"/>
        <v>476</v>
      </c>
      <c r="T31" s="19">
        <f t="shared" si="5"/>
        <v>12</v>
      </c>
      <c r="U31" s="19">
        <f t="shared" si="6"/>
        <v>96</v>
      </c>
      <c r="V31" s="19">
        <f t="shared" si="7"/>
        <v>480</v>
      </c>
      <c r="W31" s="73">
        <f t="shared" si="8"/>
        <v>4416</v>
      </c>
      <c r="X31" s="19">
        <f>IF($D31&lt;&gt;1,"",IF($G31="ROKS",$R31,IF($AI31=1,0,MAX($N31,$L31-SUMIFS(TblApplications[CPU IKS libérable (vCPU)],TblApplications[Cluster IKS source],$F31,TblApplications[Action],"À migrer",TblApplications[Mois prov (calc)],"&lt;="&amp;$E31)-SUMIFS(TblApplications[CPU IKS libérable (vCPU)],TblApplications[Cluster IKS source],$F31,TblApplications[Action],"À décommissionner",TblApplications[Mois lib (calc)],"&lt;="&amp;$E31)))))</f>
        <v>86</v>
      </c>
      <c r="Y31" s="19">
        <f>IF($D31&lt;&gt;1,"",IF($G31="ROKS",$S31,IF($AI31=1,0,MAX($O31,$M31-SUMIFS(TblApplications[RAM IKS libérable (Go)],TblApplications[Cluster IKS source],$F31,TblApplications[Action],"À migrer",TblApplications[Mois prov (calc)],"&lt;="&amp;$E31)-SUMIFS(TblApplications[RAM IKS libérable (Go)],TblApplications[Cluster IKS source],$F31,TblApplications[Action],"À décommissionner",TblApplications[Mois lib (calc)],"&lt;="&amp;$E31)))))</f>
        <v>476</v>
      </c>
      <c r="Z31" s="19">
        <f t="shared" si="9"/>
        <v>12</v>
      </c>
      <c r="AA31" s="73">
        <f t="shared" si="10"/>
        <v>4416</v>
      </c>
      <c r="AB31" s="19">
        <f t="shared" si="11"/>
        <v>6</v>
      </c>
      <c r="AC31" s="73">
        <f t="shared" si="12"/>
        <v>2208</v>
      </c>
      <c r="AD31" s="19">
        <f t="shared" si="13"/>
        <v>0</v>
      </c>
      <c r="AE31" s="19">
        <f t="shared" si="14"/>
        <v>0</v>
      </c>
      <c r="AF31" s="19" t="str">
        <f>IF($D31&lt;&gt;1,"",IF(INDEX(TblClusters[Environnement],$B31)="","(vide)",INDEX(TblClusters[Environnement],$B31)))</f>
        <v>PRD</v>
      </c>
      <c r="AG31" s="19">
        <f t="shared" si="15"/>
        <v>133.6</v>
      </c>
      <c r="AH31" s="19">
        <f t="shared" si="16"/>
        <v>33.053892215568865</v>
      </c>
      <c r="AI31" s="19">
        <f>IF($D31&lt;&gt;1,"",IF(AND($G31="IKS",ISNUMBER(INDEX(TblClusters[Fermeture retenue],$B31))),IF($E31&gt;=INDEX(TblClusters[Fermeture retenue],$B31),1,0),0))</f>
        <v>0</v>
      </c>
    </row>
    <row r="32" spans="1:35" x14ac:dyDescent="0.2">
      <c r="A32" s="19">
        <v>27</v>
      </c>
      <c r="B32" s="19">
        <f t="shared" si="0"/>
        <v>1</v>
      </c>
      <c r="C32" s="19">
        <f t="shared" si="1"/>
        <v>27</v>
      </c>
      <c r="D32" s="19">
        <f>IF($C32&gt;p_horizon,0,IFERROR(IF(AND(INDEX(TblClusters[Cluster],$B32)&lt;&gt;"",ISNUMBER(INDEX(TblClusters[CPU initial (vCPU)],$B32)),ISNUMBER(INDEX(TblClusters[CPU min (vCPU)],$B32)),OR(INDEX(TblClusters[Plateforme],$B32)="IKS",INDEX(TblClusters[Plateforme],$B32)="ROKS")),1,0),0))</f>
        <v>1</v>
      </c>
      <c r="E32" s="72">
        <f t="shared" si="2"/>
        <v>47088</v>
      </c>
      <c r="F32" s="19" t="str">
        <f>IF($D32=1,INDEX(TblClusters[Cluster],$B32),"")</f>
        <v>oc002i000577</v>
      </c>
      <c r="G32" s="19" t="str">
        <f>IF($D32=1,INDEX(TblClusters[Plateforme],$B32),"")</f>
        <v>ROKS</v>
      </c>
      <c r="H32" s="19">
        <f>IF($D32=1,INDEX(TblClusters[vCPU par nœud],$B32),"")</f>
        <v>8</v>
      </c>
      <c r="I32" s="19">
        <f>IF($D32=1,INDEX(TblClusters[RAM par nœud (Go)],$B32),"")</f>
        <v>40</v>
      </c>
      <c r="J32" s="19">
        <f>IF($D32=1,INDEX(TblClusters[Workers min],$B32),"")</f>
        <v>6</v>
      </c>
      <c r="K32" s="73">
        <f>IF($D32=1,INDEX(TblClusters[Tarif par nœud],$B32),"")</f>
        <v>368</v>
      </c>
      <c r="L32" s="19">
        <f>IF($D32=1,INDEX(TblClusters[CPU initial (vCPU)],$B32),"")</f>
        <v>48</v>
      </c>
      <c r="M32" s="19">
        <f>IF($D32=1,INDEX(TblClusters[RAM initiale (Go)],$B32),"")</f>
        <v>240</v>
      </c>
      <c r="N32" s="19">
        <f>IF($D32=1,INDEX(TblClusters[CPU min (vCPU)],$B32),"")</f>
        <v>48</v>
      </c>
      <c r="O32" s="19">
        <f>IF($D32=1,INDEX(TblClusters[RAM min (Go)],$B32),"")</f>
        <v>240</v>
      </c>
      <c r="P32" s="19">
        <f>IF($D32&lt;&gt;1,"",IF($G32="ROKS",SUMIFS(TblApplications[Besoin ROKS CPU (vCPU)],TblApplications[Cluster ROKS cible],$F32,TblApplications[Action],"À migrer",TblApplications[Déjà incluse ROKS],"Non",TblApplications[Mois prov (calc)],"&lt;="&amp;$E32),SUMIFS(TblApplications[CPU IKS libérable (vCPU)],TblApplications[Cluster IKS source],$F32,TblApplications[Mois lib (calc)],"&lt;="&amp;$E32)))</f>
        <v>38</v>
      </c>
      <c r="Q32" s="19">
        <f>IF($D32&lt;&gt;1,"",IF($G32="ROKS",SUMIFS(TblApplications[Besoin ROKS RAM (Go)],TblApplications[Cluster ROKS cible],$F32,TblApplications[Action],"À migrer",TblApplications[Déjà incluse ROKS],"Non",TblApplications[Mois prov (calc)],"&lt;="&amp;$E32),SUMIFS(TblApplications[RAM IKS libérable (Go)],TblApplications[Cluster IKS source],$F32,TblApplications[Mois lib (calc)],"&lt;="&amp;$E32)))</f>
        <v>236</v>
      </c>
      <c r="R32" s="19">
        <f t="shared" si="3"/>
        <v>86</v>
      </c>
      <c r="S32" s="19">
        <f t="shared" si="4"/>
        <v>476</v>
      </c>
      <c r="T32" s="19">
        <f t="shared" si="5"/>
        <v>12</v>
      </c>
      <c r="U32" s="19">
        <f t="shared" si="6"/>
        <v>96</v>
      </c>
      <c r="V32" s="19">
        <f t="shared" si="7"/>
        <v>480</v>
      </c>
      <c r="W32" s="73">
        <f t="shared" si="8"/>
        <v>4416</v>
      </c>
      <c r="X32" s="19">
        <f>IF($D32&lt;&gt;1,"",IF($G32="ROKS",$R32,IF($AI32=1,0,MAX($N32,$L32-SUMIFS(TblApplications[CPU IKS libérable (vCPU)],TblApplications[Cluster IKS source],$F32,TblApplications[Action],"À migrer",TblApplications[Mois prov (calc)],"&lt;="&amp;$E32)-SUMIFS(TblApplications[CPU IKS libérable (vCPU)],TblApplications[Cluster IKS source],$F32,TblApplications[Action],"À décommissionner",TblApplications[Mois lib (calc)],"&lt;="&amp;$E32)))))</f>
        <v>86</v>
      </c>
      <c r="Y32" s="19">
        <f>IF($D32&lt;&gt;1,"",IF($G32="ROKS",$S32,IF($AI32=1,0,MAX($O32,$M32-SUMIFS(TblApplications[RAM IKS libérable (Go)],TblApplications[Cluster IKS source],$F32,TblApplications[Action],"À migrer",TblApplications[Mois prov (calc)],"&lt;="&amp;$E32)-SUMIFS(TblApplications[RAM IKS libérable (Go)],TblApplications[Cluster IKS source],$F32,TblApplications[Action],"À décommissionner",TblApplications[Mois lib (calc)],"&lt;="&amp;$E32)))))</f>
        <v>476</v>
      </c>
      <c r="Z32" s="19">
        <f t="shared" si="9"/>
        <v>12</v>
      </c>
      <c r="AA32" s="73">
        <f t="shared" si="10"/>
        <v>4416</v>
      </c>
      <c r="AB32" s="19">
        <f t="shared" si="11"/>
        <v>6</v>
      </c>
      <c r="AC32" s="73">
        <f t="shared" si="12"/>
        <v>2208</v>
      </c>
      <c r="AD32" s="19">
        <f t="shared" si="13"/>
        <v>0</v>
      </c>
      <c r="AE32" s="19">
        <f t="shared" si="14"/>
        <v>0</v>
      </c>
      <c r="AF32" s="19" t="str">
        <f>IF($D32&lt;&gt;1,"",IF(INDEX(TblClusters[Environnement],$B32)="","(vide)",INDEX(TblClusters[Environnement],$B32)))</f>
        <v>PRD</v>
      </c>
      <c r="AG32" s="19">
        <f t="shared" si="15"/>
        <v>133.6</v>
      </c>
      <c r="AH32" s="19">
        <f t="shared" si="16"/>
        <v>33.053892215568865</v>
      </c>
      <c r="AI32" s="19">
        <f>IF($D32&lt;&gt;1,"",IF(AND($G32="IKS",ISNUMBER(INDEX(TblClusters[Fermeture retenue],$B32))),IF($E32&gt;=INDEX(TblClusters[Fermeture retenue],$B32),1,0),0))</f>
        <v>0</v>
      </c>
    </row>
    <row r="33" spans="1:35" x14ac:dyDescent="0.2">
      <c r="A33" s="19">
        <v>28</v>
      </c>
      <c r="B33" s="19">
        <f t="shared" si="0"/>
        <v>1</v>
      </c>
      <c r="C33" s="19">
        <f t="shared" si="1"/>
        <v>28</v>
      </c>
      <c r="D33" s="19">
        <f>IF($C33&gt;p_horizon,0,IFERROR(IF(AND(INDEX(TblClusters[Cluster],$B33)&lt;&gt;"",ISNUMBER(INDEX(TblClusters[CPU initial (vCPU)],$B33)),ISNUMBER(INDEX(TblClusters[CPU min (vCPU)],$B33)),OR(INDEX(TblClusters[Plateforme],$B33)="IKS",INDEX(TblClusters[Plateforme],$B33)="ROKS")),1,0),0))</f>
        <v>1</v>
      </c>
      <c r="E33" s="72">
        <f t="shared" si="2"/>
        <v>47119</v>
      </c>
      <c r="F33" s="19" t="str">
        <f>IF($D33=1,INDEX(TblClusters[Cluster],$B33),"")</f>
        <v>oc002i000577</v>
      </c>
      <c r="G33" s="19" t="str">
        <f>IF($D33=1,INDEX(TblClusters[Plateforme],$B33),"")</f>
        <v>ROKS</v>
      </c>
      <c r="H33" s="19">
        <f>IF($D33=1,INDEX(TblClusters[vCPU par nœud],$B33),"")</f>
        <v>8</v>
      </c>
      <c r="I33" s="19">
        <f>IF($D33=1,INDEX(TblClusters[RAM par nœud (Go)],$B33),"")</f>
        <v>40</v>
      </c>
      <c r="J33" s="19">
        <f>IF($D33=1,INDEX(TblClusters[Workers min],$B33),"")</f>
        <v>6</v>
      </c>
      <c r="K33" s="73">
        <f>IF($D33=1,INDEX(TblClusters[Tarif par nœud],$B33),"")</f>
        <v>368</v>
      </c>
      <c r="L33" s="19">
        <f>IF($D33=1,INDEX(TblClusters[CPU initial (vCPU)],$B33),"")</f>
        <v>48</v>
      </c>
      <c r="M33" s="19">
        <f>IF($D33=1,INDEX(TblClusters[RAM initiale (Go)],$B33),"")</f>
        <v>240</v>
      </c>
      <c r="N33" s="19">
        <f>IF($D33=1,INDEX(TblClusters[CPU min (vCPU)],$B33),"")</f>
        <v>48</v>
      </c>
      <c r="O33" s="19">
        <f>IF($D33=1,INDEX(TblClusters[RAM min (Go)],$B33),"")</f>
        <v>240</v>
      </c>
      <c r="P33" s="19">
        <f>IF($D33&lt;&gt;1,"",IF($G33="ROKS",SUMIFS(TblApplications[Besoin ROKS CPU (vCPU)],TblApplications[Cluster ROKS cible],$F33,TblApplications[Action],"À migrer",TblApplications[Déjà incluse ROKS],"Non",TblApplications[Mois prov (calc)],"&lt;="&amp;$E33),SUMIFS(TblApplications[CPU IKS libérable (vCPU)],TblApplications[Cluster IKS source],$F33,TblApplications[Mois lib (calc)],"&lt;="&amp;$E33)))</f>
        <v>38</v>
      </c>
      <c r="Q33" s="19">
        <f>IF($D33&lt;&gt;1,"",IF($G33="ROKS",SUMIFS(TblApplications[Besoin ROKS RAM (Go)],TblApplications[Cluster ROKS cible],$F33,TblApplications[Action],"À migrer",TblApplications[Déjà incluse ROKS],"Non",TblApplications[Mois prov (calc)],"&lt;="&amp;$E33),SUMIFS(TblApplications[RAM IKS libérable (Go)],TblApplications[Cluster IKS source],$F33,TblApplications[Mois lib (calc)],"&lt;="&amp;$E33)))</f>
        <v>236</v>
      </c>
      <c r="R33" s="19">
        <f t="shared" si="3"/>
        <v>86</v>
      </c>
      <c r="S33" s="19">
        <f t="shared" si="4"/>
        <v>476</v>
      </c>
      <c r="T33" s="19">
        <f t="shared" si="5"/>
        <v>12</v>
      </c>
      <c r="U33" s="19">
        <f t="shared" si="6"/>
        <v>96</v>
      </c>
      <c r="V33" s="19">
        <f t="shared" si="7"/>
        <v>480</v>
      </c>
      <c r="W33" s="73">
        <f t="shared" si="8"/>
        <v>4416</v>
      </c>
      <c r="X33" s="19">
        <f>IF($D33&lt;&gt;1,"",IF($G33="ROKS",$R33,IF($AI33=1,0,MAX($N33,$L33-SUMIFS(TblApplications[CPU IKS libérable (vCPU)],TblApplications[Cluster IKS source],$F33,TblApplications[Action],"À migrer",TblApplications[Mois prov (calc)],"&lt;="&amp;$E33)-SUMIFS(TblApplications[CPU IKS libérable (vCPU)],TblApplications[Cluster IKS source],$F33,TblApplications[Action],"À décommissionner",TblApplications[Mois lib (calc)],"&lt;="&amp;$E33)))))</f>
        <v>86</v>
      </c>
      <c r="Y33" s="19">
        <f>IF($D33&lt;&gt;1,"",IF($G33="ROKS",$S33,IF($AI33=1,0,MAX($O33,$M33-SUMIFS(TblApplications[RAM IKS libérable (Go)],TblApplications[Cluster IKS source],$F33,TblApplications[Action],"À migrer",TblApplications[Mois prov (calc)],"&lt;="&amp;$E33)-SUMIFS(TblApplications[RAM IKS libérable (Go)],TblApplications[Cluster IKS source],$F33,TblApplications[Action],"À décommissionner",TblApplications[Mois lib (calc)],"&lt;="&amp;$E33)))))</f>
        <v>476</v>
      </c>
      <c r="Z33" s="19">
        <f t="shared" si="9"/>
        <v>12</v>
      </c>
      <c r="AA33" s="73">
        <f t="shared" si="10"/>
        <v>4416</v>
      </c>
      <c r="AB33" s="19">
        <f t="shared" si="11"/>
        <v>6</v>
      </c>
      <c r="AC33" s="73">
        <f t="shared" si="12"/>
        <v>2208</v>
      </c>
      <c r="AD33" s="19">
        <f t="shared" si="13"/>
        <v>0</v>
      </c>
      <c r="AE33" s="19">
        <f t="shared" si="14"/>
        <v>0</v>
      </c>
      <c r="AF33" s="19" t="str">
        <f>IF($D33&lt;&gt;1,"",IF(INDEX(TblClusters[Environnement],$B33)="","(vide)",INDEX(TblClusters[Environnement],$B33)))</f>
        <v>PRD</v>
      </c>
      <c r="AG33" s="19">
        <f t="shared" si="15"/>
        <v>133.6</v>
      </c>
      <c r="AH33" s="19">
        <f t="shared" si="16"/>
        <v>33.053892215568865</v>
      </c>
      <c r="AI33" s="19">
        <f>IF($D33&lt;&gt;1,"",IF(AND($G33="IKS",ISNUMBER(INDEX(TblClusters[Fermeture retenue],$B33))),IF($E33&gt;=INDEX(TblClusters[Fermeture retenue],$B33),1,0),0))</f>
        <v>0</v>
      </c>
    </row>
    <row r="34" spans="1:35" x14ac:dyDescent="0.2">
      <c r="A34" s="19">
        <v>29</v>
      </c>
      <c r="B34" s="19">
        <f t="shared" si="0"/>
        <v>1</v>
      </c>
      <c r="C34" s="19">
        <f t="shared" si="1"/>
        <v>29</v>
      </c>
      <c r="D34" s="19">
        <f>IF($C34&gt;p_horizon,0,IFERROR(IF(AND(INDEX(TblClusters[Cluster],$B34)&lt;&gt;"",ISNUMBER(INDEX(TblClusters[CPU initial (vCPU)],$B34)),ISNUMBER(INDEX(TblClusters[CPU min (vCPU)],$B34)),OR(INDEX(TblClusters[Plateforme],$B34)="IKS",INDEX(TblClusters[Plateforme],$B34)="ROKS")),1,0),0))</f>
        <v>1</v>
      </c>
      <c r="E34" s="72">
        <f t="shared" si="2"/>
        <v>47150</v>
      </c>
      <c r="F34" s="19" t="str">
        <f>IF($D34=1,INDEX(TblClusters[Cluster],$B34),"")</f>
        <v>oc002i000577</v>
      </c>
      <c r="G34" s="19" t="str">
        <f>IF($D34=1,INDEX(TblClusters[Plateforme],$B34),"")</f>
        <v>ROKS</v>
      </c>
      <c r="H34" s="19">
        <f>IF($D34=1,INDEX(TblClusters[vCPU par nœud],$B34),"")</f>
        <v>8</v>
      </c>
      <c r="I34" s="19">
        <f>IF($D34=1,INDEX(TblClusters[RAM par nœud (Go)],$B34),"")</f>
        <v>40</v>
      </c>
      <c r="J34" s="19">
        <f>IF($D34=1,INDEX(TblClusters[Workers min],$B34),"")</f>
        <v>6</v>
      </c>
      <c r="K34" s="73">
        <f>IF($D34=1,INDEX(TblClusters[Tarif par nœud],$B34),"")</f>
        <v>368</v>
      </c>
      <c r="L34" s="19">
        <f>IF($D34=1,INDEX(TblClusters[CPU initial (vCPU)],$B34),"")</f>
        <v>48</v>
      </c>
      <c r="M34" s="19">
        <f>IF($D34=1,INDEX(TblClusters[RAM initiale (Go)],$B34),"")</f>
        <v>240</v>
      </c>
      <c r="N34" s="19">
        <f>IF($D34=1,INDEX(TblClusters[CPU min (vCPU)],$B34),"")</f>
        <v>48</v>
      </c>
      <c r="O34" s="19">
        <f>IF($D34=1,INDEX(TblClusters[RAM min (Go)],$B34),"")</f>
        <v>240</v>
      </c>
      <c r="P34" s="19">
        <f>IF($D34&lt;&gt;1,"",IF($G34="ROKS",SUMIFS(TblApplications[Besoin ROKS CPU (vCPU)],TblApplications[Cluster ROKS cible],$F34,TblApplications[Action],"À migrer",TblApplications[Déjà incluse ROKS],"Non",TblApplications[Mois prov (calc)],"&lt;="&amp;$E34),SUMIFS(TblApplications[CPU IKS libérable (vCPU)],TblApplications[Cluster IKS source],$F34,TblApplications[Mois lib (calc)],"&lt;="&amp;$E34)))</f>
        <v>38</v>
      </c>
      <c r="Q34" s="19">
        <f>IF($D34&lt;&gt;1,"",IF($G34="ROKS",SUMIFS(TblApplications[Besoin ROKS RAM (Go)],TblApplications[Cluster ROKS cible],$F34,TblApplications[Action],"À migrer",TblApplications[Déjà incluse ROKS],"Non",TblApplications[Mois prov (calc)],"&lt;="&amp;$E34),SUMIFS(TblApplications[RAM IKS libérable (Go)],TblApplications[Cluster IKS source],$F34,TblApplications[Mois lib (calc)],"&lt;="&amp;$E34)))</f>
        <v>236</v>
      </c>
      <c r="R34" s="19">
        <f t="shared" si="3"/>
        <v>86</v>
      </c>
      <c r="S34" s="19">
        <f t="shared" si="4"/>
        <v>476</v>
      </c>
      <c r="T34" s="19">
        <f t="shared" si="5"/>
        <v>12</v>
      </c>
      <c r="U34" s="19">
        <f t="shared" si="6"/>
        <v>96</v>
      </c>
      <c r="V34" s="19">
        <f t="shared" si="7"/>
        <v>480</v>
      </c>
      <c r="W34" s="73">
        <f t="shared" si="8"/>
        <v>4416</v>
      </c>
      <c r="X34" s="19">
        <f>IF($D34&lt;&gt;1,"",IF($G34="ROKS",$R34,IF($AI34=1,0,MAX($N34,$L34-SUMIFS(TblApplications[CPU IKS libérable (vCPU)],TblApplications[Cluster IKS source],$F34,TblApplications[Action],"À migrer",TblApplications[Mois prov (calc)],"&lt;="&amp;$E34)-SUMIFS(TblApplications[CPU IKS libérable (vCPU)],TblApplications[Cluster IKS source],$F34,TblApplications[Action],"À décommissionner",TblApplications[Mois lib (calc)],"&lt;="&amp;$E34)))))</f>
        <v>86</v>
      </c>
      <c r="Y34" s="19">
        <f>IF($D34&lt;&gt;1,"",IF($G34="ROKS",$S34,IF($AI34=1,0,MAX($O34,$M34-SUMIFS(TblApplications[RAM IKS libérable (Go)],TblApplications[Cluster IKS source],$F34,TblApplications[Action],"À migrer",TblApplications[Mois prov (calc)],"&lt;="&amp;$E34)-SUMIFS(TblApplications[RAM IKS libérable (Go)],TblApplications[Cluster IKS source],$F34,TblApplications[Action],"À décommissionner",TblApplications[Mois lib (calc)],"&lt;="&amp;$E34)))))</f>
        <v>476</v>
      </c>
      <c r="Z34" s="19">
        <f t="shared" si="9"/>
        <v>12</v>
      </c>
      <c r="AA34" s="73">
        <f t="shared" si="10"/>
        <v>4416</v>
      </c>
      <c r="AB34" s="19">
        <f t="shared" si="11"/>
        <v>6</v>
      </c>
      <c r="AC34" s="73">
        <f t="shared" si="12"/>
        <v>2208</v>
      </c>
      <c r="AD34" s="19">
        <f t="shared" si="13"/>
        <v>0</v>
      </c>
      <c r="AE34" s="19">
        <f t="shared" si="14"/>
        <v>0</v>
      </c>
      <c r="AF34" s="19" t="str">
        <f>IF($D34&lt;&gt;1,"",IF(INDEX(TblClusters[Environnement],$B34)="","(vide)",INDEX(TblClusters[Environnement],$B34)))</f>
        <v>PRD</v>
      </c>
      <c r="AG34" s="19">
        <f t="shared" si="15"/>
        <v>133.6</v>
      </c>
      <c r="AH34" s="19">
        <f t="shared" si="16"/>
        <v>33.053892215568865</v>
      </c>
      <c r="AI34" s="19">
        <f>IF($D34&lt;&gt;1,"",IF(AND($G34="IKS",ISNUMBER(INDEX(TblClusters[Fermeture retenue],$B34))),IF($E34&gt;=INDEX(TblClusters[Fermeture retenue],$B34),1,0),0))</f>
        <v>0</v>
      </c>
    </row>
    <row r="35" spans="1:35" x14ac:dyDescent="0.2">
      <c r="A35" s="19">
        <v>30</v>
      </c>
      <c r="B35" s="19">
        <f t="shared" si="0"/>
        <v>1</v>
      </c>
      <c r="C35" s="19">
        <f t="shared" si="1"/>
        <v>30</v>
      </c>
      <c r="D35" s="19">
        <f>IF($C35&gt;p_horizon,0,IFERROR(IF(AND(INDEX(TblClusters[Cluster],$B35)&lt;&gt;"",ISNUMBER(INDEX(TblClusters[CPU initial (vCPU)],$B35)),ISNUMBER(INDEX(TblClusters[CPU min (vCPU)],$B35)),OR(INDEX(TblClusters[Plateforme],$B35)="IKS",INDEX(TblClusters[Plateforme],$B35)="ROKS")),1,0),0))</f>
        <v>1</v>
      </c>
      <c r="E35" s="72">
        <f t="shared" si="2"/>
        <v>47178</v>
      </c>
      <c r="F35" s="19" t="str">
        <f>IF($D35=1,INDEX(TblClusters[Cluster],$B35),"")</f>
        <v>oc002i000577</v>
      </c>
      <c r="G35" s="19" t="str">
        <f>IF($D35=1,INDEX(TblClusters[Plateforme],$B35),"")</f>
        <v>ROKS</v>
      </c>
      <c r="H35" s="19">
        <f>IF($D35=1,INDEX(TblClusters[vCPU par nœud],$B35),"")</f>
        <v>8</v>
      </c>
      <c r="I35" s="19">
        <f>IF($D35=1,INDEX(TblClusters[RAM par nœud (Go)],$B35),"")</f>
        <v>40</v>
      </c>
      <c r="J35" s="19">
        <f>IF($D35=1,INDEX(TblClusters[Workers min],$B35),"")</f>
        <v>6</v>
      </c>
      <c r="K35" s="73">
        <f>IF($D35=1,INDEX(TblClusters[Tarif par nœud],$B35),"")</f>
        <v>368</v>
      </c>
      <c r="L35" s="19">
        <f>IF($D35=1,INDEX(TblClusters[CPU initial (vCPU)],$B35),"")</f>
        <v>48</v>
      </c>
      <c r="M35" s="19">
        <f>IF($D35=1,INDEX(TblClusters[RAM initiale (Go)],$B35),"")</f>
        <v>240</v>
      </c>
      <c r="N35" s="19">
        <f>IF($D35=1,INDEX(TblClusters[CPU min (vCPU)],$B35),"")</f>
        <v>48</v>
      </c>
      <c r="O35" s="19">
        <f>IF($D35=1,INDEX(TblClusters[RAM min (Go)],$B35),"")</f>
        <v>240</v>
      </c>
      <c r="P35" s="19">
        <f>IF($D35&lt;&gt;1,"",IF($G35="ROKS",SUMIFS(TblApplications[Besoin ROKS CPU (vCPU)],TblApplications[Cluster ROKS cible],$F35,TblApplications[Action],"À migrer",TblApplications[Déjà incluse ROKS],"Non",TblApplications[Mois prov (calc)],"&lt;="&amp;$E35),SUMIFS(TblApplications[CPU IKS libérable (vCPU)],TblApplications[Cluster IKS source],$F35,TblApplications[Mois lib (calc)],"&lt;="&amp;$E35)))</f>
        <v>38</v>
      </c>
      <c r="Q35" s="19">
        <f>IF($D35&lt;&gt;1,"",IF($G35="ROKS",SUMIFS(TblApplications[Besoin ROKS RAM (Go)],TblApplications[Cluster ROKS cible],$F35,TblApplications[Action],"À migrer",TblApplications[Déjà incluse ROKS],"Non",TblApplications[Mois prov (calc)],"&lt;="&amp;$E35),SUMIFS(TblApplications[RAM IKS libérable (Go)],TblApplications[Cluster IKS source],$F35,TblApplications[Mois lib (calc)],"&lt;="&amp;$E35)))</f>
        <v>236</v>
      </c>
      <c r="R35" s="19">
        <f t="shared" si="3"/>
        <v>86</v>
      </c>
      <c r="S35" s="19">
        <f t="shared" si="4"/>
        <v>476</v>
      </c>
      <c r="T35" s="19">
        <f t="shared" si="5"/>
        <v>12</v>
      </c>
      <c r="U35" s="19">
        <f t="shared" si="6"/>
        <v>96</v>
      </c>
      <c r="V35" s="19">
        <f t="shared" si="7"/>
        <v>480</v>
      </c>
      <c r="W35" s="73">
        <f t="shared" si="8"/>
        <v>4416</v>
      </c>
      <c r="X35" s="19">
        <f>IF($D35&lt;&gt;1,"",IF($G35="ROKS",$R35,IF($AI35=1,0,MAX($N35,$L35-SUMIFS(TblApplications[CPU IKS libérable (vCPU)],TblApplications[Cluster IKS source],$F35,TblApplications[Action],"À migrer",TblApplications[Mois prov (calc)],"&lt;="&amp;$E35)-SUMIFS(TblApplications[CPU IKS libérable (vCPU)],TblApplications[Cluster IKS source],$F35,TblApplications[Action],"À décommissionner",TblApplications[Mois lib (calc)],"&lt;="&amp;$E35)))))</f>
        <v>86</v>
      </c>
      <c r="Y35" s="19">
        <f>IF($D35&lt;&gt;1,"",IF($G35="ROKS",$S35,IF($AI35=1,0,MAX($O35,$M35-SUMIFS(TblApplications[RAM IKS libérable (Go)],TblApplications[Cluster IKS source],$F35,TblApplications[Action],"À migrer",TblApplications[Mois prov (calc)],"&lt;="&amp;$E35)-SUMIFS(TblApplications[RAM IKS libérable (Go)],TblApplications[Cluster IKS source],$F35,TblApplications[Action],"À décommissionner",TblApplications[Mois lib (calc)],"&lt;="&amp;$E35)))))</f>
        <v>476</v>
      </c>
      <c r="Z35" s="19">
        <f t="shared" si="9"/>
        <v>12</v>
      </c>
      <c r="AA35" s="73">
        <f t="shared" si="10"/>
        <v>4416</v>
      </c>
      <c r="AB35" s="19">
        <f t="shared" si="11"/>
        <v>6</v>
      </c>
      <c r="AC35" s="73">
        <f t="shared" si="12"/>
        <v>2208</v>
      </c>
      <c r="AD35" s="19">
        <f t="shared" si="13"/>
        <v>0</v>
      </c>
      <c r="AE35" s="19">
        <f t="shared" si="14"/>
        <v>0</v>
      </c>
      <c r="AF35" s="19" t="str">
        <f>IF($D35&lt;&gt;1,"",IF(INDEX(TblClusters[Environnement],$B35)="","(vide)",INDEX(TblClusters[Environnement],$B35)))</f>
        <v>PRD</v>
      </c>
      <c r="AG35" s="19">
        <f t="shared" si="15"/>
        <v>133.6</v>
      </c>
      <c r="AH35" s="19">
        <f t="shared" si="16"/>
        <v>33.053892215568865</v>
      </c>
      <c r="AI35" s="19">
        <f>IF($D35&lt;&gt;1,"",IF(AND($G35="IKS",ISNUMBER(INDEX(TblClusters[Fermeture retenue],$B35))),IF($E35&gt;=INDEX(TblClusters[Fermeture retenue],$B35),1,0),0))</f>
        <v>0</v>
      </c>
    </row>
    <row r="36" spans="1:35" x14ac:dyDescent="0.2">
      <c r="A36" s="19">
        <v>31</v>
      </c>
      <c r="B36" s="19">
        <f t="shared" si="0"/>
        <v>1</v>
      </c>
      <c r="C36" s="19">
        <f t="shared" si="1"/>
        <v>31</v>
      </c>
      <c r="D36" s="19">
        <f>IF($C36&gt;p_horizon,0,IFERROR(IF(AND(INDEX(TblClusters[Cluster],$B36)&lt;&gt;"",ISNUMBER(INDEX(TblClusters[CPU initial (vCPU)],$B36)),ISNUMBER(INDEX(TblClusters[CPU min (vCPU)],$B36)),OR(INDEX(TblClusters[Plateforme],$B36)="IKS",INDEX(TblClusters[Plateforme],$B36)="ROKS")),1,0),0))</f>
        <v>1</v>
      </c>
      <c r="E36" s="72">
        <f t="shared" si="2"/>
        <v>47209</v>
      </c>
      <c r="F36" s="19" t="str">
        <f>IF($D36=1,INDEX(TblClusters[Cluster],$B36),"")</f>
        <v>oc002i000577</v>
      </c>
      <c r="G36" s="19" t="str">
        <f>IF($D36=1,INDEX(TblClusters[Plateforme],$B36),"")</f>
        <v>ROKS</v>
      </c>
      <c r="H36" s="19">
        <f>IF($D36=1,INDEX(TblClusters[vCPU par nœud],$B36),"")</f>
        <v>8</v>
      </c>
      <c r="I36" s="19">
        <f>IF($D36=1,INDEX(TblClusters[RAM par nœud (Go)],$B36),"")</f>
        <v>40</v>
      </c>
      <c r="J36" s="19">
        <f>IF($D36=1,INDEX(TblClusters[Workers min],$B36),"")</f>
        <v>6</v>
      </c>
      <c r="K36" s="73">
        <f>IF($D36=1,INDEX(TblClusters[Tarif par nœud],$B36),"")</f>
        <v>368</v>
      </c>
      <c r="L36" s="19">
        <f>IF($D36=1,INDEX(TblClusters[CPU initial (vCPU)],$B36),"")</f>
        <v>48</v>
      </c>
      <c r="M36" s="19">
        <f>IF($D36=1,INDEX(TblClusters[RAM initiale (Go)],$B36),"")</f>
        <v>240</v>
      </c>
      <c r="N36" s="19">
        <f>IF($D36=1,INDEX(TblClusters[CPU min (vCPU)],$B36),"")</f>
        <v>48</v>
      </c>
      <c r="O36" s="19">
        <f>IF($D36=1,INDEX(TblClusters[RAM min (Go)],$B36),"")</f>
        <v>240</v>
      </c>
      <c r="P36" s="19">
        <f>IF($D36&lt;&gt;1,"",IF($G36="ROKS",SUMIFS(TblApplications[Besoin ROKS CPU (vCPU)],TblApplications[Cluster ROKS cible],$F36,TblApplications[Action],"À migrer",TblApplications[Déjà incluse ROKS],"Non",TblApplications[Mois prov (calc)],"&lt;="&amp;$E36),SUMIFS(TblApplications[CPU IKS libérable (vCPU)],TblApplications[Cluster IKS source],$F36,TblApplications[Mois lib (calc)],"&lt;="&amp;$E36)))</f>
        <v>38</v>
      </c>
      <c r="Q36" s="19">
        <f>IF($D36&lt;&gt;1,"",IF($G36="ROKS",SUMIFS(TblApplications[Besoin ROKS RAM (Go)],TblApplications[Cluster ROKS cible],$F36,TblApplications[Action],"À migrer",TblApplications[Déjà incluse ROKS],"Non",TblApplications[Mois prov (calc)],"&lt;="&amp;$E36),SUMIFS(TblApplications[RAM IKS libérable (Go)],TblApplications[Cluster IKS source],$F36,TblApplications[Mois lib (calc)],"&lt;="&amp;$E36)))</f>
        <v>236</v>
      </c>
      <c r="R36" s="19">
        <f t="shared" si="3"/>
        <v>86</v>
      </c>
      <c r="S36" s="19">
        <f t="shared" si="4"/>
        <v>476</v>
      </c>
      <c r="T36" s="19">
        <f t="shared" si="5"/>
        <v>12</v>
      </c>
      <c r="U36" s="19">
        <f t="shared" si="6"/>
        <v>96</v>
      </c>
      <c r="V36" s="19">
        <f t="shared" si="7"/>
        <v>480</v>
      </c>
      <c r="W36" s="73">
        <f t="shared" si="8"/>
        <v>4416</v>
      </c>
      <c r="X36" s="19">
        <f>IF($D36&lt;&gt;1,"",IF($G36="ROKS",$R36,IF($AI36=1,0,MAX($N36,$L36-SUMIFS(TblApplications[CPU IKS libérable (vCPU)],TblApplications[Cluster IKS source],$F36,TblApplications[Action],"À migrer",TblApplications[Mois prov (calc)],"&lt;="&amp;$E36)-SUMIFS(TblApplications[CPU IKS libérable (vCPU)],TblApplications[Cluster IKS source],$F36,TblApplications[Action],"À décommissionner",TblApplications[Mois lib (calc)],"&lt;="&amp;$E36)))))</f>
        <v>86</v>
      </c>
      <c r="Y36" s="19">
        <f>IF($D36&lt;&gt;1,"",IF($G36="ROKS",$S36,IF($AI36=1,0,MAX($O36,$M36-SUMIFS(TblApplications[RAM IKS libérable (Go)],TblApplications[Cluster IKS source],$F36,TblApplications[Action],"À migrer",TblApplications[Mois prov (calc)],"&lt;="&amp;$E36)-SUMIFS(TblApplications[RAM IKS libérable (Go)],TblApplications[Cluster IKS source],$F36,TblApplications[Action],"À décommissionner",TblApplications[Mois lib (calc)],"&lt;="&amp;$E36)))))</f>
        <v>476</v>
      </c>
      <c r="Z36" s="19">
        <f t="shared" si="9"/>
        <v>12</v>
      </c>
      <c r="AA36" s="73">
        <f t="shared" si="10"/>
        <v>4416</v>
      </c>
      <c r="AB36" s="19">
        <f t="shared" si="11"/>
        <v>6</v>
      </c>
      <c r="AC36" s="73">
        <f t="shared" si="12"/>
        <v>2208</v>
      </c>
      <c r="AD36" s="19">
        <f t="shared" si="13"/>
        <v>0</v>
      </c>
      <c r="AE36" s="19">
        <f t="shared" si="14"/>
        <v>0</v>
      </c>
      <c r="AF36" s="19" t="str">
        <f>IF($D36&lt;&gt;1,"",IF(INDEX(TblClusters[Environnement],$B36)="","(vide)",INDEX(TblClusters[Environnement],$B36)))</f>
        <v>PRD</v>
      </c>
      <c r="AG36" s="19">
        <f t="shared" si="15"/>
        <v>133.6</v>
      </c>
      <c r="AH36" s="19">
        <f t="shared" si="16"/>
        <v>33.053892215568865</v>
      </c>
      <c r="AI36" s="19">
        <f>IF($D36&lt;&gt;1,"",IF(AND($G36="IKS",ISNUMBER(INDEX(TblClusters[Fermeture retenue],$B36))),IF($E36&gt;=INDEX(TblClusters[Fermeture retenue],$B36),1,0),0))</f>
        <v>0</v>
      </c>
    </row>
    <row r="37" spans="1:35" x14ac:dyDescent="0.2">
      <c r="A37" s="19">
        <v>32</v>
      </c>
      <c r="B37" s="19">
        <f t="shared" si="0"/>
        <v>1</v>
      </c>
      <c r="C37" s="19">
        <f t="shared" si="1"/>
        <v>32</v>
      </c>
      <c r="D37" s="19">
        <f>IF($C37&gt;p_horizon,0,IFERROR(IF(AND(INDEX(TblClusters[Cluster],$B37)&lt;&gt;"",ISNUMBER(INDEX(TblClusters[CPU initial (vCPU)],$B37)),ISNUMBER(INDEX(TblClusters[CPU min (vCPU)],$B37)),OR(INDEX(TblClusters[Plateforme],$B37)="IKS",INDEX(TblClusters[Plateforme],$B37)="ROKS")),1,0),0))</f>
        <v>1</v>
      </c>
      <c r="E37" s="72">
        <f t="shared" si="2"/>
        <v>47239</v>
      </c>
      <c r="F37" s="19" t="str">
        <f>IF($D37=1,INDEX(TblClusters[Cluster],$B37),"")</f>
        <v>oc002i000577</v>
      </c>
      <c r="G37" s="19" t="str">
        <f>IF($D37=1,INDEX(TblClusters[Plateforme],$B37),"")</f>
        <v>ROKS</v>
      </c>
      <c r="H37" s="19">
        <f>IF($D37=1,INDEX(TblClusters[vCPU par nœud],$B37),"")</f>
        <v>8</v>
      </c>
      <c r="I37" s="19">
        <f>IF($D37=1,INDEX(TblClusters[RAM par nœud (Go)],$B37),"")</f>
        <v>40</v>
      </c>
      <c r="J37" s="19">
        <f>IF($D37=1,INDEX(TblClusters[Workers min],$B37),"")</f>
        <v>6</v>
      </c>
      <c r="K37" s="73">
        <f>IF($D37=1,INDEX(TblClusters[Tarif par nœud],$B37),"")</f>
        <v>368</v>
      </c>
      <c r="L37" s="19">
        <f>IF($D37=1,INDEX(TblClusters[CPU initial (vCPU)],$B37),"")</f>
        <v>48</v>
      </c>
      <c r="M37" s="19">
        <f>IF($D37=1,INDEX(TblClusters[RAM initiale (Go)],$B37),"")</f>
        <v>240</v>
      </c>
      <c r="N37" s="19">
        <f>IF($D37=1,INDEX(TblClusters[CPU min (vCPU)],$B37),"")</f>
        <v>48</v>
      </c>
      <c r="O37" s="19">
        <f>IF($D37=1,INDEX(TblClusters[RAM min (Go)],$B37),"")</f>
        <v>240</v>
      </c>
      <c r="P37" s="19">
        <f>IF($D37&lt;&gt;1,"",IF($G37="ROKS",SUMIFS(TblApplications[Besoin ROKS CPU (vCPU)],TblApplications[Cluster ROKS cible],$F37,TblApplications[Action],"À migrer",TblApplications[Déjà incluse ROKS],"Non",TblApplications[Mois prov (calc)],"&lt;="&amp;$E37),SUMIFS(TblApplications[CPU IKS libérable (vCPU)],TblApplications[Cluster IKS source],$F37,TblApplications[Mois lib (calc)],"&lt;="&amp;$E37)))</f>
        <v>38</v>
      </c>
      <c r="Q37" s="19">
        <f>IF($D37&lt;&gt;1,"",IF($G37="ROKS",SUMIFS(TblApplications[Besoin ROKS RAM (Go)],TblApplications[Cluster ROKS cible],$F37,TblApplications[Action],"À migrer",TblApplications[Déjà incluse ROKS],"Non",TblApplications[Mois prov (calc)],"&lt;="&amp;$E37),SUMIFS(TblApplications[RAM IKS libérable (Go)],TblApplications[Cluster IKS source],$F37,TblApplications[Mois lib (calc)],"&lt;="&amp;$E37)))</f>
        <v>236</v>
      </c>
      <c r="R37" s="19">
        <f t="shared" si="3"/>
        <v>86</v>
      </c>
      <c r="S37" s="19">
        <f t="shared" si="4"/>
        <v>476</v>
      </c>
      <c r="T37" s="19">
        <f t="shared" si="5"/>
        <v>12</v>
      </c>
      <c r="U37" s="19">
        <f t="shared" si="6"/>
        <v>96</v>
      </c>
      <c r="V37" s="19">
        <f t="shared" si="7"/>
        <v>480</v>
      </c>
      <c r="W37" s="73">
        <f t="shared" si="8"/>
        <v>4416</v>
      </c>
      <c r="X37" s="19">
        <f>IF($D37&lt;&gt;1,"",IF($G37="ROKS",$R37,IF($AI37=1,0,MAX($N37,$L37-SUMIFS(TblApplications[CPU IKS libérable (vCPU)],TblApplications[Cluster IKS source],$F37,TblApplications[Action],"À migrer",TblApplications[Mois prov (calc)],"&lt;="&amp;$E37)-SUMIFS(TblApplications[CPU IKS libérable (vCPU)],TblApplications[Cluster IKS source],$F37,TblApplications[Action],"À décommissionner",TblApplications[Mois lib (calc)],"&lt;="&amp;$E37)))))</f>
        <v>86</v>
      </c>
      <c r="Y37" s="19">
        <f>IF($D37&lt;&gt;1,"",IF($G37="ROKS",$S37,IF($AI37=1,0,MAX($O37,$M37-SUMIFS(TblApplications[RAM IKS libérable (Go)],TblApplications[Cluster IKS source],$F37,TblApplications[Action],"À migrer",TblApplications[Mois prov (calc)],"&lt;="&amp;$E37)-SUMIFS(TblApplications[RAM IKS libérable (Go)],TblApplications[Cluster IKS source],$F37,TblApplications[Action],"À décommissionner",TblApplications[Mois lib (calc)],"&lt;="&amp;$E37)))))</f>
        <v>476</v>
      </c>
      <c r="Z37" s="19">
        <f t="shared" si="9"/>
        <v>12</v>
      </c>
      <c r="AA37" s="73">
        <f t="shared" si="10"/>
        <v>4416</v>
      </c>
      <c r="AB37" s="19">
        <f t="shared" si="11"/>
        <v>6</v>
      </c>
      <c r="AC37" s="73">
        <f t="shared" si="12"/>
        <v>2208</v>
      </c>
      <c r="AD37" s="19">
        <f t="shared" si="13"/>
        <v>0</v>
      </c>
      <c r="AE37" s="19">
        <f t="shared" si="14"/>
        <v>0</v>
      </c>
      <c r="AF37" s="19" t="str">
        <f>IF($D37&lt;&gt;1,"",IF(INDEX(TblClusters[Environnement],$B37)="","(vide)",INDEX(TblClusters[Environnement],$B37)))</f>
        <v>PRD</v>
      </c>
      <c r="AG37" s="19">
        <f t="shared" si="15"/>
        <v>133.6</v>
      </c>
      <c r="AH37" s="19">
        <f t="shared" si="16"/>
        <v>33.053892215568865</v>
      </c>
      <c r="AI37" s="19">
        <f>IF($D37&lt;&gt;1,"",IF(AND($G37="IKS",ISNUMBER(INDEX(TblClusters[Fermeture retenue],$B37))),IF($E37&gt;=INDEX(TblClusters[Fermeture retenue],$B37),1,0),0))</f>
        <v>0</v>
      </c>
    </row>
    <row r="38" spans="1:35" x14ac:dyDescent="0.2">
      <c r="A38" s="19">
        <v>33</v>
      </c>
      <c r="B38" s="19">
        <f t="shared" si="0"/>
        <v>1</v>
      </c>
      <c r="C38" s="19">
        <f t="shared" si="1"/>
        <v>33</v>
      </c>
      <c r="D38" s="19">
        <f>IF($C38&gt;p_horizon,0,IFERROR(IF(AND(INDEX(TblClusters[Cluster],$B38)&lt;&gt;"",ISNUMBER(INDEX(TblClusters[CPU initial (vCPU)],$B38)),ISNUMBER(INDEX(TblClusters[CPU min (vCPU)],$B38)),OR(INDEX(TblClusters[Plateforme],$B38)="IKS",INDEX(TblClusters[Plateforme],$B38)="ROKS")),1,0),0))</f>
        <v>1</v>
      </c>
      <c r="E38" s="72">
        <f t="shared" si="2"/>
        <v>47270</v>
      </c>
      <c r="F38" s="19" t="str">
        <f>IF($D38=1,INDEX(TblClusters[Cluster],$B38),"")</f>
        <v>oc002i000577</v>
      </c>
      <c r="G38" s="19" t="str">
        <f>IF($D38=1,INDEX(TblClusters[Plateforme],$B38),"")</f>
        <v>ROKS</v>
      </c>
      <c r="H38" s="19">
        <f>IF($D38=1,INDEX(TblClusters[vCPU par nœud],$B38),"")</f>
        <v>8</v>
      </c>
      <c r="I38" s="19">
        <f>IF($D38=1,INDEX(TblClusters[RAM par nœud (Go)],$B38),"")</f>
        <v>40</v>
      </c>
      <c r="J38" s="19">
        <f>IF($D38=1,INDEX(TblClusters[Workers min],$B38),"")</f>
        <v>6</v>
      </c>
      <c r="K38" s="73">
        <f>IF($D38=1,INDEX(TblClusters[Tarif par nœud],$B38),"")</f>
        <v>368</v>
      </c>
      <c r="L38" s="19">
        <f>IF($D38=1,INDEX(TblClusters[CPU initial (vCPU)],$B38),"")</f>
        <v>48</v>
      </c>
      <c r="M38" s="19">
        <f>IF($D38=1,INDEX(TblClusters[RAM initiale (Go)],$B38),"")</f>
        <v>240</v>
      </c>
      <c r="N38" s="19">
        <f>IF($D38=1,INDEX(TblClusters[CPU min (vCPU)],$B38),"")</f>
        <v>48</v>
      </c>
      <c r="O38" s="19">
        <f>IF($D38=1,INDEX(TblClusters[RAM min (Go)],$B38),"")</f>
        <v>240</v>
      </c>
      <c r="P38" s="19">
        <f>IF($D38&lt;&gt;1,"",IF($G38="ROKS",SUMIFS(TblApplications[Besoin ROKS CPU (vCPU)],TblApplications[Cluster ROKS cible],$F38,TblApplications[Action],"À migrer",TblApplications[Déjà incluse ROKS],"Non",TblApplications[Mois prov (calc)],"&lt;="&amp;$E38),SUMIFS(TblApplications[CPU IKS libérable (vCPU)],TblApplications[Cluster IKS source],$F38,TblApplications[Mois lib (calc)],"&lt;="&amp;$E38)))</f>
        <v>38</v>
      </c>
      <c r="Q38" s="19">
        <f>IF($D38&lt;&gt;1,"",IF($G38="ROKS",SUMIFS(TblApplications[Besoin ROKS RAM (Go)],TblApplications[Cluster ROKS cible],$F38,TblApplications[Action],"À migrer",TblApplications[Déjà incluse ROKS],"Non",TblApplications[Mois prov (calc)],"&lt;="&amp;$E38),SUMIFS(TblApplications[RAM IKS libérable (Go)],TblApplications[Cluster IKS source],$F38,TblApplications[Mois lib (calc)],"&lt;="&amp;$E38)))</f>
        <v>236</v>
      </c>
      <c r="R38" s="19">
        <f t="shared" si="3"/>
        <v>86</v>
      </c>
      <c r="S38" s="19">
        <f t="shared" si="4"/>
        <v>476</v>
      </c>
      <c r="T38" s="19">
        <f t="shared" si="5"/>
        <v>12</v>
      </c>
      <c r="U38" s="19">
        <f t="shared" si="6"/>
        <v>96</v>
      </c>
      <c r="V38" s="19">
        <f t="shared" si="7"/>
        <v>480</v>
      </c>
      <c r="W38" s="73">
        <f t="shared" si="8"/>
        <v>4416</v>
      </c>
      <c r="X38" s="19">
        <f>IF($D38&lt;&gt;1,"",IF($G38="ROKS",$R38,IF($AI38=1,0,MAX($N38,$L38-SUMIFS(TblApplications[CPU IKS libérable (vCPU)],TblApplications[Cluster IKS source],$F38,TblApplications[Action],"À migrer",TblApplications[Mois prov (calc)],"&lt;="&amp;$E38)-SUMIFS(TblApplications[CPU IKS libérable (vCPU)],TblApplications[Cluster IKS source],$F38,TblApplications[Action],"À décommissionner",TblApplications[Mois lib (calc)],"&lt;="&amp;$E38)))))</f>
        <v>86</v>
      </c>
      <c r="Y38" s="19">
        <f>IF($D38&lt;&gt;1,"",IF($G38="ROKS",$S38,IF($AI38=1,0,MAX($O38,$M38-SUMIFS(TblApplications[RAM IKS libérable (Go)],TblApplications[Cluster IKS source],$F38,TblApplications[Action],"À migrer",TblApplications[Mois prov (calc)],"&lt;="&amp;$E38)-SUMIFS(TblApplications[RAM IKS libérable (Go)],TblApplications[Cluster IKS source],$F38,TblApplications[Action],"À décommissionner",TblApplications[Mois lib (calc)],"&lt;="&amp;$E38)))))</f>
        <v>476</v>
      </c>
      <c r="Z38" s="19">
        <f t="shared" si="9"/>
        <v>12</v>
      </c>
      <c r="AA38" s="73">
        <f t="shared" si="10"/>
        <v>4416</v>
      </c>
      <c r="AB38" s="19">
        <f t="shared" si="11"/>
        <v>6</v>
      </c>
      <c r="AC38" s="73">
        <f t="shared" si="12"/>
        <v>2208</v>
      </c>
      <c r="AD38" s="19">
        <f t="shared" si="13"/>
        <v>0</v>
      </c>
      <c r="AE38" s="19">
        <f t="shared" si="14"/>
        <v>0</v>
      </c>
      <c r="AF38" s="19" t="str">
        <f>IF($D38&lt;&gt;1,"",IF(INDEX(TblClusters[Environnement],$B38)="","(vide)",INDEX(TblClusters[Environnement],$B38)))</f>
        <v>PRD</v>
      </c>
      <c r="AG38" s="19">
        <f t="shared" si="15"/>
        <v>133.6</v>
      </c>
      <c r="AH38" s="19">
        <f t="shared" si="16"/>
        <v>33.053892215568865</v>
      </c>
      <c r="AI38" s="19">
        <f>IF($D38&lt;&gt;1,"",IF(AND($G38="IKS",ISNUMBER(INDEX(TblClusters[Fermeture retenue],$B38))),IF($E38&gt;=INDEX(TblClusters[Fermeture retenue],$B38),1,0),0))</f>
        <v>0</v>
      </c>
    </row>
    <row r="39" spans="1:35" x14ac:dyDescent="0.2">
      <c r="A39" s="19">
        <v>34</v>
      </c>
      <c r="B39" s="19">
        <f t="shared" si="0"/>
        <v>1</v>
      </c>
      <c r="C39" s="19">
        <f t="shared" si="1"/>
        <v>34</v>
      </c>
      <c r="D39" s="19">
        <f>IF($C39&gt;p_horizon,0,IFERROR(IF(AND(INDEX(TblClusters[Cluster],$B39)&lt;&gt;"",ISNUMBER(INDEX(TblClusters[CPU initial (vCPU)],$B39)),ISNUMBER(INDEX(TblClusters[CPU min (vCPU)],$B39)),OR(INDEX(TblClusters[Plateforme],$B39)="IKS",INDEX(TblClusters[Plateforme],$B39)="ROKS")),1,0),0))</f>
        <v>1</v>
      </c>
      <c r="E39" s="72">
        <f t="shared" si="2"/>
        <v>47300</v>
      </c>
      <c r="F39" s="19" t="str">
        <f>IF($D39=1,INDEX(TblClusters[Cluster],$B39),"")</f>
        <v>oc002i000577</v>
      </c>
      <c r="G39" s="19" t="str">
        <f>IF($D39=1,INDEX(TblClusters[Plateforme],$B39),"")</f>
        <v>ROKS</v>
      </c>
      <c r="H39" s="19">
        <f>IF($D39=1,INDEX(TblClusters[vCPU par nœud],$B39),"")</f>
        <v>8</v>
      </c>
      <c r="I39" s="19">
        <f>IF($D39=1,INDEX(TblClusters[RAM par nœud (Go)],$B39),"")</f>
        <v>40</v>
      </c>
      <c r="J39" s="19">
        <f>IF($D39=1,INDEX(TblClusters[Workers min],$B39),"")</f>
        <v>6</v>
      </c>
      <c r="K39" s="73">
        <f>IF($D39=1,INDEX(TblClusters[Tarif par nœud],$B39),"")</f>
        <v>368</v>
      </c>
      <c r="L39" s="19">
        <f>IF($D39=1,INDEX(TblClusters[CPU initial (vCPU)],$B39),"")</f>
        <v>48</v>
      </c>
      <c r="M39" s="19">
        <f>IF($D39=1,INDEX(TblClusters[RAM initiale (Go)],$B39),"")</f>
        <v>240</v>
      </c>
      <c r="N39" s="19">
        <f>IF($D39=1,INDEX(TblClusters[CPU min (vCPU)],$B39),"")</f>
        <v>48</v>
      </c>
      <c r="O39" s="19">
        <f>IF($D39=1,INDEX(TblClusters[RAM min (Go)],$B39),"")</f>
        <v>240</v>
      </c>
      <c r="P39" s="19">
        <f>IF($D39&lt;&gt;1,"",IF($G39="ROKS",SUMIFS(TblApplications[Besoin ROKS CPU (vCPU)],TblApplications[Cluster ROKS cible],$F39,TblApplications[Action],"À migrer",TblApplications[Déjà incluse ROKS],"Non",TblApplications[Mois prov (calc)],"&lt;="&amp;$E39),SUMIFS(TblApplications[CPU IKS libérable (vCPU)],TblApplications[Cluster IKS source],$F39,TblApplications[Mois lib (calc)],"&lt;="&amp;$E39)))</f>
        <v>38</v>
      </c>
      <c r="Q39" s="19">
        <f>IF($D39&lt;&gt;1,"",IF($G39="ROKS",SUMIFS(TblApplications[Besoin ROKS RAM (Go)],TblApplications[Cluster ROKS cible],$F39,TblApplications[Action],"À migrer",TblApplications[Déjà incluse ROKS],"Non",TblApplications[Mois prov (calc)],"&lt;="&amp;$E39),SUMIFS(TblApplications[RAM IKS libérable (Go)],TblApplications[Cluster IKS source],$F39,TblApplications[Mois lib (calc)],"&lt;="&amp;$E39)))</f>
        <v>236</v>
      </c>
      <c r="R39" s="19">
        <f t="shared" si="3"/>
        <v>86</v>
      </c>
      <c r="S39" s="19">
        <f t="shared" si="4"/>
        <v>476</v>
      </c>
      <c r="T39" s="19">
        <f t="shared" si="5"/>
        <v>12</v>
      </c>
      <c r="U39" s="19">
        <f t="shared" si="6"/>
        <v>96</v>
      </c>
      <c r="V39" s="19">
        <f t="shared" si="7"/>
        <v>480</v>
      </c>
      <c r="W39" s="73">
        <f t="shared" si="8"/>
        <v>4416</v>
      </c>
      <c r="X39" s="19">
        <f>IF($D39&lt;&gt;1,"",IF($G39="ROKS",$R39,IF($AI39=1,0,MAX($N39,$L39-SUMIFS(TblApplications[CPU IKS libérable (vCPU)],TblApplications[Cluster IKS source],$F39,TblApplications[Action],"À migrer",TblApplications[Mois prov (calc)],"&lt;="&amp;$E39)-SUMIFS(TblApplications[CPU IKS libérable (vCPU)],TblApplications[Cluster IKS source],$F39,TblApplications[Action],"À décommissionner",TblApplications[Mois lib (calc)],"&lt;="&amp;$E39)))))</f>
        <v>86</v>
      </c>
      <c r="Y39" s="19">
        <f>IF($D39&lt;&gt;1,"",IF($G39="ROKS",$S39,IF($AI39=1,0,MAX($O39,$M39-SUMIFS(TblApplications[RAM IKS libérable (Go)],TblApplications[Cluster IKS source],$F39,TblApplications[Action],"À migrer",TblApplications[Mois prov (calc)],"&lt;="&amp;$E39)-SUMIFS(TblApplications[RAM IKS libérable (Go)],TblApplications[Cluster IKS source],$F39,TblApplications[Action],"À décommissionner",TblApplications[Mois lib (calc)],"&lt;="&amp;$E39)))))</f>
        <v>476</v>
      </c>
      <c r="Z39" s="19">
        <f t="shared" si="9"/>
        <v>12</v>
      </c>
      <c r="AA39" s="73">
        <f t="shared" si="10"/>
        <v>4416</v>
      </c>
      <c r="AB39" s="19">
        <f t="shared" si="11"/>
        <v>6</v>
      </c>
      <c r="AC39" s="73">
        <f t="shared" si="12"/>
        <v>2208</v>
      </c>
      <c r="AD39" s="19">
        <f t="shared" si="13"/>
        <v>0</v>
      </c>
      <c r="AE39" s="19">
        <f t="shared" si="14"/>
        <v>0</v>
      </c>
      <c r="AF39" s="19" t="str">
        <f>IF($D39&lt;&gt;1,"",IF(INDEX(TblClusters[Environnement],$B39)="","(vide)",INDEX(TblClusters[Environnement],$B39)))</f>
        <v>PRD</v>
      </c>
      <c r="AG39" s="19">
        <f t="shared" si="15"/>
        <v>133.6</v>
      </c>
      <c r="AH39" s="19">
        <f t="shared" si="16"/>
        <v>33.053892215568865</v>
      </c>
      <c r="AI39" s="19">
        <f>IF($D39&lt;&gt;1,"",IF(AND($G39="IKS",ISNUMBER(INDEX(TblClusters[Fermeture retenue],$B39))),IF($E39&gt;=INDEX(TblClusters[Fermeture retenue],$B39),1,0),0))</f>
        <v>0</v>
      </c>
    </row>
    <row r="40" spans="1:35" x14ac:dyDescent="0.2">
      <c r="A40" s="19">
        <v>35</v>
      </c>
      <c r="B40" s="19">
        <f t="shared" si="0"/>
        <v>1</v>
      </c>
      <c r="C40" s="19">
        <f t="shared" si="1"/>
        <v>35</v>
      </c>
      <c r="D40" s="19">
        <f>IF($C40&gt;p_horizon,0,IFERROR(IF(AND(INDEX(TblClusters[Cluster],$B40)&lt;&gt;"",ISNUMBER(INDEX(TblClusters[CPU initial (vCPU)],$B40)),ISNUMBER(INDEX(TblClusters[CPU min (vCPU)],$B40)),OR(INDEX(TblClusters[Plateforme],$B40)="IKS",INDEX(TblClusters[Plateforme],$B40)="ROKS")),1,0),0))</f>
        <v>1</v>
      </c>
      <c r="E40" s="72">
        <f t="shared" si="2"/>
        <v>47331</v>
      </c>
      <c r="F40" s="19" t="str">
        <f>IF($D40=1,INDEX(TblClusters[Cluster],$B40),"")</f>
        <v>oc002i000577</v>
      </c>
      <c r="G40" s="19" t="str">
        <f>IF($D40=1,INDEX(TblClusters[Plateforme],$B40),"")</f>
        <v>ROKS</v>
      </c>
      <c r="H40" s="19">
        <f>IF($D40=1,INDEX(TblClusters[vCPU par nœud],$B40),"")</f>
        <v>8</v>
      </c>
      <c r="I40" s="19">
        <f>IF($D40=1,INDEX(TblClusters[RAM par nœud (Go)],$B40),"")</f>
        <v>40</v>
      </c>
      <c r="J40" s="19">
        <f>IF($D40=1,INDEX(TblClusters[Workers min],$B40),"")</f>
        <v>6</v>
      </c>
      <c r="K40" s="73">
        <f>IF($D40=1,INDEX(TblClusters[Tarif par nœud],$B40),"")</f>
        <v>368</v>
      </c>
      <c r="L40" s="19">
        <f>IF($D40=1,INDEX(TblClusters[CPU initial (vCPU)],$B40),"")</f>
        <v>48</v>
      </c>
      <c r="M40" s="19">
        <f>IF($D40=1,INDEX(TblClusters[RAM initiale (Go)],$B40),"")</f>
        <v>240</v>
      </c>
      <c r="N40" s="19">
        <f>IF($D40=1,INDEX(TblClusters[CPU min (vCPU)],$B40),"")</f>
        <v>48</v>
      </c>
      <c r="O40" s="19">
        <f>IF($D40=1,INDEX(TblClusters[RAM min (Go)],$B40),"")</f>
        <v>240</v>
      </c>
      <c r="P40" s="19">
        <f>IF($D40&lt;&gt;1,"",IF($G40="ROKS",SUMIFS(TblApplications[Besoin ROKS CPU (vCPU)],TblApplications[Cluster ROKS cible],$F40,TblApplications[Action],"À migrer",TblApplications[Déjà incluse ROKS],"Non",TblApplications[Mois prov (calc)],"&lt;="&amp;$E40),SUMIFS(TblApplications[CPU IKS libérable (vCPU)],TblApplications[Cluster IKS source],$F40,TblApplications[Mois lib (calc)],"&lt;="&amp;$E40)))</f>
        <v>38</v>
      </c>
      <c r="Q40" s="19">
        <f>IF($D40&lt;&gt;1,"",IF($G40="ROKS",SUMIFS(TblApplications[Besoin ROKS RAM (Go)],TblApplications[Cluster ROKS cible],$F40,TblApplications[Action],"À migrer",TblApplications[Déjà incluse ROKS],"Non",TblApplications[Mois prov (calc)],"&lt;="&amp;$E40),SUMIFS(TblApplications[RAM IKS libérable (Go)],TblApplications[Cluster IKS source],$F40,TblApplications[Mois lib (calc)],"&lt;="&amp;$E40)))</f>
        <v>236</v>
      </c>
      <c r="R40" s="19">
        <f t="shared" si="3"/>
        <v>86</v>
      </c>
      <c r="S40" s="19">
        <f t="shared" si="4"/>
        <v>476</v>
      </c>
      <c r="T40" s="19">
        <f t="shared" si="5"/>
        <v>12</v>
      </c>
      <c r="U40" s="19">
        <f t="shared" si="6"/>
        <v>96</v>
      </c>
      <c r="V40" s="19">
        <f t="shared" si="7"/>
        <v>480</v>
      </c>
      <c r="W40" s="73">
        <f t="shared" si="8"/>
        <v>4416</v>
      </c>
      <c r="X40" s="19">
        <f>IF($D40&lt;&gt;1,"",IF($G40="ROKS",$R40,IF($AI40=1,0,MAX($N40,$L40-SUMIFS(TblApplications[CPU IKS libérable (vCPU)],TblApplications[Cluster IKS source],$F40,TblApplications[Action],"À migrer",TblApplications[Mois prov (calc)],"&lt;="&amp;$E40)-SUMIFS(TblApplications[CPU IKS libérable (vCPU)],TblApplications[Cluster IKS source],$F40,TblApplications[Action],"À décommissionner",TblApplications[Mois lib (calc)],"&lt;="&amp;$E40)))))</f>
        <v>86</v>
      </c>
      <c r="Y40" s="19">
        <f>IF($D40&lt;&gt;1,"",IF($G40="ROKS",$S40,IF($AI40=1,0,MAX($O40,$M40-SUMIFS(TblApplications[RAM IKS libérable (Go)],TblApplications[Cluster IKS source],$F40,TblApplications[Action],"À migrer",TblApplications[Mois prov (calc)],"&lt;="&amp;$E40)-SUMIFS(TblApplications[RAM IKS libérable (Go)],TblApplications[Cluster IKS source],$F40,TblApplications[Action],"À décommissionner",TblApplications[Mois lib (calc)],"&lt;="&amp;$E40)))))</f>
        <v>476</v>
      </c>
      <c r="Z40" s="19">
        <f t="shared" si="9"/>
        <v>12</v>
      </c>
      <c r="AA40" s="73">
        <f t="shared" si="10"/>
        <v>4416</v>
      </c>
      <c r="AB40" s="19">
        <f t="shared" si="11"/>
        <v>6</v>
      </c>
      <c r="AC40" s="73">
        <f t="shared" si="12"/>
        <v>2208</v>
      </c>
      <c r="AD40" s="19">
        <f t="shared" si="13"/>
        <v>0</v>
      </c>
      <c r="AE40" s="19">
        <f t="shared" si="14"/>
        <v>0</v>
      </c>
      <c r="AF40" s="19" t="str">
        <f>IF($D40&lt;&gt;1,"",IF(INDEX(TblClusters[Environnement],$B40)="","(vide)",INDEX(TblClusters[Environnement],$B40)))</f>
        <v>PRD</v>
      </c>
      <c r="AG40" s="19">
        <f t="shared" si="15"/>
        <v>133.6</v>
      </c>
      <c r="AH40" s="19">
        <f t="shared" si="16"/>
        <v>33.053892215568865</v>
      </c>
      <c r="AI40" s="19">
        <f>IF($D40&lt;&gt;1,"",IF(AND($G40="IKS",ISNUMBER(INDEX(TblClusters[Fermeture retenue],$B40))),IF($E40&gt;=INDEX(TblClusters[Fermeture retenue],$B40),1,0),0))</f>
        <v>0</v>
      </c>
    </row>
    <row r="41" spans="1:35" x14ac:dyDescent="0.2">
      <c r="A41" s="19">
        <v>36</v>
      </c>
      <c r="B41" s="19">
        <f t="shared" si="0"/>
        <v>1</v>
      </c>
      <c r="C41" s="19">
        <f t="shared" si="1"/>
        <v>36</v>
      </c>
      <c r="D41" s="19">
        <f>IF($C41&gt;p_horizon,0,IFERROR(IF(AND(INDEX(TblClusters[Cluster],$B41)&lt;&gt;"",ISNUMBER(INDEX(TblClusters[CPU initial (vCPU)],$B41)),ISNUMBER(INDEX(TblClusters[CPU min (vCPU)],$B41)),OR(INDEX(TblClusters[Plateforme],$B41)="IKS",INDEX(TblClusters[Plateforme],$B41)="ROKS")),1,0),0))</f>
        <v>1</v>
      </c>
      <c r="E41" s="72">
        <f t="shared" si="2"/>
        <v>47362</v>
      </c>
      <c r="F41" s="19" t="str">
        <f>IF($D41=1,INDEX(TblClusters[Cluster],$B41),"")</f>
        <v>oc002i000577</v>
      </c>
      <c r="G41" s="19" t="str">
        <f>IF($D41=1,INDEX(TblClusters[Plateforme],$B41),"")</f>
        <v>ROKS</v>
      </c>
      <c r="H41" s="19">
        <f>IF($D41=1,INDEX(TblClusters[vCPU par nœud],$B41),"")</f>
        <v>8</v>
      </c>
      <c r="I41" s="19">
        <f>IF($D41=1,INDEX(TblClusters[RAM par nœud (Go)],$B41),"")</f>
        <v>40</v>
      </c>
      <c r="J41" s="19">
        <f>IF($D41=1,INDEX(TblClusters[Workers min],$B41),"")</f>
        <v>6</v>
      </c>
      <c r="K41" s="73">
        <f>IF($D41=1,INDEX(TblClusters[Tarif par nœud],$B41),"")</f>
        <v>368</v>
      </c>
      <c r="L41" s="19">
        <f>IF($D41=1,INDEX(TblClusters[CPU initial (vCPU)],$B41),"")</f>
        <v>48</v>
      </c>
      <c r="M41" s="19">
        <f>IF($D41=1,INDEX(TblClusters[RAM initiale (Go)],$B41),"")</f>
        <v>240</v>
      </c>
      <c r="N41" s="19">
        <f>IF($D41=1,INDEX(TblClusters[CPU min (vCPU)],$B41),"")</f>
        <v>48</v>
      </c>
      <c r="O41" s="19">
        <f>IF($D41=1,INDEX(TblClusters[RAM min (Go)],$B41),"")</f>
        <v>240</v>
      </c>
      <c r="P41" s="19">
        <f>IF($D41&lt;&gt;1,"",IF($G41="ROKS",SUMIFS(TblApplications[Besoin ROKS CPU (vCPU)],TblApplications[Cluster ROKS cible],$F41,TblApplications[Action],"À migrer",TblApplications[Déjà incluse ROKS],"Non",TblApplications[Mois prov (calc)],"&lt;="&amp;$E41),SUMIFS(TblApplications[CPU IKS libérable (vCPU)],TblApplications[Cluster IKS source],$F41,TblApplications[Mois lib (calc)],"&lt;="&amp;$E41)))</f>
        <v>38</v>
      </c>
      <c r="Q41" s="19">
        <f>IF($D41&lt;&gt;1,"",IF($G41="ROKS",SUMIFS(TblApplications[Besoin ROKS RAM (Go)],TblApplications[Cluster ROKS cible],$F41,TblApplications[Action],"À migrer",TblApplications[Déjà incluse ROKS],"Non",TblApplications[Mois prov (calc)],"&lt;="&amp;$E41),SUMIFS(TblApplications[RAM IKS libérable (Go)],TblApplications[Cluster IKS source],$F41,TblApplications[Mois lib (calc)],"&lt;="&amp;$E41)))</f>
        <v>236</v>
      </c>
      <c r="R41" s="19">
        <f t="shared" si="3"/>
        <v>86</v>
      </c>
      <c r="S41" s="19">
        <f t="shared" si="4"/>
        <v>476</v>
      </c>
      <c r="T41" s="19">
        <f t="shared" si="5"/>
        <v>12</v>
      </c>
      <c r="U41" s="19">
        <f t="shared" si="6"/>
        <v>96</v>
      </c>
      <c r="V41" s="19">
        <f t="shared" si="7"/>
        <v>480</v>
      </c>
      <c r="W41" s="73">
        <f t="shared" si="8"/>
        <v>4416</v>
      </c>
      <c r="X41" s="19">
        <f>IF($D41&lt;&gt;1,"",IF($G41="ROKS",$R41,IF($AI41=1,0,MAX($N41,$L41-SUMIFS(TblApplications[CPU IKS libérable (vCPU)],TblApplications[Cluster IKS source],$F41,TblApplications[Action],"À migrer",TblApplications[Mois prov (calc)],"&lt;="&amp;$E41)-SUMIFS(TblApplications[CPU IKS libérable (vCPU)],TblApplications[Cluster IKS source],$F41,TblApplications[Action],"À décommissionner",TblApplications[Mois lib (calc)],"&lt;="&amp;$E41)))))</f>
        <v>86</v>
      </c>
      <c r="Y41" s="19">
        <f>IF($D41&lt;&gt;1,"",IF($G41="ROKS",$S41,IF($AI41=1,0,MAX($O41,$M41-SUMIFS(TblApplications[RAM IKS libérable (Go)],TblApplications[Cluster IKS source],$F41,TblApplications[Action],"À migrer",TblApplications[Mois prov (calc)],"&lt;="&amp;$E41)-SUMIFS(TblApplications[RAM IKS libérable (Go)],TblApplications[Cluster IKS source],$F41,TblApplications[Action],"À décommissionner",TblApplications[Mois lib (calc)],"&lt;="&amp;$E41)))))</f>
        <v>476</v>
      </c>
      <c r="Z41" s="19">
        <f t="shared" si="9"/>
        <v>12</v>
      </c>
      <c r="AA41" s="73">
        <f t="shared" si="10"/>
        <v>4416</v>
      </c>
      <c r="AB41" s="19">
        <f t="shared" si="11"/>
        <v>6</v>
      </c>
      <c r="AC41" s="73">
        <f t="shared" si="12"/>
        <v>2208</v>
      </c>
      <c r="AD41" s="19">
        <f t="shared" si="13"/>
        <v>0</v>
      </c>
      <c r="AE41" s="19">
        <f t="shared" si="14"/>
        <v>0</v>
      </c>
      <c r="AF41" s="19" t="str">
        <f>IF($D41&lt;&gt;1,"",IF(INDEX(TblClusters[Environnement],$B41)="","(vide)",INDEX(TblClusters[Environnement],$B41)))</f>
        <v>PRD</v>
      </c>
      <c r="AG41" s="19">
        <f t="shared" si="15"/>
        <v>133.6</v>
      </c>
      <c r="AH41" s="19">
        <f t="shared" si="16"/>
        <v>33.053892215568865</v>
      </c>
      <c r="AI41" s="19">
        <f>IF($D41&lt;&gt;1,"",IF(AND($G41="IKS",ISNUMBER(INDEX(TblClusters[Fermeture retenue],$B41))),IF($E41&gt;=INDEX(TblClusters[Fermeture retenue],$B41),1,0),0))</f>
        <v>0</v>
      </c>
    </row>
    <row r="42" spans="1:35" x14ac:dyDescent="0.2">
      <c r="A42" s="19">
        <v>37</v>
      </c>
      <c r="B42" s="19">
        <f t="shared" si="0"/>
        <v>2</v>
      </c>
      <c r="C42" s="19">
        <f t="shared" si="1"/>
        <v>1</v>
      </c>
      <c r="D42" s="19">
        <f>IF($C42&gt;p_horizon,0,IFERROR(IF(AND(INDEX(TblClusters[Cluster],$B42)&lt;&gt;"",ISNUMBER(INDEX(TblClusters[CPU initial (vCPU)],$B42)),ISNUMBER(INDEX(TblClusters[CPU min (vCPU)],$B42)),OR(INDEX(TblClusters[Plateforme],$B42)="IKS",INDEX(TblClusters[Plateforme],$B42)="ROKS")),1,0),0))</f>
        <v>1</v>
      </c>
      <c r="E42" s="72">
        <f t="shared" si="2"/>
        <v>46296</v>
      </c>
      <c r="F42" s="19" t="str">
        <f>IF($D42=1,INDEX(TblClusters[Cluster],$B42),"")</f>
        <v>oc002i000578</v>
      </c>
      <c r="G42" s="19" t="str">
        <f>IF($D42=1,INDEX(TblClusters[Plateforme],$B42),"")</f>
        <v>ROKS</v>
      </c>
      <c r="H42" s="19">
        <f>IF($D42=1,INDEX(TblClusters[vCPU par nœud],$B42),"")</f>
        <v>32</v>
      </c>
      <c r="I42" s="19">
        <f>IF($D42=1,INDEX(TblClusters[RAM par nœud (Go)],$B42),"")</f>
        <v>80</v>
      </c>
      <c r="J42" s="19">
        <f>IF($D42=1,INDEX(TblClusters[Workers min],$B42),"")</f>
        <v>6</v>
      </c>
      <c r="K42" s="73">
        <f>IF($D42=1,INDEX(TblClusters[Tarif par nœud],$B42),"")</f>
        <v>1216</v>
      </c>
      <c r="L42" s="19">
        <f>IF($D42=1,INDEX(TblClusters[CPU initial (vCPU)],$B42),"")</f>
        <v>192</v>
      </c>
      <c r="M42" s="19">
        <f>IF($D42=1,INDEX(TblClusters[RAM initiale (Go)],$B42),"")</f>
        <v>480</v>
      </c>
      <c r="N42" s="19">
        <f>IF($D42=1,INDEX(TblClusters[CPU min (vCPU)],$B42),"")</f>
        <v>192</v>
      </c>
      <c r="O42" s="19">
        <f>IF($D42=1,INDEX(TblClusters[RAM min (Go)],$B42),"")</f>
        <v>480</v>
      </c>
      <c r="P42" s="19">
        <f>IF($D42&lt;&gt;1,"",IF($G42="ROKS",SUMIFS(TblApplications[Besoin ROKS CPU (vCPU)],TblApplications[Cluster ROKS cible],$F42,TblApplications[Action],"À migrer",TblApplications[Déjà incluse ROKS],"Non",TblApplications[Mois prov (calc)],"&lt;="&amp;$E42),SUMIFS(TblApplications[CPU IKS libérable (vCPU)],TblApplications[Cluster IKS source],$F42,TblApplications[Mois lib (calc)],"&lt;="&amp;$E42)))</f>
        <v>0</v>
      </c>
      <c r="Q42" s="19">
        <f>IF($D42&lt;&gt;1,"",IF($G42="ROKS",SUMIFS(TblApplications[Besoin ROKS RAM (Go)],TblApplications[Cluster ROKS cible],$F42,TblApplications[Action],"À migrer",TblApplications[Déjà incluse ROKS],"Non",TblApplications[Mois prov (calc)],"&lt;="&amp;$E42),SUMIFS(TblApplications[RAM IKS libérable (Go)],TblApplications[Cluster IKS source],$F42,TblApplications[Mois lib (calc)],"&lt;="&amp;$E42)))</f>
        <v>0</v>
      </c>
      <c r="R42" s="19">
        <f t="shared" si="3"/>
        <v>192</v>
      </c>
      <c r="S42" s="19">
        <f t="shared" si="4"/>
        <v>480</v>
      </c>
      <c r="T42" s="19">
        <f t="shared" si="5"/>
        <v>6</v>
      </c>
      <c r="U42" s="19">
        <f t="shared" si="6"/>
        <v>192</v>
      </c>
      <c r="V42" s="19">
        <f t="shared" si="7"/>
        <v>480</v>
      </c>
      <c r="W42" s="73">
        <f t="shared" si="8"/>
        <v>7296</v>
      </c>
      <c r="X42" s="19">
        <f>IF($D42&lt;&gt;1,"",IF($G42="ROKS",$R42,IF($AI42=1,0,MAX($N42,$L42-SUMIFS(TblApplications[CPU IKS libérable (vCPU)],TblApplications[Cluster IKS source],$F42,TblApplications[Action],"À migrer",TblApplications[Mois prov (calc)],"&lt;="&amp;$E42)-SUMIFS(TblApplications[CPU IKS libérable (vCPU)],TblApplications[Cluster IKS source],$F42,TblApplications[Action],"À décommissionner",TblApplications[Mois lib (calc)],"&lt;="&amp;$E42)))))</f>
        <v>192</v>
      </c>
      <c r="Y42" s="19">
        <f>IF($D42&lt;&gt;1,"",IF($G42="ROKS",$S42,IF($AI42=1,0,MAX($O42,$M42-SUMIFS(TblApplications[RAM IKS libérable (Go)],TblApplications[Cluster IKS source],$F42,TblApplications[Action],"À migrer",TblApplications[Mois prov (calc)],"&lt;="&amp;$E42)-SUMIFS(TblApplications[RAM IKS libérable (Go)],TblApplications[Cluster IKS source],$F42,TblApplications[Action],"À décommissionner",TblApplications[Mois lib (calc)],"&lt;="&amp;$E42)))))</f>
        <v>480</v>
      </c>
      <c r="Z42" s="19">
        <f t="shared" si="9"/>
        <v>6</v>
      </c>
      <c r="AA42" s="73">
        <f t="shared" si="10"/>
        <v>7296</v>
      </c>
      <c r="AB42" s="19">
        <f t="shared" si="11"/>
        <v>6</v>
      </c>
      <c r="AC42" s="73">
        <f t="shared" si="12"/>
        <v>7296</v>
      </c>
      <c r="AD42" s="19">
        <f t="shared" si="13"/>
        <v>0</v>
      </c>
      <c r="AE42" s="19">
        <f t="shared" si="14"/>
        <v>0</v>
      </c>
      <c r="AF42" s="19" t="str">
        <f>IF($D42&lt;&gt;1,"",IF(INDEX(TblClusters[Environnement],$B42)="","(vide)",INDEX(TblClusters[Environnement],$B42)))</f>
        <v>NPRD</v>
      </c>
      <c r="AG42" s="19">
        <f t="shared" si="15"/>
        <v>240</v>
      </c>
      <c r="AH42" s="19">
        <f t="shared" si="16"/>
        <v>30.4</v>
      </c>
      <c r="AI42" s="19">
        <f>IF($D42&lt;&gt;1,"",IF(AND($G42="IKS",ISNUMBER(INDEX(TblClusters[Fermeture retenue],$B42))),IF($E42&gt;=INDEX(TblClusters[Fermeture retenue],$B42),1,0),0))</f>
        <v>0</v>
      </c>
    </row>
    <row r="43" spans="1:35" x14ac:dyDescent="0.2">
      <c r="A43" s="19">
        <v>38</v>
      </c>
      <c r="B43" s="19">
        <f t="shared" si="0"/>
        <v>2</v>
      </c>
      <c r="C43" s="19">
        <f t="shared" si="1"/>
        <v>2</v>
      </c>
      <c r="D43" s="19">
        <f>IF($C43&gt;p_horizon,0,IFERROR(IF(AND(INDEX(TblClusters[Cluster],$B43)&lt;&gt;"",ISNUMBER(INDEX(TblClusters[CPU initial (vCPU)],$B43)),ISNUMBER(INDEX(TblClusters[CPU min (vCPU)],$B43)),OR(INDEX(TblClusters[Plateforme],$B43)="IKS",INDEX(TblClusters[Plateforme],$B43)="ROKS")),1,0),0))</f>
        <v>1</v>
      </c>
      <c r="E43" s="72">
        <f t="shared" si="2"/>
        <v>46327</v>
      </c>
      <c r="F43" s="19" t="str">
        <f>IF($D43=1,INDEX(TblClusters[Cluster],$B43),"")</f>
        <v>oc002i000578</v>
      </c>
      <c r="G43" s="19" t="str">
        <f>IF($D43=1,INDEX(TblClusters[Plateforme],$B43),"")</f>
        <v>ROKS</v>
      </c>
      <c r="H43" s="19">
        <f>IF($D43=1,INDEX(TblClusters[vCPU par nœud],$B43),"")</f>
        <v>32</v>
      </c>
      <c r="I43" s="19">
        <f>IF($D43=1,INDEX(TblClusters[RAM par nœud (Go)],$B43),"")</f>
        <v>80</v>
      </c>
      <c r="J43" s="19">
        <f>IF($D43=1,INDEX(TblClusters[Workers min],$B43),"")</f>
        <v>6</v>
      </c>
      <c r="K43" s="73">
        <f>IF($D43=1,INDEX(TblClusters[Tarif par nœud],$B43),"")</f>
        <v>1216</v>
      </c>
      <c r="L43" s="19">
        <f>IF($D43=1,INDEX(TblClusters[CPU initial (vCPU)],$B43),"")</f>
        <v>192</v>
      </c>
      <c r="M43" s="19">
        <f>IF($D43=1,INDEX(TblClusters[RAM initiale (Go)],$B43),"")</f>
        <v>480</v>
      </c>
      <c r="N43" s="19">
        <f>IF($D43=1,INDEX(TblClusters[CPU min (vCPU)],$B43),"")</f>
        <v>192</v>
      </c>
      <c r="O43" s="19">
        <f>IF($D43=1,INDEX(TblClusters[RAM min (Go)],$B43),"")</f>
        <v>480</v>
      </c>
      <c r="P43" s="19">
        <f>IF($D43&lt;&gt;1,"",IF($G43="ROKS",SUMIFS(TblApplications[Besoin ROKS CPU (vCPU)],TblApplications[Cluster ROKS cible],$F43,TblApplications[Action],"À migrer",TblApplications[Déjà incluse ROKS],"Non",TblApplications[Mois prov (calc)],"&lt;="&amp;$E43),SUMIFS(TblApplications[CPU IKS libérable (vCPU)],TblApplications[Cluster IKS source],$F43,TblApplications[Mois lib (calc)],"&lt;="&amp;$E43)))</f>
        <v>0</v>
      </c>
      <c r="Q43" s="19">
        <f>IF($D43&lt;&gt;1,"",IF($G43="ROKS",SUMIFS(TblApplications[Besoin ROKS RAM (Go)],TblApplications[Cluster ROKS cible],$F43,TblApplications[Action],"À migrer",TblApplications[Déjà incluse ROKS],"Non",TblApplications[Mois prov (calc)],"&lt;="&amp;$E43),SUMIFS(TblApplications[RAM IKS libérable (Go)],TblApplications[Cluster IKS source],$F43,TblApplications[Mois lib (calc)],"&lt;="&amp;$E43)))</f>
        <v>0</v>
      </c>
      <c r="R43" s="19">
        <f t="shared" si="3"/>
        <v>192</v>
      </c>
      <c r="S43" s="19">
        <f t="shared" si="4"/>
        <v>480</v>
      </c>
      <c r="T43" s="19">
        <f t="shared" si="5"/>
        <v>6</v>
      </c>
      <c r="U43" s="19">
        <f t="shared" si="6"/>
        <v>192</v>
      </c>
      <c r="V43" s="19">
        <f t="shared" si="7"/>
        <v>480</v>
      </c>
      <c r="W43" s="73">
        <f t="shared" si="8"/>
        <v>7296</v>
      </c>
      <c r="X43" s="19">
        <f>IF($D43&lt;&gt;1,"",IF($G43="ROKS",$R43,IF($AI43=1,0,MAX($N43,$L43-SUMIFS(TblApplications[CPU IKS libérable (vCPU)],TblApplications[Cluster IKS source],$F43,TblApplications[Action],"À migrer",TblApplications[Mois prov (calc)],"&lt;="&amp;$E43)-SUMIFS(TblApplications[CPU IKS libérable (vCPU)],TblApplications[Cluster IKS source],$F43,TblApplications[Action],"À décommissionner",TblApplications[Mois lib (calc)],"&lt;="&amp;$E43)))))</f>
        <v>192</v>
      </c>
      <c r="Y43" s="19">
        <f>IF($D43&lt;&gt;1,"",IF($G43="ROKS",$S43,IF($AI43=1,0,MAX($O43,$M43-SUMIFS(TblApplications[RAM IKS libérable (Go)],TblApplications[Cluster IKS source],$F43,TblApplications[Action],"À migrer",TblApplications[Mois prov (calc)],"&lt;="&amp;$E43)-SUMIFS(TblApplications[RAM IKS libérable (Go)],TblApplications[Cluster IKS source],$F43,TblApplications[Action],"À décommissionner",TblApplications[Mois lib (calc)],"&lt;="&amp;$E43)))))</f>
        <v>480</v>
      </c>
      <c r="Z43" s="19">
        <f t="shared" si="9"/>
        <v>6</v>
      </c>
      <c r="AA43" s="73">
        <f t="shared" si="10"/>
        <v>7296</v>
      </c>
      <c r="AB43" s="19">
        <f t="shared" si="11"/>
        <v>6</v>
      </c>
      <c r="AC43" s="73">
        <f t="shared" si="12"/>
        <v>7296</v>
      </c>
      <c r="AD43" s="19">
        <f t="shared" si="13"/>
        <v>0</v>
      </c>
      <c r="AE43" s="19">
        <f t="shared" si="14"/>
        <v>0</v>
      </c>
      <c r="AF43" s="19" t="str">
        <f>IF($D43&lt;&gt;1,"",IF(INDEX(TblClusters[Environnement],$B43)="","(vide)",INDEX(TblClusters[Environnement],$B43)))</f>
        <v>NPRD</v>
      </c>
      <c r="AG43" s="19">
        <f t="shared" si="15"/>
        <v>240</v>
      </c>
      <c r="AH43" s="19">
        <f t="shared" si="16"/>
        <v>30.4</v>
      </c>
      <c r="AI43" s="19">
        <f>IF($D43&lt;&gt;1,"",IF(AND($G43="IKS",ISNUMBER(INDEX(TblClusters[Fermeture retenue],$B43))),IF($E43&gt;=INDEX(TblClusters[Fermeture retenue],$B43),1,0),0))</f>
        <v>0</v>
      </c>
    </row>
    <row r="44" spans="1:35" x14ac:dyDescent="0.2">
      <c r="A44" s="19">
        <v>39</v>
      </c>
      <c r="B44" s="19">
        <f t="shared" si="0"/>
        <v>2</v>
      </c>
      <c r="C44" s="19">
        <f t="shared" si="1"/>
        <v>3</v>
      </c>
      <c r="D44" s="19">
        <f>IF($C44&gt;p_horizon,0,IFERROR(IF(AND(INDEX(TblClusters[Cluster],$B44)&lt;&gt;"",ISNUMBER(INDEX(TblClusters[CPU initial (vCPU)],$B44)),ISNUMBER(INDEX(TblClusters[CPU min (vCPU)],$B44)),OR(INDEX(TblClusters[Plateforme],$B44)="IKS",INDEX(TblClusters[Plateforme],$B44)="ROKS")),1,0),0))</f>
        <v>1</v>
      </c>
      <c r="E44" s="72">
        <f t="shared" si="2"/>
        <v>46357</v>
      </c>
      <c r="F44" s="19" t="str">
        <f>IF($D44=1,INDEX(TblClusters[Cluster],$B44),"")</f>
        <v>oc002i000578</v>
      </c>
      <c r="G44" s="19" t="str">
        <f>IF($D44=1,INDEX(TblClusters[Plateforme],$B44),"")</f>
        <v>ROKS</v>
      </c>
      <c r="H44" s="19">
        <f>IF($D44=1,INDEX(TblClusters[vCPU par nœud],$B44),"")</f>
        <v>32</v>
      </c>
      <c r="I44" s="19">
        <f>IF($D44=1,INDEX(TblClusters[RAM par nœud (Go)],$B44),"")</f>
        <v>80</v>
      </c>
      <c r="J44" s="19">
        <f>IF($D44=1,INDEX(TblClusters[Workers min],$B44),"")</f>
        <v>6</v>
      </c>
      <c r="K44" s="73">
        <f>IF($D44=1,INDEX(TblClusters[Tarif par nœud],$B44),"")</f>
        <v>1216</v>
      </c>
      <c r="L44" s="19">
        <f>IF($D44=1,INDEX(TblClusters[CPU initial (vCPU)],$B44),"")</f>
        <v>192</v>
      </c>
      <c r="M44" s="19">
        <f>IF($D44=1,INDEX(TblClusters[RAM initiale (Go)],$B44),"")</f>
        <v>480</v>
      </c>
      <c r="N44" s="19">
        <f>IF($D44=1,INDEX(TblClusters[CPU min (vCPU)],$B44),"")</f>
        <v>192</v>
      </c>
      <c r="O44" s="19">
        <f>IF($D44=1,INDEX(TblClusters[RAM min (Go)],$B44),"")</f>
        <v>480</v>
      </c>
      <c r="P44" s="19">
        <f>IF($D44&lt;&gt;1,"",IF($G44="ROKS",SUMIFS(TblApplications[Besoin ROKS CPU (vCPU)],TblApplications[Cluster ROKS cible],$F44,TblApplications[Action],"À migrer",TblApplications[Déjà incluse ROKS],"Non",TblApplications[Mois prov (calc)],"&lt;="&amp;$E44),SUMIFS(TblApplications[CPU IKS libérable (vCPU)],TblApplications[Cluster IKS source],$F44,TblApplications[Mois lib (calc)],"&lt;="&amp;$E44)))</f>
        <v>0</v>
      </c>
      <c r="Q44" s="19">
        <f>IF($D44&lt;&gt;1,"",IF($G44="ROKS",SUMIFS(TblApplications[Besoin ROKS RAM (Go)],TblApplications[Cluster ROKS cible],$F44,TblApplications[Action],"À migrer",TblApplications[Déjà incluse ROKS],"Non",TblApplications[Mois prov (calc)],"&lt;="&amp;$E44),SUMIFS(TblApplications[RAM IKS libérable (Go)],TblApplications[Cluster IKS source],$F44,TblApplications[Mois lib (calc)],"&lt;="&amp;$E44)))</f>
        <v>0</v>
      </c>
      <c r="R44" s="19">
        <f t="shared" si="3"/>
        <v>192</v>
      </c>
      <c r="S44" s="19">
        <f t="shared" si="4"/>
        <v>480</v>
      </c>
      <c r="T44" s="19">
        <f t="shared" si="5"/>
        <v>6</v>
      </c>
      <c r="U44" s="19">
        <f t="shared" si="6"/>
        <v>192</v>
      </c>
      <c r="V44" s="19">
        <f t="shared" si="7"/>
        <v>480</v>
      </c>
      <c r="W44" s="73">
        <f t="shared" si="8"/>
        <v>7296</v>
      </c>
      <c r="X44" s="19">
        <f>IF($D44&lt;&gt;1,"",IF($G44="ROKS",$R44,IF($AI44=1,0,MAX($N44,$L44-SUMIFS(TblApplications[CPU IKS libérable (vCPU)],TblApplications[Cluster IKS source],$F44,TblApplications[Action],"À migrer",TblApplications[Mois prov (calc)],"&lt;="&amp;$E44)-SUMIFS(TblApplications[CPU IKS libérable (vCPU)],TblApplications[Cluster IKS source],$F44,TblApplications[Action],"À décommissionner",TblApplications[Mois lib (calc)],"&lt;="&amp;$E44)))))</f>
        <v>192</v>
      </c>
      <c r="Y44" s="19">
        <f>IF($D44&lt;&gt;1,"",IF($G44="ROKS",$S44,IF($AI44=1,0,MAX($O44,$M44-SUMIFS(TblApplications[RAM IKS libérable (Go)],TblApplications[Cluster IKS source],$F44,TblApplications[Action],"À migrer",TblApplications[Mois prov (calc)],"&lt;="&amp;$E44)-SUMIFS(TblApplications[RAM IKS libérable (Go)],TblApplications[Cluster IKS source],$F44,TblApplications[Action],"À décommissionner",TblApplications[Mois lib (calc)],"&lt;="&amp;$E44)))))</f>
        <v>480</v>
      </c>
      <c r="Z44" s="19">
        <f t="shared" si="9"/>
        <v>6</v>
      </c>
      <c r="AA44" s="73">
        <f t="shared" si="10"/>
        <v>7296</v>
      </c>
      <c r="AB44" s="19">
        <f t="shared" si="11"/>
        <v>6</v>
      </c>
      <c r="AC44" s="73">
        <f t="shared" si="12"/>
        <v>7296</v>
      </c>
      <c r="AD44" s="19">
        <f t="shared" si="13"/>
        <v>0</v>
      </c>
      <c r="AE44" s="19">
        <f t="shared" si="14"/>
        <v>0</v>
      </c>
      <c r="AF44" s="19" t="str">
        <f>IF($D44&lt;&gt;1,"",IF(INDEX(TblClusters[Environnement],$B44)="","(vide)",INDEX(TblClusters[Environnement],$B44)))</f>
        <v>NPRD</v>
      </c>
      <c r="AG44" s="19">
        <f t="shared" si="15"/>
        <v>240</v>
      </c>
      <c r="AH44" s="19">
        <f t="shared" si="16"/>
        <v>30.4</v>
      </c>
      <c r="AI44" s="19">
        <f>IF($D44&lt;&gt;1,"",IF(AND($G44="IKS",ISNUMBER(INDEX(TblClusters[Fermeture retenue],$B44))),IF($E44&gt;=INDEX(TblClusters[Fermeture retenue],$B44),1,0),0))</f>
        <v>0</v>
      </c>
    </row>
    <row r="45" spans="1:35" x14ac:dyDescent="0.2">
      <c r="A45" s="19">
        <v>40</v>
      </c>
      <c r="B45" s="19">
        <f t="shared" si="0"/>
        <v>2</v>
      </c>
      <c r="C45" s="19">
        <f t="shared" si="1"/>
        <v>4</v>
      </c>
      <c r="D45" s="19">
        <f>IF($C45&gt;p_horizon,0,IFERROR(IF(AND(INDEX(TblClusters[Cluster],$B45)&lt;&gt;"",ISNUMBER(INDEX(TblClusters[CPU initial (vCPU)],$B45)),ISNUMBER(INDEX(TblClusters[CPU min (vCPU)],$B45)),OR(INDEX(TblClusters[Plateforme],$B45)="IKS",INDEX(TblClusters[Plateforme],$B45)="ROKS")),1,0),0))</f>
        <v>1</v>
      </c>
      <c r="E45" s="72">
        <f t="shared" si="2"/>
        <v>46388</v>
      </c>
      <c r="F45" s="19" t="str">
        <f>IF($D45=1,INDEX(TblClusters[Cluster],$B45),"")</f>
        <v>oc002i000578</v>
      </c>
      <c r="G45" s="19" t="str">
        <f>IF($D45=1,INDEX(TblClusters[Plateforme],$B45),"")</f>
        <v>ROKS</v>
      </c>
      <c r="H45" s="19">
        <f>IF($D45=1,INDEX(TblClusters[vCPU par nœud],$B45),"")</f>
        <v>32</v>
      </c>
      <c r="I45" s="19">
        <f>IF($D45=1,INDEX(TblClusters[RAM par nœud (Go)],$B45),"")</f>
        <v>80</v>
      </c>
      <c r="J45" s="19">
        <f>IF($D45=1,INDEX(TblClusters[Workers min],$B45),"")</f>
        <v>6</v>
      </c>
      <c r="K45" s="73">
        <f>IF($D45=1,INDEX(TblClusters[Tarif par nœud],$B45),"")</f>
        <v>1216</v>
      </c>
      <c r="L45" s="19">
        <f>IF($D45=1,INDEX(TblClusters[CPU initial (vCPU)],$B45),"")</f>
        <v>192</v>
      </c>
      <c r="M45" s="19">
        <f>IF($D45=1,INDEX(TblClusters[RAM initiale (Go)],$B45),"")</f>
        <v>480</v>
      </c>
      <c r="N45" s="19">
        <f>IF($D45=1,INDEX(TblClusters[CPU min (vCPU)],$B45),"")</f>
        <v>192</v>
      </c>
      <c r="O45" s="19">
        <f>IF($D45=1,INDEX(TblClusters[RAM min (Go)],$B45),"")</f>
        <v>480</v>
      </c>
      <c r="P45" s="19">
        <f>IF($D45&lt;&gt;1,"",IF($G45="ROKS",SUMIFS(TblApplications[Besoin ROKS CPU (vCPU)],TblApplications[Cluster ROKS cible],$F45,TblApplications[Action],"À migrer",TblApplications[Déjà incluse ROKS],"Non",TblApplications[Mois prov (calc)],"&lt;="&amp;$E45),SUMIFS(TblApplications[CPU IKS libérable (vCPU)],TblApplications[Cluster IKS source],$F45,TblApplications[Mois lib (calc)],"&lt;="&amp;$E45)))</f>
        <v>0</v>
      </c>
      <c r="Q45" s="19">
        <f>IF($D45&lt;&gt;1,"",IF($G45="ROKS",SUMIFS(TblApplications[Besoin ROKS RAM (Go)],TblApplications[Cluster ROKS cible],$F45,TblApplications[Action],"À migrer",TblApplications[Déjà incluse ROKS],"Non",TblApplications[Mois prov (calc)],"&lt;="&amp;$E45),SUMIFS(TblApplications[RAM IKS libérable (Go)],TblApplications[Cluster IKS source],$F45,TblApplications[Mois lib (calc)],"&lt;="&amp;$E45)))</f>
        <v>0</v>
      </c>
      <c r="R45" s="19">
        <f t="shared" si="3"/>
        <v>192</v>
      </c>
      <c r="S45" s="19">
        <f t="shared" si="4"/>
        <v>480</v>
      </c>
      <c r="T45" s="19">
        <f t="shared" si="5"/>
        <v>6</v>
      </c>
      <c r="U45" s="19">
        <f t="shared" si="6"/>
        <v>192</v>
      </c>
      <c r="V45" s="19">
        <f t="shared" si="7"/>
        <v>480</v>
      </c>
      <c r="W45" s="73">
        <f t="shared" si="8"/>
        <v>7296</v>
      </c>
      <c r="X45" s="19">
        <f>IF($D45&lt;&gt;1,"",IF($G45="ROKS",$R45,IF($AI45=1,0,MAX($N45,$L45-SUMIFS(TblApplications[CPU IKS libérable (vCPU)],TblApplications[Cluster IKS source],$F45,TblApplications[Action],"À migrer",TblApplications[Mois prov (calc)],"&lt;="&amp;$E45)-SUMIFS(TblApplications[CPU IKS libérable (vCPU)],TblApplications[Cluster IKS source],$F45,TblApplications[Action],"À décommissionner",TblApplications[Mois lib (calc)],"&lt;="&amp;$E45)))))</f>
        <v>192</v>
      </c>
      <c r="Y45" s="19">
        <f>IF($D45&lt;&gt;1,"",IF($G45="ROKS",$S45,IF($AI45=1,0,MAX($O45,$M45-SUMIFS(TblApplications[RAM IKS libérable (Go)],TblApplications[Cluster IKS source],$F45,TblApplications[Action],"À migrer",TblApplications[Mois prov (calc)],"&lt;="&amp;$E45)-SUMIFS(TblApplications[RAM IKS libérable (Go)],TblApplications[Cluster IKS source],$F45,TblApplications[Action],"À décommissionner",TblApplications[Mois lib (calc)],"&lt;="&amp;$E45)))))</f>
        <v>480</v>
      </c>
      <c r="Z45" s="19">
        <f t="shared" si="9"/>
        <v>6</v>
      </c>
      <c r="AA45" s="73">
        <f t="shared" si="10"/>
        <v>7296</v>
      </c>
      <c r="AB45" s="19">
        <f t="shared" si="11"/>
        <v>6</v>
      </c>
      <c r="AC45" s="73">
        <f t="shared" si="12"/>
        <v>7296</v>
      </c>
      <c r="AD45" s="19">
        <f t="shared" si="13"/>
        <v>0</v>
      </c>
      <c r="AE45" s="19">
        <f t="shared" si="14"/>
        <v>0</v>
      </c>
      <c r="AF45" s="19" t="str">
        <f>IF($D45&lt;&gt;1,"",IF(INDEX(TblClusters[Environnement],$B45)="","(vide)",INDEX(TblClusters[Environnement],$B45)))</f>
        <v>NPRD</v>
      </c>
      <c r="AG45" s="19">
        <f t="shared" si="15"/>
        <v>240</v>
      </c>
      <c r="AH45" s="19">
        <f t="shared" si="16"/>
        <v>30.4</v>
      </c>
      <c r="AI45" s="19">
        <f>IF($D45&lt;&gt;1,"",IF(AND($G45="IKS",ISNUMBER(INDEX(TblClusters[Fermeture retenue],$B45))),IF($E45&gt;=INDEX(TblClusters[Fermeture retenue],$B45),1,0),0))</f>
        <v>0</v>
      </c>
    </row>
    <row r="46" spans="1:35" x14ac:dyDescent="0.2">
      <c r="A46" s="19">
        <v>41</v>
      </c>
      <c r="B46" s="19">
        <f t="shared" si="0"/>
        <v>2</v>
      </c>
      <c r="C46" s="19">
        <f t="shared" si="1"/>
        <v>5</v>
      </c>
      <c r="D46" s="19">
        <f>IF($C46&gt;p_horizon,0,IFERROR(IF(AND(INDEX(TblClusters[Cluster],$B46)&lt;&gt;"",ISNUMBER(INDEX(TblClusters[CPU initial (vCPU)],$B46)),ISNUMBER(INDEX(TblClusters[CPU min (vCPU)],$B46)),OR(INDEX(TblClusters[Plateforme],$B46)="IKS",INDEX(TblClusters[Plateforme],$B46)="ROKS")),1,0),0))</f>
        <v>1</v>
      </c>
      <c r="E46" s="72">
        <f t="shared" si="2"/>
        <v>46419</v>
      </c>
      <c r="F46" s="19" t="str">
        <f>IF($D46=1,INDEX(TblClusters[Cluster],$B46),"")</f>
        <v>oc002i000578</v>
      </c>
      <c r="G46" s="19" t="str">
        <f>IF($D46=1,INDEX(TblClusters[Plateforme],$B46),"")</f>
        <v>ROKS</v>
      </c>
      <c r="H46" s="19">
        <f>IF($D46=1,INDEX(TblClusters[vCPU par nœud],$B46),"")</f>
        <v>32</v>
      </c>
      <c r="I46" s="19">
        <f>IF($D46=1,INDEX(TblClusters[RAM par nœud (Go)],$B46),"")</f>
        <v>80</v>
      </c>
      <c r="J46" s="19">
        <f>IF($D46=1,INDEX(TblClusters[Workers min],$B46),"")</f>
        <v>6</v>
      </c>
      <c r="K46" s="73">
        <f>IF($D46=1,INDEX(TblClusters[Tarif par nœud],$B46),"")</f>
        <v>1216</v>
      </c>
      <c r="L46" s="19">
        <f>IF($D46=1,INDEX(TblClusters[CPU initial (vCPU)],$B46),"")</f>
        <v>192</v>
      </c>
      <c r="M46" s="19">
        <f>IF($D46=1,INDEX(TblClusters[RAM initiale (Go)],$B46),"")</f>
        <v>480</v>
      </c>
      <c r="N46" s="19">
        <f>IF($D46=1,INDEX(TblClusters[CPU min (vCPU)],$B46),"")</f>
        <v>192</v>
      </c>
      <c r="O46" s="19">
        <f>IF($D46=1,INDEX(TblClusters[RAM min (Go)],$B46),"")</f>
        <v>480</v>
      </c>
      <c r="P46" s="19">
        <f>IF($D46&lt;&gt;1,"",IF($G46="ROKS",SUMIFS(TblApplications[Besoin ROKS CPU (vCPU)],TblApplications[Cluster ROKS cible],$F46,TblApplications[Action],"À migrer",TblApplications[Déjà incluse ROKS],"Non",TblApplications[Mois prov (calc)],"&lt;="&amp;$E46),SUMIFS(TblApplications[CPU IKS libérable (vCPU)],TblApplications[Cluster IKS source],$F46,TblApplications[Mois lib (calc)],"&lt;="&amp;$E46)))</f>
        <v>0</v>
      </c>
      <c r="Q46" s="19">
        <f>IF($D46&lt;&gt;1,"",IF($G46="ROKS",SUMIFS(TblApplications[Besoin ROKS RAM (Go)],TblApplications[Cluster ROKS cible],$F46,TblApplications[Action],"À migrer",TblApplications[Déjà incluse ROKS],"Non",TblApplications[Mois prov (calc)],"&lt;="&amp;$E46),SUMIFS(TblApplications[RAM IKS libérable (Go)],TblApplications[Cluster IKS source],$F46,TblApplications[Mois lib (calc)],"&lt;="&amp;$E46)))</f>
        <v>0</v>
      </c>
      <c r="R46" s="19">
        <f t="shared" si="3"/>
        <v>192</v>
      </c>
      <c r="S46" s="19">
        <f t="shared" si="4"/>
        <v>480</v>
      </c>
      <c r="T46" s="19">
        <f t="shared" si="5"/>
        <v>6</v>
      </c>
      <c r="U46" s="19">
        <f t="shared" si="6"/>
        <v>192</v>
      </c>
      <c r="V46" s="19">
        <f t="shared" si="7"/>
        <v>480</v>
      </c>
      <c r="W46" s="73">
        <f t="shared" si="8"/>
        <v>7296</v>
      </c>
      <c r="X46" s="19">
        <f>IF($D46&lt;&gt;1,"",IF($G46="ROKS",$R46,IF($AI46=1,0,MAX($N46,$L46-SUMIFS(TblApplications[CPU IKS libérable (vCPU)],TblApplications[Cluster IKS source],$F46,TblApplications[Action],"À migrer",TblApplications[Mois prov (calc)],"&lt;="&amp;$E46)-SUMIFS(TblApplications[CPU IKS libérable (vCPU)],TblApplications[Cluster IKS source],$F46,TblApplications[Action],"À décommissionner",TblApplications[Mois lib (calc)],"&lt;="&amp;$E46)))))</f>
        <v>192</v>
      </c>
      <c r="Y46" s="19">
        <f>IF($D46&lt;&gt;1,"",IF($G46="ROKS",$S46,IF($AI46=1,0,MAX($O46,$M46-SUMIFS(TblApplications[RAM IKS libérable (Go)],TblApplications[Cluster IKS source],$F46,TblApplications[Action],"À migrer",TblApplications[Mois prov (calc)],"&lt;="&amp;$E46)-SUMIFS(TblApplications[RAM IKS libérable (Go)],TblApplications[Cluster IKS source],$F46,TblApplications[Action],"À décommissionner",TblApplications[Mois lib (calc)],"&lt;="&amp;$E46)))))</f>
        <v>480</v>
      </c>
      <c r="Z46" s="19">
        <f t="shared" si="9"/>
        <v>6</v>
      </c>
      <c r="AA46" s="73">
        <f t="shared" si="10"/>
        <v>7296</v>
      </c>
      <c r="AB46" s="19">
        <f t="shared" si="11"/>
        <v>6</v>
      </c>
      <c r="AC46" s="73">
        <f t="shared" si="12"/>
        <v>7296</v>
      </c>
      <c r="AD46" s="19">
        <f t="shared" si="13"/>
        <v>0</v>
      </c>
      <c r="AE46" s="19">
        <f t="shared" si="14"/>
        <v>0</v>
      </c>
      <c r="AF46" s="19" t="str">
        <f>IF($D46&lt;&gt;1,"",IF(INDEX(TblClusters[Environnement],$B46)="","(vide)",INDEX(TblClusters[Environnement],$B46)))</f>
        <v>NPRD</v>
      </c>
      <c r="AG46" s="19">
        <f t="shared" si="15"/>
        <v>240</v>
      </c>
      <c r="AH46" s="19">
        <f t="shared" si="16"/>
        <v>30.4</v>
      </c>
      <c r="AI46" s="19">
        <f>IF($D46&lt;&gt;1,"",IF(AND($G46="IKS",ISNUMBER(INDEX(TblClusters[Fermeture retenue],$B46))),IF($E46&gt;=INDEX(TblClusters[Fermeture retenue],$B46),1,0),0))</f>
        <v>0</v>
      </c>
    </row>
    <row r="47" spans="1:35" x14ac:dyDescent="0.2">
      <c r="A47" s="19">
        <v>42</v>
      </c>
      <c r="B47" s="19">
        <f t="shared" si="0"/>
        <v>2</v>
      </c>
      <c r="C47" s="19">
        <f t="shared" si="1"/>
        <v>6</v>
      </c>
      <c r="D47" s="19">
        <f>IF($C47&gt;p_horizon,0,IFERROR(IF(AND(INDEX(TblClusters[Cluster],$B47)&lt;&gt;"",ISNUMBER(INDEX(TblClusters[CPU initial (vCPU)],$B47)),ISNUMBER(INDEX(TblClusters[CPU min (vCPU)],$B47)),OR(INDEX(TblClusters[Plateforme],$B47)="IKS",INDEX(TblClusters[Plateforme],$B47)="ROKS")),1,0),0))</f>
        <v>1</v>
      </c>
      <c r="E47" s="72">
        <f t="shared" si="2"/>
        <v>46447</v>
      </c>
      <c r="F47" s="19" t="str">
        <f>IF($D47=1,INDEX(TblClusters[Cluster],$B47),"")</f>
        <v>oc002i000578</v>
      </c>
      <c r="G47" s="19" t="str">
        <f>IF($D47=1,INDEX(TblClusters[Plateforme],$B47),"")</f>
        <v>ROKS</v>
      </c>
      <c r="H47" s="19">
        <f>IF($D47=1,INDEX(TblClusters[vCPU par nœud],$B47),"")</f>
        <v>32</v>
      </c>
      <c r="I47" s="19">
        <f>IF($D47=1,INDEX(TblClusters[RAM par nœud (Go)],$B47),"")</f>
        <v>80</v>
      </c>
      <c r="J47" s="19">
        <f>IF($D47=1,INDEX(TblClusters[Workers min],$B47),"")</f>
        <v>6</v>
      </c>
      <c r="K47" s="73">
        <f>IF($D47=1,INDEX(TblClusters[Tarif par nœud],$B47),"")</f>
        <v>1216</v>
      </c>
      <c r="L47" s="19">
        <f>IF($D47=1,INDEX(TblClusters[CPU initial (vCPU)],$B47),"")</f>
        <v>192</v>
      </c>
      <c r="M47" s="19">
        <f>IF($D47=1,INDEX(TblClusters[RAM initiale (Go)],$B47),"")</f>
        <v>480</v>
      </c>
      <c r="N47" s="19">
        <f>IF($D47=1,INDEX(TblClusters[CPU min (vCPU)],$B47),"")</f>
        <v>192</v>
      </c>
      <c r="O47" s="19">
        <f>IF($D47=1,INDEX(TblClusters[RAM min (Go)],$B47),"")</f>
        <v>480</v>
      </c>
      <c r="P47" s="19">
        <f>IF($D47&lt;&gt;1,"",IF($G47="ROKS",SUMIFS(TblApplications[Besoin ROKS CPU (vCPU)],TblApplications[Cluster ROKS cible],$F47,TblApplications[Action],"À migrer",TblApplications[Déjà incluse ROKS],"Non",TblApplications[Mois prov (calc)],"&lt;="&amp;$E47),SUMIFS(TblApplications[CPU IKS libérable (vCPU)],TblApplications[Cluster IKS source],$F47,TblApplications[Mois lib (calc)],"&lt;="&amp;$E47)))</f>
        <v>0</v>
      </c>
      <c r="Q47" s="19">
        <f>IF($D47&lt;&gt;1,"",IF($G47="ROKS",SUMIFS(TblApplications[Besoin ROKS RAM (Go)],TblApplications[Cluster ROKS cible],$F47,TblApplications[Action],"À migrer",TblApplications[Déjà incluse ROKS],"Non",TblApplications[Mois prov (calc)],"&lt;="&amp;$E47),SUMIFS(TblApplications[RAM IKS libérable (Go)],TblApplications[Cluster IKS source],$F47,TblApplications[Mois lib (calc)],"&lt;="&amp;$E47)))</f>
        <v>0</v>
      </c>
      <c r="R47" s="19">
        <f t="shared" si="3"/>
        <v>192</v>
      </c>
      <c r="S47" s="19">
        <f t="shared" si="4"/>
        <v>480</v>
      </c>
      <c r="T47" s="19">
        <f t="shared" si="5"/>
        <v>6</v>
      </c>
      <c r="U47" s="19">
        <f t="shared" si="6"/>
        <v>192</v>
      </c>
      <c r="V47" s="19">
        <f t="shared" si="7"/>
        <v>480</v>
      </c>
      <c r="W47" s="73">
        <f t="shared" si="8"/>
        <v>7296</v>
      </c>
      <c r="X47" s="19">
        <f>IF($D47&lt;&gt;1,"",IF($G47="ROKS",$R47,IF($AI47=1,0,MAX($N47,$L47-SUMIFS(TblApplications[CPU IKS libérable (vCPU)],TblApplications[Cluster IKS source],$F47,TblApplications[Action],"À migrer",TblApplications[Mois prov (calc)],"&lt;="&amp;$E47)-SUMIFS(TblApplications[CPU IKS libérable (vCPU)],TblApplications[Cluster IKS source],$F47,TblApplications[Action],"À décommissionner",TblApplications[Mois lib (calc)],"&lt;="&amp;$E47)))))</f>
        <v>192</v>
      </c>
      <c r="Y47" s="19">
        <f>IF($D47&lt;&gt;1,"",IF($G47="ROKS",$S47,IF($AI47=1,0,MAX($O47,$M47-SUMIFS(TblApplications[RAM IKS libérable (Go)],TblApplications[Cluster IKS source],$F47,TblApplications[Action],"À migrer",TblApplications[Mois prov (calc)],"&lt;="&amp;$E47)-SUMIFS(TblApplications[RAM IKS libérable (Go)],TblApplications[Cluster IKS source],$F47,TblApplications[Action],"À décommissionner",TblApplications[Mois lib (calc)],"&lt;="&amp;$E47)))))</f>
        <v>480</v>
      </c>
      <c r="Z47" s="19">
        <f t="shared" si="9"/>
        <v>6</v>
      </c>
      <c r="AA47" s="73">
        <f t="shared" si="10"/>
        <v>7296</v>
      </c>
      <c r="AB47" s="19">
        <f t="shared" si="11"/>
        <v>6</v>
      </c>
      <c r="AC47" s="73">
        <f t="shared" si="12"/>
        <v>7296</v>
      </c>
      <c r="AD47" s="19">
        <f t="shared" si="13"/>
        <v>0</v>
      </c>
      <c r="AE47" s="19">
        <f t="shared" si="14"/>
        <v>0</v>
      </c>
      <c r="AF47" s="19" t="str">
        <f>IF($D47&lt;&gt;1,"",IF(INDEX(TblClusters[Environnement],$B47)="","(vide)",INDEX(TblClusters[Environnement],$B47)))</f>
        <v>NPRD</v>
      </c>
      <c r="AG47" s="19">
        <f t="shared" si="15"/>
        <v>240</v>
      </c>
      <c r="AH47" s="19">
        <f t="shared" si="16"/>
        <v>30.4</v>
      </c>
      <c r="AI47" s="19">
        <f>IF($D47&lt;&gt;1,"",IF(AND($G47="IKS",ISNUMBER(INDEX(TblClusters[Fermeture retenue],$B47))),IF($E47&gt;=INDEX(TblClusters[Fermeture retenue],$B47),1,0),0))</f>
        <v>0</v>
      </c>
    </row>
    <row r="48" spans="1:35" x14ac:dyDescent="0.2">
      <c r="A48" s="19">
        <v>43</v>
      </c>
      <c r="B48" s="19">
        <f t="shared" si="0"/>
        <v>2</v>
      </c>
      <c r="C48" s="19">
        <f t="shared" si="1"/>
        <v>7</v>
      </c>
      <c r="D48" s="19">
        <f>IF($C48&gt;p_horizon,0,IFERROR(IF(AND(INDEX(TblClusters[Cluster],$B48)&lt;&gt;"",ISNUMBER(INDEX(TblClusters[CPU initial (vCPU)],$B48)),ISNUMBER(INDEX(TblClusters[CPU min (vCPU)],$B48)),OR(INDEX(TblClusters[Plateforme],$B48)="IKS",INDEX(TblClusters[Plateforme],$B48)="ROKS")),1,0),0))</f>
        <v>1</v>
      </c>
      <c r="E48" s="72">
        <f t="shared" si="2"/>
        <v>46478</v>
      </c>
      <c r="F48" s="19" t="str">
        <f>IF($D48=1,INDEX(TblClusters[Cluster],$B48),"")</f>
        <v>oc002i000578</v>
      </c>
      <c r="G48" s="19" t="str">
        <f>IF($D48=1,INDEX(TblClusters[Plateforme],$B48),"")</f>
        <v>ROKS</v>
      </c>
      <c r="H48" s="19">
        <f>IF($D48=1,INDEX(TblClusters[vCPU par nœud],$B48),"")</f>
        <v>32</v>
      </c>
      <c r="I48" s="19">
        <f>IF($D48=1,INDEX(TblClusters[RAM par nœud (Go)],$B48),"")</f>
        <v>80</v>
      </c>
      <c r="J48" s="19">
        <f>IF($D48=1,INDEX(TblClusters[Workers min],$B48),"")</f>
        <v>6</v>
      </c>
      <c r="K48" s="73">
        <f>IF($D48=1,INDEX(TblClusters[Tarif par nœud],$B48),"")</f>
        <v>1216</v>
      </c>
      <c r="L48" s="19">
        <f>IF($D48=1,INDEX(TblClusters[CPU initial (vCPU)],$B48),"")</f>
        <v>192</v>
      </c>
      <c r="M48" s="19">
        <f>IF($D48=1,INDEX(TblClusters[RAM initiale (Go)],$B48),"")</f>
        <v>480</v>
      </c>
      <c r="N48" s="19">
        <f>IF($D48=1,INDEX(TblClusters[CPU min (vCPU)],$B48),"")</f>
        <v>192</v>
      </c>
      <c r="O48" s="19">
        <f>IF($D48=1,INDEX(TblClusters[RAM min (Go)],$B48),"")</f>
        <v>480</v>
      </c>
      <c r="P48" s="19">
        <f>IF($D48&lt;&gt;1,"",IF($G48="ROKS",SUMIFS(TblApplications[Besoin ROKS CPU (vCPU)],TblApplications[Cluster ROKS cible],$F48,TblApplications[Action],"À migrer",TblApplications[Déjà incluse ROKS],"Non",TblApplications[Mois prov (calc)],"&lt;="&amp;$E48),SUMIFS(TblApplications[CPU IKS libérable (vCPU)],TblApplications[Cluster IKS source],$F48,TblApplications[Mois lib (calc)],"&lt;="&amp;$E48)))</f>
        <v>0</v>
      </c>
      <c r="Q48" s="19">
        <f>IF($D48&lt;&gt;1,"",IF($G48="ROKS",SUMIFS(TblApplications[Besoin ROKS RAM (Go)],TblApplications[Cluster ROKS cible],$F48,TblApplications[Action],"À migrer",TblApplications[Déjà incluse ROKS],"Non",TblApplications[Mois prov (calc)],"&lt;="&amp;$E48),SUMIFS(TblApplications[RAM IKS libérable (Go)],TblApplications[Cluster IKS source],$F48,TblApplications[Mois lib (calc)],"&lt;="&amp;$E48)))</f>
        <v>0</v>
      </c>
      <c r="R48" s="19">
        <f t="shared" si="3"/>
        <v>192</v>
      </c>
      <c r="S48" s="19">
        <f t="shared" si="4"/>
        <v>480</v>
      </c>
      <c r="T48" s="19">
        <f t="shared" si="5"/>
        <v>6</v>
      </c>
      <c r="U48" s="19">
        <f t="shared" si="6"/>
        <v>192</v>
      </c>
      <c r="V48" s="19">
        <f t="shared" si="7"/>
        <v>480</v>
      </c>
      <c r="W48" s="73">
        <f t="shared" si="8"/>
        <v>7296</v>
      </c>
      <c r="X48" s="19">
        <f>IF($D48&lt;&gt;1,"",IF($G48="ROKS",$R48,IF($AI48=1,0,MAX($N48,$L48-SUMIFS(TblApplications[CPU IKS libérable (vCPU)],TblApplications[Cluster IKS source],$F48,TblApplications[Action],"À migrer",TblApplications[Mois prov (calc)],"&lt;="&amp;$E48)-SUMIFS(TblApplications[CPU IKS libérable (vCPU)],TblApplications[Cluster IKS source],$F48,TblApplications[Action],"À décommissionner",TblApplications[Mois lib (calc)],"&lt;="&amp;$E48)))))</f>
        <v>192</v>
      </c>
      <c r="Y48" s="19">
        <f>IF($D48&lt;&gt;1,"",IF($G48="ROKS",$S48,IF($AI48=1,0,MAX($O48,$M48-SUMIFS(TblApplications[RAM IKS libérable (Go)],TblApplications[Cluster IKS source],$F48,TblApplications[Action],"À migrer",TblApplications[Mois prov (calc)],"&lt;="&amp;$E48)-SUMIFS(TblApplications[RAM IKS libérable (Go)],TblApplications[Cluster IKS source],$F48,TblApplications[Action],"À décommissionner",TblApplications[Mois lib (calc)],"&lt;="&amp;$E48)))))</f>
        <v>480</v>
      </c>
      <c r="Z48" s="19">
        <f t="shared" si="9"/>
        <v>6</v>
      </c>
      <c r="AA48" s="73">
        <f t="shared" si="10"/>
        <v>7296</v>
      </c>
      <c r="AB48" s="19">
        <f t="shared" si="11"/>
        <v>6</v>
      </c>
      <c r="AC48" s="73">
        <f t="shared" si="12"/>
        <v>7296</v>
      </c>
      <c r="AD48" s="19">
        <f t="shared" si="13"/>
        <v>0</v>
      </c>
      <c r="AE48" s="19">
        <f t="shared" si="14"/>
        <v>0</v>
      </c>
      <c r="AF48" s="19" t="str">
        <f>IF($D48&lt;&gt;1,"",IF(INDEX(TblClusters[Environnement],$B48)="","(vide)",INDEX(TblClusters[Environnement],$B48)))</f>
        <v>NPRD</v>
      </c>
      <c r="AG48" s="19">
        <f t="shared" si="15"/>
        <v>240</v>
      </c>
      <c r="AH48" s="19">
        <f t="shared" si="16"/>
        <v>30.4</v>
      </c>
      <c r="AI48" s="19">
        <f>IF($D48&lt;&gt;1,"",IF(AND($G48="IKS",ISNUMBER(INDEX(TblClusters[Fermeture retenue],$B48))),IF($E48&gt;=INDEX(TblClusters[Fermeture retenue],$B48),1,0),0))</f>
        <v>0</v>
      </c>
    </row>
    <row r="49" spans="1:35" x14ac:dyDescent="0.2">
      <c r="A49" s="19">
        <v>44</v>
      </c>
      <c r="B49" s="19">
        <f t="shared" si="0"/>
        <v>2</v>
      </c>
      <c r="C49" s="19">
        <f t="shared" si="1"/>
        <v>8</v>
      </c>
      <c r="D49" s="19">
        <f>IF($C49&gt;p_horizon,0,IFERROR(IF(AND(INDEX(TblClusters[Cluster],$B49)&lt;&gt;"",ISNUMBER(INDEX(TblClusters[CPU initial (vCPU)],$B49)),ISNUMBER(INDEX(TblClusters[CPU min (vCPU)],$B49)),OR(INDEX(TblClusters[Plateforme],$B49)="IKS",INDEX(TblClusters[Plateforme],$B49)="ROKS")),1,0),0))</f>
        <v>1</v>
      </c>
      <c r="E49" s="72">
        <f t="shared" si="2"/>
        <v>46508</v>
      </c>
      <c r="F49" s="19" t="str">
        <f>IF($D49=1,INDEX(TblClusters[Cluster],$B49),"")</f>
        <v>oc002i000578</v>
      </c>
      <c r="G49" s="19" t="str">
        <f>IF($D49=1,INDEX(TblClusters[Plateforme],$B49),"")</f>
        <v>ROKS</v>
      </c>
      <c r="H49" s="19">
        <f>IF($D49=1,INDEX(TblClusters[vCPU par nœud],$B49),"")</f>
        <v>32</v>
      </c>
      <c r="I49" s="19">
        <f>IF($D49=1,INDEX(TblClusters[RAM par nœud (Go)],$B49),"")</f>
        <v>80</v>
      </c>
      <c r="J49" s="19">
        <f>IF($D49=1,INDEX(TblClusters[Workers min],$B49),"")</f>
        <v>6</v>
      </c>
      <c r="K49" s="73">
        <f>IF($D49=1,INDEX(TblClusters[Tarif par nœud],$B49),"")</f>
        <v>1216</v>
      </c>
      <c r="L49" s="19">
        <f>IF($D49=1,INDEX(TblClusters[CPU initial (vCPU)],$B49),"")</f>
        <v>192</v>
      </c>
      <c r="M49" s="19">
        <f>IF($D49=1,INDEX(TblClusters[RAM initiale (Go)],$B49),"")</f>
        <v>480</v>
      </c>
      <c r="N49" s="19">
        <f>IF($D49=1,INDEX(TblClusters[CPU min (vCPU)],$B49),"")</f>
        <v>192</v>
      </c>
      <c r="O49" s="19">
        <f>IF($D49=1,INDEX(TblClusters[RAM min (Go)],$B49),"")</f>
        <v>480</v>
      </c>
      <c r="P49" s="19">
        <f>IF($D49&lt;&gt;1,"",IF($G49="ROKS",SUMIFS(TblApplications[Besoin ROKS CPU (vCPU)],TblApplications[Cluster ROKS cible],$F49,TblApplications[Action],"À migrer",TblApplications[Déjà incluse ROKS],"Non",TblApplications[Mois prov (calc)],"&lt;="&amp;$E49),SUMIFS(TblApplications[CPU IKS libérable (vCPU)],TblApplications[Cluster IKS source],$F49,TblApplications[Mois lib (calc)],"&lt;="&amp;$E49)))</f>
        <v>0</v>
      </c>
      <c r="Q49" s="19">
        <f>IF($D49&lt;&gt;1,"",IF($G49="ROKS",SUMIFS(TblApplications[Besoin ROKS RAM (Go)],TblApplications[Cluster ROKS cible],$F49,TblApplications[Action],"À migrer",TblApplications[Déjà incluse ROKS],"Non",TblApplications[Mois prov (calc)],"&lt;="&amp;$E49),SUMIFS(TblApplications[RAM IKS libérable (Go)],TblApplications[Cluster IKS source],$F49,TblApplications[Mois lib (calc)],"&lt;="&amp;$E49)))</f>
        <v>0</v>
      </c>
      <c r="R49" s="19">
        <f t="shared" si="3"/>
        <v>192</v>
      </c>
      <c r="S49" s="19">
        <f t="shared" si="4"/>
        <v>480</v>
      </c>
      <c r="T49" s="19">
        <f t="shared" si="5"/>
        <v>6</v>
      </c>
      <c r="U49" s="19">
        <f t="shared" si="6"/>
        <v>192</v>
      </c>
      <c r="V49" s="19">
        <f t="shared" si="7"/>
        <v>480</v>
      </c>
      <c r="W49" s="73">
        <f t="shared" si="8"/>
        <v>7296</v>
      </c>
      <c r="X49" s="19">
        <f>IF($D49&lt;&gt;1,"",IF($G49="ROKS",$R49,IF($AI49=1,0,MAX($N49,$L49-SUMIFS(TblApplications[CPU IKS libérable (vCPU)],TblApplications[Cluster IKS source],$F49,TblApplications[Action],"À migrer",TblApplications[Mois prov (calc)],"&lt;="&amp;$E49)-SUMIFS(TblApplications[CPU IKS libérable (vCPU)],TblApplications[Cluster IKS source],$F49,TblApplications[Action],"À décommissionner",TblApplications[Mois lib (calc)],"&lt;="&amp;$E49)))))</f>
        <v>192</v>
      </c>
      <c r="Y49" s="19">
        <f>IF($D49&lt;&gt;1,"",IF($G49="ROKS",$S49,IF($AI49=1,0,MAX($O49,$M49-SUMIFS(TblApplications[RAM IKS libérable (Go)],TblApplications[Cluster IKS source],$F49,TblApplications[Action],"À migrer",TblApplications[Mois prov (calc)],"&lt;="&amp;$E49)-SUMIFS(TblApplications[RAM IKS libérable (Go)],TblApplications[Cluster IKS source],$F49,TblApplications[Action],"À décommissionner",TblApplications[Mois lib (calc)],"&lt;="&amp;$E49)))))</f>
        <v>480</v>
      </c>
      <c r="Z49" s="19">
        <f t="shared" si="9"/>
        <v>6</v>
      </c>
      <c r="AA49" s="73">
        <f t="shared" si="10"/>
        <v>7296</v>
      </c>
      <c r="AB49" s="19">
        <f t="shared" si="11"/>
        <v>6</v>
      </c>
      <c r="AC49" s="73">
        <f t="shared" si="12"/>
        <v>7296</v>
      </c>
      <c r="AD49" s="19">
        <f t="shared" si="13"/>
        <v>0</v>
      </c>
      <c r="AE49" s="19">
        <f t="shared" si="14"/>
        <v>0</v>
      </c>
      <c r="AF49" s="19" t="str">
        <f>IF($D49&lt;&gt;1,"",IF(INDEX(TblClusters[Environnement],$B49)="","(vide)",INDEX(TblClusters[Environnement],$B49)))</f>
        <v>NPRD</v>
      </c>
      <c r="AG49" s="19">
        <f t="shared" si="15"/>
        <v>240</v>
      </c>
      <c r="AH49" s="19">
        <f t="shared" si="16"/>
        <v>30.4</v>
      </c>
      <c r="AI49" s="19">
        <f>IF($D49&lt;&gt;1,"",IF(AND($G49="IKS",ISNUMBER(INDEX(TblClusters[Fermeture retenue],$B49))),IF($E49&gt;=INDEX(TblClusters[Fermeture retenue],$B49),1,0),0))</f>
        <v>0</v>
      </c>
    </row>
    <row r="50" spans="1:35" x14ac:dyDescent="0.2">
      <c r="A50" s="19">
        <v>45</v>
      </c>
      <c r="B50" s="19">
        <f t="shared" si="0"/>
        <v>2</v>
      </c>
      <c r="C50" s="19">
        <f t="shared" si="1"/>
        <v>9</v>
      </c>
      <c r="D50" s="19">
        <f>IF($C50&gt;p_horizon,0,IFERROR(IF(AND(INDEX(TblClusters[Cluster],$B50)&lt;&gt;"",ISNUMBER(INDEX(TblClusters[CPU initial (vCPU)],$B50)),ISNUMBER(INDEX(TblClusters[CPU min (vCPU)],$B50)),OR(INDEX(TblClusters[Plateforme],$B50)="IKS",INDEX(TblClusters[Plateforme],$B50)="ROKS")),1,0),0))</f>
        <v>1</v>
      </c>
      <c r="E50" s="72">
        <f t="shared" si="2"/>
        <v>46539</v>
      </c>
      <c r="F50" s="19" t="str">
        <f>IF($D50=1,INDEX(TblClusters[Cluster],$B50),"")</f>
        <v>oc002i000578</v>
      </c>
      <c r="G50" s="19" t="str">
        <f>IF($D50=1,INDEX(TblClusters[Plateforme],$B50),"")</f>
        <v>ROKS</v>
      </c>
      <c r="H50" s="19">
        <f>IF($D50=1,INDEX(TblClusters[vCPU par nœud],$B50),"")</f>
        <v>32</v>
      </c>
      <c r="I50" s="19">
        <f>IF($D50=1,INDEX(TblClusters[RAM par nœud (Go)],$B50),"")</f>
        <v>80</v>
      </c>
      <c r="J50" s="19">
        <f>IF($D50=1,INDEX(TblClusters[Workers min],$B50),"")</f>
        <v>6</v>
      </c>
      <c r="K50" s="73">
        <f>IF($D50=1,INDEX(TblClusters[Tarif par nœud],$B50),"")</f>
        <v>1216</v>
      </c>
      <c r="L50" s="19">
        <f>IF($D50=1,INDEX(TblClusters[CPU initial (vCPU)],$B50),"")</f>
        <v>192</v>
      </c>
      <c r="M50" s="19">
        <f>IF($D50=1,INDEX(TblClusters[RAM initiale (Go)],$B50),"")</f>
        <v>480</v>
      </c>
      <c r="N50" s="19">
        <f>IF($D50=1,INDEX(TblClusters[CPU min (vCPU)],$B50),"")</f>
        <v>192</v>
      </c>
      <c r="O50" s="19">
        <f>IF($D50=1,INDEX(TblClusters[RAM min (Go)],$B50),"")</f>
        <v>480</v>
      </c>
      <c r="P50" s="19">
        <f>IF($D50&lt;&gt;1,"",IF($G50="ROKS",SUMIFS(TblApplications[Besoin ROKS CPU (vCPU)],TblApplications[Cluster ROKS cible],$F50,TblApplications[Action],"À migrer",TblApplications[Déjà incluse ROKS],"Non",TblApplications[Mois prov (calc)],"&lt;="&amp;$E50),SUMIFS(TblApplications[CPU IKS libérable (vCPU)],TblApplications[Cluster IKS source],$F50,TblApplications[Mois lib (calc)],"&lt;="&amp;$E50)))</f>
        <v>0</v>
      </c>
      <c r="Q50" s="19">
        <f>IF($D50&lt;&gt;1,"",IF($G50="ROKS",SUMIFS(TblApplications[Besoin ROKS RAM (Go)],TblApplications[Cluster ROKS cible],$F50,TblApplications[Action],"À migrer",TblApplications[Déjà incluse ROKS],"Non",TblApplications[Mois prov (calc)],"&lt;="&amp;$E50),SUMIFS(TblApplications[RAM IKS libérable (Go)],TblApplications[Cluster IKS source],$F50,TblApplications[Mois lib (calc)],"&lt;="&amp;$E50)))</f>
        <v>0</v>
      </c>
      <c r="R50" s="19">
        <f t="shared" si="3"/>
        <v>192</v>
      </c>
      <c r="S50" s="19">
        <f t="shared" si="4"/>
        <v>480</v>
      </c>
      <c r="T50" s="19">
        <f t="shared" si="5"/>
        <v>6</v>
      </c>
      <c r="U50" s="19">
        <f t="shared" si="6"/>
        <v>192</v>
      </c>
      <c r="V50" s="19">
        <f t="shared" si="7"/>
        <v>480</v>
      </c>
      <c r="W50" s="73">
        <f t="shared" si="8"/>
        <v>7296</v>
      </c>
      <c r="X50" s="19">
        <f>IF($D50&lt;&gt;1,"",IF($G50="ROKS",$R50,IF($AI50=1,0,MAX($N50,$L50-SUMIFS(TblApplications[CPU IKS libérable (vCPU)],TblApplications[Cluster IKS source],$F50,TblApplications[Action],"À migrer",TblApplications[Mois prov (calc)],"&lt;="&amp;$E50)-SUMIFS(TblApplications[CPU IKS libérable (vCPU)],TblApplications[Cluster IKS source],$F50,TblApplications[Action],"À décommissionner",TblApplications[Mois lib (calc)],"&lt;="&amp;$E50)))))</f>
        <v>192</v>
      </c>
      <c r="Y50" s="19">
        <f>IF($D50&lt;&gt;1,"",IF($G50="ROKS",$S50,IF($AI50=1,0,MAX($O50,$M50-SUMIFS(TblApplications[RAM IKS libérable (Go)],TblApplications[Cluster IKS source],$F50,TblApplications[Action],"À migrer",TblApplications[Mois prov (calc)],"&lt;="&amp;$E50)-SUMIFS(TblApplications[RAM IKS libérable (Go)],TblApplications[Cluster IKS source],$F50,TblApplications[Action],"À décommissionner",TblApplications[Mois lib (calc)],"&lt;="&amp;$E50)))))</f>
        <v>480</v>
      </c>
      <c r="Z50" s="19">
        <f t="shared" si="9"/>
        <v>6</v>
      </c>
      <c r="AA50" s="73">
        <f t="shared" si="10"/>
        <v>7296</v>
      </c>
      <c r="AB50" s="19">
        <f t="shared" si="11"/>
        <v>6</v>
      </c>
      <c r="AC50" s="73">
        <f t="shared" si="12"/>
        <v>7296</v>
      </c>
      <c r="AD50" s="19">
        <f t="shared" si="13"/>
        <v>0</v>
      </c>
      <c r="AE50" s="19">
        <f t="shared" si="14"/>
        <v>0</v>
      </c>
      <c r="AF50" s="19" t="str">
        <f>IF($D50&lt;&gt;1,"",IF(INDEX(TblClusters[Environnement],$B50)="","(vide)",INDEX(TblClusters[Environnement],$B50)))</f>
        <v>NPRD</v>
      </c>
      <c r="AG50" s="19">
        <f t="shared" si="15"/>
        <v>240</v>
      </c>
      <c r="AH50" s="19">
        <f t="shared" si="16"/>
        <v>30.4</v>
      </c>
      <c r="AI50" s="19">
        <f>IF($D50&lt;&gt;1,"",IF(AND($G50="IKS",ISNUMBER(INDEX(TblClusters[Fermeture retenue],$B50))),IF($E50&gt;=INDEX(TblClusters[Fermeture retenue],$B50),1,0),0))</f>
        <v>0</v>
      </c>
    </row>
    <row r="51" spans="1:35" x14ac:dyDescent="0.2">
      <c r="A51" s="19">
        <v>46</v>
      </c>
      <c r="B51" s="19">
        <f t="shared" si="0"/>
        <v>2</v>
      </c>
      <c r="C51" s="19">
        <f t="shared" si="1"/>
        <v>10</v>
      </c>
      <c r="D51" s="19">
        <f>IF($C51&gt;p_horizon,0,IFERROR(IF(AND(INDEX(TblClusters[Cluster],$B51)&lt;&gt;"",ISNUMBER(INDEX(TblClusters[CPU initial (vCPU)],$B51)),ISNUMBER(INDEX(TblClusters[CPU min (vCPU)],$B51)),OR(INDEX(TblClusters[Plateforme],$B51)="IKS",INDEX(TblClusters[Plateforme],$B51)="ROKS")),1,0),0))</f>
        <v>1</v>
      </c>
      <c r="E51" s="72">
        <f t="shared" si="2"/>
        <v>46569</v>
      </c>
      <c r="F51" s="19" t="str">
        <f>IF($D51=1,INDEX(TblClusters[Cluster],$B51),"")</f>
        <v>oc002i000578</v>
      </c>
      <c r="G51" s="19" t="str">
        <f>IF($D51=1,INDEX(TblClusters[Plateforme],$B51),"")</f>
        <v>ROKS</v>
      </c>
      <c r="H51" s="19">
        <f>IF($D51=1,INDEX(TblClusters[vCPU par nœud],$B51),"")</f>
        <v>32</v>
      </c>
      <c r="I51" s="19">
        <f>IF($D51=1,INDEX(TblClusters[RAM par nœud (Go)],$B51),"")</f>
        <v>80</v>
      </c>
      <c r="J51" s="19">
        <f>IF($D51=1,INDEX(TblClusters[Workers min],$B51),"")</f>
        <v>6</v>
      </c>
      <c r="K51" s="73">
        <f>IF($D51=1,INDEX(TblClusters[Tarif par nœud],$B51),"")</f>
        <v>1216</v>
      </c>
      <c r="L51" s="19">
        <f>IF($D51=1,INDEX(TblClusters[CPU initial (vCPU)],$B51),"")</f>
        <v>192</v>
      </c>
      <c r="M51" s="19">
        <f>IF($D51=1,INDEX(TblClusters[RAM initiale (Go)],$B51),"")</f>
        <v>480</v>
      </c>
      <c r="N51" s="19">
        <f>IF($D51=1,INDEX(TblClusters[CPU min (vCPU)],$B51),"")</f>
        <v>192</v>
      </c>
      <c r="O51" s="19">
        <f>IF($D51=1,INDEX(TblClusters[RAM min (Go)],$B51),"")</f>
        <v>480</v>
      </c>
      <c r="P51" s="19">
        <f>IF($D51&lt;&gt;1,"",IF($G51="ROKS",SUMIFS(TblApplications[Besoin ROKS CPU (vCPU)],TblApplications[Cluster ROKS cible],$F51,TblApplications[Action],"À migrer",TblApplications[Déjà incluse ROKS],"Non",TblApplications[Mois prov (calc)],"&lt;="&amp;$E51),SUMIFS(TblApplications[CPU IKS libérable (vCPU)],TblApplications[Cluster IKS source],$F51,TblApplications[Mois lib (calc)],"&lt;="&amp;$E51)))</f>
        <v>0</v>
      </c>
      <c r="Q51" s="19">
        <f>IF($D51&lt;&gt;1,"",IF($G51="ROKS",SUMIFS(TblApplications[Besoin ROKS RAM (Go)],TblApplications[Cluster ROKS cible],$F51,TblApplications[Action],"À migrer",TblApplications[Déjà incluse ROKS],"Non",TblApplications[Mois prov (calc)],"&lt;="&amp;$E51),SUMIFS(TblApplications[RAM IKS libérable (Go)],TblApplications[Cluster IKS source],$F51,TblApplications[Mois lib (calc)],"&lt;="&amp;$E51)))</f>
        <v>0</v>
      </c>
      <c r="R51" s="19">
        <f t="shared" si="3"/>
        <v>192</v>
      </c>
      <c r="S51" s="19">
        <f t="shared" si="4"/>
        <v>480</v>
      </c>
      <c r="T51" s="19">
        <f t="shared" si="5"/>
        <v>6</v>
      </c>
      <c r="U51" s="19">
        <f t="shared" si="6"/>
        <v>192</v>
      </c>
      <c r="V51" s="19">
        <f t="shared" si="7"/>
        <v>480</v>
      </c>
      <c r="W51" s="73">
        <f t="shared" si="8"/>
        <v>7296</v>
      </c>
      <c r="X51" s="19">
        <f>IF($D51&lt;&gt;1,"",IF($G51="ROKS",$R51,IF($AI51=1,0,MAX($N51,$L51-SUMIFS(TblApplications[CPU IKS libérable (vCPU)],TblApplications[Cluster IKS source],$F51,TblApplications[Action],"À migrer",TblApplications[Mois prov (calc)],"&lt;="&amp;$E51)-SUMIFS(TblApplications[CPU IKS libérable (vCPU)],TblApplications[Cluster IKS source],$F51,TblApplications[Action],"À décommissionner",TblApplications[Mois lib (calc)],"&lt;="&amp;$E51)))))</f>
        <v>192</v>
      </c>
      <c r="Y51" s="19">
        <f>IF($D51&lt;&gt;1,"",IF($G51="ROKS",$S51,IF($AI51=1,0,MAX($O51,$M51-SUMIFS(TblApplications[RAM IKS libérable (Go)],TblApplications[Cluster IKS source],$F51,TblApplications[Action],"À migrer",TblApplications[Mois prov (calc)],"&lt;="&amp;$E51)-SUMIFS(TblApplications[RAM IKS libérable (Go)],TblApplications[Cluster IKS source],$F51,TblApplications[Action],"À décommissionner",TblApplications[Mois lib (calc)],"&lt;="&amp;$E51)))))</f>
        <v>480</v>
      </c>
      <c r="Z51" s="19">
        <f t="shared" si="9"/>
        <v>6</v>
      </c>
      <c r="AA51" s="73">
        <f t="shared" si="10"/>
        <v>7296</v>
      </c>
      <c r="AB51" s="19">
        <f t="shared" si="11"/>
        <v>6</v>
      </c>
      <c r="AC51" s="73">
        <f t="shared" si="12"/>
        <v>7296</v>
      </c>
      <c r="AD51" s="19">
        <f t="shared" si="13"/>
        <v>0</v>
      </c>
      <c r="AE51" s="19">
        <f t="shared" si="14"/>
        <v>0</v>
      </c>
      <c r="AF51" s="19" t="str">
        <f>IF($D51&lt;&gt;1,"",IF(INDEX(TblClusters[Environnement],$B51)="","(vide)",INDEX(TblClusters[Environnement],$B51)))</f>
        <v>NPRD</v>
      </c>
      <c r="AG51" s="19">
        <f t="shared" si="15"/>
        <v>240</v>
      </c>
      <c r="AH51" s="19">
        <f t="shared" si="16"/>
        <v>30.4</v>
      </c>
      <c r="AI51" s="19">
        <f>IF($D51&lt;&gt;1,"",IF(AND($G51="IKS",ISNUMBER(INDEX(TblClusters[Fermeture retenue],$B51))),IF($E51&gt;=INDEX(TblClusters[Fermeture retenue],$B51),1,0),0))</f>
        <v>0</v>
      </c>
    </row>
    <row r="52" spans="1:35" x14ac:dyDescent="0.2">
      <c r="A52" s="19">
        <v>47</v>
      </c>
      <c r="B52" s="19">
        <f t="shared" si="0"/>
        <v>2</v>
      </c>
      <c r="C52" s="19">
        <f t="shared" si="1"/>
        <v>11</v>
      </c>
      <c r="D52" s="19">
        <f>IF($C52&gt;p_horizon,0,IFERROR(IF(AND(INDEX(TblClusters[Cluster],$B52)&lt;&gt;"",ISNUMBER(INDEX(TblClusters[CPU initial (vCPU)],$B52)),ISNUMBER(INDEX(TblClusters[CPU min (vCPU)],$B52)),OR(INDEX(TblClusters[Plateforme],$B52)="IKS",INDEX(TblClusters[Plateforme],$B52)="ROKS")),1,0),0))</f>
        <v>1</v>
      </c>
      <c r="E52" s="72">
        <f t="shared" si="2"/>
        <v>46600</v>
      </c>
      <c r="F52" s="19" t="str">
        <f>IF($D52=1,INDEX(TblClusters[Cluster],$B52),"")</f>
        <v>oc002i000578</v>
      </c>
      <c r="G52" s="19" t="str">
        <f>IF($D52=1,INDEX(TblClusters[Plateforme],$B52),"")</f>
        <v>ROKS</v>
      </c>
      <c r="H52" s="19">
        <f>IF($D52=1,INDEX(TblClusters[vCPU par nœud],$B52),"")</f>
        <v>32</v>
      </c>
      <c r="I52" s="19">
        <f>IF($D52=1,INDEX(TblClusters[RAM par nœud (Go)],$B52),"")</f>
        <v>80</v>
      </c>
      <c r="J52" s="19">
        <f>IF($D52=1,INDEX(TblClusters[Workers min],$B52),"")</f>
        <v>6</v>
      </c>
      <c r="K52" s="73">
        <f>IF($D52=1,INDEX(TblClusters[Tarif par nœud],$B52),"")</f>
        <v>1216</v>
      </c>
      <c r="L52" s="19">
        <f>IF($D52=1,INDEX(TblClusters[CPU initial (vCPU)],$B52),"")</f>
        <v>192</v>
      </c>
      <c r="M52" s="19">
        <f>IF($D52=1,INDEX(TblClusters[RAM initiale (Go)],$B52),"")</f>
        <v>480</v>
      </c>
      <c r="N52" s="19">
        <f>IF($D52=1,INDEX(TblClusters[CPU min (vCPU)],$B52),"")</f>
        <v>192</v>
      </c>
      <c r="O52" s="19">
        <f>IF($D52=1,INDEX(TblClusters[RAM min (Go)],$B52),"")</f>
        <v>480</v>
      </c>
      <c r="P52" s="19">
        <f>IF($D52&lt;&gt;1,"",IF($G52="ROKS",SUMIFS(TblApplications[Besoin ROKS CPU (vCPU)],TblApplications[Cluster ROKS cible],$F52,TblApplications[Action],"À migrer",TblApplications[Déjà incluse ROKS],"Non",TblApplications[Mois prov (calc)],"&lt;="&amp;$E52),SUMIFS(TblApplications[CPU IKS libérable (vCPU)],TblApplications[Cluster IKS source],$F52,TblApplications[Mois lib (calc)],"&lt;="&amp;$E52)))</f>
        <v>0</v>
      </c>
      <c r="Q52" s="19">
        <f>IF($D52&lt;&gt;1,"",IF($G52="ROKS",SUMIFS(TblApplications[Besoin ROKS RAM (Go)],TblApplications[Cluster ROKS cible],$F52,TblApplications[Action],"À migrer",TblApplications[Déjà incluse ROKS],"Non",TblApplications[Mois prov (calc)],"&lt;="&amp;$E52),SUMIFS(TblApplications[RAM IKS libérable (Go)],TblApplications[Cluster IKS source],$F52,TblApplications[Mois lib (calc)],"&lt;="&amp;$E52)))</f>
        <v>0</v>
      </c>
      <c r="R52" s="19">
        <f t="shared" si="3"/>
        <v>192</v>
      </c>
      <c r="S52" s="19">
        <f t="shared" si="4"/>
        <v>480</v>
      </c>
      <c r="T52" s="19">
        <f t="shared" si="5"/>
        <v>6</v>
      </c>
      <c r="U52" s="19">
        <f t="shared" si="6"/>
        <v>192</v>
      </c>
      <c r="V52" s="19">
        <f t="shared" si="7"/>
        <v>480</v>
      </c>
      <c r="W52" s="73">
        <f t="shared" si="8"/>
        <v>7296</v>
      </c>
      <c r="X52" s="19">
        <f>IF($D52&lt;&gt;1,"",IF($G52="ROKS",$R52,IF($AI52=1,0,MAX($N52,$L52-SUMIFS(TblApplications[CPU IKS libérable (vCPU)],TblApplications[Cluster IKS source],$F52,TblApplications[Action],"À migrer",TblApplications[Mois prov (calc)],"&lt;="&amp;$E52)-SUMIFS(TblApplications[CPU IKS libérable (vCPU)],TblApplications[Cluster IKS source],$F52,TblApplications[Action],"À décommissionner",TblApplications[Mois lib (calc)],"&lt;="&amp;$E52)))))</f>
        <v>192</v>
      </c>
      <c r="Y52" s="19">
        <f>IF($D52&lt;&gt;1,"",IF($G52="ROKS",$S52,IF($AI52=1,0,MAX($O52,$M52-SUMIFS(TblApplications[RAM IKS libérable (Go)],TblApplications[Cluster IKS source],$F52,TblApplications[Action],"À migrer",TblApplications[Mois prov (calc)],"&lt;="&amp;$E52)-SUMIFS(TblApplications[RAM IKS libérable (Go)],TblApplications[Cluster IKS source],$F52,TblApplications[Action],"À décommissionner",TblApplications[Mois lib (calc)],"&lt;="&amp;$E52)))))</f>
        <v>480</v>
      </c>
      <c r="Z52" s="19">
        <f t="shared" si="9"/>
        <v>6</v>
      </c>
      <c r="AA52" s="73">
        <f t="shared" si="10"/>
        <v>7296</v>
      </c>
      <c r="AB52" s="19">
        <f t="shared" si="11"/>
        <v>6</v>
      </c>
      <c r="AC52" s="73">
        <f t="shared" si="12"/>
        <v>7296</v>
      </c>
      <c r="AD52" s="19">
        <f t="shared" si="13"/>
        <v>0</v>
      </c>
      <c r="AE52" s="19">
        <f t="shared" si="14"/>
        <v>0</v>
      </c>
      <c r="AF52" s="19" t="str">
        <f>IF($D52&lt;&gt;1,"",IF(INDEX(TblClusters[Environnement],$B52)="","(vide)",INDEX(TblClusters[Environnement],$B52)))</f>
        <v>NPRD</v>
      </c>
      <c r="AG52" s="19">
        <f t="shared" si="15"/>
        <v>240</v>
      </c>
      <c r="AH52" s="19">
        <f t="shared" si="16"/>
        <v>30.4</v>
      </c>
      <c r="AI52" s="19">
        <f>IF($D52&lt;&gt;1,"",IF(AND($G52="IKS",ISNUMBER(INDEX(TblClusters[Fermeture retenue],$B52))),IF($E52&gt;=INDEX(TblClusters[Fermeture retenue],$B52),1,0),0))</f>
        <v>0</v>
      </c>
    </row>
    <row r="53" spans="1:35" x14ac:dyDescent="0.2">
      <c r="A53" s="19">
        <v>48</v>
      </c>
      <c r="B53" s="19">
        <f t="shared" si="0"/>
        <v>2</v>
      </c>
      <c r="C53" s="19">
        <f t="shared" si="1"/>
        <v>12</v>
      </c>
      <c r="D53" s="19">
        <f>IF($C53&gt;p_horizon,0,IFERROR(IF(AND(INDEX(TblClusters[Cluster],$B53)&lt;&gt;"",ISNUMBER(INDEX(TblClusters[CPU initial (vCPU)],$B53)),ISNUMBER(INDEX(TblClusters[CPU min (vCPU)],$B53)),OR(INDEX(TblClusters[Plateforme],$B53)="IKS",INDEX(TblClusters[Plateforme],$B53)="ROKS")),1,0),0))</f>
        <v>1</v>
      </c>
      <c r="E53" s="72">
        <f t="shared" si="2"/>
        <v>46631</v>
      </c>
      <c r="F53" s="19" t="str">
        <f>IF($D53=1,INDEX(TblClusters[Cluster],$B53),"")</f>
        <v>oc002i000578</v>
      </c>
      <c r="G53" s="19" t="str">
        <f>IF($D53=1,INDEX(TblClusters[Plateforme],$B53),"")</f>
        <v>ROKS</v>
      </c>
      <c r="H53" s="19">
        <f>IF($D53=1,INDEX(TblClusters[vCPU par nœud],$B53),"")</f>
        <v>32</v>
      </c>
      <c r="I53" s="19">
        <f>IF($D53=1,INDEX(TblClusters[RAM par nœud (Go)],$B53),"")</f>
        <v>80</v>
      </c>
      <c r="J53" s="19">
        <f>IF($D53=1,INDEX(TblClusters[Workers min],$B53),"")</f>
        <v>6</v>
      </c>
      <c r="K53" s="73">
        <f>IF($D53=1,INDEX(TblClusters[Tarif par nœud],$B53),"")</f>
        <v>1216</v>
      </c>
      <c r="L53" s="19">
        <f>IF($D53=1,INDEX(TblClusters[CPU initial (vCPU)],$B53),"")</f>
        <v>192</v>
      </c>
      <c r="M53" s="19">
        <f>IF($D53=1,INDEX(TblClusters[RAM initiale (Go)],$B53),"")</f>
        <v>480</v>
      </c>
      <c r="N53" s="19">
        <f>IF($D53=1,INDEX(TblClusters[CPU min (vCPU)],$B53),"")</f>
        <v>192</v>
      </c>
      <c r="O53" s="19">
        <f>IF($D53=1,INDEX(TblClusters[RAM min (Go)],$B53),"")</f>
        <v>480</v>
      </c>
      <c r="P53" s="19">
        <f>IF($D53&lt;&gt;1,"",IF($G53="ROKS",SUMIFS(TblApplications[Besoin ROKS CPU (vCPU)],TblApplications[Cluster ROKS cible],$F53,TblApplications[Action],"À migrer",TblApplications[Déjà incluse ROKS],"Non",TblApplications[Mois prov (calc)],"&lt;="&amp;$E53),SUMIFS(TblApplications[CPU IKS libérable (vCPU)],TblApplications[Cluster IKS source],$F53,TblApplications[Mois lib (calc)],"&lt;="&amp;$E53)))</f>
        <v>0</v>
      </c>
      <c r="Q53" s="19">
        <f>IF($D53&lt;&gt;1,"",IF($G53="ROKS",SUMIFS(TblApplications[Besoin ROKS RAM (Go)],TblApplications[Cluster ROKS cible],$F53,TblApplications[Action],"À migrer",TblApplications[Déjà incluse ROKS],"Non",TblApplications[Mois prov (calc)],"&lt;="&amp;$E53),SUMIFS(TblApplications[RAM IKS libérable (Go)],TblApplications[Cluster IKS source],$F53,TblApplications[Mois lib (calc)],"&lt;="&amp;$E53)))</f>
        <v>0</v>
      </c>
      <c r="R53" s="19">
        <f t="shared" si="3"/>
        <v>192</v>
      </c>
      <c r="S53" s="19">
        <f t="shared" si="4"/>
        <v>480</v>
      </c>
      <c r="T53" s="19">
        <f t="shared" si="5"/>
        <v>6</v>
      </c>
      <c r="U53" s="19">
        <f t="shared" si="6"/>
        <v>192</v>
      </c>
      <c r="V53" s="19">
        <f t="shared" si="7"/>
        <v>480</v>
      </c>
      <c r="W53" s="73">
        <f t="shared" si="8"/>
        <v>7296</v>
      </c>
      <c r="X53" s="19">
        <f>IF($D53&lt;&gt;1,"",IF($G53="ROKS",$R53,IF($AI53=1,0,MAX($N53,$L53-SUMIFS(TblApplications[CPU IKS libérable (vCPU)],TblApplications[Cluster IKS source],$F53,TblApplications[Action],"À migrer",TblApplications[Mois prov (calc)],"&lt;="&amp;$E53)-SUMIFS(TblApplications[CPU IKS libérable (vCPU)],TblApplications[Cluster IKS source],$F53,TblApplications[Action],"À décommissionner",TblApplications[Mois lib (calc)],"&lt;="&amp;$E53)))))</f>
        <v>192</v>
      </c>
      <c r="Y53" s="19">
        <f>IF($D53&lt;&gt;1,"",IF($G53="ROKS",$S53,IF($AI53=1,0,MAX($O53,$M53-SUMIFS(TblApplications[RAM IKS libérable (Go)],TblApplications[Cluster IKS source],$F53,TblApplications[Action],"À migrer",TblApplications[Mois prov (calc)],"&lt;="&amp;$E53)-SUMIFS(TblApplications[RAM IKS libérable (Go)],TblApplications[Cluster IKS source],$F53,TblApplications[Action],"À décommissionner",TblApplications[Mois lib (calc)],"&lt;="&amp;$E53)))))</f>
        <v>480</v>
      </c>
      <c r="Z53" s="19">
        <f t="shared" si="9"/>
        <v>6</v>
      </c>
      <c r="AA53" s="73">
        <f t="shared" si="10"/>
        <v>7296</v>
      </c>
      <c r="AB53" s="19">
        <f t="shared" si="11"/>
        <v>6</v>
      </c>
      <c r="AC53" s="73">
        <f t="shared" si="12"/>
        <v>7296</v>
      </c>
      <c r="AD53" s="19">
        <f t="shared" si="13"/>
        <v>0</v>
      </c>
      <c r="AE53" s="19">
        <f t="shared" si="14"/>
        <v>0</v>
      </c>
      <c r="AF53" s="19" t="str">
        <f>IF($D53&lt;&gt;1,"",IF(INDEX(TblClusters[Environnement],$B53)="","(vide)",INDEX(TblClusters[Environnement],$B53)))</f>
        <v>NPRD</v>
      </c>
      <c r="AG53" s="19">
        <f t="shared" si="15"/>
        <v>240</v>
      </c>
      <c r="AH53" s="19">
        <f t="shared" si="16"/>
        <v>30.4</v>
      </c>
      <c r="AI53" s="19">
        <f>IF($D53&lt;&gt;1,"",IF(AND($G53="IKS",ISNUMBER(INDEX(TblClusters[Fermeture retenue],$B53))),IF($E53&gt;=INDEX(TblClusters[Fermeture retenue],$B53),1,0),0))</f>
        <v>0</v>
      </c>
    </row>
    <row r="54" spans="1:35" x14ac:dyDescent="0.2">
      <c r="A54" s="19">
        <v>49</v>
      </c>
      <c r="B54" s="19">
        <f t="shared" si="0"/>
        <v>2</v>
      </c>
      <c r="C54" s="19">
        <f t="shared" si="1"/>
        <v>13</v>
      </c>
      <c r="D54" s="19">
        <f>IF($C54&gt;p_horizon,0,IFERROR(IF(AND(INDEX(TblClusters[Cluster],$B54)&lt;&gt;"",ISNUMBER(INDEX(TblClusters[CPU initial (vCPU)],$B54)),ISNUMBER(INDEX(TblClusters[CPU min (vCPU)],$B54)),OR(INDEX(TblClusters[Plateforme],$B54)="IKS",INDEX(TblClusters[Plateforme],$B54)="ROKS")),1,0),0))</f>
        <v>1</v>
      </c>
      <c r="E54" s="72">
        <f t="shared" si="2"/>
        <v>46661</v>
      </c>
      <c r="F54" s="19" t="str">
        <f>IF($D54=1,INDEX(TblClusters[Cluster],$B54),"")</f>
        <v>oc002i000578</v>
      </c>
      <c r="G54" s="19" t="str">
        <f>IF($D54=1,INDEX(TblClusters[Plateforme],$B54),"")</f>
        <v>ROKS</v>
      </c>
      <c r="H54" s="19">
        <f>IF($D54=1,INDEX(TblClusters[vCPU par nœud],$B54),"")</f>
        <v>32</v>
      </c>
      <c r="I54" s="19">
        <f>IF($D54=1,INDEX(TblClusters[RAM par nœud (Go)],$B54),"")</f>
        <v>80</v>
      </c>
      <c r="J54" s="19">
        <f>IF($D54=1,INDEX(TblClusters[Workers min],$B54),"")</f>
        <v>6</v>
      </c>
      <c r="K54" s="73">
        <f>IF($D54=1,INDEX(TblClusters[Tarif par nœud],$B54),"")</f>
        <v>1216</v>
      </c>
      <c r="L54" s="19">
        <f>IF($D54=1,INDEX(TblClusters[CPU initial (vCPU)],$B54),"")</f>
        <v>192</v>
      </c>
      <c r="M54" s="19">
        <f>IF($D54=1,INDEX(TblClusters[RAM initiale (Go)],$B54),"")</f>
        <v>480</v>
      </c>
      <c r="N54" s="19">
        <f>IF($D54=1,INDEX(TblClusters[CPU min (vCPU)],$B54),"")</f>
        <v>192</v>
      </c>
      <c r="O54" s="19">
        <f>IF($D54=1,INDEX(TblClusters[RAM min (Go)],$B54),"")</f>
        <v>480</v>
      </c>
      <c r="P54" s="19">
        <f>IF($D54&lt;&gt;1,"",IF($G54="ROKS",SUMIFS(TblApplications[Besoin ROKS CPU (vCPU)],TblApplications[Cluster ROKS cible],$F54,TblApplications[Action],"À migrer",TblApplications[Déjà incluse ROKS],"Non",TblApplications[Mois prov (calc)],"&lt;="&amp;$E54),SUMIFS(TblApplications[CPU IKS libérable (vCPU)],TblApplications[Cluster IKS source],$F54,TblApplications[Mois lib (calc)],"&lt;="&amp;$E54)))</f>
        <v>0</v>
      </c>
      <c r="Q54" s="19">
        <f>IF($D54&lt;&gt;1,"",IF($G54="ROKS",SUMIFS(TblApplications[Besoin ROKS RAM (Go)],TblApplications[Cluster ROKS cible],$F54,TblApplications[Action],"À migrer",TblApplications[Déjà incluse ROKS],"Non",TblApplications[Mois prov (calc)],"&lt;="&amp;$E54),SUMIFS(TblApplications[RAM IKS libérable (Go)],TblApplications[Cluster IKS source],$F54,TblApplications[Mois lib (calc)],"&lt;="&amp;$E54)))</f>
        <v>0</v>
      </c>
      <c r="R54" s="19">
        <f t="shared" si="3"/>
        <v>192</v>
      </c>
      <c r="S54" s="19">
        <f t="shared" si="4"/>
        <v>480</v>
      </c>
      <c r="T54" s="19">
        <f t="shared" si="5"/>
        <v>6</v>
      </c>
      <c r="U54" s="19">
        <f t="shared" si="6"/>
        <v>192</v>
      </c>
      <c r="V54" s="19">
        <f t="shared" si="7"/>
        <v>480</v>
      </c>
      <c r="W54" s="73">
        <f t="shared" si="8"/>
        <v>7296</v>
      </c>
      <c r="X54" s="19">
        <f>IF($D54&lt;&gt;1,"",IF($G54="ROKS",$R54,IF($AI54=1,0,MAX($N54,$L54-SUMIFS(TblApplications[CPU IKS libérable (vCPU)],TblApplications[Cluster IKS source],$F54,TblApplications[Action],"À migrer",TblApplications[Mois prov (calc)],"&lt;="&amp;$E54)-SUMIFS(TblApplications[CPU IKS libérable (vCPU)],TblApplications[Cluster IKS source],$F54,TblApplications[Action],"À décommissionner",TblApplications[Mois lib (calc)],"&lt;="&amp;$E54)))))</f>
        <v>192</v>
      </c>
      <c r="Y54" s="19">
        <f>IF($D54&lt;&gt;1,"",IF($G54="ROKS",$S54,IF($AI54=1,0,MAX($O54,$M54-SUMIFS(TblApplications[RAM IKS libérable (Go)],TblApplications[Cluster IKS source],$F54,TblApplications[Action],"À migrer",TblApplications[Mois prov (calc)],"&lt;="&amp;$E54)-SUMIFS(TblApplications[RAM IKS libérable (Go)],TblApplications[Cluster IKS source],$F54,TblApplications[Action],"À décommissionner",TblApplications[Mois lib (calc)],"&lt;="&amp;$E54)))))</f>
        <v>480</v>
      </c>
      <c r="Z54" s="19">
        <f t="shared" si="9"/>
        <v>6</v>
      </c>
      <c r="AA54" s="73">
        <f t="shared" si="10"/>
        <v>7296</v>
      </c>
      <c r="AB54" s="19">
        <f t="shared" si="11"/>
        <v>6</v>
      </c>
      <c r="AC54" s="73">
        <f t="shared" si="12"/>
        <v>7296</v>
      </c>
      <c r="AD54" s="19">
        <f t="shared" si="13"/>
        <v>0</v>
      </c>
      <c r="AE54" s="19">
        <f t="shared" si="14"/>
        <v>0</v>
      </c>
      <c r="AF54" s="19" t="str">
        <f>IF($D54&lt;&gt;1,"",IF(INDEX(TblClusters[Environnement],$B54)="","(vide)",INDEX(TblClusters[Environnement],$B54)))</f>
        <v>NPRD</v>
      </c>
      <c r="AG54" s="19">
        <f t="shared" si="15"/>
        <v>240</v>
      </c>
      <c r="AH54" s="19">
        <f t="shared" si="16"/>
        <v>30.4</v>
      </c>
      <c r="AI54" s="19">
        <f>IF($D54&lt;&gt;1,"",IF(AND($G54="IKS",ISNUMBER(INDEX(TblClusters[Fermeture retenue],$B54))),IF($E54&gt;=INDEX(TblClusters[Fermeture retenue],$B54),1,0),0))</f>
        <v>0</v>
      </c>
    </row>
    <row r="55" spans="1:35" x14ac:dyDescent="0.2">
      <c r="A55" s="19">
        <v>50</v>
      </c>
      <c r="B55" s="19">
        <f t="shared" si="0"/>
        <v>2</v>
      </c>
      <c r="C55" s="19">
        <f t="shared" si="1"/>
        <v>14</v>
      </c>
      <c r="D55" s="19">
        <f>IF($C55&gt;p_horizon,0,IFERROR(IF(AND(INDEX(TblClusters[Cluster],$B55)&lt;&gt;"",ISNUMBER(INDEX(TblClusters[CPU initial (vCPU)],$B55)),ISNUMBER(INDEX(TblClusters[CPU min (vCPU)],$B55)),OR(INDEX(TblClusters[Plateforme],$B55)="IKS",INDEX(TblClusters[Plateforme],$B55)="ROKS")),1,0),0))</f>
        <v>1</v>
      </c>
      <c r="E55" s="72">
        <f t="shared" si="2"/>
        <v>46692</v>
      </c>
      <c r="F55" s="19" t="str">
        <f>IF($D55=1,INDEX(TblClusters[Cluster],$B55),"")</f>
        <v>oc002i000578</v>
      </c>
      <c r="G55" s="19" t="str">
        <f>IF($D55=1,INDEX(TblClusters[Plateforme],$B55),"")</f>
        <v>ROKS</v>
      </c>
      <c r="H55" s="19">
        <f>IF($D55=1,INDEX(TblClusters[vCPU par nœud],$B55),"")</f>
        <v>32</v>
      </c>
      <c r="I55" s="19">
        <f>IF($D55=1,INDEX(TblClusters[RAM par nœud (Go)],$B55),"")</f>
        <v>80</v>
      </c>
      <c r="J55" s="19">
        <f>IF($D55=1,INDEX(TblClusters[Workers min],$B55),"")</f>
        <v>6</v>
      </c>
      <c r="K55" s="73">
        <f>IF($D55=1,INDEX(TblClusters[Tarif par nœud],$B55),"")</f>
        <v>1216</v>
      </c>
      <c r="L55" s="19">
        <f>IF($D55=1,INDEX(TblClusters[CPU initial (vCPU)],$B55),"")</f>
        <v>192</v>
      </c>
      <c r="M55" s="19">
        <f>IF($D55=1,INDEX(TblClusters[RAM initiale (Go)],$B55),"")</f>
        <v>480</v>
      </c>
      <c r="N55" s="19">
        <f>IF($D55=1,INDEX(TblClusters[CPU min (vCPU)],$B55),"")</f>
        <v>192</v>
      </c>
      <c r="O55" s="19">
        <f>IF($D55=1,INDEX(TblClusters[RAM min (Go)],$B55),"")</f>
        <v>480</v>
      </c>
      <c r="P55" s="19">
        <f>IF($D55&lt;&gt;1,"",IF($G55="ROKS",SUMIFS(TblApplications[Besoin ROKS CPU (vCPU)],TblApplications[Cluster ROKS cible],$F55,TblApplications[Action],"À migrer",TblApplications[Déjà incluse ROKS],"Non",TblApplications[Mois prov (calc)],"&lt;="&amp;$E55),SUMIFS(TblApplications[CPU IKS libérable (vCPU)],TblApplications[Cluster IKS source],$F55,TblApplications[Mois lib (calc)],"&lt;="&amp;$E55)))</f>
        <v>0</v>
      </c>
      <c r="Q55" s="19">
        <f>IF($D55&lt;&gt;1,"",IF($G55="ROKS",SUMIFS(TblApplications[Besoin ROKS RAM (Go)],TblApplications[Cluster ROKS cible],$F55,TblApplications[Action],"À migrer",TblApplications[Déjà incluse ROKS],"Non",TblApplications[Mois prov (calc)],"&lt;="&amp;$E55),SUMIFS(TblApplications[RAM IKS libérable (Go)],TblApplications[Cluster IKS source],$F55,TblApplications[Mois lib (calc)],"&lt;="&amp;$E55)))</f>
        <v>0</v>
      </c>
      <c r="R55" s="19">
        <f t="shared" si="3"/>
        <v>192</v>
      </c>
      <c r="S55" s="19">
        <f t="shared" si="4"/>
        <v>480</v>
      </c>
      <c r="T55" s="19">
        <f t="shared" si="5"/>
        <v>6</v>
      </c>
      <c r="U55" s="19">
        <f t="shared" si="6"/>
        <v>192</v>
      </c>
      <c r="V55" s="19">
        <f t="shared" si="7"/>
        <v>480</v>
      </c>
      <c r="W55" s="73">
        <f t="shared" si="8"/>
        <v>7296</v>
      </c>
      <c r="X55" s="19">
        <f>IF($D55&lt;&gt;1,"",IF($G55="ROKS",$R55,IF($AI55=1,0,MAX($N55,$L55-SUMIFS(TblApplications[CPU IKS libérable (vCPU)],TblApplications[Cluster IKS source],$F55,TblApplications[Action],"À migrer",TblApplications[Mois prov (calc)],"&lt;="&amp;$E55)-SUMIFS(TblApplications[CPU IKS libérable (vCPU)],TblApplications[Cluster IKS source],$F55,TblApplications[Action],"À décommissionner",TblApplications[Mois lib (calc)],"&lt;="&amp;$E55)))))</f>
        <v>192</v>
      </c>
      <c r="Y55" s="19">
        <f>IF($D55&lt;&gt;1,"",IF($G55="ROKS",$S55,IF($AI55=1,0,MAX($O55,$M55-SUMIFS(TblApplications[RAM IKS libérable (Go)],TblApplications[Cluster IKS source],$F55,TblApplications[Action],"À migrer",TblApplications[Mois prov (calc)],"&lt;="&amp;$E55)-SUMIFS(TblApplications[RAM IKS libérable (Go)],TblApplications[Cluster IKS source],$F55,TblApplications[Action],"À décommissionner",TblApplications[Mois lib (calc)],"&lt;="&amp;$E55)))))</f>
        <v>480</v>
      </c>
      <c r="Z55" s="19">
        <f t="shared" si="9"/>
        <v>6</v>
      </c>
      <c r="AA55" s="73">
        <f t="shared" si="10"/>
        <v>7296</v>
      </c>
      <c r="AB55" s="19">
        <f t="shared" si="11"/>
        <v>6</v>
      </c>
      <c r="AC55" s="73">
        <f t="shared" si="12"/>
        <v>7296</v>
      </c>
      <c r="AD55" s="19">
        <f t="shared" si="13"/>
        <v>0</v>
      </c>
      <c r="AE55" s="19">
        <f t="shared" si="14"/>
        <v>0</v>
      </c>
      <c r="AF55" s="19" t="str">
        <f>IF($D55&lt;&gt;1,"",IF(INDEX(TblClusters[Environnement],$B55)="","(vide)",INDEX(TblClusters[Environnement],$B55)))</f>
        <v>NPRD</v>
      </c>
      <c r="AG55" s="19">
        <f t="shared" si="15"/>
        <v>240</v>
      </c>
      <c r="AH55" s="19">
        <f t="shared" si="16"/>
        <v>30.4</v>
      </c>
      <c r="AI55" s="19">
        <f>IF($D55&lt;&gt;1,"",IF(AND($G55="IKS",ISNUMBER(INDEX(TblClusters[Fermeture retenue],$B55))),IF($E55&gt;=INDEX(TblClusters[Fermeture retenue],$B55),1,0),0))</f>
        <v>0</v>
      </c>
    </row>
    <row r="56" spans="1:35" x14ac:dyDescent="0.2">
      <c r="A56" s="19">
        <v>51</v>
      </c>
      <c r="B56" s="19">
        <f t="shared" si="0"/>
        <v>2</v>
      </c>
      <c r="C56" s="19">
        <f t="shared" si="1"/>
        <v>15</v>
      </c>
      <c r="D56" s="19">
        <f>IF($C56&gt;p_horizon,0,IFERROR(IF(AND(INDEX(TblClusters[Cluster],$B56)&lt;&gt;"",ISNUMBER(INDEX(TblClusters[CPU initial (vCPU)],$B56)),ISNUMBER(INDEX(TblClusters[CPU min (vCPU)],$B56)),OR(INDEX(TblClusters[Plateforme],$B56)="IKS",INDEX(TblClusters[Plateforme],$B56)="ROKS")),1,0),0))</f>
        <v>1</v>
      </c>
      <c r="E56" s="72">
        <f t="shared" si="2"/>
        <v>46722</v>
      </c>
      <c r="F56" s="19" t="str">
        <f>IF($D56=1,INDEX(TblClusters[Cluster],$B56),"")</f>
        <v>oc002i000578</v>
      </c>
      <c r="G56" s="19" t="str">
        <f>IF($D56=1,INDEX(TblClusters[Plateforme],$B56),"")</f>
        <v>ROKS</v>
      </c>
      <c r="H56" s="19">
        <f>IF($D56=1,INDEX(TblClusters[vCPU par nœud],$B56),"")</f>
        <v>32</v>
      </c>
      <c r="I56" s="19">
        <f>IF($D56=1,INDEX(TblClusters[RAM par nœud (Go)],$B56),"")</f>
        <v>80</v>
      </c>
      <c r="J56" s="19">
        <f>IF($D56=1,INDEX(TblClusters[Workers min],$B56),"")</f>
        <v>6</v>
      </c>
      <c r="K56" s="73">
        <f>IF($D56=1,INDEX(TblClusters[Tarif par nœud],$B56),"")</f>
        <v>1216</v>
      </c>
      <c r="L56" s="19">
        <f>IF($D56=1,INDEX(TblClusters[CPU initial (vCPU)],$B56),"")</f>
        <v>192</v>
      </c>
      <c r="M56" s="19">
        <f>IF($D56=1,INDEX(TblClusters[RAM initiale (Go)],$B56),"")</f>
        <v>480</v>
      </c>
      <c r="N56" s="19">
        <f>IF($D56=1,INDEX(TblClusters[CPU min (vCPU)],$B56),"")</f>
        <v>192</v>
      </c>
      <c r="O56" s="19">
        <f>IF($D56=1,INDEX(TblClusters[RAM min (Go)],$B56),"")</f>
        <v>480</v>
      </c>
      <c r="P56" s="19">
        <f>IF($D56&lt;&gt;1,"",IF($G56="ROKS",SUMIFS(TblApplications[Besoin ROKS CPU (vCPU)],TblApplications[Cluster ROKS cible],$F56,TblApplications[Action],"À migrer",TblApplications[Déjà incluse ROKS],"Non",TblApplications[Mois prov (calc)],"&lt;="&amp;$E56),SUMIFS(TblApplications[CPU IKS libérable (vCPU)],TblApplications[Cluster IKS source],$F56,TblApplications[Mois lib (calc)],"&lt;="&amp;$E56)))</f>
        <v>0</v>
      </c>
      <c r="Q56" s="19">
        <f>IF($D56&lt;&gt;1,"",IF($G56="ROKS",SUMIFS(TblApplications[Besoin ROKS RAM (Go)],TblApplications[Cluster ROKS cible],$F56,TblApplications[Action],"À migrer",TblApplications[Déjà incluse ROKS],"Non",TblApplications[Mois prov (calc)],"&lt;="&amp;$E56),SUMIFS(TblApplications[RAM IKS libérable (Go)],TblApplications[Cluster IKS source],$F56,TblApplications[Mois lib (calc)],"&lt;="&amp;$E56)))</f>
        <v>0</v>
      </c>
      <c r="R56" s="19">
        <f t="shared" si="3"/>
        <v>192</v>
      </c>
      <c r="S56" s="19">
        <f t="shared" si="4"/>
        <v>480</v>
      </c>
      <c r="T56" s="19">
        <f t="shared" si="5"/>
        <v>6</v>
      </c>
      <c r="U56" s="19">
        <f t="shared" si="6"/>
        <v>192</v>
      </c>
      <c r="V56" s="19">
        <f t="shared" si="7"/>
        <v>480</v>
      </c>
      <c r="W56" s="73">
        <f t="shared" si="8"/>
        <v>7296</v>
      </c>
      <c r="X56" s="19">
        <f>IF($D56&lt;&gt;1,"",IF($G56="ROKS",$R56,IF($AI56=1,0,MAX($N56,$L56-SUMIFS(TblApplications[CPU IKS libérable (vCPU)],TblApplications[Cluster IKS source],$F56,TblApplications[Action],"À migrer",TblApplications[Mois prov (calc)],"&lt;="&amp;$E56)-SUMIFS(TblApplications[CPU IKS libérable (vCPU)],TblApplications[Cluster IKS source],$F56,TblApplications[Action],"À décommissionner",TblApplications[Mois lib (calc)],"&lt;="&amp;$E56)))))</f>
        <v>192</v>
      </c>
      <c r="Y56" s="19">
        <f>IF($D56&lt;&gt;1,"",IF($G56="ROKS",$S56,IF($AI56=1,0,MAX($O56,$M56-SUMIFS(TblApplications[RAM IKS libérable (Go)],TblApplications[Cluster IKS source],$F56,TblApplications[Action],"À migrer",TblApplications[Mois prov (calc)],"&lt;="&amp;$E56)-SUMIFS(TblApplications[RAM IKS libérable (Go)],TblApplications[Cluster IKS source],$F56,TblApplications[Action],"À décommissionner",TblApplications[Mois lib (calc)],"&lt;="&amp;$E56)))))</f>
        <v>480</v>
      </c>
      <c r="Z56" s="19">
        <f t="shared" si="9"/>
        <v>6</v>
      </c>
      <c r="AA56" s="73">
        <f t="shared" si="10"/>
        <v>7296</v>
      </c>
      <c r="AB56" s="19">
        <f t="shared" si="11"/>
        <v>6</v>
      </c>
      <c r="AC56" s="73">
        <f t="shared" si="12"/>
        <v>7296</v>
      </c>
      <c r="AD56" s="19">
        <f t="shared" si="13"/>
        <v>0</v>
      </c>
      <c r="AE56" s="19">
        <f t="shared" si="14"/>
        <v>0</v>
      </c>
      <c r="AF56" s="19" t="str">
        <f>IF($D56&lt;&gt;1,"",IF(INDEX(TblClusters[Environnement],$B56)="","(vide)",INDEX(TblClusters[Environnement],$B56)))</f>
        <v>NPRD</v>
      </c>
      <c r="AG56" s="19">
        <f t="shared" si="15"/>
        <v>240</v>
      </c>
      <c r="AH56" s="19">
        <f t="shared" si="16"/>
        <v>30.4</v>
      </c>
      <c r="AI56" s="19">
        <f>IF($D56&lt;&gt;1,"",IF(AND($G56="IKS",ISNUMBER(INDEX(TblClusters[Fermeture retenue],$B56))),IF($E56&gt;=INDEX(TblClusters[Fermeture retenue],$B56),1,0),0))</f>
        <v>0</v>
      </c>
    </row>
    <row r="57" spans="1:35" x14ac:dyDescent="0.2">
      <c r="A57" s="19">
        <v>52</v>
      </c>
      <c r="B57" s="19">
        <f t="shared" si="0"/>
        <v>2</v>
      </c>
      <c r="C57" s="19">
        <f t="shared" si="1"/>
        <v>16</v>
      </c>
      <c r="D57" s="19">
        <f>IF($C57&gt;p_horizon,0,IFERROR(IF(AND(INDEX(TblClusters[Cluster],$B57)&lt;&gt;"",ISNUMBER(INDEX(TblClusters[CPU initial (vCPU)],$B57)),ISNUMBER(INDEX(TblClusters[CPU min (vCPU)],$B57)),OR(INDEX(TblClusters[Plateforme],$B57)="IKS",INDEX(TblClusters[Plateforme],$B57)="ROKS")),1,0),0))</f>
        <v>1</v>
      </c>
      <c r="E57" s="72">
        <f t="shared" si="2"/>
        <v>46753</v>
      </c>
      <c r="F57" s="19" t="str">
        <f>IF($D57=1,INDEX(TblClusters[Cluster],$B57),"")</f>
        <v>oc002i000578</v>
      </c>
      <c r="G57" s="19" t="str">
        <f>IF($D57=1,INDEX(TblClusters[Plateforme],$B57),"")</f>
        <v>ROKS</v>
      </c>
      <c r="H57" s="19">
        <f>IF($D57=1,INDEX(TblClusters[vCPU par nœud],$B57),"")</f>
        <v>32</v>
      </c>
      <c r="I57" s="19">
        <f>IF($D57=1,INDEX(TblClusters[RAM par nœud (Go)],$B57),"")</f>
        <v>80</v>
      </c>
      <c r="J57" s="19">
        <f>IF($D57=1,INDEX(TblClusters[Workers min],$B57),"")</f>
        <v>6</v>
      </c>
      <c r="K57" s="73">
        <f>IF($D57=1,INDEX(TblClusters[Tarif par nœud],$B57),"")</f>
        <v>1216</v>
      </c>
      <c r="L57" s="19">
        <f>IF($D57=1,INDEX(TblClusters[CPU initial (vCPU)],$B57),"")</f>
        <v>192</v>
      </c>
      <c r="M57" s="19">
        <f>IF($D57=1,INDEX(TblClusters[RAM initiale (Go)],$B57),"")</f>
        <v>480</v>
      </c>
      <c r="N57" s="19">
        <f>IF($D57=1,INDEX(TblClusters[CPU min (vCPU)],$B57),"")</f>
        <v>192</v>
      </c>
      <c r="O57" s="19">
        <f>IF($D57=1,INDEX(TblClusters[RAM min (Go)],$B57),"")</f>
        <v>480</v>
      </c>
      <c r="P57" s="19">
        <f>IF($D57&lt;&gt;1,"",IF($G57="ROKS",SUMIFS(TblApplications[Besoin ROKS CPU (vCPU)],TblApplications[Cluster ROKS cible],$F57,TblApplications[Action],"À migrer",TblApplications[Déjà incluse ROKS],"Non",TblApplications[Mois prov (calc)],"&lt;="&amp;$E57),SUMIFS(TblApplications[CPU IKS libérable (vCPU)],TblApplications[Cluster IKS source],$F57,TblApplications[Mois lib (calc)],"&lt;="&amp;$E57)))</f>
        <v>0</v>
      </c>
      <c r="Q57" s="19">
        <f>IF($D57&lt;&gt;1,"",IF($G57="ROKS",SUMIFS(TblApplications[Besoin ROKS RAM (Go)],TblApplications[Cluster ROKS cible],$F57,TblApplications[Action],"À migrer",TblApplications[Déjà incluse ROKS],"Non",TblApplications[Mois prov (calc)],"&lt;="&amp;$E57),SUMIFS(TblApplications[RAM IKS libérable (Go)],TblApplications[Cluster IKS source],$F57,TblApplications[Mois lib (calc)],"&lt;="&amp;$E57)))</f>
        <v>0</v>
      </c>
      <c r="R57" s="19">
        <f t="shared" si="3"/>
        <v>192</v>
      </c>
      <c r="S57" s="19">
        <f t="shared" si="4"/>
        <v>480</v>
      </c>
      <c r="T57" s="19">
        <f t="shared" si="5"/>
        <v>6</v>
      </c>
      <c r="U57" s="19">
        <f t="shared" si="6"/>
        <v>192</v>
      </c>
      <c r="V57" s="19">
        <f t="shared" si="7"/>
        <v>480</v>
      </c>
      <c r="W57" s="73">
        <f t="shared" si="8"/>
        <v>7296</v>
      </c>
      <c r="X57" s="19">
        <f>IF($D57&lt;&gt;1,"",IF($G57="ROKS",$R57,IF($AI57=1,0,MAX($N57,$L57-SUMIFS(TblApplications[CPU IKS libérable (vCPU)],TblApplications[Cluster IKS source],$F57,TblApplications[Action],"À migrer",TblApplications[Mois prov (calc)],"&lt;="&amp;$E57)-SUMIFS(TblApplications[CPU IKS libérable (vCPU)],TblApplications[Cluster IKS source],$F57,TblApplications[Action],"À décommissionner",TblApplications[Mois lib (calc)],"&lt;="&amp;$E57)))))</f>
        <v>192</v>
      </c>
      <c r="Y57" s="19">
        <f>IF($D57&lt;&gt;1,"",IF($G57="ROKS",$S57,IF($AI57=1,0,MAX($O57,$M57-SUMIFS(TblApplications[RAM IKS libérable (Go)],TblApplications[Cluster IKS source],$F57,TblApplications[Action],"À migrer",TblApplications[Mois prov (calc)],"&lt;="&amp;$E57)-SUMIFS(TblApplications[RAM IKS libérable (Go)],TblApplications[Cluster IKS source],$F57,TblApplications[Action],"À décommissionner",TblApplications[Mois lib (calc)],"&lt;="&amp;$E57)))))</f>
        <v>480</v>
      </c>
      <c r="Z57" s="19">
        <f t="shared" si="9"/>
        <v>6</v>
      </c>
      <c r="AA57" s="73">
        <f t="shared" si="10"/>
        <v>7296</v>
      </c>
      <c r="AB57" s="19">
        <f t="shared" si="11"/>
        <v>6</v>
      </c>
      <c r="AC57" s="73">
        <f t="shared" si="12"/>
        <v>7296</v>
      </c>
      <c r="AD57" s="19">
        <f t="shared" si="13"/>
        <v>0</v>
      </c>
      <c r="AE57" s="19">
        <f t="shared" si="14"/>
        <v>0</v>
      </c>
      <c r="AF57" s="19" t="str">
        <f>IF($D57&lt;&gt;1,"",IF(INDEX(TblClusters[Environnement],$B57)="","(vide)",INDEX(TblClusters[Environnement],$B57)))</f>
        <v>NPRD</v>
      </c>
      <c r="AG57" s="19">
        <f t="shared" si="15"/>
        <v>240</v>
      </c>
      <c r="AH57" s="19">
        <f t="shared" si="16"/>
        <v>30.4</v>
      </c>
      <c r="AI57" s="19">
        <f>IF($D57&lt;&gt;1,"",IF(AND($G57="IKS",ISNUMBER(INDEX(TblClusters[Fermeture retenue],$B57))),IF($E57&gt;=INDEX(TblClusters[Fermeture retenue],$B57),1,0),0))</f>
        <v>0</v>
      </c>
    </row>
    <row r="58" spans="1:35" x14ac:dyDescent="0.2">
      <c r="A58" s="19">
        <v>53</v>
      </c>
      <c r="B58" s="19">
        <f t="shared" si="0"/>
        <v>2</v>
      </c>
      <c r="C58" s="19">
        <f t="shared" si="1"/>
        <v>17</v>
      </c>
      <c r="D58" s="19">
        <f>IF($C58&gt;p_horizon,0,IFERROR(IF(AND(INDEX(TblClusters[Cluster],$B58)&lt;&gt;"",ISNUMBER(INDEX(TblClusters[CPU initial (vCPU)],$B58)),ISNUMBER(INDEX(TblClusters[CPU min (vCPU)],$B58)),OR(INDEX(TblClusters[Plateforme],$B58)="IKS",INDEX(TblClusters[Plateforme],$B58)="ROKS")),1,0),0))</f>
        <v>1</v>
      </c>
      <c r="E58" s="72">
        <f t="shared" si="2"/>
        <v>46784</v>
      </c>
      <c r="F58" s="19" t="str">
        <f>IF($D58=1,INDEX(TblClusters[Cluster],$B58),"")</f>
        <v>oc002i000578</v>
      </c>
      <c r="G58" s="19" t="str">
        <f>IF($D58=1,INDEX(TblClusters[Plateforme],$B58),"")</f>
        <v>ROKS</v>
      </c>
      <c r="H58" s="19">
        <f>IF($D58=1,INDEX(TblClusters[vCPU par nœud],$B58),"")</f>
        <v>32</v>
      </c>
      <c r="I58" s="19">
        <f>IF($D58=1,INDEX(TblClusters[RAM par nœud (Go)],$B58),"")</f>
        <v>80</v>
      </c>
      <c r="J58" s="19">
        <f>IF($D58=1,INDEX(TblClusters[Workers min],$B58),"")</f>
        <v>6</v>
      </c>
      <c r="K58" s="73">
        <f>IF($D58=1,INDEX(TblClusters[Tarif par nœud],$B58),"")</f>
        <v>1216</v>
      </c>
      <c r="L58" s="19">
        <f>IF($D58=1,INDEX(TblClusters[CPU initial (vCPU)],$B58),"")</f>
        <v>192</v>
      </c>
      <c r="M58" s="19">
        <f>IF($D58=1,INDEX(TblClusters[RAM initiale (Go)],$B58),"")</f>
        <v>480</v>
      </c>
      <c r="N58" s="19">
        <f>IF($D58=1,INDEX(TblClusters[CPU min (vCPU)],$B58),"")</f>
        <v>192</v>
      </c>
      <c r="O58" s="19">
        <f>IF($D58=1,INDEX(TblClusters[RAM min (Go)],$B58),"")</f>
        <v>480</v>
      </c>
      <c r="P58" s="19">
        <f>IF($D58&lt;&gt;1,"",IF($G58="ROKS",SUMIFS(TblApplications[Besoin ROKS CPU (vCPU)],TblApplications[Cluster ROKS cible],$F58,TblApplications[Action],"À migrer",TblApplications[Déjà incluse ROKS],"Non",TblApplications[Mois prov (calc)],"&lt;="&amp;$E58),SUMIFS(TblApplications[CPU IKS libérable (vCPU)],TblApplications[Cluster IKS source],$F58,TblApplications[Mois lib (calc)],"&lt;="&amp;$E58)))</f>
        <v>0</v>
      </c>
      <c r="Q58" s="19">
        <f>IF($D58&lt;&gt;1,"",IF($G58="ROKS",SUMIFS(TblApplications[Besoin ROKS RAM (Go)],TblApplications[Cluster ROKS cible],$F58,TblApplications[Action],"À migrer",TblApplications[Déjà incluse ROKS],"Non",TblApplications[Mois prov (calc)],"&lt;="&amp;$E58),SUMIFS(TblApplications[RAM IKS libérable (Go)],TblApplications[Cluster IKS source],$F58,TblApplications[Mois lib (calc)],"&lt;="&amp;$E58)))</f>
        <v>0</v>
      </c>
      <c r="R58" s="19">
        <f t="shared" si="3"/>
        <v>192</v>
      </c>
      <c r="S58" s="19">
        <f t="shared" si="4"/>
        <v>480</v>
      </c>
      <c r="T58" s="19">
        <f t="shared" si="5"/>
        <v>6</v>
      </c>
      <c r="U58" s="19">
        <f t="shared" si="6"/>
        <v>192</v>
      </c>
      <c r="V58" s="19">
        <f t="shared" si="7"/>
        <v>480</v>
      </c>
      <c r="W58" s="73">
        <f t="shared" si="8"/>
        <v>7296</v>
      </c>
      <c r="X58" s="19">
        <f>IF($D58&lt;&gt;1,"",IF($G58="ROKS",$R58,IF($AI58=1,0,MAX($N58,$L58-SUMIFS(TblApplications[CPU IKS libérable (vCPU)],TblApplications[Cluster IKS source],$F58,TblApplications[Action],"À migrer",TblApplications[Mois prov (calc)],"&lt;="&amp;$E58)-SUMIFS(TblApplications[CPU IKS libérable (vCPU)],TblApplications[Cluster IKS source],$F58,TblApplications[Action],"À décommissionner",TblApplications[Mois lib (calc)],"&lt;="&amp;$E58)))))</f>
        <v>192</v>
      </c>
      <c r="Y58" s="19">
        <f>IF($D58&lt;&gt;1,"",IF($G58="ROKS",$S58,IF($AI58=1,0,MAX($O58,$M58-SUMIFS(TblApplications[RAM IKS libérable (Go)],TblApplications[Cluster IKS source],$F58,TblApplications[Action],"À migrer",TblApplications[Mois prov (calc)],"&lt;="&amp;$E58)-SUMIFS(TblApplications[RAM IKS libérable (Go)],TblApplications[Cluster IKS source],$F58,TblApplications[Action],"À décommissionner",TblApplications[Mois lib (calc)],"&lt;="&amp;$E58)))))</f>
        <v>480</v>
      </c>
      <c r="Z58" s="19">
        <f t="shared" si="9"/>
        <v>6</v>
      </c>
      <c r="AA58" s="73">
        <f t="shared" si="10"/>
        <v>7296</v>
      </c>
      <c r="AB58" s="19">
        <f t="shared" si="11"/>
        <v>6</v>
      </c>
      <c r="AC58" s="73">
        <f t="shared" si="12"/>
        <v>7296</v>
      </c>
      <c r="AD58" s="19">
        <f t="shared" si="13"/>
        <v>0</v>
      </c>
      <c r="AE58" s="19">
        <f t="shared" si="14"/>
        <v>0</v>
      </c>
      <c r="AF58" s="19" t="str">
        <f>IF($D58&lt;&gt;1,"",IF(INDEX(TblClusters[Environnement],$B58)="","(vide)",INDEX(TblClusters[Environnement],$B58)))</f>
        <v>NPRD</v>
      </c>
      <c r="AG58" s="19">
        <f t="shared" si="15"/>
        <v>240</v>
      </c>
      <c r="AH58" s="19">
        <f t="shared" si="16"/>
        <v>30.4</v>
      </c>
      <c r="AI58" s="19">
        <f>IF($D58&lt;&gt;1,"",IF(AND($G58="IKS",ISNUMBER(INDEX(TblClusters[Fermeture retenue],$B58))),IF($E58&gt;=INDEX(TblClusters[Fermeture retenue],$B58),1,0),0))</f>
        <v>0</v>
      </c>
    </row>
    <row r="59" spans="1:35" x14ac:dyDescent="0.2">
      <c r="A59" s="19">
        <v>54</v>
      </c>
      <c r="B59" s="19">
        <f t="shared" si="0"/>
        <v>2</v>
      </c>
      <c r="C59" s="19">
        <f t="shared" si="1"/>
        <v>18</v>
      </c>
      <c r="D59" s="19">
        <f>IF($C59&gt;p_horizon,0,IFERROR(IF(AND(INDEX(TblClusters[Cluster],$B59)&lt;&gt;"",ISNUMBER(INDEX(TblClusters[CPU initial (vCPU)],$B59)),ISNUMBER(INDEX(TblClusters[CPU min (vCPU)],$B59)),OR(INDEX(TblClusters[Plateforme],$B59)="IKS",INDEX(TblClusters[Plateforme],$B59)="ROKS")),1,0),0))</f>
        <v>1</v>
      </c>
      <c r="E59" s="72">
        <f t="shared" si="2"/>
        <v>46813</v>
      </c>
      <c r="F59" s="19" t="str">
        <f>IF($D59=1,INDEX(TblClusters[Cluster],$B59),"")</f>
        <v>oc002i000578</v>
      </c>
      <c r="G59" s="19" t="str">
        <f>IF($D59=1,INDEX(TblClusters[Plateforme],$B59),"")</f>
        <v>ROKS</v>
      </c>
      <c r="H59" s="19">
        <f>IF($D59=1,INDEX(TblClusters[vCPU par nœud],$B59),"")</f>
        <v>32</v>
      </c>
      <c r="I59" s="19">
        <f>IF($D59=1,INDEX(TblClusters[RAM par nœud (Go)],$B59),"")</f>
        <v>80</v>
      </c>
      <c r="J59" s="19">
        <f>IF($D59=1,INDEX(TblClusters[Workers min],$B59),"")</f>
        <v>6</v>
      </c>
      <c r="K59" s="73">
        <f>IF($D59=1,INDEX(TblClusters[Tarif par nœud],$B59),"")</f>
        <v>1216</v>
      </c>
      <c r="L59" s="19">
        <f>IF($D59=1,INDEX(TblClusters[CPU initial (vCPU)],$B59),"")</f>
        <v>192</v>
      </c>
      <c r="M59" s="19">
        <f>IF($D59=1,INDEX(TblClusters[RAM initiale (Go)],$B59),"")</f>
        <v>480</v>
      </c>
      <c r="N59" s="19">
        <f>IF($D59=1,INDEX(TblClusters[CPU min (vCPU)],$B59),"")</f>
        <v>192</v>
      </c>
      <c r="O59" s="19">
        <f>IF($D59=1,INDEX(TblClusters[RAM min (Go)],$B59),"")</f>
        <v>480</v>
      </c>
      <c r="P59" s="19">
        <f>IF($D59&lt;&gt;1,"",IF($G59="ROKS",SUMIFS(TblApplications[Besoin ROKS CPU (vCPU)],TblApplications[Cluster ROKS cible],$F59,TblApplications[Action],"À migrer",TblApplications[Déjà incluse ROKS],"Non",TblApplications[Mois prov (calc)],"&lt;="&amp;$E59),SUMIFS(TblApplications[CPU IKS libérable (vCPU)],TblApplications[Cluster IKS source],$F59,TblApplications[Mois lib (calc)],"&lt;="&amp;$E59)))</f>
        <v>0</v>
      </c>
      <c r="Q59" s="19">
        <f>IF($D59&lt;&gt;1,"",IF($G59="ROKS",SUMIFS(TblApplications[Besoin ROKS RAM (Go)],TblApplications[Cluster ROKS cible],$F59,TblApplications[Action],"À migrer",TblApplications[Déjà incluse ROKS],"Non",TblApplications[Mois prov (calc)],"&lt;="&amp;$E59),SUMIFS(TblApplications[RAM IKS libérable (Go)],TblApplications[Cluster IKS source],$F59,TblApplications[Mois lib (calc)],"&lt;="&amp;$E59)))</f>
        <v>0</v>
      </c>
      <c r="R59" s="19">
        <f t="shared" si="3"/>
        <v>192</v>
      </c>
      <c r="S59" s="19">
        <f t="shared" si="4"/>
        <v>480</v>
      </c>
      <c r="T59" s="19">
        <f t="shared" si="5"/>
        <v>6</v>
      </c>
      <c r="U59" s="19">
        <f t="shared" si="6"/>
        <v>192</v>
      </c>
      <c r="V59" s="19">
        <f t="shared" si="7"/>
        <v>480</v>
      </c>
      <c r="W59" s="73">
        <f t="shared" si="8"/>
        <v>7296</v>
      </c>
      <c r="X59" s="19">
        <f>IF($D59&lt;&gt;1,"",IF($G59="ROKS",$R59,IF($AI59=1,0,MAX($N59,$L59-SUMIFS(TblApplications[CPU IKS libérable (vCPU)],TblApplications[Cluster IKS source],$F59,TblApplications[Action],"À migrer",TblApplications[Mois prov (calc)],"&lt;="&amp;$E59)-SUMIFS(TblApplications[CPU IKS libérable (vCPU)],TblApplications[Cluster IKS source],$F59,TblApplications[Action],"À décommissionner",TblApplications[Mois lib (calc)],"&lt;="&amp;$E59)))))</f>
        <v>192</v>
      </c>
      <c r="Y59" s="19">
        <f>IF($D59&lt;&gt;1,"",IF($G59="ROKS",$S59,IF($AI59=1,0,MAX($O59,$M59-SUMIFS(TblApplications[RAM IKS libérable (Go)],TblApplications[Cluster IKS source],$F59,TblApplications[Action],"À migrer",TblApplications[Mois prov (calc)],"&lt;="&amp;$E59)-SUMIFS(TblApplications[RAM IKS libérable (Go)],TblApplications[Cluster IKS source],$F59,TblApplications[Action],"À décommissionner",TblApplications[Mois lib (calc)],"&lt;="&amp;$E59)))))</f>
        <v>480</v>
      </c>
      <c r="Z59" s="19">
        <f t="shared" si="9"/>
        <v>6</v>
      </c>
      <c r="AA59" s="73">
        <f t="shared" si="10"/>
        <v>7296</v>
      </c>
      <c r="AB59" s="19">
        <f t="shared" si="11"/>
        <v>6</v>
      </c>
      <c r="AC59" s="73">
        <f t="shared" si="12"/>
        <v>7296</v>
      </c>
      <c r="AD59" s="19">
        <f t="shared" si="13"/>
        <v>0</v>
      </c>
      <c r="AE59" s="19">
        <f t="shared" si="14"/>
        <v>0</v>
      </c>
      <c r="AF59" s="19" t="str">
        <f>IF($D59&lt;&gt;1,"",IF(INDEX(TblClusters[Environnement],$B59)="","(vide)",INDEX(TblClusters[Environnement],$B59)))</f>
        <v>NPRD</v>
      </c>
      <c r="AG59" s="19">
        <f t="shared" si="15"/>
        <v>240</v>
      </c>
      <c r="AH59" s="19">
        <f t="shared" si="16"/>
        <v>30.4</v>
      </c>
      <c r="AI59" s="19">
        <f>IF($D59&lt;&gt;1,"",IF(AND($G59="IKS",ISNUMBER(INDEX(TblClusters[Fermeture retenue],$B59))),IF($E59&gt;=INDEX(TblClusters[Fermeture retenue],$B59),1,0),0))</f>
        <v>0</v>
      </c>
    </row>
    <row r="60" spans="1:35" x14ac:dyDescent="0.2">
      <c r="A60" s="19">
        <v>55</v>
      </c>
      <c r="B60" s="19">
        <f t="shared" si="0"/>
        <v>2</v>
      </c>
      <c r="C60" s="19">
        <f t="shared" si="1"/>
        <v>19</v>
      </c>
      <c r="D60" s="19">
        <f>IF($C60&gt;p_horizon,0,IFERROR(IF(AND(INDEX(TblClusters[Cluster],$B60)&lt;&gt;"",ISNUMBER(INDEX(TblClusters[CPU initial (vCPU)],$B60)),ISNUMBER(INDEX(TblClusters[CPU min (vCPU)],$B60)),OR(INDEX(TblClusters[Plateforme],$B60)="IKS",INDEX(TblClusters[Plateforme],$B60)="ROKS")),1,0),0))</f>
        <v>1</v>
      </c>
      <c r="E60" s="72">
        <f t="shared" si="2"/>
        <v>46844</v>
      </c>
      <c r="F60" s="19" t="str">
        <f>IF($D60=1,INDEX(TblClusters[Cluster],$B60),"")</f>
        <v>oc002i000578</v>
      </c>
      <c r="G60" s="19" t="str">
        <f>IF($D60=1,INDEX(TblClusters[Plateforme],$B60),"")</f>
        <v>ROKS</v>
      </c>
      <c r="H60" s="19">
        <f>IF($D60=1,INDEX(TblClusters[vCPU par nœud],$B60),"")</f>
        <v>32</v>
      </c>
      <c r="I60" s="19">
        <f>IF($D60=1,INDEX(TblClusters[RAM par nœud (Go)],$B60),"")</f>
        <v>80</v>
      </c>
      <c r="J60" s="19">
        <f>IF($D60=1,INDEX(TblClusters[Workers min],$B60),"")</f>
        <v>6</v>
      </c>
      <c r="K60" s="73">
        <f>IF($D60=1,INDEX(TblClusters[Tarif par nœud],$B60),"")</f>
        <v>1216</v>
      </c>
      <c r="L60" s="19">
        <f>IF($D60=1,INDEX(TblClusters[CPU initial (vCPU)],$B60),"")</f>
        <v>192</v>
      </c>
      <c r="M60" s="19">
        <f>IF($D60=1,INDEX(TblClusters[RAM initiale (Go)],$B60),"")</f>
        <v>480</v>
      </c>
      <c r="N60" s="19">
        <f>IF($D60=1,INDEX(TblClusters[CPU min (vCPU)],$B60),"")</f>
        <v>192</v>
      </c>
      <c r="O60" s="19">
        <f>IF($D60=1,INDEX(TblClusters[RAM min (Go)],$B60),"")</f>
        <v>480</v>
      </c>
      <c r="P60" s="19">
        <f>IF($D60&lt;&gt;1,"",IF($G60="ROKS",SUMIFS(TblApplications[Besoin ROKS CPU (vCPU)],TblApplications[Cluster ROKS cible],$F60,TblApplications[Action],"À migrer",TblApplications[Déjà incluse ROKS],"Non",TblApplications[Mois prov (calc)],"&lt;="&amp;$E60),SUMIFS(TblApplications[CPU IKS libérable (vCPU)],TblApplications[Cluster IKS source],$F60,TblApplications[Mois lib (calc)],"&lt;="&amp;$E60)))</f>
        <v>0</v>
      </c>
      <c r="Q60" s="19">
        <f>IF($D60&lt;&gt;1,"",IF($G60="ROKS",SUMIFS(TblApplications[Besoin ROKS RAM (Go)],TblApplications[Cluster ROKS cible],$F60,TblApplications[Action],"À migrer",TblApplications[Déjà incluse ROKS],"Non",TblApplications[Mois prov (calc)],"&lt;="&amp;$E60),SUMIFS(TblApplications[RAM IKS libérable (Go)],TblApplications[Cluster IKS source],$F60,TblApplications[Mois lib (calc)],"&lt;="&amp;$E60)))</f>
        <v>0</v>
      </c>
      <c r="R60" s="19">
        <f t="shared" si="3"/>
        <v>192</v>
      </c>
      <c r="S60" s="19">
        <f t="shared" si="4"/>
        <v>480</v>
      </c>
      <c r="T60" s="19">
        <f t="shared" si="5"/>
        <v>6</v>
      </c>
      <c r="U60" s="19">
        <f t="shared" si="6"/>
        <v>192</v>
      </c>
      <c r="V60" s="19">
        <f t="shared" si="7"/>
        <v>480</v>
      </c>
      <c r="W60" s="73">
        <f t="shared" si="8"/>
        <v>7296</v>
      </c>
      <c r="X60" s="19">
        <f>IF($D60&lt;&gt;1,"",IF($G60="ROKS",$R60,IF($AI60=1,0,MAX($N60,$L60-SUMIFS(TblApplications[CPU IKS libérable (vCPU)],TblApplications[Cluster IKS source],$F60,TblApplications[Action],"À migrer",TblApplications[Mois prov (calc)],"&lt;="&amp;$E60)-SUMIFS(TblApplications[CPU IKS libérable (vCPU)],TblApplications[Cluster IKS source],$F60,TblApplications[Action],"À décommissionner",TblApplications[Mois lib (calc)],"&lt;="&amp;$E60)))))</f>
        <v>192</v>
      </c>
      <c r="Y60" s="19">
        <f>IF($D60&lt;&gt;1,"",IF($G60="ROKS",$S60,IF($AI60=1,0,MAX($O60,$M60-SUMIFS(TblApplications[RAM IKS libérable (Go)],TblApplications[Cluster IKS source],$F60,TblApplications[Action],"À migrer",TblApplications[Mois prov (calc)],"&lt;="&amp;$E60)-SUMIFS(TblApplications[RAM IKS libérable (Go)],TblApplications[Cluster IKS source],$F60,TblApplications[Action],"À décommissionner",TblApplications[Mois lib (calc)],"&lt;="&amp;$E60)))))</f>
        <v>480</v>
      </c>
      <c r="Z60" s="19">
        <f t="shared" si="9"/>
        <v>6</v>
      </c>
      <c r="AA60" s="73">
        <f t="shared" si="10"/>
        <v>7296</v>
      </c>
      <c r="AB60" s="19">
        <f t="shared" si="11"/>
        <v>6</v>
      </c>
      <c r="AC60" s="73">
        <f t="shared" si="12"/>
        <v>7296</v>
      </c>
      <c r="AD60" s="19">
        <f t="shared" si="13"/>
        <v>0</v>
      </c>
      <c r="AE60" s="19">
        <f t="shared" si="14"/>
        <v>0</v>
      </c>
      <c r="AF60" s="19" t="str">
        <f>IF($D60&lt;&gt;1,"",IF(INDEX(TblClusters[Environnement],$B60)="","(vide)",INDEX(TblClusters[Environnement],$B60)))</f>
        <v>NPRD</v>
      </c>
      <c r="AG60" s="19">
        <f t="shared" si="15"/>
        <v>240</v>
      </c>
      <c r="AH60" s="19">
        <f t="shared" si="16"/>
        <v>30.4</v>
      </c>
      <c r="AI60" s="19">
        <f>IF($D60&lt;&gt;1,"",IF(AND($G60="IKS",ISNUMBER(INDEX(TblClusters[Fermeture retenue],$B60))),IF($E60&gt;=INDEX(TblClusters[Fermeture retenue],$B60),1,0),0))</f>
        <v>0</v>
      </c>
    </row>
    <row r="61" spans="1:35" x14ac:dyDescent="0.2">
      <c r="A61" s="19">
        <v>56</v>
      </c>
      <c r="B61" s="19">
        <f t="shared" si="0"/>
        <v>2</v>
      </c>
      <c r="C61" s="19">
        <f t="shared" si="1"/>
        <v>20</v>
      </c>
      <c r="D61" s="19">
        <f>IF($C61&gt;p_horizon,0,IFERROR(IF(AND(INDEX(TblClusters[Cluster],$B61)&lt;&gt;"",ISNUMBER(INDEX(TblClusters[CPU initial (vCPU)],$B61)),ISNUMBER(INDEX(TblClusters[CPU min (vCPU)],$B61)),OR(INDEX(TblClusters[Plateforme],$B61)="IKS",INDEX(TblClusters[Plateforme],$B61)="ROKS")),1,0),0))</f>
        <v>1</v>
      </c>
      <c r="E61" s="72">
        <f t="shared" si="2"/>
        <v>46874</v>
      </c>
      <c r="F61" s="19" t="str">
        <f>IF($D61=1,INDEX(TblClusters[Cluster],$B61),"")</f>
        <v>oc002i000578</v>
      </c>
      <c r="G61" s="19" t="str">
        <f>IF($D61=1,INDEX(TblClusters[Plateforme],$B61),"")</f>
        <v>ROKS</v>
      </c>
      <c r="H61" s="19">
        <f>IF($D61=1,INDEX(TblClusters[vCPU par nœud],$B61),"")</f>
        <v>32</v>
      </c>
      <c r="I61" s="19">
        <f>IF($D61=1,INDEX(TblClusters[RAM par nœud (Go)],$B61),"")</f>
        <v>80</v>
      </c>
      <c r="J61" s="19">
        <f>IF($D61=1,INDEX(TblClusters[Workers min],$B61),"")</f>
        <v>6</v>
      </c>
      <c r="K61" s="73">
        <f>IF($D61=1,INDEX(TblClusters[Tarif par nœud],$B61),"")</f>
        <v>1216</v>
      </c>
      <c r="L61" s="19">
        <f>IF($D61=1,INDEX(TblClusters[CPU initial (vCPU)],$B61),"")</f>
        <v>192</v>
      </c>
      <c r="M61" s="19">
        <f>IF($D61=1,INDEX(TblClusters[RAM initiale (Go)],$B61),"")</f>
        <v>480</v>
      </c>
      <c r="N61" s="19">
        <f>IF($D61=1,INDEX(TblClusters[CPU min (vCPU)],$B61),"")</f>
        <v>192</v>
      </c>
      <c r="O61" s="19">
        <f>IF($D61=1,INDEX(TblClusters[RAM min (Go)],$B61),"")</f>
        <v>480</v>
      </c>
      <c r="P61" s="19">
        <f>IF($D61&lt;&gt;1,"",IF($G61="ROKS",SUMIFS(TblApplications[Besoin ROKS CPU (vCPU)],TblApplications[Cluster ROKS cible],$F61,TblApplications[Action],"À migrer",TblApplications[Déjà incluse ROKS],"Non",TblApplications[Mois prov (calc)],"&lt;="&amp;$E61),SUMIFS(TblApplications[CPU IKS libérable (vCPU)],TblApplications[Cluster IKS source],$F61,TblApplications[Mois lib (calc)],"&lt;="&amp;$E61)))</f>
        <v>0</v>
      </c>
      <c r="Q61" s="19">
        <f>IF($D61&lt;&gt;1,"",IF($G61="ROKS",SUMIFS(TblApplications[Besoin ROKS RAM (Go)],TblApplications[Cluster ROKS cible],$F61,TblApplications[Action],"À migrer",TblApplications[Déjà incluse ROKS],"Non",TblApplications[Mois prov (calc)],"&lt;="&amp;$E61),SUMIFS(TblApplications[RAM IKS libérable (Go)],TblApplications[Cluster IKS source],$F61,TblApplications[Mois lib (calc)],"&lt;="&amp;$E61)))</f>
        <v>0</v>
      </c>
      <c r="R61" s="19">
        <f t="shared" si="3"/>
        <v>192</v>
      </c>
      <c r="S61" s="19">
        <f t="shared" si="4"/>
        <v>480</v>
      </c>
      <c r="T61" s="19">
        <f t="shared" si="5"/>
        <v>6</v>
      </c>
      <c r="U61" s="19">
        <f t="shared" si="6"/>
        <v>192</v>
      </c>
      <c r="V61" s="19">
        <f t="shared" si="7"/>
        <v>480</v>
      </c>
      <c r="W61" s="73">
        <f t="shared" si="8"/>
        <v>7296</v>
      </c>
      <c r="X61" s="19">
        <f>IF($D61&lt;&gt;1,"",IF($G61="ROKS",$R61,IF($AI61=1,0,MAX($N61,$L61-SUMIFS(TblApplications[CPU IKS libérable (vCPU)],TblApplications[Cluster IKS source],$F61,TblApplications[Action],"À migrer",TblApplications[Mois prov (calc)],"&lt;="&amp;$E61)-SUMIFS(TblApplications[CPU IKS libérable (vCPU)],TblApplications[Cluster IKS source],$F61,TblApplications[Action],"À décommissionner",TblApplications[Mois lib (calc)],"&lt;="&amp;$E61)))))</f>
        <v>192</v>
      </c>
      <c r="Y61" s="19">
        <f>IF($D61&lt;&gt;1,"",IF($G61="ROKS",$S61,IF($AI61=1,0,MAX($O61,$M61-SUMIFS(TblApplications[RAM IKS libérable (Go)],TblApplications[Cluster IKS source],$F61,TblApplications[Action],"À migrer",TblApplications[Mois prov (calc)],"&lt;="&amp;$E61)-SUMIFS(TblApplications[RAM IKS libérable (Go)],TblApplications[Cluster IKS source],$F61,TblApplications[Action],"À décommissionner",TblApplications[Mois lib (calc)],"&lt;="&amp;$E61)))))</f>
        <v>480</v>
      </c>
      <c r="Z61" s="19">
        <f t="shared" si="9"/>
        <v>6</v>
      </c>
      <c r="AA61" s="73">
        <f t="shared" si="10"/>
        <v>7296</v>
      </c>
      <c r="AB61" s="19">
        <f t="shared" si="11"/>
        <v>6</v>
      </c>
      <c r="AC61" s="73">
        <f t="shared" si="12"/>
        <v>7296</v>
      </c>
      <c r="AD61" s="19">
        <f t="shared" si="13"/>
        <v>0</v>
      </c>
      <c r="AE61" s="19">
        <f t="shared" si="14"/>
        <v>0</v>
      </c>
      <c r="AF61" s="19" t="str">
        <f>IF($D61&lt;&gt;1,"",IF(INDEX(TblClusters[Environnement],$B61)="","(vide)",INDEX(TblClusters[Environnement],$B61)))</f>
        <v>NPRD</v>
      </c>
      <c r="AG61" s="19">
        <f t="shared" si="15"/>
        <v>240</v>
      </c>
      <c r="AH61" s="19">
        <f t="shared" si="16"/>
        <v>30.4</v>
      </c>
      <c r="AI61" s="19">
        <f>IF($D61&lt;&gt;1,"",IF(AND($G61="IKS",ISNUMBER(INDEX(TblClusters[Fermeture retenue],$B61))),IF($E61&gt;=INDEX(TblClusters[Fermeture retenue],$B61),1,0),0))</f>
        <v>0</v>
      </c>
    </row>
    <row r="62" spans="1:35" x14ac:dyDescent="0.2">
      <c r="A62" s="19">
        <v>57</v>
      </c>
      <c r="B62" s="19">
        <f t="shared" si="0"/>
        <v>2</v>
      </c>
      <c r="C62" s="19">
        <f t="shared" si="1"/>
        <v>21</v>
      </c>
      <c r="D62" s="19">
        <f>IF($C62&gt;p_horizon,0,IFERROR(IF(AND(INDEX(TblClusters[Cluster],$B62)&lt;&gt;"",ISNUMBER(INDEX(TblClusters[CPU initial (vCPU)],$B62)),ISNUMBER(INDEX(TblClusters[CPU min (vCPU)],$B62)),OR(INDEX(TblClusters[Plateforme],$B62)="IKS",INDEX(TblClusters[Plateforme],$B62)="ROKS")),1,0),0))</f>
        <v>1</v>
      </c>
      <c r="E62" s="72">
        <f t="shared" si="2"/>
        <v>46905</v>
      </c>
      <c r="F62" s="19" t="str">
        <f>IF($D62=1,INDEX(TblClusters[Cluster],$B62),"")</f>
        <v>oc002i000578</v>
      </c>
      <c r="G62" s="19" t="str">
        <f>IF($D62=1,INDEX(TblClusters[Plateforme],$B62),"")</f>
        <v>ROKS</v>
      </c>
      <c r="H62" s="19">
        <f>IF($D62=1,INDEX(TblClusters[vCPU par nœud],$B62),"")</f>
        <v>32</v>
      </c>
      <c r="I62" s="19">
        <f>IF($D62=1,INDEX(TblClusters[RAM par nœud (Go)],$B62),"")</f>
        <v>80</v>
      </c>
      <c r="J62" s="19">
        <f>IF($D62=1,INDEX(TblClusters[Workers min],$B62),"")</f>
        <v>6</v>
      </c>
      <c r="K62" s="73">
        <f>IF($D62=1,INDEX(TblClusters[Tarif par nœud],$B62),"")</f>
        <v>1216</v>
      </c>
      <c r="L62" s="19">
        <f>IF($D62=1,INDEX(TblClusters[CPU initial (vCPU)],$B62),"")</f>
        <v>192</v>
      </c>
      <c r="M62" s="19">
        <f>IF($D62=1,INDEX(TblClusters[RAM initiale (Go)],$B62),"")</f>
        <v>480</v>
      </c>
      <c r="N62" s="19">
        <f>IF($D62=1,INDEX(TblClusters[CPU min (vCPU)],$B62),"")</f>
        <v>192</v>
      </c>
      <c r="O62" s="19">
        <f>IF($D62=1,INDEX(TblClusters[RAM min (Go)],$B62),"")</f>
        <v>480</v>
      </c>
      <c r="P62" s="19">
        <f>IF($D62&lt;&gt;1,"",IF($G62="ROKS",SUMIFS(TblApplications[Besoin ROKS CPU (vCPU)],TblApplications[Cluster ROKS cible],$F62,TblApplications[Action],"À migrer",TblApplications[Déjà incluse ROKS],"Non",TblApplications[Mois prov (calc)],"&lt;="&amp;$E62),SUMIFS(TblApplications[CPU IKS libérable (vCPU)],TblApplications[Cluster IKS source],$F62,TblApplications[Mois lib (calc)],"&lt;="&amp;$E62)))</f>
        <v>0</v>
      </c>
      <c r="Q62" s="19">
        <f>IF($D62&lt;&gt;1,"",IF($G62="ROKS",SUMIFS(TblApplications[Besoin ROKS RAM (Go)],TblApplications[Cluster ROKS cible],$F62,TblApplications[Action],"À migrer",TblApplications[Déjà incluse ROKS],"Non",TblApplications[Mois prov (calc)],"&lt;="&amp;$E62),SUMIFS(TblApplications[RAM IKS libérable (Go)],TblApplications[Cluster IKS source],$F62,TblApplications[Mois lib (calc)],"&lt;="&amp;$E62)))</f>
        <v>0</v>
      </c>
      <c r="R62" s="19">
        <f t="shared" si="3"/>
        <v>192</v>
      </c>
      <c r="S62" s="19">
        <f t="shared" si="4"/>
        <v>480</v>
      </c>
      <c r="T62" s="19">
        <f t="shared" si="5"/>
        <v>6</v>
      </c>
      <c r="U62" s="19">
        <f t="shared" si="6"/>
        <v>192</v>
      </c>
      <c r="V62" s="19">
        <f t="shared" si="7"/>
        <v>480</v>
      </c>
      <c r="W62" s="73">
        <f t="shared" si="8"/>
        <v>7296</v>
      </c>
      <c r="X62" s="19">
        <f>IF($D62&lt;&gt;1,"",IF($G62="ROKS",$R62,IF($AI62=1,0,MAX($N62,$L62-SUMIFS(TblApplications[CPU IKS libérable (vCPU)],TblApplications[Cluster IKS source],$F62,TblApplications[Action],"À migrer",TblApplications[Mois prov (calc)],"&lt;="&amp;$E62)-SUMIFS(TblApplications[CPU IKS libérable (vCPU)],TblApplications[Cluster IKS source],$F62,TblApplications[Action],"À décommissionner",TblApplications[Mois lib (calc)],"&lt;="&amp;$E62)))))</f>
        <v>192</v>
      </c>
      <c r="Y62" s="19">
        <f>IF($D62&lt;&gt;1,"",IF($G62="ROKS",$S62,IF($AI62=1,0,MAX($O62,$M62-SUMIFS(TblApplications[RAM IKS libérable (Go)],TblApplications[Cluster IKS source],$F62,TblApplications[Action],"À migrer",TblApplications[Mois prov (calc)],"&lt;="&amp;$E62)-SUMIFS(TblApplications[RAM IKS libérable (Go)],TblApplications[Cluster IKS source],$F62,TblApplications[Action],"À décommissionner",TblApplications[Mois lib (calc)],"&lt;="&amp;$E62)))))</f>
        <v>480</v>
      </c>
      <c r="Z62" s="19">
        <f t="shared" si="9"/>
        <v>6</v>
      </c>
      <c r="AA62" s="73">
        <f t="shared" si="10"/>
        <v>7296</v>
      </c>
      <c r="AB62" s="19">
        <f t="shared" si="11"/>
        <v>6</v>
      </c>
      <c r="AC62" s="73">
        <f t="shared" si="12"/>
        <v>7296</v>
      </c>
      <c r="AD62" s="19">
        <f t="shared" si="13"/>
        <v>0</v>
      </c>
      <c r="AE62" s="19">
        <f t="shared" si="14"/>
        <v>0</v>
      </c>
      <c r="AF62" s="19" t="str">
        <f>IF($D62&lt;&gt;1,"",IF(INDEX(TblClusters[Environnement],$B62)="","(vide)",INDEX(TblClusters[Environnement],$B62)))</f>
        <v>NPRD</v>
      </c>
      <c r="AG62" s="19">
        <f t="shared" si="15"/>
        <v>240</v>
      </c>
      <c r="AH62" s="19">
        <f t="shared" si="16"/>
        <v>30.4</v>
      </c>
      <c r="AI62" s="19">
        <f>IF($D62&lt;&gt;1,"",IF(AND($G62="IKS",ISNUMBER(INDEX(TblClusters[Fermeture retenue],$B62))),IF($E62&gt;=INDEX(TblClusters[Fermeture retenue],$B62),1,0),0))</f>
        <v>0</v>
      </c>
    </row>
    <row r="63" spans="1:35" x14ac:dyDescent="0.2">
      <c r="A63" s="19">
        <v>58</v>
      </c>
      <c r="B63" s="19">
        <f t="shared" si="0"/>
        <v>2</v>
      </c>
      <c r="C63" s="19">
        <f t="shared" si="1"/>
        <v>22</v>
      </c>
      <c r="D63" s="19">
        <f>IF($C63&gt;p_horizon,0,IFERROR(IF(AND(INDEX(TblClusters[Cluster],$B63)&lt;&gt;"",ISNUMBER(INDEX(TblClusters[CPU initial (vCPU)],$B63)),ISNUMBER(INDEX(TblClusters[CPU min (vCPU)],$B63)),OR(INDEX(TblClusters[Plateforme],$B63)="IKS",INDEX(TblClusters[Plateforme],$B63)="ROKS")),1,0),0))</f>
        <v>1</v>
      </c>
      <c r="E63" s="72">
        <f t="shared" si="2"/>
        <v>46935</v>
      </c>
      <c r="F63" s="19" t="str">
        <f>IF($D63=1,INDEX(TblClusters[Cluster],$B63),"")</f>
        <v>oc002i000578</v>
      </c>
      <c r="G63" s="19" t="str">
        <f>IF($D63=1,INDEX(TblClusters[Plateforme],$B63),"")</f>
        <v>ROKS</v>
      </c>
      <c r="H63" s="19">
        <f>IF($D63=1,INDEX(TblClusters[vCPU par nœud],$B63),"")</f>
        <v>32</v>
      </c>
      <c r="I63" s="19">
        <f>IF($D63=1,INDEX(TblClusters[RAM par nœud (Go)],$B63),"")</f>
        <v>80</v>
      </c>
      <c r="J63" s="19">
        <f>IF($D63=1,INDEX(TblClusters[Workers min],$B63),"")</f>
        <v>6</v>
      </c>
      <c r="K63" s="73">
        <f>IF($D63=1,INDEX(TblClusters[Tarif par nœud],$B63),"")</f>
        <v>1216</v>
      </c>
      <c r="L63" s="19">
        <f>IF($D63=1,INDEX(TblClusters[CPU initial (vCPU)],$B63),"")</f>
        <v>192</v>
      </c>
      <c r="M63" s="19">
        <f>IF($D63=1,INDEX(TblClusters[RAM initiale (Go)],$B63),"")</f>
        <v>480</v>
      </c>
      <c r="N63" s="19">
        <f>IF($D63=1,INDEX(TblClusters[CPU min (vCPU)],$B63),"")</f>
        <v>192</v>
      </c>
      <c r="O63" s="19">
        <f>IF($D63=1,INDEX(TblClusters[RAM min (Go)],$B63),"")</f>
        <v>480</v>
      </c>
      <c r="P63" s="19">
        <f>IF($D63&lt;&gt;1,"",IF($G63="ROKS",SUMIFS(TblApplications[Besoin ROKS CPU (vCPU)],TblApplications[Cluster ROKS cible],$F63,TblApplications[Action],"À migrer",TblApplications[Déjà incluse ROKS],"Non",TblApplications[Mois prov (calc)],"&lt;="&amp;$E63),SUMIFS(TblApplications[CPU IKS libérable (vCPU)],TblApplications[Cluster IKS source],$F63,TblApplications[Mois lib (calc)],"&lt;="&amp;$E63)))</f>
        <v>0</v>
      </c>
      <c r="Q63" s="19">
        <f>IF($D63&lt;&gt;1,"",IF($G63="ROKS",SUMIFS(TblApplications[Besoin ROKS RAM (Go)],TblApplications[Cluster ROKS cible],$F63,TblApplications[Action],"À migrer",TblApplications[Déjà incluse ROKS],"Non",TblApplications[Mois prov (calc)],"&lt;="&amp;$E63),SUMIFS(TblApplications[RAM IKS libérable (Go)],TblApplications[Cluster IKS source],$F63,TblApplications[Mois lib (calc)],"&lt;="&amp;$E63)))</f>
        <v>0</v>
      </c>
      <c r="R63" s="19">
        <f t="shared" si="3"/>
        <v>192</v>
      </c>
      <c r="S63" s="19">
        <f t="shared" si="4"/>
        <v>480</v>
      </c>
      <c r="T63" s="19">
        <f t="shared" si="5"/>
        <v>6</v>
      </c>
      <c r="U63" s="19">
        <f t="shared" si="6"/>
        <v>192</v>
      </c>
      <c r="V63" s="19">
        <f t="shared" si="7"/>
        <v>480</v>
      </c>
      <c r="W63" s="73">
        <f t="shared" si="8"/>
        <v>7296</v>
      </c>
      <c r="X63" s="19">
        <f>IF($D63&lt;&gt;1,"",IF($G63="ROKS",$R63,IF($AI63=1,0,MAX($N63,$L63-SUMIFS(TblApplications[CPU IKS libérable (vCPU)],TblApplications[Cluster IKS source],$F63,TblApplications[Action],"À migrer",TblApplications[Mois prov (calc)],"&lt;="&amp;$E63)-SUMIFS(TblApplications[CPU IKS libérable (vCPU)],TblApplications[Cluster IKS source],$F63,TblApplications[Action],"À décommissionner",TblApplications[Mois lib (calc)],"&lt;="&amp;$E63)))))</f>
        <v>192</v>
      </c>
      <c r="Y63" s="19">
        <f>IF($D63&lt;&gt;1,"",IF($G63="ROKS",$S63,IF($AI63=1,0,MAX($O63,$M63-SUMIFS(TblApplications[RAM IKS libérable (Go)],TblApplications[Cluster IKS source],$F63,TblApplications[Action],"À migrer",TblApplications[Mois prov (calc)],"&lt;="&amp;$E63)-SUMIFS(TblApplications[RAM IKS libérable (Go)],TblApplications[Cluster IKS source],$F63,TblApplications[Action],"À décommissionner",TblApplications[Mois lib (calc)],"&lt;="&amp;$E63)))))</f>
        <v>480</v>
      </c>
      <c r="Z63" s="19">
        <f t="shared" si="9"/>
        <v>6</v>
      </c>
      <c r="AA63" s="73">
        <f t="shared" si="10"/>
        <v>7296</v>
      </c>
      <c r="AB63" s="19">
        <f t="shared" si="11"/>
        <v>6</v>
      </c>
      <c r="AC63" s="73">
        <f t="shared" si="12"/>
        <v>7296</v>
      </c>
      <c r="AD63" s="19">
        <f t="shared" si="13"/>
        <v>0</v>
      </c>
      <c r="AE63" s="19">
        <f t="shared" si="14"/>
        <v>0</v>
      </c>
      <c r="AF63" s="19" t="str">
        <f>IF($D63&lt;&gt;1,"",IF(INDEX(TblClusters[Environnement],$B63)="","(vide)",INDEX(TblClusters[Environnement],$B63)))</f>
        <v>NPRD</v>
      </c>
      <c r="AG63" s="19">
        <f t="shared" si="15"/>
        <v>240</v>
      </c>
      <c r="AH63" s="19">
        <f t="shared" si="16"/>
        <v>30.4</v>
      </c>
      <c r="AI63" s="19">
        <f>IF($D63&lt;&gt;1,"",IF(AND($G63="IKS",ISNUMBER(INDEX(TblClusters[Fermeture retenue],$B63))),IF($E63&gt;=INDEX(TblClusters[Fermeture retenue],$B63),1,0),0))</f>
        <v>0</v>
      </c>
    </row>
    <row r="64" spans="1:35" x14ac:dyDescent="0.2">
      <c r="A64" s="19">
        <v>59</v>
      </c>
      <c r="B64" s="19">
        <f t="shared" si="0"/>
        <v>2</v>
      </c>
      <c r="C64" s="19">
        <f t="shared" si="1"/>
        <v>23</v>
      </c>
      <c r="D64" s="19">
        <f>IF($C64&gt;p_horizon,0,IFERROR(IF(AND(INDEX(TblClusters[Cluster],$B64)&lt;&gt;"",ISNUMBER(INDEX(TblClusters[CPU initial (vCPU)],$B64)),ISNUMBER(INDEX(TblClusters[CPU min (vCPU)],$B64)),OR(INDEX(TblClusters[Plateforme],$B64)="IKS",INDEX(TblClusters[Plateforme],$B64)="ROKS")),1,0),0))</f>
        <v>1</v>
      </c>
      <c r="E64" s="72">
        <f t="shared" si="2"/>
        <v>46966</v>
      </c>
      <c r="F64" s="19" t="str">
        <f>IF($D64=1,INDEX(TblClusters[Cluster],$B64),"")</f>
        <v>oc002i000578</v>
      </c>
      <c r="G64" s="19" t="str">
        <f>IF($D64=1,INDEX(TblClusters[Plateforme],$B64),"")</f>
        <v>ROKS</v>
      </c>
      <c r="H64" s="19">
        <f>IF($D64=1,INDEX(TblClusters[vCPU par nœud],$B64),"")</f>
        <v>32</v>
      </c>
      <c r="I64" s="19">
        <f>IF($D64=1,INDEX(TblClusters[RAM par nœud (Go)],$B64),"")</f>
        <v>80</v>
      </c>
      <c r="J64" s="19">
        <f>IF($D64=1,INDEX(TblClusters[Workers min],$B64),"")</f>
        <v>6</v>
      </c>
      <c r="K64" s="73">
        <f>IF($D64=1,INDEX(TblClusters[Tarif par nœud],$B64),"")</f>
        <v>1216</v>
      </c>
      <c r="L64" s="19">
        <f>IF($D64=1,INDEX(TblClusters[CPU initial (vCPU)],$B64),"")</f>
        <v>192</v>
      </c>
      <c r="M64" s="19">
        <f>IF($D64=1,INDEX(TblClusters[RAM initiale (Go)],$B64),"")</f>
        <v>480</v>
      </c>
      <c r="N64" s="19">
        <f>IF($D64=1,INDEX(TblClusters[CPU min (vCPU)],$B64),"")</f>
        <v>192</v>
      </c>
      <c r="O64" s="19">
        <f>IF($D64=1,INDEX(TblClusters[RAM min (Go)],$B64),"")</f>
        <v>480</v>
      </c>
      <c r="P64" s="19">
        <f>IF($D64&lt;&gt;1,"",IF($G64="ROKS",SUMIFS(TblApplications[Besoin ROKS CPU (vCPU)],TblApplications[Cluster ROKS cible],$F64,TblApplications[Action],"À migrer",TblApplications[Déjà incluse ROKS],"Non",TblApplications[Mois prov (calc)],"&lt;="&amp;$E64),SUMIFS(TblApplications[CPU IKS libérable (vCPU)],TblApplications[Cluster IKS source],$F64,TblApplications[Mois lib (calc)],"&lt;="&amp;$E64)))</f>
        <v>0</v>
      </c>
      <c r="Q64" s="19">
        <f>IF($D64&lt;&gt;1,"",IF($G64="ROKS",SUMIFS(TblApplications[Besoin ROKS RAM (Go)],TblApplications[Cluster ROKS cible],$F64,TblApplications[Action],"À migrer",TblApplications[Déjà incluse ROKS],"Non",TblApplications[Mois prov (calc)],"&lt;="&amp;$E64),SUMIFS(TblApplications[RAM IKS libérable (Go)],TblApplications[Cluster IKS source],$F64,TblApplications[Mois lib (calc)],"&lt;="&amp;$E64)))</f>
        <v>0</v>
      </c>
      <c r="R64" s="19">
        <f t="shared" si="3"/>
        <v>192</v>
      </c>
      <c r="S64" s="19">
        <f t="shared" si="4"/>
        <v>480</v>
      </c>
      <c r="T64" s="19">
        <f t="shared" si="5"/>
        <v>6</v>
      </c>
      <c r="U64" s="19">
        <f t="shared" si="6"/>
        <v>192</v>
      </c>
      <c r="V64" s="19">
        <f t="shared" si="7"/>
        <v>480</v>
      </c>
      <c r="W64" s="73">
        <f t="shared" si="8"/>
        <v>7296</v>
      </c>
      <c r="X64" s="19">
        <f>IF($D64&lt;&gt;1,"",IF($G64="ROKS",$R64,IF($AI64=1,0,MAX($N64,$L64-SUMIFS(TblApplications[CPU IKS libérable (vCPU)],TblApplications[Cluster IKS source],$F64,TblApplications[Action],"À migrer",TblApplications[Mois prov (calc)],"&lt;="&amp;$E64)-SUMIFS(TblApplications[CPU IKS libérable (vCPU)],TblApplications[Cluster IKS source],$F64,TblApplications[Action],"À décommissionner",TblApplications[Mois lib (calc)],"&lt;="&amp;$E64)))))</f>
        <v>192</v>
      </c>
      <c r="Y64" s="19">
        <f>IF($D64&lt;&gt;1,"",IF($G64="ROKS",$S64,IF($AI64=1,0,MAX($O64,$M64-SUMIFS(TblApplications[RAM IKS libérable (Go)],TblApplications[Cluster IKS source],$F64,TblApplications[Action],"À migrer",TblApplications[Mois prov (calc)],"&lt;="&amp;$E64)-SUMIFS(TblApplications[RAM IKS libérable (Go)],TblApplications[Cluster IKS source],$F64,TblApplications[Action],"À décommissionner",TblApplications[Mois lib (calc)],"&lt;="&amp;$E64)))))</f>
        <v>480</v>
      </c>
      <c r="Z64" s="19">
        <f t="shared" si="9"/>
        <v>6</v>
      </c>
      <c r="AA64" s="73">
        <f t="shared" si="10"/>
        <v>7296</v>
      </c>
      <c r="AB64" s="19">
        <f t="shared" si="11"/>
        <v>6</v>
      </c>
      <c r="AC64" s="73">
        <f t="shared" si="12"/>
        <v>7296</v>
      </c>
      <c r="AD64" s="19">
        <f t="shared" si="13"/>
        <v>0</v>
      </c>
      <c r="AE64" s="19">
        <f t="shared" si="14"/>
        <v>0</v>
      </c>
      <c r="AF64" s="19" t="str">
        <f>IF($D64&lt;&gt;1,"",IF(INDEX(TblClusters[Environnement],$B64)="","(vide)",INDEX(TblClusters[Environnement],$B64)))</f>
        <v>NPRD</v>
      </c>
      <c r="AG64" s="19">
        <f t="shared" si="15"/>
        <v>240</v>
      </c>
      <c r="AH64" s="19">
        <f t="shared" si="16"/>
        <v>30.4</v>
      </c>
      <c r="AI64" s="19">
        <f>IF($D64&lt;&gt;1,"",IF(AND($G64="IKS",ISNUMBER(INDEX(TblClusters[Fermeture retenue],$B64))),IF($E64&gt;=INDEX(TblClusters[Fermeture retenue],$B64),1,0),0))</f>
        <v>0</v>
      </c>
    </row>
    <row r="65" spans="1:35" x14ac:dyDescent="0.2">
      <c r="A65" s="19">
        <v>60</v>
      </c>
      <c r="B65" s="19">
        <f t="shared" si="0"/>
        <v>2</v>
      </c>
      <c r="C65" s="19">
        <f t="shared" si="1"/>
        <v>24</v>
      </c>
      <c r="D65" s="19">
        <f>IF($C65&gt;p_horizon,0,IFERROR(IF(AND(INDEX(TblClusters[Cluster],$B65)&lt;&gt;"",ISNUMBER(INDEX(TblClusters[CPU initial (vCPU)],$B65)),ISNUMBER(INDEX(TblClusters[CPU min (vCPU)],$B65)),OR(INDEX(TblClusters[Plateforme],$B65)="IKS",INDEX(TblClusters[Plateforme],$B65)="ROKS")),1,0),0))</f>
        <v>1</v>
      </c>
      <c r="E65" s="72">
        <f t="shared" si="2"/>
        <v>46997</v>
      </c>
      <c r="F65" s="19" t="str">
        <f>IF($D65=1,INDEX(TblClusters[Cluster],$B65),"")</f>
        <v>oc002i000578</v>
      </c>
      <c r="G65" s="19" t="str">
        <f>IF($D65=1,INDEX(TblClusters[Plateforme],$B65),"")</f>
        <v>ROKS</v>
      </c>
      <c r="H65" s="19">
        <f>IF($D65=1,INDEX(TblClusters[vCPU par nœud],$B65),"")</f>
        <v>32</v>
      </c>
      <c r="I65" s="19">
        <f>IF($D65=1,INDEX(TblClusters[RAM par nœud (Go)],$B65),"")</f>
        <v>80</v>
      </c>
      <c r="J65" s="19">
        <f>IF($D65=1,INDEX(TblClusters[Workers min],$B65),"")</f>
        <v>6</v>
      </c>
      <c r="K65" s="73">
        <f>IF($D65=1,INDEX(TblClusters[Tarif par nœud],$B65),"")</f>
        <v>1216</v>
      </c>
      <c r="L65" s="19">
        <f>IF($D65=1,INDEX(TblClusters[CPU initial (vCPU)],$B65),"")</f>
        <v>192</v>
      </c>
      <c r="M65" s="19">
        <f>IF($D65=1,INDEX(TblClusters[RAM initiale (Go)],$B65),"")</f>
        <v>480</v>
      </c>
      <c r="N65" s="19">
        <f>IF($D65=1,INDEX(TblClusters[CPU min (vCPU)],$B65),"")</f>
        <v>192</v>
      </c>
      <c r="O65" s="19">
        <f>IF($D65=1,INDEX(TblClusters[RAM min (Go)],$B65),"")</f>
        <v>480</v>
      </c>
      <c r="P65" s="19">
        <f>IF($D65&lt;&gt;1,"",IF($G65="ROKS",SUMIFS(TblApplications[Besoin ROKS CPU (vCPU)],TblApplications[Cluster ROKS cible],$F65,TblApplications[Action],"À migrer",TblApplications[Déjà incluse ROKS],"Non",TblApplications[Mois prov (calc)],"&lt;="&amp;$E65),SUMIFS(TblApplications[CPU IKS libérable (vCPU)],TblApplications[Cluster IKS source],$F65,TblApplications[Mois lib (calc)],"&lt;="&amp;$E65)))</f>
        <v>0</v>
      </c>
      <c r="Q65" s="19">
        <f>IF($D65&lt;&gt;1,"",IF($G65="ROKS",SUMIFS(TblApplications[Besoin ROKS RAM (Go)],TblApplications[Cluster ROKS cible],$F65,TblApplications[Action],"À migrer",TblApplications[Déjà incluse ROKS],"Non",TblApplications[Mois prov (calc)],"&lt;="&amp;$E65),SUMIFS(TblApplications[RAM IKS libérable (Go)],TblApplications[Cluster IKS source],$F65,TblApplications[Mois lib (calc)],"&lt;="&amp;$E65)))</f>
        <v>0</v>
      </c>
      <c r="R65" s="19">
        <f t="shared" si="3"/>
        <v>192</v>
      </c>
      <c r="S65" s="19">
        <f t="shared" si="4"/>
        <v>480</v>
      </c>
      <c r="T65" s="19">
        <f t="shared" si="5"/>
        <v>6</v>
      </c>
      <c r="U65" s="19">
        <f t="shared" si="6"/>
        <v>192</v>
      </c>
      <c r="V65" s="19">
        <f t="shared" si="7"/>
        <v>480</v>
      </c>
      <c r="W65" s="73">
        <f t="shared" si="8"/>
        <v>7296</v>
      </c>
      <c r="X65" s="19">
        <f>IF($D65&lt;&gt;1,"",IF($G65="ROKS",$R65,IF($AI65=1,0,MAX($N65,$L65-SUMIFS(TblApplications[CPU IKS libérable (vCPU)],TblApplications[Cluster IKS source],$F65,TblApplications[Action],"À migrer",TblApplications[Mois prov (calc)],"&lt;="&amp;$E65)-SUMIFS(TblApplications[CPU IKS libérable (vCPU)],TblApplications[Cluster IKS source],$F65,TblApplications[Action],"À décommissionner",TblApplications[Mois lib (calc)],"&lt;="&amp;$E65)))))</f>
        <v>192</v>
      </c>
      <c r="Y65" s="19">
        <f>IF($D65&lt;&gt;1,"",IF($G65="ROKS",$S65,IF($AI65=1,0,MAX($O65,$M65-SUMIFS(TblApplications[RAM IKS libérable (Go)],TblApplications[Cluster IKS source],$F65,TblApplications[Action],"À migrer",TblApplications[Mois prov (calc)],"&lt;="&amp;$E65)-SUMIFS(TblApplications[RAM IKS libérable (Go)],TblApplications[Cluster IKS source],$F65,TblApplications[Action],"À décommissionner",TblApplications[Mois lib (calc)],"&lt;="&amp;$E65)))))</f>
        <v>480</v>
      </c>
      <c r="Z65" s="19">
        <f t="shared" si="9"/>
        <v>6</v>
      </c>
      <c r="AA65" s="73">
        <f t="shared" si="10"/>
        <v>7296</v>
      </c>
      <c r="AB65" s="19">
        <f t="shared" si="11"/>
        <v>6</v>
      </c>
      <c r="AC65" s="73">
        <f t="shared" si="12"/>
        <v>7296</v>
      </c>
      <c r="AD65" s="19">
        <f t="shared" si="13"/>
        <v>0</v>
      </c>
      <c r="AE65" s="19">
        <f t="shared" si="14"/>
        <v>0</v>
      </c>
      <c r="AF65" s="19" t="str">
        <f>IF($D65&lt;&gt;1,"",IF(INDEX(TblClusters[Environnement],$B65)="","(vide)",INDEX(TblClusters[Environnement],$B65)))</f>
        <v>NPRD</v>
      </c>
      <c r="AG65" s="19">
        <f t="shared" si="15"/>
        <v>240</v>
      </c>
      <c r="AH65" s="19">
        <f t="shared" si="16"/>
        <v>30.4</v>
      </c>
      <c r="AI65" s="19">
        <f>IF($D65&lt;&gt;1,"",IF(AND($G65="IKS",ISNUMBER(INDEX(TblClusters[Fermeture retenue],$B65))),IF($E65&gt;=INDEX(TblClusters[Fermeture retenue],$B65),1,0),0))</f>
        <v>0</v>
      </c>
    </row>
    <row r="66" spans="1:35" x14ac:dyDescent="0.2">
      <c r="A66" s="19">
        <v>61</v>
      </c>
      <c r="B66" s="19">
        <f t="shared" si="0"/>
        <v>2</v>
      </c>
      <c r="C66" s="19">
        <f t="shared" si="1"/>
        <v>25</v>
      </c>
      <c r="D66" s="19">
        <f>IF($C66&gt;p_horizon,0,IFERROR(IF(AND(INDEX(TblClusters[Cluster],$B66)&lt;&gt;"",ISNUMBER(INDEX(TblClusters[CPU initial (vCPU)],$B66)),ISNUMBER(INDEX(TblClusters[CPU min (vCPU)],$B66)),OR(INDEX(TblClusters[Plateforme],$B66)="IKS",INDEX(TblClusters[Plateforme],$B66)="ROKS")),1,0),0))</f>
        <v>1</v>
      </c>
      <c r="E66" s="72">
        <f t="shared" si="2"/>
        <v>47027</v>
      </c>
      <c r="F66" s="19" t="str">
        <f>IF($D66=1,INDEX(TblClusters[Cluster],$B66),"")</f>
        <v>oc002i000578</v>
      </c>
      <c r="G66" s="19" t="str">
        <f>IF($D66=1,INDEX(TblClusters[Plateforme],$B66),"")</f>
        <v>ROKS</v>
      </c>
      <c r="H66" s="19">
        <f>IF($D66=1,INDEX(TblClusters[vCPU par nœud],$B66),"")</f>
        <v>32</v>
      </c>
      <c r="I66" s="19">
        <f>IF($D66=1,INDEX(TblClusters[RAM par nœud (Go)],$B66),"")</f>
        <v>80</v>
      </c>
      <c r="J66" s="19">
        <f>IF($D66=1,INDEX(TblClusters[Workers min],$B66),"")</f>
        <v>6</v>
      </c>
      <c r="K66" s="73">
        <f>IF($D66=1,INDEX(TblClusters[Tarif par nœud],$B66),"")</f>
        <v>1216</v>
      </c>
      <c r="L66" s="19">
        <f>IF($D66=1,INDEX(TblClusters[CPU initial (vCPU)],$B66),"")</f>
        <v>192</v>
      </c>
      <c r="M66" s="19">
        <f>IF($D66=1,INDEX(TblClusters[RAM initiale (Go)],$B66),"")</f>
        <v>480</v>
      </c>
      <c r="N66" s="19">
        <f>IF($D66=1,INDEX(TblClusters[CPU min (vCPU)],$B66),"")</f>
        <v>192</v>
      </c>
      <c r="O66" s="19">
        <f>IF($D66=1,INDEX(TblClusters[RAM min (Go)],$B66),"")</f>
        <v>480</v>
      </c>
      <c r="P66" s="19">
        <f>IF($D66&lt;&gt;1,"",IF($G66="ROKS",SUMIFS(TblApplications[Besoin ROKS CPU (vCPU)],TblApplications[Cluster ROKS cible],$F66,TblApplications[Action],"À migrer",TblApplications[Déjà incluse ROKS],"Non",TblApplications[Mois prov (calc)],"&lt;="&amp;$E66),SUMIFS(TblApplications[CPU IKS libérable (vCPU)],TblApplications[Cluster IKS source],$F66,TblApplications[Mois lib (calc)],"&lt;="&amp;$E66)))</f>
        <v>0</v>
      </c>
      <c r="Q66" s="19">
        <f>IF($D66&lt;&gt;1,"",IF($G66="ROKS",SUMIFS(TblApplications[Besoin ROKS RAM (Go)],TblApplications[Cluster ROKS cible],$F66,TblApplications[Action],"À migrer",TblApplications[Déjà incluse ROKS],"Non",TblApplications[Mois prov (calc)],"&lt;="&amp;$E66),SUMIFS(TblApplications[RAM IKS libérable (Go)],TblApplications[Cluster IKS source],$F66,TblApplications[Mois lib (calc)],"&lt;="&amp;$E66)))</f>
        <v>0</v>
      </c>
      <c r="R66" s="19">
        <f t="shared" si="3"/>
        <v>192</v>
      </c>
      <c r="S66" s="19">
        <f t="shared" si="4"/>
        <v>480</v>
      </c>
      <c r="T66" s="19">
        <f t="shared" si="5"/>
        <v>6</v>
      </c>
      <c r="U66" s="19">
        <f t="shared" si="6"/>
        <v>192</v>
      </c>
      <c r="V66" s="19">
        <f t="shared" si="7"/>
        <v>480</v>
      </c>
      <c r="W66" s="73">
        <f t="shared" si="8"/>
        <v>7296</v>
      </c>
      <c r="X66" s="19">
        <f>IF($D66&lt;&gt;1,"",IF($G66="ROKS",$R66,IF($AI66=1,0,MAX($N66,$L66-SUMIFS(TblApplications[CPU IKS libérable (vCPU)],TblApplications[Cluster IKS source],$F66,TblApplications[Action],"À migrer",TblApplications[Mois prov (calc)],"&lt;="&amp;$E66)-SUMIFS(TblApplications[CPU IKS libérable (vCPU)],TblApplications[Cluster IKS source],$F66,TblApplications[Action],"À décommissionner",TblApplications[Mois lib (calc)],"&lt;="&amp;$E66)))))</f>
        <v>192</v>
      </c>
      <c r="Y66" s="19">
        <f>IF($D66&lt;&gt;1,"",IF($G66="ROKS",$S66,IF($AI66=1,0,MAX($O66,$M66-SUMIFS(TblApplications[RAM IKS libérable (Go)],TblApplications[Cluster IKS source],$F66,TblApplications[Action],"À migrer",TblApplications[Mois prov (calc)],"&lt;="&amp;$E66)-SUMIFS(TblApplications[RAM IKS libérable (Go)],TblApplications[Cluster IKS source],$F66,TblApplications[Action],"À décommissionner",TblApplications[Mois lib (calc)],"&lt;="&amp;$E66)))))</f>
        <v>480</v>
      </c>
      <c r="Z66" s="19">
        <f t="shared" si="9"/>
        <v>6</v>
      </c>
      <c r="AA66" s="73">
        <f t="shared" si="10"/>
        <v>7296</v>
      </c>
      <c r="AB66" s="19">
        <f t="shared" si="11"/>
        <v>6</v>
      </c>
      <c r="AC66" s="73">
        <f t="shared" si="12"/>
        <v>7296</v>
      </c>
      <c r="AD66" s="19">
        <f t="shared" si="13"/>
        <v>0</v>
      </c>
      <c r="AE66" s="19">
        <f t="shared" si="14"/>
        <v>0</v>
      </c>
      <c r="AF66" s="19" t="str">
        <f>IF($D66&lt;&gt;1,"",IF(INDEX(TblClusters[Environnement],$B66)="","(vide)",INDEX(TblClusters[Environnement],$B66)))</f>
        <v>NPRD</v>
      </c>
      <c r="AG66" s="19">
        <f t="shared" si="15"/>
        <v>240</v>
      </c>
      <c r="AH66" s="19">
        <f t="shared" si="16"/>
        <v>30.4</v>
      </c>
      <c r="AI66" s="19">
        <f>IF($D66&lt;&gt;1,"",IF(AND($G66="IKS",ISNUMBER(INDEX(TblClusters[Fermeture retenue],$B66))),IF($E66&gt;=INDEX(TblClusters[Fermeture retenue],$B66),1,0),0))</f>
        <v>0</v>
      </c>
    </row>
    <row r="67" spans="1:35" x14ac:dyDescent="0.2">
      <c r="A67" s="19">
        <v>62</v>
      </c>
      <c r="B67" s="19">
        <f t="shared" si="0"/>
        <v>2</v>
      </c>
      <c r="C67" s="19">
        <f t="shared" si="1"/>
        <v>26</v>
      </c>
      <c r="D67" s="19">
        <f>IF($C67&gt;p_horizon,0,IFERROR(IF(AND(INDEX(TblClusters[Cluster],$B67)&lt;&gt;"",ISNUMBER(INDEX(TblClusters[CPU initial (vCPU)],$B67)),ISNUMBER(INDEX(TblClusters[CPU min (vCPU)],$B67)),OR(INDEX(TblClusters[Plateforme],$B67)="IKS",INDEX(TblClusters[Plateforme],$B67)="ROKS")),1,0),0))</f>
        <v>1</v>
      </c>
      <c r="E67" s="72">
        <f t="shared" si="2"/>
        <v>47058</v>
      </c>
      <c r="F67" s="19" t="str">
        <f>IF($D67=1,INDEX(TblClusters[Cluster],$B67),"")</f>
        <v>oc002i000578</v>
      </c>
      <c r="G67" s="19" t="str">
        <f>IF($D67=1,INDEX(TblClusters[Plateforme],$B67),"")</f>
        <v>ROKS</v>
      </c>
      <c r="H67" s="19">
        <f>IF($D67=1,INDEX(TblClusters[vCPU par nœud],$B67),"")</f>
        <v>32</v>
      </c>
      <c r="I67" s="19">
        <f>IF($D67=1,INDEX(TblClusters[RAM par nœud (Go)],$B67),"")</f>
        <v>80</v>
      </c>
      <c r="J67" s="19">
        <f>IF($D67=1,INDEX(TblClusters[Workers min],$B67),"")</f>
        <v>6</v>
      </c>
      <c r="K67" s="73">
        <f>IF($D67=1,INDEX(TblClusters[Tarif par nœud],$B67),"")</f>
        <v>1216</v>
      </c>
      <c r="L67" s="19">
        <f>IF($D67=1,INDEX(TblClusters[CPU initial (vCPU)],$B67),"")</f>
        <v>192</v>
      </c>
      <c r="M67" s="19">
        <f>IF($D67=1,INDEX(TblClusters[RAM initiale (Go)],$B67),"")</f>
        <v>480</v>
      </c>
      <c r="N67" s="19">
        <f>IF($D67=1,INDEX(TblClusters[CPU min (vCPU)],$B67),"")</f>
        <v>192</v>
      </c>
      <c r="O67" s="19">
        <f>IF($D67=1,INDEX(TblClusters[RAM min (Go)],$B67),"")</f>
        <v>480</v>
      </c>
      <c r="P67" s="19">
        <f>IF($D67&lt;&gt;1,"",IF($G67="ROKS",SUMIFS(TblApplications[Besoin ROKS CPU (vCPU)],TblApplications[Cluster ROKS cible],$F67,TblApplications[Action],"À migrer",TblApplications[Déjà incluse ROKS],"Non",TblApplications[Mois prov (calc)],"&lt;="&amp;$E67),SUMIFS(TblApplications[CPU IKS libérable (vCPU)],TblApplications[Cluster IKS source],$F67,TblApplications[Mois lib (calc)],"&lt;="&amp;$E67)))</f>
        <v>0</v>
      </c>
      <c r="Q67" s="19">
        <f>IF($D67&lt;&gt;1,"",IF($G67="ROKS",SUMIFS(TblApplications[Besoin ROKS RAM (Go)],TblApplications[Cluster ROKS cible],$F67,TblApplications[Action],"À migrer",TblApplications[Déjà incluse ROKS],"Non",TblApplications[Mois prov (calc)],"&lt;="&amp;$E67),SUMIFS(TblApplications[RAM IKS libérable (Go)],TblApplications[Cluster IKS source],$F67,TblApplications[Mois lib (calc)],"&lt;="&amp;$E67)))</f>
        <v>0</v>
      </c>
      <c r="R67" s="19">
        <f t="shared" si="3"/>
        <v>192</v>
      </c>
      <c r="S67" s="19">
        <f t="shared" si="4"/>
        <v>480</v>
      </c>
      <c r="T67" s="19">
        <f t="shared" si="5"/>
        <v>6</v>
      </c>
      <c r="U67" s="19">
        <f t="shared" si="6"/>
        <v>192</v>
      </c>
      <c r="V67" s="19">
        <f t="shared" si="7"/>
        <v>480</v>
      </c>
      <c r="W67" s="73">
        <f t="shared" si="8"/>
        <v>7296</v>
      </c>
      <c r="X67" s="19">
        <f>IF($D67&lt;&gt;1,"",IF($G67="ROKS",$R67,IF($AI67=1,0,MAX($N67,$L67-SUMIFS(TblApplications[CPU IKS libérable (vCPU)],TblApplications[Cluster IKS source],$F67,TblApplications[Action],"À migrer",TblApplications[Mois prov (calc)],"&lt;="&amp;$E67)-SUMIFS(TblApplications[CPU IKS libérable (vCPU)],TblApplications[Cluster IKS source],$F67,TblApplications[Action],"À décommissionner",TblApplications[Mois lib (calc)],"&lt;="&amp;$E67)))))</f>
        <v>192</v>
      </c>
      <c r="Y67" s="19">
        <f>IF($D67&lt;&gt;1,"",IF($G67="ROKS",$S67,IF($AI67=1,0,MAX($O67,$M67-SUMIFS(TblApplications[RAM IKS libérable (Go)],TblApplications[Cluster IKS source],$F67,TblApplications[Action],"À migrer",TblApplications[Mois prov (calc)],"&lt;="&amp;$E67)-SUMIFS(TblApplications[RAM IKS libérable (Go)],TblApplications[Cluster IKS source],$F67,TblApplications[Action],"À décommissionner",TblApplications[Mois lib (calc)],"&lt;="&amp;$E67)))))</f>
        <v>480</v>
      </c>
      <c r="Z67" s="19">
        <f t="shared" si="9"/>
        <v>6</v>
      </c>
      <c r="AA67" s="73">
        <f t="shared" si="10"/>
        <v>7296</v>
      </c>
      <c r="AB67" s="19">
        <f t="shared" si="11"/>
        <v>6</v>
      </c>
      <c r="AC67" s="73">
        <f t="shared" si="12"/>
        <v>7296</v>
      </c>
      <c r="AD67" s="19">
        <f t="shared" si="13"/>
        <v>0</v>
      </c>
      <c r="AE67" s="19">
        <f t="shared" si="14"/>
        <v>0</v>
      </c>
      <c r="AF67" s="19" t="str">
        <f>IF($D67&lt;&gt;1,"",IF(INDEX(TblClusters[Environnement],$B67)="","(vide)",INDEX(TblClusters[Environnement],$B67)))</f>
        <v>NPRD</v>
      </c>
      <c r="AG67" s="19">
        <f t="shared" si="15"/>
        <v>240</v>
      </c>
      <c r="AH67" s="19">
        <f t="shared" si="16"/>
        <v>30.4</v>
      </c>
      <c r="AI67" s="19">
        <f>IF($D67&lt;&gt;1,"",IF(AND($G67="IKS",ISNUMBER(INDEX(TblClusters[Fermeture retenue],$B67))),IF($E67&gt;=INDEX(TblClusters[Fermeture retenue],$B67),1,0),0))</f>
        <v>0</v>
      </c>
    </row>
    <row r="68" spans="1:35" x14ac:dyDescent="0.2">
      <c r="A68" s="19">
        <v>63</v>
      </c>
      <c r="B68" s="19">
        <f t="shared" si="0"/>
        <v>2</v>
      </c>
      <c r="C68" s="19">
        <f t="shared" si="1"/>
        <v>27</v>
      </c>
      <c r="D68" s="19">
        <f>IF($C68&gt;p_horizon,0,IFERROR(IF(AND(INDEX(TblClusters[Cluster],$B68)&lt;&gt;"",ISNUMBER(INDEX(TblClusters[CPU initial (vCPU)],$B68)),ISNUMBER(INDEX(TblClusters[CPU min (vCPU)],$B68)),OR(INDEX(TblClusters[Plateforme],$B68)="IKS",INDEX(TblClusters[Plateforme],$B68)="ROKS")),1,0),0))</f>
        <v>1</v>
      </c>
      <c r="E68" s="72">
        <f t="shared" si="2"/>
        <v>47088</v>
      </c>
      <c r="F68" s="19" t="str">
        <f>IF($D68=1,INDEX(TblClusters[Cluster],$B68),"")</f>
        <v>oc002i000578</v>
      </c>
      <c r="G68" s="19" t="str">
        <f>IF($D68=1,INDEX(TblClusters[Plateforme],$B68),"")</f>
        <v>ROKS</v>
      </c>
      <c r="H68" s="19">
        <f>IF($D68=1,INDEX(TblClusters[vCPU par nœud],$B68),"")</f>
        <v>32</v>
      </c>
      <c r="I68" s="19">
        <f>IF($D68=1,INDEX(TblClusters[RAM par nœud (Go)],$B68),"")</f>
        <v>80</v>
      </c>
      <c r="J68" s="19">
        <f>IF($D68=1,INDEX(TblClusters[Workers min],$B68),"")</f>
        <v>6</v>
      </c>
      <c r="K68" s="73">
        <f>IF($D68=1,INDEX(TblClusters[Tarif par nœud],$B68),"")</f>
        <v>1216</v>
      </c>
      <c r="L68" s="19">
        <f>IF($D68=1,INDEX(TblClusters[CPU initial (vCPU)],$B68),"")</f>
        <v>192</v>
      </c>
      <c r="M68" s="19">
        <f>IF($D68=1,INDEX(TblClusters[RAM initiale (Go)],$B68),"")</f>
        <v>480</v>
      </c>
      <c r="N68" s="19">
        <f>IF($D68=1,INDEX(TblClusters[CPU min (vCPU)],$B68),"")</f>
        <v>192</v>
      </c>
      <c r="O68" s="19">
        <f>IF($D68=1,INDEX(TblClusters[RAM min (Go)],$B68),"")</f>
        <v>480</v>
      </c>
      <c r="P68" s="19">
        <f>IF($D68&lt;&gt;1,"",IF($G68="ROKS",SUMIFS(TblApplications[Besoin ROKS CPU (vCPU)],TblApplications[Cluster ROKS cible],$F68,TblApplications[Action],"À migrer",TblApplications[Déjà incluse ROKS],"Non",TblApplications[Mois prov (calc)],"&lt;="&amp;$E68),SUMIFS(TblApplications[CPU IKS libérable (vCPU)],TblApplications[Cluster IKS source],$F68,TblApplications[Mois lib (calc)],"&lt;="&amp;$E68)))</f>
        <v>0</v>
      </c>
      <c r="Q68" s="19">
        <f>IF($D68&lt;&gt;1,"",IF($G68="ROKS",SUMIFS(TblApplications[Besoin ROKS RAM (Go)],TblApplications[Cluster ROKS cible],$F68,TblApplications[Action],"À migrer",TblApplications[Déjà incluse ROKS],"Non",TblApplications[Mois prov (calc)],"&lt;="&amp;$E68),SUMIFS(TblApplications[RAM IKS libérable (Go)],TblApplications[Cluster IKS source],$F68,TblApplications[Mois lib (calc)],"&lt;="&amp;$E68)))</f>
        <v>0</v>
      </c>
      <c r="R68" s="19">
        <f t="shared" si="3"/>
        <v>192</v>
      </c>
      <c r="S68" s="19">
        <f t="shared" si="4"/>
        <v>480</v>
      </c>
      <c r="T68" s="19">
        <f t="shared" si="5"/>
        <v>6</v>
      </c>
      <c r="U68" s="19">
        <f t="shared" si="6"/>
        <v>192</v>
      </c>
      <c r="V68" s="19">
        <f t="shared" si="7"/>
        <v>480</v>
      </c>
      <c r="W68" s="73">
        <f t="shared" si="8"/>
        <v>7296</v>
      </c>
      <c r="X68" s="19">
        <f>IF($D68&lt;&gt;1,"",IF($G68="ROKS",$R68,IF($AI68=1,0,MAX($N68,$L68-SUMIFS(TblApplications[CPU IKS libérable (vCPU)],TblApplications[Cluster IKS source],$F68,TblApplications[Action],"À migrer",TblApplications[Mois prov (calc)],"&lt;="&amp;$E68)-SUMIFS(TblApplications[CPU IKS libérable (vCPU)],TblApplications[Cluster IKS source],$F68,TblApplications[Action],"À décommissionner",TblApplications[Mois lib (calc)],"&lt;="&amp;$E68)))))</f>
        <v>192</v>
      </c>
      <c r="Y68" s="19">
        <f>IF($D68&lt;&gt;1,"",IF($G68="ROKS",$S68,IF($AI68=1,0,MAX($O68,$M68-SUMIFS(TblApplications[RAM IKS libérable (Go)],TblApplications[Cluster IKS source],$F68,TblApplications[Action],"À migrer",TblApplications[Mois prov (calc)],"&lt;="&amp;$E68)-SUMIFS(TblApplications[RAM IKS libérable (Go)],TblApplications[Cluster IKS source],$F68,TblApplications[Action],"À décommissionner",TblApplications[Mois lib (calc)],"&lt;="&amp;$E68)))))</f>
        <v>480</v>
      </c>
      <c r="Z68" s="19">
        <f t="shared" si="9"/>
        <v>6</v>
      </c>
      <c r="AA68" s="73">
        <f t="shared" si="10"/>
        <v>7296</v>
      </c>
      <c r="AB68" s="19">
        <f t="shared" si="11"/>
        <v>6</v>
      </c>
      <c r="AC68" s="73">
        <f t="shared" si="12"/>
        <v>7296</v>
      </c>
      <c r="AD68" s="19">
        <f t="shared" si="13"/>
        <v>0</v>
      </c>
      <c r="AE68" s="19">
        <f t="shared" si="14"/>
        <v>0</v>
      </c>
      <c r="AF68" s="19" t="str">
        <f>IF($D68&lt;&gt;1,"",IF(INDEX(TblClusters[Environnement],$B68)="","(vide)",INDEX(TblClusters[Environnement],$B68)))</f>
        <v>NPRD</v>
      </c>
      <c r="AG68" s="19">
        <f t="shared" si="15"/>
        <v>240</v>
      </c>
      <c r="AH68" s="19">
        <f t="shared" si="16"/>
        <v>30.4</v>
      </c>
      <c r="AI68" s="19">
        <f>IF($D68&lt;&gt;1,"",IF(AND($G68="IKS",ISNUMBER(INDEX(TblClusters[Fermeture retenue],$B68))),IF($E68&gt;=INDEX(TblClusters[Fermeture retenue],$B68),1,0),0))</f>
        <v>0</v>
      </c>
    </row>
    <row r="69" spans="1:35" x14ac:dyDescent="0.2">
      <c r="A69" s="19">
        <v>64</v>
      </c>
      <c r="B69" s="19">
        <f t="shared" si="0"/>
        <v>2</v>
      </c>
      <c r="C69" s="19">
        <f t="shared" si="1"/>
        <v>28</v>
      </c>
      <c r="D69" s="19">
        <f>IF($C69&gt;p_horizon,0,IFERROR(IF(AND(INDEX(TblClusters[Cluster],$B69)&lt;&gt;"",ISNUMBER(INDEX(TblClusters[CPU initial (vCPU)],$B69)),ISNUMBER(INDEX(TblClusters[CPU min (vCPU)],$B69)),OR(INDEX(TblClusters[Plateforme],$B69)="IKS",INDEX(TblClusters[Plateforme],$B69)="ROKS")),1,0),0))</f>
        <v>1</v>
      </c>
      <c r="E69" s="72">
        <f t="shared" si="2"/>
        <v>47119</v>
      </c>
      <c r="F69" s="19" t="str">
        <f>IF($D69=1,INDEX(TblClusters[Cluster],$B69),"")</f>
        <v>oc002i000578</v>
      </c>
      <c r="G69" s="19" t="str">
        <f>IF($D69=1,INDEX(TblClusters[Plateforme],$B69),"")</f>
        <v>ROKS</v>
      </c>
      <c r="H69" s="19">
        <f>IF($D69=1,INDEX(TblClusters[vCPU par nœud],$B69),"")</f>
        <v>32</v>
      </c>
      <c r="I69" s="19">
        <f>IF($D69=1,INDEX(TblClusters[RAM par nœud (Go)],$B69),"")</f>
        <v>80</v>
      </c>
      <c r="J69" s="19">
        <f>IF($D69=1,INDEX(TblClusters[Workers min],$B69),"")</f>
        <v>6</v>
      </c>
      <c r="K69" s="73">
        <f>IF($D69=1,INDEX(TblClusters[Tarif par nœud],$B69),"")</f>
        <v>1216</v>
      </c>
      <c r="L69" s="19">
        <f>IF($D69=1,INDEX(TblClusters[CPU initial (vCPU)],$B69),"")</f>
        <v>192</v>
      </c>
      <c r="M69" s="19">
        <f>IF($D69=1,INDEX(TblClusters[RAM initiale (Go)],$B69),"")</f>
        <v>480</v>
      </c>
      <c r="N69" s="19">
        <f>IF($D69=1,INDEX(TblClusters[CPU min (vCPU)],$B69),"")</f>
        <v>192</v>
      </c>
      <c r="O69" s="19">
        <f>IF($D69=1,INDEX(TblClusters[RAM min (Go)],$B69),"")</f>
        <v>480</v>
      </c>
      <c r="P69" s="19">
        <f>IF($D69&lt;&gt;1,"",IF($G69="ROKS",SUMIFS(TblApplications[Besoin ROKS CPU (vCPU)],TblApplications[Cluster ROKS cible],$F69,TblApplications[Action],"À migrer",TblApplications[Déjà incluse ROKS],"Non",TblApplications[Mois prov (calc)],"&lt;="&amp;$E69),SUMIFS(TblApplications[CPU IKS libérable (vCPU)],TblApplications[Cluster IKS source],$F69,TblApplications[Mois lib (calc)],"&lt;="&amp;$E69)))</f>
        <v>0</v>
      </c>
      <c r="Q69" s="19">
        <f>IF($D69&lt;&gt;1,"",IF($G69="ROKS",SUMIFS(TblApplications[Besoin ROKS RAM (Go)],TblApplications[Cluster ROKS cible],$F69,TblApplications[Action],"À migrer",TblApplications[Déjà incluse ROKS],"Non",TblApplications[Mois prov (calc)],"&lt;="&amp;$E69),SUMIFS(TblApplications[RAM IKS libérable (Go)],TblApplications[Cluster IKS source],$F69,TblApplications[Mois lib (calc)],"&lt;="&amp;$E69)))</f>
        <v>0</v>
      </c>
      <c r="R69" s="19">
        <f t="shared" si="3"/>
        <v>192</v>
      </c>
      <c r="S69" s="19">
        <f t="shared" si="4"/>
        <v>480</v>
      </c>
      <c r="T69" s="19">
        <f t="shared" si="5"/>
        <v>6</v>
      </c>
      <c r="U69" s="19">
        <f t="shared" si="6"/>
        <v>192</v>
      </c>
      <c r="V69" s="19">
        <f t="shared" si="7"/>
        <v>480</v>
      </c>
      <c r="W69" s="73">
        <f t="shared" si="8"/>
        <v>7296</v>
      </c>
      <c r="X69" s="19">
        <f>IF($D69&lt;&gt;1,"",IF($G69="ROKS",$R69,IF($AI69=1,0,MAX($N69,$L69-SUMIFS(TblApplications[CPU IKS libérable (vCPU)],TblApplications[Cluster IKS source],$F69,TblApplications[Action],"À migrer",TblApplications[Mois prov (calc)],"&lt;="&amp;$E69)-SUMIFS(TblApplications[CPU IKS libérable (vCPU)],TblApplications[Cluster IKS source],$F69,TblApplications[Action],"À décommissionner",TblApplications[Mois lib (calc)],"&lt;="&amp;$E69)))))</f>
        <v>192</v>
      </c>
      <c r="Y69" s="19">
        <f>IF($D69&lt;&gt;1,"",IF($G69="ROKS",$S69,IF($AI69=1,0,MAX($O69,$M69-SUMIFS(TblApplications[RAM IKS libérable (Go)],TblApplications[Cluster IKS source],$F69,TblApplications[Action],"À migrer",TblApplications[Mois prov (calc)],"&lt;="&amp;$E69)-SUMIFS(TblApplications[RAM IKS libérable (Go)],TblApplications[Cluster IKS source],$F69,TblApplications[Action],"À décommissionner",TblApplications[Mois lib (calc)],"&lt;="&amp;$E69)))))</f>
        <v>480</v>
      </c>
      <c r="Z69" s="19">
        <f t="shared" si="9"/>
        <v>6</v>
      </c>
      <c r="AA69" s="73">
        <f t="shared" si="10"/>
        <v>7296</v>
      </c>
      <c r="AB69" s="19">
        <f t="shared" si="11"/>
        <v>6</v>
      </c>
      <c r="AC69" s="73">
        <f t="shared" si="12"/>
        <v>7296</v>
      </c>
      <c r="AD69" s="19">
        <f t="shared" si="13"/>
        <v>0</v>
      </c>
      <c r="AE69" s="19">
        <f t="shared" si="14"/>
        <v>0</v>
      </c>
      <c r="AF69" s="19" t="str">
        <f>IF($D69&lt;&gt;1,"",IF(INDEX(TblClusters[Environnement],$B69)="","(vide)",INDEX(TblClusters[Environnement],$B69)))</f>
        <v>NPRD</v>
      </c>
      <c r="AG69" s="19">
        <f t="shared" si="15"/>
        <v>240</v>
      </c>
      <c r="AH69" s="19">
        <f t="shared" si="16"/>
        <v>30.4</v>
      </c>
      <c r="AI69" s="19">
        <f>IF($D69&lt;&gt;1,"",IF(AND($G69="IKS",ISNUMBER(INDEX(TblClusters[Fermeture retenue],$B69))),IF($E69&gt;=INDEX(TblClusters[Fermeture retenue],$B69),1,0),0))</f>
        <v>0</v>
      </c>
    </row>
    <row r="70" spans="1:35" x14ac:dyDescent="0.2">
      <c r="A70" s="19">
        <v>65</v>
      </c>
      <c r="B70" s="19">
        <f t="shared" ref="B70:B133" si="17">INT(($A70-1)/36)+1</f>
        <v>2</v>
      </c>
      <c r="C70" s="19">
        <f t="shared" ref="C70:C133" si="18">MOD($A70-1,36)+1</f>
        <v>29</v>
      </c>
      <c r="D70" s="19">
        <f>IF($C70&gt;p_horizon,0,IFERROR(IF(AND(INDEX(TblClusters[Cluster],$B70)&lt;&gt;"",ISNUMBER(INDEX(TblClusters[CPU initial (vCPU)],$B70)),ISNUMBER(INDEX(TblClusters[CPU min (vCPU)],$B70)),OR(INDEX(TblClusters[Plateforme],$B70)="IKS",INDEX(TblClusters[Plateforme],$B70)="ROKS")),1,0),0))</f>
        <v>1</v>
      </c>
      <c r="E70" s="72">
        <f t="shared" ref="E70:E133" si="19">IF($D70=1,EDATE(p_debut,$C70-1),"")</f>
        <v>47150</v>
      </c>
      <c r="F70" s="19" t="str">
        <f>IF($D70=1,INDEX(TblClusters[Cluster],$B70),"")</f>
        <v>oc002i000578</v>
      </c>
      <c r="G70" s="19" t="str">
        <f>IF($D70=1,INDEX(TblClusters[Plateforme],$B70),"")</f>
        <v>ROKS</v>
      </c>
      <c r="H70" s="19">
        <f>IF($D70=1,INDEX(TblClusters[vCPU par nœud],$B70),"")</f>
        <v>32</v>
      </c>
      <c r="I70" s="19">
        <f>IF($D70=1,INDEX(TblClusters[RAM par nœud (Go)],$B70),"")</f>
        <v>80</v>
      </c>
      <c r="J70" s="19">
        <f>IF($D70=1,INDEX(TblClusters[Workers min],$B70),"")</f>
        <v>6</v>
      </c>
      <c r="K70" s="73">
        <f>IF($D70=1,INDEX(TblClusters[Tarif par nœud],$B70),"")</f>
        <v>1216</v>
      </c>
      <c r="L70" s="19">
        <f>IF($D70=1,INDEX(TblClusters[CPU initial (vCPU)],$B70),"")</f>
        <v>192</v>
      </c>
      <c r="M70" s="19">
        <f>IF($D70=1,INDEX(TblClusters[RAM initiale (Go)],$B70),"")</f>
        <v>480</v>
      </c>
      <c r="N70" s="19">
        <f>IF($D70=1,INDEX(TblClusters[CPU min (vCPU)],$B70),"")</f>
        <v>192</v>
      </c>
      <c r="O70" s="19">
        <f>IF($D70=1,INDEX(TblClusters[RAM min (Go)],$B70),"")</f>
        <v>480</v>
      </c>
      <c r="P70" s="19">
        <f>IF($D70&lt;&gt;1,"",IF($G70="ROKS",SUMIFS(TblApplications[Besoin ROKS CPU (vCPU)],TblApplications[Cluster ROKS cible],$F70,TblApplications[Action],"À migrer",TblApplications[Déjà incluse ROKS],"Non",TblApplications[Mois prov (calc)],"&lt;="&amp;$E70),SUMIFS(TblApplications[CPU IKS libérable (vCPU)],TblApplications[Cluster IKS source],$F70,TblApplications[Mois lib (calc)],"&lt;="&amp;$E70)))</f>
        <v>0</v>
      </c>
      <c r="Q70" s="19">
        <f>IF($D70&lt;&gt;1,"",IF($G70="ROKS",SUMIFS(TblApplications[Besoin ROKS RAM (Go)],TblApplications[Cluster ROKS cible],$F70,TblApplications[Action],"À migrer",TblApplications[Déjà incluse ROKS],"Non",TblApplications[Mois prov (calc)],"&lt;="&amp;$E70),SUMIFS(TblApplications[RAM IKS libérable (Go)],TblApplications[Cluster IKS source],$F70,TblApplications[Mois lib (calc)],"&lt;="&amp;$E70)))</f>
        <v>0</v>
      </c>
      <c r="R70" s="19">
        <f t="shared" ref="R70:R133" si="20">IF($D70&lt;&gt;1,"",IF($G70="ROKS",$L70+$P70,IF($AI70=1,0,MAX($N70,$L70-$P70))))</f>
        <v>192</v>
      </c>
      <c r="S70" s="19">
        <f t="shared" ref="S70:S133" si="21">IF($D70&lt;&gt;1,"",IF($G70="ROKS",$M70+$Q70,IF($AI70=1,0,MAX($O70,$M70-$Q70))))</f>
        <v>480</v>
      </c>
      <c r="T70" s="19">
        <f t="shared" ref="T70:T133" si="22">IF($D70&lt;&gt;1,"",IF($AI70=1,0,MAX($J70,ROUNDUP(MAX($R70/$H70,$S70/$I70),0))))</f>
        <v>6</v>
      </c>
      <c r="U70" s="19">
        <f t="shared" ref="U70:U133" si="23">IF($D70&lt;&gt;1,"",IF(p_mode="Nœud",$T70*$H70,$R70))</f>
        <v>192</v>
      </c>
      <c r="V70" s="19">
        <f t="shared" ref="V70:V133" si="24">IF($D70&lt;&gt;1,"",IF(p_mode="Nœud",$T70*$I70,$S70))</f>
        <v>480</v>
      </c>
      <c r="W70" s="73">
        <f t="shared" ref="W70:W133" si="25">IF($D70&lt;&gt;1,"",IF(p_mode="Nœud",$T70*$K70,$R70*IF($G70="IKS",p_iks_cpu,p_roks_cpu)+$S70*IF($G70="IKS",p_iks_ram,p_roks_ram))*p_facteur)</f>
        <v>7296</v>
      </c>
      <c r="X70" s="19">
        <f>IF($D70&lt;&gt;1,"",IF($G70="ROKS",$R70,IF($AI70=1,0,MAX($N70,$L70-SUMIFS(TblApplications[CPU IKS libérable (vCPU)],TblApplications[Cluster IKS source],$F70,TblApplications[Action],"À migrer",TblApplications[Mois prov (calc)],"&lt;="&amp;$E70)-SUMIFS(TblApplications[CPU IKS libérable (vCPU)],TblApplications[Cluster IKS source],$F70,TblApplications[Action],"À décommissionner",TblApplications[Mois lib (calc)],"&lt;="&amp;$E70)))))</f>
        <v>192</v>
      </c>
      <c r="Y70" s="19">
        <f>IF($D70&lt;&gt;1,"",IF($G70="ROKS",$S70,IF($AI70=1,0,MAX($O70,$M70-SUMIFS(TblApplications[RAM IKS libérable (Go)],TblApplications[Cluster IKS source],$F70,TblApplications[Action],"À migrer",TblApplications[Mois prov (calc)],"&lt;="&amp;$E70)-SUMIFS(TblApplications[RAM IKS libérable (Go)],TblApplications[Cluster IKS source],$F70,TblApplications[Action],"À décommissionner",TblApplications[Mois lib (calc)],"&lt;="&amp;$E70)))))</f>
        <v>480</v>
      </c>
      <c r="Z70" s="19">
        <f t="shared" ref="Z70:Z133" si="26">IF($D70&lt;&gt;1,"",IF($AI70=1,0,MAX($J70,ROUNDUP(MAX($X70/$H70,$Y70/$I70),0))))</f>
        <v>6</v>
      </c>
      <c r="AA70" s="73">
        <f t="shared" ref="AA70:AA133" si="27">IF($D70&lt;&gt;1,"",IF(p_mode="Nœud",$Z70*$K70,$X70*IF($G70="IKS",p_iks_cpu,p_roks_cpu)+$Y70*IF($G70="IKS",p_iks_ram,p_roks_ram))*p_facteur)</f>
        <v>7296</v>
      </c>
      <c r="AB70" s="19">
        <f t="shared" ref="AB70:AB133" si="28">IF($D70&lt;&gt;1,"",MAX($J70,ROUNDUP(MAX($L70/$H70,$M70/$I70),0)))</f>
        <v>6</v>
      </c>
      <c r="AC70" s="73">
        <f t="shared" ref="AC70:AC133" si="29">IF($D70&lt;&gt;1,"",IF(p_mode="Nœud",$AB70*$K70,$L70*IF($G70="IKS",p_iks_cpu,p_roks_cpu)+$M70*IF($G70="IKS",p_iks_ram,p_roks_ram))*p_facteur)</f>
        <v>7296</v>
      </c>
      <c r="AD70" s="19">
        <f t="shared" ref="AD70:AD133" si="30">IF($D70&lt;&gt;1,"",IF(AND($G70="IKS",$AI70&lt;&gt;1,OR($L70-$P70&lt;$N70,$M70-$Q70&lt;$O70)),1,0))</f>
        <v>0</v>
      </c>
      <c r="AE70" s="19">
        <f t="shared" ref="AE70:AE133" si="31">IF($D70&lt;&gt;1,"",IF(AND($G70="ROKS",$T70&gt;p_maxworkers),1,0))</f>
        <v>0</v>
      </c>
      <c r="AF70" s="19" t="str">
        <f>IF($D70&lt;&gt;1,"",IF(INDEX(TblClusters[Environnement],$B70)="","(vide)",INDEX(TblClusters[Environnement],$B70)))</f>
        <v>NPRD</v>
      </c>
      <c r="AG70" s="19">
        <f t="shared" ref="AG70:AG133" si="32">IF($D70&lt;&gt;1,"",$R70+p_poidsram*$S70)</f>
        <v>240</v>
      </c>
      <c r="AH70" s="19">
        <f t="shared" ref="AH70:AH133" si="33">IF($D70&lt;&gt;1,"",IFERROR($W70/$AG70,0))</f>
        <v>30.4</v>
      </c>
      <c r="AI70" s="19">
        <f>IF($D70&lt;&gt;1,"",IF(AND($G70="IKS",ISNUMBER(INDEX(TblClusters[Fermeture retenue],$B70))),IF($E70&gt;=INDEX(TblClusters[Fermeture retenue],$B70),1,0),0))</f>
        <v>0</v>
      </c>
    </row>
    <row r="71" spans="1:35" x14ac:dyDescent="0.2">
      <c r="A71" s="19">
        <v>66</v>
      </c>
      <c r="B71" s="19">
        <f t="shared" si="17"/>
        <v>2</v>
      </c>
      <c r="C71" s="19">
        <f t="shared" si="18"/>
        <v>30</v>
      </c>
      <c r="D71" s="19">
        <f>IF($C71&gt;p_horizon,0,IFERROR(IF(AND(INDEX(TblClusters[Cluster],$B71)&lt;&gt;"",ISNUMBER(INDEX(TblClusters[CPU initial (vCPU)],$B71)),ISNUMBER(INDEX(TblClusters[CPU min (vCPU)],$B71)),OR(INDEX(TblClusters[Plateforme],$B71)="IKS",INDEX(TblClusters[Plateforme],$B71)="ROKS")),1,0),0))</f>
        <v>1</v>
      </c>
      <c r="E71" s="72">
        <f t="shared" si="19"/>
        <v>47178</v>
      </c>
      <c r="F71" s="19" t="str">
        <f>IF($D71=1,INDEX(TblClusters[Cluster],$B71),"")</f>
        <v>oc002i000578</v>
      </c>
      <c r="G71" s="19" t="str">
        <f>IF($D71=1,INDEX(TblClusters[Plateforme],$B71),"")</f>
        <v>ROKS</v>
      </c>
      <c r="H71" s="19">
        <f>IF($D71=1,INDEX(TblClusters[vCPU par nœud],$B71),"")</f>
        <v>32</v>
      </c>
      <c r="I71" s="19">
        <f>IF($D71=1,INDEX(TblClusters[RAM par nœud (Go)],$B71),"")</f>
        <v>80</v>
      </c>
      <c r="J71" s="19">
        <f>IF($D71=1,INDEX(TblClusters[Workers min],$B71),"")</f>
        <v>6</v>
      </c>
      <c r="K71" s="73">
        <f>IF($D71=1,INDEX(TblClusters[Tarif par nœud],$B71),"")</f>
        <v>1216</v>
      </c>
      <c r="L71" s="19">
        <f>IF($D71=1,INDEX(TblClusters[CPU initial (vCPU)],$B71),"")</f>
        <v>192</v>
      </c>
      <c r="M71" s="19">
        <f>IF($D71=1,INDEX(TblClusters[RAM initiale (Go)],$B71),"")</f>
        <v>480</v>
      </c>
      <c r="N71" s="19">
        <f>IF($D71=1,INDEX(TblClusters[CPU min (vCPU)],$B71),"")</f>
        <v>192</v>
      </c>
      <c r="O71" s="19">
        <f>IF($D71=1,INDEX(TblClusters[RAM min (Go)],$B71),"")</f>
        <v>480</v>
      </c>
      <c r="P71" s="19">
        <f>IF($D71&lt;&gt;1,"",IF($G71="ROKS",SUMIFS(TblApplications[Besoin ROKS CPU (vCPU)],TblApplications[Cluster ROKS cible],$F71,TblApplications[Action],"À migrer",TblApplications[Déjà incluse ROKS],"Non",TblApplications[Mois prov (calc)],"&lt;="&amp;$E71),SUMIFS(TblApplications[CPU IKS libérable (vCPU)],TblApplications[Cluster IKS source],$F71,TblApplications[Mois lib (calc)],"&lt;="&amp;$E71)))</f>
        <v>0</v>
      </c>
      <c r="Q71" s="19">
        <f>IF($D71&lt;&gt;1,"",IF($G71="ROKS",SUMIFS(TblApplications[Besoin ROKS RAM (Go)],TblApplications[Cluster ROKS cible],$F71,TblApplications[Action],"À migrer",TblApplications[Déjà incluse ROKS],"Non",TblApplications[Mois prov (calc)],"&lt;="&amp;$E71),SUMIFS(TblApplications[RAM IKS libérable (Go)],TblApplications[Cluster IKS source],$F71,TblApplications[Mois lib (calc)],"&lt;="&amp;$E71)))</f>
        <v>0</v>
      </c>
      <c r="R71" s="19">
        <f t="shared" si="20"/>
        <v>192</v>
      </c>
      <c r="S71" s="19">
        <f t="shared" si="21"/>
        <v>480</v>
      </c>
      <c r="T71" s="19">
        <f t="shared" si="22"/>
        <v>6</v>
      </c>
      <c r="U71" s="19">
        <f t="shared" si="23"/>
        <v>192</v>
      </c>
      <c r="V71" s="19">
        <f t="shared" si="24"/>
        <v>480</v>
      </c>
      <c r="W71" s="73">
        <f t="shared" si="25"/>
        <v>7296</v>
      </c>
      <c r="X71" s="19">
        <f>IF($D71&lt;&gt;1,"",IF($G71="ROKS",$R71,IF($AI71=1,0,MAX($N71,$L71-SUMIFS(TblApplications[CPU IKS libérable (vCPU)],TblApplications[Cluster IKS source],$F71,TblApplications[Action],"À migrer",TblApplications[Mois prov (calc)],"&lt;="&amp;$E71)-SUMIFS(TblApplications[CPU IKS libérable (vCPU)],TblApplications[Cluster IKS source],$F71,TblApplications[Action],"À décommissionner",TblApplications[Mois lib (calc)],"&lt;="&amp;$E71)))))</f>
        <v>192</v>
      </c>
      <c r="Y71" s="19">
        <f>IF($D71&lt;&gt;1,"",IF($G71="ROKS",$S71,IF($AI71=1,0,MAX($O71,$M71-SUMIFS(TblApplications[RAM IKS libérable (Go)],TblApplications[Cluster IKS source],$F71,TblApplications[Action],"À migrer",TblApplications[Mois prov (calc)],"&lt;="&amp;$E71)-SUMIFS(TblApplications[RAM IKS libérable (Go)],TblApplications[Cluster IKS source],$F71,TblApplications[Action],"À décommissionner",TblApplications[Mois lib (calc)],"&lt;="&amp;$E71)))))</f>
        <v>480</v>
      </c>
      <c r="Z71" s="19">
        <f t="shared" si="26"/>
        <v>6</v>
      </c>
      <c r="AA71" s="73">
        <f t="shared" si="27"/>
        <v>7296</v>
      </c>
      <c r="AB71" s="19">
        <f t="shared" si="28"/>
        <v>6</v>
      </c>
      <c r="AC71" s="73">
        <f t="shared" si="29"/>
        <v>7296</v>
      </c>
      <c r="AD71" s="19">
        <f t="shared" si="30"/>
        <v>0</v>
      </c>
      <c r="AE71" s="19">
        <f t="shared" si="31"/>
        <v>0</v>
      </c>
      <c r="AF71" s="19" t="str">
        <f>IF($D71&lt;&gt;1,"",IF(INDEX(TblClusters[Environnement],$B71)="","(vide)",INDEX(TblClusters[Environnement],$B71)))</f>
        <v>NPRD</v>
      </c>
      <c r="AG71" s="19">
        <f t="shared" si="32"/>
        <v>240</v>
      </c>
      <c r="AH71" s="19">
        <f t="shared" si="33"/>
        <v>30.4</v>
      </c>
      <c r="AI71" s="19">
        <f>IF($D71&lt;&gt;1,"",IF(AND($G71="IKS",ISNUMBER(INDEX(TblClusters[Fermeture retenue],$B71))),IF($E71&gt;=INDEX(TblClusters[Fermeture retenue],$B71),1,0),0))</f>
        <v>0</v>
      </c>
    </row>
    <row r="72" spans="1:35" x14ac:dyDescent="0.2">
      <c r="A72" s="19">
        <v>67</v>
      </c>
      <c r="B72" s="19">
        <f t="shared" si="17"/>
        <v>2</v>
      </c>
      <c r="C72" s="19">
        <f t="shared" si="18"/>
        <v>31</v>
      </c>
      <c r="D72" s="19">
        <f>IF($C72&gt;p_horizon,0,IFERROR(IF(AND(INDEX(TblClusters[Cluster],$B72)&lt;&gt;"",ISNUMBER(INDEX(TblClusters[CPU initial (vCPU)],$B72)),ISNUMBER(INDEX(TblClusters[CPU min (vCPU)],$B72)),OR(INDEX(TblClusters[Plateforme],$B72)="IKS",INDEX(TblClusters[Plateforme],$B72)="ROKS")),1,0),0))</f>
        <v>1</v>
      </c>
      <c r="E72" s="72">
        <f t="shared" si="19"/>
        <v>47209</v>
      </c>
      <c r="F72" s="19" t="str">
        <f>IF($D72=1,INDEX(TblClusters[Cluster],$B72),"")</f>
        <v>oc002i000578</v>
      </c>
      <c r="G72" s="19" t="str">
        <f>IF($D72=1,INDEX(TblClusters[Plateforme],$B72),"")</f>
        <v>ROKS</v>
      </c>
      <c r="H72" s="19">
        <f>IF($D72=1,INDEX(TblClusters[vCPU par nœud],$B72),"")</f>
        <v>32</v>
      </c>
      <c r="I72" s="19">
        <f>IF($D72=1,INDEX(TblClusters[RAM par nœud (Go)],$B72),"")</f>
        <v>80</v>
      </c>
      <c r="J72" s="19">
        <f>IF($D72=1,INDEX(TblClusters[Workers min],$B72),"")</f>
        <v>6</v>
      </c>
      <c r="K72" s="73">
        <f>IF($D72=1,INDEX(TblClusters[Tarif par nœud],$B72),"")</f>
        <v>1216</v>
      </c>
      <c r="L72" s="19">
        <f>IF($D72=1,INDEX(TblClusters[CPU initial (vCPU)],$B72),"")</f>
        <v>192</v>
      </c>
      <c r="M72" s="19">
        <f>IF($D72=1,INDEX(TblClusters[RAM initiale (Go)],$B72),"")</f>
        <v>480</v>
      </c>
      <c r="N72" s="19">
        <f>IF($D72=1,INDEX(TblClusters[CPU min (vCPU)],$B72),"")</f>
        <v>192</v>
      </c>
      <c r="O72" s="19">
        <f>IF($D72=1,INDEX(TblClusters[RAM min (Go)],$B72),"")</f>
        <v>480</v>
      </c>
      <c r="P72" s="19">
        <f>IF($D72&lt;&gt;1,"",IF($G72="ROKS",SUMIFS(TblApplications[Besoin ROKS CPU (vCPU)],TblApplications[Cluster ROKS cible],$F72,TblApplications[Action],"À migrer",TblApplications[Déjà incluse ROKS],"Non",TblApplications[Mois prov (calc)],"&lt;="&amp;$E72),SUMIFS(TblApplications[CPU IKS libérable (vCPU)],TblApplications[Cluster IKS source],$F72,TblApplications[Mois lib (calc)],"&lt;="&amp;$E72)))</f>
        <v>0</v>
      </c>
      <c r="Q72" s="19">
        <f>IF($D72&lt;&gt;1,"",IF($G72="ROKS",SUMIFS(TblApplications[Besoin ROKS RAM (Go)],TblApplications[Cluster ROKS cible],$F72,TblApplications[Action],"À migrer",TblApplications[Déjà incluse ROKS],"Non",TblApplications[Mois prov (calc)],"&lt;="&amp;$E72),SUMIFS(TblApplications[RAM IKS libérable (Go)],TblApplications[Cluster IKS source],$F72,TblApplications[Mois lib (calc)],"&lt;="&amp;$E72)))</f>
        <v>0</v>
      </c>
      <c r="R72" s="19">
        <f t="shared" si="20"/>
        <v>192</v>
      </c>
      <c r="S72" s="19">
        <f t="shared" si="21"/>
        <v>480</v>
      </c>
      <c r="T72" s="19">
        <f t="shared" si="22"/>
        <v>6</v>
      </c>
      <c r="U72" s="19">
        <f t="shared" si="23"/>
        <v>192</v>
      </c>
      <c r="V72" s="19">
        <f t="shared" si="24"/>
        <v>480</v>
      </c>
      <c r="W72" s="73">
        <f t="shared" si="25"/>
        <v>7296</v>
      </c>
      <c r="X72" s="19">
        <f>IF($D72&lt;&gt;1,"",IF($G72="ROKS",$R72,IF($AI72=1,0,MAX($N72,$L72-SUMIFS(TblApplications[CPU IKS libérable (vCPU)],TblApplications[Cluster IKS source],$F72,TblApplications[Action],"À migrer",TblApplications[Mois prov (calc)],"&lt;="&amp;$E72)-SUMIFS(TblApplications[CPU IKS libérable (vCPU)],TblApplications[Cluster IKS source],$F72,TblApplications[Action],"À décommissionner",TblApplications[Mois lib (calc)],"&lt;="&amp;$E72)))))</f>
        <v>192</v>
      </c>
      <c r="Y72" s="19">
        <f>IF($D72&lt;&gt;1,"",IF($G72="ROKS",$S72,IF($AI72=1,0,MAX($O72,$M72-SUMIFS(TblApplications[RAM IKS libérable (Go)],TblApplications[Cluster IKS source],$F72,TblApplications[Action],"À migrer",TblApplications[Mois prov (calc)],"&lt;="&amp;$E72)-SUMIFS(TblApplications[RAM IKS libérable (Go)],TblApplications[Cluster IKS source],$F72,TblApplications[Action],"À décommissionner",TblApplications[Mois lib (calc)],"&lt;="&amp;$E72)))))</f>
        <v>480</v>
      </c>
      <c r="Z72" s="19">
        <f t="shared" si="26"/>
        <v>6</v>
      </c>
      <c r="AA72" s="73">
        <f t="shared" si="27"/>
        <v>7296</v>
      </c>
      <c r="AB72" s="19">
        <f t="shared" si="28"/>
        <v>6</v>
      </c>
      <c r="AC72" s="73">
        <f t="shared" si="29"/>
        <v>7296</v>
      </c>
      <c r="AD72" s="19">
        <f t="shared" si="30"/>
        <v>0</v>
      </c>
      <c r="AE72" s="19">
        <f t="shared" si="31"/>
        <v>0</v>
      </c>
      <c r="AF72" s="19" t="str">
        <f>IF($D72&lt;&gt;1,"",IF(INDEX(TblClusters[Environnement],$B72)="","(vide)",INDEX(TblClusters[Environnement],$B72)))</f>
        <v>NPRD</v>
      </c>
      <c r="AG72" s="19">
        <f t="shared" si="32"/>
        <v>240</v>
      </c>
      <c r="AH72" s="19">
        <f t="shared" si="33"/>
        <v>30.4</v>
      </c>
      <c r="AI72" s="19">
        <f>IF($D72&lt;&gt;1,"",IF(AND($G72="IKS",ISNUMBER(INDEX(TblClusters[Fermeture retenue],$B72))),IF($E72&gt;=INDEX(TblClusters[Fermeture retenue],$B72),1,0),0))</f>
        <v>0</v>
      </c>
    </row>
    <row r="73" spans="1:35" x14ac:dyDescent="0.2">
      <c r="A73" s="19">
        <v>68</v>
      </c>
      <c r="B73" s="19">
        <f t="shared" si="17"/>
        <v>2</v>
      </c>
      <c r="C73" s="19">
        <f t="shared" si="18"/>
        <v>32</v>
      </c>
      <c r="D73" s="19">
        <f>IF($C73&gt;p_horizon,0,IFERROR(IF(AND(INDEX(TblClusters[Cluster],$B73)&lt;&gt;"",ISNUMBER(INDEX(TblClusters[CPU initial (vCPU)],$B73)),ISNUMBER(INDEX(TblClusters[CPU min (vCPU)],$B73)),OR(INDEX(TblClusters[Plateforme],$B73)="IKS",INDEX(TblClusters[Plateforme],$B73)="ROKS")),1,0),0))</f>
        <v>1</v>
      </c>
      <c r="E73" s="72">
        <f t="shared" si="19"/>
        <v>47239</v>
      </c>
      <c r="F73" s="19" t="str">
        <f>IF($D73=1,INDEX(TblClusters[Cluster],$B73),"")</f>
        <v>oc002i000578</v>
      </c>
      <c r="G73" s="19" t="str">
        <f>IF($D73=1,INDEX(TblClusters[Plateforme],$B73),"")</f>
        <v>ROKS</v>
      </c>
      <c r="H73" s="19">
        <f>IF($D73=1,INDEX(TblClusters[vCPU par nœud],$B73),"")</f>
        <v>32</v>
      </c>
      <c r="I73" s="19">
        <f>IF($D73=1,INDEX(TblClusters[RAM par nœud (Go)],$B73),"")</f>
        <v>80</v>
      </c>
      <c r="J73" s="19">
        <f>IF($D73=1,INDEX(TblClusters[Workers min],$B73),"")</f>
        <v>6</v>
      </c>
      <c r="K73" s="73">
        <f>IF($D73=1,INDEX(TblClusters[Tarif par nœud],$B73),"")</f>
        <v>1216</v>
      </c>
      <c r="L73" s="19">
        <f>IF($D73=1,INDEX(TblClusters[CPU initial (vCPU)],$B73),"")</f>
        <v>192</v>
      </c>
      <c r="M73" s="19">
        <f>IF($D73=1,INDEX(TblClusters[RAM initiale (Go)],$B73),"")</f>
        <v>480</v>
      </c>
      <c r="N73" s="19">
        <f>IF($D73=1,INDEX(TblClusters[CPU min (vCPU)],$B73),"")</f>
        <v>192</v>
      </c>
      <c r="O73" s="19">
        <f>IF($D73=1,INDEX(TblClusters[RAM min (Go)],$B73),"")</f>
        <v>480</v>
      </c>
      <c r="P73" s="19">
        <f>IF($D73&lt;&gt;1,"",IF($G73="ROKS",SUMIFS(TblApplications[Besoin ROKS CPU (vCPU)],TblApplications[Cluster ROKS cible],$F73,TblApplications[Action],"À migrer",TblApplications[Déjà incluse ROKS],"Non",TblApplications[Mois prov (calc)],"&lt;="&amp;$E73),SUMIFS(TblApplications[CPU IKS libérable (vCPU)],TblApplications[Cluster IKS source],$F73,TblApplications[Mois lib (calc)],"&lt;="&amp;$E73)))</f>
        <v>0</v>
      </c>
      <c r="Q73" s="19">
        <f>IF($D73&lt;&gt;1,"",IF($G73="ROKS",SUMIFS(TblApplications[Besoin ROKS RAM (Go)],TblApplications[Cluster ROKS cible],$F73,TblApplications[Action],"À migrer",TblApplications[Déjà incluse ROKS],"Non",TblApplications[Mois prov (calc)],"&lt;="&amp;$E73),SUMIFS(TblApplications[RAM IKS libérable (Go)],TblApplications[Cluster IKS source],$F73,TblApplications[Mois lib (calc)],"&lt;="&amp;$E73)))</f>
        <v>0</v>
      </c>
      <c r="R73" s="19">
        <f t="shared" si="20"/>
        <v>192</v>
      </c>
      <c r="S73" s="19">
        <f t="shared" si="21"/>
        <v>480</v>
      </c>
      <c r="T73" s="19">
        <f t="shared" si="22"/>
        <v>6</v>
      </c>
      <c r="U73" s="19">
        <f t="shared" si="23"/>
        <v>192</v>
      </c>
      <c r="V73" s="19">
        <f t="shared" si="24"/>
        <v>480</v>
      </c>
      <c r="W73" s="73">
        <f t="shared" si="25"/>
        <v>7296</v>
      </c>
      <c r="X73" s="19">
        <f>IF($D73&lt;&gt;1,"",IF($G73="ROKS",$R73,IF($AI73=1,0,MAX($N73,$L73-SUMIFS(TblApplications[CPU IKS libérable (vCPU)],TblApplications[Cluster IKS source],$F73,TblApplications[Action],"À migrer",TblApplications[Mois prov (calc)],"&lt;="&amp;$E73)-SUMIFS(TblApplications[CPU IKS libérable (vCPU)],TblApplications[Cluster IKS source],$F73,TblApplications[Action],"À décommissionner",TblApplications[Mois lib (calc)],"&lt;="&amp;$E73)))))</f>
        <v>192</v>
      </c>
      <c r="Y73" s="19">
        <f>IF($D73&lt;&gt;1,"",IF($G73="ROKS",$S73,IF($AI73=1,0,MAX($O73,$M73-SUMIFS(TblApplications[RAM IKS libérable (Go)],TblApplications[Cluster IKS source],$F73,TblApplications[Action],"À migrer",TblApplications[Mois prov (calc)],"&lt;="&amp;$E73)-SUMIFS(TblApplications[RAM IKS libérable (Go)],TblApplications[Cluster IKS source],$F73,TblApplications[Action],"À décommissionner",TblApplications[Mois lib (calc)],"&lt;="&amp;$E73)))))</f>
        <v>480</v>
      </c>
      <c r="Z73" s="19">
        <f t="shared" si="26"/>
        <v>6</v>
      </c>
      <c r="AA73" s="73">
        <f t="shared" si="27"/>
        <v>7296</v>
      </c>
      <c r="AB73" s="19">
        <f t="shared" si="28"/>
        <v>6</v>
      </c>
      <c r="AC73" s="73">
        <f t="shared" si="29"/>
        <v>7296</v>
      </c>
      <c r="AD73" s="19">
        <f t="shared" si="30"/>
        <v>0</v>
      </c>
      <c r="AE73" s="19">
        <f t="shared" si="31"/>
        <v>0</v>
      </c>
      <c r="AF73" s="19" t="str">
        <f>IF($D73&lt;&gt;1,"",IF(INDEX(TblClusters[Environnement],$B73)="","(vide)",INDEX(TblClusters[Environnement],$B73)))</f>
        <v>NPRD</v>
      </c>
      <c r="AG73" s="19">
        <f t="shared" si="32"/>
        <v>240</v>
      </c>
      <c r="AH73" s="19">
        <f t="shared" si="33"/>
        <v>30.4</v>
      </c>
      <c r="AI73" s="19">
        <f>IF($D73&lt;&gt;1,"",IF(AND($G73="IKS",ISNUMBER(INDEX(TblClusters[Fermeture retenue],$B73))),IF($E73&gt;=INDEX(TblClusters[Fermeture retenue],$B73),1,0),0))</f>
        <v>0</v>
      </c>
    </row>
    <row r="74" spans="1:35" x14ac:dyDescent="0.2">
      <c r="A74" s="19">
        <v>69</v>
      </c>
      <c r="B74" s="19">
        <f t="shared" si="17"/>
        <v>2</v>
      </c>
      <c r="C74" s="19">
        <f t="shared" si="18"/>
        <v>33</v>
      </c>
      <c r="D74" s="19">
        <f>IF($C74&gt;p_horizon,0,IFERROR(IF(AND(INDEX(TblClusters[Cluster],$B74)&lt;&gt;"",ISNUMBER(INDEX(TblClusters[CPU initial (vCPU)],$B74)),ISNUMBER(INDEX(TblClusters[CPU min (vCPU)],$B74)),OR(INDEX(TblClusters[Plateforme],$B74)="IKS",INDEX(TblClusters[Plateforme],$B74)="ROKS")),1,0),0))</f>
        <v>1</v>
      </c>
      <c r="E74" s="72">
        <f t="shared" si="19"/>
        <v>47270</v>
      </c>
      <c r="F74" s="19" t="str">
        <f>IF($D74=1,INDEX(TblClusters[Cluster],$B74),"")</f>
        <v>oc002i000578</v>
      </c>
      <c r="G74" s="19" t="str">
        <f>IF($D74=1,INDEX(TblClusters[Plateforme],$B74),"")</f>
        <v>ROKS</v>
      </c>
      <c r="H74" s="19">
        <f>IF($D74=1,INDEX(TblClusters[vCPU par nœud],$B74),"")</f>
        <v>32</v>
      </c>
      <c r="I74" s="19">
        <f>IF($D74=1,INDEX(TblClusters[RAM par nœud (Go)],$B74),"")</f>
        <v>80</v>
      </c>
      <c r="J74" s="19">
        <f>IF($D74=1,INDEX(TblClusters[Workers min],$B74),"")</f>
        <v>6</v>
      </c>
      <c r="K74" s="73">
        <f>IF($D74=1,INDEX(TblClusters[Tarif par nœud],$B74),"")</f>
        <v>1216</v>
      </c>
      <c r="L74" s="19">
        <f>IF($D74=1,INDEX(TblClusters[CPU initial (vCPU)],$B74),"")</f>
        <v>192</v>
      </c>
      <c r="M74" s="19">
        <f>IF($D74=1,INDEX(TblClusters[RAM initiale (Go)],$B74),"")</f>
        <v>480</v>
      </c>
      <c r="N74" s="19">
        <f>IF($D74=1,INDEX(TblClusters[CPU min (vCPU)],$B74),"")</f>
        <v>192</v>
      </c>
      <c r="O74" s="19">
        <f>IF($D74=1,INDEX(TblClusters[RAM min (Go)],$B74),"")</f>
        <v>480</v>
      </c>
      <c r="P74" s="19">
        <f>IF($D74&lt;&gt;1,"",IF($G74="ROKS",SUMIFS(TblApplications[Besoin ROKS CPU (vCPU)],TblApplications[Cluster ROKS cible],$F74,TblApplications[Action],"À migrer",TblApplications[Déjà incluse ROKS],"Non",TblApplications[Mois prov (calc)],"&lt;="&amp;$E74),SUMIFS(TblApplications[CPU IKS libérable (vCPU)],TblApplications[Cluster IKS source],$F74,TblApplications[Mois lib (calc)],"&lt;="&amp;$E74)))</f>
        <v>0</v>
      </c>
      <c r="Q74" s="19">
        <f>IF($D74&lt;&gt;1,"",IF($G74="ROKS",SUMIFS(TblApplications[Besoin ROKS RAM (Go)],TblApplications[Cluster ROKS cible],$F74,TblApplications[Action],"À migrer",TblApplications[Déjà incluse ROKS],"Non",TblApplications[Mois prov (calc)],"&lt;="&amp;$E74),SUMIFS(TblApplications[RAM IKS libérable (Go)],TblApplications[Cluster IKS source],$F74,TblApplications[Mois lib (calc)],"&lt;="&amp;$E74)))</f>
        <v>0</v>
      </c>
      <c r="R74" s="19">
        <f t="shared" si="20"/>
        <v>192</v>
      </c>
      <c r="S74" s="19">
        <f t="shared" si="21"/>
        <v>480</v>
      </c>
      <c r="T74" s="19">
        <f t="shared" si="22"/>
        <v>6</v>
      </c>
      <c r="U74" s="19">
        <f t="shared" si="23"/>
        <v>192</v>
      </c>
      <c r="V74" s="19">
        <f t="shared" si="24"/>
        <v>480</v>
      </c>
      <c r="W74" s="73">
        <f t="shared" si="25"/>
        <v>7296</v>
      </c>
      <c r="X74" s="19">
        <f>IF($D74&lt;&gt;1,"",IF($G74="ROKS",$R74,IF($AI74=1,0,MAX($N74,$L74-SUMIFS(TblApplications[CPU IKS libérable (vCPU)],TblApplications[Cluster IKS source],$F74,TblApplications[Action],"À migrer",TblApplications[Mois prov (calc)],"&lt;="&amp;$E74)-SUMIFS(TblApplications[CPU IKS libérable (vCPU)],TblApplications[Cluster IKS source],$F74,TblApplications[Action],"À décommissionner",TblApplications[Mois lib (calc)],"&lt;="&amp;$E74)))))</f>
        <v>192</v>
      </c>
      <c r="Y74" s="19">
        <f>IF($D74&lt;&gt;1,"",IF($G74="ROKS",$S74,IF($AI74=1,0,MAX($O74,$M74-SUMIFS(TblApplications[RAM IKS libérable (Go)],TblApplications[Cluster IKS source],$F74,TblApplications[Action],"À migrer",TblApplications[Mois prov (calc)],"&lt;="&amp;$E74)-SUMIFS(TblApplications[RAM IKS libérable (Go)],TblApplications[Cluster IKS source],$F74,TblApplications[Action],"À décommissionner",TblApplications[Mois lib (calc)],"&lt;="&amp;$E74)))))</f>
        <v>480</v>
      </c>
      <c r="Z74" s="19">
        <f t="shared" si="26"/>
        <v>6</v>
      </c>
      <c r="AA74" s="73">
        <f t="shared" si="27"/>
        <v>7296</v>
      </c>
      <c r="AB74" s="19">
        <f t="shared" si="28"/>
        <v>6</v>
      </c>
      <c r="AC74" s="73">
        <f t="shared" si="29"/>
        <v>7296</v>
      </c>
      <c r="AD74" s="19">
        <f t="shared" si="30"/>
        <v>0</v>
      </c>
      <c r="AE74" s="19">
        <f t="shared" si="31"/>
        <v>0</v>
      </c>
      <c r="AF74" s="19" t="str">
        <f>IF($D74&lt;&gt;1,"",IF(INDEX(TblClusters[Environnement],$B74)="","(vide)",INDEX(TblClusters[Environnement],$B74)))</f>
        <v>NPRD</v>
      </c>
      <c r="AG74" s="19">
        <f t="shared" si="32"/>
        <v>240</v>
      </c>
      <c r="AH74" s="19">
        <f t="shared" si="33"/>
        <v>30.4</v>
      </c>
      <c r="AI74" s="19">
        <f>IF($D74&lt;&gt;1,"",IF(AND($G74="IKS",ISNUMBER(INDEX(TblClusters[Fermeture retenue],$B74))),IF($E74&gt;=INDEX(TblClusters[Fermeture retenue],$B74),1,0),0))</f>
        <v>0</v>
      </c>
    </row>
    <row r="75" spans="1:35" x14ac:dyDescent="0.2">
      <c r="A75" s="19">
        <v>70</v>
      </c>
      <c r="B75" s="19">
        <f t="shared" si="17"/>
        <v>2</v>
      </c>
      <c r="C75" s="19">
        <f t="shared" si="18"/>
        <v>34</v>
      </c>
      <c r="D75" s="19">
        <f>IF($C75&gt;p_horizon,0,IFERROR(IF(AND(INDEX(TblClusters[Cluster],$B75)&lt;&gt;"",ISNUMBER(INDEX(TblClusters[CPU initial (vCPU)],$B75)),ISNUMBER(INDEX(TblClusters[CPU min (vCPU)],$B75)),OR(INDEX(TblClusters[Plateforme],$B75)="IKS",INDEX(TblClusters[Plateforme],$B75)="ROKS")),1,0),0))</f>
        <v>1</v>
      </c>
      <c r="E75" s="72">
        <f t="shared" si="19"/>
        <v>47300</v>
      </c>
      <c r="F75" s="19" t="str">
        <f>IF($D75=1,INDEX(TblClusters[Cluster],$B75),"")</f>
        <v>oc002i000578</v>
      </c>
      <c r="G75" s="19" t="str">
        <f>IF($D75=1,INDEX(TblClusters[Plateforme],$B75),"")</f>
        <v>ROKS</v>
      </c>
      <c r="H75" s="19">
        <f>IF($D75=1,INDEX(TblClusters[vCPU par nœud],$B75),"")</f>
        <v>32</v>
      </c>
      <c r="I75" s="19">
        <f>IF($D75=1,INDEX(TblClusters[RAM par nœud (Go)],$B75),"")</f>
        <v>80</v>
      </c>
      <c r="J75" s="19">
        <f>IF($D75=1,INDEX(TblClusters[Workers min],$B75),"")</f>
        <v>6</v>
      </c>
      <c r="K75" s="73">
        <f>IF($D75=1,INDEX(TblClusters[Tarif par nœud],$B75),"")</f>
        <v>1216</v>
      </c>
      <c r="L75" s="19">
        <f>IF($D75=1,INDEX(TblClusters[CPU initial (vCPU)],$B75),"")</f>
        <v>192</v>
      </c>
      <c r="M75" s="19">
        <f>IF($D75=1,INDEX(TblClusters[RAM initiale (Go)],$B75),"")</f>
        <v>480</v>
      </c>
      <c r="N75" s="19">
        <f>IF($D75=1,INDEX(TblClusters[CPU min (vCPU)],$B75),"")</f>
        <v>192</v>
      </c>
      <c r="O75" s="19">
        <f>IF($D75=1,INDEX(TblClusters[RAM min (Go)],$B75),"")</f>
        <v>480</v>
      </c>
      <c r="P75" s="19">
        <f>IF($D75&lt;&gt;1,"",IF($G75="ROKS",SUMIFS(TblApplications[Besoin ROKS CPU (vCPU)],TblApplications[Cluster ROKS cible],$F75,TblApplications[Action],"À migrer",TblApplications[Déjà incluse ROKS],"Non",TblApplications[Mois prov (calc)],"&lt;="&amp;$E75),SUMIFS(TblApplications[CPU IKS libérable (vCPU)],TblApplications[Cluster IKS source],$F75,TblApplications[Mois lib (calc)],"&lt;="&amp;$E75)))</f>
        <v>0</v>
      </c>
      <c r="Q75" s="19">
        <f>IF($D75&lt;&gt;1,"",IF($G75="ROKS",SUMIFS(TblApplications[Besoin ROKS RAM (Go)],TblApplications[Cluster ROKS cible],$F75,TblApplications[Action],"À migrer",TblApplications[Déjà incluse ROKS],"Non",TblApplications[Mois prov (calc)],"&lt;="&amp;$E75),SUMIFS(TblApplications[RAM IKS libérable (Go)],TblApplications[Cluster IKS source],$F75,TblApplications[Mois lib (calc)],"&lt;="&amp;$E75)))</f>
        <v>0</v>
      </c>
      <c r="R75" s="19">
        <f t="shared" si="20"/>
        <v>192</v>
      </c>
      <c r="S75" s="19">
        <f t="shared" si="21"/>
        <v>480</v>
      </c>
      <c r="T75" s="19">
        <f t="shared" si="22"/>
        <v>6</v>
      </c>
      <c r="U75" s="19">
        <f t="shared" si="23"/>
        <v>192</v>
      </c>
      <c r="V75" s="19">
        <f t="shared" si="24"/>
        <v>480</v>
      </c>
      <c r="W75" s="73">
        <f t="shared" si="25"/>
        <v>7296</v>
      </c>
      <c r="X75" s="19">
        <f>IF($D75&lt;&gt;1,"",IF($G75="ROKS",$R75,IF($AI75=1,0,MAX($N75,$L75-SUMIFS(TblApplications[CPU IKS libérable (vCPU)],TblApplications[Cluster IKS source],$F75,TblApplications[Action],"À migrer",TblApplications[Mois prov (calc)],"&lt;="&amp;$E75)-SUMIFS(TblApplications[CPU IKS libérable (vCPU)],TblApplications[Cluster IKS source],$F75,TblApplications[Action],"À décommissionner",TblApplications[Mois lib (calc)],"&lt;="&amp;$E75)))))</f>
        <v>192</v>
      </c>
      <c r="Y75" s="19">
        <f>IF($D75&lt;&gt;1,"",IF($G75="ROKS",$S75,IF($AI75=1,0,MAX($O75,$M75-SUMIFS(TblApplications[RAM IKS libérable (Go)],TblApplications[Cluster IKS source],$F75,TblApplications[Action],"À migrer",TblApplications[Mois prov (calc)],"&lt;="&amp;$E75)-SUMIFS(TblApplications[RAM IKS libérable (Go)],TblApplications[Cluster IKS source],$F75,TblApplications[Action],"À décommissionner",TblApplications[Mois lib (calc)],"&lt;="&amp;$E75)))))</f>
        <v>480</v>
      </c>
      <c r="Z75" s="19">
        <f t="shared" si="26"/>
        <v>6</v>
      </c>
      <c r="AA75" s="73">
        <f t="shared" si="27"/>
        <v>7296</v>
      </c>
      <c r="AB75" s="19">
        <f t="shared" si="28"/>
        <v>6</v>
      </c>
      <c r="AC75" s="73">
        <f t="shared" si="29"/>
        <v>7296</v>
      </c>
      <c r="AD75" s="19">
        <f t="shared" si="30"/>
        <v>0</v>
      </c>
      <c r="AE75" s="19">
        <f t="shared" si="31"/>
        <v>0</v>
      </c>
      <c r="AF75" s="19" t="str">
        <f>IF($D75&lt;&gt;1,"",IF(INDEX(TblClusters[Environnement],$B75)="","(vide)",INDEX(TblClusters[Environnement],$B75)))</f>
        <v>NPRD</v>
      </c>
      <c r="AG75" s="19">
        <f t="shared" si="32"/>
        <v>240</v>
      </c>
      <c r="AH75" s="19">
        <f t="shared" si="33"/>
        <v>30.4</v>
      </c>
      <c r="AI75" s="19">
        <f>IF($D75&lt;&gt;1,"",IF(AND($G75="IKS",ISNUMBER(INDEX(TblClusters[Fermeture retenue],$B75))),IF($E75&gt;=INDEX(TblClusters[Fermeture retenue],$B75),1,0),0))</f>
        <v>0</v>
      </c>
    </row>
    <row r="76" spans="1:35" x14ac:dyDescent="0.2">
      <c r="A76" s="19">
        <v>71</v>
      </c>
      <c r="B76" s="19">
        <f t="shared" si="17"/>
        <v>2</v>
      </c>
      <c r="C76" s="19">
        <f t="shared" si="18"/>
        <v>35</v>
      </c>
      <c r="D76" s="19">
        <f>IF($C76&gt;p_horizon,0,IFERROR(IF(AND(INDEX(TblClusters[Cluster],$B76)&lt;&gt;"",ISNUMBER(INDEX(TblClusters[CPU initial (vCPU)],$B76)),ISNUMBER(INDEX(TblClusters[CPU min (vCPU)],$B76)),OR(INDEX(TblClusters[Plateforme],$B76)="IKS",INDEX(TblClusters[Plateforme],$B76)="ROKS")),1,0),0))</f>
        <v>1</v>
      </c>
      <c r="E76" s="72">
        <f t="shared" si="19"/>
        <v>47331</v>
      </c>
      <c r="F76" s="19" t="str">
        <f>IF($D76=1,INDEX(TblClusters[Cluster],$B76),"")</f>
        <v>oc002i000578</v>
      </c>
      <c r="G76" s="19" t="str">
        <f>IF($D76=1,INDEX(TblClusters[Plateforme],$B76),"")</f>
        <v>ROKS</v>
      </c>
      <c r="H76" s="19">
        <f>IF($D76=1,INDEX(TblClusters[vCPU par nœud],$B76),"")</f>
        <v>32</v>
      </c>
      <c r="I76" s="19">
        <f>IF($D76=1,INDEX(TblClusters[RAM par nœud (Go)],$B76),"")</f>
        <v>80</v>
      </c>
      <c r="J76" s="19">
        <f>IF($D76=1,INDEX(TblClusters[Workers min],$B76),"")</f>
        <v>6</v>
      </c>
      <c r="K76" s="73">
        <f>IF($D76=1,INDEX(TblClusters[Tarif par nœud],$B76),"")</f>
        <v>1216</v>
      </c>
      <c r="L76" s="19">
        <f>IF($D76=1,INDEX(TblClusters[CPU initial (vCPU)],$B76),"")</f>
        <v>192</v>
      </c>
      <c r="M76" s="19">
        <f>IF($D76=1,INDEX(TblClusters[RAM initiale (Go)],$B76),"")</f>
        <v>480</v>
      </c>
      <c r="N76" s="19">
        <f>IF($D76=1,INDEX(TblClusters[CPU min (vCPU)],$B76),"")</f>
        <v>192</v>
      </c>
      <c r="O76" s="19">
        <f>IF($D76=1,INDEX(TblClusters[RAM min (Go)],$B76),"")</f>
        <v>480</v>
      </c>
      <c r="P76" s="19">
        <f>IF($D76&lt;&gt;1,"",IF($G76="ROKS",SUMIFS(TblApplications[Besoin ROKS CPU (vCPU)],TblApplications[Cluster ROKS cible],$F76,TblApplications[Action],"À migrer",TblApplications[Déjà incluse ROKS],"Non",TblApplications[Mois prov (calc)],"&lt;="&amp;$E76),SUMIFS(TblApplications[CPU IKS libérable (vCPU)],TblApplications[Cluster IKS source],$F76,TblApplications[Mois lib (calc)],"&lt;="&amp;$E76)))</f>
        <v>0</v>
      </c>
      <c r="Q76" s="19">
        <f>IF($D76&lt;&gt;1,"",IF($G76="ROKS",SUMIFS(TblApplications[Besoin ROKS RAM (Go)],TblApplications[Cluster ROKS cible],$F76,TblApplications[Action],"À migrer",TblApplications[Déjà incluse ROKS],"Non",TblApplications[Mois prov (calc)],"&lt;="&amp;$E76),SUMIFS(TblApplications[RAM IKS libérable (Go)],TblApplications[Cluster IKS source],$F76,TblApplications[Mois lib (calc)],"&lt;="&amp;$E76)))</f>
        <v>0</v>
      </c>
      <c r="R76" s="19">
        <f t="shared" si="20"/>
        <v>192</v>
      </c>
      <c r="S76" s="19">
        <f t="shared" si="21"/>
        <v>480</v>
      </c>
      <c r="T76" s="19">
        <f t="shared" si="22"/>
        <v>6</v>
      </c>
      <c r="U76" s="19">
        <f t="shared" si="23"/>
        <v>192</v>
      </c>
      <c r="V76" s="19">
        <f t="shared" si="24"/>
        <v>480</v>
      </c>
      <c r="W76" s="73">
        <f t="shared" si="25"/>
        <v>7296</v>
      </c>
      <c r="X76" s="19">
        <f>IF($D76&lt;&gt;1,"",IF($G76="ROKS",$R76,IF($AI76=1,0,MAX($N76,$L76-SUMIFS(TblApplications[CPU IKS libérable (vCPU)],TblApplications[Cluster IKS source],$F76,TblApplications[Action],"À migrer",TblApplications[Mois prov (calc)],"&lt;="&amp;$E76)-SUMIFS(TblApplications[CPU IKS libérable (vCPU)],TblApplications[Cluster IKS source],$F76,TblApplications[Action],"À décommissionner",TblApplications[Mois lib (calc)],"&lt;="&amp;$E76)))))</f>
        <v>192</v>
      </c>
      <c r="Y76" s="19">
        <f>IF($D76&lt;&gt;1,"",IF($G76="ROKS",$S76,IF($AI76=1,0,MAX($O76,$M76-SUMIFS(TblApplications[RAM IKS libérable (Go)],TblApplications[Cluster IKS source],$F76,TblApplications[Action],"À migrer",TblApplications[Mois prov (calc)],"&lt;="&amp;$E76)-SUMIFS(TblApplications[RAM IKS libérable (Go)],TblApplications[Cluster IKS source],$F76,TblApplications[Action],"À décommissionner",TblApplications[Mois lib (calc)],"&lt;="&amp;$E76)))))</f>
        <v>480</v>
      </c>
      <c r="Z76" s="19">
        <f t="shared" si="26"/>
        <v>6</v>
      </c>
      <c r="AA76" s="73">
        <f t="shared" si="27"/>
        <v>7296</v>
      </c>
      <c r="AB76" s="19">
        <f t="shared" si="28"/>
        <v>6</v>
      </c>
      <c r="AC76" s="73">
        <f t="shared" si="29"/>
        <v>7296</v>
      </c>
      <c r="AD76" s="19">
        <f t="shared" si="30"/>
        <v>0</v>
      </c>
      <c r="AE76" s="19">
        <f t="shared" si="31"/>
        <v>0</v>
      </c>
      <c r="AF76" s="19" t="str">
        <f>IF($D76&lt;&gt;1,"",IF(INDEX(TblClusters[Environnement],$B76)="","(vide)",INDEX(TblClusters[Environnement],$B76)))</f>
        <v>NPRD</v>
      </c>
      <c r="AG76" s="19">
        <f t="shared" si="32"/>
        <v>240</v>
      </c>
      <c r="AH76" s="19">
        <f t="shared" si="33"/>
        <v>30.4</v>
      </c>
      <c r="AI76" s="19">
        <f>IF($D76&lt;&gt;1,"",IF(AND($G76="IKS",ISNUMBER(INDEX(TblClusters[Fermeture retenue],$B76))),IF($E76&gt;=INDEX(TblClusters[Fermeture retenue],$B76),1,0),0))</f>
        <v>0</v>
      </c>
    </row>
    <row r="77" spans="1:35" x14ac:dyDescent="0.2">
      <c r="A77" s="19">
        <v>72</v>
      </c>
      <c r="B77" s="19">
        <f t="shared" si="17"/>
        <v>2</v>
      </c>
      <c r="C77" s="19">
        <f t="shared" si="18"/>
        <v>36</v>
      </c>
      <c r="D77" s="19">
        <f>IF($C77&gt;p_horizon,0,IFERROR(IF(AND(INDEX(TblClusters[Cluster],$B77)&lt;&gt;"",ISNUMBER(INDEX(TblClusters[CPU initial (vCPU)],$B77)),ISNUMBER(INDEX(TblClusters[CPU min (vCPU)],$B77)),OR(INDEX(TblClusters[Plateforme],$B77)="IKS",INDEX(TblClusters[Plateforme],$B77)="ROKS")),1,0),0))</f>
        <v>1</v>
      </c>
      <c r="E77" s="72">
        <f t="shared" si="19"/>
        <v>47362</v>
      </c>
      <c r="F77" s="19" t="str">
        <f>IF($D77=1,INDEX(TblClusters[Cluster],$B77),"")</f>
        <v>oc002i000578</v>
      </c>
      <c r="G77" s="19" t="str">
        <f>IF($D77=1,INDEX(TblClusters[Plateforme],$B77),"")</f>
        <v>ROKS</v>
      </c>
      <c r="H77" s="19">
        <f>IF($D77=1,INDEX(TblClusters[vCPU par nœud],$B77),"")</f>
        <v>32</v>
      </c>
      <c r="I77" s="19">
        <f>IF($D77=1,INDEX(TblClusters[RAM par nœud (Go)],$B77),"")</f>
        <v>80</v>
      </c>
      <c r="J77" s="19">
        <f>IF($D77=1,INDEX(TblClusters[Workers min],$B77),"")</f>
        <v>6</v>
      </c>
      <c r="K77" s="73">
        <f>IF($D77=1,INDEX(TblClusters[Tarif par nœud],$B77),"")</f>
        <v>1216</v>
      </c>
      <c r="L77" s="19">
        <f>IF($D77=1,INDEX(TblClusters[CPU initial (vCPU)],$B77),"")</f>
        <v>192</v>
      </c>
      <c r="M77" s="19">
        <f>IF($D77=1,INDEX(TblClusters[RAM initiale (Go)],$B77),"")</f>
        <v>480</v>
      </c>
      <c r="N77" s="19">
        <f>IF($D77=1,INDEX(TblClusters[CPU min (vCPU)],$B77),"")</f>
        <v>192</v>
      </c>
      <c r="O77" s="19">
        <f>IF($D77=1,INDEX(TblClusters[RAM min (Go)],$B77),"")</f>
        <v>480</v>
      </c>
      <c r="P77" s="19">
        <f>IF($D77&lt;&gt;1,"",IF($G77="ROKS",SUMIFS(TblApplications[Besoin ROKS CPU (vCPU)],TblApplications[Cluster ROKS cible],$F77,TblApplications[Action],"À migrer",TblApplications[Déjà incluse ROKS],"Non",TblApplications[Mois prov (calc)],"&lt;="&amp;$E77),SUMIFS(TblApplications[CPU IKS libérable (vCPU)],TblApplications[Cluster IKS source],$F77,TblApplications[Mois lib (calc)],"&lt;="&amp;$E77)))</f>
        <v>0</v>
      </c>
      <c r="Q77" s="19">
        <f>IF($D77&lt;&gt;1,"",IF($G77="ROKS",SUMIFS(TblApplications[Besoin ROKS RAM (Go)],TblApplications[Cluster ROKS cible],$F77,TblApplications[Action],"À migrer",TblApplications[Déjà incluse ROKS],"Non",TblApplications[Mois prov (calc)],"&lt;="&amp;$E77),SUMIFS(TblApplications[RAM IKS libérable (Go)],TblApplications[Cluster IKS source],$F77,TblApplications[Mois lib (calc)],"&lt;="&amp;$E77)))</f>
        <v>0</v>
      </c>
      <c r="R77" s="19">
        <f t="shared" si="20"/>
        <v>192</v>
      </c>
      <c r="S77" s="19">
        <f t="shared" si="21"/>
        <v>480</v>
      </c>
      <c r="T77" s="19">
        <f t="shared" si="22"/>
        <v>6</v>
      </c>
      <c r="U77" s="19">
        <f t="shared" si="23"/>
        <v>192</v>
      </c>
      <c r="V77" s="19">
        <f t="shared" si="24"/>
        <v>480</v>
      </c>
      <c r="W77" s="73">
        <f t="shared" si="25"/>
        <v>7296</v>
      </c>
      <c r="X77" s="19">
        <f>IF($D77&lt;&gt;1,"",IF($G77="ROKS",$R77,IF($AI77=1,0,MAX($N77,$L77-SUMIFS(TblApplications[CPU IKS libérable (vCPU)],TblApplications[Cluster IKS source],$F77,TblApplications[Action],"À migrer",TblApplications[Mois prov (calc)],"&lt;="&amp;$E77)-SUMIFS(TblApplications[CPU IKS libérable (vCPU)],TblApplications[Cluster IKS source],$F77,TblApplications[Action],"À décommissionner",TblApplications[Mois lib (calc)],"&lt;="&amp;$E77)))))</f>
        <v>192</v>
      </c>
      <c r="Y77" s="19">
        <f>IF($D77&lt;&gt;1,"",IF($G77="ROKS",$S77,IF($AI77=1,0,MAX($O77,$M77-SUMIFS(TblApplications[RAM IKS libérable (Go)],TblApplications[Cluster IKS source],$F77,TblApplications[Action],"À migrer",TblApplications[Mois prov (calc)],"&lt;="&amp;$E77)-SUMIFS(TblApplications[RAM IKS libérable (Go)],TblApplications[Cluster IKS source],$F77,TblApplications[Action],"À décommissionner",TblApplications[Mois lib (calc)],"&lt;="&amp;$E77)))))</f>
        <v>480</v>
      </c>
      <c r="Z77" s="19">
        <f t="shared" si="26"/>
        <v>6</v>
      </c>
      <c r="AA77" s="73">
        <f t="shared" si="27"/>
        <v>7296</v>
      </c>
      <c r="AB77" s="19">
        <f t="shared" si="28"/>
        <v>6</v>
      </c>
      <c r="AC77" s="73">
        <f t="shared" si="29"/>
        <v>7296</v>
      </c>
      <c r="AD77" s="19">
        <f t="shared" si="30"/>
        <v>0</v>
      </c>
      <c r="AE77" s="19">
        <f t="shared" si="31"/>
        <v>0</v>
      </c>
      <c r="AF77" s="19" t="str">
        <f>IF($D77&lt;&gt;1,"",IF(INDEX(TblClusters[Environnement],$B77)="","(vide)",INDEX(TblClusters[Environnement],$B77)))</f>
        <v>NPRD</v>
      </c>
      <c r="AG77" s="19">
        <f t="shared" si="32"/>
        <v>240</v>
      </c>
      <c r="AH77" s="19">
        <f t="shared" si="33"/>
        <v>30.4</v>
      </c>
      <c r="AI77" s="19">
        <f>IF($D77&lt;&gt;1,"",IF(AND($G77="IKS",ISNUMBER(INDEX(TblClusters[Fermeture retenue],$B77))),IF($E77&gt;=INDEX(TblClusters[Fermeture retenue],$B77),1,0),0))</f>
        <v>0</v>
      </c>
    </row>
    <row r="78" spans="1:35" x14ac:dyDescent="0.2">
      <c r="A78" s="19">
        <v>73</v>
      </c>
      <c r="B78" s="19">
        <f t="shared" si="17"/>
        <v>3</v>
      </c>
      <c r="C78" s="19">
        <f t="shared" si="18"/>
        <v>1</v>
      </c>
      <c r="D78" s="19">
        <f>IF($C78&gt;p_horizon,0,IFERROR(IF(AND(INDEX(TblClusters[Cluster],$B78)&lt;&gt;"",ISNUMBER(INDEX(TblClusters[CPU initial (vCPU)],$B78)),ISNUMBER(INDEX(TblClusters[CPU min (vCPU)],$B78)),OR(INDEX(TblClusters[Plateforme],$B78)="IKS",INDEX(TblClusters[Plateforme],$B78)="ROKS")),1,0),0))</f>
        <v>1</v>
      </c>
      <c r="E78" s="72">
        <f t="shared" si="19"/>
        <v>46296</v>
      </c>
      <c r="F78" s="19" t="str">
        <f>IF($D78=1,INDEX(TblClusters[Cluster],$B78),"")</f>
        <v>oc002i000807</v>
      </c>
      <c r="G78" s="19" t="str">
        <f>IF($D78=1,INDEX(TblClusters[Plateforme],$B78),"")</f>
        <v>ROKS</v>
      </c>
      <c r="H78" s="19">
        <f>IF($D78=1,INDEX(TblClusters[vCPU par nœud],$B78),"")</f>
        <v>16</v>
      </c>
      <c r="I78" s="19">
        <f>IF($D78=1,INDEX(TblClusters[RAM par nœud (Go)],$B78),"")</f>
        <v>80</v>
      </c>
      <c r="J78" s="19">
        <f>IF($D78=1,INDEX(TblClusters[Workers min],$B78),"")</f>
        <v>6</v>
      </c>
      <c r="K78" s="73">
        <f>IF($D78=1,INDEX(TblClusters[Tarif par nœud],$B78),"")</f>
        <v>736</v>
      </c>
      <c r="L78" s="19">
        <f>IF($D78=1,INDEX(TblClusters[CPU initial (vCPU)],$B78),"")</f>
        <v>96</v>
      </c>
      <c r="M78" s="19">
        <f>IF($D78=1,INDEX(TblClusters[RAM initiale (Go)],$B78),"")</f>
        <v>480</v>
      </c>
      <c r="N78" s="19">
        <f>IF($D78=1,INDEX(TblClusters[CPU min (vCPU)],$B78),"")</f>
        <v>96</v>
      </c>
      <c r="O78" s="19">
        <f>IF($D78=1,INDEX(TblClusters[RAM min (Go)],$B78),"")</f>
        <v>480</v>
      </c>
      <c r="P78" s="19">
        <f>IF($D78&lt;&gt;1,"",IF($G78="ROKS",SUMIFS(TblApplications[Besoin ROKS CPU (vCPU)],TblApplications[Cluster ROKS cible],$F78,TblApplications[Action],"À migrer",TblApplications[Déjà incluse ROKS],"Non",TblApplications[Mois prov (calc)],"&lt;="&amp;$E78),SUMIFS(TblApplications[CPU IKS libérable (vCPU)],TblApplications[Cluster IKS source],$F78,TblApplications[Mois lib (calc)],"&lt;="&amp;$E78)))</f>
        <v>0</v>
      </c>
      <c r="Q78" s="19">
        <f>IF($D78&lt;&gt;1,"",IF($G78="ROKS",SUMIFS(TblApplications[Besoin ROKS RAM (Go)],TblApplications[Cluster ROKS cible],$F78,TblApplications[Action],"À migrer",TblApplications[Déjà incluse ROKS],"Non",TblApplications[Mois prov (calc)],"&lt;="&amp;$E78),SUMIFS(TblApplications[RAM IKS libérable (Go)],TblApplications[Cluster IKS source],$F78,TblApplications[Mois lib (calc)],"&lt;="&amp;$E78)))</f>
        <v>0</v>
      </c>
      <c r="R78" s="19">
        <f t="shared" si="20"/>
        <v>96</v>
      </c>
      <c r="S78" s="19">
        <f t="shared" si="21"/>
        <v>480</v>
      </c>
      <c r="T78" s="19">
        <f t="shared" si="22"/>
        <v>6</v>
      </c>
      <c r="U78" s="19">
        <f t="shared" si="23"/>
        <v>96</v>
      </c>
      <c r="V78" s="19">
        <f t="shared" si="24"/>
        <v>480</v>
      </c>
      <c r="W78" s="73">
        <f t="shared" si="25"/>
        <v>4416</v>
      </c>
      <c r="X78" s="19">
        <f>IF($D78&lt;&gt;1,"",IF($G78="ROKS",$R78,IF($AI78=1,0,MAX($N78,$L78-SUMIFS(TblApplications[CPU IKS libérable (vCPU)],TblApplications[Cluster IKS source],$F78,TblApplications[Action],"À migrer",TblApplications[Mois prov (calc)],"&lt;="&amp;$E78)-SUMIFS(TblApplications[CPU IKS libérable (vCPU)],TblApplications[Cluster IKS source],$F78,TblApplications[Action],"À décommissionner",TblApplications[Mois lib (calc)],"&lt;="&amp;$E78)))))</f>
        <v>96</v>
      </c>
      <c r="Y78" s="19">
        <f>IF($D78&lt;&gt;1,"",IF($G78="ROKS",$S78,IF($AI78=1,0,MAX($O78,$M78-SUMIFS(TblApplications[RAM IKS libérable (Go)],TblApplications[Cluster IKS source],$F78,TblApplications[Action],"À migrer",TblApplications[Mois prov (calc)],"&lt;="&amp;$E78)-SUMIFS(TblApplications[RAM IKS libérable (Go)],TblApplications[Cluster IKS source],$F78,TblApplications[Action],"À décommissionner",TblApplications[Mois lib (calc)],"&lt;="&amp;$E78)))))</f>
        <v>480</v>
      </c>
      <c r="Z78" s="19">
        <f t="shared" si="26"/>
        <v>6</v>
      </c>
      <c r="AA78" s="73">
        <f t="shared" si="27"/>
        <v>4416</v>
      </c>
      <c r="AB78" s="19">
        <f t="shared" si="28"/>
        <v>6</v>
      </c>
      <c r="AC78" s="73">
        <f t="shared" si="29"/>
        <v>4416</v>
      </c>
      <c r="AD78" s="19">
        <f t="shared" si="30"/>
        <v>0</v>
      </c>
      <c r="AE78" s="19">
        <f t="shared" si="31"/>
        <v>0</v>
      </c>
      <c r="AF78" s="19" t="str">
        <f>IF($D78&lt;&gt;1,"",IF(INDEX(TblClusters[Environnement],$B78)="","(vide)",INDEX(TblClusters[Environnement],$B78)))</f>
        <v>NPRD</v>
      </c>
      <c r="AG78" s="19">
        <f t="shared" si="32"/>
        <v>144</v>
      </c>
      <c r="AH78" s="19">
        <f t="shared" si="33"/>
        <v>30.666666666666668</v>
      </c>
      <c r="AI78" s="19">
        <f>IF($D78&lt;&gt;1,"",IF(AND($G78="IKS",ISNUMBER(INDEX(TblClusters[Fermeture retenue],$B78))),IF($E78&gt;=INDEX(TblClusters[Fermeture retenue],$B78),1,0),0))</f>
        <v>0</v>
      </c>
    </row>
    <row r="79" spans="1:35" x14ac:dyDescent="0.2">
      <c r="A79" s="19">
        <v>74</v>
      </c>
      <c r="B79" s="19">
        <f t="shared" si="17"/>
        <v>3</v>
      </c>
      <c r="C79" s="19">
        <f t="shared" si="18"/>
        <v>2</v>
      </c>
      <c r="D79" s="19">
        <f>IF($C79&gt;p_horizon,0,IFERROR(IF(AND(INDEX(TblClusters[Cluster],$B79)&lt;&gt;"",ISNUMBER(INDEX(TblClusters[CPU initial (vCPU)],$B79)),ISNUMBER(INDEX(TblClusters[CPU min (vCPU)],$B79)),OR(INDEX(TblClusters[Plateforme],$B79)="IKS",INDEX(TblClusters[Plateforme],$B79)="ROKS")),1,0),0))</f>
        <v>1</v>
      </c>
      <c r="E79" s="72">
        <f t="shared" si="19"/>
        <v>46327</v>
      </c>
      <c r="F79" s="19" t="str">
        <f>IF($D79=1,INDEX(TblClusters[Cluster],$B79),"")</f>
        <v>oc002i000807</v>
      </c>
      <c r="G79" s="19" t="str">
        <f>IF($D79=1,INDEX(TblClusters[Plateforme],$B79),"")</f>
        <v>ROKS</v>
      </c>
      <c r="H79" s="19">
        <f>IF($D79=1,INDEX(TblClusters[vCPU par nœud],$B79),"")</f>
        <v>16</v>
      </c>
      <c r="I79" s="19">
        <f>IF($D79=1,INDEX(TblClusters[RAM par nœud (Go)],$B79),"")</f>
        <v>80</v>
      </c>
      <c r="J79" s="19">
        <f>IF($D79=1,INDEX(TblClusters[Workers min],$B79),"")</f>
        <v>6</v>
      </c>
      <c r="K79" s="73">
        <f>IF($D79=1,INDEX(TblClusters[Tarif par nœud],$B79),"")</f>
        <v>736</v>
      </c>
      <c r="L79" s="19">
        <f>IF($D79=1,INDEX(TblClusters[CPU initial (vCPU)],$B79),"")</f>
        <v>96</v>
      </c>
      <c r="M79" s="19">
        <f>IF($D79=1,INDEX(TblClusters[RAM initiale (Go)],$B79),"")</f>
        <v>480</v>
      </c>
      <c r="N79" s="19">
        <f>IF($D79=1,INDEX(TblClusters[CPU min (vCPU)],$B79),"")</f>
        <v>96</v>
      </c>
      <c r="O79" s="19">
        <f>IF($D79=1,INDEX(TblClusters[RAM min (Go)],$B79),"")</f>
        <v>480</v>
      </c>
      <c r="P79" s="19">
        <f>IF($D79&lt;&gt;1,"",IF($G79="ROKS",SUMIFS(TblApplications[Besoin ROKS CPU (vCPU)],TblApplications[Cluster ROKS cible],$F79,TblApplications[Action],"À migrer",TblApplications[Déjà incluse ROKS],"Non",TblApplications[Mois prov (calc)],"&lt;="&amp;$E79),SUMIFS(TblApplications[CPU IKS libérable (vCPU)],TblApplications[Cluster IKS source],$F79,TblApplications[Mois lib (calc)],"&lt;="&amp;$E79)))</f>
        <v>0</v>
      </c>
      <c r="Q79" s="19">
        <f>IF($D79&lt;&gt;1,"",IF($G79="ROKS",SUMIFS(TblApplications[Besoin ROKS RAM (Go)],TblApplications[Cluster ROKS cible],$F79,TblApplications[Action],"À migrer",TblApplications[Déjà incluse ROKS],"Non",TblApplications[Mois prov (calc)],"&lt;="&amp;$E79),SUMIFS(TblApplications[RAM IKS libérable (Go)],TblApplications[Cluster IKS source],$F79,TblApplications[Mois lib (calc)],"&lt;="&amp;$E79)))</f>
        <v>0</v>
      </c>
      <c r="R79" s="19">
        <f t="shared" si="20"/>
        <v>96</v>
      </c>
      <c r="S79" s="19">
        <f t="shared" si="21"/>
        <v>480</v>
      </c>
      <c r="T79" s="19">
        <f t="shared" si="22"/>
        <v>6</v>
      </c>
      <c r="U79" s="19">
        <f t="shared" si="23"/>
        <v>96</v>
      </c>
      <c r="V79" s="19">
        <f t="shared" si="24"/>
        <v>480</v>
      </c>
      <c r="W79" s="73">
        <f t="shared" si="25"/>
        <v>4416</v>
      </c>
      <c r="X79" s="19">
        <f>IF($D79&lt;&gt;1,"",IF($G79="ROKS",$R79,IF($AI79=1,0,MAX($N79,$L79-SUMIFS(TblApplications[CPU IKS libérable (vCPU)],TblApplications[Cluster IKS source],$F79,TblApplications[Action],"À migrer",TblApplications[Mois prov (calc)],"&lt;="&amp;$E79)-SUMIFS(TblApplications[CPU IKS libérable (vCPU)],TblApplications[Cluster IKS source],$F79,TblApplications[Action],"À décommissionner",TblApplications[Mois lib (calc)],"&lt;="&amp;$E79)))))</f>
        <v>96</v>
      </c>
      <c r="Y79" s="19">
        <f>IF($D79&lt;&gt;1,"",IF($G79="ROKS",$S79,IF($AI79=1,0,MAX($O79,$M79-SUMIFS(TblApplications[RAM IKS libérable (Go)],TblApplications[Cluster IKS source],$F79,TblApplications[Action],"À migrer",TblApplications[Mois prov (calc)],"&lt;="&amp;$E79)-SUMIFS(TblApplications[RAM IKS libérable (Go)],TblApplications[Cluster IKS source],$F79,TblApplications[Action],"À décommissionner",TblApplications[Mois lib (calc)],"&lt;="&amp;$E79)))))</f>
        <v>480</v>
      </c>
      <c r="Z79" s="19">
        <f t="shared" si="26"/>
        <v>6</v>
      </c>
      <c r="AA79" s="73">
        <f t="shared" si="27"/>
        <v>4416</v>
      </c>
      <c r="AB79" s="19">
        <f t="shared" si="28"/>
        <v>6</v>
      </c>
      <c r="AC79" s="73">
        <f t="shared" si="29"/>
        <v>4416</v>
      </c>
      <c r="AD79" s="19">
        <f t="shared" si="30"/>
        <v>0</v>
      </c>
      <c r="AE79" s="19">
        <f t="shared" si="31"/>
        <v>0</v>
      </c>
      <c r="AF79" s="19" t="str">
        <f>IF($D79&lt;&gt;1,"",IF(INDEX(TblClusters[Environnement],$B79)="","(vide)",INDEX(TblClusters[Environnement],$B79)))</f>
        <v>NPRD</v>
      </c>
      <c r="AG79" s="19">
        <f t="shared" si="32"/>
        <v>144</v>
      </c>
      <c r="AH79" s="19">
        <f t="shared" si="33"/>
        <v>30.666666666666668</v>
      </c>
      <c r="AI79" s="19">
        <f>IF($D79&lt;&gt;1,"",IF(AND($G79="IKS",ISNUMBER(INDEX(TblClusters[Fermeture retenue],$B79))),IF($E79&gt;=INDEX(TblClusters[Fermeture retenue],$B79),1,0),0))</f>
        <v>0</v>
      </c>
    </row>
    <row r="80" spans="1:35" x14ac:dyDescent="0.2">
      <c r="A80" s="19">
        <v>75</v>
      </c>
      <c r="B80" s="19">
        <f t="shared" si="17"/>
        <v>3</v>
      </c>
      <c r="C80" s="19">
        <f t="shared" si="18"/>
        <v>3</v>
      </c>
      <c r="D80" s="19">
        <f>IF($C80&gt;p_horizon,0,IFERROR(IF(AND(INDEX(TblClusters[Cluster],$B80)&lt;&gt;"",ISNUMBER(INDEX(TblClusters[CPU initial (vCPU)],$B80)),ISNUMBER(INDEX(TblClusters[CPU min (vCPU)],$B80)),OR(INDEX(TblClusters[Plateforme],$B80)="IKS",INDEX(TblClusters[Plateforme],$B80)="ROKS")),1,0),0))</f>
        <v>1</v>
      </c>
      <c r="E80" s="72">
        <f t="shared" si="19"/>
        <v>46357</v>
      </c>
      <c r="F80" s="19" t="str">
        <f>IF($D80=1,INDEX(TblClusters[Cluster],$B80),"")</f>
        <v>oc002i000807</v>
      </c>
      <c r="G80" s="19" t="str">
        <f>IF($D80=1,INDEX(TblClusters[Plateforme],$B80),"")</f>
        <v>ROKS</v>
      </c>
      <c r="H80" s="19">
        <f>IF($D80=1,INDEX(TblClusters[vCPU par nœud],$B80),"")</f>
        <v>16</v>
      </c>
      <c r="I80" s="19">
        <f>IF($D80=1,INDEX(TblClusters[RAM par nœud (Go)],$B80),"")</f>
        <v>80</v>
      </c>
      <c r="J80" s="19">
        <f>IF($D80=1,INDEX(TblClusters[Workers min],$B80),"")</f>
        <v>6</v>
      </c>
      <c r="K80" s="73">
        <f>IF($D80=1,INDEX(TblClusters[Tarif par nœud],$B80),"")</f>
        <v>736</v>
      </c>
      <c r="L80" s="19">
        <f>IF($D80=1,INDEX(TblClusters[CPU initial (vCPU)],$B80),"")</f>
        <v>96</v>
      </c>
      <c r="M80" s="19">
        <f>IF($D80=1,INDEX(TblClusters[RAM initiale (Go)],$B80),"")</f>
        <v>480</v>
      </c>
      <c r="N80" s="19">
        <f>IF($D80=1,INDEX(TblClusters[CPU min (vCPU)],$B80),"")</f>
        <v>96</v>
      </c>
      <c r="O80" s="19">
        <f>IF($D80=1,INDEX(TblClusters[RAM min (Go)],$B80),"")</f>
        <v>480</v>
      </c>
      <c r="P80" s="19">
        <f>IF($D80&lt;&gt;1,"",IF($G80="ROKS",SUMIFS(TblApplications[Besoin ROKS CPU (vCPU)],TblApplications[Cluster ROKS cible],$F80,TblApplications[Action],"À migrer",TblApplications[Déjà incluse ROKS],"Non",TblApplications[Mois prov (calc)],"&lt;="&amp;$E80),SUMIFS(TblApplications[CPU IKS libérable (vCPU)],TblApplications[Cluster IKS source],$F80,TblApplications[Mois lib (calc)],"&lt;="&amp;$E80)))</f>
        <v>0</v>
      </c>
      <c r="Q80" s="19">
        <f>IF($D80&lt;&gt;1,"",IF($G80="ROKS",SUMIFS(TblApplications[Besoin ROKS RAM (Go)],TblApplications[Cluster ROKS cible],$F80,TblApplications[Action],"À migrer",TblApplications[Déjà incluse ROKS],"Non",TblApplications[Mois prov (calc)],"&lt;="&amp;$E80),SUMIFS(TblApplications[RAM IKS libérable (Go)],TblApplications[Cluster IKS source],$F80,TblApplications[Mois lib (calc)],"&lt;="&amp;$E80)))</f>
        <v>0</v>
      </c>
      <c r="R80" s="19">
        <f t="shared" si="20"/>
        <v>96</v>
      </c>
      <c r="S80" s="19">
        <f t="shared" si="21"/>
        <v>480</v>
      </c>
      <c r="T80" s="19">
        <f t="shared" si="22"/>
        <v>6</v>
      </c>
      <c r="U80" s="19">
        <f t="shared" si="23"/>
        <v>96</v>
      </c>
      <c r="V80" s="19">
        <f t="shared" si="24"/>
        <v>480</v>
      </c>
      <c r="W80" s="73">
        <f t="shared" si="25"/>
        <v>4416</v>
      </c>
      <c r="X80" s="19">
        <f>IF($D80&lt;&gt;1,"",IF($G80="ROKS",$R80,IF($AI80=1,0,MAX($N80,$L80-SUMIFS(TblApplications[CPU IKS libérable (vCPU)],TblApplications[Cluster IKS source],$F80,TblApplications[Action],"À migrer",TblApplications[Mois prov (calc)],"&lt;="&amp;$E80)-SUMIFS(TblApplications[CPU IKS libérable (vCPU)],TblApplications[Cluster IKS source],$F80,TblApplications[Action],"À décommissionner",TblApplications[Mois lib (calc)],"&lt;="&amp;$E80)))))</f>
        <v>96</v>
      </c>
      <c r="Y80" s="19">
        <f>IF($D80&lt;&gt;1,"",IF($G80="ROKS",$S80,IF($AI80=1,0,MAX($O80,$M80-SUMIFS(TblApplications[RAM IKS libérable (Go)],TblApplications[Cluster IKS source],$F80,TblApplications[Action],"À migrer",TblApplications[Mois prov (calc)],"&lt;="&amp;$E80)-SUMIFS(TblApplications[RAM IKS libérable (Go)],TblApplications[Cluster IKS source],$F80,TblApplications[Action],"À décommissionner",TblApplications[Mois lib (calc)],"&lt;="&amp;$E80)))))</f>
        <v>480</v>
      </c>
      <c r="Z80" s="19">
        <f t="shared" si="26"/>
        <v>6</v>
      </c>
      <c r="AA80" s="73">
        <f t="shared" si="27"/>
        <v>4416</v>
      </c>
      <c r="AB80" s="19">
        <f t="shared" si="28"/>
        <v>6</v>
      </c>
      <c r="AC80" s="73">
        <f t="shared" si="29"/>
        <v>4416</v>
      </c>
      <c r="AD80" s="19">
        <f t="shared" si="30"/>
        <v>0</v>
      </c>
      <c r="AE80" s="19">
        <f t="shared" si="31"/>
        <v>0</v>
      </c>
      <c r="AF80" s="19" t="str">
        <f>IF($D80&lt;&gt;1,"",IF(INDEX(TblClusters[Environnement],$B80)="","(vide)",INDEX(TblClusters[Environnement],$B80)))</f>
        <v>NPRD</v>
      </c>
      <c r="AG80" s="19">
        <f t="shared" si="32"/>
        <v>144</v>
      </c>
      <c r="AH80" s="19">
        <f t="shared" si="33"/>
        <v>30.666666666666668</v>
      </c>
      <c r="AI80" s="19">
        <f>IF($D80&lt;&gt;1,"",IF(AND($G80="IKS",ISNUMBER(INDEX(TblClusters[Fermeture retenue],$B80))),IF($E80&gt;=INDEX(TblClusters[Fermeture retenue],$B80),1,0),0))</f>
        <v>0</v>
      </c>
    </row>
    <row r="81" spans="1:35" x14ac:dyDescent="0.2">
      <c r="A81" s="19">
        <v>76</v>
      </c>
      <c r="B81" s="19">
        <f t="shared" si="17"/>
        <v>3</v>
      </c>
      <c r="C81" s="19">
        <f t="shared" si="18"/>
        <v>4</v>
      </c>
      <c r="D81" s="19">
        <f>IF($C81&gt;p_horizon,0,IFERROR(IF(AND(INDEX(TblClusters[Cluster],$B81)&lt;&gt;"",ISNUMBER(INDEX(TblClusters[CPU initial (vCPU)],$B81)),ISNUMBER(INDEX(TblClusters[CPU min (vCPU)],$B81)),OR(INDEX(TblClusters[Plateforme],$B81)="IKS",INDEX(TblClusters[Plateforme],$B81)="ROKS")),1,0),0))</f>
        <v>1</v>
      </c>
      <c r="E81" s="72">
        <f t="shared" si="19"/>
        <v>46388</v>
      </c>
      <c r="F81" s="19" t="str">
        <f>IF($D81=1,INDEX(TblClusters[Cluster],$B81),"")</f>
        <v>oc002i000807</v>
      </c>
      <c r="G81" s="19" t="str">
        <f>IF($D81=1,INDEX(TblClusters[Plateforme],$B81),"")</f>
        <v>ROKS</v>
      </c>
      <c r="H81" s="19">
        <f>IF($D81=1,INDEX(TblClusters[vCPU par nœud],$B81),"")</f>
        <v>16</v>
      </c>
      <c r="I81" s="19">
        <f>IF($D81=1,INDEX(TblClusters[RAM par nœud (Go)],$B81),"")</f>
        <v>80</v>
      </c>
      <c r="J81" s="19">
        <f>IF($D81=1,INDEX(TblClusters[Workers min],$B81),"")</f>
        <v>6</v>
      </c>
      <c r="K81" s="73">
        <f>IF($D81=1,INDEX(TblClusters[Tarif par nœud],$B81),"")</f>
        <v>736</v>
      </c>
      <c r="L81" s="19">
        <f>IF($D81=1,INDEX(TblClusters[CPU initial (vCPU)],$B81),"")</f>
        <v>96</v>
      </c>
      <c r="M81" s="19">
        <f>IF($D81=1,INDEX(TblClusters[RAM initiale (Go)],$B81),"")</f>
        <v>480</v>
      </c>
      <c r="N81" s="19">
        <f>IF($D81=1,INDEX(TblClusters[CPU min (vCPU)],$B81),"")</f>
        <v>96</v>
      </c>
      <c r="O81" s="19">
        <f>IF($D81=1,INDEX(TblClusters[RAM min (Go)],$B81),"")</f>
        <v>480</v>
      </c>
      <c r="P81" s="19">
        <f>IF($D81&lt;&gt;1,"",IF($G81="ROKS",SUMIFS(TblApplications[Besoin ROKS CPU (vCPU)],TblApplications[Cluster ROKS cible],$F81,TblApplications[Action],"À migrer",TblApplications[Déjà incluse ROKS],"Non",TblApplications[Mois prov (calc)],"&lt;="&amp;$E81),SUMIFS(TblApplications[CPU IKS libérable (vCPU)],TblApplications[Cluster IKS source],$F81,TblApplications[Mois lib (calc)],"&lt;="&amp;$E81)))</f>
        <v>0</v>
      </c>
      <c r="Q81" s="19">
        <f>IF($D81&lt;&gt;1,"",IF($G81="ROKS",SUMIFS(TblApplications[Besoin ROKS RAM (Go)],TblApplications[Cluster ROKS cible],$F81,TblApplications[Action],"À migrer",TblApplications[Déjà incluse ROKS],"Non",TblApplications[Mois prov (calc)],"&lt;="&amp;$E81),SUMIFS(TblApplications[RAM IKS libérable (Go)],TblApplications[Cluster IKS source],$F81,TblApplications[Mois lib (calc)],"&lt;="&amp;$E81)))</f>
        <v>0</v>
      </c>
      <c r="R81" s="19">
        <f t="shared" si="20"/>
        <v>96</v>
      </c>
      <c r="S81" s="19">
        <f t="shared" si="21"/>
        <v>480</v>
      </c>
      <c r="T81" s="19">
        <f t="shared" si="22"/>
        <v>6</v>
      </c>
      <c r="U81" s="19">
        <f t="shared" si="23"/>
        <v>96</v>
      </c>
      <c r="V81" s="19">
        <f t="shared" si="24"/>
        <v>480</v>
      </c>
      <c r="W81" s="73">
        <f t="shared" si="25"/>
        <v>4416</v>
      </c>
      <c r="X81" s="19">
        <f>IF($D81&lt;&gt;1,"",IF($G81="ROKS",$R81,IF($AI81=1,0,MAX($N81,$L81-SUMIFS(TblApplications[CPU IKS libérable (vCPU)],TblApplications[Cluster IKS source],$F81,TblApplications[Action],"À migrer",TblApplications[Mois prov (calc)],"&lt;="&amp;$E81)-SUMIFS(TblApplications[CPU IKS libérable (vCPU)],TblApplications[Cluster IKS source],$F81,TblApplications[Action],"À décommissionner",TblApplications[Mois lib (calc)],"&lt;="&amp;$E81)))))</f>
        <v>96</v>
      </c>
      <c r="Y81" s="19">
        <f>IF($D81&lt;&gt;1,"",IF($G81="ROKS",$S81,IF($AI81=1,0,MAX($O81,$M81-SUMIFS(TblApplications[RAM IKS libérable (Go)],TblApplications[Cluster IKS source],$F81,TblApplications[Action],"À migrer",TblApplications[Mois prov (calc)],"&lt;="&amp;$E81)-SUMIFS(TblApplications[RAM IKS libérable (Go)],TblApplications[Cluster IKS source],$F81,TblApplications[Action],"À décommissionner",TblApplications[Mois lib (calc)],"&lt;="&amp;$E81)))))</f>
        <v>480</v>
      </c>
      <c r="Z81" s="19">
        <f t="shared" si="26"/>
        <v>6</v>
      </c>
      <c r="AA81" s="73">
        <f t="shared" si="27"/>
        <v>4416</v>
      </c>
      <c r="AB81" s="19">
        <f t="shared" si="28"/>
        <v>6</v>
      </c>
      <c r="AC81" s="73">
        <f t="shared" si="29"/>
        <v>4416</v>
      </c>
      <c r="AD81" s="19">
        <f t="shared" si="30"/>
        <v>0</v>
      </c>
      <c r="AE81" s="19">
        <f t="shared" si="31"/>
        <v>0</v>
      </c>
      <c r="AF81" s="19" t="str">
        <f>IF($D81&lt;&gt;1,"",IF(INDEX(TblClusters[Environnement],$B81)="","(vide)",INDEX(TblClusters[Environnement],$B81)))</f>
        <v>NPRD</v>
      </c>
      <c r="AG81" s="19">
        <f t="shared" si="32"/>
        <v>144</v>
      </c>
      <c r="AH81" s="19">
        <f t="shared" si="33"/>
        <v>30.666666666666668</v>
      </c>
      <c r="AI81" s="19">
        <f>IF($D81&lt;&gt;1,"",IF(AND($G81="IKS",ISNUMBER(INDEX(TblClusters[Fermeture retenue],$B81))),IF($E81&gt;=INDEX(TblClusters[Fermeture retenue],$B81),1,0),0))</f>
        <v>0</v>
      </c>
    </row>
    <row r="82" spans="1:35" x14ac:dyDescent="0.2">
      <c r="A82" s="19">
        <v>77</v>
      </c>
      <c r="B82" s="19">
        <f t="shared" si="17"/>
        <v>3</v>
      </c>
      <c r="C82" s="19">
        <f t="shared" si="18"/>
        <v>5</v>
      </c>
      <c r="D82" s="19">
        <f>IF($C82&gt;p_horizon,0,IFERROR(IF(AND(INDEX(TblClusters[Cluster],$B82)&lt;&gt;"",ISNUMBER(INDEX(TblClusters[CPU initial (vCPU)],$B82)),ISNUMBER(INDEX(TblClusters[CPU min (vCPU)],$B82)),OR(INDEX(TblClusters[Plateforme],$B82)="IKS",INDEX(TblClusters[Plateforme],$B82)="ROKS")),1,0),0))</f>
        <v>1</v>
      </c>
      <c r="E82" s="72">
        <f t="shared" si="19"/>
        <v>46419</v>
      </c>
      <c r="F82" s="19" t="str">
        <f>IF($D82=1,INDEX(TblClusters[Cluster],$B82),"")</f>
        <v>oc002i000807</v>
      </c>
      <c r="G82" s="19" t="str">
        <f>IF($D82=1,INDEX(TblClusters[Plateforme],$B82),"")</f>
        <v>ROKS</v>
      </c>
      <c r="H82" s="19">
        <f>IF($D82=1,INDEX(TblClusters[vCPU par nœud],$B82),"")</f>
        <v>16</v>
      </c>
      <c r="I82" s="19">
        <f>IF($D82=1,INDEX(TblClusters[RAM par nœud (Go)],$B82),"")</f>
        <v>80</v>
      </c>
      <c r="J82" s="19">
        <f>IF($D82=1,INDEX(TblClusters[Workers min],$B82),"")</f>
        <v>6</v>
      </c>
      <c r="K82" s="73">
        <f>IF($D82=1,INDEX(TblClusters[Tarif par nœud],$B82),"")</f>
        <v>736</v>
      </c>
      <c r="L82" s="19">
        <f>IF($D82=1,INDEX(TblClusters[CPU initial (vCPU)],$B82),"")</f>
        <v>96</v>
      </c>
      <c r="M82" s="19">
        <f>IF($D82=1,INDEX(TblClusters[RAM initiale (Go)],$B82),"")</f>
        <v>480</v>
      </c>
      <c r="N82" s="19">
        <f>IF($D82=1,INDEX(TblClusters[CPU min (vCPU)],$B82),"")</f>
        <v>96</v>
      </c>
      <c r="O82" s="19">
        <f>IF($D82=1,INDEX(TblClusters[RAM min (Go)],$B82),"")</f>
        <v>480</v>
      </c>
      <c r="P82" s="19">
        <f>IF($D82&lt;&gt;1,"",IF($G82="ROKS",SUMIFS(TblApplications[Besoin ROKS CPU (vCPU)],TblApplications[Cluster ROKS cible],$F82,TblApplications[Action],"À migrer",TblApplications[Déjà incluse ROKS],"Non",TblApplications[Mois prov (calc)],"&lt;="&amp;$E82),SUMIFS(TblApplications[CPU IKS libérable (vCPU)],TblApplications[Cluster IKS source],$F82,TblApplications[Mois lib (calc)],"&lt;="&amp;$E82)))</f>
        <v>0</v>
      </c>
      <c r="Q82" s="19">
        <f>IF($D82&lt;&gt;1,"",IF($G82="ROKS",SUMIFS(TblApplications[Besoin ROKS RAM (Go)],TblApplications[Cluster ROKS cible],$F82,TblApplications[Action],"À migrer",TblApplications[Déjà incluse ROKS],"Non",TblApplications[Mois prov (calc)],"&lt;="&amp;$E82),SUMIFS(TblApplications[RAM IKS libérable (Go)],TblApplications[Cluster IKS source],$F82,TblApplications[Mois lib (calc)],"&lt;="&amp;$E82)))</f>
        <v>0</v>
      </c>
      <c r="R82" s="19">
        <f t="shared" si="20"/>
        <v>96</v>
      </c>
      <c r="S82" s="19">
        <f t="shared" si="21"/>
        <v>480</v>
      </c>
      <c r="T82" s="19">
        <f t="shared" si="22"/>
        <v>6</v>
      </c>
      <c r="U82" s="19">
        <f t="shared" si="23"/>
        <v>96</v>
      </c>
      <c r="V82" s="19">
        <f t="shared" si="24"/>
        <v>480</v>
      </c>
      <c r="W82" s="73">
        <f t="shared" si="25"/>
        <v>4416</v>
      </c>
      <c r="X82" s="19">
        <f>IF($D82&lt;&gt;1,"",IF($G82="ROKS",$R82,IF($AI82=1,0,MAX($N82,$L82-SUMIFS(TblApplications[CPU IKS libérable (vCPU)],TblApplications[Cluster IKS source],$F82,TblApplications[Action],"À migrer",TblApplications[Mois prov (calc)],"&lt;="&amp;$E82)-SUMIFS(TblApplications[CPU IKS libérable (vCPU)],TblApplications[Cluster IKS source],$F82,TblApplications[Action],"À décommissionner",TblApplications[Mois lib (calc)],"&lt;="&amp;$E82)))))</f>
        <v>96</v>
      </c>
      <c r="Y82" s="19">
        <f>IF($D82&lt;&gt;1,"",IF($G82="ROKS",$S82,IF($AI82=1,0,MAX($O82,$M82-SUMIFS(TblApplications[RAM IKS libérable (Go)],TblApplications[Cluster IKS source],$F82,TblApplications[Action],"À migrer",TblApplications[Mois prov (calc)],"&lt;="&amp;$E82)-SUMIFS(TblApplications[RAM IKS libérable (Go)],TblApplications[Cluster IKS source],$F82,TblApplications[Action],"À décommissionner",TblApplications[Mois lib (calc)],"&lt;="&amp;$E82)))))</f>
        <v>480</v>
      </c>
      <c r="Z82" s="19">
        <f t="shared" si="26"/>
        <v>6</v>
      </c>
      <c r="AA82" s="73">
        <f t="shared" si="27"/>
        <v>4416</v>
      </c>
      <c r="AB82" s="19">
        <f t="shared" si="28"/>
        <v>6</v>
      </c>
      <c r="AC82" s="73">
        <f t="shared" si="29"/>
        <v>4416</v>
      </c>
      <c r="AD82" s="19">
        <f t="shared" si="30"/>
        <v>0</v>
      </c>
      <c r="AE82" s="19">
        <f t="shared" si="31"/>
        <v>0</v>
      </c>
      <c r="AF82" s="19" t="str">
        <f>IF($D82&lt;&gt;1,"",IF(INDEX(TblClusters[Environnement],$B82)="","(vide)",INDEX(TblClusters[Environnement],$B82)))</f>
        <v>NPRD</v>
      </c>
      <c r="AG82" s="19">
        <f t="shared" si="32"/>
        <v>144</v>
      </c>
      <c r="AH82" s="19">
        <f t="shared" si="33"/>
        <v>30.666666666666668</v>
      </c>
      <c r="AI82" s="19">
        <f>IF($D82&lt;&gt;1,"",IF(AND($G82="IKS",ISNUMBER(INDEX(TblClusters[Fermeture retenue],$B82))),IF($E82&gt;=INDEX(TblClusters[Fermeture retenue],$B82),1,0),0))</f>
        <v>0</v>
      </c>
    </row>
    <row r="83" spans="1:35" x14ac:dyDescent="0.2">
      <c r="A83" s="19">
        <v>78</v>
      </c>
      <c r="B83" s="19">
        <f t="shared" si="17"/>
        <v>3</v>
      </c>
      <c r="C83" s="19">
        <f t="shared" si="18"/>
        <v>6</v>
      </c>
      <c r="D83" s="19">
        <f>IF($C83&gt;p_horizon,0,IFERROR(IF(AND(INDEX(TblClusters[Cluster],$B83)&lt;&gt;"",ISNUMBER(INDEX(TblClusters[CPU initial (vCPU)],$B83)),ISNUMBER(INDEX(TblClusters[CPU min (vCPU)],$B83)),OR(INDEX(TblClusters[Plateforme],$B83)="IKS",INDEX(TblClusters[Plateforme],$B83)="ROKS")),1,0),0))</f>
        <v>1</v>
      </c>
      <c r="E83" s="72">
        <f t="shared" si="19"/>
        <v>46447</v>
      </c>
      <c r="F83" s="19" t="str">
        <f>IF($D83=1,INDEX(TblClusters[Cluster],$B83),"")</f>
        <v>oc002i000807</v>
      </c>
      <c r="G83" s="19" t="str">
        <f>IF($D83=1,INDEX(TblClusters[Plateforme],$B83),"")</f>
        <v>ROKS</v>
      </c>
      <c r="H83" s="19">
        <f>IF($D83=1,INDEX(TblClusters[vCPU par nœud],$B83),"")</f>
        <v>16</v>
      </c>
      <c r="I83" s="19">
        <f>IF($D83=1,INDEX(TblClusters[RAM par nœud (Go)],$B83),"")</f>
        <v>80</v>
      </c>
      <c r="J83" s="19">
        <f>IF($D83=1,INDEX(TblClusters[Workers min],$B83),"")</f>
        <v>6</v>
      </c>
      <c r="K83" s="73">
        <f>IF($D83=1,INDEX(TblClusters[Tarif par nœud],$B83),"")</f>
        <v>736</v>
      </c>
      <c r="L83" s="19">
        <f>IF($D83=1,INDEX(TblClusters[CPU initial (vCPU)],$B83),"")</f>
        <v>96</v>
      </c>
      <c r="M83" s="19">
        <f>IF($D83=1,INDEX(TblClusters[RAM initiale (Go)],$B83),"")</f>
        <v>480</v>
      </c>
      <c r="N83" s="19">
        <f>IF($D83=1,INDEX(TblClusters[CPU min (vCPU)],$B83),"")</f>
        <v>96</v>
      </c>
      <c r="O83" s="19">
        <f>IF($D83=1,INDEX(TblClusters[RAM min (Go)],$B83),"")</f>
        <v>480</v>
      </c>
      <c r="P83" s="19">
        <f>IF($D83&lt;&gt;1,"",IF($G83="ROKS",SUMIFS(TblApplications[Besoin ROKS CPU (vCPU)],TblApplications[Cluster ROKS cible],$F83,TblApplications[Action],"À migrer",TblApplications[Déjà incluse ROKS],"Non",TblApplications[Mois prov (calc)],"&lt;="&amp;$E83),SUMIFS(TblApplications[CPU IKS libérable (vCPU)],TblApplications[Cluster IKS source],$F83,TblApplications[Mois lib (calc)],"&lt;="&amp;$E83)))</f>
        <v>0</v>
      </c>
      <c r="Q83" s="19">
        <f>IF($D83&lt;&gt;1,"",IF($G83="ROKS",SUMIFS(TblApplications[Besoin ROKS RAM (Go)],TblApplications[Cluster ROKS cible],$F83,TblApplications[Action],"À migrer",TblApplications[Déjà incluse ROKS],"Non",TblApplications[Mois prov (calc)],"&lt;="&amp;$E83),SUMIFS(TblApplications[RAM IKS libérable (Go)],TblApplications[Cluster IKS source],$F83,TblApplications[Mois lib (calc)],"&lt;="&amp;$E83)))</f>
        <v>0</v>
      </c>
      <c r="R83" s="19">
        <f t="shared" si="20"/>
        <v>96</v>
      </c>
      <c r="S83" s="19">
        <f t="shared" si="21"/>
        <v>480</v>
      </c>
      <c r="T83" s="19">
        <f t="shared" si="22"/>
        <v>6</v>
      </c>
      <c r="U83" s="19">
        <f t="shared" si="23"/>
        <v>96</v>
      </c>
      <c r="V83" s="19">
        <f t="shared" si="24"/>
        <v>480</v>
      </c>
      <c r="W83" s="73">
        <f t="shared" si="25"/>
        <v>4416</v>
      </c>
      <c r="X83" s="19">
        <f>IF($D83&lt;&gt;1,"",IF($G83="ROKS",$R83,IF($AI83=1,0,MAX($N83,$L83-SUMIFS(TblApplications[CPU IKS libérable (vCPU)],TblApplications[Cluster IKS source],$F83,TblApplications[Action],"À migrer",TblApplications[Mois prov (calc)],"&lt;="&amp;$E83)-SUMIFS(TblApplications[CPU IKS libérable (vCPU)],TblApplications[Cluster IKS source],$F83,TblApplications[Action],"À décommissionner",TblApplications[Mois lib (calc)],"&lt;="&amp;$E83)))))</f>
        <v>96</v>
      </c>
      <c r="Y83" s="19">
        <f>IF($D83&lt;&gt;1,"",IF($G83="ROKS",$S83,IF($AI83=1,0,MAX($O83,$M83-SUMIFS(TblApplications[RAM IKS libérable (Go)],TblApplications[Cluster IKS source],$F83,TblApplications[Action],"À migrer",TblApplications[Mois prov (calc)],"&lt;="&amp;$E83)-SUMIFS(TblApplications[RAM IKS libérable (Go)],TblApplications[Cluster IKS source],$F83,TblApplications[Action],"À décommissionner",TblApplications[Mois lib (calc)],"&lt;="&amp;$E83)))))</f>
        <v>480</v>
      </c>
      <c r="Z83" s="19">
        <f t="shared" si="26"/>
        <v>6</v>
      </c>
      <c r="AA83" s="73">
        <f t="shared" si="27"/>
        <v>4416</v>
      </c>
      <c r="AB83" s="19">
        <f t="shared" si="28"/>
        <v>6</v>
      </c>
      <c r="AC83" s="73">
        <f t="shared" si="29"/>
        <v>4416</v>
      </c>
      <c r="AD83" s="19">
        <f t="shared" si="30"/>
        <v>0</v>
      </c>
      <c r="AE83" s="19">
        <f t="shared" si="31"/>
        <v>0</v>
      </c>
      <c r="AF83" s="19" t="str">
        <f>IF($D83&lt;&gt;1,"",IF(INDEX(TblClusters[Environnement],$B83)="","(vide)",INDEX(TblClusters[Environnement],$B83)))</f>
        <v>NPRD</v>
      </c>
      <c r="AG83" s="19">
        <f t="shared" si="32"/>
        <v>144</v>
      </c>
      <c r="AH83" s="19">
        <f t="shared" si="33"/>
        <v>30.666666666666668</v>
      </c>
      <c r="AI83" s="19">
        <f>IF($D83&lt;&gt;1,"",IF(AND($G83="IKS",ISNUMBER(INDEX(TblClusters[Fermeture retenue],$B83))),IF($E83&gt;=INDEX(TblClusters[Fermeture retenue],$B83),1,0),0))</f>
        <v>0</v>
      </c>
    </row>
    <row r="84" spans="1:35" x14ac:dyDescent="0.2">
      <c r="A84" s="19">
        <v>79</v>
      </c>
      <c r="B84" s="19">
        <f t="shared" si="17"/>
        <v>3</v>
      </c>
      <c r="C84" s="19">
        <f t="shared" si="18"/>
        <v>7</v>
      </c>
      <c r="D84" s="19">
        <f>IF($C84&gt;p_horizon,0,IFERROR(IF(AND(INDEX(TblClusters[Cluster],$B84)&lt;&gt;"",ISNUMBER(INDEX(TblClusters[CPU initial (vCPU)],$B84)),ISNUMBER(INDEX(TblClusters[CPU min (vCPU)],$B84)),OR(INDEX(TblClusters[Plateforme],$B84)="IKS",INDEX(TblClusters[Plateforme],$B84)="ROKS")),1,0),0))</f>
        <v>1</v>
      </c>
      <c r="E84" s="72">
        <f t="shared" si="19"/>
        <v>46478</v>
      </c>
      <c r="F84" s="19" t="str">
        <f>IF($D84=1,INDEX(TblClusters[Cluster],$B84),"")</f>
        <v>oc002i000807</v>
      </c>
      <c r="G84" s="19" t="str">
        <f>IF($D84=1,INDEX(TblClusters[Plateforme],$B84),"")</f>
        <v>ROKS</v>
      </c>
      <c r="H84" s="19">
        <f>IF($D84=1,INDEX(TblClusters[vCPU par nœud],$B84),"")</f>
        <v>16</v>
      </c>
      <c r="I84" s="19">
        <f>IF($D84=1,INDEX(TblClusters[RAM par nœud (Go)],$B84),"")</f>
        <v>80</v>
      </c>
      <c r="J84" s="19">
        <f>IF($D84=1,INDEX(TblClusters[Workers min],$B84),"")</f>
        <v>6</v>
      </c>
      <c r="K84" s="73">
        <f>IF($D84=1,INDEX(TblClusters[Tarif par nœud],$B84),"")</f>
        <v>736</v>
      </c>
      <c r="L84" s="19">
        <f>IF($D84=1,INDEX(TblClusters[CPU initial (vCPU)],$B84),"")</f>
        <v>96</v>
      </c>
      <c r="M84" s="19">
        <f>IF($D84=1,INDEX(TblClusters[RAM initiale (Go)],$B84),"")</f>
        <v>480</v>
      </c>
      <c r="N84" s="19">
        <f>IF($D84=1,INDEX(TblClusters[CPU min (vCPU)],$B84),"")</f>
        <v>96</v>
      </c>
      <c r="O84" s="19">
        <f>IF($D84=1,INDEX(TblClusters[RAM min (Go)],$B84),"")</f>
        <v>480</v>
      </c>
      <c r="P84" s="19">
        <f>IF($D84&lt;&gt;1,"",IF($G84="ROKS",SUMIFS(TblApplications[Besoin ROKS CPU (vCPU)],TblApplications[Cluster ROKS cible],$F84,TblApplications[Action],"À migrer",TblApplications[Déjà incluse ROKS],"Non",TblApplications[Mois prov (calc)],"&lt;="&amp;$E84),SUMIFS(TblApplications[CPU IKS libérable (vCPU)],TblApplications[Cluster IKS source],$F84,TblApplications[Mois lib (calc)],"&lt;="&amp;$E84)))</f>
        <v>0</v>
      </c>
      <c r="Q84" s="19">
        <f>IF($D84&lt;&gt;1,"",IF($G84="ROKS",SUMIFS(TblApplications[Besoin ROKS RAM (Go)],TblApplications[Cluster ROKS cible],$F84,TblApplications[Action],"À migrer",TblApplications[Déjà incluse ROKS],"Non",TblApplications[Mois prov (calc)],"&lt;="&amp;$E84),SUMIFS(TblApplications[RAM IKS libérable (Go)],TblApplications[Cluster IKS source],$F84,TblApplications[Mois lib (calc)],"&lt;="&amp;$E84)))</f>
        <v>0</v>
      </c>
      <c r="R84" s="19">
        <f t="shared" si="20"/>
        <v>96</v>
      </c>
      <c r="S84" s="19">
        <f t="shared" si="21"/>
        <v>480</v>
      </c>
      <c r="T84" s="19">
        <f t="shared" si="22"/>
        <v>6</v>
      </c>
      <c r="U84" s="19">
        <f t="shared" si="23"/>
        <v>96</v>
      </c>
      <c r="V84" s="19">
        <f t="shared" si="24"/>
        <v>480</v>
      </c>
      <c r="W84" s="73">
        <f t="shared" si="25"/>
        <v>4416</v>
      </c>
      <c r="X84" s="19">
        <f>IF($D84&lt;&gt;1,"",IF($G84="ROKS",$R84,IF($AI84=1,0,MAX($N84,$L84-SUMIFS(TblApplications[CPU IKS libérable (vCPU)],TblApplications[Cluster IKS source],$F84,TblApplications[Action],"À migrer",TblApplications[Mois prov (calc)],"&lt;="&amp;$E84)-SUMIFS(TblApplications[CPU IKS libérable (vCPU)],TblApplications[Cluster IKS source],$F84,TblApplications[Action],"À décommissionner",TblApplications[Mois lib (calc)],"&lt;="&amp;$E84)))))</f>
        <v>96</v>
      </c>
      <c r="Y84" s="19">
        <f>IF($D84&lt;&gt;1,"",IF($G84="ROKS",$S84,IF($AI84=1,0,MAX($O84,$M84-SUMIFS(TblApplications[RAM IKS libérable (Go)],TblApplications[Cluster IKS source],$F84,TblApplications[Action],"À migrer",TblApplications[Mois prov (calc)],"&lt;="&amp;$E84)-SUMIFS(TblApplications[RAM IKS libérable (Go)],TblApplications[Cluster IKS source],$F84,TblApplications[Action],"À décommissionner",TblApplications[Mois lib (calc)],"&lt;="&amp;$E84)))))</f>
        <v>480</v>
      </c>
      <c r="Z84" s="19">
        <f t="shared" si="26"/>
        <v>6</v>
      </c>
      <c r="AA84" s="73">
        <f t="shared" si="27"/>
        <v>4416</v>
      </c>
      <c r="AB84" s="19">
        <f t="shared" si="28"/>
        <v>6</v>
      </c>
      <c r="AC84" s="73">
        <f t="shared" si="29"/>
        <v>4416</v>
      </c>
      <c r="AD84" s="19">
        <f t="shared" si="30"/>
        <v>0</v>
      </c>
      <c r="AE84" s="19">
        <f t="shared" si="31"/>
        <v>0</v>
      </c>
      <c r="AF84" s="19" t="str">
        <f>IF($D84&lt;&gt;1,"",IF(INDEX(TblClusters[Environnement],$B84)="","(vide)",INDEX(TblClusters[Environnement],$B84)))</f>
        <v>NPRD</v>
      </c>
      <c r="AG84" s="19">
        <f t="shared" si="32"/>
        <v>144</v>
      </c>
      <c r="AH84" s="19">
        <f t="shared" si="33"/>
        <v>30.666666666666668</v>
      </c>
      <c r="AI84" s="19">
        <f>IF($D84&lt;&gt;1,"",IF(AND($G84="IKS",ISNUMBER(INDEX(TblClusters[Fermeture retenue],$B84))),IF($E84&gt;=INDEX(TblClusters[Fermeture retenue],$B84),1,0),0))</f>
        <v>0</v>
      </c>
    </row>
    <row r="85" spans="1:35" x14ac:dyDescent="0.2">
      <c r="A85" s="19">
        <v>80</v>
      </c>
      <c r="B85" s="19">
        <f t="shared" si="17"/>
        <v>3</v>
      </c>
      <c r="C85" s="19">
        <f t="shared" si="18"/>
        <v>8</v>
      </c>
      <c r="D85" s="19">
        <f>IF($C85&gt;p_horizon,0,IFERROR(IF(AND(INDEX(TblClusters[Cluster],$B85)&lt;&gt;"",ISNUMBER(INDEX(TblClusters[CPU initial (vCPU)],$B85)),ISNUMBER(INDEX(TblClusters[CPU min (vCPU)],$B85)),OR(INDEX(TblClusters[Plateforme],$B85)="IKS",INDEX(TblClusters[Plateforme],$B85)="ROKS")),1,0),0))</f>
        <v>1</v>
      </c>
      <c r="E85" s="72">
        <f t="shared" si="19"/>
        <v>46508</v>
      </c>
      <c r="F85" s="19" t="str">
        <f>IF($D85=1,INDEX(TblClusters[Cluster],$B85),"")</f>
        <v>oc002i000807</v>
      </c>
      <c r="G85" s="19" t="str">
        <f>IF($D85=1,INDEX(TblClusters[Plateforme],$B85),"")</f>
        <v>ROKS</v>
      </c>
      <c r="H85" s="19">
        <f>IF($D85=1,INDEX(TblClusters[vCPU par nœud],$B85),"")</f>
        <v>16</v>
      </c>
      <c r="I85" s="19">
        <f>IF($D85=1,INDEX(TblClusters[RAM par nœud (Go)],$B85),"")</f>
        <v>80</v>
      </c>
      <c r="J85" s="19">
        <f>IF($D85=1,INDEX(TblClusters[Workers min],$B85),"")</f>
        <v>6</v>
      </c>
      <c r="K85" s="73">
        <f>IF($D85=1,INDEX(TblClusters[Tarif par nœud],$B85),"")</f>
        <v>736</v>
      </c>
      <c r="L85" s="19">
        <f>IF($D85=1,INDEX(TblClusters[CPU initial (vCPU)],$B85),"")</f>
        <v>96</v>
      </c>
      <c r="M85" s="19">
        <f>IF($D85=1,INDEX(TblClusters[RAM initiale (Go)],$B85),"")</f>
        <v>480</v>
      </c>
      <c r="N85" s="19">
        <f>IF($D85=1,INDEX(TblClusters[CPU min (vCPU)],$B85),"")</f>
        <v>96</v>
      </c>
      <c r="O85" s="19">
        <f>IF($D85=1,INDEX(TblClusters[RAM min (Go)],$B85),"")</f>
        <v>480</v>
      </c>
      <c r="P85" s="19">
        <f>IF($D85&lt;&gt;1,"",IF($G85="ROKS",SUMIFS(TblApplications[Besoin ROKS CPU (vCPU)],TblApplications[Cluster ROKS cible],$F85,TblApplications[Action],"À migrer",TblApplications[Déjà incluse ROKS],"Non",TblApplications[Mois prov (calc)],"&lt;="&amp;$E85),SUMIFS(TblApplications[CPU IKS libérable (vCPU)],TblApplications[Cluster IKS source],$F85,TblApplications[Mois lib (calc)],"&lt;="&amp;$E85)))</f>
        <v>0</v>
      </c>
      <c r="Q85" s="19">
        <f>IF($D85&lt;&gt;1,"",IF($G85="ROKS",SUMIFS(TblApplications[Besoin ROKS RAM (Go)],TblApplications[Cluster ROKS cible],$F85,TblApplications[Action],"À migrer",TblApplications[Déjà incluse ROKS],"Non",TblApplications[Mois prov (calc)],"&lt;="&amp;$E85),SUMIFS(TblApplications[RAM IKS libérable (Go)],TblApplications[Cluster IKS source],$F85,TblApplications[Mois lib (calc)],"&lt;="&amp;$E85)))</f>
        <v>0</v>
      </c>
      <c r="R85" s="19">
        <f t="shared" si="20"/>
        <v>96</v>
      </c>
      <c r="S85" s="19">
        <f t="shared" si="21"/>
        <v>480</v>
      </c>
      <c r="T85" s="19">
        <f t="shared" si="22"/>
        <v>6</v>
      </c>
      <c r="U85" s="19">
        <f t="shared" si="23"/>
        <v>96</v>
      </c>
      <c r="V85" s="19">
        <f t="shared" si="24"/>
        <v>480</v>
      </c>
      <c r="W85" s="73">
        <f t="shared" si="25"/>
        <v>4416</v>
      </c>
      <c r="X85" s="19">
        <f>IF($D85&lt;&gt;1,"",IF($G85="ROKS",$R85,IF($AI85=1,0,MAX($N85,$L85-SUMIFS(TblApplications[CPU IKS libérable (vCPU)],TblApplications[Cluster IKS source],$F85,TblApplications[Action],"À migrer",TblApplications[Mois prov (calc)],"&lt;="&amp;$E85)-SUMIFS(TblApplications[CPU IKS libérable (vCPU)],TblApplications[Cluster IKS source],$F85,TblApplications[Action],"À décommissionner",TblApplications[Mois lib (calc)],"&lt;="&amp;$E85)))))</f>
        <v>96</v>
      </c>
      <c r="Y85" s="19">
        <f>IF($D85&lt;&gt;1,"",IF($G85="ROKS",$S85,IF($AI85=1,0,MAX($O85,$M85-SUMIFS(TblApplications[RAM IKS libérable (Go)],TblApplications[Cluster IKS source],$F85,TblApplications[Action],"À migrer",TblApplications[Mois prov (calc)],"&lt;="&amp;$E85)-SUMIFS(TblApplications[RAM IKS libérable (Go)],TblApplications[Cluster IKS source],$F85,TblApplications[Action],"À décommissionner",TblApplications[Mois lib (calc)],"&lt;="&amp;$E85)))))</f>
        <v>480</v>
      </c>
      <c r="Z85" s="19">
        <f t="shared" si="26"/>
        <v>6</v>
      </c>
      <c r="AA85" s="73">
        <f t="shared" si="27"/>
        <v>4416</v>
      </c>
      <c r="AB85" s="19">
        <f t="shared" si="28"/>
        <v>6</v>
      </c>
      <c r="AC85" s="73">
        <f t="shared" si="29"/>
        <v>4416</v>
      </c>
      <c r="AD85" s="19">
        <f t="shared" si="30"/>
        <v>0</v>
      </c>
      <c r="AE85" s="19">
        <f t="shared" si="31"/>
        <v>0</v>
      </c>
      <c r="AF85" s="19" t="str">
        <f>IF($D85&lt;&gt;1,"",IF(INDEX(TblClusters[Environnement],$B85)="","(vide)",INDEX(TblClusters[Environnement],$B85)))</f>
        <v>NPRD</v>
      </c>
      <c r="AG85" s="19">
        <f t="shared" si="32"/>
        <v>144</v>
      </c>
      <c r="AH85" s="19">
        <f t="shared" si="33"/>
        <v>30.666666666666668</v>
      </c>
      <c r="AI85" s="19">
        <f>IF($D85&lt;&gt;1,"",IF(AND($G85="IKS",ISNUMBER(INDEX(TblClusters[Fermeture retenue],$B85))),IF($E85&gt;=INDEX(TblClusters[Fermeture retenue],$B85),1,0),0))</f>
        <v>0</v>
      </c>
    </row>
    <row r="86" spans="1:35" x14ac:dyDescent="0.2">
      <c r="A86" s="19">
        <v>81</v>
      </c>
      <c r="B86" s="19">
        <f t="shared" si="17"/>
        <v>3</v>
      </c>
      <c r="C86" s="19">
        <f t="shared" si="18"/>
        <v>9</v>
      </c>
      <c r="D86" s="19">
        <f>IF($C86&gt;p_horizon,0,IFERROR(IF(AND(INDEX(TblClusters[Cluster],$B86)&lt;&gt;"",ISNUMBER(INDEX(TblClusters[CPU initial (vCPU)],$B86)),ISNUMBER(INDEX(TblClusters[CPU min (vCPU)],$B86)),OR(INDEX(TblClusters[Plateforme],$B86)="IKS",INDEX(TblClusters[Plateforme],$B86)="ROKS")),1,0),0))</f>
        <v>1</v>
      </c>
      <c r="E86" s="72">
        <f t="shared" si="19"/>
        <v>46539</v>
      </c>
      <c r="F86" s="19" t="str">
        <f>IF($D86=1,INDEX(TblClusters[Cluster],$B86),"")</f>
        <v>oc002i000807</v>
      </c>
      <c r="G86" s="19" t="str">
        <f>IF($D86=1,INDEX(TblClusters[Plateforme],$B86),"")</f>
        <v>ROKS</v>
      </c>
      <c r="H86" s="19">
        <f>IF($D86=1,INDEX(TblClusters[vCPU par nœud],$B86),"")</f>
        <v>16</v>
      </c>
      <c r="I86" s="19">
        <f>IF($D86=1,INDEX(TblClusters[RAM par nœud (Go)],$B86),"")</f>
        <v>80</v>
      </c>
      <c r="J86" s="19">
        <f>IF($D86=1,INDEX(TblClusters[Workers min],$B86),"")</f>
        <v>6</v>
      </c>
      <c r="K86" s="73">
        <f>IF($D86=1,INDEX(TblClusters[Tarif par nœud],$B86),"")</f>
        <v>736</v>
      </c>
      <c r="L86" s="19">
        <f>IF($D86=1,INDEX(TblClusters[CPU initial (vCPU)],$B86),"")</f>
        <v>96</v>
      </c>
      <c r="M86" s="19">
        <f>IF($D86=1,INDEX(TblClusters[RAM initiale (Go)],$B86),"")</f>
        <v>480</v>
      </c>
      <c r="N86" s="19">
        <f>IF($D86=1,INDEX(TblClusters[CPU min (vCPU)],$B86),"")</f>
        <v>96</v>
      </c>
      <c r="O86" s="19">
        <f>IF($D86=1,INDEX(TblClusters[RAM min (Go)],$B86),"")</f>
        <v>480</v>
      </c>
      <c r="P86" s="19">
        <f>IF($D86&lt;&gt;1,"",IF($G86="ROKS",SUMIFS(TblApplications[Besoin ROKS CPU (vCPU)],TblApplications[Cluster ROKS cible],$F86,TblApplications[Action],"À migrer",TblApplications[Déjà incluse ROKS],"Non",TblApplications[Mois prov (calc)],"&lt;="&amp;$E86),SUMIFS(TblApplications[CPU IKS libérable (vCPU)],TblApplications[Cluster IKS source],$F86,TblApplications[Mois lib (calc)],"&lt;="&amp;$E86)))</f>
        <v>0</v>
      </c>
      <c r="Q86" s="19">
        <f>IF($D86&lt;&gt;1,"",IF($G86="ROKS",SUMIFS(TblApplications[Besoin ROKS RAM (Go)],TblApplications[Cluster ROKS cible],$F86,TblApplications[Action],"À migrer",TblApplications[Déjà incluse ROKS],"Non",TblApplications[Mois prov (calc)],"&lt;="&amp;$E86),SUMIFS(TblApplications[RAM IKS libérable (Go)],TblApplications[Cluster IKS source],$F86,TblApplications[Mois lib (calc)],"&lt;="&amp;$E86)))</f>
        <v>0</v>
      </c>
      <c r="R86" s="19">
        <f t="shared" si="20"/>
        <v>96</v>
      </c>
      <c r="S86" s="19">
        <f t="shared" si="21"/>
        <v>480</v>
      </c>
      <c r="T86" s="19">
        <f t="shared" si="22"/>
        <v>6</v>
      </c>
      <c r="U86" s="19">
        <f t="shared" si="23"/>
        <v>96</v>
      </c>
      <c r="V86" s="19">
        <f t="shared" si="24"/>
        <v>480</v>
      </c>
      <c r="W86" s="73">
        <f t="shared" si="25"/>
        <v>4416</v>
      </c>
      <c r="X86" s="19">
        <f>IF($D86&lt;&gt;1,"",IF($G86="ROKS",$R86,IF($AI86=1,0,MAX($N86,$L86-SUMIFS(TblApplications[CPU IKS libérable (vCPU)],TblApplications[Cluster IKS source],$F86,TblApplications[Action],"À migrer",TblApplications[Mois prov (calc)],"&lt;="&amp;$E86)-SUMIFS(TblApplications[CPU IKS libérable (vCPU)],TblApplications[Cluster IKS source],$F86,TblApplications[Action],"À décommissionner",TblApplications[Mois lib (calc)],"&lt;="&amp;$E86)))))</f>
        <v>96</v>
      </c>
      <c r="Y86" s="19">
        <f>IF($D86&lt;&gt;1,"",IF($G86="ROKS",$S86,IF($AI86=1,0,MAX($O86,$M86-SUMIFS(TblApplications[RAM IKS libérable (Go)],TblApplications[Cluster IKS source],$F86,TblApplications[Action],"À migrer",TblApplications[Mois prov (calc)],"&lt;="&amp;$E86)-SUMIFS(TblApplications[RAM IKS libérable (Go)],TblApplications[Cluster IKS source],$F86,TblApplications[Action],"À décommissionner",TblApplications[Mois lib (calc)],"&lt;="&amp;$E86)))))</f>
        <v>480</v>
      </c>
      <c r="Z86" s="19">
        <f t="shared" si="26"/>
        <v>6</v>
      </c>
      <c r="AA86" s="73">
        <f t="shared" si="27"/>
        <v>4416</v>
      </c>
      <c r="AB86" s="19">
        <f t="shared" si="28"/>
        <v>6</v>
      </c>
      <c r="AC86" s="73">
        <f t="shared" si="29"/>
        <v>4416</v>
      </c>
      <c r="AD86" s="19">
        <f t="shared" si="30"/>
        <v>0</v>
      </c>
      <c r="AE86" s="19">
        <f t="shared" si="31"/>
        <v>0</v>
      </c>
      <c r="AF86" s="19" t="str">
        <f>IF($D86&lt;&gt;1,"",IF(INDEX(TblClusters[Environnement],$B86)="","(vide)",INDEX(TblClusters[Environnement],$B86)))</f>
        <v>NPRD</v>
      </c>
      <c r="AG86" s="19">
        <f t="shared" si="32"/>
        <v>144</v>
      </c>
      <c r="AH86" s="19">
        <f t="shared" si="33"/>
        <v>30.666666666666668</v>
      </c>
      <c r="AI86" s="19">
        <f>IF($D86&lt;&gt;1,"",IF(AND($G86="IKS",ISNUMBER(INDEX(TblClusters[Fermeture retenue],$B86))),IF($E86&gt;=INDEX(TblClusters[Fermeture retenue],$B86),1,0),0))</f>
        <v>0</v>
      </c>
    </row>
    <row r="87" spans="1:35" x14ac:dyDescent="0.2">
      <c r="A87" s="19">
        <v>82</v>
      </c>
      <c r="B87" s="19">
        <f t="shared" si="17"/>
        <v>3</v>
      </c>
      <c r="C87" s="19">
        <f t="shared" si="18"/>
        <v>10</v>
      </c>
      <c r="D87" s="19">
        <f>IF($C87&gt;p_horizon,0,IFERROR(IF(AND(INDEX(TblClusters[Cluster],$B87)&lt;&gt;"",ISNUMBER(INDEX(TblClusters[CPU initial (vCPU)],$B87)),ISNUMBER(INDEX(TblClusters[CPU min (vCPU)],$B87)),OR(INDEX(TblClusters[Plateforme],$B87)="IKS",INDEX(TblClusters[Plateforme],$B87)="ROKS")),1,0),0))</f>
        <v>1</v>
      </c>
      <c r="E87" s="72">
        <f t="shared" si="19"/>
        <v>46569</v>
      </c>
      <c r="F87" s="19" t="str">
        <f>IF($D87=1,INDEX(TblClusters[Cluster],$B87),"")</f>
        <v>oc002i000807</v>
      </c>
      <c r="G87" s="19" t="str">
        <f>IF($D87=1,INDEX(TblClusters[Plateforme],$B87),"")</f>
        <v>ROKS</v>
      </c>
      <c r="H87" s="19">
        <f>IF($D87=1,INDEX(TblClusters[vCPU par nœud],$B87),"")</f>
        <v>16</v>
      </c>
      <c r="I87" s="19">
        <f>IF($D87=1,INDEX(TblClusters[RAM par nœud (Go)],$B87),"")</f>
        <v>80</v>
      </c>
      <c r="J87" s="19">
        <f>IF($D87=1,INDEX(TblClusters[Workers min],$B87),"")</f>
        <v>6</v>
      </c>
      <c r="K87" s="73">
        <f>IF($D87=1,INDEX(TblClusters[Tarif par nœud],$B87),"")</f>
        <v>736</v>
      </c>
      <c r="L87" s="19">
        <f>IF($D87=1,INDEX(TblClusters[CPU initial (vCPU)],$B87),"")</f>
        <v>96</v>
      </c>
      <c r="M87" s="19">
        <f>IF($D87=1,INDEX(TblClusters[RAM initiale (Go)],$B87),"")</f>
        <v>480</v>
      </c>
      <c r="N87" s="19">
        <f>IF($D87=1,INDEX(TblClusters[CPU min (vCPU)],$B87),"")</f>
        <v>96</v>
      </c>
      <c r="O87" s="19">
        <f>IF($D87=1,INDEX(TblClusters[RAM min (Go)],$B87),"")</f>
        <v>480</v>
      </c>
      <c r="P87" s="19">
        <f>IF($D87&lt;&gt;1,"",IF($G87="ROKS",SUMIFS(TblApplications[Besoin ROKS CPU (vCPU)],TblApplications[Cluster ROKS cible],$F87,TblApplications[Action],"À migrer",TblApplications[Déjà incluse ROKS],"Non",TblApplications[Mois prov (calc)],"&lt;="&amp;$E87),SUMIFS(TblApplications[CPU IKS libérable (vCPU)],TblApplications[Cluster IKS source],$F87,TblApplications[Mois lib (calc)],"&lt;="&amp;$E87)))</f>
        <v>0</v>
      </c>
      <c r="Q87" s="19">
        <f>IF($D87&lt;&gt;1,"",IF($G87="ROKS",SUMIFS(TblApplications[Besoin ROKS RAM (Go)],TblApplications[Cluster ROKS cible],$F87,TblApplications[Action],"À migrer",TblApplications[Déjà incluse ROKS],"Non",TblApplications[Mois prov (calc)],"&lt;="&amp;$E87),SUMIFS(TblApplications[RAM IKS libérable (Go)],TblApplications[Cluster IKS source],$F87,TblApplications[Mois lib (calc)],"&lt;="&amp;$E87)))</f>
        <v>0</v>
      </c>
      <c r="R87" s="19">
        <f t="shared" si="20"/>
        <v>96</v>
      </c>
      <c r="S87" s="19">
        <f t="shared" si="21"/>
        <v>480</v>
      </c>
      <c r="T87" s="19">
        <f t="shared" si="22"/>
        <v>6</v>
      </c>
      <c r="U87" s="19">
        <f t="shared" si="23"/>
        <v>96</v>
      </c>
      <c r="V87" s="19">
        <f t="shared" si="24"/>
        <v>480</v>
      </c>
      <c r="W87" s="73">
        <f t="shared" si="25"/>
        <v>4416</v>
      </c>
      <c r="X87" s="19">
        <f>IF($D87&lt;&gt;1,"",IF($G87="ROKS",$R87,IF($AI87=1,0,MAX($N87,$L87-SUMIFS(TblApplications[CPU IKS libérable (vCPU)],TblApplications[Cluster IKS source],$F87,TblApplications[Action],"À migrer",TblApplications[Mois prov (calc)],"&lt;="&amp;$E87)-SUMIFS(TblApplications[CPU IKS libérable (vCPU)],TblApplications[Cluster IKS source],$F87,TblApplications[Action],"À décommissionner",TblApplications[Mois lib (calc)],"&lt;="&amp;$E87)))))</f>
        <v>96</v>
      </c>
      <c r="Y87" s="19">
        <f>IF($D87&lt;&gt;1,"",IF($G87="ROKS",$S87,IF($AI87=1,0,MAX($O87,$M87-SUMIFS(TblApplications[RAM IKS libérable (Go)],TblApplications[Cluster IKS source],$F87,TblApplications[Action],"À migrer",TblApplications[Mois prov (calc)],"&lt;="&amp;$E87)-SUMIFS(TblApplications[RAM IKS libérable (Go)],TblApplications[Cluster IKS source],$F87,TblApplications[Action],"À décommissionner",TblApplications[Mois lib (calc)],"&lt;="&amp;$E87)))))</f>
        <v>480</v>
      </c>
      <c r="Z87" s="19">
        <f t="shared" si="26"/>
        <v>6</v>
      </c>
      <c r="AA87" s="73">
        <f t="shared" si="27"/>
        <v>4416</v>
      </c>
      <c r="AB87" s="19">
        <f t="shared" si="28"/>
        <v>6</v>
      </c>
      <c r="AC87" s="73">
        <f t="shared" si="29"/>
        <v>4416</v>
      </c>
      <c r="AD87" s="19">
        <f t="shared" si="30"/>
        <v>0</v>
      </c>
      <c r="AE87" s="19">
        <f t="shared" si="31"/>
        <v>0</v>
      </c>
      <c r="AF87" s="19" t="str">
        <f>IF($D87&lt;&gt;1,"",IF(INDEX(TblClusters[Environnement],$B87)="","(vide)",INDEX(TblClusters[Environnement],$B87)))</f>
        <v>NPRD</v>
      </c>
      <c r="AG87" s="19">
        <f t="shared" si="32"/>
        <v>144</v>
      </c>
      <c r="AH87" s="19">
        <f t="shared" si="33"/>
        <v>30.666666666666668</v>
      </c>
      <c r="AI87" s="19">
        <f>IF($D87&lt;&gt;1,"",IF(AND($G87="IKS",ISNUMBER(INDEX(TblClusters[Fermeture retenue],$B87))),IF($E87&gt;=INDEX(TblClusters[Fermeture retenue],$B87),1,0),0))</f>
        <v>0</v>
      </c>
    </row>
    <row r="88" spans="1:35" x14ac:dyDescent="0.2">
      <c r="A88" s="19">
        <v>83</v>
      </c>
      <c r="B88" s="19">
        <f t="shared" si="17"/>
        <v>3</v>
      </c>
      <c r="C88" s="19">
        <f t="shared" si="18"/>
        <v>11</v>
      </c>
      <c r="D88" s="19">
        <f>IF($C88&gt;p_horizon,0,IFERROR(IF(AND(INDEX(TblClusters[Cluster],$B88)&lt;&gt;"",ISNUMBER(INDEX(TblClusters[CPU initial (vCPU)],$B88)),ISNUMBER(INDEX(TblClusters[CPU min (vCPU)],$B88)),OR(INDEX(TblClusters[Plateforme],$B88)="IKS",INDEX(TblClusters[Plateforme],$B88)="ROKS")),1,0),0))</f>
        <v>1</v>
      </c>
      <c r="E88" s="72">
        <f t="shared" si="19"/>
        <v>46600</v>
      </c>
      <c r="F88" s="19" t="str">
        <f>IF($D88=1,INDEX(TblClusters[Cluster],$B88),"")</f>
        <v>oc002i000807</v>
      </c>
      <c r="G88" s="19" t="str">
        <f>IF($D88=1,INDEX(TblClusters[Plateforme],$B88),"")</f>
        <v>ROKS</v>
      </c>
      <c r="H88" s="19">
        <f>IF($D88=1,INDEX(TblClusters[vCPU par nœud],$B88),"")</f>
        <v>16</v>
      </c>
      <c r="I88" s="19">
        <f>IF($D88=1,INDEX(TblClusters[RAM par nœud (Go)],$B88),"")</f>
        <v>80</v>
      </c>
      <c r="J88" s="19">
        <f>IF($D88=1,INDEX(TblClusters[Workers min],$B88),"")</f>
        <v>6</v>
      </c>
      <c r="K88" s="73">
        <f>IF($D88=1,INDEX(TblClusters[Tarif par nœud],$B88),"")</f>
        <v>736</v>
      </c>
      <c r="L88" s="19">
        <f>IF($D88=1,INDEX(TblClusters[CPU initial (vCPU)],$B88),"")</f>
        <v>96</v>
      </c>
      <c r="M88" s="19">
        <f>IF($D88=1,INDEX(TblClusters[RAM initiale (Go)],$B88),"")</f>
        <v>480</v>
      </c>
      <c r="N88" s="19">
        <f>IF($D88=1,INDEX(TblClusters[CPU min (vCPU)],$B88),"")</f>
        <v>96</v>
      </c>
      <c r="O88" s="19">
        <f>IF($D88=1,INDEX(TblClusters[RAM min (Go)],$B88),"")</f>
        <v>480</v>
      </c>
      <c r="P88" s="19">
        <f>IF($D88&lt;&gt;1,"",IF($G88="ROKS",SUMIFS(TblApplications[Besoin ROKS CPU (vCPU)],TblApplications[Cluster ROKS cible],$F88,TblApplications[Action],"À migrer",TblApplications[Déjà incluse ROKS],"Non",TblApplications[Mois prov (calc)],"&lt;="&amp;$E88),SUMIFS(TblApplications[CPU IKS libérable (vCPU)],TblApplications[Cluster IKS source],$F88,TblApplications[Mois lib (calc)],"&lt;="&amp;$E88)))</f>
        <v>0</v>
      </c>
      <c r="Q88" s="19">
        <f>IF($D88&lt;&gt;1,"",IF($G88="ROKS",SUMIFS(TblApplications[Besoin ROKS RAM (Go)],TblApplications[Cluster ROKS cible],$F88,TblApplications[Action],"À migrer",TblApplications[Déjà incluse ROKS],"Non",TblApplications[Mois prov (calc)],"&lt;="&amp;$E88),SUMIFS(TblApplications[RAM IKS libérable (Go)],TblApplications[Cluster IKS source],$F88,TblApplications[Mois lib (calc)],"&lt;="&amp;$E88)))</f>
        <v>0</v>
      </c>
      <c r="R88" s="19">
        <f t="shared" si="20"/>
        <v>96</v>
      </c>
      <c r="S88" s="19">
        <f t="shared" si="21"/>
        <v>480</v>
      </c>
      <c r="T88" s="19">
        <f t="shared" si="22"/>
        <v>6</v>
      </c>
      <c r="U88" s="19">
        <f t="shared" si="23"/>
        <v>96</v>
      </c>
      <c r="V88" s="19">
        <f t="shared" si="24"/>
        <v>480</v>
      </c>
      <c r="W88" s="73">
        <f t="shared" si="25"/>
        <v>4416</v>
      </c>
      <c r="X88" s="19">
        <f>IF($D88&lt;&gt;1,"",IF($G88="ROKS",$R88,IF($AI88=1,0,MAX($N88,$L88-SUMIFS(TblApplications[CPU IKS libérable (vCPU)],TblApplications[Cluster IKS source],$F88,TblApplications[Action],"À migrer",TblApplications[Mois prov (calc)],"&lt;="&amp;$E88)-SUMIFS(TblApplications[CPU IKS libérable (vCPU)],TblApplications[Cluster IKS source],$F88,TblApplications[Action],"À décommissionner",TblApplications[Mois lib (calc)],"&lt;="&amp;$E88)))))</f>
        <v>96</v>
      </c>
      <c r="Y88" s="19">
        <f>IF($D88&lt;&gt;1,"",IF($G88="ROKS",$S88,IF($AI88=1,0,MAX($O88,$M88-SUMIFS(TblApplications[RAM IKS libérable (Go)],TblApplications[Cluster IKS source],$F88,TblApplications[Action],"À migrer",TblApplications[Mois prov (calc)],"&lt;="&amp;$E88)-SUMIFS(TblApplications[RAM IKS libérable (Go)],TblApplications[Cluster IKS source],$F88,TblApplications[Action],"À décommissionner",TblApplications[Mois lib (calc)],"&lt;="&amp;$E88)))))</f>
        <v>480</v>
      </c>
      <c r="Z88" s="19">
        <f t="shared" si="26"/>
        <v>6</v>
      </c>
      <c r="AA88" s="73">
        <f t="shared" si="27"/>
        <v>4416</v>
      </c>
      <c r="AB88" s="19">
        <f t="shared" si="28"/>
        <v>6</v>
      </c>
      <c r="AC88" s="73">
        <f t="shared" si="29"/>
        <v>4416</v>
      </c>
      <c r="AD88" s="19">
        <f t="shared" si="30"/>
        <v>0</v>
      </c>
      <c r="AE88" s="19">
        <f t="shared" si="31"/>
        <v>0</v>
      </c>
      <c r="AF88" s="19" t="str">
        <f>IF($D88&lt;&gt;1,"",IF(INDEX(TblClusters[Environnement],$B88)="","(vide)",INDEX(TblClusters[Environnement],$B88)))</f>
        <v>NPRD</v>
      </c>
      <c r="AG88" s="19">
        <f t="shared" si="32"/>
        <v>144</v>
      </c>
      <c r="AH88" s="19">
        <f t="shared" si="33"/>
        <v>30.666666666666668</v>
      </c>
      <c r="AI88" s="19">
        <f>IF($D88&lt;&gt;1,"",IF(AND($G88="IKS",ISNUMBER(INDEX(TblClusters[Fermeture retenue],$B88))),IF($E88&gt;=INDEX(TblClusters[Fermeture retenue],$B88),1,0),0))</f>
        <v>0</v>
      </c>
    </row>
    <row r="89" spans="1:35" x14ac:dyDescent="0.2">
      <c r="A89" s="19">
        <v>84</v>
      </c>
      <c r="B89" s="19">
        <f t="shared" si="17"/>
        <v>3</v>
      </c>
      <c r="C89" s="19">
        <f t="shared" si="18"/>
        <v>12</v>
      </c>
      <c r="D89" s="19">
        <f>IF($C89&gt;p_horizon,0,IFERROR(IF(AND(INDEX(TblClusters[Cluster],$B89)&lt;&gt;"",ISNUMBER(INDEX(TblClusters[CPU initial (vCPU)],$B89)),ISNUMBER(INDEX(TblClusters[CPU min (vCPU)],$B89)),OR(INDEX(TblClusters[Plateforme],$B89)="IKS",INDEX(TblClusters[Plateforme],$B89)="ROKS")),1,0),0))</f>
        <v>1</v>
      </c>
      <c r="E89" s="72">
        <f t="shared" si="19"/>
        <v>46631</v>
      </c>
      <c r="F89" s="19" t="str">
        <f>IF($D89=1,INDEX(TblClusters[Cluster],$B89),"")</f>
        <v>oc002i000807</v>
      </c>
      <c r="G89" s="19" t="str">
        <f>IF($D89=1,INDEX(TblClusters[Plateforme],$B89),"")</f>
        <v>ROKS</v>
      </c>
      <c r="H89" s="19">
        <f>IF($D89=1,INDEX(TblClusters[vCPU par nœud],$B89),"")</f>
        <v>16</v>
      </c>
      <c r="I89" s="19">
        <f>IF($D89=1,INDEX(TblClusters[RAM par nœud (Go)],$B89),"")</f>
        <v>80</v>
      </c>
      <c r="J89" s="19">
        <f>IF($D89=1,INDEX(TblClusters[Workers min],$B89),"")</f>
        <v>6</v>
      </c>
      <c r="K89" s="73">
        <f>IF($D89=1,INDEX(TblClusters[Tarif par nœud],$B89),"")</f>
        <v>736</v>
      </c>
      <c r="L89" s="19">
        <f>IF($D89=1,INDEX(TblClusters[CPU initial (vCPU)],$B89),"")</f>
        <v>96</v>
      </c>
      <c r="M89" s="19">
        <f>IF($D89=1,INDEX(TblClusters[RAM initiale (Go)],$B89),"")</f>
        <v>480</v>
      </c>
      <c r="N89" s="19">
        <f>IF($D89=1,INDEX(TblClusters[CPU min (vCPU)],$B89),"")</f>
        <v>96</v>
      </c>
      <c r="O89" s="19">
        <f>IF($D89=1,INDEX(TblClusters[RAM min (Go)],$B89),"")</f>
        <v>480</v>
      </c>
      <c r="P89" s="19">
        <f>IF($D89&lt;&gt;1,"",IF($G89="ROKS",SUMIFS(TblApplications[Besoin ROKS CPU (vCPU)],TblApplications[Cluster ROKS cible],$F89,TblApplications[Action],"À migrer",TblApplications[Déjà incluse ROKS],"Non",TblApplications[Mois prov (calc)],"&lt;="&amp;$E89),SUMIFS(TblApplications[CPU IKS libérable (vCPU)],TblApplications[Cluster IKS source],$F89,TblApplications[Mois lib (calc)],"&lt;="&amp;$E89)))</f>
        <v>0</v>
      </c>
      <c r="Q89" s="19">
        <f>IF($D89&lt;&gt;1,"",IF($G89="ROKS",SUMIFS(TblApplications[Besoin ROKS RAM (Go)],TblApplications[Cluster ROKS cible],$F89,TblApplications[Action],"À migrer",TblApplications[Déjà incluse ROKS],"Non",TblApplications[Mois prov (calc)],"&lt;="&amp;$E89),SUMIFS(TblApplications[RAM IKS libérable (Go)],TblApplications[Cluster IKS source],$F89,TblApplications[Mois lib (calc)],"&lt;="&amp;$E89)))</f>
        <v>0</v>
      </c>
      <c r="R89" s="19">
        <f t="shared" si="20"/>
        <v>96</v>
      </c>
      <c r="S89" s="19">
        <f t="shared" si="21"/>
        <v>480</v>
      </c>
      <c r="T89" s="19">
        <f t="shared" si="22"/>
        <v>6</v>
      </c>
      <c r="U89" s="19">
        <f t="shared" si="23"/>
        <v>96</v>
      </c>
      <c r="V89" s="19">
        <f t="shared" si="24"/>
        <v>480</v>
      </c>
      <c r="W89" s="73">
        <f t="shared" si="25"/>
        <v>4416</v>
      </c>
      <c r="X89" s="19">
        <f>IF($D89&lt;&gt;1,"",IF($G89="ROKS",$R89,IF($AI89=1,0,MAX($N89,$L89-SUMIFS(TblApplications[CPU IKS libérable (vCPU)],TblApplications[Cluster IKS source],$F89,TblApplications[Action],"À migrer",TblApplications[Mois prov (calc)],"&lt;="&amp;$E89)-SUMIFS(TblApplications[CPU IKS libérable (vCPU)],TblApplications[Cluster IKS source],$F89,TblApplications[Action],"À décommissionner",TblApplications[Mois lib (calc)],"&lt;="&amp;$E89)))))</f>
        <v>96</v>
      </c>
      <c r="Y89" s="19">
        <f>IF($D89&lt;&gt;1,"",IF($G89="ROKS",$S89,IF($AI89=1,0,MAX($O89,$M89-SUMIFS(TblApplications[RAM IKS libérable (Go)],TblApplications[Cluster IKS source],$F89,TblApplications[Action],"À migrer",TblApplications[Mois prov (calc)],"&lt;="&amp;$E89)-SUMIFS(TblApplications[RAM IKS libérable (Go)],TblApplications[Cluster IKS source],$F89,TblApplications[Action],"À décommissionner",TblApplications[Mois lib (calc)],"&lt;="&amp;$E89)))))</f>
        <v>480</v>
      </c>
      <c r="Z89" s="19">
        <f t="shared" si="26"/>
        <v>6</v>
      </c>
      <c r="AA89" s="73">
        <f t="shared" si="27"/>
        <v>4416</v>
      </c>
      <c r="AB89" s="19">
        <f t="shared" si="28"/>
        <v>6</v>
      </c>
      <c r="AC89" s="73">
        <f t="shared" si="29"/>
        <v>4416</v>
      </c>
      <c r="AD89" s="19">
        <f t="shared" si="30"/>
        <v>0</v>
      </c>
      <c r="AE89" s="19">
        <f t="shared" si="31"/>
        <v>0</v>
      </c>
      <c r="AF89" s="19" t="str">
        <f>IF($D89&lt;&gt;1,"",IF(INDEX(TblClusters[Environnement],$B89)="","(vide)",INDEX(TblClusters[Environnement],$B89)))</f>
        <v>NPRD</v>
      </c>
      <c r="AG89" s="19">
        <f t="shared" si="32"/>
        <v>144</v>
      </c>
      <c r="AH89" s="19">
        <f t="shared" si="33"/>
        <v>30.666666666666668</v>
      </c>
      <c r="AI89" s="19">
        <f>IF($D89&lt;&gt;1,"",IF(AND($G89="IKS",ISNUMBER(INDEX(TblClusters[Fermeture retenue],$B89))),IF($E89&gt;=INDEX(TblClusters[Fermeture retenue],$B89),1,0),0))</f>
        <v>0</v>
      </c>
    </row>
    <row r="90" spans="1:35" x14ac:dyDescent="0.2">
      <c r="A90" s="19">
        <v>85</v>
      </c>
      <c r="B90" s="19">
        <f t="shared" si="17"/>
        <v>3</v>
      </c>
      <c r="C90" s="19">
        <f t="shared" si="18"/>
        <v>13</v>
      </c>
      <c r="D90" s="19">
        <f>IF($C90&gt;p_horizon,0,IFERROR(IF(AND(INDEX(TblClusters[Cluster],$B90)&lt;&gt;"",ISNUMBER(INDEX(TblClusters[CPU initial (vCPU)],$B90)),ISNUMBER(INDEX(TblClusters[CPU min (vCPU)],$B90)),OR(INDEX(TblClusters[Plateforme],$B90)="IKS",INDEX(TblClusters[Plateforme],$B90)="ROKS")),1,0),0))</f>
        <v>1</v>
      </c>
      <c r="E90" s="72">
        <f t="shared" si="19"/>
        <v>46661</v>
      </c>
      <c r="F90" s="19" t="str">
        <f>IF($D90=1,INDEX(TblClusters[Cluster],$B90),"")</f>
        <v>oc002i000807</v>
      </c>
      <c r="G90" s="19" t="str">
        <f>IF($D90=1,INDEX(TblClusters[Plateforme],$B90),"")</f>
        <v>ROKS</v>
      </c>
      <c r="H90" s="19">
        <f>IF($D90=1,INDEX(TblClusters[vCPU par nœud],$B90),"")</f>
        <v>16</v>
      </c>
      <c r="I90" s="19">
        <f>IF($D90=1,INDEX(TblClusters[RAM par nœud (Go)],$B90),"")</f>
        <v>80</v>
      </c>
      <c r="J90" s="19">
        <f>IF($D90=1,INDEX(TblClusters[Workers min],$B90),"")</f>
        <v>6</v>
      </c>
      <c r="K90" s="73">
        <f>IF($D90=1,INDEX(TblClusters[Tarif par nœud],$B90),"")</f>
        <v>736</v>
      </c>
      <c r="L90" s="19">
        <f>IF($D90=1,INDEX(TblClusters[CPU initial (vCPU)],$B90),"")</f>
        <v>96</v>
      </c>
      <c r="M90" s="19">
        <f>IF($D90=1,INDEX(TblClusters[RAM initiale (Go)],$B90),"")</f>
        <v>480</v>
      </c>
      <c r="N90" s="19">
        <f>IF($D90=1,INDEX(TblClusters[CPU min (vCPU)],$B90),"")</f>
        <v>96</v>
      </c>
      <c r="O90" s="19">
        <f>IF($D90=1,INDEX(TblClusters[RAM min (Go)],$B90),"")</f>
        <v>480</v>
      </c>
      <c r="P90" s="19">
        <f>IF($D90&lt;&gt;1,"",IF($G90="ROKS",SUMIFS(TblApplications[Besoin ROKS CPU (vCPU)],TblApplications[Cluster ROKS cible],$F90,TblApplications[Action],"À migrer",TblApplications[Déjà incluse ROKS],"Non",TblApplications[Mois prov (calc)],"&lt;="&amp;$E90),SUMIFS(TblApplications[CPU IKS libérable (vCPU)],TblApplications[Cluster IKS source],$F90,TblApplications[Mois lib (calc)],"&lt;="&amp;$E90)))</f>
        <v>0</v>
      </c>
      <c r="Q90" s="19">
        <f>IF($D90&lt;&gt;1,"",IF($G90="ROKS",SUMIFS(TblApplications[Besoin ROKS RAM (Go)],TblApplications[Cluster ROKS cible],$F90,TblApplications[Action],"À migrer",TblApplications[Déjà incluse ROKS],"Non",TblApplications[Mois prov (calc)],"&lt;="&amp;$E90),SUMIFS(TblApplications[RAM IKS libérable (Go)],TblApplications[Cluster IKS source],$F90,TblApplications[Mois lib (calc)],"&lt;="&amp;$E90)))</f>
        <v>0</v>
      </c>
      <c r="R90" s="19">
        <f t="shared" si="20"/>
        <v>96</v>
      </c>
      <c r="S90" s="19">
        <f t="shared" si="21"/>
        <v>480</v>
      </c>
      <c r="T90" s="19">
        <f t="shared" si="22"/>
        <v>6</v>
      </c>
      <c r="U90" s="19">
        <f t="shared" si="23"/>
        <v>96</v>
      </c>
      <c r="V90" s="19">
        <f t="shared" si="24"/>
        <v>480</v>
      </c>
      <c r="W90" s="73">
        <f t="shared" si="25"/>
        <v>4416</v>
      </c>
      <c r="X90" s="19">
        <f>IF($D90&lt;&gt;1,"",IF($G90="ROKS",$R90,IF($AI90=1,0,MAX($N90,$L90-SUMIFS(TblApplications[CPU IKS libérable (vCPU)],TblApplications[Cluster IKS source],$F90,TblApplications[Action],"À migrer",TblApplications[Mois prov (calc)],"&lt;="&amp;$E90)-SUMIFS(TblApplications[CPU IKS libérable (vCPU)],TblApplications[Cluster IKS source],$F90,TblApplications[Action],"À décommissionner",TblApplications[Mois lib (calc)],"&lt;="&amp;$E90)))))</f>
        <v>96</v>
      </c>
      <c r="Y90" s="19">
        <f>IF($D90&lt;&gt;1,"",IF($G90="ROKS",$S90,IF($AI90=1,0,MAX($O90,$M90-SUMIFS(TblApplications[RAM IKS libérable (Go)],TblApplications[Cluster IKS source],$F90,TblApplications[Action],"À migrer",TblApplications[Mois prov (calc)],"&lt;="&amp;$E90)-SUMIFS(TblApplications[RAM IKS libérable (Go)],TblApplications[Cluster IKS source],$F90,TblApplications[Action],"À décommissionner",TblApplications[Mois lib (calc)],"&lt;="&amp;$E90)))))</f>
        <v>480</v>
      </c>
      <c r="Z90" s="19">
        <f t="shared" si="26"/>
        <v>6</v>
      </c>
      <c r="AA90" s="73">
        <f t="shared" si="27"/>
        <v>4416</v>
      </c>
      <c r="AB90" s="19">
        <f t="shared" si="28"/>
        <v>6</v>
      </c>
      <c r="AC90" s="73">
        <f t="shared" si="29"/>
        <v>4416</v>
      </c>
      <c r="AD90" s="19">
        <f t="shared" si="30"/>
        <v>0</v>
      </c>
      <c r="AE90" s="19">
        <f t="shared" si="31"/>
        <v>0</v>
      </c>
      <c r="AF90" s="19" t="str">
        <f>IF($D90&lt;&gt;1,"",IF(INDEX(TblClusters[Environnement],$B90)="","(vide)",INDEX(TblClusters[Environnement],$B90)))</f>
        <v>NPRD</v>
      </c>
      <c r="AG90" s="19">
        <f t="shared" si="32"/>
        <v>144</v>
      </c>
      <c r="AH90" s="19">
        <f t="shared" si="33"/>
        <v>30.666666666666668</v>
      </c>
      <c r="AI90" s="19">
        <f>IF($D90&lt;&gt;1,"",IF(AND($G90="IKS",ISNUMBER(INDEX(TblClusters[Fermeture retenue],$B90))),IF($E90&gt;=INDEX(TblClusters[Fermeture retenue],$B90),1,0),0))</f>
        <v>0</v>
      </c>
    </row>
    <row r="91" spans="1:35" x14ac:dyDescent="0.2">
      <c r="A91" s="19">
        <v>86</v>
      </c>
      <c r="B91" s="19">
        <f t="shared" si="17"/>
        <v>3</v>
      </c>
      <c r="C91" s="19">
        <f t="shared" si="18"/>
        <v>14</v>
      </c>
      <c r="D91" s="19">
        <f>IF($C91&gt;p_horizon,0,IFERROR(IF(AND(INDEX(TblClusters[Cluster],$B91)&lt;&gt;"",ISNUMBER(INDEX(TblClusters[CPU initial (vCPU)],$B91)),ISNUMBER(INDEX(TblClusters[CPU min (vCPU)],$B91)),OR(INDEX(TblClusters[Plateforme],$B91)="IKS",INDEX(TblClusters[Plateforme],$B91)="ROKS")),1,0),0))</f>
        <v>1</v>
      </c>
      <c r="E91" s="72">
        <f t="shared" si="19"/>
        <v>46692</v>
      </c>
      <c r="F91" s="19" t="str">
        <f>IF($D91=1,INDEX(TblClusters[Cluster],$B91),"")</f>
        <v>oc002i000807</v>
      </c>
      <c r="G91" s="19" t="str">
        <f>IF($D91=1,INDEX(TblClusters[Plateforme],$B91),"")</f>
        <v>ROKS</v>
      </c>
      <c r="H91" s="19">
        <f>IF($D91=1,INDEX(TblClusters[vCPU par nœud],$B91),"")</f>
        <v>16</v>
      </c>
      <c r="I91" s="19">
        <f>IF($D91=1,INDEX(TblClusters[RAM par nœud (Go)],$B91),"")</f>
        <v>80</v>
      </c>
      <c r="J91" s="19">
        <f>IF($D91=1,INDEX(TblClusters[Workers min],$B91),"")</f>
        <v>6</v>
      </c>
      <c r="K91" s="73">
        <f>IF($D91=1,INDEX(TblClusters[Tarif par nœud],$B91),"")</f>
        <v>736</v>
      </c>
      <c r="L91" s="19">
        <f>IF($D91=1,INDEX(TblClusters[CPU initial (vCPU)],$B91),"")</f>
        <v>96</v>
      </c>
      <c r="M91" s="19">
        <f>IF($D91=1,INDEX(TblClusters[RAM initiale (Go)],$B91),"")</f>
        <v>480</v>
      </c>
      <c r="N91" s="19">
        <f>IF($D91=1,INDEX(TblClusters[CPU min (vCPU)],$B91),"")</f>
        <v>96</v>
      </c>
      <c r="O91" s="19">
        <f>IF($D91=1,INDEX(TblClusters[RAM min (Go)],$B91),"")</f>
        <v>480</v>
      </c>
      <c r="P91" s="19">
        <f>IF($D91&lt;&gt;1,"",IF($G91="ROKS",SUMIFS(TblApplications[Besoin ROKS CPU (vCPU)],TblApplications[Cluster ROKS cible],$F91,TblApplications[Action],"À migrer",TblApplications[Déjà incluse ROKS],"Non",TblApplications[Mois prov (calc)],"&lt;="&amp;$E91),SUMIFS(TblApplications[CPU IKS libérable (vCPU)],TblApplications[Cluster IKS source],$F91,TblApplications[Mois lib (calc)],"&lt;="&amp;$E91)))</f>
        <v>0</v>
      </c>
      <c r="Q91" s="19">
        <f>IF($D91&lt;&gt;1,"",IF($G91="ROKS",SUMIFS(TblApplications[Besoin ROKS RAM (Go)],TblApplications[Cluster ROKS cible],$F91,TblApplications[Action],"À migrer",TblApplications[Déjà incluse ROKS],"Non",TblApplications[Mois prov (calc)],"&lt;="&amp;$E91),SUMIFS(TblApplications[RAM IKS libérable (Go)],TblApplications[Cluster IKS source],$F91,TblApplications[Mois lib (calc)],"&lt;="&amp;$E91)))</f>
        <v>0</v>
      </c>
      <c r="R91" s="19">
        <f t="shared" si="20"/>
        <v>96</v>
      </c>
      <c r="S91" s="19">
        <f t="shared" si="21"/>
        <v>480</v>
      </c>
      <c r="T91" s="19">
        <f t="shared" si="22"/>
        <v>6</v>
      </c>
      <c r="U91" s="19">
        <f t="shared" si="23"/>
        <v>96</v>
      </c>
      <c r="V91" s="19">
        <f t="shared" si="24"/>
        <v>480</v>
      </c>
      <c r="W91" s="73">
        <f t="shared" si="25"/>
        <v>4416</v>
      </c>
      <c r="X91" s="19">
        <f>IF($D91&lt;&gt;1,"",IF($G91="ROKS",$R91,IF($AI91=1,0,MAX($N91,$L91-SUMIFS(TblApplications[CPU IKS libérable (vCPU)],TblApplications[Cluster IKS source],$F91,TblApplications[Action],"À migrer",TblApplications[Mois prov (calc)],"&lt;="&amp;$E91)-SUMIFS(TblApplications[CPU IKS libérable (vCPU)],TblApplications[Cluster IKS source],$F91,TblApplications[Action],"À décommissionner",TblApplications[Mois lib (calc)],"&lt;="&amp;$E91)))))</f>
        <v>96</v>
      </c>
      <c r="Y91" s="19">
        <f>IF($D91&lt;&gt;1,"",IF($G91="ROKS",$S91,IF($AI91=1,0,MAX($O91,$M91-SUMIFS(TblApplications[RAM IKS libérable (Go)],TblApplications[Cluster IKS source],$F91,TblApplications[Action],"À migrer",TblApplications[Mois prov (calc)],"&lt;="&amp;$E91)-SUMIFS(TblApplications[RAM IKS libérable (Go)],TblApplications[Cluster IKS source],$F91,TblApplications[Action],"À décommissionner",TblApplications[Mois lib (calc)],"&lt;="&amp;$E91)))))</f>
        <v>480</v>
      </c>
      <c r="Z91" s="19">
        <f t="shared" si="26"/>
        <v>6</v>
      </c>
      <c r="AA91" s="73">
        <f t="shared" si="27"/>
        <v>4416</v>
      </c>
      <c r="AB91" s="19">
        <f t="shared" si="28"/>
        <v>6</v>
      </c>
      <c r="AC91" s="73">
        <f t="shared" si="29"/>
        <v>4416</v>
      </c>
      <c r="AD91" s="19">
        <f t="shared" si="30"/>
        <v>0</v>
      </c>
      <c r="AE91" s="19">
        <f t="shared" si="31"/>
        <v>0</v>
      </c>
      <c r="AF91" s="19" t="str">
        <f>IF($D91&lt;&gt;1,"",IF(INDEX(TblClusters[Environnement],$B91)="","(vide)",INDEX(TblClusters[Environnement],$B91)))</f>
        <v>NPRD</v>
      </c>
      <c r="AG91" s="19">
        <f t="shared" si="32"/>
        <v>144</v>
      </c>
      <c r="AH91" s="19">
        <f t="shared" si="33"/>
        <v>30.666666666666668</v>
      </c>
      <c r="AI91" s="19">
        <f>IF($D91&lt;&gt;1,"",IF(AND($G91="IKS",ISNUMBER(INDEX(TblClusters[Fermeture retenue],$B91))),IF($E91&gt;=INDEX(TblClusters[Fermeture retenue],$B91),1,0),0))</f>
        <v>0</v>
      </c>
    </row>
    <row r="92" spans="1:35" x14ac:dyDescent="0.2">
      <c r="A92" s="19">
        <v>87</v>
      </c>
      <c r="B92" s="19">
        <f t="shared" si="17"/>
        <v>3</v>
      </c>
      <c r="C92" s="19">
        <f t="shared" si="18"/>
        <v>15</v>
      </c>
      <c r="D92" s="19">
        <f>IF($C92&gt;p_horizon,0,IFERROR(IF(AND(INDEX(TblClusters[Cluster],$B92)&lt;&gt;"",ISNUMBER(INDEX(TblClusters[CPU initial (vCPU)],$B92)),ISNUMBER(INDEX(TblClusters[CPU min (vCPU)],$B92)),OR(INDEX(TblClusters[Plateforme],$B92)="IKS",INDEX(TblClusters[Plateforme],$B92)="ROKS")),1,0),0))</f>
        <v>1</v>
      </c>
      <c r="E92" s="72">
        <f t="shared" si="19"/>
        <v>46722</v>
      </c>
      <c r="F92" s="19" t="str">
        <f>IF($D92=1,INDEX(TblClusters[Cluster],$B92),"")</f>
        <v>oc002i000807</v>
      </c>
      <c r="G92" s="19" t="str">
        <f>IF($D92=1,INDEX(TblClusters[Plateforme],$B92),"")</f>
        <v>ROKS</v>
      </c>
      <c r="H92" s="19">
        <f>IF($D92=1,INDEX(TblClusters[vCPU par nœud],$B92),"")</f>
        <v>16</v>
      </c>
      <c r="I92" s="19">
        <f>IF($D92=1,INDEX(TblClusters[RAM par nœud (Go)],$B92),"")</f>
        <v>80</v>
      </c>
      <c r="J92" s="19">
        <f>IF($D92=1,INDEX(TblClusters[Workers min],$B92),"")</f>
        <v>6</v>
      </c>
      <c r="K92" s="73">
        <f>IF($D92=1,INDEX(TblClusters[Tarif par nœud],$B92),"")</f>
        <v>736</v>
      </c>
      <c r="L92" s="19">
        <f>IF($D92=1,INDEX(TblClusters[CPU initial (vCPU)],$B92),"")</f>
        <v>96</v>
      </c>
      <c r="M92" s="19">
        <f>IF($D92=1,INDEX(TblClusters[RAM initiale (Go)],$B92),"")</f>
        <v>480</v>
      </c>
      <c r="N92" s="19">
        <f>IF($D92=1,INDEX(TblClusters[CPU min (vCPU)],$B92),"")</f>
        <v>96</v>
      </c>
      <c r="O92" s="19">
        <f>IF($D92=1,INDEX(TblClusters[RAM min (Go)],$B92),"")</f>
        <v>480</v>
      </c>
      <c r="P92" s="19">
        <f>IF($D92&lt;&gt;1,"",IF($G92="ROKS",SUMIFS(TblApplications[Besoin ROKS CPU (vCPU)],TblApplications[Cluster ROKS cible],$F92,TblApplications[Action],"À migrer",TblApplications[Déjà incluse ROKS],"Non",TblApplications[Mois prov (calc)],"&lt;="&amp;$E92),SUMIFS(TblApplications[CPU IKS libérable (vCPU)],TblApplications[Cluster IKS source],$F92,TblApplications[Mois lib (calc)],"&lt;="&amp;$E92)))</f>
        <v>0</v>
      </c>
      <c r="Q92" s="19">
        <f>IF($D92&lt;&gt;1,"",IF($G92="ROKS",SUMIFS(TblApplications[Besoin ROKS RAM (Go)],TblApplications[Cluster ROKS cible],$F92,TblApplications[Action],"À migrer",TblApplications[Déjà incluse ROKS],"Non",TblApplications[Mois prov (calc)],"&lt;="&amp;$E92),SUMIFS(TblApplications[RAM IKS libérable (Go)],TblApplications[Cluster IKS source],$F92,TblApplications[Mois lib (calc)],"&lt;="&amp;$E92)))</f>
        <v>0</v>
      </c>
      <c r="R92" s="19">
        <f t="shared" si="20"/>
        <v>96</v>
      </c>
      <c r="S92" s="19">
        <f t="shared" si="21"/>
        <v>480</v>
      </c>
      <c r="T92" s="19">
        <f t="shared" si="22"/>
        <v>6</v>
      </c>
      <c r="U92" s="19">
        <f t="shared" si="23"/>
        <v>96</v>
      </c>
      <c r="V92" s="19">
        <f t="shared" si="24"/>
        <v>480</v>
      </c>
      <c r="W92" s="73">
        <f t="shared" si="25"/>
        <v>4416</v>
      </c>
      <c r="X92" s="19">
        <f>IF($D92&lt;&gt;1,"",IF($G92="ROKS",$R92,IF($AI92=1,0,MAX($N92,$L92-SUMIFS(TblApplications[CPU IKS libérable (vCPU)],TblApplications[Cluster IKS source],$F92,TblApplications[Action],"À migrer",TblApplications[Mois prov (calc)],"&lt;="&amp;$E92)-SUMIFS(TblApplications[CPU IKS libérable (vCPU)],TblApplications[Cluster IKS source],$F92,TblApplications[Action],"À décommissionner",TblApplications[Mois lib (calc)],"&lt;="&amp;$E92)))))</f>
        <v>96</v>
      </c>
      <c r="Y92" s="19">
        <f>IF($D92&lt;&gt;1,"",IF($G92="ROKS",$S92,IF($AI92=1,0,MAX($O92,$M92-SUMIFS(TblApplications[RAM IKS libérable (Go)],TblApplications[Cluster IKS source],$F92,TblApplications[Action],"À migrer",TblApplications[Mois prov (calc)],"&lt;="&amp;$E92)-SUMIFS(TblApplications[RAM IKS libérable (Go)],TblApplications[Cluster IKS source],$F92,TblApplications[Action],"À décommissionner",TblApplications[Mois lib (calc)],"&lt;="&amp;$E92)))))</f>
        <v>480</v>
      </c>
      <c r="Z92" s="19">
        <f t="shared" si="26"/>
        <v>6</v>
      </c>
      <c r="AA92" s="73">
        <f t="shared" si="27"/>
        <v>4416</v>
      </c>
      <c r="AB92" s="19">
        <f t="shared" si="28"/>
        <v>6</v>
      </c>
      <c r="AC92" s="73">
        <f t="shared" si="29"/>
        <v>4416</v>
      </c>
      <c r="AD92" s="19">
        <f t="shared" si="30"/>
        <v>0</v>
      </c>
      <c r="AE92" s="19">
        <f t="shared" si="31"/>
        <v>0</v>
      </c>
      <c r="AF92" s="19" t="str">
        <f>IF($D92&lt;&gt;1,"",IF(INDEX(TblClusters[Environnement],$B92)="","(vide)",INDEX(TblClusters[Environnement],$B92)))</f>
        <v>NPRD</v>
      </c>
      <c r="AG92" s="19">
        <f t="shared" si="32"/>
        <v>144</v>
      </c>
      <c r="AH92" s="19">
        <f t="shared" si="33"/>
        <v>30.666666666666668</v>
      </c>
      <c r="AI92" s="19">
        <f>IF($D92&lt;&gt;1,"",IF(AND($G92="IKS",ISNUMBER(INDEX(TblClusters[Fermeture retenue],$B92))),IF($E92&gt;=INDEX(TblClusters[Fermeture retenue],$B92),1,0),0))</f>
        <v>0</v>
      </c>
    </row>
    <row r="93" spans="1:35" x14ac:dyDescent="0.2">
      <c r="A93" s="19">
        <v>88</v>
      </c>
      <c r="B93" s="19">
        <f t="shared" si="17"/>
        <v>3</v>
      </c>
      <c r="C93" s="19">
        <f t="shared" si="18"/>
        <v>16</v>
      </c>
      <c r="D93" s="19">
        <f>IF($C93&gt;p_horizon,0,IFERROR(IF(AND(INDEX(TblClusters[Cluster],$B93)&lt;&gt;"",ISNUMBER(INDEX(TblClusters[CPU initial (vCPU)],$B93)),ISNUMBER(INDEX(TblClusters[CPU min (vCPU)],$B93)),OR(INDEX(TblClusters[Plateforme],$B93)="IKS",INDEX(TblClusters[Plateforme],$B93)="ROKS")),1,0),0))</f>
        <v>1</v>
      </c>
      <c r="E93" s="72">
        <f t="shared" si="19"/>
        <v>46753</v>
      </c>
      <c r="F93" s="19" t="str">
        <f>IF($D93=1,INDEX(TblClusters[Cluster],$B93),"")</f>
        <v>oc002i000807</v>
      </c>
      <c r="G93" s="19" t="str">
        <f>IF($D93=1,INDEX(TblClusters[Plateforme],$B93),"")</f>
        <v>ROKS</v>
      </c>
      <c r="H93" s="19">
        <f>IF($D93=1,INDEX(TblClusters[vCPU par nœud],$B93),"")</f>
        <v>16</v>
      </c>
      <c r="I93" s="19">
        <f>IF($D93=1,INDEX(TblClusters[RAM par nœud (Go)],$B93),"")</f>
        <v>80</v>
      </c>
      <c r="J93" s="19">
        <f>IF($D93=1,INDEX(TblClusters[Workers min],$B93),"")</f>
        <v>6</v>
      </c>
      <c r="K93" s="73">
        <f>IF($D93=1,INDEX(TblClusters[Tarif par nœud],$B93),"")</f>
        <v>736</v>
      </c>
      <c r="L93" s="19">
        <f>IF($D93=1,INDEX(TblClusters[CPU initial (vCPU)],$B93),"")</f>
        <v>96</v>
      </c>
      <c r="M93" s="19">
        <f>IF($D93=1,INDEX(TblClusters[RAM initiale (Go)],$B93),"")</f>
        <v>480</v>
      </c>
      <c r="N93" s="19">
        <f>IF($D93=1,INDEX(TblClusters[CPU min (vCPU)],$B93),"")</f>
        <v>96</v>
      </c>
      <c r="O93" s="19">
        <f>IF($D93=1,INDEX(TblClusters[RAM min (Go)],$B93),"")</f>
        <v>480</v>
      </c>
      <c r="P93" s="19">
        <f>IF($D93&lt;&gt;1,"",IF($G93="ROKS",SUMIFS(TblApplications[Besoin ROKS CPU (vCPU)],TblApplications[Cluster ROKS cible],$F93,TblApplications[Action],"À migrer",TblApplications[Déjà incluse ROKS],"Non",TblApplications[Mois prov (calc)],"&lt;="&amp;$E93),SUMIFS(TblApplications[CPU IKS libérable (vCPU)],TblApplications[Cluster IKS source],$F93,TblApplications[Mois lib (calc)],"&lt;="&amp;$E93)))</f>
        <v>0</v>
      </c>
      <c r="Q93" s="19">
        <f>IF($D93&lt;&gt;1,"",IF($G93="ROKS",SUMIFS(TblApplications[Besoin ROKS RAM (Go)],TblApplications[Cluster ROKS cible],$F93,TblApplications[Action],"À migrer",TblApplications[Déjà incluse ROKS],"Non",TblApplications[Mois prov (calc)],"&lt;="&amp;$E93),SUMIFS(TblApplications[RAM IKS libérable (Go)],TblApplications[Cluster IKS source],$F93,TblApplications[Mois lib (calc)],"&lt;="&amp;$E93)))</f>
        <v>0</v>
      </c>
      <c r="R93" s="19">
        <f t="shared" si="20"/>
        <v>96</v>
      </c>
      <c r="S93" s="19">
        <f t="shared" si="21"/>
        <v>480</v>
      </c>
      <c r="T93" s="19">
        <f t="shared" si="22"/>
        <v>6</v>
      </c>
      <c r="U93" s="19">
        <f t="shared" si="23"/>
        <v>96</v>
      </c>
      <c r="V93" s="19">
        <f t="shared" si="24"/>
        <v>480</v>
      </c>
      <c r="W93" s="73">
        <f t="shared" si="25"/>
        <v>4416</v>
      </c>
      <c r="X93" s="19">
        <f>IF($D93&lt;&gt;1,"",IF($G93="ROKS",$R93,IF($AI93=1,0,MAX($N93,$L93-SUMIFS(TblApplications[CPU IKS libérable (vCPU)],TblApplications[Cluster IKS source],$F93,TblApplications[Action],"À migrer",TblApplications[Mois prov (calc)],"&lt;="&amp;$E93)-SUMIFS(TblApplications[CPU IKS libérable (vCPU)],TblApplications[Cluster IKS source],$F93,TblApplications[Action],"À décommissionner",TblApplications[Mois lib (calc)],"&lt;="&amp;$E93)))))</f>
        <v>96</v>
      </c>
      <c r="Y93" s="19">
        <f>IF($D93&lt;&gt;1,"",IF($G93="ROKS",$S93,IF($AI93=1,0,MAX($O93,$M93-SUMIFS(TblApplications[RAM IKS libérable (Go)],TblApplications[Cluster IKS source],$F93,TblApplications[Action],"À migrer",TblApplications[Mois prov (calc)],"&lt;="&amp;$E93)-SUMIFS(TblApplications[RAM IKS libérable (Go)],TblApplications[Cluster IKS source],$F93,TblApplications[Action],"À décommissionner",TblApplications[Mois lib (calc)],"&lt;="&amp;$E93)))))</f>
        <v>480</v>
      </c>
      <c r="Z93" s="19">
        <f t="shared" si="26"/>
        <v>6</v>
      </c>
      <c r="AA93" s="73">
        <f t="shared" si="27"/>
        <v>4416</v>
      </c>
      <c r="AB93" s="19">
        <f t="shared" si="28"/>
        <v>6</v>
      </c>
      <c r="AC93" s="73">
        <f t="shared" si="29"/>
        <v>4416</v>
      </c>
      <c r="AD93" s="19">
        <f t="shared" si="30"/>
        <v>0</v>
      </c>
      <c r="AE93" s="19">
        <f t="shared" si="31"/>
        <v>0</v>
      </c>
      <c r="AF93" s="19" t="str">
        <f>IF($D93&lt;&gt;1,"",IF(INDEX(TblClusters[Environnement],$B93)="","(vide)",INDEX(TblClusters[Environnement],$B93)))</f>
        <v>NPRD</v>
      </c>
      <c r="AG93" s="19">
        <f t="shared" si="32"/>
        <v>144</v>
      </c>
      <c r="AH93" s="19">
        <f t="shared" si="33"/>
        <v>30.666666666666668</v>
      </c>
      <c r="AI93" s="19">
        <f>IF($D93&lt;&gt;1,"",IF(AND($G93="IKS",ISNUMBER(INDEX(TblClusters[Fermeture retenue],$B93))),IF($E93&gt;=INDEX(TblClusters[Fermeture retenue],$B93),1,0),0))</f>
        <v>0</v>
      </c>
    </row>
    <row r="94" spans="1:35" x14ac:dyDescent="0.2">
      <c r="A94" s="19">
        <v>89</v>
      </c>
      <c r="B94" s="19">
        <f t="shared" si="17"/>
        <v>3</v>
      </c>
      <c r="C94" s="19">
        <f t="shared" si="18"/>
        <v>17</v>
      </c>
      <c r="D94" s="19">
        <f>IF($C94&gt;p_horizon,0,IFERROR(IF(AND(INDEX(TblClusters[Cluster],$B94)&lt;&gt;"",ISNUMBER(INDEX(TblClusters[CPU initial (vCPU)],$B94)),ISNUMBER(INDEX(TblClusters[CPU min (vCPU)],$B94)),OR(INDEX(TblClusters[Plateforme],$B94)="IKS",INDEX(TblClusters[Plateforme],$B94)="ROKS")),1,0),0))</f>
        <v>1</v>
      </c>
      <c r="E94" s="72">
        <f t="shared" si="19"/>
        <v>46784</v>
      </c>
      <c r="F94" s="19" t="str">
        <f>IF($D94=1,INDEX(TblClusters[Cluster],$B94),"")</f>
        <v>oc002i000807</v>
      </c>
      <c r="G94" s="19" t="str">
        <f>IF($D94=1,INDEX(TblClusters[Plateforme],$B94),"")</f>
        <v>ROKS</v>
      </c>
      <c r="H94" s="19">
        <f>IF($D94=1,INDEX(TblClusters[vCPU par nœud],$B94),"")</f>
        <v>16</v>
      </c>
      <c r="I94" s="19">
        <f>IF($D94=1,INDEX(TblClusters[RAM par nœud (Go)],$B94),"")</f>
        <v>80</v>
      </c>
      <c r="J94" s="19">
        <f>IF($D94=1,INDEX(TblClusters[Workers min],$B94),"")</f>
        <v>6</v>
      </c>
      <c r="K94" s="73">
        <f>IF($D94=1,INDEX(TblClusters[Tarif par nœud],$B94),"")</f>
        <v>736</v>
      </c>
      <c r="L94" s="19">
        <f>IF($D94=1,INDEX(TblClusters[CPU initial (vCPU)],$B94),"")</f>
        <v>96</v>
      </c>
      <c r="M94" s="19">
        <f>IF($D94=1,INDEX(TblClusters[RAM initiale (Go)],$B94),"")</f>
        <v>480</v>
      </c>
      <c r="N94" s="19">
        <f>IF($D94=1,INDEX(TblClusters[CPU min (vCPU)],$B94),"")</f>
        <v>96</v>
      </c>
      <c r="O94" s="19">
        <f>IF($D94=1,INDEX(TblClusters[RAM min (Go)],$B94),"")</f>
        <v>480</v>
      </c>
      <c r="P94" s="19">
        <f>IF($D94&lt;&gt;1,"",IF($G94="ROKS",SUMIFS(TblApplications[Besoin ROKS CPU (vCPU)],TblApplications[Cluster ROKS cible],$F94,TblApplications[Action],"À migrer",TblApplications[Déjà incluse ROKS],"Non",TblApplications[Mois prov (calc)],"&lt;="&amp;$E94),SUMIFS(TblApplications[CPU IKS libérable (vCPU)],TblApplications[Cluster IKS source],$F94,TblApplications[Mois lib (calc)],"&lt;="&amp;$E94)))</f>
        <v>0</v>
      </c>
      <c r="Q94" s="19">
        <f>IF($D94&lt;&gt;1,"",IF($G94="ROKS",SUMIFS(TblApplications[Besoin ROKS RAM (Go)],TblApplications[Cluster ROKS cible],$F94,TblApplications[Action],"À migrer",TblApplications[Déjà incluse ROKS],"Non",TblApplications[Mois prov (calc)],"&lt;="&amp;$E94),SUMIFS(TblApplications[RAM IKS libérable (Go)],TblApplications[Cluster IKS source],$F94,TblApplications[Mois lib (calc)],"&lt;="&amp;$E94)))</f>
        <v>0</v>
      </c>
      <c r="R94" s="19">
        <f t="shared" si="20"/>
        <v>96</v>
      </c>
      <c r="S94" s="19">
        <f t="shared" si="21"/>
        <v>480</v>
      </c>
      <c r="T94" s="19">
        <f t="shared" si="22"/>
        <v>6</v>
      </c>
      <c r="U94" s="19">
        <f t="shared" si="23"/>
        <v>96</v>
      </c>
      <c r="V94" s="19">
        <f t="shared" si="24"/>
        <v>480</v>
      </c>
      <c r="W94" s="73">
        <f t="shared" si="25"/>
        <v>4416</v>
      </c>
      <c r="X94" s="19">
        <f>IF($D94&lt;&gt;1,"",IF($G94="ROKS",$R94,IF($AI94=1,0,MAX($N94,$L94-SUMIFS(TblApplications[CPU IKS libérable (vCPU)],TblApplications[Cluster IKS source],$F94,TblApplications[Action],"À migrer",TblApplications[Mois prov (calc)],"&lt;="&amp;$E94)-SUMIFS(TblApplications[CPU IKS libérable (vCPU)],TblApplications[Cluster IKS source],$F94,TblApplications[Action],"À décommissionner",TblApplications[Mois lib (calc)],"&lt;="&amp;$E94)))))</f>
        <v>96</v>
      </c>
      <c r="Y94" s="19">
        <f>IF($D94&lt;&gt;1,"",IF($G94="ROKS",$S94,IF($AI94=1,0,MAX($O94,$M94-SUMIFS(TblApplications[RAM IKS libérable (Go)],TblApplications[Cluster IKS source],$F94,TblApplications[Action],"À migrer",TblApplications[Mois prov (calc)],"&lt;="&amp;$E94)-SUMIFS(TblApplications[RAM IKS libérable (Go)],TblApplications[Cluster IKS source],$F94,TblApplications[Action],"À décommissionner",TblApplications[Mois lib (calc)],"&lt;="&amp;$E94)))))</f>
        <v>480</v>
      </c>
      <c r="Z94" s="19">
        <f t="shared" si="26"/>
        <v>6</v>
      </c>
      <c r="AA94" s="73">
        <f t="shared" si="27"/>
        <v>4416</v>
      </c>
      <c r="AB94" s="19">
        <f t="shared" si="28"/>
        <v>6</v>
      </c>
      <c r="AC94" s="73">
        <f t="shared" si="29"/>
        <v>4416</v>
      </c>
      <c r="AD94" s="19">
        <f t="shared" si="30"/>
        <v>0</v>
      </c>
      <c r="AE94" s="19">
        <f t="shared" si="31"/>
        <v>0</v>
      </c>
      <c r="AF94" s="19" t="str">
        <f>IF($D94&lt;&gt;1,"",IF(INDEX(TblClusters[Environnement],$B94)="","(vide)",INDEX(TblClusters[Environnement],$B94)))</f>
        <v>NPRD</v>
      </c>
      <c r="AG94" s="19">
        <f t="shared" si="32"/>
        <v>144</v>
      </c>
      <c r="AH94" s="19">
        <f t="shared" si="33"/>
        <v>30.666666666666668</v>
      </c>
      <c r="AI94" s="19">
        <f>IF($D94&lt;&gt;1,"",IF(AND($G94="IKS",ISNUMBER(INDEX(TblClusters[Fermeture retenue],$B94))),IF($E94&gt;=INDEX(TblClusters[Fermeture retenue],$B94),1,0),0))</f>
        <v>0</v>
      </c>
    </row>
    <row r="95" spans="1:35" x14ac:dyDescent="0.2">
      <c r="A95" s="19">
        <v>90</v>
      </c>
      <c r="B95" s="19">
        <f t="shared" si="17"/>
        <v>3</v>
      </c>
      <c r="C95" s="19">
        <f t="shared" si="18"/>
        <v>18</v>
      </c>
      <c r="D95" s="19">
        <f>IF($C95&gt;p_horizon,0,IFERROR(IF(AND(INDEX(TblClusters[Cluster],$B95)&lt;&gt;"",ISNUMBER(INDEX(TblClusters[CPU initial (vCPU)],$B95)),ISNUMBER(INDEX(TblClusters[CPU min (vCPU)],$B95)),OR(INDEX(TblClusters[Plateforme],$B95)="IKS",INDEX(TblClusters[Plateforme],$B95)="ROKS")),1,0),0))</f>
        <v>1</v>
      </c>
      <c r="E95" s="72">
        <f t="shared" si="19"/>
        <v>46813</v>
      </c>
      <c r="F95" s="19" t="str">
        <f>IF($D95=1,INDEX(TblClusters[Cluster],$B95),"")</f>
        <v>oc002i000807</v>
      </c>
      <c r="G95" s="19" t="str">
        <f>IF($D95=1,INDEX(TblClusters[Plateforme],$B95),"")</f>
        <v>ROKS</v>
      </c>
      <c r="H95" s="19">
        <f>IF($D95=1,INDEX(TblClusters[vCPU par nœud],$B95),"")</f>
        <v>16</v>
      </c>
      <c r="I95" s="19">
        <f>IF($D95=1,INDEX(TblClusters[RAM par nœud (Go)],$B95),"")</f>
        <v>80</v>
      </c>
      <c r="J95" s="19">
        <f>IF($D95=1,INDEX(TblClusters[Workers min],$B95),"")</f>
        <v>6</v>
      </c>
      <c r="K95" s="73">
        <f>IF($D95=1,INDEX(TblClusters[Tarif par nœud],$B95),"")</f>
        <v>736</v>
      </c>
      <c r="L95" s="19">
        <f>IF($D95=1,INDEX(TblClusters[CPU initial (vCPU)],$B95),"")</f>
        <v>96</v>
      </c>
      <c r="M95" s="19">
        <f>IF($D95=1,INDEX(TblClusters[RAM initiale (Go)],$B95),"")</f>
        <v>480</v>
      </c>
      <c r="N95" s="19">
        <f>IF($D95=1,INDEX(TblClusters[CPU min (vCPU)],$B95),"")</f>
        <v>96</v>
      </c>
      <c r="O95" s="19">
        <f>IF($D95=1,INDEX(TblClusters[RAM min (Go)],$B95),"")</f>
        <v>480</v>
      </c>
      <c r="P95" s="19">
        <f>IF($D95&lt;&gt;1,"",IF($G95="ROKS",SUMIFS(TblApplications[Besoin ROKS CPU (vCPU)],TblApplications[Cluster ROKS cible],$F95,TblApplications[Action],"À migrer",TblApplications[Déjà incluse ROKS],"Non",TblApplications[Mois prov (calc)],"&lt;="&amp;$E95),SUMIFS(TblApplications[CPU IKS libérable (vCPU)],TblApplications[Cluster IKS source],$F95,TblApplications[Mois lib (calc)],"&lt;="&amp;$E95)))</f>
        <v>0</v>
      </c>
      <c r="Q95" s="19">
        <f>IF($D95&lt;&gt;1,"",IF($G95="ROKS",SUMIFS(TblApplications[Besoin ROKS RAM (Go)],TblApplications[Cluster ROKS cible],$F95,TblApplications[Action],"À migrer",TblApplications[Déjà incluse ROKS],"Non",TblApplications[Mois prov (calc)],"&lt;="&amp;$E95),SUMIFS(TblApplications[RAM IKS libérable (Go)],TblApplications[Cluster IKS source],$F95,TblApplications[Mois lib (calc)],"&lt;="&amp;$E95)))</f>
        <v>0</v>
      </c>
      <c r="R95" s="19">
        <f t="shared" si="20"/>
        <v>96</v>
      </c>
      <c r="S95" s="19">
        <f t="shared" si="21"/>
        <v>480</v>
      </c>
      <c r="T95" s="19">
        <f t="shared" si="22"/>
        <v>6</v>
      </c>
      <c r="U95" s="19">
        <f t="shared" si="23"/>
        <v>96</v>
      </c>
      <c r="V95" s="19">
        <f t="shared" si="24"/>
        <v>480</v>
      </c>
      <c r="W95" s="73">
        <f t="shared" si="25"/>
        <v>4416</v>
      </c>
      <c r="X95" s="19">
        <f>IF($D95&lt;&gt;1,"",IF($G95="ROKS",$R95,IF($AI95=1,0,MAX($N95,$L95-SUMIFS(TblApplications[CPU IKS libérable (vCPU)],TblApplications[Cluster IKS source],$F95,TblApplications[Action],"À migrer",TblApplications[Mois prov (calc)],"&lt;="&amp;$E95)-SUMIFS(TblApplications[CPU IKS libérable (vCPU)],TblApplications[Cluster IKS source],$F95,TblApplications[Action],"À décommissionner",TblApplications[Mois lib (calc)],"&lt;="&amp;$E95)))))</f>
        <v>96</v>
      </c>
      <c r="Y95" s="19">
        <f>IF($D95&lt;&gt;1,"",IF($G95="ROKS",$S95,IF($AI95=1,0,MAX($O95,$M95-SUMIFS(TblApplications[RAM IKS libérable (Go)],TblApplications[Cluster IKS source],$F95,TblApplications[Action],"À migrer",TblApplications[Mois prov (calc)],"&lt;="&amp;$E95)-SUMIFS(TblApplications[RAM IKS libérable (Go)],TblApplications[Cluster IKS source],$F95,TblApplications[Action],"À décommissionner",TblApplications[Mois lib (calc)],"&lt;="&amp;$E95)))))</f>
        <v>480</v>
      </c>
      <c r="Z95" s="19">
        <f t="shared" si="26"/>
        <v>6</v>
      </c>
      <c r="AA95" s="73">
        <f t="shared" si="27"/>
        <v>4416</v>
      </c>
      <c r="AB95" s="19">
        <f t="shared" si="28"/>
        <v>6</v>
      </c>
      <c r="AC95" s="73">
        <f t="shared" si="29"/>
        <v>4416</v>
      </c>
      <c r="AD95" s="19">
        <f t="shared" si="30"/>
        <v>0</v>
      </c>
      <c r="AE95" s="19">
        <f t="shared" si="31"/>
        <v>0</v>
      </c>
      <c r="AF95" s="19" t="str">
        <f>IF($D95&lt;&gt;1,"",IF(INDEX(TblClusters[Environnement],$B95)="","(vide)",INDEX(TblClusters[Environnement],$B95)))</f>
        <v>NPRD</v>
      </c>
      <c r="AG95" s="19">
        <f t="shared" si="32"/>
        <v>144</v>
      </c>
      <c r="AH95" s="19">
        <f t="shared" si="33"/>
        <v>30.666666666666668</v>
      </c>
      <c r="AI95" s="19">
        <f>IF($D95&lt;&gt;1,"",IF(AND($G95="IKS",ISNUMBER(INDEX(TblClusters[Fermeture retenue],$B95))),IF($E95&gt;=INDEX(TblClusters[Fermeture retenue],$B95),1,0),0))</f>
        <v>0</v>
      </c>
    </row>
    <row r="96" spans="1:35" x14ac:dyDescent="0.2">
      <c r="A96" s="19">
        <v>91</v>
      </c>
      <c r="B96" s="19">
        <f t="shared" si="17"/>
        <v>3</v>
      </c>
      <c r="C96" s="19">
        <f t="shared" si="18"/>
        <v>19</v>
      </c>
      <c r="D96" s="19">
        <f>IF($C96&gt;p_horizon,0,IFERROR(IF(AND(INDEX(TblClusters[Cluster],$B96)&lt;&gt;"",ISNUMBER(INDEX(TblClusters[CPU initial (vCPU)],$B96)),ISNUMBER(INDEX(TblClusters[CPU min (vCPU)],$B96)),OR(INDEX(TblClusters[Plateforme],$B96)="IKS",INDEX(TblClusters[Plateforme],$B96)="ROKS")),1,0),0))</f>
        <v>1</v>
      </c>
      <c r="E96" s="72">
        <f t="shared" si="19"/>
        <v>46844</v>
      </c>
      <c r="F96" s="19" t="str">
        <f>IF($D96=1,INDEX(TblClusters[Cluster],$B96),"")</f>
        <v>oc002i000807</v>
      </c>
      <c r="G96" s="19" t="str">
        <f>IF($D96=1,INDEX(TblClusters[Plateforme],$B96),"")</f>
        <v>ROKS</v>
      </c>
      <c r="H96" s="19">
        <f>IF($D96=1,INDEX(TblClusters[vCPU par nœud],$B96),"")</f>
        <v>16</v>
      </c>
      <c r="I96" s="19">
        <f>IF($D96=1,INDEX(TblClusters[RAM par nœud (Go)],$B96),"")</f>
        <v>80</v>
      </c>
      <c r="J96" s="19">
        <f>IF($D96=1,INDEX(TblClusters[Workers min],$B96),"")</f>
        <v>6</v>
      </c>
      <c r="K96" s="73">
        <f>IF($D96=1,INDEX(TblClusters[Tarif par nœud],$B96),"")</f>
        <v>736</v>
      </c>
      <c r="L96" s="19">
        <f>IF($D96=1,INDEX(TblClusters[CPU initial (vCPU)],$B96),"")</f>
        <v>96</v>
      </c>
      <c r="M96" s="19">
        <f>IF($D96=1,INDEX(TblClusters[RAM initiale (Go)],$B96),"")</f>
        <v>480</v>
      </c>
      <c r="N96" s="19">
        <f>IF($D96=1,INDEX(TblClusters[CPU min (vCPU)],$B96),"")</f>
        <v>96</v>
      </c>
      <c r="O96" s="19">
        <f>IF($D96=1,INDEX(TblClusters[RAM min (Go)],$B96),"")</f>
        <v>480</v>
      </c>
      <c r="P96" s="19">
        <f>IF($D96&lt;&gt;1,"",IF($G96="ROKS",SUMIFS(TblApplications[Besoin ROKS CPU (vCPU)],TblApplications[Cluster ROKS cible],$F96,TblApplications[Action],"À migrer",TblApplications[Déjà incluse ROKS],"Non",TblApplications[Mois prov (calc)],"&lt;="&amp;$E96),SUMIFS(TblApplications[CPU IKS libérable (vCPU)],TblApplications[Cluster IKS source],$F96,TblApplications[Mois lib (calc)],"&lt;="&amp;$E96)))</f>
        <v>0</v>
      </c>
      <c r="Q96" s="19">
        <f>IF($D96&lt;&gt;1,"",IF($G96="ROKS",SUMIFS(TblApplications[Besoin ROKS RAM (Go)],TblApplications[Cluster ROKS cible],$F96,TblApplications[Action],"À migrer",TblApplications[Déjà incluse ROKS],"Non",TblApplications[Mois prov (calc)],"&lt;="&amp;$E96),SUMIFS(TblApplications[RAM IKS libérable (Go)],TblApplications[Cluster IKS source],$F96,TblApplications[Mois lib (calc)],"&lt;="&amp;$E96)))</f>
        <v>0</v>
      </c>
      <c r="R96" s="19">
        <f t="shared" si="20"/>
        <v>96</v>
      </c>
      <c r="S96" s="19">
        <f t="shared" si="21"/>
        <v>480</v>
      </c>
      <c r="T96" s="19">
        <f t="shared" si="22"/>
        <v>6</v>
      </c>
      <c r="U96" s="19">
        <f t="shared" si="23"/>
        <v>96</v>
      </c>
      <c r="V96" s="19">
        <f t="shared" si="24"/>
        <v>480</v>
      </c>
      <c r="W96" s="73">
        <f t="shared" si="25"/>
        <v>4416</v>
      </c>
      <c r="X96" s="19">
        <f>IF($D96&lt;&gt;1,"",IF($G96="ROKS",$R96,IF($AI96=1,0,MAX($N96,$L96-SUMIFS(TblApplications[CPU IKS libérable (vCPU)],TblApplications[Cluster IKS source],$F96,TblApplications[Action],"À migrer",TblApplications[Mois prov (calc)],"&lt;="&amp;$E96)-SUMIFS(TblApplications[CPU IKS libérable (vCPU)],TblApplications[Cluster IKS source],$F96,TblApplications[Action],"À décommissionner",TblApplications[Mois lib (calc)],"&lt;="&amp;$E96)))))</f>
        <v>96</v>
      </c>
      <c r="Y96" s="19">
        <f>IF($D96&lt;&gt;1,"",IF($G96="ROKS",$S96,IF($AI96=1,0,MAX($O96,$M96-SUMIFS(TblApplications[RAM IKS libérable (Go)],TblApplications[Cluster IKS source],$F96,TblApplications[Action],"À migrer",TblApplications[Mois prov (calc)],"&lt;="&amp;$E96)-SUMIFS(TblApplications[RAM IKS libérable (Go)],TblApplications[Cluster IKS source],$F96,TblApplications[Action],"À décommissionner",TblApplications[Mois lib (calc)],"&lt;="&amp;$E96)))))</f>
        <v>480</v>
      </c>
      <c r="Z96" s="19">
        <f t="shared" si="26"/>
        <v>6</v>
      </c>
      <c r="AA96" s="73">
        <f t="shared" si="27"/>
        <v>4416</v>
      </c>
      <c r="AB96" s="19">
        <f t="shared" si="28"/>
        <v>6</v>
      </c>
      <c r="AC96" s="73">
        <f t="shared" si="29"/>
        <v>4416</v>
      </c>
      <c r="AD96" s="19">
        <f t="shared" si="30"/>
        <v>0</v>
      </c>
      <c r="AE96" s="19">
        <f t="shared" si="31"/>
        <v>0</v>
      </c>
      <c r="AF96" s="19" t="str">
        <f>IF($D96&lt;&gt;1,"",IF(INDEX(TblClusters[Environnement],$B96)="","(vide)",INDEX(TblClusters[Environnement],$B96)))</f>
        <v>NPRD</v>
      </c>
      <c r="AG96" s="19">
        <f t="shared" si="32"/>
        <v>144</v>
      </c>
      <c r="AH96" s="19">
        <f t="shared" si="33"/>
        <v>30.666666666666668</v>
      </c>
      <c r="AI96" s="19">
        <f>IF($D96&lt;&gt;1,"",IF(AND($G96="IKS",ISNUMBER(INDEX(TblClusters[Fermeture retenue],$B96))),IF($E96&gt;=INDEX(TblClusters[Fermeture retenue],$B96),1,0),0))</f>
        <v>0</v>
      </c>
    </row>
    <row r="97" spans="1:35" x14ac:dyDescent="0.2">
      <c r="A97" s="19">
        <v>92</v>
      </c>
      <c r="B97" s="19">
        <f t="shared" si="17"/>
        <v>3</v>
      </c>
      <c r="C97" s="19">
        <f t="shared" si="18"/>
        <v>20</v>
      </c>
      <c r="D97" s="19">
        <f>IF($C97&gt;p_horizon,0,IFERROR(IF(AND(INDEX(TblClusters[Cluster],$B97)&lt;&gt;"",ISNUMBER(INDEX(TblClusters[CPU initial (vCPU)],$B97)),ISNUMBER(INDEX(TblClusters[CPU min (vCPU)],$B97)),OR(INDEX(TblClusters[Plateforme],$B97)="IKS",INDEX(TblClusters[Plateforme],$B97)="ROKS")),1,0),0))</f>
        <v>1</v>
      </c>
      <c r="E97" s="72">
        <f t="shared" si="19"/>
        <v>46874</v>
      </c>
      <c r="F97" s="19" t="str">
        <f>IF($D97=1,INDEX(TblClusters[Cluster],$B97),"")</f>
        <v>oc002i000807</v>
      </c>
      <c r="G97" s="19" t="str">
        <f>IF($D97=1,INDEX(TblClusters[Plateforme],$B97),"")</f>
        <v>ROKS</v>
      </c>
      <c r="H97" s="19">
        <f>IF($D97=1,INDEX(TblClusters[vCPU par nœud],$B97),"")</f>
        <v>16</v>
      </c>
      <c r="I97" s="19">
        <f>IF($D97=1,INDEX(TblClusters[RAM par nœud (Go)],$B97),"")</f>
        <v>80</v>
      </c>
      <c r="J97" s="19">
        <f>IF($D97=1,INDEX(TblClusters[Workers min],$B97),"")</f>
        <v>6</v>
      </c>
      <c r="K97" s="73">
        <f>IF($D97=1,INDEX(TblClusters[Tarif par nœud],$B97),"")</f>
        <v>736</v>
      </c>
      <c r="L97" s="19">
        <f>IF($D97=1,INDEX(TblClusters[CPU initial (vCPU)],$B97),"")</f>
        <v>96</v>
      </c>
      <c r="M97" s="19">
        <f>IF($D97=1,INDEX(TblClusters[RAM initiale (Go)],$B97),"")</f>
        <v>480</v>
      </c>
      <c r="N97" s="19">
        <f>IF($D97=1,INDEX(TblClusters[CPU min (vCPU)],$B97),"")</f>
        <v>96</v>
      </c>
      <c r="O97" s="19">
        <f>IF($D97=1,INDEX(TblClusters[RAM min (Go)],$B97),"")</f>
        <v>480</v>
      </c>
      <c r="P97" s="19">
        <f>IF($D97&lt;&gt;1,"",IF($G97="ROKS",SUMIFS(TblApplications[Besoin ROKS CPU (vCPU)],TblApplications[Cluster ROKS cible],$F97,TblApplications[Action],"À migrer",TblApplications[Déjà incluse ROKS],"Non",TblApplications[Mois prov (calc)],"&lt;="&amp;$E97),SUMIFS(TblApplications[CPU IKS libérable (vCPU)],TblApplications[Cluster IKS source],$F97,TblApplications[Mois lib (calc)],"&lt;="&amp;$E97)))</f>
        <v>0</v>
      </c>
      <c r="Q97" s="19">
        <f>IF($D97&lt;&gt;1,"",IF($G97="ROKS",SUMIFS(TblApplications[Besoin ROKS RAM (Go)],TblApplications[Cluster ROKS cible],$F97,TblApplications[Action],"À migrer",TblApplications[Déjà incluse ROKS],"Non",TblApplications[Mois prov (calc)],"&lt;="&amp;$E97),SUMIFS(TblApplications[RAM IKS libérable (Go)],TblApplications[Cluster IKS source],$F97,TblApplications[Mois lib (calc)],"&lt;="&amp;$E97)))</f>
        <v>0</v>
      </c>
      <c r="R97" s="19">
        <f t="shared" si="20"/>
        <v>96</v>
      </c>
      <c r="S97" s="19">
        <f t="shared" si="21"/>
        <v>480</v>
      </c>
      <c r="T97" s="19">
        <f t="shared" si="22"/>
        <v>6</v>
      </c>
      <c r="U97" s="19">
        <f t="shared" si="23"/>
        <v>96</v>
      </c>
      <c r="V97" s="19">
        <f t="shared" si="24"/>
        <v>480</v>
      </c>
      <c r="W97" s="73">
        <f t="shared" si="25"/>
        <v>4416</v>
      </c>
      <c r="X97" s="19">
        <f>IF($D97&lt;&gt;1,"",IF($G97="ROKS",$R97,IF($AI97=1,0,MAX($N97,$L97-SUMIFS(TblApplications[CPU IKS libérable (vCPU)],TblApplications[Cluster IKS source],$F97,TblApplications[Action],"À migrer",TblApplications[Mois prov (calc)],"&lt;="&amp;$E97)-SUMIFS(TblApplications[CPU IKS libérable (vCPU)],TblApplications[Cluster IKS source],$F97,TblApplications[Action],"À décommissionner",TblApplications[Mois lib (calc)],"&lt;="&amp;$E97)))))</f>
        <v>96</v>
      </c>
      <c r="Y97" s="19">
        <f>IF($D97&lt;&gt;1,"",IF($G97="ROKS",$S97,IF($AI97=1,0,MAX($O97,$M97-SUMIFS(TblApplications[RAM IKS libérable (Go)],TblApplications[Cluster IKS source],$F97,TblApplications[Action],"À migrer",TblApplications[Mois prov (calc)],"&lt;="&amp;$E97)-SUMIFS(TblApplications[RAM IKS libérable (Go)],TblApplications[Cluster IKS source],$F97,TblApplications[Action],"À décommissionner",TblApplications[Mois lib (calc)],"&lt;="&amp;$E97)))))</f>
        <v>480</v>
      </c>
      <c r="Z97" s="19">
        <f t="shared" si="26"/>
        <v>6</v>
      </c>
      <c r="AA97" s="73">
        <f t="shared" si="27"/>
        <v>4416</v>
      </c>
      <c r="AB97" s="19">
        <f t="shared" si="28"/>
        <v>6</v>
      </c>
      <c r="AC97" s="73">
        <f t="shared" si="29"/>
        <v>4416</v>
      </c>
      <c r="AD97" s="19">
        <f t="shared" si="30"/>
        <v>0</v>
      </c>
      <c r="AE97" s="19">
        <f t="shared" si="31"/>
        <v>0</v>
      </c>
      <c r="AF97" s="19" t="str">
        <f>IF($D97&lt;&gt;1,"",IF(INDEX(TblClusters[Environnement],$B97)="","(vide)",INDEX(TblClusters[Environnement],$B97)))</f>
        <v>NPRD</v>
      </c>
      <c r="AG97" s="19">
        <f t="shared" si="32"/>
        <v>144</v>
      </c>
      <c r="AH97" s="19">
        <f t="shared" si="33"/>
        <v>30.666666666666668</v>
      </c>
      <c r="AI97" s="19">
        <f>IF($D97&lt;&gt;1,"",IF(AND($G97="IKS",ISNUMBER(INDEX(TblClusters[Fermeture retenue],$B97))),IF($E97&gt;=INDEX(TblClusters[Fermeture retenue],$B97),1,0),0))</f>
        <v>0</v>
      </c>
    </row>
    <row r="98" spans="1:35" x14ac:dyDescent="0.2">
      <c r="A98" s="19">
        <v>93</v>
      </c>
      <c r="B98" s="19">
        <f t="shared" si="17"/>
        <v>3</v>
      </c>
      <c r="C98" s="19">
        <f t="shared" si="18"/>
        <v>21</v>
      </c>
      <c r="D98" s="19">
        <f>IF($C98&gt;p_horizon,0,IFERROR(IF(AND(INDEX(TblClusters[Cluster],$B98)&lt;&gt;"",ISNUMBER(INDEX(TblClusters[CPU initial (vCPU)],$B98)),ISNUMBER(INDEX(TblClusters[CPU min (vCPU)],$B98)),OR(INDEX(TblClusters[Plateforme],$B98)="IKS",INDEX(TblClusters[Plateforme],$B98)="ROKS")),1,0),0))</f>
        <v>1</v>
      </c>
      <c r="E98" s="72">
        <f t="shared" si="19"/>
        <v>46905</v>
      </c>
      <c r="F98" s="19" t="str">
        <f>IF($D98=1,INDEX(TblClusters[Cluster],$B98),"")</f>
        <v>oc002i000807</v>
      </c>
      <c r="G98" s="19" t="str">
        <f>IF($D98=1,INDEX(TblClusters[Plateforme],$B98),"")</f>
        <v>ROKS</v>
      </c>
      <c r="H98" s="19">
        <f>IF($D98=1,INDEX(TblClusters[vCPU par nœud],$B98),"")</f>
        <v>16</v>
      </c>
      <c r="I98" s="19">
        <f>IF($D98=1,INDEX(TblClusters[RAM par nœud (Go)],$B98),"")</f>
        <v>80</v>
      </c>
      <c r="J98" s="19">
        <f>IF($D98=1,INDEX(TblClusters[Workers min],$B98),"")</f>
        <v>6</v>
      </c>
      <c r="K98" s="73">
        <f>IF($D98=1,INDEX(TblClusters[Tarif par nœud],$B98),"")</f>
        <v>736</v>
      </c>
      <c r="L98" s="19">
        <f>IF($D98=1,INDEX(TblClusters[CPU initial (vCPU)],$B98),"")</f>
        <v>96</v>
      </c>
      <c r="M98" s="19">
        <f>IF($D98=1,INDEX(TblClusters[RAM initiale (Go)],$B98),"")</f>
        <v>480</v>
      </c>
      <c r="N98" s="19">
        <f>IF($D98=1,INDEX(TblClusters[CPU min (vCPU)],$B98),"")</f>
        <v>96</v>
      </c>
      <c r="O98" s="19">
        <f>IF($D98=1,INDEX(TblClusters[RAM min (Go)],$B98),"")</f>
        <v>480</v>
      </c>
      <c r="P98" s="19">
        <f>IF($D98&lt;&gt;1,"",IF($G98="ROKS",SUMIFS(TblApplications[Besoin ROKS CPU (vCPU)],TblApplications[Cluster ROKS cible],$F98,TblApplications[Action],"À migrer",TblApplications[Déjà incluse ROKS],"Non",TblApplications[Mois prov (calc)],"&lt;="&amp;$E98),SUMIFS(TblApplications[CPU IKS libérable (vCPU)],TblApplications[Cluster IKS source],$F98,TblApplications[Mois lib (calc)],"&lt;="&amp;$E98)))</f>
        <v>0</v>
      </c>
      <c r="Q98" s="19">
        <f>IF($D98&lt;&gt;1,"",IF($G98="ROKS",SUMIFS(TblApplications[Besoin ROKS RAM (Go)],TblApplications[Cluster ROKS cible],$F98,TblApplications[Action],"À migrer",TblApplications[Déjà incluse ROKS],"Non",TblApplications[Mois prov (calc)],"&lt;="&amp;$E98),SUMIFS(TblApplications[RAM IKS libérable (Go)],TblApplications[Cluster IKS source],$F98,TblApplications[Mois lib (calc)],"&lt;="&amp;$E98)))</f>
        <v>0</v>
      </c>
      <c r="R98" s="19">
        <f t="shared" si="20"/>
        <v>96</v>
      </c>
      <c r="S98" s="19">
        <f t="shared" si="21"/>
        <v>480</v>
      </c>
      <c r="T98" s="19">
        <f t="shared" si="22"/>
        <v>6</v>
      </c>
      <c r="U98" s="19">
        <f t="shared" si="23"/>
        <v>96</v>
      </c>
      <c r="V98" s="19">
        <f t="shared" si="24"/>
        <v>480</v>
      </c>
      <c r="W98" s="73">
        <f t="shared" si="25"/>
        <v>4416</v>
      </c>
      <c r="X98" s="19">
        <f>IF($D98&lt;&gt;1,"",IF($G98="ROKS",$R98,IF($AI98=1,0,MAX($N98,$L98-SUMIFS(TblApplications[CPU IKS libérable (vCPU)],TblApplications[Cluster IKS source],$F98,TblApplications[Action],"À migrer",TblApplications[Mois prov (calc)],"&lt;="&amp;$E98)-SUMIFS(TblApplications[CPU IKS libérable (vCPU)],TblApplications[Cluster IKS source],$F98,TblApplications[Action],"À décommissionner",TblApplications[Mois lib (calc)],"&lt;="&amp;$E98)))))</f>
        <v>96</v>
      </c>
      <c r="Y98" s="19">
        <f>IF($D98&lt;&gt;1,"",IF($G98="ROKS",$S98,IF($AI98=1,0,MAX($O98,$M98-SUMIFS(TblApplications[RAM IKS libérable (Go)],TblApplications[Cluster IKS source],$F98,TblApplications[Action],"À migrer",TblApplications[Mois prov (calc)],"&lt;="&amp;$E98)-SUMIFS(TblApplications[RAM IKS libérable (Go)],TblApplications[Cluster IKS source],$F98,TblApplications[Action],"À décommissionner",TblApplications[Mois lib (calc)],"&lt;="&amp;$E98)))))</f>
        <v>480</v>
      </c>
      <c r="Z98" s="19">
        <f t="shared" si="26"/>
        <v>6</v>
      </c>
      <c r="AA98" s="73">
        <f t="shared" si="27"/>
        <v>4416</v>
      </c>
      <c r="AB98" s="19">
        <f t="shared" si="28"/>
        <v>6</v>
      </c>
      <c r="AC98" s="73">
        <f t="shared" si="29"/>
        <v>4416</v>
      </c>
      <c r="AD98" s="19">
        <f t="shared" si="30"/>
        <v>0</v>
      </c>
      <c r="AE98" s="19">
        <f t="shared" si="31"/>
        <v>0</v>
      </c>
      <c r="AF98" s="19" t="str">
        <f>IF($D98&lt;&gt;1,"",IF(INDEX(TblClusters[Environnement],$B98)="","(vide)",INDEX(TblClusters[Environnement],$B98)))</f>
        <v>NPRD</v>
      </c>
      <c r="AG98" s="19">
        <f t="shared" si="32"/>
        <v>144</v>
      </c>
      <c r="AH98" s="19">
        <f t="shared" si="33"/>
        <v>30.666666666666668</v>
      </c>
      <c r="AI98" s="19">
        <f>IF($D98&lt;&gt;1,"",IF(AND($G98="IKS",ISNUMBER(INDEX(TblClusters[Fermeture retenue],$B98))),IF($E98&gt;=INDEX(TblClusters[Fermeture retenue],$B98),1,0),0))</f>
        <v>0</v>
      </c>
    </row>
    <row r="99" spans="1:35" x14ac:dyDescent="0.2">
      <c r="A99" s="19">
        <v>94</v>
      </c>
      <c r="B99" s="19">
        <f t="shared" si="17"/>
        <v>3</v>
      </c>
      <c r="C99" s="19">
        <f t="shared" si="18"/>
        <v>22</v>
      </c>
      <c r="D99" s="19">
        <f>IF($C99&gt;p_horizon,0,IFERROR(IF(AND(INDEX(TblClusters[Cluster],$B99)&lt;&gt;"",ISNUMBER(INDEX(TblClusters[CPU initial (vCPU)],$B99)),ISNUMBER(INDEX(TblClusters[CPU min (vCPU)],$B99)),OR(INDEX(TblClusters[Plateforme],$B99)="IKS",INDEX(TblClusters[Plateforme],$B99)="ROKS")),1,0),0))</f>
        <v>1</v>
      </c>
      <c r="E99" s="72">
        <f t="shared" si="19"/>
        <v>46935</v>
      </c>
      <c r="F99" s="19" t="str">
        <f>IF($D99=1,INDEX(TblClusters[Cluster],$B99),"")</f>
        <v>oc002i000807</v>
      </c>
      <c r="G99" s="19" t="str">
        <f>IF($D99=1,INDEX(TblClusters[Plateforme],$B99),"")</f>
        <v>ROKS</v>
      </c>
      <c r="H99" s="19">
        <f>IF($D99=1,INDEX(TblClusters[vCPU par nœud],$B99),"")</f>
        <v>16</v>
      </c>
      <c r="I99" s="19">
        <f>IF($D99=1,INDEX(TblClusters[RAM par nœud (Go)],$B99),"")</f>
        <v>80</v>
      </c>
      <c r="J99" s="19">
        <f>IF($D99=1,INDEX(TblClusters[Workers min],$B99),"")</f>
        <v>6</v>
      </c>
      <c r="K99" s="73">
        <f>IF($D99=1,INDEX(TblClusters[Tarif par nœud],$B99),"")</f>
        <v>736</v>
      </c>
      <c r="L99" s="19">
        <f>IF($D99=1,INDEX(TblClusters[CPU initial (vCPU)],$B99),"")</f>
        <v>96</v>
      </c>
      <c r="M99" s="19">
        <f>IF($D99=1,INDEX(TblClusters[RAM initiale (Go)],$B99),"")</f>
        <v>480</v>
      </c>
      <c r="N99" s="19">
        <f>IF($D99=1,INDEX(TblClusters[CPU min (vCPU)],$B99),"")</f>
        <v>96</v>
      </c>
      <c r="O99" s="19">
        <f>IF($D99=1,INDEX(TblClusters[RAM min (Go)],$B99),"")</f>
        <v>480</v>
      </c>
      <c r="P99" s="19">
        <f>IF($D99&lt;&gt;1,"",IF($G99="ROKS",SUMIFS(TblApplications[Besoin ROKS CPU (vCPU)],TblApplications[Cluster ROKS cible],$F99,TblApplications[Action],"À migrer",TblApplications[Déjà incluse ROKS],"Non",TblApplications[Mois prov (calc)],"&lt;="&amp;$E99),SUMIFS(TblApplications[CPU IKS libérable (vCPU)],TblApplications[Cluster IKS source],$F99,TblApplications[Mois lib (calc)],"&lt;="&amp;$E99)))</f>
        <v>0</v>
      </c>
      <c r="Q99" s="19">
        <f>IF($D99&lt;&gt;1,"",IF($G99="ROKS",SUMIFS(TblApplications[Besoin ROKS RAM (Go)],TblApplications[Cluster ROKS cible],$F99,TblApplications[Action],"À migrer",TblApplications[Déjà incluse ROKS],"Non",TblApplications[Mois prov (calc)],"&lt;="&amp;$E99),SUMIFS(TblApplications[RAM IKS libérable (Go)],TblApplications[Cluster IKS source],$F99,TblApplications[Mois lib (calc)],"&lt;="&amp;$E99)))</f>
        <v>0</v>
      </c>
      <c r="R99" s="19">
        <f t="shared" si="20"/>
        <v>96</v>
      </c>
      <c r="S99" s="19">
        <f t="shared" si="21"/>
        <v>480</v>
      </c>
      <c r="T99" s="19">
        <f t="shared" si="22"/>
        <v>6</v>
      </c>
      <c r="U99" s="19">
        <f t="shared" si="23"/>
        <v>96</v>
      </c>
      <c r="V99" s="19">
        <f t="shared" si="24"/>
        <v>480</v>
      </c>
      <c r="W99" s="73">
        <f t="shared" si="25"/>
        <v>4416</v>
      </c>
      <c r="X99" s="19">
        <f>IF($D99&lt;&gt;1,"",IF($G99="ROKS",$R99,IF($AI99=1,0,MAX($N99,$L99-SUMIFS(TblApplications[CPU IKS libérable (vCPU)],TblApplications[Cluster IKS source],$F99,TblApplications[Action],"À migrer",TblApplications[Mois prov (calc)],"&lt;="&amp;$E99)-SUMIFS(TblApplications[CPU IKS libérable (vCPU)],TblApplications[Cluster IKS source],$F99,TblApplications[Action],"À décommissionner",TblApplications[Mois lib (calc)],"&lt;="&amp;$E99)))))</f>
        <v>96</v>
      </c>
      <c r="Y99" s="19">
        <f>IF($D99&lt;&gt;1,"",IF($G99="ROKS",$S99,IF($AI99=1,0,MAX($O99,$M99-SUMIFS(TblApplications[RAM IKS libérable (Go)],TblApplications[Cluster IKS source],$F99,TblApplications[Action],"À migrer",TblApplications[Mois prov (calc)],"&lt;="&amp;$E99)-SUMIFS(TblApplications[RAM IKS libérable (Go)],TblApplications[Cluster IKS source],$F99,TblApplications[Action],"À décommissionner",TblApplications[Mois lib (calc)],"&lt;="&amp;$E99)))))</f>
        <v>480</v>
      </c>
      <c r="Z99" s="19">
        <f t="shared" si="26"/>
        <v>6</v>
      </c>
      <c r="AA99" s="73">
        <f t="shared" si="27"/>
        <v>4416</v>
      </c>
      <c r="AB99" s="19">
        <f t="shared" si="28"/>
        <v>6</v>
      </c>
      <c r="AC99" s="73">
        <f t="shared" si="29"/>
        <v>4416</v>
      </c>
      <c r="AD99" s="19">
        <f t="shared" si="30"/>
        <v>0</v>
      </c>
      <c r="AE99" s="19">
        <f t="shared" si="31"/>
        <v>0</v>
      </c>
      <c r="AF99" s="19" t="str">
        <f>IF($D99&lt;&gt;1,"",IF(INDEX(TblClusters[Environnement],$B99)="","(vide)",INDEX(TblClusters[Environnement],$B99)))</f>
        <v>NPRD</v>
      </c>
      <c r="AG99" s="19">
        <f t="shared" si="32"/>
        <v>144</v>
      </c>
      <c r="AH99" s="19">
        <f t="shared" si="33"/>
        <v>30.666666666666668</v>
      </c>
      <c r="AI99" s="19">
        <f>IF($D99&lt;&gt;1,"",IF(AND($G99="IKS",ISNUMBER(INDEX(TblClusters[Fermeture retenue],$B99))),IF($E99&gt;=INDEX(TblClusters[Fermeture retenue],$B99),1,0),0))</f>
        <v>0</v>
      </c>
    </row>
    <row r="100" spans="1:35" x14ac:dyDescent="0.2">
      <c r="A100" s="19">
        <v>95</v>
      </c>
      <c r="B100" s="19">
        <f t="shared" si="17"/>
        <v>3</v>
      </c>
      <c r="C100" s="19">
        <f t="shared" si="18"/>
        <v>23</v>
      </c>
      <c r="D100" s="19">
        <f>IF($C100&gt;p_horizon,0,IFERROR(IF(AND(INDEX(TblClusters[Cluster],$B100)&lt;&gt;"",ISNUMBER(INDEX(TblClusters[CPU initial (vCPU)],$B100)),ISNUMBER(INDEX(TblClusters[CPU min (vCPU)],$B100)),OR(INDEX(TblClusters[Plateforme],$B100)="IKS",INDEX(TblClusters[Plateforme],$B100)="ROKS")),1,0),0))</f>
        <v>1</v>
      </c>
      <c r="E100" s="72">
        <f t="shared" si="19"/>
        <v>46966</v>
      </c>
      <c r="F100" s="19" t="str">
        <f>IF($D100=1,INDEX(TblClusters[Cluster],$B100),"")</f>
        <v>oc002i000807</v>
      </c>
      <c r="G100" s="19" t="str">
        <f>IF($D100=1,INDEX(TblClusters[Plateforme],$B100),"")</f>
        <v>ROKS</v>
      </c>
      <c r="H100" s="19">
        <f>IF($D100=1,INDEX(TblClusters[vCPU par nœud],$B100),"")</f>
        <v>16</v>
      </c>
      <c r="I100" s="19">
        <f>IF($D100=1,INDEX(TblClusters[RAM par nœud (Go)],$B100),"")</f>
        <v>80</v>
      </c>
      <c r="J100" s="19">
        <f>IF($D100=1,INDEX(TblClusters[Workers min],$B100),"")</f>
        <v>6</v>
      </c>
      <c r="K100" s="73">
        <f>IF($D100=1,INDEX(TblClusters[Tarif par nœud],$B100),"")</f>
        <v>736</v>
      </c>
      <c r="L100" s="19">
        <f>IF($D100=1,INDEX(TblClusters[CPU initial (vCPU)],$B100),"")</f>
        <v>96</v>
      </c>
      <c r="M100" s="19">
        <f>IF($D100=1,INDEX(TblClusters[RAM initiale (Go)],$B100),"")</f>
        <v>480</v>
      </c>
      <c r="N100" s="19">
        <f>IF($D100=1,INDEX(TblClusters[CPU min (vCPU)],$B100),"")</f>
        <v>96</v>
      </c>
      <c r="O100" s="19">
        <f>IF($D100=1,INDEX(TblClusters[RAM min (Go)],$B100),"")</f>
        <v>480</v>
      </c>
      <c r="P100" s="19">
        <f>IF($D100&lt;&gt;1,"",IF($G100="ROKS",SUMIFS(TblApplications[Besoin ROKS CPU (vCPU)],TblApplications[Cluster ROKS cible],$F100,TblApplications[Action],"À migrer",TblApplications[Déjà incluse ROKS],"Non",TblApplications[Mois prov (calc)],"&lt;="&amp;$E100),SUMIFS(TblApplications[CPU IKS libérable (vCPU)],TblApplications[Cluster IKS source],$F100,TblApplications[Mois lib (calc)],"&lt;="&amp;$E100)))</f>
        <v>0</v>
      </c>
      <c r="Q100" s="19">
        <f>IF($D100&lt;&gt;1,"",IF($G100="ROKS",SUMIFS(TblApplications[Besoin ROKS RAM (Go)],TblApplications[Cluster ROKS cible],$F100,TblApplications[Action],"À migrer",TblApplications[Déjà incluse ROKS],"Non",TblApplications[Mois prov (calc)],"&lt;="&amp;$E100),SUMIFS(TblApplications[RAM IKS libérable (Go)],TblApplications[Cluster IKS source],$F100,TblApplications[Mois lib (calc)],"&lt;="&amp;$E100)))</f>
        <v>0</v>
      </c>
      <c r="R100" s="19">
        <f t="shared" si="20"/>
        <v>96</v>
      </c>
      <c r="S100" s="19">
        <f t="shared" si="21"/>
        <v>480</v>
      </c>
      <c r="T100" s="19">
        <f t="shared" si="22"/>
        <v>6</v>
      </c>
      <c r="U100" s="19">
        <f t="shared" si="23"/>
        <v>96</v>
      </c>
      <c r="V100" s="19">
        <f t="shared" si="24"/>
        <v>480</v>
      </c>
      <c r="W100" s="73">
        <f t="shared" si="25"/>
        <v>4416</v>
      </c>
      <c r="X100" s="19">
        <f>IF($D100&lt;&gt;1,"",IF($G100="ROKS",$R100,IF($AI100=1,0,MAX($N100,$L100-SUMIFS(TblApplications[CPU IKS libérable (vCPU)],TblApplications[Cluster IKS source],$F100,TblApplications[Action],"À migrer",TblApplications[Mois prov (calc)],"&lt;="&amp;$E100)-SUMIFS(TblApplications[CPU IKS libérable (vCPU)],TblApplications[Cluster IKS source],$F100,TblApplications[Action],"À décommissionner",TblApplications[Mois lib (calc)],"&lt;="&amp;$E100)))))</f>
        <v>96</v>
      </c>
      <c r="Y100" s="19">
        <f>IF($D100&lt;&gt;1,"",IF($G100="ROKS",$S100,IF($AI100=1,0,MAX($O100,$M100-SUMIFS(TblApplications[RAM IKS libérable (Go)],TblApplications[Cluster IKS source],$F100,TblApplications[Action],"À migrer",TblApplications[Mois prov (calc)],"&lt;="&amp;$E100)-SUMIFS(TblApplications[RAM IKS libérable (Go)],TblApplications[Cluster IKS source],$F100,TblApplications[Action],"À décommissionner",TblApplications[Mois lib (calc)],"&lt;="&amp;$E100)))))</f>
        <v>480</v>
      </c>
      <c r="Z100" s="19">
        <f t="shared" si="26"/>
        <v>6</v>
      </c>
      <c r="AA100" s="73">
        <f t="shared" si="27"/>
        <v>4416</v>
      </c>
      <c r="AB100" s="19">
        <f t="shared" si="28"/>
        <v>6</v>
      </c>
      <c r="AC100" s="73">
        <f t="shared" si="29"/>
        <v>4416</v>
      </c>
      <c r="AD100" s="19">
        <f t="shared" si="30"/>
        <v>0</v>
      </c>
      <c r="AE100" s="19">
        <f t="shared" si="31"/>
        <v>0</v>
      </c>
      <c r="AF100" s="19" t="str">
        <f>IF($D100&lt;&gt;1,"",IF(INDEX(TblClusters[Environnement],$B100)="","(vide)",INDEX(TblClusters[Environnement],$B100)))</f>
        <v>NPRD</v>
      </c>
      <c r="AG100" s="19">
        <f t="shared" si="32"/>
        <v>144</v>
      </c>
      <c r="AH100" s="19">
        <f t="shared" si="33"/>
        <v>30.666666666666668</v>
      </c>
      <c r="AI100" s="19">
        <f>IF($D100&lt;&gt;1,"",IF(AND($G100="IKS",ISNUMBER(INDEX(TblClusters[Fermeture retenue],$B100))),IF($E100&gt;=INDEX(TblClusters[Fermeture retenue],$B100),1,0),0))</f>
        <v>0</v>
      </c>
    </row>
    <row r="101" spans="1:35" x14ac:dyDescent="0.2">
      <c r="A101" s="19">
        <v>96</v>
      </c>
      <c r="B101" s="19">
        <f t="shared" si="17"/>
        <v>3</v>
      </c>
      <c r="C101" s="19">
        <f t="shared" si="18"/>
        <v>24</v>
      </c>
      <c r="D101" s="19">
        <f>IF($C101&gt;p_horizon,0,IFERROR(IF(AND(INDEX(TblClusters[Cluster],$B101)&lt;&gt;"",ISNUMBER(INDEX(TblClusters[CPU initial (vCPU)],$B101)),ISNUMBER(INDEX(TblClusters[CPU min (vCPU)],$B101)),OR(INDEX(TblClusters[Plateforme],$B101)="IKS",INDEX(TblClusters[Plateforme],$B101)="ROKS")),1,0),0))</f>
        <v>1</v>
      </c>
      <c r="E101" s="72">
        <f t="shared" si="19"/>
        <v>46997</v>
      </c>
      <c r="F101" s="19" t="str">
        <f>IF($D101=1,INDEX(TblClusters[Cluster],$B101),"")</f>
        <v>oc002i000807</v>
      </c>
      <c r="G101" s="19" t="str">
        <f>IF($D101=1,INDEX(TblClusters[Plateforme],$B101),"")</f>
        <v>ROKS</v>
      </c>
      <c r="H101" s="19">
        <f>IF($D101=1,INDEX(TblClusters[vCPU par nœud],$B101),"")</f>
        <v>16</v>
      </c>
      <c r="I101" s="19">
        <f>IF($D101=1,INDEX(TblClusters[RAM par nœud (Go)],$B101),"")</f>
        <v>80</v>
      </c>
      <c r="J101" s="19">
        <f>IF($D101=1,INDEX(TblClusters[Workers min],$B101),"")</f>
        <v>6</v>
      </c>
      <c r="K101" s="73">
        <f>IF($D101=1,INDEX(TblClusters[Tarif par nœud],$B101),"")</f>
        <v>736</v>
      </c>
      <c r="L101" s="19">
        <f>IF($D101=1,INDEX(TblClusters[CPU initial (vCPU)],$B101),"")</f>
        <v>96</v>
      </c>
      <c r="M101" s="19">
        <f>IF($D101=1,INDEX(TblClusters[RAM initiale (Go)],$B101),"")</f>
        <v>480</v>
      </c>
      <c r="N101" s="19">
        <f>IF($D101=1,INDEX(TblClusters[CPU min (vCPU)],$B101),"")</f>
        <v>96</v>
      </c>
      <c r="O101" s="19">
        <f>IF($D101=1,INDEX(TblClusters[RAM min (Go)],$B101),"")</f>
        <v>480</v>
      </c>
      <c r="P101" s="19">
        <f>IF($D101&lt;&gt;1,"",IF($G101="ROKS",SUMIFS(TblApplications[Besoin ROKS CPU (vCPU)],TblApplications[Cluster ROKS cible],$F101,TblApplications[Action],"À migrer",TblApplications[Déjà incluse ROKS],"Non",TblApplications[Mois prov (calc)],"&lt;="&amp;$E101),SUMIFS(TblApplications[CPU IKS libérable (vCPU)],TblApplications[Cluster IKS source],$F101,TblApplications[Mois lib (calc)],"&lt;="&amp;$E101)))</f>
        <v>0</v>
      </c>
      <c r="Q101" s="19">
        <f>IF($D101&lt;&gt;1,"",IF($G101="ROKS",SUMIFS(TblApplications[Besoin ROKS RAM (Go)],TblApplications[Cluster ROKS cible],$F101,TblApplications[Action],"À migrer",TblApplications[Déjà incluse ROKS],"Non",TblApplications[Mois prov (calc)],"&lt;="&amp;$E101),SUMIFS(TblApplications[RAM IKS libérable (Go)],TblApplications[Cluster IKS source],$F101,TblApplications[Mois lib (calc)],"&lt;="&amp;$E101)))</f>
        <v>0</v>
      </c>
      <c r="R101" s="19">
        <f t="shared" si="20"/>
        <v>96</v>
      </c>
      <c r="S101" s="19">
        <f t="shared" si="21"/>
        <v>480</v>
      </c>
      <c r="T101" s="19">
        <f t="shared" si="22"/>
        <v>6</v>
      </c>
      <c r="U101" s="19">
        <f t="shared" si="23"/>
        <v>96</v>
      </c>
      <c r="V101" s="19">
        <f t="shared" si="24"/>
        <v>480</v>
      </c>
      <c r="W101" s="73">
        <f t="shared" si="25"/>
        <v>4416</v>
      </c>
      <c r="X101" s="19">
        <f>IF($D101&lt;&gt;1,"",IF($G101="ROKS",$R101,IF($AI101=1,0,MAX($N101,$L101-SUMIFS(TblApplications[CPU IKS libérable (vCPU)],TblApplications[Cluster IKS source],$F101,TblApplications[Action],"À migrer",TblApplications[Mois prov (calc)],"&lt;="&amp;$E101)-SUMIFS(TblApplications[CPU IKS libérable (vCPU)],TblApplications[Cluster IKS source],$F101,TblApplications[Action],"À décommissionner",TblApplications[Mois lib (calc)],"&lt;="&amp;$E101)))))</f>
        <v>96</v>
      </c>
      <c r="Y101" s="19">
        <f>IF($D101&lt;&gt;1,"",IF($G101="ROKS",$S101,IF($AI101=1,0,MAX($O101,$M101-SUMIFS(TblApplications[RAM IKS libérable (Go)],TblApplications[Cluster IKS source],$F101,TblApplications[Action],"À migrer",TblApplications[Mois prov (calc)],"&lt;="&amp;$E101)-SUMIFS(TblApplications[RAM IKS libérable (Go)],TblApplications[Cluster IKS source],$F101,TblApplications[Action],"À décommissionner",TblApplications[Mois lib (calc)],"&lt;="&amp;$E101)))))</f>
        <v>480</v>
      </c>
      <c r="Z101" s="19">
        <f t="shared" si="26"/>
        <v>6</v>
      </c>
      <c r="AA101" s="73">
        <f t="shared" si="27"/>
        <v>4416</v>
      </c>
      <c r="AB101" s="19">
        <f t="shared" si="28"/>
        <v>6</v>
      </c>
      <c r="AC101" s="73">
        <f t="shared" si="29"/>
        <v>4416</v>
      </c>
      <c r="AD101" s="19">
        <f t="shared" si="30"/>
        <v>0</v>
      </c>
      <c r="AE101" s="19">
        <f t="shared" si="31"/>
        <v>0</v>
      </c>
      <c r="AF101" s="19" t="str">
        <f>IF($D101&lt;&gt;1,"",IF(INDEX(TblClusters[Environnement],$B101)="","(vide)",INDEX(TblClusters[Environnement],$B101)))</f>
        <v>NPRD</v>
      </c>
      <c r="AG101" s="19">
        <f t="shared" si="32"/>
        <v>144</v>
      </c>
      <c r="AH101" s="19">
        <f t="shared" si="33"/>
        <v>30.666666666666668</v>
      </c>
      <c r="AI101" s="19">
        <f>IF($D101&lt;&gt;1,"",IF(AND($G101="IKS",ISNUMBER(INDEX(TblClusters[Fermeture retenue],$B101))),IF($E101&gt;=INDEX(TblClusters[Fermeture retenue],$B101),1,0),0))</f>
        <v>0</v>
      </c>
    </row>
    <row r="102" spans="1:35" x14ac:dyDescent="0.2">
      <c r="A102" s="19">
        <v>97</v>
      </c>
      <c r="B102" s="19">
        <f t="shared" si="17"/>
        <v>3</v>
      </c>
      <c r="C102" s="19">
        <f t="shared" si="18"/>
        <v>25</v>
      </c>
      <c r="D102" s="19">
        <f>IF($C102&gt;p_horizon,0,IFERROR(IF(AND(INDEX(TblClusters[Cluster],$B102)&lt;&gt;"",ISNUMBER(INDEX(TblClusters[CPU initial (vCPU)],$B102)),ISNUMBER(INDEX(TblClusters[CPU min (vCPU)],$B102)),OR(INDEX(TblClusters[Plateforme],$B102)="IKS",INDEX(TblClusters[Plateforme],$B102)="ROKS")),1,0),0))</f>
        <v>1</v>
      </c>
      <c r="E102" s="72">
        <f t="shared" si="19"/>
        <v>47027</v>
      </c>
      <c r="F102" s="19" t="str">
        <f>IF($D102=1,INDEX(TblClusters[Cluster],$B102),"")</f>
        <v>oc002i000807</v>
      </c>
      <c r="G102" s="19" t="str">
        <f>IF($D102=1,INDEX(TblClusters[Plateforme],$B102),"")</f>
        <v>ROKS</v>
      </c>
      <c r="H102" s="19">
        <f>IF($D102=1,INDEX(TblClusters[vCPU par nœud],$B102),"")</f>
        <v>16</v>
      </c>
      <c r="I102" s="19">
        <f>IF($D102=1,INDEX(TblClusters[RAM par nœud (Go)],$B102),"")</f>
        <v>80</v>
      </c>
      <c r="J102" s="19">
        <f>IF($D102=1,INDEX(TblClusters[Workers min],$B102),"")</f>
        <v>6</v>
      </c>
      <c r="K102" s="73">
        <f>IF($D102=1,INDEX(TblClusters[Tarif par nœud],$B102),"")</f>
        <v>736</v>
      </c>
      <c r="L102" s="19">
        <f>IF($D102=1,INDEX(TblClusters[CPU initial (vCPU)],$B102),"")</f>
        <v>96</v>
      </c>
      <c r="M102" s="19">
        <f>IF($D102=1,INDEX(TblClusters[RAM initiale (Go)],$B102),"")</f>
        <v>480</v>
      </c>
      <c r="N102" s="19">
        <f>IF($D102=1,INDEX(TblClusters[CPU min (vCPU)],$B102),"")</f>
        <v>96</v>
      </c>
      <c r="O102" s="19">
        <f>IF($D102=1,INDEX(TblClusters[RAM min (Go)],$B102),"")</f>
        <v>480</v>
      </c>
      <c r="P102" s="19">
        <f>IF($D102&lt;&gt;1,"",IF($G102="ROKS",SUMIFS(TblApplications[Besoin ROKS CPU (vCPU)],TblApplications[Cluster ROKS cible],$F102,TblApplications[Action],"À migrer",TblApplications[Déjà incluse ROKS],"Non",TblApplications[Mois prov (calc)],"&lt;="&amp;$E102),SUMIFS(TblApplications[CPU IKS libérable (vCPU)],TblApplications[Cluster IKS source],$F102,TblApplications[Mois lib (calc)],"&lt;="&amp;$E102)))</f>
        <v>0</v>
      </c>
      <c r="Q102" s="19">
        <f>IF($D102&lt;&gt;1,"",IF($G102="ROKS",SUMIFS(TblApplications[Besoin ROKS RAM (Go)],TblApplications[Cluster ROKS cible],$F102,TblApplications[Action],"À migrer",TblApplications[Déjà incluse ROKS],"Non",TblApplications[Mois prov (calc)],"&lt;="&amp;$E102),SUMIFS(TblApplications[RAM IKS libérable (Go)],TblApplications[Cluster IKS source],$F102,TblApplications[Mois lib (calc)],"&lt;="&amp;$E102)))</f>
        <v>0</v>
      </c>
      <c r="R102" s="19">
        <f t="shared" si="20"/>
        <v>96</v>
      </c>
      <c r="S102" s="19">
        <f t="shared" si="21"/>
        <v>480</v>
      </c>
      <c r="T102" s="19">
        <f t="shared" si="22"/>
        <v>6</v>
      </c>
      <c r="U102" s="19">
        <f t="shared" si="23"/>
        <v>96</v>
      </c>
      <c r="V102" s="19">
        <f t="shared" si="24"/>
        <v>480</v>
      </c>
      <c r="W102" s="73">
        <f t="shared" si="25"/>
        <v>4416</v>
      </c>
      <c r="X102" s="19">
        <f>IF($D102&lt;&gt;1,"",IF($G102="ROKS",$R102,IF($AI102=1,0,MAX($N102,$L102-SUMIFS(TblApplications[CPU IKS libérable (vCPU)],TblApplications[Cluster IKS source],$F102,TblApplications[Action],"À migrer",TblApplications[Mois prov (calc)],"&lt;="&amp;$E102)-SUMIFS(TblApplications[CPU IKS libérable (vCPU)],TblApplications[Cluster IKS source],$F102,TblApplications[Action],"À décommissionner",TblApplications[Mois lib (calc)],"&lt;="&amp;$E102)))))</f>
        <v>96</v>
      </c>
      <c r="Y102" s="19">
        <f>IF($D102&lt;&gt;1,"",IF($G102="ROKS",$S102,IF($AI102=1,0,MAX($O102,$M102-SUMIFS(TblApplications[RAM IKS libérable (Go)],TblApplications[Cluster IKS source],$F102,TblApplications[Action],"À migrer",TblApplications[Mois prov (calc)],"&lt;="&amp;$E102)-SUMIFS(TblApplications[RAM IKS libérable (Go)],TblApplications[Cluster IKS source],$F102,TblApplications[Action],"À décommissionner",TblApplications[Mois lib (calc)],"&lt;="&amp;$E102)))))</f>
        <v>480</v>
      </c>
      <c r="Z102" s="19">
        <f t="shared" si="26"/>
        <v>6</v>
      </c>
      <c r="AA102" s="73">
        <f t="shared" si="27"/>
        <v>4416</v>
      </c>
      <c r="AB102" s="19">
        <f t="shared" si="28"/>
        <v>6</v>
      </c>
      <c r="AC102" s="73">
        <f t="shared" si="29"/>
        <v>4416</v>
      </c>
      <c r="AD102" s="19">
        <f t="shared" si="30"/>
        <v>0</v>
      </c>
      <c r="AE102" s="19">
        <f t="shared" si="31"/>
        <v>0</v>
      </c>
      <c r="AF102" s="19" t="str">
        <f>IF($D102&lt;&gt;1,"",IF(INDEX(TblClusters[Environnement],$B102)="","(vide)",INDEX(TblClusters[Environnement],$B102)))</f>
        <v>NPRD</v>
      </c>
      <c r="AG102" s="19">
        <f t="shared" si="32"/>
        <v>144</v>
      </c>
      <c r="AH102" s="19">
        <f t="shared" si="33"/>
        <v>30.666666666666668</v>
      </c>
      <c r="AI102" s="19">
        <f>IF($D102&lt;&gt;1,"",IF(AND($G102="IKS",ISNUMBER(INDEX(TblClusters[Fermeture retenue],$B102))),IF($E102&gt;=INDEX(TblClusters[Fermeture retenue],$B102),1,0),0))</f>
        <v>0</v>
      </c>
    </row>
    <row r="103" spans="1:35" x14ac:dyDescent="0.2">
      <c r="A103" s="19">
        <v>98</v>
      </c>
      <c r="B103" s="19">
        <f t="shared" si="17"/>
        <v>3</v>
      </c>
      <c r="C103" s="19">
        <f t="shared" si="18"/>
        <v>26</v>
      </c>
      <c r="D103" s="19">
        <f>IF($C103&gt;p_horizon,0,IFERROR(IF(AND(INDEX(TblClusters[Cluster],$B103)&lt;&gt;"",ISNUMBER(INDEX(TblClusters[CPU initial (vCPU)],$B103)),ISNUMBER(INDEX(TblClusters[CPU min (vCPU)],$B103)),OR(INDEX(TblClusters[Plateforme],$B103)="IKS",INDEX(TblClusters[Plateforme],$B103)="ROKS")),1,0),0))</f>
        <v>1</v>
      </c>
      <c r="E103" s="72">
        <f t="shared" si="19"/>
        <v>47058</v>
      </c>
      <c r="F103" s="19" t="str">
        <f>IF($D103=1,INDEX(TblClusters[Cluster],$B103),"")</f>
        <v>oc002i000807</v>
      </c>
      <c r="G103" s="19" t="str">
        <f>IF($D103=1,INDEX(TblClusters[Plateforme],$B103),"")</f>
        <v>ROKS</v>
      </c>
      <c r="H103" s="19">
        <f>IF($D103=1,INDEX(TblClusters[vCPU par nœud],$B103),"")</f>
        <v>16</v>
      </c>
      <c r="I103" s="19">
        <f>IF($D103=1,INDEX(TblClusters[RAM par nœud (Go)],$B103),"")</f>
        <v>80</v>
      </c>
      <c r="J103" s="19">
        <f>IF($D103=1,INDEX(TblClusters[Workers min],$B103),"")</f>
        <v>6</v>
      </c>
      <c r="K103" s="73">
        <f>IF($D103=1,INDEX(TblClusters[Tarif par nœud],$B103),"")</f>
        <v>736</v>
      </c>
      <c r="L103" s="19">
        <f>IF($D103=1,INDEX(TblClusters[CPU initial (vCPU)],$B103),"")</f>
        <v>96</v>
      </c>
      <c r="M103" s="19">
        <f>IF($D103=1,INDEX(TblClusters[RAM initiale (Go)],$B103),"")</f>
        <v>480</v>
      </c>
      <c r="N103" s="19">
        <f>IF($D103=1,INDEX(TblClusters[CPU min (vCPU)],$B103),"")</f>
        <v>96</v>
      </c>
      <c r="O103" s="19">
        <f>IF($D103=1,INDEX(TblClusters[RAM min (Go)],$B103),"")</f>
        <v>480</v>
      </c>
      <c r="P103" s="19">
        <f>IF($D103&lt;&gt;1,"",IF($G103="ROKS",SUMIFS(TblApplications[Besoin ROKS CPU (vCPU)],TblApplications[Cluster ROKS cible],$F103,TblApplications[Action],"À migrer",TblApplications[Déjà incluse ROKS],"Non",TblApplications[Mois prov (calc)],"&lt;="&amp;$E103),SUMIFS(TblApplications[CPU IKS libérable (vCPU)],TblApplications[Cluster IKS source],$F103,TblApplications[Mois lib (calc)],"&lt;="&amp;$E103)))</f>
        <v>0</v>
      </c>
      <c r="Q103" s="19">
        <f>IF($D103&lt;&gt;1,"",IF($G103="ROKS",SUMIFS(TblApplications[Besoin ROKS RAM (Go)],TblApplications[Cluster ROKS cible],$F103,TblApplications[Action],"À migrer",TblApplications[Déjà incluse ROKS],"Non",TblApplications[Mois prov (calc)],"&lt;="&amp;$E103),SUMIFS(TblApplications[RAM IKS libérable (Go)],TblApplications[Cluster IKS source],$F103,TblApplications[Mois lib (calc)],"&lt;="&amp;$E103)))</f>
        <v>0</v>
      </c>
      <c r="R103" s="19">
        <f t="shared" si="20"/>
        <v>96</v>
      </c>
      <c r="S103" s="19">
        <f t="shared" si="21"/>
        <v>480</v>
      </c>
      <c r="T103" s="19">
        <f t="shared" si="22"/>
        <v>6</v>
      </c>
      <c r="U103" s="19">
        <f t="shared" si="23"/>
        <v>96</v>
      </c>
      <c r="V103" s="19">
        <f t="shared" si="24"/>
        <v>480</v>
      </c>
      <c r="W103" s="73">
        <f t="shared" si="25"/>
        <v>4416</v>
      </c>
      <c r="X103" s="19">
        <f>IF($D103&lt;&gt;1,"",IF($G103="ROKS",$R103,IF($AI103=1,0,MAX($N103,$L103-SUMIFS(TblApplications[CPU IKS libérable (vCPU)],TblApplications[Cluster IKS source],$F103,TblApplications[Action],"À migrer",TblApplications[Mois prov (calc)],"&lt;="&amp;$E103)-SUMIFS(TblApplications[CPU IKS libérable (vCPU)],TblApplications[Cluster IKS source],$F103,TblApplications[Action],"À décommissionner",TblApplications[Mois lib (calc)],"&lt;="&amp;$E103)))))</f>
        <v>96</v>
      </c>
      <c r="Y103" s="19">
        <f>IF($D103&lt;&gt;1,"",IF($G103="ROKS",$S103,IF($AI103=1,0,MAX($O103,$M103-SUMIFS(TblApplications[RAM IKS libérable (Go)],TblApplications[Cluster IKS source],$F103,TblApplications[Action],"À migrer",TblApplications[Mois prov (calc)],"&lt;="&amp;$E103)-SUMIFS(TblApplications[RAM IKS libérable (Go)],TblApplications[Cluster IKS source],$F103,TblApplications[Action],"À décommissionner",TblApplications[Mois lib (calc)],"&lt;="&amp;$E103)))))</f>
        <v>480</v>
      </c>
      <c r="Z103" s="19">
        <f t="shared" si="26"/>
        <v>6</v>
      </c>
      <c r="AA103" s="73">
        <f t="shared" si="27"/>
        <v>4416</v>
      </c>
      <c r="AB103" s="19">
        <f t="shared" si="28"/>
        <v>6</v>
      </c>
      <c r="AC103" s="73">
        <f t="shared" si="29"/>
        <v>4416</v>
      </c>
      <c r="AD103" s="19">
        <f t="shared" si="30"/>
        <v>0</v>
      </c>
      <c r="AE103" s="19">
        <f t="shared" si="31"/>
        <v>0</v>
      </c>
      <c r="AF103" s="19" t="str">
        <f>IF($D103&lt;&gt;1,"",IF(INDEX(TblClusters[Environnement],$B103)="","(vide)",INDEX(TblClusters[Environnement],$B103)))</f>
        <v>NPRD</v>
      </c>
      <c r="AG103" s="19">
        <f t="shared" si="32"/>
        <v>144</v>
      </c>
      <c r="AH103" s="19">
        <f t="shared" si="33"/>
        <v>30.666666666666668</v>
      </c>
      <c r="AI103" s="19">
        <f>IF($D103&lt;&gt;1,"",IF(AND($G103="IKS",ISNUMBER(INDEX(TblClusters[Fermeture retenue],$B103))),IF($E103&gt;=INDEX(TblClusters[Fermeture retenue],$B103),1,0),0))</f>
        <v>0</v>
      </c>
    </row>
    <row r="104" spans="1:35" x14ac:dyDescent="0.2">
      <c r="A104" s="19">
        <v>99</v>
      </c>
      <c r="B104" s="19">
        <f t="shared" si="17"/>
        <v>3</v>
      </c>
      <c r="C104" s="19">
        <f t="shared" si="18"/>
        <v>27</v>
      </c>
      <c r="D104" s="19">
        <f>IF($C104&gt;p_horizon,0,IFERROR(IF(AND(INDEX(TblClusters[Cluster],$B104)&lt;&gt;"",ISNUMBER(INDEX(TblClusters[CPU initial (vCPU)],$B104)),ISNUMBER(INDEX(TblClusters[CPU min (vCPU)],$B104)),OR(INDEX(TblClusters[Plateforme],$B104)="IKS",INDEX(TblClusters[Plateforme],$B104)="ROKS")),1,0),0))</f>
        <v>1</v>
      </c>
      <c r="E104" s="72">
        <f t="shared" si="19"/>
        <v>47088</v>
      </c>
      <c r="F104" s="19" t="str">
        <f>IF($D104=1,INDEX(TblClusters[Cluster],$B104),"")</f>
        <v>oc002i000807</v>
      </c>
      <c r="G104" s="19" t="str">
        <f>IF($D104=1,INDEX(TblClusters[Plateforme],$B104),"")</f>
        <v>ROKS</v>
      </c>
      <c r="H104" s="19">
        <f>IF($D104=1,INDEX(TblClusters[vCPU par nœud],$B104),"")</f>
        <v>16</v>
      </c>
      <c r="I104" s="19">
        <f>IF($D104=1,INDEX(TblClusters[RAM par nœud (Go)],$B104),"")</f>
        <v>80</v>
      </c>
      <c r="J104" s="19">
        <f>IF($D104=1,INDEX(TblClusters[Workers min],$B104),"")</f>
        <v>6</v>
      </c>
      <c r="K104" s="73">
        <f>IF($D104=1,INDEX(TblClusters[Tarif par nœud],$B104),"")</f>
        <v>736</v>
      </c>
      <c r="L104" s="19">
        <f>IF($D104=1,INDEX(TblClusters[CPU initial (vCPU)],$B104),"")</f>
        <v>96</v>
      </c>
      <c r="M104" s="19">
        <f>IF($D104=1,INDEX(TblClusters[RAM initiale (Go)],$B104),"")</f>
        <v>480</v>
      </c>
      <c r="N104" s="19">
        <f>IF($D104=1,INDEX(TblClusters[CPU min (vCPU)],$B104),"")</f>
        <v>96</v>
      </c>
      <c r="O104" s="19">
        <f>IF($D104=1,INDEX(TblClusters[RAM min (Go)],$B104),"")</f>
        <v>480</v>
      </c>
      <c r="P104" s="19">
        <f>IF($D104&lt;&gt;1,"",IF($G104="ROKS",SUMIFS(TblApplications[Besoin ROKS CPU (vCPU)],TblApplications[Cluster ROKS cible],$F104,TblApplications[Action],"À migrer",TblApplications[Déjà incluse ROKS],"Non",TblApplications[Mois prov (calc)],"&lt;="&amp;$E104),SUMIFS(TblApplications[CPU IKS libérable (vCPU)],TblApplications[Cluster IKS source],$F104,TblApplications[Mois lib (calc)],"&lt;="&amp;$E104)))</f>
        <v>0</v>
      </c>
      <c r="Q104" s="19">
        <f>IF($D104&lt;&gt;1,"",IF($G104="ROKS",SUMIFS(TblApplications[Besoin ROKS RAM (Go)],TblApplications[Cluster ROKS cible],$F104,TblApplications[Action],"À migrer",TblApplications[Déjà incluse ROKS],"Non",TblApplications[Mois prov (calc)],"&lt;="&amp;$E104),SUMIFS(TblApplications[RAM IKS libérable (Go)],TblApplications[Cluster IKS source],$F104,TblApplications[Mois lib (calc)],"&lt;="&amp;$E104)))</f>
        <v>0</v>
      </c>
      <c r="R104" s="19">
        <f t="shared" si="20"/>
        <v>96</v>
      </c>
      <c r="S104" s="19">
        <f t="shared" si="21"/>
        <v>480</v>
      </c>
      <c r="T104" s="19">
        <f t="shared" si="22"/>
        <v>6</v>
      </c>
      <c r="U104" s="19">
        <f t="shared" si="23"/>
        <v>96</v>
      </c>
      <c r="V104" s="19">
        <f t="shared" si="24"/>
        <v>480</v>
      </c>
      <c r="W104" s="73">
        <f t="shared" si="25"/>
        <v>4416</v>
      </c>
      <c r="X104" s="19">
        <f>IF($D104&lt;&gt;1,"",IF($G104="ROKS",$R104,IF($AI104=1,0,MAX($N104,$L104-SUMIFS(TblApplications[CPU IKS libérable (vCPU)],TblApplications[Cluster IKS source],$F104,TblApplications[Action],"À migrer",TblApplications[Mois prov (calc)],"&lt;="&amp;$E104)-SUMIFS(TblApplications[CPU IKS libérable (vCPU)],TblApplications[Cluster IKS source],$F104,TblApplications[Action],"À décommissionner",TblApplications[Mois lib (calc)],"&lt;="&amp;$E104)))))</f>
        <v>96</v>
      </c>
      <c r="Y104" s="19">
        <f>IF($D104&lt;&gt;1,"",IF($G104="ROKS",$S104,IF($AI104=1,0,MAX($O104,$M104-SUMIFS(TblApplications[RAM IKS libérable (Go)],TblApplications[Cluster IKS source],$F104,TblApplications[Action],"À migrer",TblApplications[Mois prov (calc)],"&lt;="&amp;$E104)-SUMIFS(TblApplications[RAM IKS libérable (Go)],TblApplications[Cluster IKS source],$F104,TblApplications[Action],"À décommissionner",TblApplications[Mois lib (calc)],"&lt;="&amp;$E104)))))</f>
        <v>480</v>
      </c>
      <c r="Z104" s="19">
        <f t="shared" si="26"/>
        <v>6</v>
      </c>
      <c r="AA104" s="73">
        <f t="shared" si="27"/>
        <v>4416</v>
      </c>
      <c r="AB104" s="19">
        <f t="shared" si="28"/>
        <v>6</v>
      </c>
      <c r="AC104" s="73">
        <f t="shared" si="29"/>
        <v>4416</v>
      </c>
      <c r="AD104" s="19">
        <f t="shared" si="30"/>
        <v>0</v>
      </c>
      <c r="AE104" s="19">
        <f t="shared" si="31"/>
        <v>0</v>
      </c>
      <c r="AF104" s="19" t="str">
        <f>IF($D104&lt;&gt;1,"",IF(INDEX(TblClusters[Environnement],$B104)="","(vide)",INDEX(TblClusters[Environnement],$B104)))</f>
        <v>NPRD</v>
      </c>
      <c r="AG104" s="19">
        <f t="shared" si="32"/>
        <v>144</v>
      </c>
      <c r="AH104" s="19">
        <f t="shared" si="33"/>
        <v>30.666666666666668</v>
      </c>
      <c r="AI104" s="19">
        <f>IF($D104&lt;&gt;1,"",IF(AND($G104="IKS",ISNUMBER(INDEX(TblClusters[Fermeture retenue],$B104))),IF($E104&gt;=INDEX(TblClusters[Fermeture retenue],$B104),1,0),0))</f>
        <v>0</v>
      </c>
    </row>
    <row r="105" spans="1:35" x14ac:dyDescent="0.2">
      <c r="A105" s="19">
        <v>100</v>
      </c>
      <c r="B105" s="19">
        <f t="shared" si="17"/>
        <v>3</v>
      </c>
      <c r="C105" s="19">
        <f t="shared" si="18"/>
        <v>28</v>
      </c>
      <c r="D105" s="19">
        <f>IF($C105&gt;p_horizon,0,IFERROR(IF(AND(INDEX(TblClusters[Cluster],$B105)&lt;&gt;"",ISNUMBER(INDEX(TblClusters[CPU initial (vCPU)],$B105)),ISNUMBER(INDEX(TblClusters[CPU min (vCPU)],$B105)),OR(INDEX(TblClusters[Plateforme],$B105)="IKS",INDEX(TblClusters[Plateforme],$B105)="ROKS")),1,0),0))</f>
        <v>1</v>
      </c>
      <c r="E105" s="72">
        <f t="shared" si="19"/>
        <v>47119</v>
      </c>
      <c r="F105" s="19" t="str">
        <f>IF($D105=1,INDEX(TblClusters[Cluster],$B105),"")</f>
        <v>oc002i000807</v>
      </c>
      <c r="G105" s="19" t="str">
        <f>IF($D105=1,INDEX(TblClusters[Plateforme],$B105),"")</f>
        <v>ROKS</v>
      </c>
      <c r="H105" s="19">
        <f>IF($D105=1,INDEX(TblClusters[vCPU par nœud],$B105),"")</f>
        <v>16</v>
      </c>
      <c r="I105" s="19">
        <f>IF($D105=1,INDEX(TblClusters[RAM par nœud (Go)],$B105),"")</f>
        <v>80</v>
      </c>
      <c r="J105" s="19">
        <f>IF($D105=1,INDEX(TblClusters[Workers min],$B105),"")</f>
        <v>6</v>
      </c>
      <c r="K105" s="73">
        <f>IF($D105=1,INDEX(TblClusters[Tarif par nœud],$B105),"")</f>
        <v>736</v>
      </c>
      <c r="L105" s="19">
        <f>IF($D105=1,INDEX(TblClusters[CPU initial (vCPU)],$B105),"")</f>
        <v>96</v>
      </c>
      <c r="M105" s="19">
        <f>IF($D105=1,INDEX(TblClusters[RAM initiale (Go)],$B105),"")</f>
        <v>480</v>
      </c>
      <c r="N105" s="19">
        <f>IF($D105=1,INDEX(TblClusters[CPU min (vCPU)],$B105),"")</f>
        <v>96</v>
      </c>
      <c r="O105" s="19">
        <f>IF($D105=1,INDEX(TblClusters[RAM min (Go)],$B105),"")</f>
        <v>480</v>
      </c>
      <c r="P105" s="19">
        <f>IF($D105&lt;&gt;1,"",IF($G105="ROKS",SUMIFS(TblApplications[Besoin ROKS CPU (vCPU)],TblApplications[Cluster ROKS cible],$F105,TblApplications[Action],"À migrer",TblApplications[Déjà incluse ROKS],"Non",TblApplications[Mois prov (calc)],"&lt;="&amp;$E105),SUMIFS(TblApplications[CPU IKS libérable (vCPU)],TblApplications[Cluster IKS source],$F105,TblApplications[Mois lib (calc)],"&lt;="&amp;$E105)))</f>
        <v>0</v>
      </c>
      <c r="Q105" s="19">
        <f>IF($D105&lt;&gt;1,"",IF($G105="ROKS",SUMIFS(TblApplications[Besoin ROKS RAM (Go)],TblApplications[Cluster ROKS cible],$F105,TblApplications[Action],"À migrer",TblApplications[Déjà incluse ROKS],"Non",TblApplications[Mois prov (calc)],"&lt;="&amp;$E105),SUMIFS(TblApplications[RAM IKS libérable (Go)],TblApplications[Cluster IKS source],$F105,TblApplications[Mois lib (calc)],"&lt;="&amp;$E105)))</f>
        <v>0</v>
      </c>
      <c r="R105" s="19">
        <f t="shared" si="20"/>
        <v>96</v>
      </c>
      <c r="S105" s="19">
        <f t="shared" si="21"/>
        <v>480</v>
      </c>
      <c r="T105" s="19">
        <f t="shared" si="22"/>
        <v>6</v>
      </c>
      <c r="U105" s="19">
        <f t="shared" si="23"/>
        <v>96</v>
      </c>
      <c r="V105" s="19">
        <f t="shared" si="24"/>
        <v>480</v>
      </c>
      <c r="W105" s="73">
        <f t="shared" si="25"/>
        <v>4416</v>
      </c>
      <c r="X105" s="19">
        <f>IF($D105&lt;&gt;1,"",IF($G105="ROKS",$R105,IF($AI105=1,0,MAX($N105,$L105-SUMIFS(TblApplications[CPU IKS libérable (vCPU)],TblApplications[Cluster IKS source],$F105,TblApplications[Action],"À migrer",TblApplications[Mois prov (calc)],"&lt;="&amp;$E105)-SUMIFS(TblApplications[CPU IKS libérable (vCPU)],TblApplications[Cluster IKS source],$F105,TblApplications[Action],"À décommissionner",TblApplications[Mois lib (calc)],"&lt;="&amp;$E105)))))</f>
        <v>96</v>
      </c>
      <c r="Y105" s="19">
        <f>IF($D105&lt;&gt;1,"",IF($G105="ROKS",$S105,IF($AI105=1,0,MAX($O105,$M105-SUMIFS(TblApplications[RAM IKS libérable (Go)],TblApplications[Cluster IKS source],$F105,TblApplications[Action],"À migrer",TblApplications[Mois prov (calc)],"&lt;="&amp;$E105)-SUMIFS(TblApplications[RAM IKS libérable (Go)],TblApplications[Cluster IKS source],$F105,TblApplications[Action],"À décommissionner",TblApplications[Mois lib (calc)],"&lt;="&amp;$E105)))))</f>
        <v>480</v>
      </c>
      <c r="Z105" s="19">
        <f t="shared" si="26"/>
        <v>6</v>
      </c>
      <c r="AA105" s="73">
        <f t="shared" si="27"/>
        <v>4416</v>
      </c>
      <c r="AB105" s="19">
        <f t="shared" si="28"/>
        <v>6</v>
      </c>
      <c r="AC105" s="73">
        <f t="shared" si="29"/>
        <v>4416</v>
      </c>
      <c r="AD105" s="19">
        <f t="shared" si="30"/>
        <v>0</v>
      </c>
      <c r="AE105" s="19">
        <f t="shared" si="31"/>
        <v>0</v>
      </c>
      <c r="AF105" s="19" t="str">
        <f>IF($D105&lt;&gt;1,"",IF(INDEX(TblClusters[Environnement],$B105)="","(vide)",INDEX(TblClusters[Environnement],$B105)))</f>
        <v>NPRD</v>
      </c>
      <c r="AG105" s="19">
        <f t="shared" si="32"/>
        <v>144</v>
      </c>
      <c r="AH105" s="19">
        <f t="shared" si="33"/>
        <v>30.666666666666668</v>
      </c>
      <c r="AI105" s="19">
        <f>IF($D105&lt;&gt;1,"",IF(AND($G105="IKS",ISNUMBER(INDEX(TblClusters[Fermeture retenue],$B105))),IF($E105&gt;=INDEX(TblClusters[Fermeture retenue],$B105),1,0),0))</f>
        <v>0</v>
      </c>
    </row>
    <row r="106" spans="1:35" x14ac:dyDescent="0.2">
      <c r="A106" s="19">
        <v>101</v>
      </c>
      <c r="B106" s="19">
        <f t="shared" si="17"/>
        <v>3</v>
      </c>
      <c r="C106" s="19">
        <f t="shared" si="18"/>
        <v>29</v>
      </c>
      <c r="D106" s="19">
        <f>IF($C106&gt;p_horizon,0,IFERROR(IF(AND(INDEX(TblClusters[Cluster],$B106)&lt;&gt;"",ISNUMBER(INDEX(TblClusters[CPU initial (vCPU)],$B106)),ISNUMBER(INDEX(TblClusters[CPU min (vCPU)],$B106)),OR(INDEX(TblClusters[Plateforme],$B106)="IKS",INDEX(TblClusters[Plateforme],$B106)="ROKS")),1,0),0))</f>
        <v>1</v>
      </c>
      <c r="E106" s="72">
        <f t="shared" si="19"/>
        <v>47150</v>
      </c>
      <c r="F106" s="19" t="str">
        <f>IF($D106=1,INDEX(TblClusters[Cluster],$B106),"")</f>
        <v>oc002i000807</v>
      </c>
      <c r="G106" s="19" t="str">
        <f>IF($D106=1,INDEX(TblClusters[Plateforme],$B106),"")</f>
        <v>ROKS</v>
      </c>
      <c r="H106" s="19">
        <f>IF($D106=1,INDEX(TblClusters[vCPU par nœud],$B106),"")</f>
        <v>16</v>
      </c>
      <c r="I106" s="19">
        <f>IF($D106=1,INDEX(TblClusters[RAM par nœud (Go)],$B106),"")</f>
        <v>80</v>
      </c>
      <c r="J106" s="19">
        <f>IF($D106=1,INDEX(TblClusters[Workers min],$B106),"")</f>
        <v>6</v>
      </c>
      <c r="K106" s="73">
        <f>IF($D106=1,INDEX(TblClusters[Tarif par nœud],$B106),"")</f>
        <v>736</v>
      </c>
      <c r="L106" s="19">
        <f>IF($D106=1,INDEX(TblClusters[CPU initial (vCPU)],$B106),"")</f>
        <v>96</v>
      </c>
      <c r="M106" s="19">
        <f>IF($D106=1,INDEX(TblClusters[RAM initiale (Go)],$B106),"")</f>
        <v>480</v>
      </c>
      <c r="N106" s="19">
        <f>IF($D106=1,INDEX(TblClusters[CPU min (vCPU)],$B106),"")</f>
        <v>96</v>
      </c>
      <c r="O106" s="19">
        <f>IF($D106=1,INDEX(TblClusters[RAM min (Go)],$B106),"")</f>
        <v>480</v>
      </c>
      <c r="P106" s="19">
        <f>IF($D106&lt;&gt;1,"",IF($G106="ROKS",SUMIFS(TblApplications[Besoin ROKS CPU (vCPU)],TblApplications[Cluster ROKS cible],$F106,TblApplications[Action],"À migrer",TblApplications[Déjà incluse ROKS],"Non",TblApplications[Mois prov (calc)],"&lt;="&amp;$E106),SUMIFS(TblApplications[CPU IKS libérable (vCPU)],TblApplications[Cluster IKS source],$F106,TblApplications[Mois lib (calc)],"&lt;="&amp;$E106)))</f>
        <v>0</v>
      </c>
      <c r="Q106" s="19">
        <f>IF($D106&lt;&gt;1,"",IF($G106="ROKS",SUMIFS(TblApplications[Besoin ROKS RAM (Go)],TblApplications[Cluster ROKS cible],$F106,TblApplications[Action],"À migrer",TblApplications[Déjà incluse ROKS],"Non",TblApplications[Mois prov (calc)],"&lt;="&amp;$E106),SUMIFS(TblApplications[RAM IKS libérable (Go)],TblApplications[Cluster IKS source],$F106,TblApplications[Mois lib (calc)],"&lt;="&amp;$E106)))</f>
        <v>0</v>
      </c>
      <c r="R106" s="19">
        <f t="shared" si="20"/>
        <v>96</v>
      </c>
      <c r="S106" s="19">
        <f t="shared" si="21"/>
        <v>480</v>
      </c>
      <c r="T106" s="19">
        <f t="shared" si="22"/>
        <v>6</v>
      </c>
      <c r="U106" s="19">
        <f t="shared" si="23"/>
        <v>96</v>
      </c>
      <c r="V106" s="19">
        <f t="shared" si="24"/>
        <v>480</v>
      </c>
      <c r="W106" s="73">
        <f t="shared" si="25"/>
        <v>4416</v>
      </c>
      <c r="X106" s="19">
        <f>IF($D106&lt;&gt;1,"",IF($G106="ROKS",$R106,IF($AI106=1,0,MAX($N106,$L106-SUMIFS(TblApplications[CPU IKS libérable (vCPU)],TblApplications[Cluster IKS source],$F106,TblApplications[Action],"À migrer",TblApplications[Mois prov (calc)],"&lt;="&amp;$E106)-SUMIFS(TblApplications[CPU IKS libérable (vCPU)],TblApplications[Cluster IKS source],$F106,TblApplications[Action],"À décommissionner",TblApplications[Mois lib (calc)],"&lt;="&amp;$E106)))))</f>
        <v>96</v>
      </c>
      <c r="Y106" s="19">
        <f>IF($D106&lt;&gt;1,"",IF($G106="ROKS",$S106,IF($AI106=1,0,MAX($O106,$M106-SUMIFS(TblApplications[RAM IKS libérable (Go)],TblApplications[Cluster IKS source],$F106,TblApplications[Action],"À migrer",TblApplications[Mois prov (calc)],"&lt;="&amp;$E106)-SUMIFS(TblApplications[RAM IKS libérable (Go)],TblApplications[Cluster IKS source],$F106,TblApplications[Action],"À décommissionner",TblApplications[Mois lib (calc)],"&lt;="&amp;$E106)))))</f>
        <v>480</v>
      </c>
      <c r="Z106" s="19">
        <f t="shared" si="26"/>
        <v>6</v>
      </c>
      <c r="AA106" s="73">
        <f t="shared" si="27"/>
        <v>4416</v>
      </c>
      <c r="AB106" s="19">
        <f t="shared" si="28"/>
        <v>6</v>
      </c>
      <c r="AC106" s="73">
        <f t="shared" si="29"/>
        <v>4416</v>
      </c>
      <c r="AD106" s="19">
        <f t="shared" si="30"/>
        <v>0</v>
      </c>
      <c r="AE106" s="19">
        <f t="shared" si="31"/>
        <v>0</v>
      </c>
      <c r="AF106" s="19" t="str">
        <f>IF($D106&lt;&gt;1,"",IF(INDEX(TblClusters[Environnement],$B106)="","(vide)",INDEX(TblClusters[Environnement],$B106)))</f>
        <v>NPRD</v>
      </c>
      <c r="AG106" s="19">
        <f t="shared" si="32"/>
        <v>144</v>
      </c>
      <c r="AH106" s="19">
        <f t="shared" si="33"/>
        <v>30.666666666666668</v>
      </c>
      <c r="AI106" s="19">
        <f>IF($D106&lt;&gt;1,"",IF(AND($G106="IKS",ISNUMBER(INDEX(TblClusters[Fermeture retenue],$B106))),IF($E106&gt;=INDEX(TblClusters[Fermeture retenue],$B106),1,0),0))</f>
        <v>0</v>
      </c>
    </row>
    <row r="107" spans="1:35" x14ac:dyDescent="0.2">
      <c r="A107" s="19">
        <v>102</v>
      </c>
      <c r="B107" s="19">
        <f t="shared" si="17"/>
        <v>3</v>
      </c>
      <c r="C107" s="19">
        <f t="shared" si="18"/>
        <v>30</v>
      </c>
      <c r="D107" s="19">
        <f>IF($C107&gt;p_horizon,0,IFERROR(IF(AND(INDEX(TblClusters[Cluster],$B107)&lt;&gt;"",ISNUMBER(INDEX(TblClusters[CPU initial (vCPU)],$B107)),ISNUMBER(INDEX(TblClusters[CPU min (vCPU)],$B107)),OR(INDEX(TblClusters[Plateforme],$B107)="IKS",INDEX(TblClusters[Plateforme],$B107)="ROKS")),1,0),0))</f>
        <v>1</v>
      </c>
      <c r="E107" s="72">
        <f t="shared" si="19"/>
        <v>47178</v>
      </c>
      <c r="F107" s="19" t="str">
        <f>IF($D107=1,INDEX(TblClusters[Cluster],$B107),"")</f>
        <v>oc002i000807</v>
      </c>
      <c r="G107" s="19" t="str">
        <f>IF($D107=1,INDEX(TblClusters[Plateforme],$B107),"")</f>
        <v>ROKS</v>
      </c>
      <c r="H107" s="19">
        <f>IF($D107=1,INDEX(TblClusters[vCPU par nœud],$B107),"")</f>
        <v>16</v>
      </c>
      <c r="I107" s="19">
        <f>IF($D107=1,INDEX(TblClusters[RAM par nœud (Go)],$B107),"")</f>
        <v>80</v>
      </c>
      <c r="J107" s="19">
        <f>IF($D107=1,INDEX(TblClusters[Workers min],$B107),"")</f>
        <v>6</v>
      </c>
      <c r="K107" s="73">
        <f>IF($D107=1,INDEX(TblClusters[Tarif par nœud],$B107),"")</f>
        <v>736</v>
      </c>
      <c r="L107" s="19">
        <f>IF($D107=1,INDEX(TblClusters[CPU initial (vCPU)],$B107),"")</f>
        <v>96</v>
      </c>
      <c r="M107" s="19">
        <f>IF($D107=1,INDEX(TblClusters[RAM initiale (Go)],$B107),"")</f>
        <v>480</v>
      </c>
      <c r="N107" s="19">
        <f>IF($D107=1,INDEX(TblClusters[CPU min (vCPU)],$B107),"")</f>
        <v>96</v>
      </c>
      <c r="O107" s="19">
        <f>IF($D107=1,INDEX(TblClusters[RAM min (Go)],$B107),"")</f>
        <v>480</v>
      </c>
      <c r="P107" s="19">
        <f>IF($D107&lt;&gt;1,"",IF($G107="ROKS",SUMIFS(TblApplications[Besoin ROKS CPU (vCPU)],TblApplications[Cluster ROKS cible],$F107,TblApplications[Action],"À migrer",TblApplications[Déjà incluse ROKS],"Non",TblApplications[Mois prov (calc)],"&lt;="&amp;$E107),SUMIFS(TblApplications[CPU IKS libérable (vCPU)],TblApplications[Cluster IKS source],$F107,TblApplications[Mois lib (calc)],"&lt;="&amp;$E107)))</f>
        <v>0</v>
      </c>
      <c r="Q107" s="19">
        <f>IF($D107&lt;&gt;1,"",IF($G107="ROKS",SUMIFS(TblApplications[Besoin ROKS RAM (Go)],TblApplications[Cluster ROKS cible],$F107,TblApplications[Action],"À migrer",TblApplications[Déjà incluse ROKS],"Non",TblApplications[Mois prov (calc)],"&lt;="&amp;$E107),SUMIFS(TblApplications[RAM IKS libérable (Go)],TblApplications[Cluster IKS source],$F107,TblApplications[Mois lib (calc)],"&lt;="&amp;$E107)))</f>
        <v>0</v>
      </c>
      <c r="R107" s="19">
        <f t="shared" si="20"/>
        <v>96</v>
      </c>
      <c r="S107" s="19">
        <f t="shared" si="21"/>
        <v>480</v>
      </c>
      <c r="T107" s="19">
        <f t="shared" si="22"/>
        <v>6</v>
      </c>
      <c r="U107" s="19">
        <f t="shared" si="23"/>
        <v>96</v>
      </c>
      <c r="V107" s="19">
        <f t="shared" si="24"/>
        <v>480</v>
      </c>
      <c r="W107" s="73">
        <f t="shared" si="25"/>
        <v>4416</v>
      </c>
      <c r="X107" s="19">
        <f>IF($D107&lt;&gt;1,"",IF($G107="ROKS",$R107,IF($AI107=1,0,MAX($N107,$L107-SUMIFS(TblApplications[CPU IKS libérable (vCPU)],TblApplications[Cluster IKS source],$F107,TblApplications[Action],"À migrer",TblApplications[Mois prov (calc)],"&lt;="&amp;$E107)-SUMIFS(TblApplications[CPU IKS libérable (vCPU)],TblApplications[Cluster IKS source],$F107,TblApplications[Action],"À décommissionner",TblApplications[Mois lib (calc)],"&lt;="&amp;$E107)))))</f>
        <v>96</v>
      </c>
      <c r="Y107" s="19">
        <f>IF($D107&lt;&gt;1,"",IF($G107="ROKS",$S107,IF($AI107=1,0,MAX($O107,$M107-SUMIFS(TblApplications[RAM IKS libérable (Go)],TblApplications[Cluster IKS source],$F107,TblApplications[Action],"À migrer",TblApplications[Mois prov (calc)],"&lt;="&amp;$E107)-SUMIFS(TblApplications[RAM IKS libérable (Go)],TblApplications[Cluster IKS source],$F107,TblApplications[Action],"À décommissionner",TblApplications[Mois lib (calc)],"&lt;="&amp;$E107)))))</f>
        <v>480</v>
      </c>
      <c r="Z107" s="19">
        <f t="shared" si="26"/>
        <v>6</v>
      </c>
      <c r="AA107" s="73">
        <f t="shared" si="27"/>
        <v>4416</v>
      </c>
      <c r="AB107" s="19">
        <f t="shared" si="28"/>
        <v>6</v>
      </c>
      <c r="AC107" s="73">
        <f t="shared" si="29"/>
        <v>4416</v>
      </c>
      <c r="AD107" s="19">
        <f t="shared" si="30"/>
        <v>0</v>
      </c>
      <c r="AE107" s="19">
        <f t="shared" si="31"/>
        <v>0</v>
      </c>
      <c r="AF107" s="19" t="str">
        <f>IF($D107&lt;&gt;1,"",IF(INDEX(TblClusters[Environnement],$B107)="","(vide)",INDEX(TblClusters[Environnement],$B107)))</f>
        <v>NPRD</v>
      </c>
      <c r="AG107" s="19">
        <f t="shared" si="32"/>
        <v>144</v>
      </c>
      <c r="AH107" s="19">
        <f t="shared" si="33"/>
        <v>30.666666666666668</v>
      </c>
      <c r="AI107" s="19">
        <f>IF($D107&lt;&gt;1,"",IF(AND($G107="IKS",ISNUMBER(INDEX(TblClusters[Fermeture retenue],$B107))),IF($E107&gt;=INDEX(TblClusters[Fermeture retenue],$B107),1,0),0))</f>
        <v>0</v>
      </c>
    </row>
    <row r="108" spans="1:35" x14ac:dyDescent="0.2">
      <c r="A108" s="19">
        <v>103</v>
      </c>
      <c r="B108" s="19">
        <f t="shared" si="17"/>
        <v>3</v>
      </c>
      <c r="C108" s="19">
        <f t="shared" si="18"/>
        <v>31</v>
      </c>
      <c r="D108" s="19">
        <f>IF($C108&gt;p_horizon,0,IFERROR(IF(AND(INDEX(TblClusters[Cluster],$B108)&lt;&gt;"",ISNUMBER(INDEX(TblClusters[CPU initial (vCPU)],$B108)),ISNUMBER(INDEX(TblClusters[CPU min (vCPU)],$B108)),OR(INDEX(TblClusters[Plateforme],$B108)="IKS",INDEX(TblClusters[Plateforme],$B108)="ROKS")),1,0),0))</f>
        <v>1</v>
      </c>
      <c r="E108" s="72">
        <f t="shared" si="19"/>
        <v>47209</v>
      </c>
      <c r="F108" s="19" t="str">
        <f>IF($D108=1,INDEX(TblClusters[Cluster],$B108),"")</f>
        <v>oc002i000807</v>
      </c>
      <c r="G108" s="19" t="str">
        <f>IF($D108=1,INDEX(TblClusters[Plateforme],$B108),"")</f>
        <v>ROKS</v>
      </c>
      <c r="H108" s="19">
        <f>IF($D108=1,INDEX(TblClusters[vCPU par nœud],$B108),"")</f>
        <v>16</v>
      </c>
      <c r="I108" s="19">
        <f>IF($D108=1,INDEX(TblClusters[RAM par nœud (Go)],$B108),"")</f>
        <v>80</v>
      </c>
      <c r="J108" s="19">
        <f>IF($D108=1,INDEX(TblClusters[Workers min],$B108),"")</f>
        <v>6</v>
      </c>
      <c r="K108" s="73">
        <f>IF($D108=1,INDEX(TblClusters[Tarif par nœud],$B108),"")</f>
        <v>736</v>
      </c>
      <c r="L108" s="19">
        <f>IF($D108=1,INDEX(TblClusters[CPU initial (vCPU)],$B108),"")</f>
        <v>96</v>
      </c>
      <c r="M108" s="19">
        <f>IF($D108=1,INDEX(TblClusters[RAM initiale (Go)],$B108),"")</f>
        <v>480</v>
      </c>
      <c r="N108" s="19">
        <f>IF($D108=1,INDEX(TblClusters[CPU min (vCPU)],$B108),"")</f>
        <v>96</v>
      </c>
      <c r="O108" s="19">
        <f>IF($D108=1,INDEX(TblClusters[RAM min (Go)],$B108),"")</f>
        <v>480</v>
      </c>
      <c r="P108" s="19">
        <f>IF($D108&lt;&gt;1,"",IF($G108="ROKS",SUMIFS(TblApplications[Besoin ROKS CPU (vCPU)],TblApplications[Cluster ROKS cible],$F108,TblApplications[Action],"À migrer",TblApplications[Déjà incluse ROKS],"Non",TblApplications[Mois prov (calc)],"&lt;="&amp;$E108),SUMIFS(TblApplications[CPU IKS libérable (vCPU)],TblApplications[Cluster IKS source],$F108,TblApplications[Mois lib (calc)],"&lt;="&amp;$E108)))</f>
        <v>0</v>
      </c>
      <c r="Q108" s="19">
        <f>IF($D108&lt;&gt;1,"",IF($G108="ROKS",SUMIFS(TblApplications[Besoin ROKS RAM (Go)],TblApplications[Cluster ROKS cible],$F108,TblApplications[Action],"À migrer",TblApplications[Déjà incluse ROKS],"Non",TblApplications[Mois prov (calc)],"&lt;="&amp;$E108),SUMIFS(TblApplications[RAM IKS libérable (Go)],TblApplications[Cluster IKS source],$F108,TblApplications[Mois lib (calc)],"&lt;="&amp;$E108)))</f>
        <v>0</v>
      </c>
      <c r="R108" s="19">
        <f t="shared" si="20"/>
        <v>96</v>
      </c>
      <c r="S108" s="19">
        <f t="shared" si="21"/>
        <v>480</v>
      </c>
      <c r="T108" s="19">
        <f t="shared" si="22"/>
        <v>6</v>
      </c>
      <c r="U108" s="19">
        <f t="shared" si="23"/>
        <v>96</v>
      </c>
      <c r="V108" s="19">
        <f t="shared" si="24"/>
        <v>480</v>
      </c>
      <c r="W108" s="73">
        <f t="shared" si="25"/>
        <v>4416</v>
      </c>
      <c r="X108" s="19">
        <f>IF($D108&lt;&gt;1,"",IF($G108="ROKS",$R108,IF($AI108=1,0,MAX($N108,$L108-SUMIFS(TblApplications[CPU IKS libérable (vCPU)],TblApplications[Cluster IKS source],$F108,TblApplications[Action],"À migrer",TblApplications[Mois prov (calc)],"&lt;="&amp;$E108)-SUMIFS(TblApplications[CPU IKS libérable (vCPU)],TblApplications[Cluster IKS source],$F108,TblApplications[Action],"À décommissionner",TblApplications[Mois lib (calc)],"&lt;="&amp;$E108)))))</f>
        <v>96</v>
      </c>
      <c r="Y108" s="19">
        <f>IF($D108&lt;&gt;1,"",IF($G108="ROKS",$S108,IF($AI108=1,0,MAX($O108,$M108-SUMIFS(TblApplications[RAM IKS libérable (Go)],TblApplications[Cluster IKS source],$F108,TblApplications[Action],"À migrer",TblApplications[Mois prov (calc)],"&lt;="&amp;$E108)-SUMIFS(TblApplications[RAM IKS libérable (Go)],TblApplications[Cluster IKS source],$F108,TblApplications[Action],"À décommissionner",TblApplications[Mois lib (calc)],"&lt;="&amp;$E108)))))</f>
        <v>480</v>
      </c>
      <c r="Z108" s="19">
        <f t="shared" si="26"/>
        <v>6</v>
      </c>
      <c r="AA108" s="73">
        <f t="shared" si="27"/>
        <v>4416</v>
      </c>
      <c r="AB108" s="19">
        <f t="shared" si="28"/>
        <v>6</v>
      </c>
      <c r="AC108" s="73">
        <f t="shared" si="29"/>
        <v>4416</v>
      </c>
      <c r="AD108" s="19">
        <f t="shared" si="30"/>
        <v>0</v>
      </c>
      <c r="AE108" s="19">
        <f t="shared" si="31"/>
        <v>0</v>
      </c>
      <c r="AF108" s="19" t="str">
        <f>IF($D108&lt;&gt;1,"",IF(INDEX(TblClusters[Environnement],$B108)="","(vide)",INDEX(TblClusters[Environnement],$B108)))</f>
        <v>NPRD</v>
      </c>
      <c r="AG108" s="19">
        <f t="shared" si="32"/>
        <v>144</v>
      </c>
      <c r="AH108" s="19">
        <f t="shared" si="33"/>
        <v>30.666666666666668</v>
      </c>
      <c r="AI108" s="19">
        <f>IF($D108&lt;&gt;1,"",IF(AND($G108="IKS",ISNUMBER(INDEX(TblClusters[Fermeture retenue],$B108))),IF($E108&gt;=INDEX(TblClusters[Fermeture retenue],$B108),1,0),0))</f>
        <v>0</v>
      </c>
    </row>
    <row r="109" spans="1:35" x14ac:dyDescent="0.2">
      <c r="A109" s="19">
        <v>104</v>
      </c>
      <c r="B109" s="19">
        <f t="shared" si="17"/>
        <v>3</v>
      </c>
      <c r="C109" s="19">
        <f t="shared" si="18"/>
        <v>32</v>
      </c>
      <c r="D109" s="19">
        <f>IF($C109&gt;p_horizon,0,IFERROR(IF(AND(INDEX(TblClusters[Cluster],$B109)&lt;&gt;"",ISNUMBER(INDEX(TblClusters[CPU initial (vCPU)],$B109)),ISNUMBER(INDEX(TblClusters[CPU min (vCPU)],$B109)),OR(INDEX(TblClusters[Plateforme],$B109)="IKS",INDEX(TblClusters[Plateforme],$B109)="ROKS")),1,0),0))</f>
        <v>1</v>
      </c>
      <c r="E109" s="72">
        <f t="shared" si="19"/>
        <v>47239</v>
      </c>
      <c r="F109" s="19" t="str">
        <f>IF($D109=1,INDEX(TblClusters[Cluster],$B109),"")</f>
        <v>oc002i000807</v>
      </c>
      <c r="G109" s="19" t="str">
        <f>IF($D109=1,INDEX(TblClusters[Plateforme],$B109),"")</f>
        <v>ROKS</v>
      </c>
      <c r="H109" s="19">
        <f>IF($D109=1,INDEX(TblClusters[vCPU par nœud],$B109),"")</f>
        <v>16</v>
      </c>
      <c r="I109" s="19">
        <f>IF($D109=1,INDEX(TblClusters[RAM par nœud (Go)],$B109),"")</f>
        <v>80</v>
      </c>
      <c r="J109" s="19">
        <f>IF($D109=1,INDEX(TblClusters[Workers min],$B109),"")</f>
        <v>6</v>
      </c>
      <c r="K109" s="73">
        <f>IF($D109=1,INDEX(TblClusters[Tarif par nœud],$B109),"")</f>
        <v>736</v>
      </c>
      <c r="L109" s="19">
        <f>IF($D109=1,INDEX(TblClusters[CPU initial (vCPU)],$B109),"")</f>
        <v>96</v>
      </c>
      <c r="M109" s="19">
        <f>IF($D109=1,INDEX(TblClusters[RAM initiale (Go)],$B109),"")</f>
        <v>480</v>
      </c>
      <c r="N109" s="19">
        <f>IF($D109=1,INDEX(TblClusters[CPU min (vCPU)],$B109),"")</f>
        <v>96</v>
      </c>
      <c r="O109" s="19">
        <f>IF($D109=1,INDEX(TblClusters[RAM min (Go)],$B109),"")</f>
        <v>480</v>
      </c>
      <c r="P109" s="19">
        <f>IF($D109&lt;&gt;1,"",IF($G109="ROKS",SUMIFS(TblApplications[Besoin ROKS CPU (vCPU)],TblApplications[Cluster ROKS cible],$F109,TblApplications[Action],"À migrer",TblApplications[Déjà incluse ROKS],"Non",TblApplications[Mois prov (calc)],"&lt;="&amp;$E109),SUMIFS(TblApplications[CPU IKS libérable (vCPU)],TblApplications[Cluster IKS source],$F109,TblApplications[Mois lib (calc)],"&lt;="&amp;$E109)))</f>
        <v>0</v>
      </c>
      <c r="Q109" s="19">
        <f>IF($D109&lt;&gt;1,"",IF($G109="ROKS",SUMIFS(TblApplications[Besoin ROKS RAM (Go)],TblApplications[Cluster ROKS cible],$F109,TblApplications[Action],"À migrer",TblApplications[Déjà incluse ROKS],"Non",TblApplications[Mois prov (calc)],"&lt;="&amp;$E109),SUMIFS(TblApplications[RAM IKS libérable (Go)],TblApplications[Cluster IKS source],$F109,TblApplications[Mois lib (calc)],"&lt;="&amp;$E109)))</f>
        <v>0</v>
      </c>
      <c r="R109" s="19">
        <f t="shared" si="20"/>
        <v>96</v>
      </c>
      <c r="S109" s="19">
        <f t="shared" si="21"/>
        <v>480</v>
      </c>
      <c r="T109" s="19">
        <f t="shared" si="22"/>
        <v>6</v>
      </c>
      <c r="U109" s="19">
        <f t="shared" si="23"/>
        <v>96</v>
      </c>
      <c r="V109" s="19">
        <f t="shared" si="24"/>
        <v>480</v>
      </c>
      <c r="W109" s="73">
        <f t="shared" si="25"/>
        <v>4416</v>
      </c>
      <c r="X109" s="19">
        <f>IF($D109&lt;&gt;1,"",IF($G109="ROKS",$R109,IF($AI109=1,0,MAX($N109,$L109-SUMIFS(TblApplications[CPU IKS libérable (vCPU)],TblApplications[Cluster IKS source],$F109,TblApplications[Action],"À migrer",TblApplications[Mois prov (calc)],"&lt;="&amp;$E109)-SUMIFS(TblApplications[CPU IKS libérable (vCPU)],TblApplications[Cluster IKS source],$F109,TblApplications[Action],"À décommissionner",TblApplications[Mois lib (calc)],"&lt;="&amp;$E109)))))</f>
        <v>96</v>
      </c>
      <c r="Y109" s="19">
        <f>IF($D109&lt;&gt;1,"",IF($G109="ROKS",$S109,IF($AI109=1,0,MAX($O109,$M109-SUMIFS(TblApplications[RAM IKS libérable (Go)],TblApplications[Cluster IKS source],$F109,TblApplications[Action],"À migrer",TblApplications[Mois prov (calc)],"&lt;="&amp;$E109)-SUMIFS(TblApplications[RAM IKS libérable (Go)],TblApplications[Cluster IKS source],$F109,TblApplications[Action],"À décommissionner",TblApplications[Mois lib (calc)],"&lt;="&amp;$E109)))))</f>
        <v>480</v>
      </c>
      <c r="Z109" s="19">
        <f t="shared" si="26"/>
        <v>6</v>
      </c>
      <c r="AA109" s="73">
        <f t="shared" si="27"/>
        <v>4416</v>
      </c>
      <c r="AB109" s="19">
        <f t="shared" si="28"/>
        <v>6</v>
      </c>
      <c r="AC109" s="73">
        <f t="shared" si="29"/>
        <v>4416</v>
      </c>
      <c r="AD109" s="19">
        <f t="shared" si="30"/>
        <v>0</v>
      </c>
      <c r="AE109" s="19">
        <f t="shared" si="31"/>
        <v>0</v>
      </c>
      <c r="AF109" s="19" t="str">
        <f>IF($D109&lt;&gt;1,"",IF(INDEX(TblClusters[Environnement],$B109)="","(vide)",INDEX(TblClusters[Environnement],$B109)))</f>
        <v>NPRD</v>
      </c>
      <c r="AG109" s="19">
        <f t="shared" si="32"/>
        <v>144</v>
      </c>
      <c r="AH109" s="19">
        <f t="shared" si="33"/>
        <v>30.666666666666668</v>
      </c>
      <c r="AI109" s="19">
        <f>IF($D109&lt;&gt;1,"",IF(AND($G109="IKS",ISNUMBER(INDEX(TblClusters[Fermeture retenue],$B109))),IF($E109&gt;=INDEX(TblClusters[Fermeture retenue],$B109),1,0),0))</f>
        <v>0</v>
      </c>
    </row>
    <row r="110" spans="1:35" x14ac:dyDescent="0.2">
      <c r="A110" s="19">
        <v>105</v>
      </c>
      <c r="B110" s="19">
        <f t="shared" si="17"/>
        <v>3</v>
      </c>
      <c r="C110" s="19">
        <f t="shared" si="18"/>
        <v>33</v>
      </c>
      <c r="D110" s="19">
        <f>IF($C110&gt;p_horizon,0,IFERROR(IF(AND(INDEX(TblClusters[Cluster],$B110)&lt;&gt;"",ISNUMBER(INDEX(TblClusters[CPU initial (vCPU)],$B110)),ISNUMBER(INDEX(TblClusters[CPU min (vCPU)],$B110)),OR(INDEX(TblClusters[Plateforme],$B110)="IKS",INDEX(TblClusters[Plateforme],$B110)="ROKS")),1,0),0))</f>
        <v>1</v>
      </c>
      <c r="E110" s="72">
        <f t="shared" si="19"/>
        <v>47270</v>
      </c>
      <c r="F110" s="19" t="str">
        <f>IF($D110=1,INDEX(TblClusters[Cluster],$B110),"")</f>
        <v>oc002i000807</v>
      </c>
      <c r="G110" s="19" t="str">
        <f>IF($D110=1,INDEX(TblClusters[Plateforme],$B110),"")</f>
        <v>ROKS</v>
      </c>
      <c r="H110" s="19">
        <f>IF($D110=1,INDEX(TblClusters[vCPU par nœud],$B110),"")</f>
        <v>16</v>
      </c>
      <c r="I110" s="19">
        <f>IF($D110=1,INDEX(TblClusters[RAM par nœud (Go)],$B110),"")</f>
        <v>80</v>
      </c>
      <c r="J110" s="19">
        <f>IF($D110=1,INDEX(TblClusters[Workers min],$B110),"")</f>
        <v>6</v>
      </c>
      <c r="K110" s="73">
        <f>IF($D110=1,INDEX(TblClusters[Tarif par nœud],$B110),"")</f>
        <v>736</v>
      </c>
      <c r="L110" s="19">
        <f>IF($D110=1,INDEX(TblClusters[CPU initial (vCPU)],$B110),"")</f>
        <v>96</v>
      </c>
      <c r="M110" s="19">
        <f>IF($D110=1,INDEX(TblClusters[RAM initiale (Go)],$B110),"")</f>
        <v>480</v>
      </c>
      <c r="N110" s="19">
        <f>IF($D110=1,INDEX(TblClusters[CPU min (vCPU)],$B110),"")</f>
        <v>96</v>
      </c>
      <c r="O110" s="19">
        <f>IF($D110=1,INDEX(TblClusters[RAM min (Go)],$B110),"")</f>
        <v>480</v>
      </c>
      <c r="P110" s="19">
        <f>IF($D110&lt;&gt;1,"",IF($G110="ROKS",SUMIFS(TblApplications[Besoin ROKS CPU (vCPU)],TblApplications[Cluster ROKS cible],$F110,TblApplications[Action],"À migrer",TblApplications[Déjà incluse ROKS],"Non",TblApplications[Mois prov (calc)],"&lt;="&amp;$E110),SUMIFS(TblApplications[CPU IKS libérable (vCPU)],TblApplications[Cluster IKS source],$F110,TblApplications[Mois lib (calc)],"&lt;="&amp;$E110)))</f>
        <v>0</v>
      </c>
      <c r="Q110" s="19">
        <f>IF($D110&lt;&gt;1,"",IF($G110="ROKS",SUMIFS(TblApplications[Besoin ROKS RAM (Go)],TblApplications[Cluster ROKS cible],$F110,TblApplications[Action],"À migrer",TblApplications[Déjà incluse ROKS],"Non",TblApplications[Mois prov (calc)],"&lt;="&amp;$E110),SUMIFS(TblApplications[RAM IKS libérable (Go)],TblApplications[Cluster IKS source],$F110,TblApplications[Mois lib (calc)],"&lt;="&amp;$E110)))</f>
        <v>0</v>
      </c>
      <c r="R110" s="19">
        <f t="shared" si="20"/>
        <v>96</v>
      </c>
      <c r="S110" s="19">
        <f t="shared" si="21"/>
        <v>480</v>
      </c>
      <c r="T110" s="19">
        <f t="shared" si="22"/>
        <v>6</v>
      </c>
      <c r="U110" s="19">
        <f t="shared" si="23"/>
        <v>96</v>
      </c>
      <c r="V110" s="19">
        <f t="shared" si="24"/>
        <v>480</v>
      </c>
      <c r="W110" s="73">
        <f t="shared" si="25"/>
        <v>4416</v>
      </c>
      <c r="X110" s="19">
        <f>IF($D110&lt;&gt;1,"",IF($G110="ROKS",$R110,IF($AI110=1,0,MAX($N110,$L110-SUMIFS(TblApplications[CPU IKS libérable (vCPU)],TblApplications[Cluster IKS source],$F110,TblApplications[Action],"À migrer",TblApplications[Mois prov (calc)],"&lt;="&amp;$E110)-SUMIFS(TblApplications[CPU IKS libérable (vCPU)],TblApplications[Cluster IKS source],$F110,TblApplications[Action],"À décommissionner",TblApplications[Mois lib (calc)],"&lt;="&amp;$E110)))))</f>
        <v>96</v>
      </c>
      <c r="Y110" s="19">
        <f>IF($D110&lt;&gt;1,"",IF($G110="ROKS",$S110,IF($AI110=1,0,MAX($O110,$M110-SUMIFS(TblApplications[RAM IKS libérable (Go)],TblApplications[Cluster IKS source],$F110,TblApplications[Action],"À migrer",TblApplications[Mois prov (calc)],"&lt;="&amp;$E110)-SUMIFS(TblApplications[RAM IKS libérable (Go)],TblApplications[Cluster IKS source],$F110,TblApplications[Action],"À décommissionner",TblApplications[Mois lib (calc)],"&lt;="&amp;$E110)))))</f>
        <v>480</v>
      </c>
      <c r="Z110" s="19">
        <f t="shared" si="26"/>
        <v>6</v>
      </c>
      <c r="AA110" s="73">
        <f t="shared" si="27"/>
        <v>4416</v>
      </c>
      <c r="AB110" s="19">
        <f t="shared" si="28"/>
        <v>6</v>
      </c>
      <c r="AC110" s="73">
        <f t="shared" si="29"/>
        <v>4416</v>
      </c>
      <c r="AD110" s="19">
        <f t="shared" si="30"/>
        <v>0</v>
      </c>
      <c r="AE110" s="19">
        <f t="shared" si="31"/>
        <v>0</v>
      </c>
      <c r="AF110" s="19" t="str">
        <f>IF($D110&lt;&gt;1,"",IF(INDEX(TblClusters[Environnement],$B110)="","(vide)",INDEX(TblClusters[Environnement],$B110)))</f>
        <v>NPRD</v>
      </c>
      <c r="AG110" s="19">
        <f t="shared" si="32"/>
        <v>144</v>
      </c>
      <c r="AH110" s="19">
        <f t="shared" si="33"/>
        <v>30.666666666666668</v>
      </c>
      <c r="AI110" s="19">
        <f>IF($D110&lt;&gt;1,"",IF(AND($G110="IKS",ISNUMBER(INDEX(TblClusters[Fermeture retenue],$B110))),IF($E110&gt;=INDEX(TblClusters[Fermeture retenue],$B110),1,0),0))</f>
        <v>0</v>
      </c>
    </row>
    <row r="111" spans="1:35" x14ac:dyDescent="0.2">
      <c r="A111" s="19">
        <v>106</v>
      </c>
      <c r="B111" s="19">
        <f t="shared" si="17"/>
        <v>3</v>
      </c>
      <c r="C111" s="19">
        <f t="shared" si="18"/>
        <v>34</v>
      </c>
      <c r="D111" s="19">
        <f>IF($C111&gt;p_horizon,0,IFERROR(IF(AND(INDEX(TblClusters[Cluster],$B111)&lt;&gt;"",ISNUMBER(INDEX(TblClusters[CPU initial (vCPU)],$B111)),ISNUMBER(INDEX(TblClusters[CPU min (vCPU)],$B111)),OR(INDEX(TblClusters[Plateforme],$B111)="IKS",INDEX(TblClusters[Plateforme],$B111)="ROKS")),1,0),0))</f>
        <v>1</v>
      </c>
      <c r="E111" s="72">
        <f t="shared" si="19"/>
        <v>47300</v>
      </c>
      <c r="F111" s="19" t="str">
        <f>IF($D111=1,INDEX(TblClusters[Cluster],$B111),"")</f>
        <v>oc002i000807</v>
      </c>
      <c r="G111" s="19" t="str">
        <f>IF($D111=1,INDEX(TblClusters[Plateforme],$B111),"")</f>
        <v>ROKS</v>
      </c>
      <c r="H111" s="19">
        <f>IF($D111=1,INDEX(TblClusters[vCPU par nœud],$B111),"")</f>
        <v>16</v>
      </c>
      <c r="I111" s="19">
        <f>IF($D111=1,INDEX(TblClusters[RAM par nœud (Go)],$B111),"")</f>
        <v>80</v>
      </c>
      <c r="J111" s="19">
        <f>IF($D111=1,INDEX(TblClusters[Workers min],$B111),"")</f>
        <v>6</v>
      </c>
      <c r="K111" s="73">
        <f>IF($D111=1,INDEX(TblClusters[Tarif par nœud],$B111),"")</f>
        <v>736</v>
      </c>
      <c r="L111" s="19">
        <f>IF($D111=1,INDEX(TblClusters[CPU initial (vCPU)],$B111),"")</f>
        <v>96</v>
      </c>
      <c r="M111" s="19">
        <f>IF($D111=1,INDEX(TblClusters[RAM initiale (Go)],$B111),"")</f>
        <v>480</v>
      </c>
      <c r="N111" s="19">
        <f>IF($D111=1,INDEX(TblClusters[CPU min (vCPU)],$B111),"")</f>
        <v>96</v>
      </c>
      <c r="O111" s="19">
        <f>IF($D111=1,INDEX(TblClusters[RAM min (Go)],$B111),"")</f>
        <v>480</v>
      </c>
      <c r="P111" s="19">
        <f>IF($D111&lt;&gt;1,"",IF($G111="ROKS",SUMIFS(TblApplications[Besoin ROKS CPU (vCPU)],TblApplications[Cluster ROKS cible],$F111,TblApplications[Action],"À migrer",TblApplications[Déjà incluse ROKS],"Non",TblApplications[Mois prov (calc)],"&lt;="&amp;$E111),SUMIFS(TblApplications[CPU IKS libérable (vCPU)],TblApplications[Cluster IKS source],$F111,TblApplications[Mois lib (calc)],"&lt;="&amp;$E111)))</f>
        <v>0</v>
      </c>
      <c r="Q111" s="19">
        <f>IF($D111&lt;&gt;1,"",IF($G111="ROKS",SUMIFS(TblApplications[Besoin ROKS RAM (Go)],TblApplications[Cluster ROKS cible],$F111,TblApplications[Action],"À migrer",TblApplications[Déjà incluse ROKS],"Non",TblApplications[Mois prov (calc)],"&lt;="&amp;$E111),SUMIFS(TblApplications[RAM IKS libérable (Go)],TblApplications[Cluster IKS source],$F111,TblApplications[Mois lib (calc)],"&lt;="&amp;$E111)))</f>
        <v>0</v>
      </c>
      <c r="R111" s="19">
        <f t="shared" si="20"/>
        <v>96</v>
      </c>
      <c r="S111" s="19">
        <f t="shared" si="21"/>
        <v>480</v>
      </c>
      <c r="T111" s="19">
        <f t="shared" si="22"/>
        <v>6</v>
      </c>
      <c r="U111" s="19">
        <f t="shared" si="23"/>
        <v>96</v>
      </c>
      <c r="V111" s="19">
        <f t="shared" si="24"/>
        <v>480</v>
      </c>
      <c r="W111" s="73">
        <f t="shared" si="25"/>
        <v>4416</v>
      </c>
      <c r="X111" s="19">
        <f>IF($D111&lt;&gt;1,"",IF($G111="ROKS",$R111,IF($AI111=1,0,MAX($N111,$L111-SUMIFS(TblApplications[CPU IKS libérable (vCPU)],TblApplications[Cluster IKS source],$F111,TblApplications[Action],"À migrer",TblApplications[Mois prov (calc)],"&lt;="&amp;$E111)-SUMIFS(TblApplications[CPU IKS libérable (vCPU)],TblApplications[Cluster IKS source],$F111,TblApplications[Action],"À décommissionner",TblApplications[Mois lib (calc)],"&lt;="&amp;$E111)))))</f>
        <v>96</v>
      </c>
      <c r="Y111" s="19">
        <f>IF($D111&lt;&gt;1,"",IF($G111="ROKS",$S111,IF($AI111=1,0,MAX($O111,$M111-SUMIFS(TblApplications[RAM IKS libérable (Go)],TblApplications[Cluster IKS source],$F111,TblApplications[Action],"À migrer",TblApplications[Mois prov (calc)],"&lt;="&amp;$E111)-SUMIFS(TblApplications[RAM IKS libérable (Go)],TblApplications[Cluster IKS source],$F111,TblApplications[Action],"À décommissionner",TblApplications[Mois lib (calc)],"&lt;="&amp;$E111)))))</f>
        <v>480</v>
      </c>
      <c r="Z111" s="19">
        <f t="shared" si="26"/>
        <v>6</v>
      </c>
      <c r="AA111" s="73">
        <f t="shared" si="27"/>
        <v>4416</v>
      </c>
      <c r="AB111" s="19">
        <f t="shared" si="28"/>
        <v>6</v>
      </c>
      <c r="AC111" s="73">
        <f t="shared" si="29"/>
        <v>4416</v>
      </c>
      <c r="AD111" s="19">
        <f t="shared" si="30"/>
        <v>0</v>
      </c>
      <c r="AE111" s="19">
        <f t="shared" si="31"/>
        <v>0</v>
      </c>
      <c r="AF111" s="19" t="str">
        <f>IF($D111&lt;&gt;1,"",IF(INDEX(TblClusters[Environnement],$B111)="","(vide)",INDEX(TblClusters[Environnement],$B111)))</f>
        <v>NPRD</v>
      </c>
      <c r="AG111" s="19">
        <f t="shared" si="32"/>
        <v>144</v>
      </c>
      <c r="AH111" s="19">
        <f t="shared" si="33"/>
        <v>30.666666666666668</v>
      </c>
      <c r="AI111" s="19">
        <f>IF($D111&lt;&gt;1,"",IF(AND($G111="IKS",ISNUMBER(INDEX(TblClusters[Fermeture retenue],$B111))),IF($E111&gt;=INDEX(TblClusters[Fermeture retenue],$B111),1,0),0))</f>
        <v>0</v>
      </c>
    </row>
    <row r="112" spans="1:35" x14ac:dyDescent="0.2">
      <c r="A112" s="19">
        <v>107</v>
      </c>
      <c r="B112" s="19">
        <f t="shared" si="17"/>
        <v>3</v>
      </c>
      <c r="C112" s="19">
        <f t="shared" si="18"/>
        <v>35</v>
      </c>
      <c r="D112" s="19">
        <f>IF($C112&gt;p_horizon,0,IFERROR(IF(AND(INDEX(TblClusters[Cluster],$B112)&lt;&gt;"",ISNUMBER(INDEX(TblClusters[CPU initial (vCPU)],$B112)),ISNUMBER(INDEX(TblClusters[CPU min (vCPU)],$B112)),OR(INDEX(TblClusters[Plateforme],$B112)="IKS",INDEX(TblClusters[Plateforme],$B112)="ROKS")),1,0),0))</f>
        <v>1</v>
      </c>
      <c r="E112" s="72">
        <f t="shared" si="19"/>
        <v>47331</v>
      </c>
      <c r="F112" s="19" t="str">
        <f>IF($D112=1,INDEX(TblClusters[Cluster],$B112),"")</f>
        <v>oc002i000807</v>
      </c>
      <c r="G112" s="19" t="str">
        <f>IF($D112=1,INDEX(TblClusters[Plateforme],$B112),"")</f>
        <v>ROKS</v>
      </c>
      <c r="H112" s="19">
        <f>IF($D112=1,INDEX(TblClusters[vCPU par nœud],$B112),"")</f>
        <v>16</v>
      </c>
      <c r="I112" s="19">
        <f>IF($D112=1,INDEX(TblClusters[RAM par nœud (Go)],$B112),"")</f>
        <v>80</v>
      </c>
      <c r="J112" s="19">
        <f>IF($D112=1,INDEX(TblClusters[Workers min],$B112),"")</f>
        <v>6</v>
      </c>
      <c r="K112" s="73">
        <f>IF($D112=1,INDEX(TblClusters[Tarif par nœud],$B112),"")</f>
        <v>736</v>
      </c>
      <c r="L112" s="19">
        <f>IF($D112=1,INDEX(TblClusters[CPU initial (vCPU)],$B112),"")</f>
        <v>96</v>
      </c>
      <c r="M112" s="19">
        <f>IF($D112=1,INDEX(TblClusters[RAM initiale (Go)],$B112),"")</f>
        <v>480</v>
      </c>
      <c r="N112" s="19">
        <f>IF($D112=1,INDEX(TblClusters[CPU min (vCPU)],$B112),"")</f>
        <v>96</v>
      </c>
      <c r="O112" s="19">
        <f>IF($D112=1,INDEX(TblClusters[RAM min (Go)],$B112),"")</f>
        <v>480</v>
      </c>
      <c r="P112" s="19">
        <f>IF($D112&lt;&gt;1,"",IF($G112="ROKS",SUMIFS(TblApplications[Besoin ROKS CPU (vCPU)],TblApplications[Cluster ROKS cible],$F112,TblApplications[Action],"À migrer",TblApplications[Déjà incluse ROKS],"Non",TblApplications[Mois prov (calc)],"&lt;="&amp;$E112),SUMIFS(TblApplications[CPU IKS libérable (vCPU)],TblApplications[Cluster IKS source],$F112,TblApplications[Mois lib (calc)],"&lt;="&amp;$E112)))</f>
        <v>0</v>
      </c>
      <c r="Q112" s="19">
        <f>IF($D112&lt;&gt;1,"",IF($G112="ROKS",SUMIFS(TblApplications[Besoin ROKS RAM (Go)],TblApplications[Cluster ROKS cible],$F112,TblApplications[Action],"À migrer",TblApplications[Déjà incluse ROKS],"Non",TblApplications[Mois prov (calc)],"&lt;="&amp;$E112),SUMIFS(TblApplications[RAM IKS libérable (Go)],TblApplications[Cluster IKS source],$F112,TblApplications[Mois lib (calc)],"&lt;="&amp;$E112)))</f>
        <v>0</v>
      </c>
      <c r="R112" s="19">
        <f t="shared" si="20"/>
        <v>96</v>
      </c>
      <c r="S112" s="19">
        <f t="shared" si="21"/>
        <v>480</v>
      </c>
      <c r="T112" s="19">
        <f t="shared" si="22"/>
        <v>6</v>
      </c>
      <c r="U112" s="19">
        <f t="shared" si="23"/>
        <v>96</v>
      </c>
      <c r="V112" s="19">
        <f t="shared" si="24"/>
        <v>480</v>
      </c>
      <c r="W112" s="73">
        <f t="shared" si="25"/>
        <v>4416</v>
      </c>
      <c r="X112" s="19">
        <f>IF($D112&lt;&gt;1,"",IF($G112="ROKS",$R112,IF($AI112=1,0,MAX($N112,$L112-SUMIFS(TblApplications[CPU IKS libérable (vCPU)],TblApplications[Cluster IKS source],$F112,TblApplications[Action],"À migrer",TblApplications[Mois prov (calc)],"&lt;="&amp;$E112)-SUMIFS(TblApplications[CPU IKS libérable (vCPU)],TblApplications[Cluster IKS source],$F112,TblApplications[Action],"À décommissionner",TblApplications[Mois lib (calc)],"&lt;="&amp;$E112)))))</f>
        <v>96</v>
      </c>
      <c r="Y112" s="19">
        <f>IF($D112&lt;&gt;1,"",IF($G112="ROKS",$S112,IF($AI112=1,0,MAX($O112,$M112-SUMIFS(TblApplications[RAM IKS libérable (Go)],TblApplications[Cluster IKS source],$F112,TblApplications[Action],"À migrer",TblApplications[Mois prov (calc)],"&lt;="&amp;$E112)-SUMIFS(TblApplications[RAM IKS libérable (Go)],TblApplications[Cluster IKS source],$F112,TblApplications[Action],"À décommissionner",TblApplications[Mois lib (calc)],"&lt;="&amp;$E112)))))</f>
        <v>480</v>
      </c>
      <c r="Z112" s="19">
        <f t="shared" si="26"/>
        <v>6</v>
      </c>
      <c r="AA112" s="73">
        <f t="shared" si="27"/>
        <v>4416</v>
      </c>
      <c r="AB112" s="19">
        <f t="shared" si="28"/>
        <v>6</v>
      </c>
      <c r="AC112" s="73">
        <f t="shared" si="29"/>
        <v>4416</v>
      </c>
      <c r="AD112" s="19">
        <f t="shared" si="30"/>
        <v>0</v>
      </c>
      <c r="AE112" s="19">
        <f t="shared" si="31"/>
        <v>0</v>
      </c>
      <c r="AF112" s="19" t="str">
        <f>IF($D112&lt;&gt;1,"",IF(INDEX(TblClusters[Environnement],$B112)="","(vide)",INDEX(TblClusters[Environnement],$B112)))</f>
        <v>NPRD</v>
      </c>
      <c r="AG112" s="19">
        <f t="shared" si="32"/>
        <v>144</v>
      </c>
      <c r="AH112" s="19">
        <f t="shared" si="33"/>
        <v>30.666666666666668</v>
      </c>
      <c r="AI112" s="19">
        <f>IF($D112&lt;&gt;1,"",IF(AND($G112="IKS",ISNUMBER(INDEX(TblClusters[Fermeture retenue],$B112))),IF($E112&gt;=INDEX(TblClusters[Fermeture retenue],$B112),1,0),0))</f>
        <v>0</v>
      </c>
    </row>
    <row r="113" spans="1:35" x14ac:dyDescent="0.2">
      <c r="A113" s="19">
        <v>108</v>
      </c>
      <c r="B113" s="19">
        <f t="shared" si="17"/>
        <v>3</v>
      </c>
      <c r="C113" s="19">
        <f t="shared" si="18"/>
        <v>36</v>
      </c>
      <c r="D113" s="19">
        <f>IF($C113&gt;p_horizon,0,IFERROR(IF(AND(INDEX(TblClusters[Cluster],$B113)&lt;&gt;"",ISNUMBER(INDEX(TblClusters[CPU initial (vCPU)],$B113)),ISNUMBER(INDEX(TblClusters[CPU min (vCPU)],$B113)),OR(INDEX(TblClusters[Plateforme],$B113)="IKS",INDEX(TblClusters[Plateforme],$B113)="ROKS")),1,0),0))</f>
        <v>1</v>
      </c>
      <c r="E113" s="72">
        <f t="shared" si="19"/>
        <v>47362</v>
      </c>
      <c r="F113" s="19" t="str">
        <f>IF($D113=1,INDEX(TblClusters[Cluster],$B113),"")</f>
        <v>oc002i000807</v>
      </c>
      <c r="G113" s="19" t="str">
        <f>IF($D113=1,INDEX(TblClusters[Plateforme],$B113),"")</f>
        <v>ROKS</v>
      </c>
      <c r="H113" s="19">
        <f>IF($D113=1,INDEX(TblClusters[vCPU par nœud],$B113),"")</f>
        <v>16</v>
      </c>
      <c r="I113" s="19">
        <f>IF($D113=1,INDEX(TblClusters[RAM par nœud (Go)],$B113),"")</f>
        <v>80</v>
      </c>
      <c r="J113" s="19">
        <f>IF($D113=1,INDEX(TblClusters[Workers min],$B113),"")</f>
        <v>6</v>
      </c>
      <c r="K113" s="73">
        <f>IF($D113=1,INDEX(TblClusters[Tarif par nœud],$B113),"")</f>
        <v>736</v>
      </c>
      <c r="L113" s="19">
        <f>IF($D113=1,INDEX(TblClusters[CPU initial (vCPU)],$B113),"")</f>
        <v>96</v>
      </c>
      <c r="M113" s="19">
        <f>IF($D113=1,INDEX(TblClusters[RAM initiale (Go)],$B113),"")</f>
        <v>480</v>
      </c>
      <c r="N113" s="19">
        <f>IF($D113=1,INDEX(TblClusters[CPU min (vCPU)],$B113),"")</f>
        <v>96</v>
      </c>
      <c r="O113" s="19">
        <f>IF($D113=1,INDEX(TblClusters[RAM min (Go)],$B113),"")</f>
        <v>480</v>
      </c>
      <c r="P113" s="19">
        <f>IF($D113&lt;&gt;1,"",IF($G113="ROKS",SUMIFS(TblApplications[Besoin ROKS CPU (vCPU)],TblApplications[Cluster ROKS cible],$F113,TblApplications[Action],"À migrer",TblApplications[Déjà incluse ROKS],"Non",TblApplications[Mois prov (calc)],"&lt;="&amp;$E113),SUMIFS(TblApplications[CPU IKS libérable (vCPU)],TblApplications[Cluster IKS source],$F113,TblApplications[Mois lib (calc)],"&lt;="&amp;$E113)))</f>
        <v>0</v>
      </c>
      <c r="Q113" s="19">
        <f>IF($D113&lt;&gt;1,"",IF($G113="ROKS",SUMIFS(TblApplications[Besoin ROKS RAM (Go)],TblApplications[Cluster ROKS cible],$F113,TblApplications[Action],"À migrer",TblApplications[Déjà incluse ROKS],"Non",TblApplications[Mois prov (calc)],"&lt;="&amp;$E113),SUMIFS(TblApplications[RAM IKS libérable (Go)],TblApplications[Cluster IKS source],$F113,TblApplications[Mois lib (calc)],"&lt;="&amp;$E113)))</f>
        <v>0</v>
      </c>
      <c r="R113" s="19">
        <f t="shared" si="20"/>
        <v>96</v>
      </c>
      <c r="S113" s="19">
        <f t="shared" si="21"/>
        <v>480</v>
      </c>
      <c r="T113" s="19">
        <f t="shared" si="22"/>
        <v>6</v>
      </c>
      <c r="U113" s="19">
        <f t="shared" si="23"/>
        <v>96</v>
      </c>
      <c r="V113" s="19">
        <f t="shared" si="24"/>
        <v>480</v>
      </c>
      <c r="W113" s="73">
        <f t="shared" si="25"/>
        <v>4416</v>
      </c>
      <c r="X113" s="19">
        <f>IF($D113&lt;&gt;1,"",IF($G113="ROKS",$R113,IF($AI113=1,0,MAX($N113,$L113-SUMIFS(TblApplications[CPU IKS libérable (vCPU)],TblApplications[Cluster IKS source],$F113,TblApplications[Action],"À migrer",TblApplications[Mois prov (calc)],"&lt;="&amp;$E113)-SUMIFS(TblApplications[CPU IKS libérable (vCPU)],TblApplications[Cluster IKS source],$F113,TblApplications[Action],"À décommissionner",TblApplications[Mois lib (calc)],"&lt;="&amp;$E113)))))</f>
        <v>96</v>
      </c>
      <c r="Y113" s="19">
        <f>IF($D113&lt;&gt;1,"",IF($G113="ROKS",$S113,IF($AI113=1,0,MAX($O113,$M113-SUMIFS(TblApplications[RAM IKS libérable (Go)],TblApplications[Cluster IKS source],$F113,TblApplications[Action],"À migrer",TblApplications[Mois prov (calc)],"&lt;="&amp;$E113)-SUMIFS(TblApplications[RAM IKS libérable (Go)],TblApplications[Cluster IKS source],$F113,TblApplications[Action],"À décommissionner",TblApplications[Mois lib (calc)],"&lt;="&amp;$E113)))))</f>
        <v>480</v>
      </c>
      <c r="Z113" s="19">
        <f t="shared" si="26"/>
        <v>6</v>
      </c>
      <c r="AA113" s="73">
        <f t="shared" si="27"/>
        <v>4416</v>
      </c>
      <c r="AB113" s="19">
        <f t="shared" si="28"/>
        <v>6</v>
      </c>
      <c r="AC113" s="73">
        <f t="shared" si="29"/>
        <v>4416</v>
      </c>
      <c r="AD113" s="19">
        <f t="shared" si="30"/>
        <v>0</v>
      </c>
      <c r="AE113" s="19">
        <f t="shared" si="31"/>
        <v>0</v>
      </c>
      <c r="AF113" s="19" t="str">
        <f>IF($D113&lt;&gt;1,"",IF(INDEX(TblClusters[Environnement],$B113)="","(vide)",INDEX(TblClusters[Environnement],$B113)))</f>
        <v>NPRD</v>
      </c>
      <c r="AG113" s="19">
        <f t="shared" si="32"/>
        <v>144</v>
      </c>
      <c r="AH113" s="19">
        <f t="shared" si="33"/>
        <v>30.666666666666668</v>
      </c>
      <c r="AI113" s="19">
        <f>IF($D113&lt;&gt;1,"",IF(AND($G113="IKS",ISNUMBER(INDEX(TblClusters[Fermeture retenue],$B113))),IF($E113&gt;=INDEX(TblClusters[Fermeture retenue],$B113),1,0),0))</f>
        <v>0</v>
      </c>
    </row>
    <row r="114" spans="1:35" x14ac:dyDescent="0.2">
      <c r="A114" s="19">
        <v>109</v>
      </c>
      <c r="B114" s="19">
        <f t="shared" si="17"/>
        <v>4</v>
      </c>
      <c r="C114" s="19">
        <f t="shared" si="18"/>
        <v>1</v>
      </c>
      <c r="D114" s="19">
        <f>IF($C114&gt;p_horizon,0,IFERROR(IF(AND(INDEX(TblClusters[Cluster],$B114)&lt;&gt;"",ISNUMBER(INDEX(TblClusters[CPU initial (vCPU)],$B114)),ISNUMBER(INDEX(TblClusters[CPU min (vCPU)],$B114)),OR(INDEX(TblClusters[Plateforme],$B114)="IKS",INDEX(TblClusters[Plateforme],$B114)="ROKS")),1,0),0))</f>
        <v>1</v>
      </c>
      <c r="E114" s="72">
        <f t="shared" si="19"/>
        <v>46296</v>
      </c>
      <c r="F114" s="19" t="str">
        <f>IF($D114=1,INDEX(TblClusters[Cluster],$B114),"")</f>
        <v>oc002i000809</v>
      </c>
      <c r="G114" s="19" t="str">
        <f>IF($D114=1,INDEX(TblClusters[Plateforme],$B114),"")</f>
        <v>ROKS</v>
      </c>
      <c r="H114" s="19">
        <f>IF($D114=1,INDEX(TblClusters[vCPU par nœud],$B114),"")</f>
        <v>8</v>
      </c>
      <c r="I114" s="19">
        <f>IF($D114=1,INDEX(TblClusters[RAM par nœud (Go)],$B114),"")</f>
        <v>40</v>
      </c>
      <c r="J114" s="19">
        <f>IF($D114=1,INDEX(TblClusters[Workers min],$B114),"")</f>
        <v>6</v>
      </c>
      <c r="K114" s="73">
        <f>IF($D114=1,INDEX(TblClusters[Tarif par nœud],$B114),"")</f>
        <v>368</v>
      </c>
      <c r="L114" s="19">
        <f>IF($D114=1,INDEX(TblClusters[CPU initial (vCPU)],$B114),"")</f>
        <v>48</v>
      </c>
      <c r="M114" s="19">
        <f>IF($D114=1,INDEX(TblClusters[RAM initiale (Go)],$B114),"")</f>
        <v>240</v>
      </c>
      <c r="N114" s="19">
        <f>IF($D114=1,INDEX(TblClusters[CPU min (vCPU)],$B114),"")</f>
        <v>48</v>
      </c>
      <c r="O114" s="19">
        <f>IF($D114=1,INDEX(TblClusters[RAM min (Go)],$B114),"")</f>
        <v>240</v>
      </c>
      <c r="P114" s="19">
        <f>IF($D114&lt;&gt;1,"",IF($G114="ROKS",SUMIFS(TblApplications[Besoin ROKS CPU (vCPU)],TblApplications[Cluster ROKS cible],$F114,TblApplications[Action],"À migrer",TblApplications[Déjà incluse ROKS],"Non",TblApplications[Mois prov (calc)],"&lt;="&amp;$E114),SUMIFS(TblApplications[CPU IKS libérable (vCPU)],TblApplications[Cluster IKS source],$F114,TblApplications[Mois lib (calc)],"&lt;="&amp;$E114)))</f>
        <v>0</v>
      </c>
      <c r="Q114" s="19">
        <f>IF($D114&lt;&gt;1,"",IF($G114="ROKS",SUMIFS(TblApplications[Besoin ROKS RAM (Go)],TblApplications[Cluster ROKS cible],$F114,TblApplications[Action],"À migrer",TblApplications[Déjà incluse ROKS],"Non",TblApplications[Mois prov (calc)],"&lt;="&amp;$E114),SUMIFS(TblApplications[RAM IKS libérable (Go)],TblApplications[Cluster IKS source],$F114,TblApplications[Mois lib (calc)],"&lt;="&amp;$E114)))</f>
        <v>0</v>
      </c>
      <c r="R114" s="19">
        <f t="shared" si="20"/>
        <v>48</v>
      </c>
      <c r="S114" s="19">
        <f t="shared" si="21"/>
        <v>240</v>
      </c>
      <c r="T114" s="19">
        <f t="shared" si="22"/>
        <v>6</v>
      </c>
      <c r="U114" s="19">
        <f t="shared" si="23"/>
        <v>48</v>
      </c>
      <c r="V114" s="19">
        <f t="shared" si="24"/>
        <v>240</v>
      </c>
      <c r="W114" s="73">
        <f t="shared" si="25"/>
        <v>2208</v>
      </c>
      <c r="X114" s="19">
        <f>IF($D114&lt;&gt;1,"",IF($G114="ROKS",$R114,IF($AI114=1,0,MAX($N114,$L114-SUMIFS(TblApplications[CPU IKS libérable (vCPU)],TblApplications[Cluster IKS source],$F114,TblApplications[Action],"À migrer",TblApplications[Mois prov (calc)],"&lt;="&amp;$E114)-SUMIFS(TblApplications[CPU IKS libérable (vCPU)],TblApplications[Cluster IKS source],$F114,TblApplications[Action],"À décommissionner",TblApplications[Mois lib (calc)],"&lt;="&amp;$E114)))))</f>
        <v>48</v>
      </c>
      <c r="Y114" s="19">
        <f>IF($D114&lt;&gt;1,"",IF($G114="ROKS",$S114,IF($AI114=1,0,MAX($O114,$M114-SUMIFS(TblApplications[RAM IKS libérable (Go)],TblApplications[Cluster IKS source],$F114,TblApplications[Action],"À migrer",TblApplications[Mois prov (calc)],"&lt;="&amp;$E114)-SUMIFS(TblApplications[RAM IKS libérable (Go)],TblApplications[Cluster IKS source],$F114,TblApplications[Action],"À décommissionner",TblApplications[Mois lib (calc)],"&lt;="&amp;$E114)))))</f>
        <v>240</v>
      </c>
      <c r="Z114" s="19">
        <f t="shared" si="26"/>
        <v>6</v>
      </c>
      <c r="AA114" s="73">
        <f t="shared" si="27"/>
        <v>2208</v>
      </c>
      <c r="AB114" s="19">
        <f t="shared" si="28"/>
        <v>6</v>
      </c>
      <c r="AC114" s="73">
        <f t="shared" si="29"/>
        <v>2208</v>
      </c>
      <c r="AD114" s="19">
        <f t="shared" si="30"/>
        <v>0</v>
      </c>
      <c r="AE114" s="19">
        <f t="shared" si="31"/>
        <v>0</v>
      </c>
      <c r="AF114" s="19" t="str">
        <f>IF($D114&lt;&gt;1,"",IF(INDEX(TblClusters[Environnement],$B114)="","(vide)",INDEX(TblClusters[Environnement],$B114)))</f>
        <v>PRD</v>
      </c>
      <c r="AG114" s="19">
        <f t="shared" si="32"/>
        <v>72</v>
      </c>
      <c r="AH114" s="19">
        <f t="shared" si="33"/>
        <v>30.666666666666668</v>
      </c>
      <c r="AI114" s="19">
        <f>IF($D114&lt;&gt;1,"",IF(AND($G114="IKS",ISNUMBER(INDEX(TblClusters[Fermeture retenue],$B114))),IF($E114&gt;=INDEX(TblClusters[Fermeture retenue],$B114),1,0),0))</f>
        <v>0</v>
      </c>
    </row>
    <row r="115" spans="1:35" x14ac:dyDescent="0.2">
      <c r="A115" s="19">
        <v>110</v>
      </c>
      <c r="B115" s="19">
        <f t="shared" si="17"/>
        <v>4</v>
      </c>
      <c r="C115" s="19">
        <f t="shared" si="18"/>
        <v>2</v>
      </c>
      <c r="D115" s="19">
        <f>IF($C115&gt;p_horizon,0,IFERROR(IF(AND(INDEX(TblClusters[Cluster],$B115)&lt;&gt;"",ISNUMBER(INDEX(TblClusters[CPU initial (vCPU)],$B115)),ISNUMBER(INDEX(TblClusters[CPU min (vCPU)],$B115)),OR(INDEX(TblClusters[Plateforme],$B115)="IKS",INDEX(TblClusters[Plateforme],$B115)="ROKS")),1,0),0))</f>
        <v>1</v>
      </c>
      <c r="E115" s="72">
        <f t="shared" si="19"/>
        <v>46327</v>
      </c>
      <c r="F115" s="19" t="str">
        <f>IF($D115=1,INDEX(TblClusters[Cluster],$B115),"")</f>
        <v>oc002i000809</v>
      </c>
      <c r="G115" s="19" t="str">
        <f>IF($D115=1,INDEX(TblClusters[Plateforme],$B115),"")</f>
        <v>ROKS</v>
      </c>
      <c r="H115" s="19">
        <f>IF($D115=1,INDEX(TblClusters[vCPU par nœud],$B115),"")</f>
        <v>8</v>
      </c>
      <c r="I115" s="19">
        <f>IF($D115=1,INDEX(TblClusters[RAM par nœud (Go)],$B115),"")</f>
        <v>40</v>
      </c>
      <c r="J115" s="19">
        <f>IF($D115=1,INDEX(TblClusters[Workers min],$B115),"")</f>
        <v>6</v>
      </c>
      <c r="K115" s="73">
        <f>IF($D115=1,INDEX(TblClusters[Tarif par nœud],$B115),"")</f>
        <v>368</v>
      </c>
      <c r="L115" s="19">
        <f>IF($D115=1,INDEX(TblClusters[CPU initial (vCPU)],$B115),"")</f>
        <v>48</v>
      </c>
      <c r="M115" s="19">
        <f>IF($D115=1,INDEX(TblClusters[RAM initiale (Go)],$B115),"")</f>
        <v>240</v>
      </c>
      <c r="N115" s="19">
        <f>IF($D115=1,INDEX(TblClusters[CPU min (vCPU)],$B115),"")</f>
        <v>48</v>
      </c>
      <c r="O115" s="19">
        <f>IF($D115=1,INDEX(TblClusters[RAM min (Go)],$B115),"")</f>
        <v>240</v>
      </c>
      <c r="P115" s="19">
        <f>IF($D115&lt;&gt;1,"",IF($G115="ROKS",SUMIFS(TblApplications[Besoin ROKS CPU (vCPU)],TblApplications[Cluster ROKS cible],$F115,TblApplications[Action],"À migrer",TblApplications[Déjà incluse ROKS],"Non",TblApplications[Mois prov (calc)],"&lt;="&amp;$E115),SUMIFS(TblApplications[CPU IKS libérable (vCPU)],TblApplications[Cluster IKS source],$F115,TblApplications[Mois lib (calc)],"&lt;="&amp;$E115)))</f>
        <v>0</v>
      </c>
      <c r="Q115" s="19">
        <f>IF($D115&lt;&gt;1,"",IF($G115="ROKS",SUMIFS(TblApplications[Besoin ROKS RAM (Go)],TblApplications[Cluster ROKS cible],$F115,TblApplications[Action],"À migrer",TblApplications[Déjà incluse ROKS],"Non",TblApplications[Mois prov (calc)],"&lt;="&amp;$E115),SUMIFS(TblApplications[RAM IKS libérable (Go)],TblApplications[Cluster IKS source],$F115,TblApplications[Mois lib (calc)],"&lt;="&amp;$E115)))</f>
        <v>0</v>
      </c>
      <c r="R115" s="19">
        <f t="shared" si="20"/>
        <v>48</v>
      </c>
      <c r="S115" s="19">
        <f t="shared" si="21"/>
        <v>240</v>
      </c>
      <c r="T115" s="19">
        <f t="shared" si="22"/>
        <v>6</v>
      </c>
      <c r="U115" s="19">
        <f t="shared" si="23"/>
        <v>48</v>
      </c>
      <c r="V115" s="19">
        <f t="shared" si="24"/>
        <v>240</v>
      </c>
      <c r="W115" s="73">
        <f t="shared" si="25"/>
        <v>2208</v>
      </c>
      <c r="X115" s="19">
        <f>IF($D115&lt;&gt;1,"",IF($G115="ROKS",$R115,IF($AI115=1,0,MAX($N115,$L115-SUMIFS(TblApplications[CPU IKS libérable (vCPU)],TblApplications[Cluster IKS source],$F115,TblApplications[Action],"À migrer",TblApplications[Mois prov (calc)],"&lt;="&amp;$E115)-SUMIFS(TblApplications[CPU IKS libérable (vCPU)],TblApplications[Cluster IKS source],$F115,TblApplications[Action],"À décommissionner",TblApplications[Mois lib (calc)],"&lt;="&amp;$E115)))))</f>
        <v>48</v>
      </c>
      <c r="Y115" s="19">
        <f>IF($D115&lt;&gt;1,"",IF($G115="ROKS",$S115,IF($AI115=1,0,MAX($O115,$M115-SUMIFS(TblApplications[RAM IKS libérable (Go)],TblApplications[Cluster IKS source],$F115,TblApplications[Action],"À migrer",TblApplications[Mois prov (calc)],"&lt;="&amp;$E115)-SUMIFS(TblApplications[RAM IKS libérable (Go)],TblApplications[Cluster IKS source],$F115,TblApplications[Action],"À décommissionner",TblApplications[Mois lib (calc)],"&lt;="&amp;$E115)))))</f>
        <v>240</v>
      </c>
      <c r="Z115" s="19">
        <f t="shared" si="26"/>
        <v>6</v>
      </c>
      <c r="AA115" s="73">
        <f t="shared" si="27"/>
        <v>2208</v>
      </c>
      <c r="AB115" s="19">
        <f t="shared" si="28"/>
        <v>6</v>
      </c>
      <c r="AC115" s="73">
        <f t="shared" si="29"/>
        <v>2208</v>
      </c>
      <c r="AD115" s="19">
        <f t="shared" si="30"/>
        <v>0</v>
      </c>
      <c r="AE115" s="19">
        <f t="shared" si="31"/>
        <v>0</v>
      </c>
      <c r="AF115" s="19" t="str">
        <f>IF($D115&lt;&gt;1,"",IF(INDEX(TblClusters[Environnement],$B115)="","(vide)",INDEX(TblClusters[Environnement],$B115)))</f>
        <v>PRD</v>
      </c>
      <c r="AG115" s="19">
        <f t="shared" si="32"/>
        <v>72</v>
      </c>
      <c r="AH115" s="19">
        <f t="shared" si="33"/>
        <v>30.666666666666668</v>
      </c>
      <c r="AI115" s="19">
        <f>IF($D115&lt;&gt;1,"",IF(AND($G115="IKS",ISNUMBER(INDEX(TblClusters[Fermeture retenue],$B115))),IF($E115&gt;=INDEX(TblClusters[Fermeture retenue],$B115),1,0),0))</f>
        <v>0</v>
      </c>
    </row>
    <row r="116" spans="1:35" x14ac:dyDescent="0.2">
      <c r="A116" s="19">
        <v>111</v>
      </c>
      <c r="B116" s="19">
        <f t="shared" si="17"/>
        <v>4</v>
      </c>
      <c r="C116" s="19">
        <f t="shared" si="18"/>
        <v>3</v>
      </c>
      <c r="D116" s="19">
        <f>IF($C116&gt;p_horizon,0,IFERROR(IF(AND(INDEX(TblClusters[Cluster],$B116)&lt;&gt;"",ISNUMBER(INDEX(TblClusters[CPU initial (vCPU)],$B116)),ISNUMBER(INDEX(TblClusters[CPU min (vCPU)],$B116)),OR(INDEX(TblClusters[Plateforme],$B116)="IKS",INDEX(TblClusters[Plateforme],$B116)="ROKS")),1,0),0))</f>
        <v>1</v>
      </c>
      <c r="E116" s="72">
        <f t="shared" si="19"/>
        <v>46357</v>
      </c>
      <c r="F116" s="19" t="str">
        <f>IF($D116=1,INDEX(TblClusters[Cluster],$B116),"")</f>
        <v>oc002i000809</v>
      </c>
      <c r="G116" s="19" t="str">
        <f>IF($D116=1,INDEX(TblClusters[Plateforme],$B116),"")</f>
        <v>ROKS</v>
      </c>
      <c r="H116" s="19">
        <f>IF($D116=1,INDEX(TblClusters[vCPU par nœud],$B116),"")</f>
        <v>8</v>
      </c>
      <c r="I116" s="19">
        <f>IF($D116=1,INDEX(TblClusters[RAM par nœud (Go)],$B116),"")</f>
        <v>40</v>
      </c>
      <c r="J116" s="19">
        <f>IF($D116=1,INDEX(TblClusters[Workers min],$B116),"")</f>
        <v>6</v>
      </c>
      <c r="K116" s="73">
        <f>IF($D116=1,INDEX(TblClusters[Tarif par nœud],$B116),"")</f>
        <v>368</v>
      </c>
      <c r="L116" s="19">
        <f>IF($D116=1,INDEX(TblClusters[CPU initial (vCPU)],$B116),"")</f>
        <v>48</v>
      </c>
      <c r="M116" s="19">
        <f>IF($D116=1,INDEX(TblClusters[RAM initiale (Go)],$B116),"")</f>
        <v>240</v>
      </c>
      <c r="N116" s="19">
        <f>IF($D116=1,INDEX(TblClusters[CPU min (vCPU)],$B116),"")</f>
        <v>48</v>
      </c>
      <c r="O116" s="19">
        <f>IF($D116=1,INDEX(TblClusters[RAM min (Go)],$B116),"")</f>
        <v>240</v>
      </c>
      <c r="P116" s="19">
        <f>IF($D116&lt;&gt;1,"",IF($G116="ROKS",SUMIFS(TblApplications[Besoin ROKS CPU (vCPU)],TblApplications[Cluster ROKS cible],$F116,TblApplications[Action],"À migrer",TblApplications[Déjà incluse ROKS],"Non",TblApplications[Mois prov (calc)],"&lt;="&amp;$E116),SUMIFS(TblApplications[CPU IKS libérable (vCPU)],TblApplications[Cluster IKS source],$F116,TblApplications[Mois lib (calc)],"&lt;="&amp;$E116)))</f>
        <v>0</v>
      </c>
      <c r="Q116" s="19">
        <f>IF($D116&lt;&gt;1,"",IF($G116="ROKS",SUMIFS(TblApplications[Besoin ROKS RAM (Go)],TblApplications[Cluster ROKS cible],$F116,TblApplications[Action],"À migrer",TblApplications[Déjà incluse ROKS],"Non",TblApplications[Mois prov (calc)],"&lt;="&amp;$E116),SUMIFS(TblApplications[RAM IKS libérable (Go)],TblApplications[Cluster IKS source],$F116,TblApplications[Mois lib (calc)],"&lt;="&amp;$E116)))</f>
        <v>0</v>
      </c>
      <c r="R116" s="19">
        <f t="shared" si="20"/>
        <v>48</v>
      </c>
      <c r="S116" s="19">
        <f t="shared" si="21"/>
        <v>240</v>
      </c>
      <c r="T116" s="19">
        <f t="shared" si="22"/>
        <v>6</v>
      </c>
      <c r="U116" s="19">
        <f t="shared" si="23"/>
        <v>48</v>
      </c>
      <c r="V116" s="19">
        <f t="shared" si="24"/>
        <v>240</v>
      </c>
      <c r="W116" s="73">
        <f t="shared" si="25"/>
        <v>2208</v>
      </c>
      <c r="X116" s="19">
        <f>IF($D116&lt;&gt;1,"",IF($G116="ROKS",$R116,IF($AI116=1,0,MAX($N116,$L116-SUMIFS(TblApplications[CPU IKS libérable (vCPU)],TblApplications[Cluster IKS source],$F116,TblApplications[Action],"À migrer",TblApplications[Mois prov (calc)],"&lt;="&amp;$E116)-SUMIFS(TblApplications[CPU IKS libérable (vCPU)],TblApplications[Cluster IKS source],$F116,TblApplications[Action],"À décommissionner",TblApplications[Mois lib (calc)],"&lt;="&amp;$E116)))))</f>
        <v>48</v>
      </c>
      <c r="Y116" s="19">
        <f>IF($D116&lt;&gt;1,"",IF($G116="ROKS",$S116,IF($AI116=1,0,MAX($O116,$M116-SUMIFS(TblApplications[RAM IKS libérable (Go)],TblApplications[Cluster IKS source],$F116,TblApplications[Action],"À migrer",TblApplications[Mois prov (calc)],"&lt;="&amp;$E116)-SUMIFS(TblApplications[RAM IKS libérable (Go)],TblApplications[Cluster IKS source],$F116,TblApplications[Action],"À décommissionner",TblApplications[Mois lib (calc)],"&lt;="&amp;$E116)))))</f>
        <v>240</v>
      </c>
      <c r="Z116" s="19">
        <f t="shared" si="26"/>
        <v>6</v>
      </c>
      <c r="AA116" s="73">
        <f t="shared" si="27"/>
        <v>2208</v>
      </c>
      <c r="AB116" s="19">
        <f t="shared" si="28"/>
        <v>6</v>
      </c>
      <c r="AC116" s="73">
        <f t="shared" si="29"/>
        <v>2208</v>
      </c>
      <c r="AD116" s="19">
        <f t="shared" si="30"/>
        <v>0</v>
      </c>
      <c r="AE116" s="19">
        <f t="shared" si="31"/>
        <v>0</v>
      </c>
      <c r="AF116" s="19" t="str">
        <f>IF($D116&lt;&gt;1,"",IF(INDEX(TblClusters[Environnement],$B116)="","(vide)",INDEX(TblClusters[Environnement],$B116)))</f>
        <v>PRD</v>
      </c>
      <c r="AG116" s="19">
        <f t="shared" si="32"/>
        <v>72</v>
      </c>
      <c r="AH116" s="19">
        <f t="shared" si="33"/>
        <v>30.666666666666668</v>
      </c>
      <c r="AI116" s="19">
        <f>IF($D116&lt;&gt;1,"",IF(AND($G116="IKS",ISNUMBER(INDEX(TblClusters[Fermeture retenue],$B116))),IF($E116&gt;=INDEX(TblClusters[Fermeture retenue],$B116),1,0),0))</f>
        <v>0</v>
      </c>
    </row>
    <row r="117" spans="1:35" x14ac:dyDescent="0.2">
      <c r="A117" s="19">
        <v>112</v>
      </c>
      <c r="B117" s="19">
        <f t="shared" si="17"/>
        <v>4</v>
      </c>
      <c r="C117" s="19">
        <f t="shared" si="18"/>
        <v>4</v>
      </c>
      <c r="D117" s="19">
        <f>IF($C117&gt;p_horizon,0,IFERROR(IF(AND(INDEX(TblClusters[Cluster],$B117)&lt;&gt;"",ISNUMBER(INDEX(TblClusters[CPU initial (vCPU)],$B117)),ISNUMBER(INDEX(TblClusters[CPU min (vCPU)],$B117)),OR(INDEX(TblClusters[Plateforme],$B117)="IKS",INDEX(TblClusters[Plateforme],$B117)="ROKS")),1,0),0))</f>
        <v>1</v>
      </c>
      <c r="E117" s="72">
        <f t="shared" si="19"/>
        <v>46388</v>
      </c>
      <c r="F117" s="19" t="str">
        <f>IF($D117=1,INDEX(TblClusters[Cluster],$B117),"")</f>
        <v>oc002i000809</v>
      </c>
      <c r="G117" s="19" t="str">
        <f>IF($D117=1,INDEX(TblClusters[Plateforme],$B117),"")</f>
        <v>ROKS</v>
      </c>
      <c r="H117" s="19">
        <f>IF($D117=1,INDEX(TblClusters[vCPU par nœud],$B117),"")</f>
        <v>8</v>
      </c>
      <c r="I117" s="19">
        <f>IF($D117=1,INDEX(TblClusters[RAM par nœud (Go)],$B117),"")</f>
        <v>40</v>
      </c>
      <c r="J117" s="19">
        <f>IF($D117=1,INDEX(TblClusters[Workers min],$B117),"")</f>
        <v>6</v>
      </c>
      <c r="K117" s="73">
        <f>IF($D117=1,INDEX(TblClusters[Tarif par nœud],$B117),"")</f>
        <v>368</v>
      </c>
      <c r="L117" s="19">
        <f>IF($D117=1,INDEX(TblClusters[CPU initial (vCPU)],$B117),"")</f>
        <v>48</v>
      </c>
      <c r="M117" s="19">
        <f>IF($D117=1,INDEX(TblClusters[RAM initiale (Go)],$B117),"")</f>
        <v>240</v>
      </c>
      <c r="N117" s="19">
        <f>IF($D117=1,INDEX(TblClusters[CPU min (vCPU)],$B117),"")</f>
        <v>48</v>
      </c>
      <c r="O117" s="19">
        <f>IF($D117=1,INDEX(TblClusters[RAM min (Go)],$B117),"")</f>
        <v>240</v>
      </c>
      <c r="P117" s="19">
        <f>IF($D117&lt;&gt;1,"",IF($G117="ROKS",SUMIFS(TblApplications[Besoin ROKS CPU (vCPU)],TblApplications[Cluster ROKS cible],$F117,TblApplications[Action],"À migrer",TblApplications[Déjà incluse ROKS],"Non",TblApplications[Mois prov (calc)],"&lt;="&amp;$E117),SUMIFS(TblApplications[CPU IKS libérable (vCPU)],TblApplications[Cluster IKS source],$F117,TblApplications[Mois lib (calc)],"&lt;="&amp;$E117)))</f>
        <v>0</v>
      </c>
      <c r="Q117" s="19">
        <f>IF($D117&lt;&gt;1,"",IF($G117="ROKS",SUMIFS(TblApplications[Besoin ROKS RAM (Go)],TblApplications[Cluster ROKS cible],$F117,TblApplications[Action],"À migrer",TblApplications[Déjà incluse ROKS],"Non",TblApplications[Mois prov (calc)],"&lt;="&amp;$E117),SUMIFS(TblApplications[RAM IKS libérable (Go)],TblApplications[Cluster IKS source],$F117,TblApplications[Mois lib (calc)],"&lt;="&amp;$E117)))</f>
        <v>0</v>
      </c>
      <c r="R117" s="19">
        <f t="shared" si="20"/>
        <v>48</v>
      </c>
      <c r="S117" s="19">
        <f t="shared" si="21"/>
        <v>240</v>
      </c>
      <c r="T117" s="19">
        <f t="shared" si="22"/>
        <v>6</v>
      </c>
      <c r="U117" s="19">
        <f t="shared" si="23"/>
        <v>48</v>
      </c>
      <c r="V117" s="19">
        <f t="shared" si="24"/>
        <v>240</v>
      </c>
      <c r="W117" s="73">
        <f t="shared" si="25"/>
        <v>2208</v>
      </c>
      <c r="X117" s="19">
        <f>IF($D117&lt;&gt;1,"",IF($G117="ROKS",$R117,IF($AI117=1,0,MAX($N117,$L117-SUMIFS(TblApplications[CPU IKS libérable (vCPU)],TblApplications[Cluster IKS source],$F117,TblApplications[Action],"À migrer",TblApplications[Mois prov (calc)],"&lt;="&amp;$E117)-SUMIFS(TblApplications[CPU IKS libérable (vCPU)],TblApplications[Cluster IKS source],$F117,TblApplications[Action],"À décommissionner",TblApplications[Mois lib (calc)],"&lt;="&amp;$E117)))))</f>
        <v>48</v>
      </c>
      <c r="Y117" s="19">
        <f>IF($D117&lt;&gt;1,"",IF($G117="ROKS",$S117,IF($AI117=1,0,MAX($O117,$M117-SUMIFS(TblApplications[RAM IKS libérable (Go)],TblApplications[Cluster IKS source],$F117,TblApplications[Action],"À migrer",TblApplications[Mois prov (calc)],"&lt;="&amp;$E117)-SUMIFS(TblApplications[RAM IKS libérable (Go)],TblApplications[Cluster IKS source],$F117,TblApplications[Action],"À décommissionner",TblApplications[Mois lib (calc)],"&lt;="&amp;$E117)))))</f>
        <v>240</v>
      </c>
      <c r="Z117" s="19">
        <f t="shared" si="26"/>
        <v>6</v>
      </c>
      <c r="AA117" s="73">
        <f t="shared" si="27"/>
        <v>2208</v>
      </c>
      <c r="AB117" s="19">
        <f t="shared" si="28"/>
        <v>6</v>
      </c>
      <c r="AC117" s="73">
        <f t="shared" si="29"/>
        <v>2208</v>
      </c>
      <c r="AD117" s="19">
        <f t="shared" si="30"/>
        <v>0</v>
      </c>
      <c r="AE117" s="19">
        <f t="shared" si="31"/>
        <v>0</v>
      </c>
      <c r="AF117" s="19" t="str">
        <f>IF($D117&lt;&gt;1,"",IF(INDEX(TblClusters[Environnement],$B117)="","(vide)",INDEX(TblClusters[Environnement],$B117)))</f>
        <v>PRD</v>
      </c>
      <c r="AG117" s="19">
        <f t="shared" si="32"/>
        <v>72</v>
      </c>
      <c r="AH117" s="19">
        <f t="shared" si="33"/>
        <v>30.666666666666668</v>
      </c>
      <c r="AI117" s="19">
        <f>IF($D117&lt;&gt;1,"",IF(AND($G117="IKS",ISNUMBER(INDEX(TblClusters[Fermeture retenue],$B117))),IF($E117&gt;=INDEX(TblClusters[Fermeture retenue],$B117),1,0),0))</f>
        <v>0</v>
      </c>
    </row>
    <row r="118" spans="1:35" x14ac:dyDescent="0.2">
      <c r="A118" s="19">
        <v>113</v>
      </c>
      <c r="B118" s="19">
        <f t="shared" si="17"/>
        <v>4</v>
      </c>
      <c r="C118" s="19">
        <f t="shared" si="18"/>
        <v>5</v>
      </c>
      <c r="D118" s="19">
        <f>IF($C118&gt;p_horizon,0,IFERROR(IF(AND(INDEX(TblClusters[Cluster],$B118)&lt;&gt;"",ISNUMBER(INDEX(TblClusters[CPU initial (vCPU)],$B118)),ISNUMBER(INDEX(TblClusters[CPU min (vCPU)],$B118)),OR(INDEX(TblClusters[Plateforme],$B118)="IKS",INDEX(TblClusters[Plateforme],$B118)="ROKS")),1,0),0))</f>
        <v>1</v>
      </c>
      <c r="E118" s="72">
        <f t="shared" si="19"/>
        <v>46419</v>
      </c>
      <c r="F118" s="19" t="str">
        <f>IF($D118=1,INDEX(TblClusters[Cluster],$B118),"")</f>
        <v>oc002i000809</v>
      </c>
      <c r="G118" s="19" t="str">
        <f>IF($D118=1,INDEX(TblClusters[Plateforme],$B118),"")</f>
        <v>ROKS</v>
      </c>
      <c r="H118" s="19">
        <f>IF($D118=1,INDEX(TblClusters[vCPU par nœud],$B118),"")</f>
        <v>8</v>
      </c>
      <c r="I118" s="19">
        <f>IF($D118=1,INDEX(TblClusters[RAM par nœud (Go)],$B118),"")</f>
        <v>40</v>
      </c>
      <c r="J118" s="19">
        <f>IF($D118=1,INDEX(TblClusters[Workers min],$B118),"")</f>
        <v>6</v>
      </c>
      <c r="K118" s="73">
        <f>IF($D118=1,INDEX(TblClusters[Tarif par nœud],$B118),"")</f>
        <v>368</v>
      </c>
      <c r="L118" s="19">
        <f>IF($D118=1,INDEX(TblClusters[CPU initial (vCPU)],$B118),"")</f>
        <v>48</v>
      </c>
      <c r="M118" s="19">
        <f>IF($D118=1,INDEX(TblClusters[RAM initiale (Go)],$B118),"")</f>
        <v>240</v>
      </c>
      <c r="N118" s="19">
        <f>IF($D118=1,INDEX(TblClusters[CPU min (vCPU)],$B118),"")</f>
        <v>48</v>
      </c>
      <c r="O118" s="19">
        <f>IF($D118=1,INDEX(TblClusters[RAM min (Go)],$B118),"")</f>
        <v>240</v>
      </c>
      <c r="P118" s="19">
        <f>IF($D118&lt;&gt;1,"",IF($G118="ROKS",SUMIFS(TblApplications[Besoin ROKS CPU (vCPU)],TblApplications[Cluster ROKS cible],$F118,TblApplications[Action],"À migrer",TblApplications[Déjà incluse ROKS],"Non",TblApplications[Mois prov (calc)],"&lt;="&amp;$E118),SUMIFS(TblApplications[CPU IKS libérable (vCPU)],TblApplications[Cluster IKS source],$F118,TblApplications[Mois lib (calc)],"&lt;="&amp;$E118)))</f>
        <v>0</v>
      </c>
      <c r="Q118" s="19">
        <f>IF($D118&lt;&gt;1,"",IF($G118="ROKS",SUMIFS(TblApplications[Besoin ROKS RAM (Go)],TblApplications[Cluster ROKS cible],$F118,TblApplications[Action],"À migrer",TblApplications[Déjà incluse ROKS],"Non",TblApplications[Mois prov (calc)],"&lt;="&amp;$E118),SUMIFS(TblApplications[RAM IKS libérable (Go)],TblApplications[Cluster IKS source],$F118,TblApplications[Mois lib (calc)],"&lt;="&amp;$E118)))</f>
        <v>0</v>
      </c>
      <c r="R118" s="19">
        <f t="shared" si="20"/>
        <v>48</v>
      </c>
      <c r="S118" s="19">
        <f t="shared" si="21"/>
        <v>240</v>
      </c>
      <c r="T118" s="19">
        <f t="shared" si="22"/>
        <v>6</v>
      </c>
      <c r="U118" s="19">
        <f t="shared" si="23"/>
        <v>48</v>
      </c>
      <c r="V118" s="19">
        <f t="shared" si="24"/>
        <v>240</v>
      </c>
      <c r="W118" s="73">
        <f t="shared" si="25"/>
        <v>2208</v>
      </c>
      <c r="X118" s="19">
        <f>IF($D118&lt;&gt;1,"",IF($G118="ROKS",$R118,IF($AI118=1,0,MAX($N118,$L118-SUMIFS(TblApplications[CPU IKS libérable (vCPU)],TblApplications[Cluster IKS source],$F118,TblApplications[Action],"À migrer",TblApplications[Mois prov (calc)],"&lt;="&amp;$E118)-SUMIFS(TblApplications[CPU IKS libérable (vCPU)],TblApplications[Cluster IKS source],$F118,TblApplications[Action],"À décommissionner",TblApplications[Mois lib (calc)],"&lt;="&amp;$E118)))))</f>
        <v>48</v>
      </c>
      <c r="Y118" s="19">
        <f>IF($D118&lt;&gt;1,"",IF($G118="ROKS",$S118,IF($AI118=1,0,MAX($O118,$M118-SUMIFS(TblApplications[RAM IKS libérable (Go)],TblApplications[Cluster IKS source],$F118,TblApplications[Action],"À migrer",TblApplications[Mois prov (calc)],"&lt;="&amp;$E118)-SUMIFS(TblApplications[RAM IKS libérable (Go)],TblApplications[Cluster IKS source],$F118,TblApplications[Action],"À décommissionner",TblApplications[Mois lib (calc)],"&lt;="&amp;$E118)))))</f>
        <v>240</v>
      </c>
      <c r="Z118" s="19">
        <f t="shared" si="26"/>
        <v>6</v>
      </c>
      <c r="AA118" s="73">
        <f t="shared" si="27"/>
        <v>2208</v>
      </c>
      <c r="AB118" s="19">
        <f t="shared" si="28"/>
        <v>6</v>
      </c>
      <c r="AC118" s="73">
        <f t="shared" si="29"/>
        <v>2208</v>
      </c>
      <c r="AD118" s="19">
        <f t="shared" si="30"/>
        <v>0</v>
      </c>
      <c r="AE118" s="19">
        <f t="shared" si="31"/>
        <v>0</v>
      </c>
      <c r="AF118" s="19" t="str">
        <f>IF($D118&lt;&gt;1,"",IF(INDEX(TblClusters[Environnement],$B118)="","(vide)",INDEX(TblClusters[Environnement],$B118)))</f>
        <v>PRD</v>
      </c>
      <c r="AG118" s="19">
        <f t="shared" si="32"/>
        <v>72</v>
      </c>
      <c r="AH118" s="19">
        <f t="shared" si="33"/>
        <v>30.666666666666668</v>
      </c>
      <c r="AI118" s="19">
        <f>IF($D118&lt;&gt;1,"",IF(AND($G118="IKS",ISNUMBER(INDEX(TblClusters[Fermeture retenue],$B118))),IF($E118&gt;=INDEX(TblClusters[Fermeture retenue],$B118),1,0),0))</f>
        <v>0</v>
      </c>
    </row>
    <row r="119" spans="1:35" x14ac:dyDescent="0.2">
      <c r="A119" s="19">
        <v>114</v>
      </c>
      <c r="B119" s="19">
        <f t="shared" si="17"/>
        <v>4</v>
      </c>
      <c r="C119" s="19">
        <f t="shared" si="18"/>
        <v>6</v>
      </c>
      <c r="D119" s="19">
        <f>IF($C119&gt;p_horizon,0,IFERROR(IF(AND(INDEX(TblClusters[Cluster],$B119)&lt;&gt;"",ISNUMBER(INDEX(TblClusters[CPU initial (vCPU)],$B119)),ISNUMBER(INDEX(TblClusters[CPU min (vCPU)],$B119)),OR(INDEX(TblClusters[Plateforme],$B119)="IKS",INDEX(TblClusters[Plateforme],$B119)="ROKS")),1,0),0))</f>
        <v>1</v>
      </c>
      <c r="E119" s="72">
        <f t="shared" si="19"/>
        <v>46447</v>
      </c>
      <c r="F119" s="19" t="str">
        <f>IF($D119=1,INDEX(TblClusters[Cluster],$B119),"")</f>
        <v>oc002i000809</v>
      </c>
      <c r="G119" s="19" t="str">
        <f>IF($D119=1,INDEX(TblClusters[Plateforme],$B119),"")</f>
        <v>ROKS</v>
      </c>
      <c r="H119" s="19">
        <f>IF($D119=1,INDEX(TblClusters[vCPU par nœud],$B119),"")</f>
        <v>8</v>
      </c>
      <c r="I119" s="19">
        <f>IF($D119=1,INDEX(TblClusters[RAM par nœud (Go)],$B119),"")</f>
        <v>40</v>
      </c>
      <c r="J119" s="19">
        <f>IF($D119=1,INDEX(TblClusters[Workers min],$B119),"")</f>
        <v>6</v>
      </c>
      <c r="K119" s="73">
        <f>IF($D119=1,INDEX(TblClusters[Tarif par nœud],$B119),"")</f>
        <v>368</v>
      </c>
      <c r="L119" s="19">
        <f>IF($D119=1,INDEX(TblClusters[CPU initial (vCPU)],$B119),"")</f>
        <v>48</v>
      </c>
      <c r="M119" s="19">
        <f>IF($D119=1,INDEX(TblClusters[RAM initiale (Go)],$B119),"")</f>
        <v>240</v>
      </c>
      <c r="N119" s="19">
        <f>IF($D119=1,INDEX(TblClusters[CPU min (vCPU)],$B119),"")</f>
        <v>48</v>
      </c>
      <c r="O119" s="19">
        <f>IF($D119=1,INDEX(TblClusters[RAM min (Go)],$B119),"")</f>
        <v>240</v>
      </c>
      <c r="P119" s="19">
        <f>IF($D119&lt;&gt;1,"",IF($G119="ROKS",SUMIFS(TblApplications[Besoin ROKS CPU (vCPU)],TblApplications[Cluster ROKS cible],$F119,TblApplications[Action],"À migrer",TblApplications[Déjà incluse ROKS],"Non",TblApplications[Mois prov (calc)],"&lt;="&amp;$E119),SUMIFS(TblApplications[CPU IKS libérable (vCPU)],TblApplications[Cluster IKS source],$F119,TblApplications[Mois lib (calc)],"&lt;="&amp;$E119)))</f>
        <v>0</v>
      </c>
      <c r="Q119" s="19">
        <f>IF($D119&lt;&gt;1,"",IF($G119="ROKS",SUMIFS(TblApplications[Besoin ROKS RAM (Go)],TblApplications[Cluster ROKS cible],$F119,TblApplications[Action],"À migrer",TblApplications[Déjà incluse ROKS],"Non",TblApplications[Mois prov (calc)],"&lt;="&amp;$E119),SUMIFS(TblApplications[RAM IKS libérable (Go)],TblApplications[Cluster IKS source],$F119,TblApplications[Mois lib (calc)],"&lt;="&amp;$E119)))</f>
        <v>0</v>
      </c>
      <c r="R119" s="19">
        <f t="shared" si="20"/>
        <v>48</v>
      </c>
      <c r="S119" s="19">
        <f t="shared" si="21"/>
        <v>240</v>
      </c>
      <c r="T119" s="19">
        <f t="shared" si="22"/>
        <v>6</v>
      </c>
      <c r="U119" s="19">
        <f t="shared" si="23"/>
        <v>48</v>
      </c>
      <c r="V119" s="19">
        <f t="shared" si="24"/>
        <v>240</v>
      </c>
      <c r="W119" s="73">
        <f t="shared" si="25"/>
        <v>2208</v>
      </c>
      <c r="X119" s="19">
        <f>IF($D119&lt;&gt;1,"",IF($G119="ROKS",$R119,IF($AI119=1,0,MAX($N119,$L119-SUMIFS(TblApplications[CPU IKS libérable (vCPU)],TblApplications[Cluster IKS source],$F119,TblApplications[Action],"À migrer",TblApplications[Mois prov (calc)],"&lt;="&amp;$E119)-SUMIFS(TblApplications[CPU IKS libérable (vCPU)],TblApplications[Cluster IKS source],$F119,TblApplications[Action],"À décommissionner",TblApplications[Mois lib (calc)],"&lt;="&amp;$E119)))))</f>
        <v>48</v>
      </c>
      <c r="Y119" s="19">
        <f>IF($D119&lt;&gt;1,"",IF($G119="ROKS",$S119,IF($AI119=1,0,MAX($O119,$M119-SUMIFS(TblApplications[RAM IKS libérable (Go)],TblApplications[Cluster IKS source],$F119,TblApplications[Action],"À migrer",TblApplications[Mois prov (calc)],"&lt;="&amp;$E119)-SUMIFS(TblApplications[RAM IKS libérable (Go)],TblApplications[Cluster IKS source],$F119,TblApplications[Action],"À décommissionner",TblApplications[Mois lib (calc)],"&lt;="&amp;$E119)))))</f>
        <v>240</v>
      </c>
      <c r="Z119" s="19">
        <f t="shared" si="26"/>
        <v>6</v>
      </c>
      <c r="AA119" s="73">
        <f t="shared" si="27"/>
        <v>2208</v>
      </c>
      <c r="AB119" s="19">
        <f t="shared" si="28"/>
        <v>6</v>
      </c>
      <c r="AC119" s="73">
        <f t="shared" si="29"/>
        <v>2208</v>
      </c>
      <c r="AD119" s="19">
        <f t="shared" si="30"/>
        <v>0</v>
      </c>
      <c r="AE119" s="19">
        <f t="shared" si="31"/>
        <v>0</v>
      </c>
      <c r="AF119" s="19" t="str">
        <f>IF($D119&lt;&gt;1,"",IF(INDEX(TblClusters[Environnement],$B119)="","(vide)",INDEX(TblClusters[Environnement],$B119)))</f>
        <v>PRD</v>
      </c>
      <c r="AG119" s="19">
        <f t="shared" si="32"/>
        <v>72</v>
      </c>
      <c r="AH119" s="19">
        <f t="shared" si="33"/>
        <v>30.666666666666668</v>
      </c>
      <c r="AI119" s="19">
        <f>IF($D119&lt;&gt;1,"",IF(AND($G119="IKS",ISNUMBER(INDEX(TblClusters[Fermeture retenue],$B119))),IF($E119&gt;=INDEX(TblClusters[Fermeture retenue],$B119),1,0),0))</f>
        <v>0</v>
      </c>
    </row>
    <row r="120" spans="1:35" x14ac:dyDescent="0.2">
      <c r="A120" s="19">
        <v>115</v>
      </c>
      <c r="B120" s="19">
        <f t="shared" si="17"/>
        <v>4</v>
      </c>
      <c r="C120" s="19">
        <f t="shared" si="18"/>
        <v>7</v>
      </c>
      <c r="D120" s="19">
        <f>IF($C120&gt;p_horizon,0,IFERROR(IF(AND(INDEX(TblClusters[Cluster],$B120)&lt;&gt;"",ISNUMBER(INDEX(TblClusters[CPU initial (vCPU)],$B120)),ISNUMBER(INDEX(TblClusters[CPU min (vCPU)],$B120)),OR(INDEX(TblClusters[Plateforme],$B120)="IKS",INDEX(TblClusters[Plateforme],$B120)="ROKS")),1,0),0))</f>
        <v>1</v>
      </c>
      <c r="E120" s="72">
        <f t="shared" si="19"/>
        <v>46478</v>
      </c>
      <c r="F120" s="19" t="str">
        <f>IF($D120=1,INDEX(TblClusters[Cluster],$B120),"")</f>
        <v>oc002i000809</v>
      </c>
      <c r="G120" s="19" t="str">
        <f>IF($D120=1,INDEX(TblClusters[Plateforme],$B120),"")</f>
        <v>ROKS</v>
      </c>
      <c r="H120" s="19">
        <f>IF($D120=1,INDEX(TblClusters[vCPU par nœud],$B120),"")</f>
        <v>8</v>
      </c>
      <c r="I120" s="19">
        <f>IF($D120=1,INDEX(TblClusters[RAM par nœud (Go)],$B120),"")</f>
        <v>40</v>
      </c>
      <c r="J120" s="19">
        <f>IF($D120=1,INDEX(TblClusters[Workers min],$B120),"")</f>
        <v>6</v>
      </c>
      <c r="K120" s="73">
        <f>IF($D120=1,INDEX(TblClusters[Tarif par nœud],$B120),"")</f>
        <v>368</v>
      </c>
      <c r="L120" s="19">
        <f>IF($D120=1,INDEX(TblClusters[CPU initial (vCPU)],$B120),"")</f>
        <v>48</v>
      </c>
      <c r="M120" s="19">
        <f>IF($D120=1,INDEX(TblClusters[RAM initiale (Go)],$B120),"")</f>
        <v>240</v>
      </c>
      <c r="N120" s="19">
        <f>IF($D120=1,INDEX(TblClusters[CPU min (vCPU)],$B120),"")</f>
        <v>48</v>
      </c>
      <c r="O120" s="19">
        <f>IF($D120=1,INDEX(TblClusters[RAM min (Go)],$B120),"")</f>
        <v>240</v>
      </c>
      <c r="P120" s="19">
        <f>IF($D120&lt;&gt;1,"",IF($G120="ROKS",SUMIFS(TblApplications[Besoin ROKS CPU (vCPU)],TblApplications[Cluster ROKS cible],$F120,TblApplications[Action],"À migrer",TblApplications[Déjà incluse ROKS],"Non",TblApplications[Mois prov (calc)],"&lt;="&amp;$E120),SUMIFS(TblApplications[CPU IKS libérable (vCPU)],TblApplications[Cluster IKS source],$F120,TblApplications[Mois lib (calc)],"&lt;="&amp;$E120)))</f>
        <v>0</v>
      </c>
      <c r="Q120" s="19">
        <f>IF($D120&lt;&gt;1,"",IF($G120="ROKS",SUMIFS(TblApplications[Besoin ROKS RAM (Go)],TblApplications[Cluster ROKS cible],$F120,TblApplications[Action],"À migrer",TblApplications[Déjà incluse ROKS],"Non",TblApplications[Mois prov (calc)],"&lt;="&amp;$E120),SUMIFS(TblApplications[RAM IKS libérable (Go)],TblApplications[Cluster IKS source],$F120,TblApplications[Mois lib (calc)],"&lt;="&amp;$E120)))</f>
        <v>0</v>
      </c>
      <c r="R120" s="19">
        <f t="shared" si="20"/>
        <v>48</v>
      </c>
      <c r="S120" s="19">
        <f t="shared" si="21"/>
        <v>240</v>
      </c>
      <c r="T120" s="19">
        <f t="shared" si="22"/>
        <v>6</v>
      </c>
      <c r="U120" s="19">
        <f t="shared" si="23"/>
        <v>48</v>
      </c>
      <c r="V120" s="19">
        <f t="shared" si="24"/>
        <v>240</v>
      </c>
      <c r="W120" s="73">
        <f t="shared" si="25"/>
        <v>2208</v>
      </c>
      <c r="X120" s="19">
        <f>IF($D120&lt;&gt;1,"",IF($G120="ROKS",$R120,IF($AI120=1,0,MAX($N120,$L120-SUMIFS(TblApplications[CPU IKS libérable (vCPU)],TblApplications[Cluster IKS source],$F120,TblApplications[Action],"À migrer",TblApplications[Mois prov (calc)],"&lt;="&amp;$E120)-SUMIFS(TblApplications[CPU IKS libérable (vCPU)],TblApplications[Cluster IKS source],$F120,TblApplications[Action],"À décommissionner",TblApplications[Mois lib (calc)],"&lt;="&amp;$E120)))))</f>
        <v>48</v>
      </c>
      <c r="Y120" s="19">
        <f>IF($D120&lt;&gt;1,"",IF($G120="ROKS",$S120,IF($AI120=1,0,MAX($O120,$M120-SUMIFS(TblApplications[RAM IKS libérable (Go)],TblApplications[Cluster IKS source],$F120,TblApplications[Action],"À migrer",TblApplications[Mois prov (calc)],"&lt;="&amp;$E120)-SUMIFS(TblApplications[RAM IKS libérable (Go)],TblApplications[Cluster IKS source],$F120,TblApplications[Action],"À décommissionner",TblApplications[Mois lib (calc)],"&lt;="&amp;$E120)))))</f>
        <v>240</v>
      </c>
      <c r="Z120" s="19">
        <f t="shared" si="26"/>
        <v>6</v>
      </c>
      <c r="AA120" s="73">
        <f t="shared" si="27"/>
        <v>2208</v>
      </c>
      <c r="AB120" s="19">
        <f t="shared" si="28"/>
        <v>6</v>
      </c>
      <c r="AC120" s="73">
        <f t="shared" si="29"/>
        <v>2208</v>
      </c>
      <c r="AD120" s="19">
        <f t="shared" si="30"/>
        <v>0</v>
      </c>
      <c r="AE120" s="19">
        <f t="shared" si="31"/>
        <v>0</v>
      </c>
      <c r="AF120" s="19" t="str">
        <f>IF($D120&lt;&gt;1,"",IF(INDEX(TblClusters[Environnement],$B120)="","(vide)",INDEX(TblClusters[Environnement],$B120)))</f>
        <v>PRD</v>
      </c>
      <c r="AG120" s="19">
        <f t="shared" si="32"/>
        <v>72</v>
      </c>
      <c r="AH120" s="19">
        <f t="shared" si="33"/>
        <v>30.666666666666668</v>
      </c>
      <c r="AI120" s="19">
        <f>IF($D120&lt;&gt;1,"",IF(AND($G120="IKS",ISNUMBER(INDEX(TblClusters[Fermeture retenue],$B120))),IF($E120&gt;=INDEX(TblClusters[Fermeture retenue],$B120),1,0),0))</f>
        <v>0</v>
      </c>
    </row>
    <row r="121" spans="1:35" x14ac:dyDescent="0.2">
      <c r="A121" s="19">
        <v>116</v>
      </c>
      <c r="B121" s="19">
        <f t="shared" si="17"/>
        <v>4</v>
      </c>
      <c r="C121" s="19">
        <f t="shared" si="18"/>
        <v>8</v>
      </c>
      <c r="D121" s="19">
        <f>IF($C121&gt;p_horizon,0,IFERROR(IF(AND(INDEX(TblClusters[Cluster],$B121)&lt;&gt;"",ISNUMBER(INDEX(TblClusters[CPU initial (vCPU)],$B121)),ISNUMBER(INDEX(TblClusters[CPU min (vCPU)],$B121)),OR(INDEX(TblClusters[Plateforme],$B121)="IKS",INDEX(TblClusters[Plateforme],$B121)="ROKS")),1,0),0))</f>
        <v>1</v>
      </c>
      <c r="E121" s="72">
        <f t="shared" si="19"/>
        <v>46508</v>
      </c>
      <c r="F121" s="19" t="str">
        <f>IF($D121=1,INDEX(TblClusters[Cluster],$B121),"")</f>
        <v>oc002i000809</v>
      </c>
      <c r="G121" s="19" t="str">
        <f>IF($D121=1,INDEX(TblClusters[Plateforme],$B121),"")</f>
        <v>ROKS</v>
      </c>
      <c r="H121" s="19">
        <f>IF($D121=1,INDEX(TblClusters[vCPU par nœud],$B121),"")</f>
        <v>8</v>
      </c>
      <c r="I121" s="19">
        <f>IF($D121=1,INDEX(TblClusters[RAM par nœud (Go)],$B121),"")</f>
        <v>40</v>
      </c>
      <c r="J121" s="19">
        <f>IF($D121=1,INDEX(TblClusters[Workers min],$B121),"")</f>
        <v>6</v>
      </c>
      <c r="K121" s="73">
        <f>IF($D121=1,INDEX(TblClusters[Tarif par nœud],$B121),"")</f>
        <v>368</v>
      </c>
      <c r="L121" s="19">
        <f>IF($D121=1,INDEX(TblClusters[CPU initial (vCPU)],$B121),"")</f>
        <v>48</v>
      </c>
      <c r="M121" s="19">
        <f>IF($D121=1,INDEX(TblClusters[RAM initiale (Go)],$B121),"")</f>
        <v>240</v>
      </c>
      <c r="N121" s="19">
        <f>IF($D121=1,INDEX(TblClusters[CPU min (vCPU)],$B121),"")</f>
        <v>48</v>
      </c>
      <c r="O121" s="19">
        <f>IF($D121=1,INDEX(TblClusters[RAM min (Go)],$B121),"")</f>
        <v>240</v>
      </c>
      <c r="P121" s="19">
        <f>IF($D121&lt;&gt;1,"",IF($G121="ROKS",SUMIFS(TblApplications[Besoin ROKS CPU (vCPU)],TblApplications[Cluster ROKS cible],$F121,TblApplications[Action],"À migrer",TblApplications[Déjà incluse ROKS],"Non",TblApplications[Mois prov (calc)],"&lt;="&amp;$E121),SUMIFS(TblApplications[CPU IKS libérable (vCPU)],TblApplications[Cluster IKS source],$F121,TblApplications[Mois lib (calc)],"&lt;="&amp;$E121)))</f>
        <v>0</v>
      </c>
      <c r="Q121" s="19">
        <f>IF($D121&lt;&gt;1,"",IF($G121="ROKS",SUMIFS(TblApplications[Besoin ROKS RAM (Go)],TblApplications[Cluster ROKS cible],$F121,TblApplications[Action],"À migrer",TblApplications[Déjà incluse ROKS],"Non",TblApplications[Mois prov (calc)],"&lt;="&amp;$E121),SUMIFS(TblApplications[RAM IKS libérable (Go)],TblApplications[Cluster IKS source],$F121,TblApplications[Mois lib (calc)],"&lt;="&amp;$E121)))</f>
        <v>0</v>
      </c>
      <c r="R121" s="19">
        <f t="shared" si="20"/>
        <v>48</v>
      </c>
      <c r="S121" s="19">
        <f t="shared" si="21"/>
        <v>240</v>
      </c>
      <c r="T121" s="19">
        <f t="shared" si="22"/>
        <v>6</v>
      </c>
      <c r="U121" s="19">
        <f t="shared" si="23"/>
        <v>48</v>
      </c>
      <c r="V121" s="19">
        <f t="shared" si="24"/>
        <v>240</v>
      </c>
      <c r="W121" s="73">
        <f t="shared" si="25"/>
        <v>2208</v>
      </c>
      <c r="X121" s="19">
        <f>IF($D121&lt;&gt;1,"",IF($G121="ROKS",$R121,IF($AI121=1,0,MAX($N121,$L121-SUMIFS(TblApplications[CPU IKS libérable (vCPU)],TblApplications[Cluster IKS source],$F121,TblApplications[Action],"À migrer",TblApplications[Mois prov (calc)],"&lt;="&amp;$E121)-SUMIFS(TblApplications[CPU IKS libérable (vCPU)],TblApplications[Cluster IKS source],$F121,TblApplications[Action],"À décommissionner",TblApplications[Mois lib (calc)],"&lt;="&amp;$E121)))))</f>
        <v>48</v>
      </c>
      <c r="Y121" s="19">
        <f>IF($D121&lt;&gt;1,"",IF($G121="ROKS",$S121,IF($AI121=1,0,MAX($O121,$M121-SUMIFS(TblApplications[RAM IKS libérable (Go)],TblApplications[Cluster IKS source],$F121,TblApplications[Action],"À migrer",TblApplications[Mois prov (calc)],"&lt;="&amp;$E121)-SUMIFS(TblApplications[RAM IKS libérable (Go)],TblApplications[Cluster IKS source],$F121,TblApplications[Action],"À décommissionner",TblApplications[Mois lib (calc)],"&lt;="&amp;$E121)))))</f>
        <v>240</v>
      </c>
      <c r="Z121" s="19">
        <f t="shared" si="26"/>
        <v>6</v>
      </c>
      <c r="AA121" s="73">
        <f t="shared" si="27"/>
        <v>2208</v>
      </c>
      <c r="AB121" s="19">
        <f t="shared" si="28"/>
        <v>6</v>
      </c>
      <c r="AC121" s="73">
        <f t="shared" si="29"/>
        <v>2208</v>
      </c>
      <c r="AD121" s="19">
        <f t="shared" si="30"/>
        <v>0</v>
      </c>
      <c r="AE121" s="19">
        <f t="shared" si="31"/>
        <v>0</v>
      </c>
      <c r="AF121" s="19" t="str">
        <f>IF($D121&lt;&gt;1,"",IF(INDEX(TblClusters[Environnement],$B121)="","(vide)",INDEX(TblClusters[Environnement],$B121)))</f>
        <v>PRD</v>
      </c>
      <c r="AG121" s="19">
        <f t="shared" si="32"/>
        <v>72</v>
      </c>
      <c r="AH121" s="19">
        <f t="shared" si="33"/>
        <v>30.666666666666668</v>
      </c>
      <c r="AI121" s="19">
        <f>IF($D121&lt;&gt;1,"",IF(AND($G121="IKS",ISNUMBER(INDEX(TblClusters[Fermeture retenue],$B121))),IF($E121&gt;=INDEX(TblClusters[Fermeture retenue],$B121),1,0),0))</f>
        <v>0</v>
      </c>
    </row>
    <row r="122" spans="1:35" x14ac:dyDescent="0.2">
      <c r="A122" s="19">
        <v>117</v>
      </c>
      <c r="B122" s="19">
        <f t="shared" si="17"/>
        <v>4</v>
      </c>
      <c r="C122" s="19">
        <f t="shared" si="18"/>
        <v>9</v>
      </c>
      <c r="D122" s="19">
        <f>IF($C122&gt;p_horizon,0,IFERROR(IF(AND(INDEX(TblClusters[Cluster],$B122)&lt;&gt;"",ISNUMBER(INDEX(TblClusters[CPU initial (vCPU)],$B122)),ISNUMBER(INDEX(TblClusters[CPU min (vCPU)],$B122)),OR(INDEX(TblClusters[Plateforme],$B122)="IKS",INDEX(TblClusters[Plateforme],$B122)="ROKS")),1,0),0))</f>
        <v>1</v>
      </c>
      <c r="E122" s="72">
        <f t="shared" si="19"/>
        <v>46539</v>
      </c>
      <c r="F122" s="19" t="str">
        <f>IF($D122=1,INDEX(TblClusters[Cluster],$B122),"")</f>
        <v>oc002i000809</v>
      </c>
      <c r="G122" s="19" t="str">
        <f>IF($D122=1,INDEX(TblClusters[Plateforme],$B122),"")</f>
        <v>ROKS</v>
      </c>
      <c r="H122" s="19">
        <f>IF($D122=1,INDEX(TblClusters[vCPU par nœud],$B122),"")</f>
        <v>8</v>
      </c>
      <c r="I122" s="19">
        <f>IF($D122=1,INDEX(TblClusters[RAM par nœud (Go)],$B122),"")</f>
        <v>40</v>
      </c>
      <c r="J122" s="19">
        <f>IF($D122=1,INDEX(TblClusters[Workers min],$B122),"")</f>
        <v>6</v>
      </c>
      <c r="K122" s="73">
        <f>IF($D122=1,INDEX(TblClusters[Tarif par nœud],$B122),"")</f>
        <v>368</v>
      </c>
      <c r="L122" s="19">
        <f>IF($D122=1,INDEX(TblClusters[CPU initial (vCPU)],$B122),"")</f>
        <v>48</v>
      </c>
      <c r="M122" s="19">
        <f>IF($D122=1,INDEX(TblClusters[RAM initiale (Go)],$B122),"")</f>
        <v>240</v>
      </c>
      <c r="N122" s="19">
        <f>IF($D122=1,INDEX(TblClusters[CPU min (vCPU)],$B122),"")</f>
        <v>48</v>
      </c>
      <c r="O122" s="19">
        <f>IF($D122=1,INDEX(TblClusters[RAM min (Go)],$B122),"")</f>
        <v>240</v>
      </c>
      <c r="P122" s="19">
        <f>IF($D122&lt;&gt;1,"",IF($G122="ROKS",SUMIFS(TblApplications[Besoin ROKS CPU (vCPU)],TblApplications[Cluster ROKS cible],$F122,TblApplications[Action],"À migrer",TblApplications[Déjà incluse ROKS],"Non",TblApplications[Mois prov (calc)],"&lt;="&amp;$E122),SUMIFS(TblApplications[CPU IKS libérable (vCPU)],TblApplications[Cluster IKS source],$F122,TblApplications[Mois lib (calc)],"&lt;="&amp;$E122)))</f>
        <v>0</v>
      </c>
      <c r="Q122" s="19">
        <f>IF($D122&lt;&gt;1,"",IF($G122="ROKS",SUMIFS(TblApplications[Besoin ROKS RAM (Go)],TblApplications[Cluster ROKS cible],$F122,TblApplications[Action],"À migrer",TblApplications[Déjà incluse ROKS],"Non",TblApplications[Mois prov (calc)],"&lt;="&amp;$E122),SUMIFS(TblApplications[RAM IKS libérable (Go)],TblApplications[Cluster IKS source],$F122,TblApplications[Mois lib (calc)],"&lt;="&amp;$E122)))</f>
        <v>0</v>
      </c>
      <c r="R122" s="19">
        <f t="shared" si="20"/>
        <v>48</v>
      </c>
      <c r="S122" s="19">
        <f t="shared" si="21"/>
        <v>240</v>
      </c>
      <c r="T122" s="19">
        <f t="shared" si="22"/>
        <v>6</v>
      </c>
      <c r="U122" s="19">
        <f t="shared" si="23"/>
        <v>48</v>
      </c>
      <c r="V122" s="19">
        <f t="shared" si="24"/>
        <v>240</v>
      </c>
      <c r="W122" s="73">
        <f t="shared" si="25"/>
        <v>2208</v>
      </c>
      <c r="X122" s="19">
        <f>IF($D122&lt;&gt;1,"",IF($G122="ROKS",$R122,IF($AI122=1,0,MAX($N122,$L122-SUMIFS(TblApplications[CPU IKS libérable (vCPU)],TblApplications[Cluster IKS source],$F122,TblApplications[Action],"À migrer",TblApplications[Mois prov (calc)],"&lt;="&amp;$E122)-SUMIFS(TblApplications[CPU IKS libérable (vCPU)],TblApplications[Cluster IKS source],$F122,TblApplications[Action],"À décommissionner",TblApplications[Mois lib (calc)],"&lt;="&amp;$E122)))))</f>
        <v>48</v>
      </c>
      <c r="Y122" s="19">
        <f>IF($D122&lt;&gt;1,"",IF($G122="ROKS",$S122,IF($AI122=1,0,MAX($O122,$M122-SUMIFS(TblApplications[RAM IKS libérable (Go)],TblApplications[Cluster IKS source],$F122,TblApplications[Action],"À migrer",TblApplications[Mois prov (calc)],"&lt;="&amp;$E122)-SUMIFS(TblApplications[RAM IKS libérable (Go)],TblApplications[Cluster IKS source],$F122,TblApplications[Action],"À décommissionner",TblApplications[Mois lib (calc)],"&lt;="&amp;$E122)))))</f>
        <v>240</v>
      </c>
      <c r="Z122" s="19">
        <f t="shared" si="26"/>
        <v>6</v>
      </c>
      <c r="AA122" s="73">
        <f t="shared" si="27"/>
        <v>2208</v>
      </c>
      <c r="AB122" s="19">
        <f t="shared" si="28"/>
        <v>6</v>
      </c>
      <c r="AC122" s="73">
        <f t="shared" si="29"/>
        <v>2208</v>
      </c>
      <c r="AD122" s="19">
        <f t="shared" si="30"/>
        <v>0</v>
      </c>
      <c r="AE122" s="19">
        <f t="shared" si="31"/>
        <v>0</v>
      </c>
      <c r="AF122" s="19" t="str">
        <f>IF($D122&lt;&gt;1,"",IF(INDEX(TblClusters[Environnement],$B122)="","(vide)",INDEX(TblClusters[Environnement],$B122)))</f>
        <v>PRD</v>
      </c>
      <c r="AG122" s="19">
        <f t="shared" si="32"/>
        <v>72</v>
      </c>
      <c r="AH122" s="19">
        <f t="shared" si="33"/>
        <v>30.666666666666668</v>
      </c>
      <c r="AI122" s="19">
        <f>IF($D122&lt;&gt;1,"",IF(AND($G122="IKS",ISNUMBER(INDEX(TblClusters[Fermeture retenue],$B122))),IF($E122&gt;=INDEX(TblClusters[Fermeture retenue],$B122),1,0),0))</f>
        <v>0</v>
      </c>
    </row>
    <row r="123" spans="1:35" x14ac:dyDescent="0.2">
      <c r="A123" s="19">
        <v>118</v>
      </c>
      <c r="B123" s="19">
        <f t="shared" si="17"/>
        <v>4</v>
      </c>
      <c r="C123" s="19">
        <f t="shared" si="18"/>
        <v>10</v>
      </c>
      <c r="D123" s="19">
        <f>IF($C123&gt;p_horizon,0,IFERROR(IF(AND(INDEX(TblClusters[Cluster],$B123)&lt;&gt;"",ISNUMBER(INDEX(TblClusters[CPU initial (vCPU)],$B123)),ISNUMBER(INDEX(TblClusters[CPU min (vCPU)],$B123)),OR(INDEX(TblClusters[Plateforme],$B123)="IKS",INDEX(TblClusters[Plateforme],$B123)="ROKS")),1,0),0))</f>
        <v>1</v>
      </c>
      <c r="E123" s="72">
        <f t="shared" si="19"/>
        <v>46569</v>
      </c>
      <c r="F123" s="19" t="str">
        <f>IF($D123=1,INDEX(TblClusters[Cluster],$B123),"")</f>
        <v>oc002i000809</v>
      </c>
      <c r="G123" s="19" t="str">
        <f>IF($D123=1,INDEX(TblClusters[Plateforme],$B123),"")</f>
        <v>ROKS</v>
      </c>
      <c r="H123" s="19">
        <f>IF($D123=1,INDEX(TblClusters[vCPU par nœud],$B123),"")</f>
        <v>8</v>
      </c>
      <c r="I123" s="19">
        <f>IF($D123=1,INDEX(TblClusters[RAM par nœud (Go)],$B123),"")</f>
        <v>40</v>
      </c>
      <c r="J123" s="19">
        <f>IF($D123=1,INDEX(TblClusters[Workers min],$B123),"")</f>
        <v>6</v>
      </c>
      <c r="K123" s="73">
        <f>IF($D123=1,INDEX(TblClusters[Tarif par nœud],$B123),"")</f>
        <v>368</v>
      </c>
      <c r="L123" s="19">
        <f>IF($D123=1,INDEX(TblClusters[CPU initial (vCPU)],$B123),"")</f>
        <v>48</v>
      </c>
      <c r="M123" s="19">
        <f>IF($D123=1,INDEX(TblClusters[RAM initiale (Go)],$B123),"")</f>
        <v>240</v>
      </c>
      <c r="N123" s="19">
        <f>IF($D123=1,INDEX(TblClusters[CPU min (vCPU)],$B123),"")</f>
        <v>48</v>
      </c>
      <c r="O123" s="19">
        <f>IF($D123=1,INDEX(TblClusters[RAM min (Go)],$B123),"")</f>
        <v>240</v>
      </c>
      <c r="P123" s="19">
        <f>IF($D123&lt;&gt;1,"",IF($G123="ROKS",SUMIFS(TblApplications[Besoin ROKS CPU (vCPU)],TblApplications[Cluster ROKS cible],$F123,TblApplications[Action],"À migrer",TblApplications[Déjà incluse ROKS],"Non",TblApplications[Mois prov (calc)],"&lt;="&amp;$E123),SUMIFS(TblApplications[CPU IKS libérable (vCPU)],TblApplications[Cluster IKS source],$F123,TblApplications[Mois lib (calc)],"&lt;="&amp;$E123)))</f>
        <v>0</v>
      </c>
      <c r="Q123" s="19">
        <f>IF($D123&lt;&gt;1,"",IF($G123="ROKS",SUMIFS(TblApplications[Besoin ROKS RAM (Go)],TblApplications[Cluster ROKS cible],$F123,TblApplications[Action],"À migrer",TblApplications[Déjà incluse ROKS],"Non",TblApplications[Mois prov (calc)],"&lt;="&amp;$E123),SUMIFS(TblApplications[RAM IKS libérable (Go)],TblApplications[Cluster IKS source],$F123,TblApplications[Mois lib (calc)],"&lt;="&amp;$E123)))</f>
        <v>0</v>
      </c>
      <c r="R123" s="19">
        <f t="shared" si="20"/>
        <v>48</v>
      </c>
      <c r="S123" s="19">
        <f t="shared" si="21"/>
        <v>240</v>
      </c>
      <c r="T123" s="19">
        <f t="shared" si="22"/>
        <v>6</v>
      </c>
      <c r="U123" s="19">
        <f t="shared" si="23"/>
        <v>48</v>
      </c>
      <c r="V123" s="19">
        <f t="shared" si="24"/>
        <v>240</v>
      </c>
      <c r="W123" s="73">
        <f t="shared" si="25"/>
        <v>2208</v>
      </c>
      <c r="X123" s="19">
        <f>IF($D123&lt;&gt;1,"",IF($G123="ROKS",$R123,IF($AI123=1,0,MAX($N123,$L123-SUMIFS(TblApplications[CPU IKS libérable (vCPU)],TblApplications[Cluster IKS source],$F123,TblApplications[Action],"À migrer",TblApplications[Mois prov (calc)],"&lt;="&amp;$E123)-SUMIFS(TblApplications[CPU IKS libérable (vCPU)],TblApplications[Cluster IKS source],$F123,TblApplications[Action],"À décommissionner",TblApplications[Mois lib (calc)],"&lt;="&amp;$E123)))))</f>
        <v>48</v>
      </c>
      <c r="Y123" s="19">
        <f>IF($D123&lt;&gt;1,"",IF($G123="ROKS",$S123,IF($AI123=1,0,MAX($O123,$M123-SUMIFS(TblApplications[RAM IKS libérable (Go)],TblApplications[Cluster IKS source],$F123,TblApplications[Action],"À migrer",TblApplications[Mois prov (calc)],"&lt;="&amp;$E123)-SUMIFS(TblApplications[RAM IKS libérable (Go)],TblApplications[Cluster IKS source],$F123,TblApplications[Action],"À décommissionner",TblApplications[Mois lib (calc)],"&lt;="&amp;$E123)))))</f>
        <v>240</v>
      </c>
      <c r="Z123" s="19">
        <f t="shared" si="26"/>
        <v>6</v>
      </c>
      <c r="AA123" s="73">
        <f t="shared" si="27"/>
        <v>2208</v>
      </c>
      <c r="AB123" s="19">
        <f t="shared" si="28"/>
        <v>6</v>
      </c>
      <c r="AC123" s="73">
        <f t="shared" si="29"/>
        <v>2208</v>
      </c>
      <c r="AD123" s="19">
        <f t="shared" si="30"/>
        <v>0</v>
      </c>
      <c r="AE123" s="19">
        <f t="shared" si="31"/>
        <v>0</v>
      </c>
      <c r="AF123" s="19" t="str">
        <f>IF($D123&lt;&gt;1,"",IF(INDEX(TblClusters[Environnement],$B123)="","(vide)",INDEX(TblClusters[Environnement],$B123)))</f>
        <v>PRD</v>
      </c>
      <c r="AG123" s="19">
        <f t="shared" si="32"/>
        <v>72</v>
      </c>
      <c r="AH123" s="19">
        <f t="shared" si="33"/>
        <v>30.666666666666668</v>
      </c>
      <c r="AI123" s="19">
        <f>IF($D123&lt;&gt;1,"",IF(AND($G123="IKS",ISNUMBER(INDEX(TblClusters[Fermeture retenue],$B123))),IF($E123&gt;=INDEX(TblClusters[Fermeture retenue],$B123),1,0),0))</f>
        <v>0</v>
      </c>
    </row>
    <row r="124" spans="1:35" x14ac:dyDescent="0.2">
      <c r="A124" s="19">
        <v>119</v>
      </c>
      <c r="B124" s="19">
        <f t="shared" si="17"/>
        <v>4</v>
      </c>
      <c r="C124" s="19">
        <f t="shared" si="18"/>
        <v>11</v>
      </c>
      <c r="D124" s="19">
        <f>IF($C124&gt;p_horizon,0,IFERROR(IF(AND(INDEX(TblClusters[Cluster],$B124)&lt;&gt;"",ISNUMBER(INDEX(TblClusters[CPU initial (vCPU)],$B124)),ISNUMBER(INDEX(TblClusters[CPU min (vCPU)],$B124)),OR(INDEX(TblClusters[Plateforme],$B124)="IKS",INDEX(TblClusters[Plateforme],$B124)="ROKS")),1,0),0))</f>
        <v>1</v>
      </c>
      <c r="E124" s="72">
        <f t="shared" si="19"/>
        <v>46600</v>
      </c>
      <c r="F124" s="19" t="str">
        <f>IF($D124=1,INDEX(TblClusters[Cluster],$B124),"")</f>
        <v>oc002i000809</v>
      </c>
      <c r="G124" s="19" t="str">
        <f>IF($D124=1,INDEX(TblClusters[Plateforme],$B124),"")</f>
        <v>ROKS</v>
      </c>
      <c r="H124" s="19">
        <f>IF($D124=1,INDEX(TblClusters[vCPU par nœud],$B124),"")</f>
        <v>8</v>
      </c>
      <c r="I124" s="19">
        <f>IF($D124=1,INDEX(TblClusters[RAM par nœud (Go)],$B124),"")</f>
        <v>40</v>
      </c>
      <c r="J124" s="19">
        <f>IF($D124=1,INDEX(TblClusters[Workers min],$B124),"")</f>
        <v>6</v>
      </c>
      <c r="K124" s="73">
        <f>IF($D124=1,INDEX(TblClusters[Tarif par nœud],$B124),"")</f>
        <v>368</v>
      </c>
      <c r="L124" s="19">
        <f>IF($D124=1,INDEX(TblClusters[CPU initial (vCPU)],$B124),"")</f>
        <v>48</v>
      </c>
      <c r="M124" s="19">
        <f>IF($D124=1,INDEX(TblClusters[RAM initiale (Go)],$B124),"")</f>
        <v>240</v>
      </c>
      <c r="N124" s="19">
        <f>IF($D124=1,INDEX(TblClusters[CPU min (vCPU)],$B124),"")</f>
        <v>48</v>
      </c>
      <c r="O124" s="19">
        <f>IF($D124=1,INDEX(TblClusters[RAM min (Go)],$B124),"")</f>
        <v>240</v>
      </c>
      <c r="P124" s="19">
        <f>IF($D124&lt;&gt;1,"",IF($G124="ROKS",SUMIFS(TblApplications[Besoin ROKS CPU (vCPU)],TblApplications[Cluster ROKS cible],$F124,TblApplications[Action],"À migrer",TblApplications[Déjà incluse ROKS],"Non",TblApplications[Mois prov (calc)],"&lt;="&amp;$E124),SUMIFS(TblApplications[CPU IKS libérable (vCPU)],TblApplications[Cluster IKS source],$F124,TblApplications[Mois lib (calc)],"&lt;="&amp;$E124)))</f>
        <v>0</v>
      </c>
      <c r="Q124" s="19">
        <f>IF($D124&lt;&gt;1,"",IF($G124="ROKS",SUMIFS(TblApplications[Besoin ROKS RAM (Go)],TblApplications[Cluster ROKS cible],$F124,TblApplications[Action],"À migrer",TblApplications[Déjà incluse ROKS],"Non",TblApplications[Mois prov (calc)],"&lt;="&amp;$E124),SUMIFS(TblApplications[RAM IKS libérable (Go)],TblApplications[Cluster IKS source],$F124,TblApplications[Mois lib (calc)],"&lt;="&amp;$E124)))</f>
        <v>0</v>
      </c>
      <c r="R124" s="19">
        <f t="shared" si="20"/>
        <v>48</v>
      </c>
      <c r="S124" s="19">
        <f t="shared" si="21"/>
        <v>240</v>
      </c>
      <c r="T124" s="19">
        <f t="shared" si="22"/>
        <v>6</v>
      </c>
      <c r="U124" s="19">
        <f t="shared" si="23"/>
        <v>48</v>
      </c>
      <c r="V124" s="19">
        <f t="shared" si="24"/>
        <v>240</v>
      </c>
      <c r="W124" s="73">
        <f t="shared" si="25"/>
        <v>2208</v>
      </c>
      <c r="X124" s="19">
        <f>IF($D124&lt;&gt;1,"",IF($G124="ROKS",$R124,IF($AI124=1,0,MAX($N124,$L124-SUMIFS(TblApplications[CPU IKS libérable (vCPU)],TblApplications[Cluster IKS source],$F124,TblApplications[Action],"À migrer",TblApplications[Mois prov (calc)],"&lt;="&amp;$E124)-SUMIFS(TblApplications[CPU IKS libérable (vCPU)],TblApplications[Cluster IKS source],$F124,TblApplications[Action],"À décommissionner",TblApplications[Mois lib (calc)],"&lt;="&amp;$E124)))))</f>
        <v>48</v>
      </c>
      <c r="Y124" s="19">
        <f>IF($D124&lt;&gt;1,"",IF($G124="ROKS",$S124,IF($AI124=1,0,MAX($O124,$M124-SUMIFS(TblApplications[RAM IKS libérable (Go)],TblApplications[Cluster IKS source],$F124,TblApplications[Action],"À migrer",TblApplications[Mois prov (calc)],"&lt;="&amp;$E124)-SUMIFS(TblApplications[RAM IKS libérable (Go)],TblApplications[Cluster IKS source],$F124,TblApplications[Action],"À décommissionner",TblApplications[Mois lib (calc)],"&lt;="&amp;$E124)))))</f>
        <v>240</v>
      </c>
      <c r="Z124" s="19">
        <f t="shared" si="26"/>
        <v>6</v>
      </c>
      <c r="AA124" s="73">
        <f t="shared" si="27"/>
        <v>2208</v>
      </c>
      <c r="AB124" s="19">
        <f t="shared" si="28"/>
        <v>6</v>
      </c>
      <c r="AC124" s="73">
        <f t="shared" si="29"/>
        <v>2208</v>
      </c>
      <c r="AD124" s="19">
        <f t="shared" si="30"/>
        <v>0</v>
      </c>
      <c r="AE124" s="19">
        <f t="shared" si="31"/>
        <v>0</v>
      </c>
      <c r="AF124" s="19" t="str">
        <f>IF($D124&lt;&gt;1,"",IF(INDEX(TblClusters[Environnement],$B124)="","(vide)",INDEX(TblClusters[Environnement],$B124)))</f>
        <v>PRD</v>
      </c>
      <c r="AG124" s="19">
        <f t="shared" si="32"/>
        <v>72</v>
      </c>
      <c r="AH124" s="19">
        <f t="shared" si="33"/>
        <v>30.666666666666668</v>
      </c>
      <c r="AI124" s="19">
        <f>IF($D124&lt;&gt;1,"",IF(AND($G124="IKS",ISNUMBER(INDEX(TblClusters[Fermeture retenue],$B124))),IF($E124&gt;=INDEX(TblClusters[Fermeture retenue],$B124),1,0),0))</f>
        <v>0</v>
      </c>
    </row>
    <row r="125" spans="1:35" x14ac:dyDescent="0.2">
      <c r="A125" s="19">
        <v>120</v>
      </c>
      <c r="B125" s="19">
        <f t="shared" si="17"/>
        <v>4</v>
      </c>
      <c r="C125" s="19">
        <f t="shared" si="18"/>
        <v>12</v>
      </c>
      <c r="D125" s="19">
        <f>IF($C125&gt;p_horizon,0,IFERROR(IF(AND(INDEX(TblClusters[Cluster],$B125)&lt;&gt;"",ISNUMBER(INDEX(TblClusters[CPU initial (vCPU)],$B125)),ISNUMBER(INDEX(TblClusters[CPU min (vCPU)],$B125)),OR(INDEX(TblClusters[Plateforme],$B125)="IKS",INDEX(TblClusters[Plateforme],$B125)="ROKS")),1,0),0))</f>
        <v>1</v>
      </c>
      <c r="E125" s="72">
        <f t="shared" si="19"/>
        <v>46631</v>
      </c>
      <c r="F125" s="19" t="str">
        <f>IF($D125=1,INDEX(TblClusters[Cluster],$B125),"")</f>
        <v>oc002i000809</v>
      </c>
      <c r="G125" s="19" t="str">
        <f>IF($D125=1,INDEX(TblClusters[Plateforme],$B125),"")</f>
        <v>ROKS</v>
      </c>
      <c r="H125" s="19">
        <f>IF($D125=1,INDEX(TblClusters[vCPU par nœud],$B125),"")</f>
        <v>8</v>
      </c>
      <c r="I125" s="19">
        <f>IF($D125=1,INDEX(TblClusters[RAM par nœud (Go)],$B125),"")</f>
        <v>40</v>
      </c>
      <c r="J125" s="19">
        <f>IF($D125=1,INDEX(TblClusters[Workers min],$B125),"")</f>
        <v>6</v>
      </c>
      <c r="K125" s="73">
        <f>IF($D125=1,INDEX(TblClusters[Tarif par nœud],$B125),"")</f>
        <v>368</v>
      </c>
      <c r="L125" s="19">
        <f>IF($D125=1,INDEX(TblClusters[CPU initial (vCPU)],$B125),"")</f>
        <v>48</v>
      </c>
      <c r="M125" s="19">
        <f>IF($D125=1,INDEX(TblClusters[RAM initiale (Go)],$B125),"")</f>
        <v>240</v>
      </c>
      <c r="N125" s="19">
        <f>IF($D125=1,INDEX(TblClusters[CPU min (vCPU)],$B125),"")</f>
        <v>48</v>
      </c>
      <c r="O125" s="19">
        <f>IF($D125=1,INDEX(TblClusters[RAM min (Go)],$B125),"")</f>
        <v>240</v>
      </c>
      <c r="P125" s="19">
        <f>IF($D125&lt;&gt;1,"",IF($G125="ROKS",SUMIFS(TblApplications[Besoin ROKS CPU (vCPU)],TblApplications[Cluster ROKS cible],$F125,TblApplications[Action],"À migrer",TblApplications[Déjà incluse ROKS],"Non",TblApplications[Mois prov (calc)],"&lt;="&amp;$E125),SUMIFS(TblApplications[CPU IKS libérable (vCPU)],TblApplications[Cluster IKS source],$F125,TblApplications[Mois lib (calc)],"&lt;="&amp;$E125)))</f>
        <v>0</v>
      </c>
      <c r="Q125" s="19">
        <f>IF($D125&lt;&gt;1,"",IF($G125="ROKS",SUMIFS(TblApplications[Besoin ROKS RAM (Go)],TblApplications[Cluster ROKS cible],$F125,TblApplications[Action],"À migrer",TblApplications[Déjà incluse ROKS],"Non",TblApplications[Mois prov (calc)],"&lt;="&amp;$E125),SUMIFS(TblApplications[RAM IKS libérable (Go)],TblApplications[Cluster IKS source],$F125,TblApplications[Mois lib (calc)],"&lt;="&amp;$E125)))</f>
        <v>0</v>
      </c>
      <c r="R125" s="19">
        <f t="shared" si="20"/>
        <v>48</v>
      </c>
      <c r="S125" s="19">
        <f t="shared" si="21"/>
        <v>240</v>
      </c>
      <c r="T125" s="19">
        <f t="shared" si="22"/>
        <v>6</v>
      </c>
      <c r="U125" s="19">
        <f t="shared" si="23"/>
        <v>48</v>
      </c>
      <c r="V125" s="19">
        <f t="shared" si="24"/>
        <v>240</v>
      </c>
      <c r="W125" s="73">
        <f t="shared" si="25"/>
        <v>2208</v>
      </c>
      <c r="X125" s="19">
        <f>IF($D125&lt;&gt;1,"",IF($G125="ROKS",$R125,IF($AI125=1,0,MAX($N125,$L125-SUMIFS(TblApplications[CPU IKS libérable (vCPU)],TblApplications[Cluster IKS source],$F125,TblApplications[Action],"À migrer",TblApplications[Mois prov (calc)],"&lt;="&amp;$E125)-SUMIFS(TblApplications[CPU IKS libérable (vCPU)],TblApplications[Cluster IKS source],$F125,TblApplications[Action],"À décommissionner",TblApplications[Mois lib (calc)],"&lt;="&amp;$E125)))))</f>
        <v>48</v>
      </c>
      <c r="Y125" s="19">
        <f>IF($D125&lt;&gt;1,"",IF($G125="ROKS",$S125,IF($AI125=1,0,MAX($O125,$M125-SUMIFS(TblApplications[RAM IKS libérable (Go)],TblApplications[Cluster IKS source],$F125,TblApplications[Action],"À migrer",TblApplications[Mois prov (calc)],"&lt;="&amp;$E125)-SUMIFS(TblApplications[RAM IKS libérable (Go)],TblApplications[Cluster IKS source],$F125,TblApplications[Action],"À décommissionner",TblApplications[Mois lib (calc)],"&lt;="&amp;$E125)))))</f>
        <v>240</v>
      </c>
      <c r="Z125" s="19">
        <f t="shared" si="26"/>
        <v>6</v>
      </c>
      <c r="AA125" s="73">
        <f t="shared" si="27"/>
        <v>2208</v>
      </c>
      <c r="AB125" s="19">
        <f t="shared" si="28"/>
        <v>6</v>
      </c>
      <c r="AC125" s="73">
        <f t="shared" si="29"/>
        <v>2208</v>
      </c>
      <c r="AD125" s="19">
        <f t="shared" si="30"/>
        <v>0</v>
      </c>
      <c r="AE125" s="19">
        <f t="shared" si="31"/>
        <v>0</v>
      </c>
      <c r="AF125" s="19" t="str">
        <f>IF($D125&lt;&gt;1,"",IF(INDEX(TblClusters[Environnement],$B125)="","(vide)",INDEX(TblClusters[Environnement],$B125)))</f>
        <v>PRD</v>
      </c>
      <c r="AG125" s="19">
        <f t="shared" si="32"/>
        <v>72</v>
      </c>
      <c r="AH125" s="19">
        <f t="shared" si="33"/>
        <v>30.666666666666668</v>
      </c>
      <c r="AI125" s="19">
        <f>IF($D125&lt;&gt;1,"",IF(AND($G125="IKS",ISNUMBER(INDEX(TblClusters[Fermeture retenue],$B125))),IF($E125&gt;=INDEX(TblClusters[Fermeture retenue],$B125),1,0),0))</f>
        <v>0</v>
      </c>
    </row>
    <row r="126" spans="1:35" x14ac:dyDescent="0.2">
      <c r="A126" s="19">
        <v>121</v>
      </c>
      <c r="B126" s="19">
        <f t="shared" si="17"/>
        <v>4</v>
      </c>
      <c r="C126" s="19">
        <f t="shared" si="18"/>
        <v>13</v>
      </c>
      <c r="D126" s="19">
        <f>IF($C126&gt;p_horizon,0,IFERROR(IF(AND(INDEX(TblClusters[Cluster],$B126)&lt;&gt;"",ISNUMBER(INDEX(TblClusters[CPU initial (vCPU)],$B126)),ISNUMBER(INDEX(TblClusters[CPU min (vCPU)],$B126)),OR(INDEX(TblClusters[Plateforme],$B126)="IKS",INDEX(TblClusters[Plateforme],$B126)="ROKS")),1,0),0))</f>
        <v>1</v>
      </c>
      <c r="E126" s="72">
        <f t="shared" si="19"/>
        <v>46661</v>
      </c>
      <c r="F126" s="19" t="str">
        <f>IF($D126=1,INDEX(TblClusters[Cluster],$B126),"")</f>
        <v>oc002i000809</v>
      </c>
      <c r="G126" s="19" t="str">
        <f>IF($D126=1,INDEX(TblClusters[Plateforme],$B126),"")</f>
        <v>ROKS</v>
      </c>
      <c r="H126" s="19">
        <f>IF($D126=1,INDEX(TblClusters[vCPU par nœud],$B126),"")</f>
        <v>8</v>
      </c>
      <c r="I126" s="19">
        <f>IF($D126=1,INDEX(TblClusters[RAM par nœud (Go)],$B126),"")</f>
        <v>40</v>
      </c>
      <c r="J126" s="19">
        <f>IF($D126=1,INDEX(TblClusters[Workers min],$B126),"")</f>
        <v>6</v>
      </c>
      <c r="K126" s="73">
        <f>IF($D126=1,INDEX(TblClusters[Tarif par nœud],$B126),"")</f>
        <v>368</v>
      </c>
      <c r="L126" s="19">
        <f>IF($D126=1,INDEX(TblClusters[CPU initial (vCPU)],$B126),"")</f>
        <v>48</v>
      </c>
      <c r="M126" s="19">
        <f>IF($D126=1,INDEX(TblClusters[RAM initiale (Go)],$B126),"")</f>
        <v>240</v>
      </c>
      <c r="N126" s="19">
        <f>IF($D126=1,INDEX(TblClusters[CPU min (vCPU)],$B126),"")</f>
        <v>48</v>
      </c>
      <c r="O126" s="19">
        <f>IF($D126=1,INDEX(TblClusters[RAM min (Go)],$B126),"")</f>
        <v>240</v>
      </c>
      <c r="P126" s="19">
        <f>IF($D126&lt;&gt;1,"",IF($G126="ROKS",SUMIFS(TblApplications[Besoin ROKS CPU (vCPU)],TblApplications[Cluster ROKS cible],$F126,TblApplications[Action],"À migrer",TblApplications[Déjà incluse ROKS],"Non",TblApplications[Mois prov (calc)],"&lt;="&amp;$E126),SUMIFS(TblApplications[CPU IKS libérable (vCPU)],TblApplications[Cluster IKS source],$F126,TblApplications[Mois lib (calc)],"&lt;="&amp;$E126)))</f>
        <v>0</v>
      </c>
      <c r="Q126" s="19">
        <f>IF($D126&lt;&gt;1,"",IF($G126="ROKS",SUMIFS(TblApplications[Besoin ROKS RAM (Go)],TblApplications[Cluster ROKS cible],$F126,TblApplications[Action],"À migrer",TblApplications[Déjà incluse ROKS],"Non",TblApplications[Mois prov (calc)],"&lt;="&amp;$E126),SUMIFS(TblApplications[RAM IKS libérable (Go)],TblApplications[Cluster IKS source],$F126,TblApplications[Mois lib (calc)],"&lt;="&amp;$E126)))</f>
        <v>0</v>
      </c>
      <c r="R126" s="19">
        <f t="shared" si="20"/>
        <v>48</v>
      </c>
      <c r="S126" s="19">
        <f t="shared" si="21"/>
        <v>240</v>
      </c>
      <c r="T126" s="19">
        <f t="shared" si="22"/>
        <v>6</v>
      </c>
      <c r="U126" s="19">
        <f t="shared" si="23"/>
        <v>48</v>
      </c>
      <c r="V126" s="19">
        <f t="shared" si="24"/>
        <v>240</v>
      </c>
      <c r="W126" s="73">
        <f t="shared" si="25"/>
        <v>2208</v>
      </c>
      <c r="X126" s="19">
        <f>IF($D126&lt;&gt;1,"",IF($G126="ROKS",$R126,IF($AI126=1,0,MAX($N126,$L126-SUMIFS(TblApplications[CPU IKS libérable (vCPU)],TblApplications[Cluster IKS source],$F126,TblApplications[Action],"À migrer",TblApplications[Mois prov (calc)],"&lt;="&amp;$E126)-SUMIFS(TblApplications[CPU IKS libérable (vCPU)],TblApplications[Cluster IKS source],$F126,TblApplications[Action],"À décommissionner",TblApplications[Mois lib (calc)],"&lt;="&amp;$E126)))))</f>
        <v>48</v>
      </c>
      <c r="Y126" s="19">
        <f>IF($D126&lt;&gt;1,"",IF($G126="ROKS",$S126,IF($AI126=1,0,MAX($O126,$M126-SUMIFS(TblApplications[RAM IKS libérable (Go)],TblApplications[Cluster IKS source],$F126,TblApplications[Action],"À migrer",TblApplications[Mois prov (calc)],"&lt;="&amp;$E126)-SUMIFS(TblApplications[RAM IKS libérable (Go)],TblApplications[Cluster IKS source],$F126,TblApplications[Action],"À décommissionner",TblApplications[Mois lib (calc)],"&lt;="&amp;$E126)))))</f>
        <v>240</v>
      </c>
      <c r="Z126" s="19">
        <f t="shared" si="26"/>
        <v>6</v>
      </c>
      <c r="AA126" s="73">
        <f t="shared" si="27"/>
        <v>2208</v>
      </c>
      <c r="AB126" s="19">
        <f t="shared" si="28"/>
        <v>6</v>
      </c>
      <c r="AC126" s="73">
        <f t="shared" si="29"/>
        <v>2208</v>
      </c>
      <c r="AD126" s="19">
        <f t="shared" si="30"/>
        <v>0</v>
      </c>
      <c r="AE126" s="19">
        <f t="shared" si="31"/>
        <v>0</v>
      </c>
      <c r="AF126" s="19" t="str">
        <f>IF($D126&lt;&gt;1,"",IF(INDEX(TblClusters[Environnement],$B126)="","(vide)",INDEX(TblClusters[Environnement],$B126)))</f>
        <v>PRD</v>
      </c>
      <c r="AG126" s="19">
        <f t="shared" si="32"/>
        <v>72</v>
      </c>
      <c r="AH126" s="19">
        <f t="shared" si="33"/>
        <v>30.666666666666668</v>
      </c>
      <c r="AI126" s="19">
        <f>IF($D126&lt;&gt;1,"",IF(AND($G126="IKS",ISNUMBER(INDEX(TblClusters[Fermeture retenue],$B126))),IF($E126&gt;=INDEX(TblClusters[Fermeture retenue],$B126),1,0),0))</f>
        <v>0</v>
      </c>
    </row>
    <row r="127" spans="1:35" x14ac:dyDescent="0.2">
      <c r="A127" s="19">
        <v>122</v>
      </c>
      <c r="B127" s="19">
        <f t="shared" si="17"/>
        <v>4</v>
      </c>
      <c r="C127" s="19">
        <f t="shared" si="18"/>
        <v>14</v>
      </c>
      <c r="D127" s="19">
        <f>IF($C127&gt;p_horizon,0,IFERROR(IF(AND(INDEX(TblClusters[Cluster],$B127)&lt;&gt;"",ISNUMBER(INDEX(TblClusters[CPU initial (vCPU)],$B127)),ISNUMBER(INDEX(TblClusters[CPU min (vCPU)],$B127)),OR(INDEX(TblClusters[Plateforme],$B127)="IKS",INDEX(TblClusters[Plateforme],$B127)="ROKS")),1,0),0))</f>
        <v>1</v>
      </c>
      <c r="E127" s="72">
        <f t="shared" si="19"/>
        <v>46692</v>
      </c>
      <c r="F127" s="19" t="str">
        <f>IF($D127=1,INDEX(TblClusters[Cluster],$B127),"")</f>
        <v>oc002i000809</v>
      </c>
      <c r="G127" s="19" t="str">
        <f>IF($D127=1,INDEX(TblClusters[Plateforme],$B127),"")</f>
        <v>ROKS</v>
      </c>
      <c r="H127" s="19">
        <f>IF($D127=1,INDEX(TblClusters[vCPU par nœud],$B127),"")</f>
        <v>8</v>
      </c>
      <c r="I127" s="19">
        <f>IF($D127=1,INDEX(TblClusters[RAM par nœud (Go)],$B127),"")</f>
        <v>40</v>
      </c>
      <c r="J127" s="19">
        <f>IF($D127=1,INDEX(TblClusters[Workers min],$B127),"")</f>
        <v>6</v>
      </c>
      <c r="K127" s="73">
        <f>IF($D127=1,INDEX(TblClusters[Tarif par nœud],$B127),"")</f>
        <v>368</v>
      </c>
      <c r="L127" s="19">
        <f>IF($D127=1,INDEX(TblClusters[CPU initial (vCPU)],$B127),"")</f>
        <v>48</v>
      </c>
      <c r="M127" s="19">
        <f>IF($D127=1,INDEX(TblClusters[RAM initiale (Go)],$B127),"")</f>
        <v>240</v>
      </c>
      <c r="N127" s="19">
        <f>IF($D127=1,INDEX(TblClusters[CPU min (vCPU)],$B127),"")</f>
        <v>48</v>
      </c>
      <c r="O127" s="19">
        <f>IF($D127=1,INDEX(TblClusters[RAM min (Go)],$B127),"")</f>
        <v>240</v>
      </c>
      <c r="P127" s="19">
        <f>IF($D127&lt;&gt;1,"",IF($G127="ROKS",SUMIFS(TblApplications[Besoin ROKS CPU (vCPU)],TblApplications[Cluster ROKS cible],$F127,TblApplications[Action],"À migrer",TblApplications[Déjà incluse ROKS],"Non",TblApplications[Mois prov (calc)],"&lt;="&amp;$E127),SUMIFS(TblApplications[CPU IKS libérable (vCPU)],TblApplications[Cluster IKS source],$F127,TblApplications[Mois lib (calc)],"&lt;="&amp;$E127)))</f>
        <v>0</v>
      </c>
      <c r="Q127" s="19">
        <f>IF($D127&lt;&gt;1,"",IF($G127="ROKS",SUMIFS(TblApplications[Besoin ROKS RAM (Go)],TblApplications[Cluster ROKS cible],$F127,TblApplications[Action],"À migrer",TblApplications[Déjà incluse ROKS],"Non",TblApplications[Mois prov (calc)],"&lt;="&amp;$E127),SUMIFS(TblApplications[RAM IKS libérable (Go)],TblApplications[Cluster IKS source],$F127,TblApplications[Mois lib (calc)],"&lt;="&amp;$E127)))</f>
        <v>0</v>
      </c>
      <c r="R127" s="19">
        <f t="shared" si="20"/>
        <v>48</v>
      </c>
      <c r="S127" s="19">
        <f t="shared" si="21"/>
        <v>240</v>
      </c>
      <c r="T127" s="19">
        <f t="shared" si="22"/>
        <v>6</v>
      </c>
      <c r="U127" s="19">
        <f t="shared" si="23"/>
        <v>48</v>
      </c>
      <c r="V127" s="19">
        <f t="shared" si="24"/>
        <v>240</v>
      </c>
      <c r="W127" s="73">
        <f t="shared" si="25"/>
        <v>2208</v>
      </c>
      <c r="X127" s="19">
        <f>IF($D127&lt;&gt;1,"",IF($G127="ROKS",$R127,IF($AI127=1,0,MAX($N127,$L127-SUMIFS(TblApplications[CPU IKS libérable (vCPU)],TblApplications[Cluster IKS source],$F127,TblApplications[Action],"À migrer",TblApplications[Mois prov (calc)],"&lt;="&amp;$E127)-SUMIFS(TblApplications[CPU IKS libérable (vCPU)],TblApplications[Cluster IKS source],$F127,TblApplications[Action],"À décommissionner",TblApplications[Mois lib (calc)],"&lt;="&amp;$E127)))))</f>
        <v>48</v>
      </c>
      <c r="Y127" s="19">
        <f>IF($D127&lt;&gt;1,"",IF($G127="ROKS",$S127,IF($AI127=1,0,MAX($O127,$M127-SUMIFS(TblApplications[RAM IKS libérable (Go)],TblApplications[Cluster IKS source],$F127,TblApplications[Action],"À migrer",TblApplications[Mois prov (calc)],"&lt;="&amp;$E127)-SUMIFS(TblApplications[RAM IKS libérable (Go)],TblApplications[Cluster IKS source],$F127,TblApplications[Action],"À décommissionner",TblApplications[Mois lib (calc)],"&lt;="&amp;$E127)))))</f>
        <v>240</v>
      </c>
      <c r="Z127" s="19">
        <f t="shared" si="26"/>
        <v>6</v>
      </c>
      <c r="AA127" s="73">
        <f t="shared" si="27"/>
        <v>2208</v>
      </c>
      <c r="AB127" s="19">
        <f t="shared" si="28"/>
        <v>6</v>
      </c>
      <c r="AC127" s="73">
        <f t="shared" si="29"/>
        <v>2208</v>
      </c>
      <c r="AD127" s="19">
        <f t="shared" si="30"/>
        <v>0</v>
      </c>
      <c r="AE127" s="19">
        <f t="shared" si="31"/>
        <v>0</v>
      </c>
      <c r="AF127" s="19" t="str">
        <f>IF($D127&lt;&gt;1,"",IF(INDEX(TblClusters[Environnement],$B127)="","(vide)",INDEX(TblClusters[Environnement],$B127)))</f>
        <v>PRD</v>
      </c>
      <c r="AG127" s="19">
        <f t="shared" si="32"/>
        <v>72</v>
      </c>
      <c r="AH127" s="19">
        <f t="shared" si="33"/>
        <v>30.666666666666668</v>
      </c>
      <c r="AI127" s="19">
        <f>IF($D127&lt;&gt;1,"",IF(AND($G127="IKS",ISNUMBER(INDEX(TblClusters[Fermeture retenue],$B127))),IF($E127&gt;=INDEX(TblClusters[Fermeture retenue],$B127),1,0),0))</f>
        <v>0</v>
      </c>
    </row>
    <row r="128" spans="1:35" x14ac:dyDescent="0.2">
      <c r="A128" s="19">
        <v>123</v>
      </c>
      <c r="B128" s="19">
        <f t="shared" si="17"/>
        <v>4</v>
      </c>
      <c r="C128" s="19">
        <f t="shared" si="18"/>
        <v>15</v>
      </c>
      <c r="D128" s="19">
        <f>IF($C128&gt;p_horizon,0,IFERROR(IF(AND(INDEX(TblClusters[Cluster],$B128)&lt;&gt;"",ISNUMBER(INDEX(TblClusters[CPU initial (vCPU)],$B128)),ISNUMBER(INDEX(TblClusters[CPU min (vCPU)],$B128)),OR(INDEX(TblClusters[Plateforme],$B128)="IKS",INDEX(TblClusters[Plateforme],$B128)="ROKS")),1,0),0))</f>
        <v>1</v>
      </c>
      <c r="E128" s="72">
        <f t="shared" si="19"/>
        <v>46722</v>
      </c>
      <c r="F128" s="19" t="str">
        <f>IF($D128=1,INDEX(TblClusters[Cluster],$B128),"")</f>
        <v>oc002i000809</v>
      </c>
      <c r="G128" s="19" t="str">
        <f>IF($D128=1,INDEX(TblClusters[Plateforme],$B128),"")</f>
        <v>ROKS</v>
      </c>
      <c r="H128" s="19">
        <f>IF($D128=1,INDEX(TblClusters[vCPU par nœud],$B128),"")</f>
        <v>8</v>
      </c>
      <c r="I128" s="19">
        <f>IF($D128=1,INDEX(TblClusters[RAM par nœud (Go)],$B128),"")</f>
        <v>40</v>
      </c>
      <c r="J128" s="19">
        <f>IF($D128=1,INDEX(TblClusters[Workers min],$B128),"")</f>
        <v>6</v>
      </c>
      <c r="K128" s="73">
        <f>IF($D128=1,INDEX(TblClusters[Tarif par nœud],$B128),"")</f>
        <v>368</v>
      </c>
      <c r="L128" s="19">
        <f>IF($D128=1,INDEX(TblClusters[CPU initial (vCPU)],$B128),"")</f>
        <v>48</v>
      </c>
      <c r="M128" s="19">
        <f>IF($D128=1,INDEX(TblClusters[RAM initiale (Go)],$B128),"")</f>
        <v>240</v>
      </c>
      <c r="N128" s="19">
        <f>IF($D128=1,INDEX(TblClusters[CPU min (vCPU)],$B128),"")</f>
        <v>48</v>
      </c>
      <c r="O128" s="19">
        <f>IF($D128=1,INDEX(TblClusters[RAM min (Go)],$B128),"")</f>
        <v>240</v>
      </c>
      <c r="P128" s="19">
        <f>IF($D128&lt;&gt;1,"",IF($G128="ROKS",SUMIFS(TblApplications[Besoin ROKS CPU (vCPU)],TblApplications[Cluster ROKS cible],$F128,TblApplications[Action],"À migrer",TblApplications[Déjà incluse ROKS],"Non",TblApplications[Mois prov (calc)],"&lt;="&amp;$E128),SUMIFS(TblApplications[CPU IKS libérable (vCPU)],TblApplications[Cluster IKS source],$F128,TblApplications[Mois lib (calc)],"&lt;="&amp;$E128)))</f>
        <v>0</v>
      </c>
      <c r="Q128" s="19">
        <f>IF($D128&lt;&gt;1,"",IF($G128="ROKS",SUMIFS(TblApplications[Besoin ROKS RAM (Go)],TblApplications[Cluster ROKS cible],$F128,TblApplications[Action],"À migrer",TblApplications[Déjà incluse ROKS],"Non",TblApplications[Mois prov (calc)],"&lt;="&amp;$E128),SUMIFS(TblApplications[RAM IKS libérable (Go)],TblApplications[Cluster IKS source],$F128,TblApplications[Mois lib (calc)],"&lt;="&amp;$E128)))</f>
        <v>0</v>
      </c>
      <c r="R128" s="19">
        <f t="shared" si="20"/>
        <v>48</v>
      </c>
      <c r="S128" s="19">
        <f t="shared" si="21"/>
        <v>240</v>
      </c>
      <c r="T128" s="19">
        <f t="shared" si="22"/>
        <v>6</v>
      </c>
      <c r="U128" s="19">
        <f t="shared" si="23"/>
        <v>48</v>
      </c>
      <c r="V128" s="19">
        <f t="shared" si="24"/>
        <v>240</v>
      </c>
      <c r="W128" s="73">
        <f t="shared" si="25"/>
        <v>2208</v>
      </c>
      <c r="X128" s="19">
        <f>IF($D128&lt;&gt;1,"",IF($G128="ROKS",$R128,IF($AI128=1,0,MAX($N128,$L128-SUMIFS(TblApplications[CPU IKS libérable (vCPU)],TblApplications[Cluster IKS source],$F128,TblApplications[Action],"À migrer",TblApplications[Mois prov (calc)],"&lt;="&amp;$E128)-SUMIFS(TblApplications[CPU IKS libérable (vCPU)],TblApplications[Cluster IKS source],$F128,TblApplications[Action],"À décommissionner",TblApplications[Mois lib (calc)],"&lt;="&amp;$E128)))))</f>
        <v>48</v>
      </c>
      <c r="Y128" s="19">
        <f>IF($D128&lt;&gt;1,"",IF($G128="ROKS",$S128,IF($AI128=1,0,MAX($O128,$M128-SUMIFS(TblApplications[RAM IKS libérable (Go)],TblApplications[Cluster IKS source],$F128,TblApplications[Action],"À migrer",TblApplications[Mois prov (calc)],"&lt;="&amp;$E128)-SUMIFS(TblApplications[RAM IKS libérable (Go)],TblApplications[Cluster IKS source],$F128,TblApplications[Action],"À décommissionner",TblApplications[Mois lib (calc)],"&lt;="&amp;$E128)))))</f>
        <v>240</v>
      </c>
      <c r="Z128" s="19">
        <f t="shared" si="26"/>
        <v>6</v>
      </c>
      <c r="AA128" s="73">
        <f t="shared" si="27"/>
        <v>2208</v>
      </c>
      <c r="AB128" s="19">
        <f t="shared" si="28"/>
        <v>6</v>
      </c>
      <c r="AC128" s="73">
        <f t="shared" si="29"/>
        <v>2208</v>
      </c>
      <c r="AD128" s="19">
        <f t="shared" si="30"/>
        <v>0</v>
      </c>
      <c r="AE128" s="19">
        <f t="shared" si="31"/>
        <v>0</v>
      </c>
      <c r="AF128" s="19" t="str">
        <f>IF($D128&lt;&gt;1,"",IF(INDEX(TblClusters[Environnement],$B128)="","(vide)",INDEX(TblClusters[Environnement],$B128)))</f>
        <v>PRD</v>
      </c>
      <c r="AG128" s="19">
        <f t="shared" si="32"/>
        <v>72</v>
      </c>
      <c r="AH128" s="19">
        <f t="shared" si="33"/>
        <v>30.666666666666668</v>
      </c>
      <c r="AI128" s="19">
        <f>IF($D128&lt;&gt;1,"",IF(AND($G128="IKS",ISNUMBER(INDEX(TblClusters[Fermeture retenue],$B128))),IF($E128&gt;=INDEX(TblClusters[Fermeture retenue],$B128),1,0),0))</f>
        <v>0</v>
      </c>
    </row>
    <row r="129" spans="1:35" x14ac:dyDescent="0.2">
      <c r="A129" s="19">
        <v>124</v>
      </c>
      <c r="B129" s="19">
        <f t="shared" si="17"/>
        <v>4</v>
      </c>
      <c r="C129" s="19">
        <f t="shared" si="18"/>
        <v>16</v>
      </c>
      <c r="D129" s="19">
        <f>IF($C129&gt;p_horizon,0,IFERROR(IF(AND(INDEX(TblClusters[Cluster],$B129)&lt;&gt;"",ISNUMBER(INDEX(TblClusters[CPU initial (vCPU)],$B129)),ISNUMBER(INDEX(TblClusters[CPU min (vCPU)],$B129)),OR(INDEX(TblClusters[Plateforme],$B129)="IKS",INDEX(TblClusters[Plateforme],$B129)="ROKS")),1,0),0))</f>
        <v>1</v>
      </c>
      <c r="E129" s="72">
        <f t="shared" si="19"/>
        <v>46753</v>
      </c>
      <c r="F129" s="19" t="str">
        <f>IF($D129=1,INDEX(TblClusters[Cluster],$B129),"")</f>
        <v>oc002i000809</v>
      </c>
      <c r="G129" s="19" t="str">
        <f>IF($D129=1,INDEX(TblClusters[Plateforme],$B129),"")</f>
        <v>ROKS</v>
      </c>
      <c r="H129" s="19">
        <f>IF($D129=1,INDEX(TblClusters[vCPU par nœud],$B129),"")</f>
        <v>8</v>
      </c>
      <c r="I129" s="19">
        <f>IF($D129=1,INDEX(TblClusters[RAM par nœud (Go)],$B129),"")</f>
        <v>40</v>
      </c>
      <c r="J129" s="19">
        <f>IF($D129=1,INDEX(TblClusters[Workers min],$B129),"")</f>
        <v>6</v>
      </c>
      <c r="K129" s="73">
        <f>IF($D129=1,INDEX(TblClusters[Tarif par nœud],$B129),"")</f>
        <v>368</v>
      </c>
      <c r="L129" s="19">
        <f>IF($D129=1,INDEX(TblClusters[CPU initial (vCPU)],$B129),"")</f>
        <v>48</v>
      </c>
      <c r="M129" s="19">
        <f>IF($D129=1,INDEX(TblClusters[RAM initiale (Go)],$B129),"")</f>
        <v>240</v>
      </c>
      <c r="N129" s="19">
        <f>IF($D129=1,INDEX(TblClusters[CPU min (vCPU)],$B129),"")</f>
        <v>48</v>
      </c>
      <c r="O129" s="19">
        <f>IF($D129=1,INDEX(TblClusters[RAM min (Go)],$B129),"")</f>
        <v>240</v>
      </c>
      <c r="P129" s="19">
        <f>IF($D129&lt;&gt;1,"",IF($G129="ROKS",SUMIFS(TblApplications[Besoin ROKS CPU (vCPU)],TblApplications[Cluster ROKS cible],$F129,TblApplications[Action],"À migrer",TblApplications[Déjà incluse ROKS],"Non",TblApplications[Mois prov (calc)],"&lt;="&amp;$E129),SUMIFS(TblApplications[CPU IKS libérable (vCPU)],TblApplications[Cluster IKS source],$F129,TblApplications[Mois lib (calc)],"&lt;="&amp;$E129)))</f>
        <v>0</v>
      </c>
      <c r="Q129" s="19">
        <f>IF($D129&lt;&gt;1,"",IF($G129="ROKS",SUMIFS(TblApplications[Besoin ROKS RAM (Go)],TblApplications[Cluster ROKS cible],$F129,TblApplications[Action],"À migrer",TblApplications[Déjà incluse ROKS],"Non",TblApplications[Mois prov (calc)],"&lt;="&amp;$E129),SUMIFS(TblApplications[RAM IKS libérable (Go)],TblApplications[Cluster IKS source],$F129,TblApplications[Mois lib (calc)],"&lt;="&amp;$E129)))</f>
        <v>0</v>
      </c>
      <c r="R129" s="19">
        <f t="shared" si="20"/>
        <v>48</v>
      </c>
      <c r="S129" s="19">
        <f t="shared" si="21"/>
        <v>240</v>
      </c>
      <c r="T129" s="19">
        <f t="shared" si="22"/>
        <v>6</v>
      </c>
      <c r="U129" s="19">
        <f t="shared" si="23"/>
        <v>48</v>
      </c>
      <c r="V129" s="19">
        <f t="shared" si="24"/>
        <v>240</v>
      </c>
      <c r="W129" s="73">
        <f t="shared" si="25"/>
        <v>2208</v>
      </c>
      <c r="X129" s="19">
        <f>IF($D129&lt;&gt;1,"",IF($G129="ROKS",$R129,IF($AI129=1,0,MAX($N129,$L129-SUMIFS(TblApplications[CPU IKS libérable (vCPU)],TblApplications[Cluster IKS source],$F129,TblApplications[Action],"À migrer",TblApplications[Mois prov (calc)],"&lt;="&amp;$E129)-SUMIFS(TblApplications[CPU IKS libérable (vCPU)],TblApplications[Cluster IKS source],$F129,TblApplications[Action],"À décommissionner",TblApplications[Mois lib (calc)],"&lt;="&amp;$E129)))))</f>
        <v>48</v>
      </c>
      <c r="Y129" s="19">
        <f>IF($D129&lt;&gt;1,"",IF($G129="ROKS",$S129,IF($AI129=1,0,MAX($O129,$M129-SUMIFS(TblApplications[RAM IKS libérable (Go)],TblApplications[Cluster IKS source],$F129,TblApplications[Action],"À migrer",TblApplications[Mois prov (calc)],"&lt;="&amp;$E129)-SUMIFS(TblApplications[RAM IKS libérable (Go)],TblApplications[Cluster IKS source],$F129,TblApplications[Action],"À décommissionner",TblApplications[Mois lib (calc)],"&lt;="&amp;$E129)))))</f>
        <v>240</v>
      </c>
      <c r="Z129" s="19">
        <f t="shared" si="26"/>
        <v>6</v>
      </c>
      <c r="AA129" s="73">
        <f t="shared" si="27"/>
        <v>2208</v>
      </c>
      <c r="AB129" s="19">
        <f t="shared" si="28"/>
        <v>6</v>
      </c>
      <c r="AC129" s="73">
        <f t="shared" si="29"/>
        <v>2208</v>
      </c>
      <c r="AD129" s="19">
        <f t="shared" si="30"/>
        <v>0</v>
      </c>
      <c r="AE129" s="19">
        <f t="shared" si="31"/>
        <v>0</v>
      </c>
      <c r="AF129" s="19" t="str">
        <f>IF($D129&lt;&gt;1,"",IF(INDEX(TblClusters[Environnement],$B129)="","(vide)",INDEX(TblClusters[Environnement],$B129)))</f>
        <v>PRD</v>
      </c>
      <c r="AG129" s="19">
        <f t="shared" si="32"/>
        <v>72</v>
      </c>
      <c r="AH129" s="19">
        <f t="shared" si="33"/>
        <v>30.666666666666668</v>
      </c>
      <c r="AI129" s="19">
        <f>IF($D129&lt;&gt;1,"",IF(AND($G129="IKS",ISNUMBER(INDEX(TblClusters[Fermeture retenue],$B129))),IF($E129&gt;=INDEX(TblClusters[Fermeture retenue],$B129),1,0),0))</f>
        <v>0</v>
      </c>
    </row>
    <row r="130" spans="1:35" x14ac:dyDescent="0.2">
      <c r="A130" s="19">
        <v>125</v>
      </c>
      <c r="B130" s="19">
        <f t="shared" si="17"/>
        <v>4</v>
      </c>
      <c r="C130" s="19">
        <f t="shared" si="18"/>
        <v>17</v>
      </c>
      <c r="D130" s="19">
        <f>IF($C130&gt;p_horizon,0,IFERROR(IF(AND(INDEX(TblClusters[Cluster],$B130)&lt;&gt;"",ISNUMBER(INDEX(TblClusters[CPU initial (vCPU)],$B130)),ISNUMBER(INDEX(TblClusters[CPU min (vCPU)],$B130)),OR(INDEX(TblClusters[Plateforme],$B130)="IKS",INDEX(TblClusters[Plateforme],$B130)="ROKS")),1,0),0))</f>
        <v>1</v>
      </c>
      <c r="E130" s="72">
        <f t="shared" si="19"/>
        <v>46784</v>
      </c>
      <c r="F130" s="19" t="str">
        <f>IF($D130=1,INDEX(TblClusters[Cluster],$B130),"")</f>
        <v>oc002i000809</v>
      </c>
      <c r="G130" s="19" t="str">
        <f>IF($D130=1,INDEX(TblClusters[Plateforme],$B130),"")</f>
        <v>ROKS</v>
      </c>
      <c r="H130" s="19">
        <f>IF($D130=1,INDEX(TblClusters[vCPU par nœud],$B130),"")</f>
        <v>8</v>
      </c>
      <c r="I130" s="19">
        <f>IF($D130=1,INDEX(TblClusters[RAM par nœud (Go)],$B130),"")</f>
        <v>40</v>
      </c>
      <c r="J130" s="19">
        <f>IF($D130=1,INDEX(TblClusters[Workers min],$B130),"")</f>
        <v>6</v>
      </c>
      <c r="K130" s="73">
        <f>IF($D130=1,INDEX(TblClusters[Tarif par nœud],$B130),"")</f>
        <v>368</v>
      </c>
      <c r="L130" s="19">
        <f>IF($D130=1,INDEX(TblClusters[CPU initial (vCPU)],$B130),"")</f>
        <v>48</v>
      </c>
      <c r="M130" s="19">
        <f>IF($D130=1,INDEX(TblClusters[RAM initiale (Go)],$B130),"")</f>
        <v>240</v>
      </c>
      <c r="N130" s="19">
        <f>IF($D130=1,INDEX(TblClusters[CPU min (vCPU)],$B130),"")</f>
        <v>48</v>
      </c>
      <c r="O130" s="19">
        <f>IF($D130=1,INDEX(TblClusters[RAM min (Go)],$B130),"")</f>
        <v>240</v>
      </c>
      <c r="P130" s="19">
        <f>IF($D130&lt;&gt;1,"",IF($G130="ROKS",SUMIFS(TblApplications[Besoin ROKS CPU (vCPU)],TblApplications[Cluster ROKS cible],$F130,TblApplications[Action],"À migrer",TblApplications[Déjà incluse ROKS],"Non",TblApplications[Mois prov (calc)],"&lt;="&amp;$E130),SUMIFS(TblApplications[CPU IKS libérable (vCPU)],TblApplications[Cluster IKS source],$F130,TblApplications[Mois lib (calc)],"&lt;="&amp;$E130)))</f>
        <v>0</v>
      </c>
      <c r="Q130" s="19">
        <f>IF($D130&lt;&gt;1,"",IF($G130="ROKS",SUMIFS(TblApplications[Besoin ROKS RAM (Go)],TblApplications[Cluster ROKS cible],$F130,TblApplications[Action],"À migrer",TblApplications[Déjà incluse ROKS],"Non",TblApplications[Mois prov (calc)],"&lt;="&amp;$E130),SUMIFS(TblApplications[RAM IKS libérable (Go)],TblApplications[Cluster IKS source],$F130,TblApplications[Mois lib (calc)],"&lt;="&amp;$E130)))</f>
        <v>0</v>
      </c>
      <c r="R130" s="19">
        <f t="shared" si="20"/>
        <v>48</v>
      </c>
      <c r="S130" s="19">
        <f t="shared" si="21"/>
        <v>240</v>
      </c>
      <c r="T130" s="19">
        <f t="shared" si="22"/>
        <v>6</v>
      </c>
      <c r="U130" s="19">
        <f t="shared" si="23"/>
        <v>48</v>
      </c>
      <c r="V130" s="19">
        <f t="shared" si="24"/>
        <v>240</v>
      </c>
      <c r="W130" s="73">
        <f t="shared" si="25"/>
        <v>2208</v>
      </c>
      <c r="X130" s="19">
        <f>IF($D130&lt;&gt;1,"",IF($G130="ROKS",$R130,IF($AI130=1,0,MAX($N130,$L130-SUMIFS(TblApplications[CPU IKS libérable (vCPU)],TblApplications[Cluster IKS source],$F130,TblApplications[Action],"À migrer",TblApplications[Mois prov (calc)],"&lt;="&amp;$E130)-SUMIFS(TblApplications[CPU IKS libérable (vCPU)],TblApplications[Cluster IKS source],$F130,TblApplications[Action],"À décommissionner",TblApplications[Mois lib (calc)],"&lt;="&amp;$E130)))))</f>
        <v>48</v>
      </c>
      <c r="Y130" s="19">
        <f>IF($D130&lt;&gt;1,"",IF($G130="ROKS",$S130,IF($AI130=1,0,MAX($O130,$M130-SUMIFS(TblApplications[RAM IKS libérable (Go)],TblApplications[Cluster IKS source],$F130,TblApplications[Action],"À migrer",TblApplications[Mois prov (calc)],"&lt;="&amp;$E130)-SUMIFS(TblApplications[RAM IKS libérable (Go)],TblApplications[Cluster IKS source],$F130,TblApplications[Action],"À décommissionner",TblApplications[Mois lib (calc)],"&lt;="&amp;$E130)))))</f>
        <v>240</v>
      </c>
      <c r="Z130" s="19">
        <f t="shared" si="26"/>
        <v>6</v>
      </c>
      <c r="AA130" s="73">
        <f t="shared" si="27"/>
        <v>2208</v>
      </c>
      <c r="AB130" s="19">
        <f t="shared" si="28"/>
        <v>6</v>
      </c>
      <c r="AC130" s="73">
        <f t="shared" si="29"/>
        <v>2208</v>
      </c>
      <c r="AD130" s="19">
        <f t="shared" si="30"/>
        <v>0</v>
      </c>
      <c r="AE130" s="19">
        <f t="shared" si="31"/>
        <v>0</v>
      </c>
      <c r="AF130" s="19" t="str">
        <f>IF($D130&lt;&gt;1,"",IF(INDEX(TblClusters[Environnement],$B130)="","(vide)",INDEX(TblClusters[Environnement],$B130)))</f>
        <v>PRD</v>
      </c>
      <c r="AG130" s="19">
        <f t="shared" si="32"/>
        <v>72</v>
      </c>
      <c r="AH130" s="19">
        <f t="shared" si="33"/>
        <v>30.666666666666668</v>
      </c>
      <c r="AI130" s="19">
        <f>IF($D130&lt;&gt;1,"",IF(AND($G130="IKS",ISNUMBER(INDEX(TblClusters[Fermeture retenue],$B130))),IF($E130&gt;=INDEX(TblClusters[Fermeture retenue],$B130),1,0),0))</f>
        <v>0</v>
      </c>
    </row>
    <row r="131" spans="1:35" x14ac:dyDescent="0.2">
      <c r="A131" s="19">
        <v>126</v>
      </c>
      <c r="B131" s="19">
        <f t="shared" si="17"/>
        <v>4</v>
      </c>
      <c r="C131" s="19">
        <f t="shared" si="18"/>
        <v>18</v>
      </c>
      <c r="D131" s="19">
        <f>IF($C131&gt;p_horizon,0,IFERROR(IF(AND(INDEX(TblClusters[Cluster],$B131)&lt;&gt;"",ISNUMBER(INDEX(TblClusters[CPU initial (vCPU)],$B131)),ISNUMBER(INDEX(TblClusters[CPU min (vCPU)],$B131)),OR(INDEX(TblClusters[Plateforme],$B131)="IKS",INDEX(TblClusters[Plateforme],$B131)="ROKS")),1,0),0))</f>
        <v>1</v>
      </c>
      <c r="E131" s="72">
        <f t="shared" si="19"/>
        <v>46813</v>
      </c>
      <c r="F131" s="19" t="str">
        <f>IF($D131=1,INDEX(TblClusters[Cluster],$B131),"")</f>
        <v>oc002i000809</v>
      </c>
      <c r="G131" s="19" t="str">
        <f>IF($D131=1,INDEX(TblClusters[Plateforme],$B131),"")</f>
        <v>ROKS</v>
      </c>
      <c r="H131" s="19">
        <f>IF($D131=1,INDEX(TblClusters[vCPU par nœud],$B131),"")</f>
        <v>8</v>
      </c>
      <c r="I131" s="19">
        <f>IF($D131=1,INDEX(TblClusters[RAM par nœud (Go)],$B131),"")</f>
        <v>40</v>
      </c>
      <c r="J131" s="19">
        <f>IF($D131=1,INDEX(TblClusters[Workers min],$B131),"")</f>
        <v>6</v>
      </c>
      <c r="K131" s="73">
        <f>IF($D131=1,INDEX(TblClusters[Tarif par nœud],$B131),"")</f>
        <v>368</v>
      </c>
      <c r="L131" s="19">
        <f>IF($D131=1,INDEX(TblClusters[CPU initial (vCPU)],$B131),"")</f>
        <v>48</v>
      </c>
      <c r="M131" s="19">
        <f>IF($D131=1,INDEX(TblClusters[RAM initiale (Go)],$B131),"")</f>
        <v>240</v>
      </c>
      <c r="N131" s="19">
        <f>IF($D131=1,INDEX(TblClusters[CPU min (vCPU)],$B131),"")</f>
        <v>48</v>
      </c>
      <c r="O131" s="19">
        <f>IF($D131=1,INDEX(TblClusters[RAM min (Go)],$B131),"")</f>
        <v>240</v>
      </c>
      <c r="P131" s="19">
        <f>IF($D131&lt;&gt;1,"",IF($G131="ROKS",SUMIFS(TblApplications[Besoin ROKS CPU (vCPU)],TblApplications[Cluster ROKS cible],$F131,TblApplications[Action],"À migrer",TblApplications[Déjà incluse ROKS],"Non",TblApplications[Mois prov (calc)],"&lt;="&amp;$E131),SUMIFS(TblApplications[CPU IKS libérable (vCPU)],TblApplications[Cluster IKS source],$F131,TblApplications[Mois lib (calc)],"&lt;="&amp;$E131)))</f>
        <v>0</v>
      </c>
      <c r="Q131" s="19">
        <f>IF($D131&lt;&gt;1,"",IF($G131="ROKS",SUMIFS(TblApplications[Besoin ROKS RAM (Go)],TblApplications[Cluster ROKS cible],$F131,TblApplications[Action],"À migrer",TblApplications[Déjà incluse ROKS],"Non",TblApplications[Mois prov (calc)],"&lt;="&amp;$E131),SUMIFS(TblApplications[RAM IKS libérable (Go)],TblApplications[Cluster IKS source],$F131,TblApplications[Mois lib (calc)],"&lt;="&amp;$E131)))</f>
        <v>0</v>
      </c>
      <c r="R131" s="19">
        <f t="shared" si="20"/>
        <v>48</v>
      </c>
      <c r="S131" s="19">
        <f t="shared" si="21"/>
        <v>240</v>
      </c>
      <c r="T131" s="19">
        <f t="shared" si="22"/>
        <v>6</v>
      </c>
      <c r="U131" s="19">
        <f t="shared" si="23"/>
        <v>48</v>
      </c>
      <c r="V131" s="19">
        <f t="shared" si="24"/>
        <v>240</v>
      </c>
      <c r="W131" s="73">
        <f t="shared" si="25"/>
        <v>2208</v>
      </c>
      <c r="X131" s="19">
        <f>IF($D131&lt;&gt;1,"",IF($G131="ROKS",$R131,IF($AI131=1,0,MAX($N131,$L131-SUMIFS(TblApplications[CPU IKS libérable (vCPU)],TblApplications[Cluster IKS source],$F131,TblApplications[Action],"À migrer",TblApplications[Mois prov (calc)],"&lt;="&amp;$E131)-SUMIFS(TblApplications[CPU IKS libérable (vCPU)],TblApplications[Cluster IKS source],$F131,TblApplications[Action],"À décommissionner",TblApplications[Mois lib (calc)],"&lt;="&amp;$E131)))))</f>
        <v>48</v>
      </c>
      <c r="Y131" s="19">
        <f>IF($D131&lt;&gt;1,"",IF($G131="ROKS",$S131,IF($AI131=1,0,MAX($O131,$M131-SUMIFS(TblApplications[RAM IKS libérable (Go)],TblApplications[Cluster IKS source],$F131,TblApplications[Action],"À migrer",TblApplications[Mois prov (calc)],"&lt;="&amp;$E131)-SUMIFS(TblApplications[RAM IKS libérable (Go)],TblApplications[Cluster IKS source],$F131,TblApplications[Action],"À décommissionner",TblApplications[Mois lib (calc)],"&lt;="&amp;$E131)))))</f>
        <v>240</v>
      </c>
      <c r="Z131" s="19">
        <f t="shared" si="26"/>
        <v>6</v>
      </c>
      <c r="AA131" s="73">
        <f t="shared" si="27"/>
        <v>2208</v>
      </c>
      <c r="AB131" s="19">
        <f t="shared" si="28"/>
        <v>6</v>
      </c>
      <c r="AC131" s="73">
        <f t="shared" si="29"/>
        <v>2208</v>
      </c>
      <c r="AD131" s="19">
        <f t="shared" si="30"/>
        <v>0</v>
      </c>
      <c r="AE131" s="19">
        <f t="shared" si="31"/>
        <v>0</v>
      </c>
      <c r="AF131" s="19" t="str">
        <f>IF($D131&lt;&gt;1,"",IF(INDEX(TblClusters[Environnement],$B131)="","(vide)",INDEX(TblClusters[Environnement],$B131)))</f>
        <v>PRD</v>
      </c>
      <c r="AG131" s="19">
        <f t="shared" si="32"/>
        <v>72</v>
      </c>
      <c r="AH131" s="19">
        <f t="shared" si="33"/>
        <v>30.666666666666668</v>
      </c>
      <c r="AI131" s="19">
        <f>IF($D131&lt;&gt;1,"",IF(AND($G131="IKS",ISNUMBER(INDEX(TblClusters[Fermeture retenue],$B131))),IF($E131&gt;=INDEX(TblClusters[Fermeture retenue],$B131),1,0),0))</f>
        <v>0</v>
      </c>
    </row>
    <row r="132" spans="1:35" x14ac:dyDescent="0.2">
      <c r="A132" s="19">
        <v>127</v>
      </c>
      <c r="B132" s="19">
        <f t="shared" si="17"/>
        <v>4</v>
      </c>
      <c r="C132" s="19">
        <f t="shared" si="18"/>
        <v>19</v>
      </c>
      <c r="D132" s="19">
        <f>IF($C132&gt;p_horizon,0,IFERROR(IF(AND(INDEX(TblClusters[Cluster],$B132)&lt;&gt;"",ISNUMBER(INDEX(TblClusters[CPU initial (vCPU)],$B132)),ISNUMBER(INDEX(TblClusters[CPU min (vCPU)],$B132)),OR(INDEX(TblClusters[Plateforme],$B132)="IKS",INDEX(TblClusters[Plateforme],$B132)="ROKS")),1,0),0))</f>
        <v>1</v>
      </c>
      <c r="E132" s="72">
        <f t="shared" si="19"/>
        <v>46844</v>
      </c>
      <c r="F132" s="19" t="str">
        <f>IF($D132=1,INDEX(TblClusters[Cluster],$B132),"")</f>
        <v>oc002i000809</v>
      </c>
      <c r="G132" s="19" t="str">
        <f>IF($D132=1,INDEX(TblClusters[Plateforme],$B132),"")</f>
        <v>ROKS</v>
      </c>
      <c r="H132" s="19">
        <f>IF($D132=1,INDEX(TblClusters[vCPU par nœud],$B132),"")</f>
        <v>8</v>
      </c>
      <c r="I132" s="19">
        <f>IF($D132=1,INDEX(TblClusters[RAM par nœud (Go)],$B132),"")</f>
        <v>40</v>
      </c>
      <c r="J132" s="19">
        <f>IF($D132=1,INDEX(TblClusters[Workers min],$B132),"")</f>
        <v>6</v>
      </c>
      <c r="K132" s="73">
        <f>IF($D132=1,INDEX(TblClusters[Tarif par nœud],$B132),"")</f>
        <v>368</v>
      </c>
      <c r="L132" s="19">
        <f>IF($D132=1,INDEX(TblClusters[CPU initial (vCPU)],$B132),"")</f>
        <v>48</v>
      </c>
      <c r="M132" s="19">
        <f>IF($D132=1,INDEX(TblClusters[RAM initiale (Go)],$B132),"")</f>
        <v>240</v>
      </c>
      <c r="N132" s="19">
        <f>IF($D132=1,INDEX(TblClusters[CPU min (vCPU)],$B132),"")</f>
        <v>48</v>
      </c>
      <c r="O132" s="19">
        <f>IF($D132=1,INDEX(TblClusters[RAM min (Go)],$B132),"")</f>
        <v>240</v>
      </c>
      <c r="P132" s="19">
        <f>IF($D132&lt;&gt;1,"",IF($G132="ROKS",SUMIFS(TblApplications[Besoin ROKS CPU (vCPU)],TblApplications[Cluster ROKS cible],$F132,TblApplications[Action],"À migrer",TblApplications[Déjà incluse ROKS],"Non",TblApplications[Mois prov (calc)],"&lt;="&amp;$E132),SUMIFS(TblApplications[CPU IKS libérable (vCPU)],TblApplications[Cluster IKS source],$F132,TblApplications[Mois lib (calc)],"&lt;="&amp;$E132)))</f>
        <v>0</v>
      </c>
      <c r="Q132" s="19">
        <f>IF($D132&lt;&gt;1,"",IF($G132="ROKS",SUMIFS(TblApplications[Besoin ROKS RAM (Go)],TblApplications[Cluster ROKS cible],$F132,TblApplications[Action],"À migrer",TblApplications[Déjà incluse ROKS],"Non",TblApplications[Mois prov (calc)],"&lt;="&amp;$E132),SUMIFS(TblApplications[RAM IKS libérable (Go)],TblApplications[Cluster IKS source],$F132,TblApplications[Mois lib (calc)],"&lt;="&amp;$E132)))</f>
        <v>0</v>
      </c>
      <c r="R132" s="19">
        <f t="shared" si="20"/>
        <v>48</v>
      </c>
      <c r="S132" s="19">
        <f t="shared" si="21"/>
        <v>240</v>
      </c>
      <c r="T132" s="19">
        <f t="shared" si="22"/>
        <v>6</v>
      </c>
      <c r="U132" s="19">
        <f t="shared" si="23"/>
        <v>48</v>
      </c>
      <c r="V132" s="19">
        <f t="shared" si="24"/>
        <v>240</v>
      </c>
      <c r="W132" s="73">
        <f t="shared" si="25"/>
        <v>2208</v>
      </c>
      <c r="X132" s="19">
        <f>IF($D132&lt;&gt;1,"",IF($G132="ROKS",$R132,IF($AI132=1,0,MAX($N132,$L132-SUMIFS(TblApplications[CPU IKS libérable (vCPU)],TblApplications[Cluster IKS source],$F132,TblApplications[Action],"À migrer",TblApplications[Mois prov (calc)],"&lt;="&amp;$E132)-SUMIFS(TblApplications[CPU IKS libérable (vCPU)],TblApplications[Cluster IKS source],$F132,TblApplications[Action],"À décommissionner",TblApplications[Mois lib (calc)],"&lt;="&amp;$E132)))))</f>
        <v>48</v>
      </c>
      <c r="Y132" s="19">
        <f>IF($D132&lt;&gt;1,"",IF($G132="ROKS",$S132,IF($AI132=1,0,MAX($O132,$M132-SUMIFS(TblApplications[RAM IKS libérable (Go)],TblApplications[Cluster IKS source],$F132,TblApplications[Action],"À migrer",TblApplications[Mois prov (calc)],"&lt;="&amp;$E132)-SUMIFS(TblApplications[RAM IKS libérable (Go)],TblApplications[Cluster IKS source],$F132,TblApplications[Action],"À décommissionner",TblApplications[Mois lib (calc)],"&lt;="&amp;$E132)))))</f>
        <v>240</v>
      </c>
      <c r="Z132" s="19">
        <f t="shared" si="26"/>
        <v>6</v>
      </c>
      <c r="AA132" s="73">
        <f t="shared" si="27"/>
        <v>2208</v>
      </c>
      <c r="AB132" s="19">
        <f t="shared" si="28"/>
        <v>6</v>
      </c>
      <c r="AC132" s="73">
        <f t="shared" si="29"/>
        <v>2208</v>
      </c>
      <c r="AD132" s="19">
        <f t="shared" si="30"/>
        <v>0</v>
      </c>
      <c r="AE132" s="19">
        <f t="shared" si="31"/>
        <v>0</v>
      </c>
      <c r="AF132" s="19" t="str">
        <f>IF($D132&lt;&gt;1,"",IF(INDEX(TblClusters[Environnement],$B132)="","(vide)",INDEX(TblClusters[Environnement],$B132)))</f>
        <v>PRD</v>
      </c>
      <c r="AG132" s="19">
        <f t="shared" si="32"/>
        <v>72</v>
      </c>
      <c r="AH132" s="19">
        <f t="shared" si="33"/>
        <v>30.666666666666668</v>
      </c>
      <c r="AI132" s="19">
        <f>IF($D132&lt;&gt;1,"",IF(AND($G132="IKS",ISNUMBER(INDEX(TblClusters[Fermeture retenue],$B132))),IF($E132&gt;=INDEX(TblClusters[Fermeture retenue],$B132),1,0),0))</f>
        <v>0</v>
      </c>
    </row>
    <row r="133" spans="1:35" x14ac:dyDescent="0.2">
      <c r="A133" s="19">
        <v>128</v>
      </c>
      <c r="B133" s="19">
        <f t="shared" si="17"/>
        <v>4</v>
      </c>
      <c r="C133" s="19">
        <f t="shared" si="18"/>
        <v>20</v>
      </c>
      <c r="D133" s="19">
        <f>IF($C133&gt;p_horizon,0,IFERROR(IF(AND(INDEX(TblClusters[Cluster],$B133)&lt;&gt;"",ISNUMBER(INDEX(TblClusters[CPU initial (vCPU)],$B133)),ISNUMBER(INDEX(TblClusters[CPU min (vCPU)],$B133)),OR(INDEX(TblClusters[Plateforme],$B133)="IKS",INDEX(TblClusters[Plateforme],$B133)="ROKS")),1,0),0))</f>
        <v>1</v>
      </c>
      <c r="E133" s="72">
        <f t="shared" si="19"/>
        <v>46874</v>
      </c>
      <c r="F133" s="19" t="str">
        <f>IF($D133=1,INDEX(TblClusters[Cluster],$B133),"")</f>
        <v>oc002i000809</v>
      </c>
      <c r="G133" s="19" t="str">
        <f>IF($D133=1,INDEX(TblClusters[Plateforme],$B133),"")</f>
        <v>ROKS</v>
      </c>
      <c r="H133" s="19">
        <f>IF($D133=1,INDEX(TblClusters[vCPU par nœud],$B133),"")</f>
        <v>8</v>
      </c>
      <c r="I133" s="19">
        <f>IF($D133=1,INDEX(TblClusters[RAM par nœud (Go)],$B133),"")</f>
        <v>40</v>
      </c>
      <c r="J133" s="19">
        <f>IF($D133=1,INDEX(TblClusters[Workers min],$B133),"")</f>
        <v>6</v>
      </c>
      <c r="K133" s="73">
        <f>IF($D133=1,INDEX(TblClusters[Tarif par nœud],$B133),"")</f>
        <v>368</v>
      </c>
      <c r="L133" s="19">
        <f>IF($D133=1,INDEX(TblClusters[CPU initial (vCPU)],$B133),"")</f>
        <v>48</v>
      </c>
      <c r="M133" s="19">
        <f>IF($D133=1,INDEX(TblClusters[RAM initiale (Go)],$B133),"")</f>
        <v>240</v>
      </c>
      <c r="N133" s="19">
        <f>IF($D133=1,INDEX(TblClusters[CPU min (vCPU)],$B133),"")</f>
        <v>48</v>
      </c>
      <c r="O133" s="19">
        <f>IF($D133=1,INDEX(TblClusters[RAM min (Go)],$B133),"")</f>
        <v>240</v>
      </c>
      <c r="P133" s="19">
        <f>IF($D133&lt;&gt;1,"",IF($G133="ROKS",SUMIFS(TblApplications[Besoin ROKS CPU (vCPU)],TblApplications[Cluster ROKS cible],$F133,TblApplications[Action],"À migrer",TblApplications[Déjà incluse ROKS],"Non",TblApplications[Mois prov (calc)],"&lt;="&amp;$E133),SUMIFS(TblApplications[CPU IKS libérable (vCPU)],TblApplications[Cluster IKS source],$F133,TblApplications[Mois lib (calc)],"&lt;="&amp;$E133)))</f>
        <v>0</v>
      </c>
      <c r="Q133" s="19">
        <f>IF($D133&lt;&gt;1,"",IF($G133="ROKS",SUMIFS(TblApplications[Besoin ROKS RAM (Go)],TblApplications[Cluster ROKS cible],$F133,TblApplications[Action],"À migrer",TblApplications[Déjà incluse ROKS],"Non",TblApplications[Mois prov (calc)],"&lt;="&amp;$E133),SUMIFS(TblApplications[RAM IKS libérable (Go)],TblApplications[Cluster IKS source],$F133,TblApplications[Mois lib (calc)],"&lt;="&amp;$E133)))</f>
        <v>0</v>
      </c>
      <c r="R133" s="19">
        <f t="shared" si="20"/>
        <v>48</v>
      </c>
      <c r="S133" s="19">
        <f t="shared" si="21"/>
        <v>240</v>
      </c>
      <c r="T133" s="19">
        <f t="shared" si="22"/>
        <v>6</v>
      </c>
      <c r="U133" s="19">
        <f t="shared" si="23"/>
        <v>48</v>
      </c>
      <c r="V133" s="19">
        <f t="shared" si="24"/>
        <v>240</v>
      </c>
      <c r="W133" s="73">
        <f t="shared" si="25"/>
        <v>2208</v>
      </c>
      <c r="X133" s="19">
        <f>IF($D133&lt;&gt;1,"",IF($G133="ROKS",$R133,IF($AI133=1,0,MAX($N133,$L133-SUMIFS(TblApplications[CPU IKS libérable (vCPU)],TblApplications[Cluster IKS source],$F133,TblApplications[Action],"À migrer",TblApplications[Mois prov (calc)],"&lt;="&amp;$E133)-SUMIFS(TblApplications[CPU IKS libérable (vCPU)],TblApplications[Cluster IKS source],$F133,TblApplications[Action],"À décommissionner",TblApplications[Mois lib (calc)],"&lt;="&amp;$E133)))))</f>
        <v>48</v>
      </c>
      <c r="Y133" s="19">
        <f>IF($D133&lt;&gt;1,"",IF($G133="ROKS",$S133,IF($AI133=1,0,MAX($O133,$M133-SUMIFS(TblApplications[RAM IKS libérable (Go)],TblApplications[Cluster IKS source],$F133,TblApplications[Action],"À migrer",TblApplications[Mois prov (calc)],"&lt;="&amp;$E133)-SUMIFS(TblApplications[RAM IKS libérable (Go)],TblApplications[Cluster IKS source],$F133,TblApplications[Action],"À décommissionner",TblApplications[Mois lib (calc)],"&lt;="&amp;$E133)))))</f>
        <v>240</v>
      </c>
      <c r="Z133" s="19">
        <f t="shared" si="26"/>
        <v>6</v>
      </c>
      <c r="AA133" s="73">
        <f t="shared" si="27"/>
        <v>2208</v>
      </c>
      <c r="AB133" s="19">
        <f t="shared" si="28"/>
        <v>6</v>
      </c>
      <c r="AC133" s="73">
        <f t="shared" si="29"/>
        <v>2208</v>
      </c>
      <c r="AD133" s="19">
        <f t="shared" si="30"/>
        <v>0</v>
      </c>
      <c r="AE133" s="19">
        <f t="shared" si="31"/>
        <v>0</v>
      </c>
      <c r="AF133" s="19" t="str">
        <f>IF($D133&lt;&gt;1,"",IF(INDEX(TblClusters[Environnement],$B133)="","(vide)",INDEX(TblClusters[Environnement],$B133)))</f>
        <v>PRD</v>
      </c>
      <c r="AG133" s="19">
        <f t="shared" si="32"/>
        <v>72</v>
      </c>
      <c r="AH133" s="19">
        <f t="shared" si="33"/>
        <v>30.666666666666668</v>
      </c>
      <c r="AI133" s="19">
        <f>IF($D133&lt;&gt;1,"",IF(AND($G133="IKS",ISNUMBER(INDEX(TblClusters[Fermeture retenue],$B133))),IF($E133&gt;=INDEX(TblClusters[Fermeture retenue],$B133),1,0),0))</f>
        <v>0</v>
      </c>
    </row>
    <row r="134" spans="1:35" x14ac:dyDescent="0.2">
      <c r="A134" s="19">
        <v>129</v>
      </c>
      <c r="B134" s="19">
        <f t="shared" ref="B134:B197" si="34">INT(($A134-1)/36)+1</f>
        <v>4</v>
      </c>
      <c r="C134" s="19">
        <f t="shared" ref="C134:C197" si="35">MOD($A134-1,36)+1</f>
        <v>21</v>
      </c>
      <c r="D134" s="19">
        <f>IF($C134&gt;p_horizon,0,IFERROR(IF(AND(INDEX(TblClusters[Cluster],$B134)&lt;&gt;"",ISNUMBER(INDEX(TblClusters[CPU initial (vCPU)],$B134)),ISNUMBER(INDEX(TblClusters[CPU min (vCPU)],$B134)),OR(INDEX(TblClusters[Plateforme],$B134)="IKS",INDEX(TblClusters[Plateforme],$B134)="ROKS")),1,0),0))</f>
        <v>1</v>
      </c>
      <c r="E134" s="72">
        <f t="shared" ref="E134:E197" si="36">IF($D134=1,EDATE(p_debut,$C134-1),"")</f>
        <v>46905</v>
      </c>
      <c r="F134" s="19" t="str">
        <f>IF($D134=1,INDEX(TblClusters[Cluster],$B134),"")</f>
        <v>oc002i000809</v>
      </c>
      <c r="G134" s="19" t="str">
        <f>IF($D134=1,INDEX(TblClusters[Plateforme],$B134),"")</f>
        <v>ROKS</v>
      </c>
      <c r="H134" s="19">
        <f>IF($D134=1,INDEX(TblClusters[vCPU par nœud],$B134),"")</f>
        <v>8</v>
      </c>
      <c r="I134" s="19">
        <f>IF($D134=1,INDEX(TblClusters[RAM par nœud (Go)],$B134),"")</f>
        <v>40</v>
      </c>
      <c r="J134" s="19">
        <f>IF($D134=1,INDEX(TblClusters[Workers min],$B134),"")</f>
        <v>6</v>
      </c>
      <c r="K134" s="73">
        <f>IF($D134=1,INDEX(TblClusters[Tarif par nœud],$B134),"")</f>
        <v>368</v>
      </c>
      <c r="L134" s="19">
        <f>IF($D134=1,INDEX(TblClusters[CPU initial (vCPU)],$B134),"")</f>
        <v>48</v>
      </c>
      <c r="M134" s="19">
        <f>IF($D134=1,INDEX(TblClusters[RAM initiale (Go)],$B134),"")</f>
        <v>240</v>
      </c>
      <c r="N134" s="19">
        <f>IF($D134=1,INDEX(TblClusters[CPU min (vCPU)],$B134),"")</f>
        <v>48</v>
      </c>
      <c r="O134" s="19">
        <f>IF($D134=1,INDEX(TblClusters[RAM min (Go)],$B134),"")</f>
        <v>240</v>
      </c>
      <c r="P134" s="19">
        <f>IF($D134&lt;&gt;1,"",IF($G134="ROKS",SUMIFS(TblApplications[Besoin ROKS CPU (vCPU)],TblApplications[Cluster ROKS cible],$F134,TblApplications[Action],"À migrer",TblApplications[Déjà incluse ROKS],"Non",TblApplications[Mois prov (calc)],"&lt;="&amp;$E134),SUMIFS(TblApplications[CPU IKS libérable (vCPU)],TblApplications[Cluster IKS source],$F134,TblApplications[Mois lib (calc)],"&lt;="&amp;$E134)))</f>
        <v>0</v>
      </c>
      <c r="Q134" s="19">
        <f>IF($D134&lt;&gt;1,"",IF($G134="ROKS",SUMIFS(TblApplications[Besoin ROKS RAM (Go)],TblApplications[Cluster ROKS cible],$F134,TblApplications[Action],"À migrer",TblApplications[Déjà incluse ROKS],"Non",TblApplications[Mois prov (calc)],"&lt;="&amp;$E134),SUMIFS(TblApplications[RAM IKS libérable (Go)],TblApplications[Cluster IKS source],$F134,TblApplications[Mois lib (calc)],"&lt;="&amp;$E134)))</f>
        <v>0</v>
      </c>
      <c r="R134" s="19">
        <f t="shared" ref="R134:R197" si="37">IF($D134&lt;&gt;1,"",IF($G134="ROKS",$L134+$P134,IF($AI134=1,0,MAX($N134,$L134-$P134))))</f>
        <v>48</v>
      </c>
      <c r="S134" s="19">
        <f t="shared" ref="S134:S197" si="38">IF($D134&lt;&gt;1,"",IF($G134="ROKS",$M134+$Q134,IF($AI134=1,0,MAX($O134,$M134-$Q134))))</f>
        <v>240</v>
      </c>
      <c r="T134" s="19">
        <f t="shared" ref="T134:T197" si="39">IF($D134&lt;&gt;1,"",IF($AI134=1,0,MAX($J134,ROUNDUP(MAX($R134/$H134,$S134/$I134),0))))</f>
        <v>6</v>
      </c>
      <c r="U134" s="19">
        <f t="shared" ref="U134:U197" si="40">IF($D134&lt;&gt;1,"",IF(p_mode="Nœud",$T134*$H134,$R134))</f>
        <v>48</v>
      </c>
      <c r="V134" s="19">
        <f t="shared" ref="V134:V197" si="41">IF($D134&lt;&gt;1,"",IF(p_mode="Nœud",$T134*$I134,$S134))</f>
        <v>240</v>
      </c>
      <c r="W134" s="73">
        <f t="shared" ref="W134:W197" si="42">IF($D134&lt;&gt;1,"",IF(p_mode="Nœud",$T134*$K134,$R134*IF($G134="IKS",p_iks_cpu,p_roks_cpu)+$S134*IF($G134="IKS",p_iks_ram,p_roks_ram))*p_facteur)</f>
        <v>2208</v>
      </c>
      <c r="X134" s="19">
        <f>IF($D134&lt;&gt;1,"",IF($G134="ROKS",$R134,IF($AI134=1,0,MAX($N134,$L134-SUMIFS(TblApplications[CPU IKS libérable (vCPU)],TblApplications[Cluster IKS source],$F134,TblApplications[Action],"À migrer",TblApplications[Mois prov (calc)],"&lt;="&amp;$E134)-SUMIFS(TblApplications[CPU IKS libérable (vCPU)],TblApplications[Cluster IKS source],$F134,TblApplications[Action],"À décommissionner",TblApplications[Mois lib (calc)],"&lt;="&amp;$E134)))))</f>
        <v>48</v>
      </c>
      <c r="Y134" s="19">
        <f>IF($D134&lt;&gt;1,"",IF($G134="ROKS",$S134,IF($AI134=1,0,MAX($O134,$M134-SUMIFS(TblApplications[RAM IKS libérable (Go)],TblApplications[Cluster IKS source],$F134,TblApplications[Action],"À migrer",TblApplications[Mois prov (calc)],"&lt;="&amp;$E134)-SUMIFS(TblApplications[RAM IKS libérable (Go)],TblApplications[Cluster IKS source],$F134,TblApplications[Action],"À décommissionner",TblApplications[Mois lib (calc)],"&lt;="&amp;$E134)))))</f>
        <v>240</v>
      </c>
      <c r="Z134" s="19">
        <f t="shared" ref="Z134:Z197" si="43">IF($D134&lt;&gt;1,"",IF($AI134=1,0,MAX($J134,ROUNDUP(MAX($X134/$H134,$Y134/$I134),0))))</f>
        <v>6</v>
      </c>
      <c r="AA134" s="73">
        <f t="shared" ref="AA134:AA197" si="44">IF($D134&lt;&gt;1,"",IF(p_mode="Nœud",$Z134*$K134,$X134*IF($G134="IKS",p_iks_cpu,p_roks_cpu)+$Y134*IF($G134="IKS",p_iks_ram,p_roks_ram))*p_facteur)</f>
        <v>2208</v>
      </c>
      <c r="AB134" s="19">
        <f t="shared" ref="AB134:AB197" si="45">IF($D134&lt;&gt;1,"",MAX($J134,ROUNDUP(MAX($L134/$H134,$M134/$I134),0)))</f>
        <v>6</v>
      </c>
      <c r="AC134" s="73">
        <f t="shared" ref="AC134:AC197" si="46">IF($D134&lt;&gt;1,"",IF(p_mode="Nœud",$AB134*$K134,$L134*IF($G134="IKS",p_iks_cpu,p_roks_cpu)+$M134*IF($G134="IKS",p_iks_ram,p_roks_ram))*p_facteur)</f>
        <v>2208</v>
      </c>
      <c r="AD134" s="19">
        <f t="shared" ref="AD134:AD197" si="47">IF($D134&lt;&gt;1,"",IF(AND($G134="IKS",$AI134&lt;&gt;1,OR($L134-$P134&lt;$N134,$M134-$Q134&lt;$O134)),1,0))</f>
        <v>0</v>
      </c>
      <c r="AE134" s="19">
        <f t="shared" ref="AE134:AE197" si="48">IF($D134&lt;&gt;1,"",IF(AND($G134="ROKS",$T134&gt;p_maxworkers),1,0))</f>
        <v>0</v>
      </c>
      <c r="AF134" s="19" t="str">
        <f>IF($D134&lt;&gt;1,"",IF(INDEX(TblClusters[Environnement],$B134)="","(vide)",INDEX(TblClusters[Environnement],$B134)))</f>
        <v>PRD</v>
      </c>
      <c r="AG134" s="19">
        <f t="shared" ref="AG134:AG197" si="49">IF($D134&lt;&gt;1,"",$R134+p_poidsram*$S134)</f>
        <v>72</v>
      </c>
      <c r="AH134" s="19">
        <f t="shared" ref="AH134:AH197" si="50">IF($D134&lt;&gt;1,"",IFERROR($W134/$AG134,0))</f>
        <v>30.666666666666668</v>
      </c>
      <c r="AI134" s="19">
        <f>IF($D134&lt;&gt;1,"",IF(AND($G134="IKS",ISNUMBER(INDEX(TblClusters[Fermeture retenue],$B134))),IF($E134&gt;=INDEX(TblClusters[Fermeture retenue],$B134),1,0),0))</f>
        <v>0</v>
      </c>
    </row>
    <row r="135" spans="1:35" x14ac:dyDescent="0.2">
      <c r="A135" s="19">
        <v>130</v>
      </c>
      <c r="B135" s="19">
        <f t="shared" si="34"/>
        <v>4</v>
      </c>
      <c r="C135" s="19">
        <f t="shared" si="35"/>
        <v>22</v>
      </c>
      <c r="D135" s="19">
        <f>IF($C135&gt;p_horizon,0,IFERROR(IF(AND(INDEX(TblClusters[Cluster],$B135)&lt;&gt;"",ISNUMBER(INDEX(TblClusters[CPU initial (vCPU)],$B135)),ISNUMBER(INDEX(TblClusters[CPU min (vCPU)],$B135)),OR(INDEX(TblClusters[Plateforme],$B135)="IKS",INDEX(TblClusters[Plateforme],$B135)="ROKS")),1,0),0))</f>
        <v>1</v>
      </c>
      <c r="E135" s="72">
        <f t="shared" si="36"/>
        <v>46935</v>
      </c>
      <c r="F135" s="19" t="str">
        <f>IF($D135=1,INDEX(TblClusters[Cluster],$B135),"")</f>
        <v>oc002i000809</v>
      </c>
      <c r="G135" s="19" t="str">
        <f>IF($D135=1,INDEX(TblClusters[Plateforme],$B135),"")</f>
        <v>ROKS</v>
      </c>
      <c r="H135" s="19">
        <f>IF($D135=1,INDEX(TblClusters[vCPU par nœud],$B135),"")</f>
        <v>8</v>
      </c>
      <c r="I135" s="19">
        <f>IF($D135=1,INDEX(TblClusters[RAM par nœud (Go)],$B135),"")</f>
        <v>40</v>
      </c>
      <c r="J135" s="19">
        <f>IF($D135=1,INDEX(TblClusters[Workers min],$B135),"")</f>
        <v>6</v>
      </c>
      <c r="K135" s="73">
        <f>IF($D135=1,INDEX(TblClusters[Tarif par nœud],$B135),"")</f>
        <v>368</v>
      </c>
      <c r="L135" s="19">
        <f>IF($D135=1,INDEX(TblClusters[CPU initial (vCPU)],$B135),"")</f>
        <v>48</v>
      </c>
      <c r="M135" s="19">
        <f>IF($D135=1,INDEX(TblClusters[RAM initiale (Go)],$B135),"")</f>
        <v>240</v>
      </c>
      <c r="N135" s="19">
        <f>IF($D135=1,INDEX(TblClusters[CPU min (vCPU)],$B135),"")</f>
        <v>48</v>
      </c>
      <c r="O135" s="19">
        <f>IF($D135=1,INDEX(TblClusters[RAM min (Go)],$B135),"")</f>
        <v>240</v>
      </c>
      <c r="P135" s="19">
        <f>IF($D135&lt;&gt;1,"",IF($G135="ROKS",SUMIFS(TblApplications[Besoin ROKS CPU (vCPU)],TblApplications[Cluster ROKS cible],$F135,TblApplications[Action],"À migrer",TblApplications[Déjà incluse ROKS],"Non",TblApplications[Mois prov (calc)],"&lt;="&amp;$E135),SUMIFS(TblApplications[CPU IKS libérable (vCPU)],TblApplications[Cluster IKS source],$F135,TblApplications[Mois lib (calc)],"&lt;="&amp;$E135)))</f>
        <v>0</v>
      </c>
      <c r="Q135" s="19">
        <f>IF($D135&lt;&gt;1,"",IF($G135="ROKS",SUMIFS(TblApplications[Besoin ROKS RAM (Go)],TblApplications[Cluster ROKS cible],$F135,TblApplications[Action],"À migrer",TblApplications[Déjà incluse ROKS],"Non",TblApplications[Mois prov (calc)],"&lt;="&amp;$E135),SUMIFS(TblApplications[RAM IKS libérable (Go)],TblApplications[Cluster IKS source],$F135,TblApplications[Mois lib (calc)],"&lt;="&amp;$E135)))</f>
        <v>0</v>
      </c>
      <c r="R135" s="19">
        <f t="shared" si="37"/>
        <v>48</v>
      </c>
      <c r="S135" s="19">
        <f t="shared" si="38"/>
        <v>240</v>
      </c>
      <c r="T135" s="19">
        <f t="shared" si="39"/>
        <v>6</v>
      </c>
      <c r="U135" s="19">
        <f t="shared" si="40"/>
        <v>48</v>
      </c>
      <c r="V135" s="19">
        <f t="shared" si="41"/>
        <v>240</v>
      </c>
      <c r="W135" s="73">
        <f t="shared" si="42"/>
        <v>2208</v>
      </c>
      <c r="X135" s="19">
        <f>IF($D135&lt;&gt;1,"",IF($G135="ROKS",$R135,IF($AI135=1,0,MAX($N135,$L135-SUMIFS(TblApplications[CPU IKS libérable (vCPU)],TblApplications[Cluster IKS source],$F135,TblApplications[Action],"À migrer",TblApplications[Mois prov (calc)],"&lt;="&amp;$E135)-SUMIFS(TblApplications[CPU IKS libérable (vCPU)],TblApplications[Cluster IKS source],$F135,TblApplications[Action],"À décommissionner",TblApplications[Mois lib (calc)],"&lt;="&amp;$E135)))))</f>
        <v>48</v>
      </c>
      <c r="Y135" s="19">
        <f>IF($D135&lt;&gt;1,"",IF($G135="ROKS",$S135,IF($AI135=1,0,MAX($O135,$M135-SUMIFS(TblApplications[RAM IKS libérable (Go)],TblApplications[Cluster IKS source],$F135,TblApplications[Action],"À migrer",TblApplications[Mois prov (calc)],"&lt;="&amp;$E135)-SUMIFS(TblApplications[RAM IKS libérable (Go)],TblApplications[Cluster IKS source],$F135,TblApplications[Action],"À décommissionner",TblApplications[Mois lib (calc)],"&lt;="&amp;$E135)))))</f>
        <v>240</v>
      </c>
      <c r="Z135" s="19">
        <f t="shared" si="43"/>
        <v>6</v>
      </c>
      <c r="AA135" s="73">
        <f t="shared" si="44"/>
        <v>2208</v>
      </c>
      <c r="AB135" s="19">
        <f t="shared" si="45"/>
        <v>6</v>
      </c>
      <c r="AC135" s="73">
        <f t="shared" si="46"/>
        <v>2208</v>
      </c>
      <c r="AD135" s="19">
        <f t="shared" si="47"/>
        <v>0</v>
      </c>
      <c r="AE135" s="19">
        <f t="shared" si="48"/>
        <v>0</v>
      </c>
      <c r="AF135" s="19" t="str">
        <f>IF($D135&lt;&gt;1,"",IF(INDEX(TblClusters[Environnement],$B135)="","(vide)",INDEX(TblClusters[Environnement],$B135)))</f>
        <v>PRD</v>
      </c>
      <c r="AG135" s="19">
        <f t="shared" si="49"/>
        <v>72</v>
      </c>
      <c r="AH135" s="19">
        <f t="shared" si="50"/>
        <v>30.666666666666668</v>
      </c>
      <c r="AI135" s="19">
        <f>IF($D135&lt;&gt;1,"",IF(AND($G135="IKS",ISNUMBER(INDEX(TblClusters[Fermeture retenue],$B135))),IF($E135&gt;=INDEX(TblClusters[Fermeture retenue],$B135),1,0),0))</f>
        <v>0</v>
      </c>
    </row>
    <row r="136" spans="1:35" x14ac:dyDescent="0.2">
      <c r="A136" s="19">
        <v>131</v>
      </c>
      <c r="B136" s="19">
        <f t="shared" si="34"/>
        <v>4</v>
      </c>
      <c r="C136" s="19">
        <f t="shared" si="35"/>
        <v>23</v>
      </c>
      <c r="D136" s="19">
        <f>IF($C136&gt;p_horizon,0,IFERROR(IF(AND(INDEX(TblClusters[Cluster],$B136)&lt;&gt;"",ISNUMBER(INDEX(TblClusters[CPU initial (vCPU)],$B136)),ISNUMBER(INDEX(TblClusters[CPU min (vCPU)],$B136)),OR(INDEX(TblClusters[Plateforme],$B136)="IKS",INDEX(TblClusters[Plateforme],$B136)="ROKS")),1,0),0))</f>
        <v>1</v>
      </c>
      <c r="E136" s="72">
        <f t="shared" si="36"/>
        <v>46966</v>
      </c>
      <c r="F136" s="19" t="str">
        <f>IF($D136=1,INDEX(TblClusters[Cluster],$B136),"")</f>
        <v>oc002i000809</v>
      </c>
      <c r="G136" s="19" t="str">
        <f>IF($D136=1,INDEX(TblClusters[Plateforme],$B136),"")</f>
        <v>ROKS</v>
      </c>
      <c r="H136" s="19">
        <f>IF($D136=1,INDEX(TblClusters[vCPU par nœud],$B136),"")</f>
        <v>8</v>
      </c>
      <c r="I136" s="19">
        <f>IF($D136=1,INDEX(TblClusters[RAM par nœud (Go)],$B136),"")</f>
        <v>40</v>
      </c>
      <c r="J136" s="19">
        <f>IF($D136=1,INDEX(TblClusters[Workers min],$B136),"")</f>
        <v>6</v>
      </c>
      <c r="K136" s="73">
        <f>IF($D136=1,INDEX(TblClusters[Tarif par nœud],$B136),"")</f>
        <v>368</v>
      </c>
      <c r="L136" s="19">
        <f>IF($D136=1,INDEX(TblClusters[CPU initial (vCPU)],$B136),"")</f>
        <v>48</v>
      </c>
      <c r="M136" s="19">
        <f>IF($D136=1,INDEX(TblClusters[RAM initiale (Go)],$B136),"")</f>
        <v>240</v>
      </c>
      <c r="N136" s="19">
        <f>IF($D136=1,INDEX(TblClusters[CPU min (vCPU)],$B136),"")</f>
        <v>48</v>
      </c>
      <c r="O136" s="19">
        <f>IF($D136=1,INDEX(TblClusters[RAM min (Go)],$B136),"")</f>
        <v>240</v>
      </c>
      <c r="P136" s="19">
        <f>IF($D136&lt;&gt;1,"",IF($G136="ROKS",SUMIFS(TblApplications[Besoin ROKS CPU (vCPU)],TblApplications[Cluster ROKS cible],$F136,TblApplications[Action],"À migrer",TblApplications[Déjà incluse ROKS],"Non",TblApplications[Mois prov (calc)],"&lt;="&amp;$E136),SUMIFS(TblApplications[CPU IKS libérable (vCPU)],TblApplications[Cluster IKS source],$F136,TblApplications[Mois lib (calc)],"&lt;="&amp;$E136)))</f>
        <v>0</v>
      </c>
      <c r="Q136" s="19">
        <f>IF($D136&lt;&gt;1,"",IF($G136="ROKS",SUMIFS(TblApplications[Besoin ROKS RAM (Go)],TblApplications[Cluster ROKS cible],$F136,TblApplications[Action],"À migrer",TblApplications[Déjà incluse ROKS],"Non",TblApplications[Mois prov (calc)],"&lt;="&amp;$E136),SUMIFS(TblApplications[RAM IKS libérable (Go)],TblApplications[Cluster IKS source],$F136,TblApplications[Mois lib (calc)],"&lt;="&amp;$E136)))</f>
        <v>0</v>
      </c>
      <c r="R136" s="19">
        <f t="shared" si="37"/>
        <v>48</v>
      </c>
      <c r="S136" s="19">
        <f t="shared" si="38"/>
        <v>240</v>
      </c>
      <c r="T136" s="19">
        <f t="shared" si="39"/>
        <v>6</v>
      </c>
      <c r="U136" s="19">
        <f t="shared" si="40"/>
        <v>48</v>
      </c>
      <c r="V136" s="19">
        <f t="shared" si="41"/>
        <v>240</v>
      </c>
      <c r="W136" s="73">
        <f t="shared" si="42"/>
        <v>2208</v>
      </c>
      <c r="X136" s="19">
        <f>IF($D136&lt;&gt;1,"",IF($G136="ROKS",$R136,IF($AI136=1,0,MAX($N136,$L136-SUMIFS(TblApplications[CPU IKS libérable (vCPU)],TblApplications[Cluster IKS source],$F136,TblApplications[Action],"À migrer",TblApplications[Mois prov (calc)],"&lt;="&amp;$E136)-SUMIFS(TblApplications[CPU IKS libérable (vCPU)],TblApplications[Cluster IKS source],$F136,TblApplications[Action],"À décommissionner",TblApplications[Mois lib (calc)],"&lt;="&amp;$E136)))))</f>
        <v>48</v>
      </c>
      <c r="Y136" s="19">
        <f>IF($D136&lt;&gt;1,"",IF($G136="ROKS",$S136,IF($AI136=1,0,MAX($O136,$M136-SUMIFS(TblApplications[RAM IKS libérable (Go)],TblApplications[Cluster IKS source],$F136,TblApplications[Action],"À migrer",TblApplications[Mois prov (calc)],"&lt;="&amp;$E136)-SUMIFS(TblApplications[RAM IKS libérable (Go)],TblApplications[Cluster IKS source],$F136,TblApplications[Action],"À décommissionner",TblApplications[Mois lib (calc)],"&lt;="&amp;$E136)))))</f>
        <v>240</v>
      </c>
      <c r="Z136" s="19">
        <f t="shared" si="43"/>
        <v>6</v>
      </c>
      <c r="AA136" s="73">
        <f t="shared" si="44"/>
        <v>2208</v>
      </c>
      <c r="AB136" s="19">
        <f t="shared" si="45"/>
        <v>6</v>
      </c>
      <c r="AC136" s="73">
        <f t="shared" si="46"/>
        <v>2208</v>
      </c>
      <c r="AD136" s="19">
        <f t="shared" si="47"/>
        <v>0</v>
      </c>
      <c r="AE136" s="19">
        <f t="shared" si="48"/>
        <v>0</v>
      </c>
      <c r="AF136" s="19" t="str">
        <f>IF($D136&lt;&gt;1,"",IF(INDEX(TblClusters[Environnement],$B136)="","(vide)",INDEX(TblClusters[Environnement],$B136)))</f>
        <v>PRD</v>
      </c>
      <c r="AG136" s="19">
        <f t="shared" si="49"/>
        <v>72</v>
      </c>
      <c r="AH136" s="19">
        <f t="shared" si="50"/>
        <v>30.666666666666668</v>
      </c>
      <c r="AI136" s="19">
        <f>IF($D136&lt;&gt;1,"",IF(AND($G136="IKS",ISNUMBER(INDEX(TblClusters[Fermeture retenue],$B136))),IF($E136&gt;=INDEX(TblClusters[Fermeture retenue],$B136),1,0),0))</f>
        <v>0</v>
      </c>
    </row>
    <row r="137" spans="1:35" x14ac:dyDescent="0.2">
      <c r="A137" s="19">
        <v>132</v>
      </c>
      <c r="B137" s="19">
        <f t="shared" si="34"/>
        <v>4</v>
      </c>
      <c r="C137" s="19">
        <f t="shared" si="35"/>
        <v>24</v>
      </c>
      <c r="D137" s="19">
        <f>IF($C137&gt;p_horizon,0,IFERROR(IF(AND(INDEX(TblClusters[Cluster],$B137)&lt;&gt;"",ISNUMBER(INDEX(TblClusters[CPU initial (vCPU)],$B137)),ISNUMBER(INDEX(TblClusters[CPU min (vCPU)],$B137)),OR(INDEX(TblClusters[Plateforme],$B137)="IKS",INDEX(TblClusters[Plateforme],$B137)="ROKS")),1,0),0))</f>
        <v>1</v>
      </c>
      <c r="E137" s="72">
        <f t="shared" si="36"/>
        <v>46997</v>
      </c>
      <c r="F137" s="19" t="str">
        <f>IF($D137=1,INDEX(TblClusters[Cluster],$B137),"")</f>
        <v>oc002i000809</v>
      </c>
      <c r="G137" s="19" t="str">
        <f>IF($D137=1,INDEX(TblClusters[Plateforme],$B137),"")</f>
        <v>ROKS</v>
      </c>
      <c r="H137" s="19">
        <f>IF($D137=1,INDEX(TblClusters[vCPU par nœud],$B137),"")</f>
        <v>8</v>
      </c>
      <c r="I137" s="19">
        <f>IF($D137=1,INDEX(TblClusters[RAM par nœud (Go)],$B137),"")</f>
        <v>40</v>
      </c>
      <c r="J137" s="19">
        <f>IF($D137=1,INDEX(TblClusters[Workers min],$B137),"")</f>
        <v>6</v>
      </c>
      <c r="K137" s="73">
        <f>IF($D137=1,INDEX(TblClusters[Tarif par nœud],$B137),"")</f>
        <v>368</v>
      </c>
      <c r="L137" s="19">
        <f>IF($D137=1,INDEX(TblClusters[CPU initial (vCPU)],$B137),"")</f>
        <v>48</v>
      </c>
      <c r="M137" s="19">
        <f>IF($D137=1,INDEX(TblClusters[RAM initiale (Go)],$B137),"")</f>
        <v>240</v>
      </c>
      <c r="N137" s="19">
        <f>IF($D137=1,INDEX(TblClusters[CPU min (vCPU)],$B137),"")</f>
        <v>48</v>
      </c>
      <c r="O137" s="19">
        <f>IF($D137=1,INDEX(TblClusters[RAM min (Go)],$B137),"")</f>
        <v>240</v>
      </c>
      <c r="P137" s="19">
        <f>IF($D137&lt;&gt;1,"",IF($G137="ROKS",SUMIFS(TblApplications[Besoin ROKS CPU (vCPU)],TblApplications[Cluster ROKS cible],$F137,TblApplications[Action],"À migrer",TblApplications[Déjà incluse ROKS],"Non",TblApplications[Mois prov (calc)],"&lt;="&amp;$E137),SUMIFS(TblApplications[CPU IKS libérable (vCPU)],TblApplications[Cluster IKS source],$F137,TblApplications[Mois lib (calc)],"&lt;="&amp;$E137)))</f>
        <v>0</v>
      </c>
      <c r="Q137" s="19">
        <f>IF($D137&lt;&gt;1,"",IF($G137="ROKS",SUMIFS(TblApplications[Besoin ROKS RAM (Go)],TblApplications[Cluster ROKS cible],$F137,TblApplications[Action],"À migrer",TblApplications[Déjà incluse ROKS],"Non",TblApplications[Mois prov (calc)],"&lt;="&amp;$E137),SUMIFS(TblApplications[RAM IKS libérable (Go)],TblApplications[Cluster IKS source],$F137,TblApplications[Mois lib (calc)],"&lt;="&amp;$E137)))</f>
        <v>0</v>
      </c>
      <c r="R137" s="19">
        <f t="shared" si="37"/>
        <v>48</v>
      </c>
      <c r="S137" s="19">
        <f t="shared" si="38"/>
        <v>240</v>
      </c>
      <c r="T137" s="19">
        <f t="shared" si="39"/>
        <v>6</v>
      </c>
      <c r="U137" s="19">
        <f t="shared" si="40"/>
        <v>48</v>
      </c>
      <c r="V137" s="19">
        <f t="shared" si="41"/>
        <v>240</v>
      </c>
      <c r="W137" s="73">
        <f t="shared" si="42"/>
        <v>2208</v>
      </c>
      <c r="X137" s="19">
        <f>IF($D137&lt;&gt;1,"",IF($G137="ROKS",$R137,IF($AI137=1,0,MAX($N137,$L137-SUMIFS(TblApplications[CPU IKS libérable (vCPU)],TblApplications[Cluster IKS source],$F137,TblApplications[Action],"À migrer",TblApplications[Mois prov (calc)],"&lt;="&amp;$E137)-SUMIFS(TblApplications[CPU IKS libérable (vCPU)],TblApplications[Cluster IKS source],$F137,TblApplications[Action],"À décommissionner",TblApplications[Mois lib (calc)],"&lt;="&amp;$E137)))))</f>
        <v>48</v>
      </c>
      <c r="Y137" s="19">
        <f>IF($D137&lt;&gt;1,"",IF($G137="ROKS",$S137,IF($AI137=1,0,MAX($O137,$M137-SUMIFS(TblApplications[RAM IKS libérable (Go)],TblApplications[Cluster IKS source],$F137,TblApplications[Action],"À migrer",TblApplications[Mois prov (calc)],"&lt;="&amp;$E137)-SUMIFS(TblApplications[RAM IKS libérable (Go)],TblApplications[Cluster IKS source],$F137,TblApplications[Action],"À décommissionner",TblApplications[Mois lib (calc)],"&lt;="&amp;$E137)))))</f>
        <v>240</v>
      </c>
      <c r="Z137" s="19">
        <f t="shared" si="43"/>
        <v>6</v>
      </c>
      <c r="AA137" s="73">
        <f t="shared" si="44"/>
        <v>2208</v>
      </c>
      <c r="AB137" s="19">
        <f t="shared" si="45"/>
        <v>6</v>
      </c>
      <c r="AC137" s="73">
        <f t="shared" si="46"/>
        <v>2208</v>
      </c>
      <c r="AD137" s="19">
        <f t="shared" si="47"/>
        <v>0</v>
      </c>
      <c r="AE137" s="19">
        <f t="shared" si="48"/>
        <v>0</v>
      </c>
      <c r="AF137" s="19" t="str">
        <f>IF($D137&lt;&gt;1,"",IF(INDEX(TblClusters[Environnement],$B137)="","(vide)",INDEX(TblClusters[Environnement],$B137)))</f>
        <v>PRD</v>
      </c>
      <c r="AG137" s="19">
        <f t="shared" si="49"/>
        <v>72</v>
      </c>
      <c r="AH137" s="19">
        <f t="shared" si="50"/>
        <v>30.666666666666668</v>
      </c>
      <c r="AI137" s="19">
        <f>IF($D137&lt;&gt;1,"",IF(AND($G137="IKS",ISNUMBER(INDEX(TblClusters[Fermeture retenue],$B137))),IF($E137&gt;=INDEX(TblClusters[Fermeture retenue],$B137),1,0),0))</f>
        <v>0</v>
      </c>
    </row>
    <row r="138" spans="1:35" x14ac:dyDescent="0.2">
      <c r="A138" s="19">
        <v>133</v>
      </c>
      <c r="B138" s="19">
        <f t="shared" si="34"/>
        <v>4</v>
      </c>
      <c r="C138" s="19">
        <f t="shared" si="35"/>
        <v>25</v>
      </c>
      <c r="D138" s="19">
        <f>IF($C138&gt;p_horizon,0,IFERROR(IF(AND(INDEX(TblClusters[Cluster],$B138)&lt;&gt;"",ISNUMBER(INDEX(TblClusters[CPU initial (vCPU)],$B138)),ISNUMBER(INDEX(TblClusters[CPU min (vCPU)],$B138)),OR(INDEX(TblClusters[Plateforme],$B138)="IKS",INDEX(TblClusters[Plateforme],$B138)="ROKS")),1,0),0))</f>
        <v>1</v>
      </c>
      <c r="E138" s="72">
        <f t="shared" si="36"/>
        <v>47027</v>
      </c>
      <c r="F138" s="19" t="str">
        <f>IF($D138=1,INDEX(TblClusters[Cluster],$B138),"")</f>
        <v>oc002i000809</v>
      </c>
      <c r="G138" s="19" t="str">
        <f>IF($D138=1,INDEX(TblClusters[Plateforme],$B138),"")</f>
        <v>ROKS</v>
      </c>
      <c r="H138" s="19">
        <f>IF($D138=1,INDEX(TblClusters[vCPU par nœud],$B138),"")</f>
        <v>8</v>
      </c>
      <c r="I138" s="19">
        <f>IF($D138=1,INDEX(TblClusters[RAM par nœud (Go)],$B138),"")</f>
        <v>40</v>
      </c>
      <c r="J138" s="19">
        <f>IF($D138=1,INDEX(TblClusters[Workers min],$B138),"")</f>
        <v>6</v>
      </c>
      <c r="K138" s="73">
        <f>IF($D138=1,INDEX(TblClusters[Tarif par nœud],$B138),"")</f>
        <v>368</v>
      </c>
      <c r="L138" s="19">
        <f>IF($D138=1,INDEX(TblClusters[CPU initial (vCPU)],$B138),"")</f>
        <v>48</v>
      </c>
      <c r="M138" s="19">
        <f>IF($D138=1,INDEX(TblClusters[RAM initiale (Go)],$B138),"")</f>
        <v>240</v>
      </c>
      <c r="N138" s="19">
        <f>IF($D138=1,INDEX(TblClusters[CPU min (vCPU)],$B138),"")</f>
        <v>48</v>
      </c>
      <c r="O138" s="19">
        <f>IF($D138=1,INDEX(TblClusters[RAM min (Go)],$B138),"")</f>
        <v>240</v>
      </c>
      <c r="P138" s="19">
        <f>IF($D138&lt;&gt;1,"",IF($G138="ROKS",SUMIFS(TblApplications[Besoin ROKS CPU (vCPU)],TblApplications[Cluster ROKS cible],$F138,TblApplications[Action],"À migrer",TblApplications[Déjà incluse ROKS],"Non",TblApplications[Mois prov (calc)],"&lt;="&amp;$E138),SUMIFS(TblApplications[CPU IKS libérable (vCPU)],TblApplications[Cluster IKS source],$F138,TblApplications[Mois lib (calc)],"&lt;="&amp;$E138)))</f>
        <v>0</v>
      </c>
      <c r="Q138" s="19">
        <f>IF($D138&lt;&gt;1,"",IF($G138="ROKS",SUMIFS(TblApplications[Besoin ROKS RAM (Go)],TblApplications[Cluster ROKS cible],$F138,TblApplications[Action],"À migrer",TblApplications[Déjà incluse ROKS],"Non",TblApplications[Mois prov (calc)],"&lt;="&amp;$E138),SUMIFS(TblApplications[RAM IKS libérable (Go)],TblApplications[Cluster IKS source],$F138,TblApplications[Mois lib (calc)],"&lt;="&amp;$E138)))</f>
        <v>0</v>
      </c>
      <c r="R138" s="19">
        <f t="shared" si="37"/>
        <v>48</v>
      </c>
      <c r="S138" s="19">
        <f t="shared" si="38"/>
        <v>240</v>
      </c>
      <c r="T138" s="19">
        <f t="shared" si="39"/>
        <v>6</v>
      </c>
      <c r="U138" s="19">
        <f t="shared" si="40"/>
        <v>48</v>
      </c>
      <c r="V138" s="19">
        <f t="shared" si="41"/>
        <v>240</v>
      </c>
      <c r="W138" s="73">
        <f t="shared" si="42"/>
        <v>2208</v>
      </c>
      <c r="X138" s="19">
        <f>IF($D138&lt;&gt;1,"",IF($G138="ROKS",$R138,IF($AI138=1,0,MAX($N138,$L138-SUMIFS(TblApplications[CPU IKS libérable (vCPU)],TblApplications[Cluster IKS source],$F138,TblApplications[Action],"À migrer",TblApplications[Mois prov (calc)],"&lt;="&amp;$E138)-SUMIFS(TblApplications[CPU IKS libérable (vCPU)],TblApplications[Cluster IKS source],$F138,TblApplications[Action],"À décommissionner",TblApplications[Mois lib (calc)],"&lt;="&amp;$E138)))))</f>
        <v>48</v>
      </c>
      <c r="Y138" s="19">
        <f>IF($D138&lt;&gt;1,"",IF($G138="ROKS",$S138,IF($AI138=1,0,MAX($O138,$M138-SUMIFS(TblApplications[RAM IKS libérable (Go)],TblApplications[Cluster IKS source],$F138,TblApplications[Action],"À migrer",TblApplications[Mois prov (calc)],"&lt;="&amp;$E138)-SUMIFS(TblApplications[RAM IKS libérable (Go)],TblApplications[Cluster IKS source],$F138,TblApplications[Action],"À décommissionner",TblApplications[Mois lib (calc)],"&lt;="&amp;$E138)))))</f>
        <v>240</v>
      </c>
      <c r="Z138" s="19">
        <f t="shared" si="43"/>
        <v>6</v>
      </c>
      <c r="AA138" s="73">
        <f t="shared" si="44"/>
        <v>2208</v>
      </c>
      <c r="AB138" s="19">
        <f t="shared" si="45"/>
        <v>6</v>
      </c>
      <c r="AC138" s="73">
        <f t="shared" si="46"/>
        <v>2208</v>
      </c>
      <c r="AD138" s="19">
        <f t="shared" si="47"/>
        <v>0</v>
      </c>
      <c r="AE138" s="19">
        <f t="shared" si="48"/>
        <v>0</v>
      </c>
      <c r="AF138" s="19" t="str">
        <f>IF($D138&lt;&gt;1,"",IF(INDEX(TblClusters[Environnement],$B138)="","(vide)",INDEX(TblClusters[Environnement],$B138)))</f>
        <v>PRD</v>
      </c>
      <c r="AG138" s="19">
        <f t="shared" si="49"/>
        <v>72</v>
      </c>
      <c r="AH138" s="19">
        <f t="shared" si="50"/>
        <v>30.666666666666668</v>
      </c>
      <c r="AI138" s="19">
        <f>IF($D138&lt;&gt;1,"",IF(AND($G138="IKS",ISNUMBER(INDEX(TblClusters[Fermeture retenue],$B138))),IF($E138&gt;=INDEX(TblClusters[Fermeture retenue],$B138),1,0),0))</f>
        <v>0</v>
      </c>
    </row>
    <row r="139" spans="1:35" x14ac:dyDescent="0.2">
      <c r="A139" s="19">
        <v>134</v>
      </c>
      <c r="B139" s="19">
        <f t="shared" si="34"/>
        <v>4</v>
      </c>
      <c r="C139" s="19">
        <f t="shared" si="35"/>
        <v>26</v>
      </c>
      <c r="D139" s="19">
        <f>IF($C139&gt;p_horizon,0,IFERROR(IF(AND(INDEX(TblClusters[Cluster],$B139)&lt;&gt;"",ISNUMBER(INDEX(TblClusters[CPU initial (vCPU)],$B139)),ISNUMBER(INDEX(TblClusters[CPU min (vCPU)],$B139)),OR(INDEX(TblClusters[Plateforme],$B139)="IKS",INDEX(TblClusters[Plateforme],$B139)="ROKS")),1,0),0))</f>
        <v>1</v>
      </c>
      <c r="E139" s="72">
        <f t="shared" si="36"/>
        <v>47058</v>
      </c>
      <c r="F139" s="19" t="str">
        <f>IF($D139=1,INDEX(TblClusters[Cluster],$B139),"")</f>
        <v>oc002i000809</v>
      </c>
      <c r="G139" s="19" t="str">
        <f>IF($D139=1,INDEX(TblClusters[Plateforme],$B139),"")</f>
        <v>ROKS</v>
      </c>
      <c r="H139" s="19">
        <f>IF($D139=1,INDEX(TblClusters[vCPU par nœud],$B139),"")</f>
        <v>8</v>
      </c>
      <c r="I139" s="19">
        <f>IF($D139=1,INDEX(TblClusters[RAM par nœud (Go)],$B139),"")</f>
        <v>40</v>
      </c>
      <c r="J139" s="19">
        <f>IF($D139=1,INDEX(TblClusters[Workers min],$B139),"")</f>
        <v>6</v>
      </c>
      <c r="K139" s="73">
        <f>IF($D139=1,INDEX(TblClusters[Tarif par nœud],$B139),"")</f>
        <v>368</v>
      </c>
      <c r="L139" s="19">
        <f>IF($D139=1,INDEX(TblClusters[CPU initial (vCPU)],$B139),"")</f>
        <v>48</v>
      </c>
      <c r="M139" s="19">
        <f>IF($D139=1,INDEX(TblClusters[RAM initiale (Go)],$B139),"")</f>
        <v>240</v>
      </c>
      <c r="N139" s="19">
        <f>IF($D139=1,INDEX(TblClusters[CPU min (vCPU)],$B139),"")</f>
        <v>48</v>
      </c>
      <c r="O139" s="19">
        <f>IF($D139=1,INDEX(TblClusters[RAM min (Go)],$B139),"")</f>
        <v>240</v>
      </c>
      <c r="P139" s="19">
        <f>IF($D139&lt;&gt;1,"",IF($G139="ROKS",SUMIFS(TblApplications[Besoin ROKS CPU (vCPU)],TblApplications[Cluster ROKS cible],$F139,TblApplications[Action],"À migrer",TblApplications[Déjà incluse ROKS],"Non",TblApplications[Mois prov (calc)],"&lt;="&amp;$E139),SUMIFS(TblApplications[CPU IKS libérable (vCPU)],TblApplications[Cluster IKS source],$F139,TblApplications[Mois lib (calc)],"&lt;="&amp;$E139)))</f>
        <v>0</v>
      </c>
      <c r="Q139" s="19">
        <f>IF($D139&lt;&gt;1,"",IF($G139="ROKS",SUMIFS(TblApplications[Besoin ROKS RAM (Go)],TblApplications[Cluster ROKS cible],$F139,TblApplications[Action],"À migrer",TblApplications[Déjà incluse ROKS],"Non",TblApplications[Mois prov (calc)],"&lt;="&amp;$E139),SUMIFS(TblApplications[RAM IKS libérable (Go)],TblApplications[Cluster IKS source],$F139,TblApplications[Mois lib (calc)],"&lt;="&amp;$E139)))</f>
        <v>0</v>
      </c>
      <c r="R139" s="19">
        <f t="shared" si="37"/>
        <v>48</v>
      </c>
      <c r="S139" s="19">
        <f t="shared" si="38"/>
        <v>240</v>
      </c>
      <c r="T139" s="19">
        <f t="shared" si="39"/>
        <v>6</v>
      </c>
      <c r="U139" s="19">
        <f t="shared" si="40"/>
        <v>48</v>
      </c>
      <c r="V139" s="19">
        <f t="shared" si="41"/>
        <v>240</v>
      </c>
      <c r="W139" s="73">
        <f t="shared" si="42"/>
        <v>2208</v>
      </c>
      <c r="X139" s="19">
        <f>IF($D139&lt;&gt;1,"",IF($G139="ROKS",$R139,IF($AI139=1,0,MAX($N139,$L139-SUMIFS(TblApplications[CPU IKS libérable (vCPU)],TblApplications[Cluster IKS source],$F139,TblApplications[Action],"À migrer",TblApplications[Mois prov (calc)],"&lt;="&amp;$E139)-SUMIFS(TblApplications[CPU IKS libérable (vCPU)],TblApplications[Cluster IKS source],$F139,TblApplications[Action],"À décommissionner",TblApplications[Mois lib (calc)],"&lt;="&amp;$E139)))))</f>
        <v>48</v>
      </c>
      <c r="Y139" s="19">
        <f>IF($D139&lt;&gt;1,"",IF($G139="ROKS",$S139,IF($AI139=1,0,MAX($O139,$M139-SUMIFS(TblApplications[RAM IKS libérable (Go)],TblApplications[Cluster IKS source],$F139,TblApplications[Action],"À migrer",TblApplications[Mois prov (calc)],"&lt;="&amp;$E139)-SUMIFS(TblApplications[RAM IKS libérable (Go)],TblApplications[Cluster IKS source],$F139,TblApplications[Action],"À décommissionner",TblApplications[Mois lib (calc)],"&lt;="&amp;$E139)))))</f>
        <v>240</v>
      </c>
      <c r="Z139" s="19">
        <f t="shared" si="43"/>
        <v>6</v>
      </c>
      <c r="AA139" s="73">
        <f t="shared" si="44"/>
        <v>2208</v>
      </c>
      <c r="AB139" s="19">
        <f t="shared" si="45"/>
        <v>6</v>
      </c>
      <c r="AC139" s="73">
        <f t="shared" si="46"/>
        <v>2208</v>
      </c>
      <c r="AD139" s="19">
        <f t="shared" si="47"/>
        <v>0</v>
      </c>
      <c r="AE139" s="19">
        <f t="shared" si="48"/>
        <v>0</v>
      </c>
      <c r="AF139" s="19" t="str">
        <f>IF($D139&lt;&gt;1,"",IF(INDEX(TblClusters[Environnement],$B139)="","(vide)",INDEX(TblClusters[Environnement],$B139)))</f>
        <v>PRD</v>
      </c>
      <c r="AG139" s="19">
        <f t="shared" si="49"/>
        <v>72</v>
      </c>
      <c r="AH139" s="19">
        <f t="shared" si="50"/>
        <v>30.666666666666668</v>
      </c>
      <c r="AI139" s="19">
        <f>IF($D139&lt;&gt;1,"",IF(AND($G139="IKS",ISNUMBER(INDEX(TblClusters[Fermeture retenue],$B139))),IF($E139&gt;=INDEX(TblClusters[Fermeture retenue],$B139),1,0),0))</f>
        <v>0</v>
      </c>
    </row>
    <row r="140" spans="1:35" x14ac:dyDescent="0.2">
      <c r="A140" s="19">
        <v>135</v>
      </c>
      <c r="B140" s="19">
        <f t="shared" si="34"/>
        <v>4</v>
      </c>
      <c r="C140" s="19">
        <f t="shared" si="35"/>
        <v>27</v>
      </c>
      <c r="D140" s="19">
        <f>IF($C140&gt;p_horizon,0,IFERROR(IF(AND(INDEX(TblClusters[Cluster],$B140)&lt;&gt;"",ISNUMBER(INDEX(TblClusters[CPU initial (vCPU)],$B140)),ISNUMBER(INDEX(TblClusters[CPU min (vCPU)],$B140)),OR(INDEX(TblClusters[Plateforme],$B140)="IKS",INDEX(TblClusters[Plateforme],$B140)="ROKS")),1,0),0))</f>
        <v>1</v>
      </c>
      <c r="E140" s="72">
        <f t="shared" si="36"/>
        <v>47088</v>
      </c>
      <c r="F140" s="19" t="str">
        <f>IF($D140=1,INDEX(TblClusters[Cluster],$B140),"")</f>
        <v>oc002i000809</v>
      </c>
      <c r="G140" s="19" t="str">
        <f>IF($D140=1,INDEX(TblClusters[Plateforme],$B140),"")</f>
        <v>ROKS</v>
      </c>
      <c r="H140" s="19">
        <f>IF($D140=1,INDEX(TblClusters[vCPU par nœud],$B140),"")</f>
        <v>8</v>
      </c>
      <c r="I140" s="19">
        <f>IF($D140=1,INDEX(TblClusters[RAM par nœud (Go)],$B140),"")</f>
        <v>40</v>
      </c>
      <c r="J140" s="19">
        <f>IF($D140=1,INDEX(TblClusters[Workers min],$B140),"")</f>
        <v>6</v>
      </c>
      <c r="K140" s="73">
        <f>IF($D140=1,INDEX(TblClusters[Tarif par nœud],$B140),"")</f>
        <v>368</v>
      </c>
      <c r="L140" s="19">
        <f>IF($D140=1,INDEX(TblClusters[CPU initial (vCPU)],$B140),"")</f>
        <v>48</v>
      </c>
      <c r="M140" s="19">
        <f>IF($D140=1,INDEX(TblClusters[RAM initiale (Go)],$B140),"")</f>
        <v>240</v>
      </c>
      <c r="N140" s="19">
        <f>IF($D140=1,INDEX(TblClusters[CPU min (vCPU)],$B140),"")</f>
        <v>48</v>
      </c>
      <c r="O140" s="19">
        <f>IF($D140=1,INDEX(TblClusters[RAM min (Go)],$B140),"")</f>
        <v>240</v>
      </c>
      <c r="P140" s="19">
        <f>IF($D140&lt;&gt;1,"",IF($G140="ROKS",SUMIFS(TblApplications[Besoin ROKS CPU (vCPU)],TblApplications[Cluster ROKS cible],$F140,TblApplications[Action],"À migrer",TblApplications[Déjà incluse ROKS],"Non",TblApplications[Mois prov (calc)],"&lt;="&amp;$E140),SUMIFS(TblApplications[CPU IKS libérable (vCPU)],TblApplications[Cluster IKS source],$F140,TblApplications[Mois lib (calc)],"&lt;="&amp;$E140)))</f>
        <v>0</v>
      </c>
      <c r="Q140" s="19">
        <f>IF($D140&lt;&gt;1,"",IF($G140="ROKS",SUMIFS(TblApplications[Besoin ROKS RAM (Go)],TblApplications[Cluster ROKS cible],$F140,TblApplications[Action],"À migrer",TblApplications[Déjà incluse ROKS],"Non",TblApplications[Mois prov (calc)],"&lt;="&amp;$E140),SUMIFS(TblApplications[RAM IKS libérable (Go)],TblApplications[Cluster IKS source],$F140,TblApplications[Mois lib (calc)],"&lt;="&amp;$E140)))</f>
        <v>0</v>
      </c>
      <c r="R140" s="19">
        <f t="shared" si="37"/>
        <v>48</v>
      </c>
      <c r="S140" s="19">
        <f t="shared" si="38"/>
        <v>240</v>
      </c>
      <c r="T140" s="19">
        <f t="shared" si="39"/>
        <v>6</v>
      </c>
      <c r="U140" s="19">
        <f t="shared" si="40"/>
        <v>48</v>
      </c>
      <c r="V140" s="19">
        <f t="shared" si="41"/>
        <v>240</v>
      </c>
      <c r="W140" s="73">
        <f t="shared" si="42"/>
        <v>2208</v>
      </c>
      <c r="X140" s="19">
        <f>IF($D140&lt;&gt;1,"",IF($G140="ROKS",$R140,IF($AI140=1,0,MAX($N140,$L140-SUMIFS(TblApplications[CPU IKS libérable (vCPU)],TblApplications[Cluster IKS source],$F140,TblApplications[Action],"À migrer",TblApplications[Mois prov (calc)],"&lt;="&amp;$E140)-SUMIFS(TblApplications[CPU IKS libérable (vCPU)],TblApplications[Cluster IKS source],$F140,TblApplications[Action],"À décommissionner",TblApplications[Mois lib (calc)],"&lt;="&amp;$E140)))))</f>
        <v>48</v>
      </c>
      <c r="Y140" s="19">
        <f>IF($D140&lt;&gt;1,"",IF($G140="ROKS",$S140,IF($AI140=1,0,MAX($O140,$M140-SUMIFS(TblApplications[RAM IKS libérable (Go)],TblApplications[Cluster IKS source],$F140,TblApplications[Action],"À migrer",TblApplications[Mois prov (calc)],"&lt;="&amp;$E140)-SUMIFS(TblApplications[RAM IKS libérable (Go)],TblApplications[Cluster IKS source],$F140,TblApplications[Action],"À décommissionner",TblApplications[Mois lib (calc)],"&lt;="&amp;$E140)))))</f>
        <v>240</v>
      </c>
      <c r="Z140" s="19">
        <f t="shared" si="43"/>
        <v>6</v>
      </c>
      <c r="AA140" s="73">
        <f t="shared" si="44"/>
        <v>2208</v>
      </c>
      <c r="AB140" s="19">
        <f t="shared" si="45"/>
        <v>6</v>
      </c>
      <c r="AC140" s="73">
        <f t="shared" si="46"/>
        <v>2208</v>
      </c>
      <c r="AD140" s="19">
        <f t="shared" si="47"/>
        <v>0</v>
      </c>
      <c r="AE140" s="19">
        <f t="shared" si="48"/>
        <v>0</v>
      </c>
      <c r="AF140" s="19" t="str">
        <f>IF($D140&lt;&gt;1,"",IF(INDEX(TblClusters[Environnement],$B140)="","(vide)",INDEX(TblClusters[Environnement],$B140)))</f>
        <v>PRD</v>
      </c>
      <c r="AG140" s="19">
        <f t="shared" si="49"/>
        <v>72</v>
      </c>
      <c r="AH140" s="19">
        <f t="shared" si="50"/>
        <v>30.666666666666668</v>
      </c>
      <c r="AI140" s="19">
        <f>IF($D140&lt;&gt;1,"",IF(AND($G140="IKS",ISNUMBER(INDEX(TblClusters[Fermeture retenue],$B140))),IF($E140&gt;=INDEX(TblClusters[Fermeture retenue],$B140),1,0),0))</f>
        <v>0</v>
      </c>
    </row>
    <row r="141" spans="1:35" x14ac:dyDescent="0.2">
      <c r="A141" s="19">
        <v>136</v>
      </c>
      <c r="B141" s="19">
        <f t="shared" si="34"/>
        <v>4</v>
      </c>
      <c r="C141" s="19">
        <f t="shared" si="35"/>
        <v>28</v>
      </c>
      <c r="D141" s="19">
        <f>IF($C141&gt;p_horizon,0,IFERROR(IF(AND(INDEX(TblClusters[Cluster],$B141)&lt;&gt;"",ISNUMBER(INDEX(TblClusters[CPU initial (vCPU)],$B141)),ISNUMBER(INDEX(TblClusters[CPU min (vCPU)],$B141)),OR(INDEX(TblClusters[Plateforme],$B141)="IKS",INDEX(TblClusters[Plateforme],$B141)="ROKS")),1,0),0))</f>
        <v>1</v>
      </c>
      <c r="E141" s="72">
        <f t="shared" si="36"/>
        <v>47119</v>
      </c>
      <c r="F141" s="19" t="str">
        <f>IF($D141=1,INDEX(TblClusters[Cluster],$B141),"")</f>
        <v>oc002i000809</v>
      </c>
      <c r="G141" s="19" t="str">
        <f>IF($D141=1,INDEX(TblClusters[Plateforme],$B141),"")</f>
        <v>ROKS</v>
      </c>
      <c r="H141" s="19">
        <f>IF($D141=1,INDEX(TblClusters[vCPU par nœud],$B141),"")</f>
        <v>8</v>
      </c>
      <c r="I141" s="19">
        <f>IF($D141=1,INDEX(TblClusters[RAM par nœud (Go)],$B141),"")</f>
        <v>40</v>
      </c>
      <c r="J141" s="19">
        <f>IF($D141=1,INDEX(TblClusters[Workers min],$B141),"")</f>
        <v>6</v>
      </c>
      <c r="K141" s="73">
        <f>IF($D141=1,INDEX(TblClusters[Tarif par nœud],$B141),"")</f>
        <v>368</v>
      </c>
      <c r="L141" s="19">
        <f>IF($D141=1,INDEX(TblClusters[CPU initial (vCPU)],$B141),"")</f>
        <v>48</v>
      </c>
      <c r="M141" s="19">
        <f>IF($D141=1,INDEX(TblClusters[RAM initiale (Go)],$B141),"")</f>
        <v>240</v>
      </c>
      <c r="N141" s="19">
        <f>IF($D141=1,INDEX(TblClusters[CPU min (vCPU)],$B141),"")</f>
        <v>48</v>
      </c>
      <c r="O141" s="19">
        <f>IF($D141=1,INDEX(TblClusters[RAM min (Go)],$B141),"")</f>
        <v>240</v>
      </c>
      <c r="P141" s="19">
        <f>IF($D141&lt;&gt;1,"",IF($G141="ROKS",SUMIFS(TblApplications[Besoin ROKS CPU (vCPU)],TblApplications[Cluster ROKS cible],$F141,TblApplications[Action],"À migrer",TblApplications[Déjà incluse ROKS],"Non",TblApplications[Mois prov (calc)],"&lt;="&amp;$E141),SUMIFS(TblApplications[CPU IKS libérable (vCPU)],TblApplications[Cluster IKS source],$F141,TblApplications[Mois lib (calc)],"&lt;="&amp;$E141)))</f>
        <v>0</v>
      </c>
      <c r="Q141" s="19">
        <f>IF($D141&lt;&gt;1,"",IF($G141="ROKS",SUMIFS(TblApplications[Besoin ROKS RAM (Go)],TblApplications[Cluster ROKS cible],$F141,TblApplications[Action],"À migrer",TblApplications[Déjà incluse ROKS],"Non",TblApplications[Mois prov (calc)],"&lt;="&amp;$E141),SUMIFS(TblApplications[RAM IKS libérable (Go)],TblApplications[Cluster IKS source],$F141,TblApplications[Mois lib (calc)],"&lt;="&amp;$E141)))</f>
        <v>0</v>
      </c>
      <c r="R141" s="19">
        <f t="shared" si="37"/>
        <v>48</v>
      </c>
      <c r="S141" s="19">
        <f t="shared" si="38"/>
        <v>240</v>
      </c>
      <c r="T141" s="19">
        <f t="shared" si="39"/>
        <v>6</v>
      </c>
      <c r="U141" s="19">
        <f t="shared" si="40"/>
        <v>48</v>
      </c>
      <c r="V141" s="19">
        <f t="shared" si="41"/>
        <v>240</v>
      </c>
      <c r="W141" s="73">
        <f t="shared" si="42"/>
        <v>2208</v>
      </c>
      <c r="X141" s="19">
        <f>IF($D141&lt;&gt;1,"",IF($G141="ROKS",$R141,IF($AI141=1,0,MAX($N141,$L141-SUMIFS(TblApplications[CPU IKS libérable (vCPU)],TblApplications[Cluster IKS source],$F141,TblApplications[Action],"À migrer",TblApplications[Mois prov (calc)],"&lt;="&amp;$E141)-SUMIFS(TblApplications[CPU IKS libérable (vCPU)],TblApplications[Cluster IKS source],$F141,TblApplications[Action],"À décommissionner",TblApplications[Mois lib (calc)],"&lt;="&amp;$E141)))))</f>
        <v>48</v>
      </c>
      <c r="Y141" s="19">
        <f>IF($D141&lt;&gt;1,"",IF($G141="ROKS",$S141,IF($AI141=1,0,MAX($O141,$M141-SUMIFS(TblApplications[RAM IKS libérable (Go)],TblApplications[Cluster IKS source],$F141,TblApplications[Action],"À migrer",TblApplications[Mois prov (calc)],"&lt;="&amp;$E141)-SUMIFS(TblApplications[RAM IKS libérable (Go)],TblApplications[Cluster IKS source],$F141,TblApplications[Action],"À décommissionner",TblApplications[Mois lib (calc)],"&lt;="&amp;$E141)))))</f>
        <v>240</v>
      </c>
      <c r="Z141" s="19">
        <f t="shared" si="43"/>
        <v>6</v>
      </c>
      <c r="AA141" s="73">
        <f t="shared" si="44"/>
        <v>2208</v>
      </c>
      <c r="AB141" s="19">
        <f t="shared" si="45"/>
        <v>6</v>
      </c>
      <c r="AC141" s="73">
        <f t="shared" si="46"/>
        <v>2208</v>
      </c>
      <c r="AD141" s="19">
        <f t="shared" si="47"/>
        <v>0</v>
      </c>
      <c r="AE141" s="19">
        <f t="shared" si="48"/>
        <v>0</v>
      </c>
      <c r="AF141" s="19" t="str">
        <f>IF($D141&lt;&gt;1,"",IF(INDEX(TblClusters[Environnement],$B141)="","(vide)",INDEX(TblClusters[Environnement],$B141)))</f>
        <v>PRD</v>
      </c>
      <c r="AG141" s="19">
        <f t="shared" si="49"/>
        <v>72</v>
      </c>
      <c r="AH141" s="19">
        <f t="shared" si="50"/>
        <v>30.666666666666668</v>
      </c>
      <c r="AI141" s="19">
        <f>IF($D141&lt;&gt;1,"",IF(AND($G141="IKS",ISNUMBER(INDEX(TblClusters[Fermeture retenue],$B141))),IF($E141&gt;=INDEX(TblClusters[Fermeture retenue],$B141),1,0),0))</f>
        <v>0</v>
      </c>
    </row>
    <row r="142" spans="1:35" x14ac:dyDescent="0.2">
      <c r="A142" s="19">
        <v>137</v>
      </c>
      <c r="B142" s="19">
        <f t="shared" si="34"/>
        <v>4</v>
      </c>
      <c r="C142" s="19">
        <f t="shared" si="35"/>
        <v>29</v>
      </c>
      <c r="D142" s="19">
        <f>IF($C142&gt;p_horizon,0,IFERROR(IF(AND(INDEX(TblClusters[Cluster],$B142)&lt;&gt;"",ISNUMBER(INDEX(TblClusters[CPU initial (vCPU)],$B142)),ISNUMBER(INDEX(TblClusters[CPU min (vCPU)],$B142)),OR(INDEX(TblClusters[Plateforme],$B142)="IKS",INDEX(TblClusters[Plateforme],$B142)="ROKS")),1,0),0))</f>
        <v>1</v>
      </c>
      <c r="E142" s="72">
        <f t="shared" si="36"/>
        <v>47150</v>
      </c>
      <c r="F142" s="19" t="str">
        <f>IF($D142=1,INDEX(TblClusters[Cluster],$B142),"")</f>
        <v>oc002i000809</v>
      </c>
      <c r="G142" s="19" t="str">
        <f>IF($D142=1,INDEX(TblClusters[Plateforme],$B142),"")</f>
        <v>ROKS</v>
      </c>
      <c r="H142" s="19">
        <f>IF($D142=1,INDEX(TblClusters[vCPU par nœud],$B142),"")</f>
        <v>8</v>
      </c>
      <c r="I142" s="19">
        <f>IF($D142=1,INDEX(TblClusters[RAM par nœud (Go)],$B142),"")</f>
        <v>40</v>
      </c>
      <c r="J142" s="19">
        <f>IF($D142=1,INDEX(TblClusters[Workers min],$B142),"")</f>
        <v>6</v>
      </c>
      <c r="K142" s="73">
        <f>IF($D142=1,INDEX(TblClusters[Tarif par nœud],$B142),"")</f>
        <v>368</v>
      </c>
      <c r="L142" s="19">
        <f>IF($D142=1,INDEX(TblClusters[CPU initial (vCPU)],$B142),"")</f>
        <v>48</v>
      </c>
      <c r="M142" s="19">
        <f>IF($D142=1,INDEX(TblClusters[RAM initiale (Go)],$B142),"")</f>
        <v>240</v>
      </c>
      <c r="N142" s="19">
        <f>IF($D142=1,INDEX(TblClusters[CPU min (vCPU)],$B142),"")</f>
        <v>48</v>
      </c>
      <c r="O142" s="19">
        <f>IF($D142=1,INDEX(TblClusters[RAM min (Go)],$B142),"")</f>
        <v>240</v>
      </c>
      <c r="P142" s="19">
        <f>IF($D142&lt;&gt;1,"",IF($G142="ROKS",SUMIFS(TblApplications[Besoin ROKS CPU (vCPU)],TblApplications[Cluster ROKS cible],$F142,TblApplications[Action],"À migrer",TblApplications[Déjà incluse ROKS],"Non",TblApplications[Mois prov (calc)],"&lt;="&amp;$E142),SUMIFS(TblApplications[CPU IKS libérable (vCPU)],TblApplications[Cluster IKS source],$F142,TblApplications[Mois lib (calc)],"&lt;="&amp;$E142)))</f>
        <v>0</v>
      </c>
      <c r="Q142" s="19">
        <f>IF($D142&lt;&gt;1,"",IF($G142="ROKS",SUMIFS(TblApplications[Besoin ROKS RAM (Go)],TblApplications[Cluster ROKS cible],$F142,TblApplications[Action],"À migrer",TblApplications[Déjà incluse ROKS],"Non",TblApplications[Mois prov (calc)],"&lt;="&amp;$E142),SUMIFS(TblApplications[RAM IKS libérable (Go)],TblApplications[Cluster IKS source],$F142,TblApplications[Mois lib (calc)],"&lt;="&amp;$E142)))</f>
        <v>0</v>
      </c>
      <c r="R142" s="19">
        <f t="shared" si="37"/>
        <v>48</v>
      </c>
      <c r="S142" s="19">
        <f t="shared" si="38"/>
        <v>240</v>
      </c>
      <c r="T142" s="19">
        <f t="shared" si="39"/>
        <v>6</v>
      </c>
      <c r="U142" s="19">
        <f t="shared" si="40"/>
        <v>48</v>
      </c>
      <c r="V142" s="19">
        <f t="shared" si="41"/>
        <v>240</v>
      </c>
      <c r="W142" s="73">
        <f t="shared" si="42"/>
        <v>2208</v>
      </c>
      <c r="X142" s="19">
        <f>IF($D142&lt;&gt;1,"",IF($G142="ROKS",$R142,IF($AI142=1,0,MAX($N142,$L142-SUMIFS(TblApplications[CPU IKS libérable (vCPU)],TblApplications[Cluster IKS source],$F142,TblApplications[Action],"À migrer",TblApplications[Mois prov (calc)],"&lt;="&amp;$E142)-SUMIFS(TblApplications[CPU IKS libérable (vCPU)],TblApplications[Cluster IKS source],$F142,TblApplications[Action],"À décommissionner",TblApplications[Mois lib (calc)],"&lt;="&amp;$E142)))))</f>
        <v>48</v>
      </c>
      <c r="Y142" s="19">
        <f>IF($D142&lt;&gt;1,"",IF($G142="ROKS",$S142,IF($AI142=1,0,MAX($O142,$M142-SUMIFS(TblApplications[RAM IKS libérable (Go)],TblApplications[Cluster IKS source],$F142,TblApplications[Action],"À migrer",TblApplications[Mois prov (calc)],"&lt;="&amp;$E142)-SUMIFS(TblApplications[RAM IKS libérable (Go)],TblApplications[Cluster IKS source],$F142,TblApplications[Action],"À décommissionner",TblApplications[Mois lib (calc)],"&lt;="&amp;$E142)))))</f>
        <v>240</v>
      </c>
      <c r="Z142" s="19">
        <f t="shared" si="43"/>
        <v>6</v>
      </c>
      <c r="AA142" s="73">
        <f t="shared" si="44"/>
        <v>2208</v>
      </c>
      <c r="AB142" s="19">
        <f t="shared" si="45"/>
        <v>6</v>
      </c>
      <c r="AC142" s="73">
        <f t="shared" si="46"/>
        <v>2208</v>
      </c>
      <c r="AD142" s="19">
        <f t="shared" si="47"/>
        <v>0</v>
      </c>
      <c r="AE142" s="19">
        <f t="shared" si="48"/>
        <v>0</v>
      </c>
      <c r="AF142" s="19" t="str">
        <f>IF($D142&lt;&gt;1,"",IF(INDEX(TblClusters[Environnement],$B142)="","(vide)",INDEX(TblClusters[Environnement],$B142)))</f>
        <v>PRD</v>
      </c>
      <c r="AG142" s="19">
        <f t="shared" si="49"/>
        <v>72</v>
      </c>
      <c r="AH142" s="19">
        <f t="shared" si="50"/>
        <v>30.666666666666668</v>
      </c>
      <c r="AI142" s="19">
        <f>IF($D142&lt;&gt;1,"",IF(AND($G142="IKS",ISNUMBER(INDEX(TblClusters[Fermeture retenue],$B142))),IF($E142&gt;=INDEX(TblClusters[Fermeture retenue],$B142),1,0),0))</f>
        <v>0</v>
      </c>
    </row>
    <row r="143" spans="1:35" x14ac:dyDescent="0.2">
      <c r="A143" s="19">
        <v>138</v>
      </c>
      <c r="B143" s="19">
        <f t="shared" si="34"/>
        <v>4</v>
      </c>
      <c r="C143" s="19">
        <f t="shared" si="35"/>
        <v>30</v>
      </c>
      <c r="D143" s="19">
        <f>IF($C143&gt;p_horizon,0,IFERROR(IF(AND(INDEX(TblClusters[Cluster],$B143)&lt;&gt;"",ISNUMBER(INDEX(TblClusters[CPU initial (vCPU)],$B143)),ISNUMBER(INDEX(TblClusters[CPU min (vCPU)],$B143)),OR(INDEX(TblClusters[Plateforme],$B143)="IKS",INDEX(TblClusters[Plateforme],$B143)="ROKS")),1,0),0))</f>
        <v>1</v>
      </c>
      <c r="E143" s="72">
        <f t="shared" si="36"/>
        <v>47178</v>
      </c>
      <c r="F143" s="19" t="str">
        <f>IF($D143=1,INDEX(TblClusters[Cluster],$B143),"")</f>
        <v>oc002i000809</v>
      </c>
      <c r="G143" s="19" t="str">
        <f>IF($D143=1,INDEX(TblClusters[Plateforme],$B143),"")</f>
        <v>ROKS</v>
      </c>
      <c r="H143" s="19">
        <f>IF($D143=1,INDEX(TblClusters[vCPU par nœud],$B143),"")</f>
        <v>8</v>
      </c>
      <c r="I143" s="19">
        <f>IF($D143=1,INDEX(TblClusters[RAM par nœud (Go)],$B143),"")</f>
        <v>40</v>
      </c>
      <c r="J143" s="19">
        <f>IF($D143=1,INDEX(TblClusters[Workers min],$B143),"")</f>
        <v>6</v>
      </c>
      <c r="K143" s="73">
        <f>IF($D143=1,INDEX(TblClusters[Tarif par nœud],$B143),"")</f>
        <v>368</v>
      </c>
      <c r="L143" s="19">
        <f>IF($D143=1,INDEX(TblClusters[CPU initial (vCPU)],$B143),"")</f>
        <v>48</v>
      </c>
      <c r="M143" s="19">
        <f>IF($D143=1,INDEX(TblClusters[RAM initiale (Go)],$B143),"")</f>
        <v>240</v>
      </c>
      <c r="N143" s="19">
        <f>IF($D143=1,INDEX(TblClusters[CPU min (vCPU)],$B143),"")</f>
        <v>48</v>
      </c>
      <c r="O143" s="19">
        <f>IF($D143=1,INDEX(TblClusters[RAM min (Go)],$B143),"")</f>
        <v>240</v>
      </c>
      <c r="P143" s="19">
        <f>IF($D143&lt;&gt;1,"",IF($G143="ROKS",SUMIFS(TblApplications[Besoin ROKS CPU (vCPU)],TblApplications[Cluster ROKS cible],$F143,TblApplications[Action],"À migrer",TblApplications[Déjà incluse ROKS],"Non",TblApplications[Mois prov (calc)],"&lt;="&amp;$E143),SUMIFS(TblApplications[CPU IKS libérable (vCPU)],TblApplications[Cluster IKS source],$F143,TblApplications[Mois lib (calc)],"&lt;="&amp;$E143)))</f>
        <v>0</v>
      </c>
      <c r="Q143" s="19">
        <f>IF($D143&lt;&gt;1,"",IF($G143="ROKS",SUMIFS(TblApplications[Besoin ROKS RAM (Go)],TblApplications[Cluster ROKS cible],$F143,TblApplications[Action],"À migrer",TblApplications[Déjà incluse ROKS],"Non",TblApplications[Mois prov (calc)],"&lt;="&amp;$E143),SUMIFS(TblApplications[RAM IKS libérable (Go)],TblApplications[Cluster IKS source],$F143,TblApplications[Mois lib (calc)],"&lt;="&amp;$E143)))</f>
        <v>0</v>
      </c>
      <c r="R143" s="19">
        <f t="shared" si="37"/>
        <v>48</v>
      </c>
      <c r="S143" s="19">
        <f t="shared" si="38"/>
        <v>240</v>
      </c>
      <c r="T143" s="19">
        <f t="shared" si="39"/>
        <v>6</v>
      </c>
      <c r="U143" s="19">
        <f t="shared" si="40"/>
        <v>48</v>
      </c>
      <c r="V143" s="19">
        <f t="shared" si="41"/>
        <v>240</v>
      </c>
      <c r="W143" s="73">
        <f t="shared" si="42"/>
        <v>2208</v>
      </c>
      <c r="X143" s="19">
        <f>IF($D143&lt;&gt;1,"",IF($G143="ROKS",$R143,IF($AI143=1,0,MAX($N143,$L143-SUMIFS(TblApplications[CPU IKS libérable (vCPU)],TblApplications[Cluster IKS source],$F143,TblApplications[Action],"À migrer",TblApplications[Mois prov (calc)],"&lt;="&amp;$E143)-SUMIFS(TblApplications[CPU IKS libérable (vCPU)],TblApplications[Cluster IKS source],$F143,TblApplications[Action],"À décommissionner",TblApplications[Mois lib (calc)],"&lt;="&amp;$E143)))))</f>
        <v>48</v>
      </c>
      <c r="Y143" s="19">
        <f>IF($D143&lt;&gt;1,"",IF($G143="ROKS",$S143,IF($AI143=1,0,MAX($O143,$M143-SUMIFS(TblApplications[RAM IKS libérable (Go)],TblApplications[Cluster IKS source],$F143,TblApplications[Action],"À migrer",TblApplications[Mois prov (calc)],"&lt;="&amp;$E143)-SUMIFS(TblApplications[RAM IKS libérable (Go)],TblApplications[Cluster IKS source],$F143,TblApplications[Action],"À décommissionner",TblApplications[Mois lib (calc)],"&lt;="&amp;$E143)))))</f>
        <v>240</v>
      </c>
      <c r="Z143" s="19">
        <f t="shared" si="43"/>
        <v>6</v>
      </c>
      <c r="AA143" s="73">
        <f t="shared" si="44"/>
        <v>2208</v>
      </c>
      <c r="AB143" s="19">
        <f t="shared" si="45"/>
        <v>6</v>
      </c>
      <c r="AC143" s="73">
        <f t="shared" si="46"/>
        <v>2208</v>
      </c>
      <c r="AD143" s="19">
        <f t="shared" si="47"/>
        <v>0</v>
      </c>
      <c r="AE143" s="19">
        <f t="shared" si="48"/>
        <v>0</v>
      </c>
      <c r="AF143" s="19" t="str">
        <f>IF($D143&lt;&gt;1,"",IF(INDEX(TblClusters[Environnement],$B143)="","(vide)",INDEX(TblClusters[Environnement],$B143)))</f>
        <v>PRD</v>
      </c>
      <c r="AG143" s="19">
        <f t="shared" si="49"/>
        <v>72</v>
      </c>
      <c r="AH143" s="19">
        <f t="shared" si="50"/>
        <v>30.666666666666668</v>
      </c>
      <c r="AI143" s="19">
        <f>IF($D143&lt;&gt;1,"",IF(AND($G143="IKS",ISNUMBER(INDEX(TblClusters[Fermeture retenue],$B143))),IF($E143&gt;=INDEX(TblClusters[Fermeture retenue],$B143),1,0),0))</f>
        <v>0</v>
      </c>
    </row>
    <row r="144" spans="1:35" x14ac:dyDescent="0.2">
      <c r="A144" s="19">
        <v>139</v>
      </c>
      <c r="B144" s="19">
        <f t="shared" si="34"/>
        <v>4</v>
      </c>
      <c r="C144" s="19">
        <f t="shared" si="35"/>
        <v>31</v>
      </c>
      <c r="D144" s="19">
        <f>IF($C144&gt;p_horizon,0,IFERROR(IF(AND(INDEX(TblClusters[Cluster],$B144)&lt;&gt;"",ISNUMBER(INDEX(TblClusters[CPU initial (vCPU)],$B144)),ISNUMBER(INDEX(TblClusters[CPU min (vCPU)],$B144)),OR(INDEX(TblClusters[Plateforme],$B144)="IKS",INDEX(TblClusters[Plateforme],$B144)="ROKS")),1,0),0))</f>
        <v>1</v>
      </c>
      <c r="E144" s="72">
        <f t="shared" si="36"/>
        <v>47209</v>
      </c>
      <c r="F144" s="19" t="str">
        <f>IF($D144=1,INDEX(TblClusters[Cluster],$B144),"")</f>
        <v>oc002i000809</v>
      </c>
      <c r="G144" s="19" t="str">
        <f>IF($D144=1,INDEX(TblClusters[Plateforme],$B144),"")</f>
        <v>ROKS</v>
      </c>
      <c r="H144" s="19">
        <f>IF($D144=1,INDEX(TblClusters[vCPU par nœud],$B144),"")</f>
        <v>8</v>
      </c>
      <c r="I144" s="19">
        <f>IF($D144=1,INDEX(TblClusters[RAM par nœud (Go)],$B144),"")</f>
        <v>40</v>
      </c>
      <c r="J144" s="19">
        <f>IF($D144=1,INDEX(TblClusters[Workers min],$B144),"")</f>
        <v>6</v>
      </c>
      <c r="K144" s="73">
        <f>IF($D144=1,INDEX(TblClusters[Tarif par nœud],$B144),"")</f>
        <v>368</v>
      </c>
      <c r="L144" s="19">
        <f>IF($D144=1,INDEX(TblClusters[CPU initial (vCPU)],$B144),"")</f>
        <v>48</v>
      </c>
      <c r="M144" s="19">
        <f>IF($D144=1,INDEX(TblClusters[RAM initiale (Go)],$B144),"")</f>
        <v>240</v>
      </c>
      <c r="N144" s="19">
        <f>IF($D144=1,INDEX(TblClusters[CPU min (vCPU)],$B144),"")</f>
        <v>48</v>
      </c>
      <c r="O144" s="19">
        <f>IF($D144=1,INDEX(TblClusters[RAM min (Go)],$B144),"")</f>
        <v>240</v>
      </c>
      <c r="P144" s="19">
        <f>IF($D144&lt;&gt;1,"",IF($G144="ROKS",SUMIFS(TblApplications[Besoin ROKS CPU (vCPU)],TblApplications[Cluster ROKS cible],$F144,TblApplications[Action],"À migrer",TblApplications[Déjà incluse ROKS],"Non",TblApplications[Mois prov (calc)],"&lt;="&amp;$E144),SUMIFS(TblApplications[CPU IKS libérable (vCPU)],TblApplications[Cluster IKS source],$F144,TblApplications[Mois lib (calc)],"&lt;="&amp;$E144)))</f>
        <v>0</v>
      </c>
      <c r="Q144" s="19">
        <f>IF($D144&lt;&gt;1,"",IF($G144="ROKS",SUMIFS(TblApplications[Besoin ROKS RAM (Go)],TblApplications[Cluster ROKS cible],$F144,TblApplications[Action],"À migrer",TblApplications[Déjà incluse ROKS],"Non",TblApplications[Mois prov (calc)],"&lt;="&amp;$E144),SUMIFS(TblApplications[RAM IKS libérable (Go)],TblApplications[Cluster IKS source],$F144,TblApplications[Mois lib (calc)],"&lt;="&amp;$E144)))</f>
        <v>0</v>
      </c>
      <c r="R144" s="19">
        <f t="shared" si="37"/>
        <v>48</v>
      </c>
      <c r="S144" s="19">
        <f t="shared" si="38"/>
        <v>240</v>
      </c>
      <c r="T144" s="19">
        <f t="shared" si="39"/>
        <v>6</v>
      </c>
      <c r="U144" s="19">
        <f t="shared" si="40"/>
        <v>48</v>
      </c>
      <c r="V144" s="19">
        <f t="shared" si="41"/>
        <v>240</v>
      </c>
      <c r="W144" s="73">
        <f t="shared" si="42"/>
        <v>2208</v>
      </c>
      <c r="X144" s="19">
        <f>IF($D144&lt;&gt;1,"",IF($G144="ROKS",$R144,IF($AI144=1,0,MAX($N144,$L144-SUMIFS(TblApplications[CPU IKS libérable (vCPU)],TblApplications[Cluster IKS source],$F144,TblApplications[Action],"À migrer",TblApplications[Mois prov (calc)],"&lt;="&amp;$E144)-SUMIFS(TblApplications[CPU IKS libérable (vCPU)],TblApplications[Cluster IKS source],$F144,TblApplications[Action],"À décommissionner",TblApplications[Mois lib (calc)],"&lt;="&amp;$E144)))))</f>
        <v>48</v>
      </c>
      <c r="Y144" s="19">
        <f>IF($D144&lt;&gt;1,"",IF($G144="ROKS",$S144,IF($AI144=1,0,MAX($O144,$M144-SUMIFS(TblApplications[RAM IKS libérable (Go)],TblApplications[Cluster IKS source],$F144,TblApplications[Action],"À migrer",TblApplications[Mois prov (calc)],"&lt;="&amp;$E144)-SUMIFS(TblApplications[RAM IKS libérable (Go)],TblApplications[Cluster IKS source],$F144,TblApplications[Action],"À décommissionner",TblApplications[Mois lib (calc)],"&lt;="&amp;$E144)))))</f>
        <v>240</v>
      </c>
      <c r="Z144" s="19">
        <f t="shared" si="43"/>
        <v>6</v>
      </c>
      <c r="AA144" s="73">
        <f t="shared" si="44"/>
        <v>2208</v>
      </c>
      <c r="AB144" s="19">
        <f t="shared" si="45"/>
        <v>6</v>
      </c>
      <c r="AC144" s="73">
        <f t="shared" si="46"/>
        <v>2208</v>
      </c>
      <c r="AD144" s="19">
        <f t="shared" si="47"/>
        <v>0</v>
      </c>
      <c r="AE144" s="19">
        <f t="shared" si="48"/>
        <v>0</v>
      </c>
      <c r="AF144" s="19" t="str">
        <f>IF($D144&lt;&gt;1,"",IF(INDEX(TblClusters[Environnement],$B144)="","(vide)",INDEX(TblClusters[Environnement],$B144)))</f>
        <v>PRD</v>
      </c>
      <c r="AG144" s="19">
        <f t="shared" si="49"/>
        <v>72</v>
      </c>
      <c r="AH144" s="19">
        <f t="shared" si="50"/>
        <v>30.666666666666668</v>
      </c>
      <c r="AI144" s="19">
        <f>IF($D144&lt;&gt;1,"",IF(AND($G144="IKS",ISNUMBER(INDEX(TblClusters[Fermeture retenue],$B144))),IF($E144&gt;=INDEX(TblClusters[Fermeture retenue],$B144),1,0),0))</f>
        <v>0</v>
      </c>
    </row>
    <row r="145" spans="1:35" x14ac:dyDescent="0.2">
      <c r="A145" s="19">
        <v>140</v>
      </c>
      <c r="B145" s="19">
        <f t="shared" si="34"/>
        <v>4</v>
      </c>
      <c r="C145" s="19">
        <f t="shared" si="35"/>
        <v>32</v>
      </c>
      <c r="D145" s="19">
        <f>IF($C145&gt;p_horizon,0,IFERROR(IF(AND(INDEX(TblClusters[Cluster],$B145)&lt;&gt;"",ISNUMBER(INDEX(TblClusters[CPU initial (vCPU)],$B145)),ISNUMBER(INDEX(TblClusters[CPU min (vCPU)],$B145)),OR(INDEX(TblClusters[Plateforme],$B145)="IKS",INDEX(TblClusters[Plateforme],$B145)="ROKS")),1,0),0))</f>
        <v>1</v>
      </c>
      <c r="E145" s="72">
        <f t="shared" si="36"/>
        <v>47239</v>
      </c>
      <c r="F145" s="19" t="str">
        <f>IF($D145=1,INDEX(TblClusters[Cluster],$B145),"")</f>
        <v>oc002i000809</v>
      </c>
      <c r="G145" s="19" t="str">
        <f>IF($D145=1,INDEX(TblClusters[Plateforme],$B145),"")</f>
        <v>ROKS</v>
      </c>
      <c r="H145" s="19">
        <f>IF($D145=1,INDEX(TblClusters[vCPU par nœud],$B145),"")</f>
        <v>8</v>
      </c>
      <c r="I145" s="19">
        <f>IF($D145=1,INDEX(TblClusters[RAM par nœud (Go)],$B145),"")</f>
        <v>40</v>
      </c>
      <c r="J145" s="19">
        <f>IF($D145=1,INDEX(TblClusters[Workers min],$B145),"")</f>
        <v>6</v>
      </c>
      <c r="K145" s="73">
        <f>IF($D145=1,INDEX(TblClusters[Tarif par nœud],$B145),"")</f>
        <v>368</v>
      </c>
      <c r="L145" s="19">
        <f>IF($D145=1,INDEX(TblClusters[CPU initial (vCPU)],$B145),"")</f>
        <v>48</v>
      </c>
      <c r="M145" s="19">
        <f>IF($D145=1,INDEX(TblClusters[RAM initiale (Go)],$B145),"")</f>
        <v>240</v>
      </c>
      <c r="N145" s="19">
        <f>IF($D145=1,INDEX(TblClusters[CPU min (vCPU)],$B145),"")</f>
        <v>48</v>
      </c>
      <c r="O145" s="19">
        <f>IF($D145=1,INDEX(TblClusters[RAM min (Go)],$B145),"")</f>
        <v>240</v>
      </c>
      <c r="P145" s="19">
        <f>IF($D145&lt;&gt;1,"",IF($G145="ROKS",SUMIFS(TblApplications[Besoin ROKS CPU (vCPU)],TblApplications[Cluster ROKS cible],$F145,TblApplications[Action],"À migrer",TblApplications[Déjà incluse ROKS],"Non",TblApplications[Mois prov (calc)],"&lt;="&amp;$E145),SUMIFS(TblApplications[CPU IKS libérable (vCPU)],TblApplications[Cluster IKS source],$F145,TblApplications[Mois lib (calc)],"&lt;="&amp;$E145)))</f>
        <v>0</v>
      </c>
      <c r="Q145" s="19">
        <f>IF($D145&lt;&gt;1,"",IF($G145="ROKS",SUMIFS(TblApplications[Besoin ROKS RAM (Go)],TblApplications[Cluster ROKS cible],$F145,TblApplications[Action],"À migrer",TblApplications[Déjà incluse ROKS],"Non",TblApplications[Mois prov (calc)],"&lt;="&amp;$E145),SUMIFS(TblApplications[RAM IKS libérable (Go)],TblApplications[Cluster IKS source],$F145,TblApplications[Mois lib (calc)],"&lt;="&amp;$E145)))</f>
        <v>0</v>
      </c>
      <c r="R145" s="19">
        <f t="shared" si="37"/>
        <v>48</v>
      </c>
      <c r="S145" s="19">
        <f t="shared" si="38"/>
        <v>240</v>
      </c>
      <c r="T145" s="19">
        <f t="shared" si="39"/>
        <v>6</v>
      </c>
      <c r="U145" s="19">
        <f t="shared" si="40"/>
        <v>48</v>
      </c>
      <c r="V145" s="19">
        <f t="shared" si="41"/>
        <v>240</v>
      </c>
      <c r="W145" s="73">
        <f t="shared" si="42"/>
        <v>2208</v>
      </c>
      <c r="X145" s="19">
        <f>IF($D145&lt;&gt;1,"",IF($G145="ROKS",$R145,IF($AI145=1,0,MAX($N145,$L145-SUMIFS(TblApplications[CPU IKS libérable (vCPU)],TblApplications[Cluster IKS source],$F145,TblApplications[Action],"À migrer",TblApplications[Mois prov (calc)],"&lt;="&amp;$E145)-SUMIFS(TblApplications[CPU IKS libérable (vCPU)],TblApplications[Cluster IKS source],$F145,TblApplications[Action],"À décommissionner",TblApplications[Mois lib (calc)],"&lt;="&amp;$E145)))))</f>
        <v>48</v>
      </c>
      <c r="Y145" s="19">
        <f>IF($D145&lt;&gt;1,"",IF($G145="ROKS",$S145,IF($AI145=1,0,MAX($O145,$M145-SUMIFS(TblApplications[RAM IKS libérable (Go)],TblApplications[Cluster IKS source],$F145,TblApplications[Action],"À migrer",TblApplications[Mois prov (calc)],"&lt;="&amp;$E145)-SUMIFS(TblApplications[RAM IKS libérable (Go)],TblApplications[Cluster IKS source],$F145,TblApplications[Action],"À décommissionner",TblApplications[Mois lib (calc)],"&lt;="&amp;$E145)))))</f>
        <v>240</v>
      </c>
      <c r="Z145" s="19">
        <f t="shared" si="43"/>
        <v>6</v>
      </c>
      <c r="AA145" s="73">
        <f t="shared" si="44"/>
        <v>2208</v>
      </c>
      <c r="AB145" s="19">
        <f t="shared" si="45"/>
        <v>6</v>
      </c>
      <c r="AC145" s="73">
        <f t="shared" si="46"/>
        <v>2208</v>
      </c>
      <c r="AD145" s="19">
        <f t="shared" si="47"/>
        <v>0</v>
      </c>
      <c r="AE145" s="19">
        <f t="shared" si="48"/>
        <v>0</v>
      </c>
      <c r="AF145" s="19" t="str">
        <f>IF($D145&lt;&gt;1,"",IF(INDEX(TblClusters[Environnement],$B145)="","(vide)",INDEX(TblClusters[Environnement],$B145)))</f>
        <v>PRD</v>
      </c>
      <c r="AG145" s="19">
        <f t="shared" si="49"/>
        <v>72</v>
      </c>
      <c r="AH145" s="19">
        <f t="shared" si="50"/>
        <v>30.666666666666668</v>
      </c>
      <c r="AI145" s="19">
        <f>IF($D145&lt;&gt;1,"",IF(AND($G145="IKS",ISNUMBER(INDEX(TblClusters[Fermeture retenue],$B145))),IF($E145&gt;=INDEX(TblClusters[Fermeture retenue],$B145),1,0),0))</f>
        <v>0</v>
      </c>
    </row>
    <row r="146" spans="1:35" x14ac:dyDescent="0.2">
      <c r="A146" s="19">
        <v>141</v>
      </c>
      <c r="B146" s="19">
        <f t="shared" si="34"/>
        <v>4</v>
      </c>
      <c r="C146" s="19">
        <f t="shared" si="35"/>
        <v>33</v>
      </c>
      <c r="D146" s="19">
        <f>IF($C146&gt;p_horizon,0,IFERROR(IF(AND(INDEX(TblClusters[Cluster],$B146)&lt;&gt;"",ISNUMBER(INDEX(TblClusters[CPU initial (vCPU)],$B146)),ISNUMBER(INDEX(TblClusters[CPU min (vCPU)],$B146)),OR(INDEX(TblClusters[Plateforme],$B146)="IKS",INDEX(TblClusters[Plateforme],$B146)="ROKS")),1,0),0))</f>
        <v>1</v>
      </c>
      <c r="E146" s="72">
        <f t="shared" si="36"/>
        <v>47270</v>
      </c>
      <c r="F146" s="19" t="str">
        <f>IF($D146=1,INDEX(TblClusters[Cluster],$B146),"")</f>
        <v>oc002i000809</v>
      </c>
      <c r="G146" s="19" t="str">
        <f>IF($D146=1,INDEX(TblClusters[Plateforme],$B146),"")</f>
        <v>ROKS</v>
      </c>
      <c r="H146" s="19">
        <f>IF($D146=1,INDEX(TblClusters[vCPU par nœud],$B146),"")</f>
        <v>8</v>
      </c>
      <c r="I146" s="19">
        <f>IF($D146=1,INDEX(TblClusters[RAM par nœud (Go)],$B146),"")</f>
        <v>40</v>
      </c>
      <c r="J146" s="19">
        <f>IF($D146=1,INDEX(TblClusters[Workers min],$B146),"")</f>
        <v>6</v>
      </c>
      <c r="K146" s="73">
        <f>IF($D146=1,INDEX(TblClusters[Tarif par nœud],$B146),"")</f>
        <v>368</v>
      </c>
      <c r="L146" s="19">
        <f>IF($D146=1,INDEX(TblClusters[CPU initial (vCPU)],$B146),"")</f>
        <v>48</v>
      </c>
      <c r="M146" s="19">
        <f>IF($D146=1,INDEX(TblClusters[RAM initiale (Go)],$B146),"")</f>
        <v>240</v>
      </c>
      <c r="N146" s="19">
        <f>IF($D146=1,INDEX(TblClusters[CPU min (vCPU)],$B146),"")</f>
        <v>48</v>
      </c>
      <c r="O146" s="19">
        <f>IF($D146=1,INDEX(TblClusters[RAM min (Go)],$B146),"")</f>
        <v>240</v>
      </c>
      <c r="P146" s="19">
        <f>IF($D146&lt;&gt;1,"",IF($G146="ROKS",SUMIFS(TblApplications[Besoin ROKS CPU (vCPU)],TblApplications[Cluster ROKS cible],$F146,TblApplications[Action],"À migrer",TblApplications[Déjà incluse ROKS],"Non",TblApplications[Mois prov (calc)],"&lt;="&amp;$E146),SUMIFS(TblApplications[CPU IKS libérable (vCPU)],TblApplications[Cluster IKS source],$F146,TblApplications[Mois lib (calc)],"&lt;="&amp;$E146)))</f>
        <v>0</v>
      </c>
      <c r="Q146" s="19">
        <f>IF($D146&lt;&gt;1,"",IF($G146="ROKS",SUMIFS(TblApplications[Besoin ROKS RAM (Go)],TblApplications[Cluster ROKS cible],$F146,TblApplications[Action],"À migrer",TblApplications[Déjà incluse ROKS],"Non",TblApplications[Mois prov (calc)],"&lt;="&amp;$E146),SUMIFS(TblApplications[RAM IKS libérable (Go)],TblApplications[Cluster IKS source],$F146,TblApplications[Mois lib (calc)],"&lt;="&amp;$E146)))</f>
        <v>0</v>
      </c>
      <c r="R146" s="19">
        <f t="shared" si="37"/>
        <v>48</v>
      </c>
      <c r="S146" s="19">
        <f t="shared" si="38"/>
        <v>240</v>
      </c>
      <c r="T146" s="19">
        <f t="shared" si="39"/>
        <v>6</v>
      </c>
      <c r="U146" s="19">
        <f t="shared" si="40"/>
        <v>48</v>
      </c>
      <c r="V146" s="19">
        <f t="shared" si="41"/>
        <v>240</v>
      </c>
      <c r="W146" s="73">
        <f t="shared" si="42"/>
        <v>2208</v>
      </c>
      <c r="X146" s="19">
        <f>IF($D146&lt;&gt;1,"",IF($G146="ROKS",$R146,IF($AI146=1,0,MAX($N146,$L146-SUMIFS(TblApplications[CPU IKS libérable (vCPU)],TblApplications[Cluster IKS source],$F146,TblApplications[Action],"À migrer",TblApplications[Mois prov (calc)],"&lt;="&amp;$E146)-SUMIFS(TblApplications[CPU IKS libérable (vCPU)],TblApplications[Cluster IKS source],$F146,TblApplications[Action],"À décommissionner",TblApplications[Mois lib (calc)],"&lt;="&amp;$E146)))))</f>
        <v>48</v>
      </c>
      <c r="Y146" s="19">
        <f>IF($D146&lt;&gt;1,"",IF($G146="ROKS",$S146,IF($AI146=1,0,MAX($O146,$M146-SUMIFS(TblApplications[RAM IKS libérable (Go)],TblApplications[Cluster IKS source],$F146,TblApplications[Action],"À migrer",TblApplications[Mois prov (calc)],"&lt;="&amp;$E146)-SUMIFS(TblApplications[RAM IKS libérable (Go)],TblApplications[Cluster IKS source],$F146,TblApplications[Action],"À décommissionner",TblApplications[Mois lib (calc)],"&lt;="&amp;$E146)))))</f>
        <v>240</v>
      </c>
      <c r="Z146" s="19">
        <f t="shared" si="43"/>
        <v>6</v>
      </c>
      <c r="AA146" s="73">
        <f t="shared" si="44"/>
        <v>2208</v>
      </c>
      <c r="AB146" s="19">
        <f t="shared" si="45"/>
        <v>6</v>
      </c>
      <c r="AC146" s="73">
        <f t="shared" si="46"/>
        <v>2208</v>
      </c>
      <c r="AD146" s="19">
        <f t="shared" si="47"/>
        <v>0</v>
      </c>
      <c r="AE146" s="19">
        <f t="shared" si="48"/>
        <v>0</v>
      </c>
      <c r="AF146" s="19" t="str">
        <f>IF($D146&lt;&gt;1,"",IF(INDEX(TblClusters[Environnement],$B146)="","(vide)",INDEX(TblClusters[Environnement],$B146)))</f>
        <v>PRD</v>
      </c>
      <c r="AG146" s="19">
        <f t="shared" si="49"/>
        <v>72</v>
      </c>
      <c r="AH146" s="19">
        <f t="shared" si="50"/>
        <v>30.666666666666668</v>
      </c>
      <c r="AI146" s="19">
        <f>IF($D146&lt;&gt;1,"",IF(AND($G146="IKS",ISNUMBER(INDEX(TblClusters[Fermeture retenue],$B146))),IF($E146&gt;=INDEX(TblClusters[Fermeture retenue],$B146),1,0),0))</f>
        <v>0</v>
      </c>
    </row>
    <row r="147" spans="1:35" x14ac:dyDescent="0.2">
      <c r="A147" s="19">
        <v>142</v>
      </c>
      <c r="B147" s="19">
        <f t="shared" si="34"/>
        <v>4</v>
      </c>
      <c r="C147" s="19">
        <f t="shared" si="35"/>
        <v>34</v>
      </c>
      <c r="D147" s="19">
        <f>IF($C147&gt;p_horizon,0,IFERROR(IF(AND(INDEX(TblClusters[Cluster],$B147)&lt;&gt;"",ISNUMBER(INDEX(TblClusters[CPU initial (vCPU)],$B147)),ISNUMBER(INDEX(TblClusters[CPU min (vCPU)],$B147)),OR(INDEX(TblClusters[Plateforme],$B147)="IKS",INDEX(TblClusters[Plateforme],$B147)="ROKS")),1,0),0))</f>
        <v>1</v>
      </c>
      <c r="E147" s="72">
        <f t="shared" si="36"/>
        <v>47300</v>
      </c>
      <c r="F147" s="19" t="str">
        <f>IF($D147=1,INDEX(TblClusters[Cluster],$B147),"")</f>
        <v>oc002i000809</v>
      </c>
      <c r="G147" s="19" t="str">
        <f>IF($D147=1,INDEX(TblClusters[Plateforme],$B147),"")</f>
        <v>ROKS</v>
      </c>
      <c r="H147" s="19">
        <f>IF($D147=1,INDEX(TblClusters[vCPU par nœud],$B147),"")</f>
        <v>8</v>
      </c>
      <c r="I147" s="19">
        <f>IF($D147=1,INDEX(TblClusters[RAM par nœud (Go)],$B147),"")</f>
        <v>40</v>
      </c>
      <c r="J147" s="19">
        <f>IF($D147=1,INDEX(TblClusters[Workers min],$B147),"")</f>
        <v>6</v>
      </c>
      <c r="K147" s="73">
        <f>IF($D147=1,INDEX(TblClusters[Tarif par nœud],$B147),"")</f>
        <v>368</v>
      </c>
      <c r="L147" s="19">
        <f>IF($D147=1,INDEX(TblClusters[CPU initial (vCPU)],$B147),"")</f>
        <v>48</v>
      </c>
      <c r="M147" s="19">
        <f>IF($D147=1,INDEX(TblClusters[RAM initiale (Go)],$B147),"")</f>
        <v>240</v>
      </c>
      <c r="N147" s="19">
        <f>IF($D147=1,INDEX(TblClusters[CPU min (vCPU)],$B147),"")</f>
        <v>48</v>
      </c>
      <c r="O147" s="19">
        <f>IF($D147=1,INDEX(TblClusters[RAM min (Go)],$B147),"")</f>
        <v>240</v>
      </c>
      <c r="P147" s="19">
        <f>IF($D147&lt;&gt;1,"",IF($G147="ROKS",SUMIFS(TblApplications[Besoin ROKS CPU (vCPU)],TblApplications[Cluster ROKS cible],$F147,TblApplications[Action],"À migrer",TblApplications[Déjà incluse ROKS],"Non",TblApplications[Mois prov (calc)],"&lt;="&amp;$E147),SUMIFS(TblApplications[CPU IKS libérable (vCPU)],TblApplications[Cluster IKS source],$F147,TblApplications[Mois lib (calc)],"&lt;="&amp;$E147)))</f>
        <v>0</v>
      </c>
      <c r="Q147" s="19">
        <f>IF($D147&lt;&gt;1,"",IF($G147="ROKS",SUMIFS(TblApplications[Besoin ROKS RAM (Go)],TblApplications[Cluster ROKS cible],$F147,TblApplications[Action],"À migrer",TblApplications[Déjà incluse ROKS],"Non",TblApplications[Mois prov (calc)],"&lt;="&amp;$E147),SUMIFS(TblApplications[RAM IKS libérable (Go)],TblApplications[Cluster IKS source],$F147,TblApplications[Mois lib (calc)],"&lt;="&amp;$E147)))</f>
        <v>0</v>
      </c>
      <c r="R147" s="19">
        <f t="shared" si="37"/>
        <v>48</v>
      </c>
      <c r="S147" s="19">
        <f t="shared" si="38"/>
        <v>240</v>
      </c>
      <c r="T147" s="19">
        <f t="shared" si="39"/>
        <v>6</v>
      </c>
      <c r="U147" s="19">
        <f t="shared" si="40"/>
        <v>48</v>
      </c>
      <c r="V147" s="19">
        <f t="shared" si="41"/>
        <v>240</v>
      </c>
      <c r="W147" s="73">
        <f t="shared" si="42"/>
        <v>2208</v>
      </c>
      <c r="X147" s="19">
        <f>IF($D147&lt;&gt;1,"",IF($G147="ROKS",$R147,IF($AI147=1,0,MAX($N147,$L147-SUMIFS(TblApplications[CPU IKS libérable (vCPU)],TblApplications[Cluster IKS source],$F147,TblApplications[Action],"À migrer",TblApplications[Mois prov (calc)],"&lt;="&amp;$E147)-SUMIFS(TblApplications[CPU IKS libérable (vCPU)],TblApplications[Cluster IKS source],$F147,TblApplications[Action],"À décommissionner",TblApplications[Mois lib (calc)],"&lt;="&amp;$E147)))))</f>
        <v>48</v>
      </c>
      <c r="Y147" s="19">
        <f>IF($D147&lt;&gt;1,"",IF($G147="ROKS",$S147,IF($AI147=1,0,MAX($O147,$M147-SUMIFS(TblApplications[RAM IKS libérable (Go)],TblApplications[Cluster IKS source],$F147,TblApplications[Action],"À migrer",TblApplications[Mois prov (calc)],"&lt;="&amp;$E147)-SUMIFS(TblApplications[RAM IKS libérable (Go)],TblApplications[Cluster IKS source],$F147,TblApplications[Action],"À décommissionner",TblApplications[Mois lib (calc)],"&lt;="&amp;$E147)))))</f>
        <v>240</v>
      </c>
      <c r="Z147" s="19">
        <f t="shared" si="43"/>
        <v>6</v>
      </c>
      <c r="AA147" s="73">
        <f t="shared" si="44"/>
        <v>2208</v>
      </c>
      <c r="AB147" s="19">
        <f t="shared" si="45"/>
        <v>6</v>
      </c>
      <c r="AC147" s="73">
        <f t="shared" si="46"/>
        <v>2208</v>
      </c>
      <c r="AD147" s="19">
        <f t="shared" si="47"/>
        <v>0</v>
      </c>
      <c r="AE147" s="19">
        <f t="shared" si="48"/>
        <v>0</v>
      </c>
      <c r="AF147" s="19" t="str">
        <f>IF($D147&lt;&gt;1,"",IF(INDEX(TblClusters[Environnement],$B147)="","(vide)",INDEX(TblClusters[Environnement],$B147)))</f>
        <v>PRD</v>
      </c>
      <c r="AG147" s="19">
        <f t="shared" si="49"/>
        <v>72</v>
      </c>
      <c r="AH147" s="19">
        <f t="shared" si="50"/>
        <v>30.666666666666668</v>
      </c>
      <c r="AI147" s="19">
        <f>IF($D147&lt;&gt;1,"",IF(AND($G147="IKS",ISNUMBER(INDEX(TblClusters[Fermeture retenue],$B147))),IF($E147&gt;=INDEX(TblClusters[Fermeture retenue],$B147),1,0),0))</f>
        <v>0</v>
      </c>
    </row>
    <row r="148" spans="1:35" x14ac:dyDescent="0.2">
      <c r="A148" s="19">
        <v>143</v>
      </c>
      <c r="B148" s="19">
        <f t="shared" si="34"/>
        <v>4</v>
      </c>
      <c r="C148" s="19">
        <f t="shared" si="35"/>
        <v>35</v>
      </c>
      <c r="D148" s="19">
        <f>IF($C148&gt;p_horizon,0,IFERROR(IF(AND(INDEX(TblClusters[Cluster],$B148)&lt;&gt;"",ISNUMBER(INDEX(TblClusters[CPU initial (vCPU)],$B148)),ISNUMBER(INDEX(TblClusters[CPU min (vCPU)],$B148)),OR(INDEX(TblClusters[Plateforme],$B148)="IKS",INDEX(TblClusters[Plateforme],$B148)="ROKS")),1,0),0))</f>
        <v>1</v>
      </c>
      <c r="E148" s="72">
        <f t="shared" si="36"/>
        <v>47331</v>
      </c>
      <c r="F148" s="19" t="str">
        <f>IF($D148=1,INDEX(TblClusters[Cluster],$B148),"")</f>
        <v>oc002i000809</v>
      </c>
      <c r="G148" s="19" t="str">
        <f>IF($D148=1,INDEX(TblClusters[Plateforme],$B148),"")</f>
        <v>ROKS</v>
      </c>
      <c r="H148" s="19">
        <f>IF($D148=1,INDEX(TblClusters[vCPU par nœud],$B148),"")</f>
        <v>8</v>
      </c>
      <c r="I148" s="19">
        <f>IF($D148=1,INDEX(TblClusters[RAM par nœud (Go)],$B148),"")</f>
        <v>40</v>
      </c>
      <c r="J148" s="19">
        <f>IF($D148=1,INDEX(TblClusters[Workers min],$B148),"")</f>
        <v>6</v>
      </c>
      <c r="K148" s="73">
        <f>IF($D148=1,INDEX(TblClusters[Tarif par nœud],$B148),"")</f>
        <v>368</v>
      </c>
      <c r="L148" s="19">
        <f>IF($D148=1,INDEX(TblClusters[CPU initial (vCPU)],$B148),"")</f>
        <v>48</v>
      </c>
      <c r="M148" s="19">
        <f>IF($D148=1,INDEX(TblClusters[RAM initiale (Go)],$B148),"")</f>
        <v>240</v>
      </c>
      <c r="N148" s="19">
        <f>IF($D148=1,INDEX(TblClusters[CPU min (vCPU)],$B148),"")</f>
        <v>48</v>
      </c>
      <c r="O148" s="19">
        <f>IF($D148=1,INDEX(TblClusters[RAM min (Go)],$B148),"")</f>
        <v>240</v>
      </c>
      <c r="P148" s="19">
        <f>IF($D148&lt;&gt;1,"",IF($G148="ROKS",SUMIFS(TblApplications[Besoin ROKS CPU (vCPU)],TblApplications[Cluster ROKS cible],$F148,TblApplications[Action],"À migrer",TblApplications[Déjà incluse ROKS],"Non",TblApplications[Mois prov (calc)],"&lt;="&amp;$E148),SUMIFS(TblApplications[CPU IKS libérable (vCPU)],TblApplications[Cluster IKS source],$F148,TblApplications[Mois lib (calc)],"&lt;="&amp;$E148)))</f>
        <v>0</v>
      </c>
      <c r="Q148" s="19">
        <f>IF($D148&lt;&gt;1,"",IF($G148="ROKS",SUMIFS(TblApplications[Besoin ROKS RAM (Go)],TblApplications[Cluster ROKS cible],$F148,TblApplications[Action],"À migrer",TblApplications[Déjà incluse ROKS],"Non",TblApplications[Mois prov (calc)],"&lt;="&amp;$E148),SUMIFS(TblApplications[RAM IKS libérable (Go)],TblApplications[Cluster IKS source],$F148,TblApplications[Mois lib (calc)],"&lt;="&amp;$E148)))</f>
        <v>0</v>
      </c>
      <c r="R148" s="19">
        <f t="shared" si="37"/>
        <v>48</v>
      </c>
      <c r="S148" s="19">
        <f t="shared" si="38"/>
        <v>240</v>
      </c>
      <c r="T148" s="19">
        <f t="shared" si="39"/>
        <v>6</v>
      </c>
      <c r="U148" s="19">
        <f t="shared" si="40"/>
        <v>48</v>
      </c>
      <c r="V148" s="19">
        <f t="shared" si="41"/>
        <v>240</v>
      </c>
      <c r="W148" s="73">
        <f t="shared" si="42"/>
        <v>2208</v>
      </c>
      <c r="X148" s="19">
        <f>IF($D148&lt;&gt;1,"",IF($G148="ROKS",$R148,IF($AI148=1,0,MAX($N148,$L148-SUMIFS(TblApplications[CPU IKS libérable (vCPU)],TblApplications[Cluster IKS source],$F148,TblApplications[Action],"À migrer",TblApplications[Mois prov (calc)],"&lt;="&amp;$E148)-SUMIFS(TblApplications[CPU IKS libérable (vCPU)],TblApplications[Cluster IKS source],$F148,TblApplications[Action],"À décommissionner",TblApplications[Mois lib (calc)],"&lt;="&amp;$E148)))))</f>
        <v>48</v>
      </c>
      <c r="Y148" s="19">
        <f>IF($D148&lt;&gt;1,"",IF($G148="ROKS",$S148,IF($AI148=1,0,MAX($O148,$M148-SUMIFS(TblApplications[RAM IKS libérable (Go)],TblApplications[Cluster IKS source],$F148,TblApplications[Action],"À migrer",TblApplications[Mois prov (calc)],"&lt;="&amp;$E148)-SUMIFS(TblApplications[RAM IKS libérable (Go)],TblApplications[Cluster IKS source],$F148,TblApplications[Action],"À décommissionner",TblApplications[Mois lib (calc)],"&lt;="&amp;$E148)))))</f>
        <v>240</v>
      </c>
      <c r="Z148" s="19">
        <f t="shared" si="43"/>
        <v>6</v>
      </c>
      <c r="AA148" s="73">
        <f t="shared" si="44"/>
        <v>2208</v>
      </c>
      <c r="AB148" s="19">
        <f t="shared" si="45"/>
        <v>6</v>
      </c>
      <c r="AC148" s="73">
        <f t="shared" si="46"/>
        <v>2208</v>
      </c>
      <c r="AD148" s="19">
        <f t="shared" si="47"/>
        <v>0</v>
      </c>
      <c r="AE148" s="19">
        <f t="shared" si="48"/>
        <v>0</v>
      </c>
      <c r="AF148" s="19" t="str">
        <f>IF($D148&lt;&gt;1,"",IF(INDEX(TblClusters[Environnement],$B148)="","(vide)",INDEX(TblClusters[Environnement],$B148)))</f>
        <v>PRD</v>
      </c>
      <c r="AG148" s="19">
        <f t="shared" si="49"/>
        <v>72</v>
      </c>
      <c r="AH148" s="19">
        <f t="shared" si="50"/>
        <v>30.666666666666668</v>
      </c>
      <c r="AI148" s="19">
        <f>IF($D148&lt;&gt;1,"",IF(AND($G148="IKS",ISNUMBER(INDEX(TblClusters[Fermeture retenue],$B148))),IF($E148&gt;=INDEX(TblClusters[Fermeture retenue],$B148),1,0),0))</f>
        <v>0</v>
      </c>
    </row>
    <row r="149" spans="1:35" x14ac:dyDescent="0.2">
      <c r="A149" s="19">
        <v>144</v>
      </c>
      <c r="B149" s="19">
        <f t="shared" si="34"/>
        <v>4</v>
      </c>
      <c r="C149" s="19">
        <f t="shared" si="35"/>
        <v>36</v>
      </c>
      <c r="D149" s="19">
        <f>IF($C149&gt;p_horizon,0,IFERROR(IF(AND(INDEX(TblClusters[Cluster],$B149)&lt;&gt;"",ISNUMBER(INDEX(TblClusters[CPU initial (vCPU)],$B149)),ISNUMBER(INDEX(TblClusters[CPU min (vCPU)],$B149)),OR(INDEX(TblClusters[Plateforme],$B149)="IKS",INDEX(TblClusters[Plateforme],$B149)="ROKS")),1,0),0))</f>
        <v>1</v>
      </c>
      <c r="E149" s="72">
        <f t="shared" si="36"/>
        <v>47362</v>
      </c>
      <c r="F149" s="19" t="str">
        <f>IF($D149=1,INDEX(TblClusters[Cluster],$B149),"")</f>
        <v>oc002i000809</v>
      </c>
      <c r="G149" s="19" t="str">
        <f>IF($D149=1,INDEX(TblClusters[Plateforme],$B149),"")</f>
        <v>ROKS</v>
      </c>
      <c r="H149" s="19">
        <f>IF($D149=1,INDEX(TblClusters[vCPU par nœud],$B149),"")</f>
        <v>8</v>
      </c>
      <c r="I149" s="19">
        <f>IF($D149=1,INDEX(TblClusters[RAM par nœud (Go)],$B149),"")</f>
        <v>40</v>
      </c>
      <c r="J149" s="19">
        <f>IF($D149=1,INDEX(TblClusters[Workers min],$B149),"")</f>
        <v>6</v>
      </c>
      <c r="K149" s="73">
        <f>IF($D149=1,INDEX(TblClusters[Tarif par nœud],$B149),"")</f>
        <v>368</v>
      </c>
      <c r="L149" s="19">
        <f>IF($D149=1,INDEX(TblClusters[CPU initial (vCPU)],$B149),"")</f>
        <v>48</v>
      </c>
      <c r="M149" s="19">
        <f>IF($D149=1,INDEX(TblClusters[RAM initiale (Go)],$B149),"")</f>
        <v>240</v>
      </c>
      <c r="N149" s="19">
        <f>IF($D149=1,INDEX(TblClusters[CPU min (vCPU)],$B149),"")</f>
        <v>48</v>
      </c>
      <c r="O149" s="19">
        <f>IF($D149=1,INDEX(TblClusters[RAM min (Go)],$B149),"")</f>
        <v>240</v>
      </c>
      <c r="P149" s="19">
        <f>IF($D149&lt;&gt;1,"",IF($G149="ROKS",SUMIFS(TblApplications[Besoin ROKS CPU (vCPU)],TblApplications[Cluster ROKS cible],$F149,TblApplications[Action],"À migrer",TblApplications[Déjà incluse ROKS],"Non",TblApplications[Mois prov (calc)],"&lt;="&amp;$E149),SUMIFS(TblApplications[CPU IKS libérable (vCPU)],TblApplications[Cluster IKS source],$F149,TblApplications[Mois lib (calc)],"&lt;="&amp;$E149)))</f>
        <v>0</v>
      </c>
      <c r="Q149" s="19">
        <f>IF($D149&lt;&gt;1,"",IF($G149="ROKS",SUMIFS(TblApplications[Besoin ROKS RAM (Go)],TblApplications[Cluster ROKS cible],$F149,TblApplications[Action],"À migrer",TblApplications[Déjà incluse ROKS],"Non",TblApplications[Mois prov (calc)],"&lt;="&amp;$E149),SUMIFS(TblApplications[RAM IKS libérable (Go)],TblApplications[Cluster IKS source],$F149,TblApplications[Mois lib (calc)],"&lt;="&amp;$E149)))</f>
        <v>0</v>
      </c>
      <c r="R149" s="19">
        <f t="shared" si="37"/>
        <v>48</v>
      </c>
      <c r="S149" s="19">
        <f t="shared" si="38"/>
        <v>240</v>
      </c>
      <c r="T149" s="19">
        <f t="shared" si="39"/>
        <v>6</v>
      </c>
      <c r="U149" s="19">
        <f t="shared" si="40"/>
        <v>48</v>
      </c>
      <c r="V149" s="19">
        <f t="shared" si="41"/>
        <v>240</v>
      </c>
      <c r="W149" s="73">
        <f t="shared" si="42"/>
        <v>2208</v>
      </c>
      <c r="X149" s="19">
        <f>IF($D149&lt;&gt;1,"",IF($G149="ROKS",$R149,IF($AI149=1,0,MAX($N149,$L149-SUMIFS(TblApplications[CPU IKS libérable (vCPU)],TblApplications[Cluster IKS source],$F149,TblApplications[Action],"À migrer",TblApplications[Mois prov (calc)],"&lt;="&amp;$E149)-SUMIFS(TblApplications[CPU IKS libérable (vCPU)],TblApplications[Cluster IKS source],$F149,TblApplications[Action],"À décommissionner",TblApplications[Mois lib (calc)],"&lt;="&amp;$E149)))))</f>
        <v>48</v>
      </c>
      <c r="Y149" s="19">
        <f>IF($D149&lt;&gt;1,"",IF($G149="ROKS",$S149,IF($AI149=1,0,MAX($O149,$M149-SUMIFS(TblApplications[RAM IKS libérable (Go)],TblApplications[Cluster IKS source],$F149,TblApplications[Action],"À migrer",TblApplications[Mois prov (calc)],"&lt;="&amp;$E149)-SUMIFS(TblApplications[RAM IKS libérable (Go)],TblApplications[Cluster IKS source],$F149,TblApplications[Action],"À décommissionner",TblApplications[Mois lib (calc)],"&lt;="&amp;$E149)))))</f>
        <v>240</v>
      </c>
      <c r="Z149" s="19">
        <f t="shared" si="43"/>
        <v>6</v>
      </c>
      <c r="AA149" s="73">
        <f t="shared" si="44"/>
        <v>2208</v>
      </c>
      <c r="AB149" s="19">
        <f t="shared" si="45"/>
        <v>6</v>
      </c>
      <c r="AC149" s="73">
        <f t="shared" si="46"/>
        <v>2208</v>
      </c>
      <c r="AD149" s="19">
        <f t="shared" si="47"/>
        <v>0</v>
      </c>
      <c r="AE149" s="19">
        <f t="shared" si="48"/>
        <v>0</v>
      </c>
      <c r="AF149" s="19" t="str">
        <f>IF($D149&lt;&gt;1,"",IF(INDEX(TblClusters[Environnement],$B149)="","(vide)",INDEX(TblClusters[Environnement],$B149)))</f>
        <v>PRD</v>
      </c>
      <c r="AG149" s="19">
        <f t="shared" si="49"/>
        <v>72</v>
      </c>
      <c r="AH149" s="19">
        <f t="shared" si="50"/>
        <v>30.666666666666668</v>
      </c>
      <c r="AI149" s="19">
        <f>IF($D149&lt;&gt;1,"",IF(AND($G149="IKS",ISNUMBER(INDEX(TblClusters[Fermeture retenue],$B149))),IF($E149&gt;=INDEX(TblClusters[Fermeture retenue],$B149),1,0),0))</f>
        <v>0</v>
      </c>
    </row>
    <row r="150" spans="1:35" x14ac:dyDescent="0.2">
      <c r="A150" s="19">
        <v>145</v>
      </c>
      <c r="B150" s="19">
        <f t="shared" si="34"/>
        <v>5</v>
      </c>
      <c r="C150" s="19">
        <f t="shared" si="35"/>
        <v>1</v>
      </c>
      <c r="D150" s="19">
        <f>IF($C150&gt;p_horizon,0,IFERROR(IF(AND(INDEX(TblClusters[Cluster],$B150)&lt;&gt;"",ISNUMBER(INDEX(TblClusters[CPU initial (vCPU)],$B150)),ISNUMBER(INDEX(TblClusters[CPU min (vCPU)],$B150)),OR(INDEX(TblClusters[Plateforme],$B150)="IKS",INDEX(TblClusters[Plateforme],$B150)="ROKS")),1,0),0))</f>
        <v>1</v>
      </c>
      <c r="E150" s="72">
        <f t="shared" si="36"/>
        <v>46296</v>
      </c>
      <c r="F150" s="19" t="str">
        <f>IF($D150=1,INDEX(TblClusters[Cluster],$B150),"")</f>
        <v>oc002i000849</v>
      </c>
      <c r="G150" s="19" t="str">
        <f>IF($D150=1,INDEX(TblClusters[Plateforme],$B150),"")</f>
        <v>ROKS</v>
      </c>
      <c r="H150" s="19">
        <f>IF($D150=1,INDEX(TblClusters[vCPU par nœud],$B150),"")</f>
        <v>8</v>
      </c>
      <c r="I150" s="19">
        <f>IF($D150=1,INDEX(TblClusters[RAM par nœud (Go)],$B150),"")</f>
        <v>40</v>
      </c>
      <c r="J150" s="19">
        <f>IF($D150=1,INDEX(TblClusters[Workers min],$B150),"")</f>
        <v>6</v>
      </c>
      <c r="K150" s="73">
        <f>IF($D150=1,INDEX(TblClusters[Tarif par nœud],$B150),"")</f>
        <v>368</v>
      </c>
      <c r="L150" s="19">
        <f>IF($D150=1,INDEX(TblClusters[CPU initial (vCPU)],$B150),"")</f>
        <v>48</v>
      </c>
      <c r="M150" s="19">
        <f>IF($D150=1,INDEX(TblClusters[RAM initiale (Go)],$B150),"")</f>
        <v>240</v>
      </c>
      <c r="N150" s="19">
        <f>IF($D150=1,INDEX(TblClusters[CPU min (vCPU)],$B150),"")</f>
        <v>48</v>
      </c>
      <c r="O150" s="19">
        <f>IF($D150=1,INDEX(TblClusters[RAM min (Go)],$B150),"")</f>
        <v>240</v>
      </c>
      <c r="P150" s="19">
        <f>IF($D150&lt;&gt;1,"",IF($G150="ROKS",SUMIFS(TblApplications[Besoin ROKS CPU (vCPU)],TblApplications[Cluster ROKS cible],$F150,TblApplications[Action],"À migrer",TblApplications[Déjà incluse ROKS],"Non",TblApplications[Mois prov (calc)],"&lt;="&amp;$E150),SUMIFS(TblApplications[CPU IKS libérable (vCPU)],TblApplications[Cluster IKS source],$F150,TblApplications[Mois lib (calc)],"&lt;="&amp;$E150)))</f>
        <v>0</v>
      </c>
      <c r="Q150" s="19">
        <f>IF($D150&lt;&gt;1,"",IF($G150="ROKS",SUMIFS(TblApplications[Besoin ROKS RAM (Go)],TblApplications[Cluster ROKS cible],$F150,TblApplications[Action],"À migrer",TblApplications[Déjà incluse ROKS],"Non",TblApplications[Mois prov (calc)],"&lt;="&amp;$E150),SUMIFS(TblApplications[RAM IKS libérable (Go)],TblApplications[Cluster IKS source],$F150,TblApplications[Mois lib (calc)],"&lt;="&amp;$E150)))</f>
        <v>0</v>
      </c>
      <c r="R150" s="19">
        <f t="shared" si="37"/>
        <v>48</v>
      </c>
      <c r="S150" s="19">
        <f t="shared" si="38"/>
        <v>240</v>
      </c>
      <c r="T150" s="19">
        <f t="shared" si="39"/>
        <v>6</v>
      </c>
      <c r="U150" s="19">
        <f t="shared" si="40"/>
        <v>48</v>
      </c>
      <c r="V150" s="19">
        <f t="shared" si="41"/>
        <v>240</v>
      </c>
      <c r="W150" s="73">
        <f t="shared" si="42"/>
        <v>2208</v>
      </c>
      <c r="X150" s="19">
        <f>IF($D150&lt;&gt;1,"",IF($G150="ROKS",$R150,IF($AI150=1,0,MAX($N150,$L150-SUMIFS(TblApplications[CPU IKS libérable (vCPU)],TblApplications[Cluster IKS source],$F150,TblApplications[Action],"À migrer",TblApplications[Mois prov (calc)],"&lt;="&amp;$E150)-SUMIFS(TblApplications[CPU IKS libérable (vCPU)],TblApplications[Cluster IKS source],$F150,TblApplications[Action],"À décommissionner",TblApplications[Mois lib (calc)],"&lt;="&amp;$E150)))))</f>
        <v>48</v>
      </c>
      <c r="Y150" s="19">
        <f>IF($D150&lt;&gt;1,"",IF($G150="ROKS",$S150,IF($AI150=1,0,MAX($O150,$M150-SUMIFS(TblApplications[RAM IKS libérable (Go)],TblApplications[Cluster IKS source],$F150,TblApplications[Action],"À migrer",TblApplications[Mois prov (calc)],"&lt;="&amp;$E150)-SUMIFS(TblApplications[RAM IKS libérable (Go)],TblApplications[Cluster IKS source],$F150,TblApplications[Action],"À décommissionner",TblApplications[Mois lib (calc)],"&lt;="&amp;$E150)))))</f>
        <v>240</v>
      </c>
      <c r="Z150" s="19">
        <f t="shared" si="43"/>
        <v>6</v>
      </c>
      <c r="AA150" s="73">
        <f t="shared" si="44"/>
        <v>2208</v>
      </c>
      <c r="AB150" s="19">
        <f t="shared" si="45"/>
        <v>6</v>
      </c>
      <c r="AC150" s="73">
        <f t="shared" si="46"/>
        <v>2208</v>
      </c>
      <c r="AD150" s="19">
        <f t="shared" si="47"/>
        <v>0</v>
      </c>
      <c r="AE150" s="19">
        <f t="shared" si="48"/>
        <v>0</v>
      </c>
      <c r="AF150" s="19" t="str">
        <f>IF($D150&lt;&gt;1,"",IF(INDEX(TblClusters[Environnement],$B150)="","(vide)",INDEX(TblClusters[Environnement],$B150)))</f>
        <v>NPRD</v>
      </c>
      <c r="AG150" s="19">
        <f t="shared" si="49"/>
        <v>72</v>
      </c>
      <c r="AH150" s="19">
        <f t="shared" si="50"/>
        <v>30.666666666666668</v>
      </c>
      <c r="AI150" s="19">
        <f>IF($D150&lt;&gt;1,"",IF(AND($G150="IKS",ISNUMBER(INDEX(TblClusters[Fermeture retenue],$B150))),IF($E150&gt;=INDEX(TblClusters[Fermeture retenue],$B150),1,0),0))</f>
        <v>0</v>
      </c>
    </row>
    <row r="151" spans="1:35" x14ac:dyDescent="0.2">
      <c r="A151" s="19">
        <v>146</v>
      </c>
      <c r="B151" s="19">
        <f t="shared" si="34"/>
        <v>5</v>
      </c>
      <c r="C151" s="19">
        <f t="shared" si="35"/>
        <v>2</v>
      </c>
      <c r="D151" s="19">
        <f>IF($C151&gt;p_horizon,0,IFERROR(IF(AND(INDEX(TblClusters[Cluster],$B151)&lt;&gt;"",ISNUMBER(INDEX(TblClusters[CPU initial (vCPU)],$B151)),ISNUMBER(INDEX(TblClusters[CPU min (vCPU)],$B151)),OR(INDEX(TblClusters[Plateforme],$B151)="IKS",INDEX(TblClusters[Plateforme],$B151)="ROKS")),1,0),0))</f>
        <v>1</v>
      </c>
      <c r="E151" s="72">
        <f t="shared" si="36"/>
        <v>46327</v>
      </c>
      <c r="F151" s="19" t="str">
        <f>IF($D151=1,INDEX(TblClusters[Cluster],$B151),"")</f>
        <v>oc002i000849</v>
      </c>
      <c r="G151" s="19" t="str">
        <f>IF($D151=1,INDEX(TblClusters[Plateforme],$B151),"")</f>
        <v>ROKS</v>
      </c>
      <c r="H151" s="19">
        <f>IF($D151=1,INDEX(TblClusters[vCPU par nœud],$B151),"")</f>
        <v>8</v>
      </c>
      <c r="I151" s="19">
        <f>IF($D151=1,INDEX(TblClusters[RAM par nœud (Go)],$B151),"")</f>
        <v>40</v>
      </c>
      <c r="J151" s="19">
        <f>IF($D151=1,INDEX(TblClusters[Workers min],$B151),"")</f>
        <v>6</v>
      </c>
      <c r="K151" s="73">
        <f>IF($D151=1,INDEX(TblClusters[Tarif par nœud],$B151),"")</f>
        <v>368</v>
      </c>
      <c r="L151" s="19">
        <f>IF($D151=1,INDEX(TblClusters[CPU initial (vCPU)],$B151),"")</f>
        <v>48</v>
      </c>
      <c r="M151" s="19">
        <f>IF($D151=1,INDEX(TblClusters[RAM initiale (Go)],$B151),"")</f>
        <v>240</v>
      </c>
      <c r="N151" s="19">
        <f>IF($D151=1,INDEX(TblClusters[CPU min (vCPU)],$B151),"")</f>
        <v>48</v>
      </c>
      <c r="O151" s="19">
        <f>IF($D151=1,INDEX(TblClusters[RAM min (Go)],$B151),"")</f>
        <v>240</v>
      </c>
      <c r="P151" s="19">
        <f>IF($D151&lt;&gt;1,"",IF($G151="ROKS",SUMIFS(TblApplications[Besoin ROKS CPU (vCPU)],TblApplications[Cluster ROKS cible],$F151,TblApplications[Action],"À migrer",TblApplications[Déjà incluse ROKS],"Non",TblApplications[Mois prov (calc)],"&lt;="&amp;$E151),SUMIFS(TblApplications[CPU IKS libérable (vCPU)],TblApplications[Cluster IKS source],$F151,TblApplications[Mois lib (calc)],"&lt;="&amp;$E151)))</f>
        <v>0</v>
      </c>
      <c r="Q151" s="19">
        <f>IF($D151&lt;&gt;1,"",IF($G151="ROKS",SUMIFS(TblApplications[Besoin ROKS RAM (Go)],TblApplications[Cluster ROKS cible],$F151,TblApplications[Action],"À migrer",TblApplications[Déjà incluse ROKS],"Non",TblApplications[Mois prov (calc)],"&lt;="&amp;$E151),SUMIFS(TblApplications[RAM IKS libérable (Go)],TblApplications[Cluster IKS source],$F151,TblApplications[Mois lib (calc)],"&lt;="&amp;$E151)))</f>
        <v>0</v>
      </c>
      <c r="R151" s="19">
        <f t="shared" si="37"/>
        <v>48</v>
      </c>
      <c r="S151" s="19">
        <f t="shared" si="38"/>
        <v>240</v>
      </c>
      <c r="T151" s="19">
        <f t="shared" si="39"/>
        <v>6</v>
      </c>
      <c r="U151" s="19">
        <f t="shared" si="40"/>
        <v>48</v>
      </c>
      <c r="V151" s="19">
        <f t="shared" si="41"/>
        <v>240</v>
      </c>
      <c r="W151" s="73">
        <f t="shared" si="42"/>
        <v>2208</v>
      </c>
      <c r="X151" s="19">
        <f>IF($D151&lt;&gt;1,"",IF($G151="ROKS",$R151,IF($AI151=1,0,MAX($N151,$L151-SUMIFS(TblApplications[CPU IKS libérable (vCPU)],TblApplications[Cluster IKS source],$F151,TblApplications[Action],"À migrer",TblApplications[Mois prov (calc)],"&lt;="&amp;$E151)-SUMIFS(TblApplications[CPU IKS libérable (vCPU)],TblApplications[Cluster IKS source],$F151,TblApplications[Action],"À décommissionner",TblApplications[Mois lib (calc)],"&lt;="&amp;$E151)))))</f>
        <v>48</v>
      </c>
      <c r="Y151" s="19">
        <f>IF($D151&lt;&gt;1,"",IF($G151="ROKS",$S151,IF($AI151=1,0,MAX($O151,$M151-SUMIFS(TblApplications[RAM IKS libérable (Go)],TblApplications[Cluster IKS source],$F151,TblApplications[Action],"À migrer",TblApplications[Mois prov (calc)],"&lt;="&amp;$E151)-SUMIFS(TblApplications[RAM IKS libérable (Go)],TblApplications[Cluster IKS source],$F151,TblApplications[Action],"À décommissionner",TblApplications[Mois lib (calc)],"&lt;="&amp;$E151)))))</f>
        <v>240</v>
      </c>
      <c r="Z151" s="19">
        <f t="shared" si="43"/>
        <v>6</v>
      </c>
      <c r="AA151" s="73">
        <f t="shared" si="44"/>
        <v>2208</v>
      </c>
      <c r="AB151" s="19">
        <f t="shared" si="45"/>
        <v>6</v>
      </c>
      <c r="AC151" s="73">
        <f t="shared" si="46"/>
        <v>2208</v>
      </c>
      <c r="AD151" s="19">
        <f t="shared" si="47"/>
        <v>0</v>
      </c>
      <c r="AE151" s="19">
        <f t="shared" si="48"/>
        <v>0</v>
      </c>
      <c r="AF151" s="19" t="str">
        <f>IF($D151&lt;&gt;1,"",IF(INDEX(TblClusters[Environnement],$B151)="","(vide)",INDEX(TblClusters[Environnement],$B151)))</f>
        <v>NPRD</v>
      </c>
      <c r="AG151" s="19">
        <f t="shared" si="49"/>
        <v>72</v>
      </c>
      <c r="AH151" s="19">
        <f t="shared" si="50"/>
        <v>30.666666666666668</v>
      </c>
      <c r="AI151" s="19">
        <f>IF($D151&lt;&gt;1,"",IF(AND($G151="IKS",ISNUMBER(INDEX(TblClusters[Fermeture retenue],$B151))),IF($E151&gt;=INDEX(TblClusters[Fermeture retenue],$B151),1,0),0))</f>
        <v>0</v>
      </c>
    </row>
    <row r="152" spans="1:35" x14ac:dyDescent="0.2">
      <c r="A152" s="19">
        <v>147</v>
      </c>
      <c r="B152" s="19">
        <f t="shared" si="34"/>
        <v>5</v>
      </c>
      <c r="C152" s="19">
        <f t="shared" si="35"/>
        <v>3</v>
      </c>
      <c r="D152" s="19">
        <f>IF($C152&gt;p_horizon,0,IFERROR(IF(AND(INDEX(TblClusters[Cluster],$B152)&lt;&gt;"",ISNUMBER(INDEX(TblClusters[CPU initial (vCPU)],$B152)),ISNUMBER(INDEX(TblClusters[CPU min (vCPU)],$B152)),OR(INDEX(TblClusters[Plateforme],$B152)="IKS",INDEX(TblClusters[Plateforme],$B152)="ROKS")),1,0),0))</f>
        <v>1</v>
      </c>
      <c r="E152" s="72">
        <f t="shared" si="36"/>
        <v>46357</v>
      </c>
      <c r="F152" s="19" t="str">
        <f>IF($D152=1,INDEX(TblClusters[Cluster],$B152),"")</f>
        <v>oc002i000849</v>
      </c>
      <c r="G152" s="19" t="str">
        <f>IF($D152=1,INDEX(TblClusters[Plateforme],$B152),"")</f>
        <v>ROKS</v>
      </c>
      <c r="H152" s="19">
        <f>IF($D152=1,INDEX(TblClusters[vCPU par nœud],$B152),"")</f>
        <v>8</v>
      </c>
      <c r="I152" s="19">
        <f>IF($D152=1,INDEX(TblClusters[RAM par nœud (Go)],$B152),"")</f>
        <v>40</v>
      </c>
      <c r="J152" s="19">
        <f>IF($D152=1,INDEX(TblClusters[Workers min],$B152),"")</f>
        <v>6</v>
      </c>
      <c r="K152" s="73">
        <f>IF($D152=1,INDEX(TblClusters[Tarif par nœud],$B152),"")</f>
        <v>368</v>
      </c>
      <c r="L152" s="19">
        <f>IF($D152=1,INDEX(TblClusters[CPU initial (vCPU)],$B152),"")</f>
        <v>48</v>
      </c>
      <c r="M152" s="19">
        <f>IF($D152=1,INDEX(TblClusters[RAM initiale (Go)],$B152),"")</f>
        <v>240</v>
      </c>
      <c r="N152" s="19">
        <f>IF($D152=1,INDEX(TblClusters[CPU min (vCPU)],$B152),"")</f>
        <v>48</v>
      </c>
      <c r="O152" s="19">
        <f>IF($D152=1,INDEX(TblClusters[RAM min (Go)],$B152),"")</f>
        <v>240</v>
      </c>
      <c r="P152" s="19">
        <f>IF($D152&lt;&gt;1,"",IF($G152="ROKS",SUMIFS(TblApplications[Besoin ROKS CPU (vCPU)],TblApplications[Cluster ROKS cible],$F152,TblApplications[Action],"À migrer",TblApplications[Déjà incluse ROKS],"Non",TblApplications[Mois prov (calc)],"&lt;="&amp;$E152),SUMIFS(TblApplications[CPU IKS libérable (vCPU)],TblApplications[Cluster IKS source],$F152,TblApplications[Mois lib (calc)],"&lt;="&amp;$E152)))</f>
        <v>0</v>
      </c>
      <c r="Q152" s="19">
        <f>IF($D152&lt;&gt;1,"",IF($G152="ROKS",SUMIFS(TblApplications[Besoin ROKS RAM (Go)],TblApplications[Cluster ROKS cible],$F152,TblApplications[Action],"À migrer",TblApplications[Déjà incluse ROKS],"Non",TblApplications[Mois prov (calc)],"&lt;="&amp;$E152),SUMIFS(TblApplications[RAM IKS libérable (Go)],TblApplications[Cluster IKS source],$F152,TblApplications[Mois lib (calc)],"&lt;="&amp;$E152)))</f>
        <v>0</v>
      </c>
      <c r="R152" s="19">
        <f t="shared" si="37"/>
        <v>48</v>
      </c>
      <c r="S152" s="19">
        <f t="shared" si="38"/>
        <v>240</v>
      </c>
      <c r="T152" s="19">
        <f t="shared" si="39"/>
        <v>6</v>
      </c>
      <c r="U152" s="19">
        <f t="shared" si="40"/>
        <v>48</v>
      </c>
      <c r="V152" s="19">
        <f t="shared" si="41"/>
        <v>240</v>
      </c>
      <c r="W152" s="73">
        <f t="shared" si="42"/>
        <v>2208</v>
      </c>
      <c r="X152" s="19">
        <f>IF($D152&lt;&gt;1,"",IF($G152="ROKS",$R152,IF($AI152=1,0,MAX($N152,$L152-SUMIFS(TblApplications[CPU IKS libérable (vCPU)],TblApplications[Cluster IKS source],$F152,TblApplications[Action],"À migrer",TblApplications[Mois prov (calc)],"&lt;="&amp;$E152)-SUMIFS(TblApplications[CPU IKS libérable (vCPU)],TblApplications[Cluster IKS source],$F152,TblApplications[Action],"À décommissionner",TblApplications[Mois lib (calc)],"&lt;="&amp;$E152)))))</f>
        <v>48</v>
      </c>
      <c r="Y152" s="19">
        <f>IF($D152&lt;&gt;1,"",IF($G152="ROKS",$S152,IF($AI152=1,0,MAX($O152,$M152-SUMIFS(TblApplications[RAM IKS libérable (Go)],TblApplications[Cluster IKS source],$F152,TblApplications[Action],"À migrer",TblApplications[Mois prov (calc)],"&lt;="&amp;$E152)-SUMIFS(TblApplications[RAM IKS libérable (Go)],TblApplications[Cluster IKS source],$F152,TblApplications[Action],"À décommissionner",TblApplications[Mois lib (calc)],"&lt;="&amp;$E152)))))</f>
        <v>240</v>
      </c>
      <c r="Z152" s="19">
        <f t="shared" si="43"/>
        <v>6</v>
      </c>
      <c r="AA152" s="73">
        <f t="shared" si="44"/>
        <v>2208</v>
      </c>
      <c r="AB152" s="19">
        <f t="shared" si="45"/>
        <v>6</v>
      </c>
      <c r="AC152" s="73">
        <f t="shared" si="46"/>
        <v>2208</v>
      </c>
      <c r="AD152" s="19">
        <f t="shared" si="47"/>
        <v>0</v>
      </c>
      <c r="AE152" s="19">
        <f t="shared" si="48"/>
        <v>0</v>
      </c>
      <c r="AF152" s="19" t="str">
        <f>IF($D152&lt;&gt;1,"",IF(INDEX(TblClusters[Environnement],$B152)="","(vide)",INDEX(TblClusters[Environnement],$B152)))</f>
        <v>NPRD</v>
      </c>
      <c r="AG152" s="19">
        <f t="shared" si="49"/>
        <v>72</v>
      </c>
      <c r="AH152" s="19">
        <f t="shared" si="50"/>
        <v>30.666666666666668</v>
      </c>
      <c r="AI152" s="19">
        <f>IF($D152&lt;&gt;1,"",IF(AND($G152="IKS",ISNUMBER(INDEX(TblClusters[Fermeture retenue],$B152))),IF($E152&gt;=INDEX(TblClusters[Fermeture retenue],$B152),1,0),0))</f>
        <v>0</v>
      </c>
    </row>
    <row r="153" spans="1:35" x14ac:dyDescent="0.2">
      <c r="A153" s="19">
        <v>148</v>
      </c>
      <c r="B153" s="19">
        <f t="shared" si="34"/>
        <v>5</v>
      </c>
      <c r="C153" s="19">
        <f t="shared" si="35"/>
        <v>4</v>
      </c>
      <c r="D153" s="19">
        <f>IF($C153&gt;p_horizon,0,IFERROR(IF(AND(INDEX(TblClusters[Cluster],$B153)&lt;&gt;"",ISNUMBER(INDEX(TblClusters[CPU initial (vCPU)],$B153)),ISNUMBER(INDEX(TblClusters[CPU min (vCPU)],$B153)),OR(INDEX(TblClusters[Plateforme],$B153)="IKS",INDEX(TblClusters[Plateforme],$B153)="ROKS")),1,0),0))</f>
        <v>1</v>
      </c>
      <c r="E153" s="72">
        <f t="shared" si="36"/>
        <v>46388</v>
      </c>
      <c r="F153" s="19" t="str">
        <f>IF($D153=1,INDEX(TblClusters[Cluster],$B153),"")</f>
        <v>oc002i000849</v>
      </c>
      <c r="G153" s="19" t="str">
        <f>IF($D153=1,INDEX(TblClusters[Plateforme],$B153),"")</f>
        <v>ROKS</v>
      </c>
      <c r="H153" s="19">
        <f>IF($D153=1,INDEX(TblClusters[vCPU par nœud],$B153),"")</f>
        <v>8</v>
      </c>
      <c r="I153" s="19">
        <f>IF($D153=1,INDEX(TblClusters[RAM par nœud (Go)],$B153),"")</f>
        <v>40</v>
      </c>
      <c r="J153" s="19">
        <f>IF($D153=1,INDEX(TblClusters[Workers min],$B153),"")</f>
        <v>6</v>
      </c>
      <c r="K153" s="73">
        <f>IF($D153=1,INDEX(TblClusters[Tarif par nœud],$B153),"")</f>
        <v>368</v>
      </c>
      <c r="L153" s="19">
        <f>IF($D153=1,INDEX(TblClusters[CPU initial (vCPU)],$B153),"")</f>
        <v>48</v>
      </c>
      <c r="M153" s="19">
        <f>IF($D153=1,INDEX(TblClusters[RAM initiale (Go)],$B153),"")</f>
        <v>240</v>
      </c>
      <c r="N153" s="19">
        <f>IF($D153=1,INDEX(TblClusters[CPU min (vCPU)],$B153),"")</f>
        <v>48</v>
      </c>
      <c r="O153" s="19">
        <f>IF($D153=1,INDEX(TblClusters[RAM min (Go)],$B153),"")</f>
        <v>240</v>
      </c>
      <c r="P153" s="19">
        <f>IF($D153&lt;&gt;1,"",IF($G153="ROKS",SUMIFS(TblApplications[Besoin ROKS CPU (vCPU)],TblApplications[Cluster ROKS cible],$F153,TblApplications[Action],"À migrer",TblApplications[Déjà incluse ROKS],"Non",TblApplications[Mois prov (calc)],"&lt;="&amp;$E153),SUMIFS(TblApplications[CPU IKS libérable (vCPU)],TblApplications[Cluster IKS source],$F153,TblApplications[Mois lib (calc)],"&lt;="&amp;$E153)))</f>
        <v>0</v>
      </c>
      <c r="Q153" s="19">
        <f>IF($D153&lt;&gt;1,"",IF($G153="ROKS",SUMIFS(TblApplications[Besoin ROKS RAM (Go)],TblApplications[Cluster ROKS cible],$F153,TblApplications[Action],"À migrer",TblApplications[Déjà incluse ROKS],"Non",TblApplications[Mois prov (calc)],"&lt;="&amp;$E153),SUMIFS(TblApplications[RAM IKS libérable (Go)],TblApplications[Cluster IKS source],$F153,TblApplications[Mois lib (calc)],"&lt;="&amp;$E153)))</f>
        <v>0</v>
      </c>
      <c r="R153" s="19">
        <f t="shared" si="37"/>
        <v>48</v>
      </c>
      <c r="S153" s="19">
        <f t="shared" si="38"/>
        <v>240</v>
      </c>
      <c r="T153" s="19">
        <f t="shared" si="39"/>
        <v>6</v>
      </c>
      <c r="U153" s="19">
        <f t="shared" si="40"/>
        <v>48</v>
      </c>
      <c r="V153" s="19">
        <f t="shared" si="41"/>
        <v>240</v>
      </c>
      <c r="W153" s="73">
        <f t="shared" si="42"/>
        <v>2208</v>
      </c>
      <c r="X153" s="19">
        <f>IF($D153&lt;&gt;1,"",IF($G153="ROKS",$R153,IF($AI153=1,0,MAX($N153,$L153-SUMIFS(TblApplications[CPU IKS libérable (vCPU)],TblApplications[Cluster IKS source],$F153,TblApplications[Action],"À migrer",TblApplications[Mois prov (calc)],"&lt;="&amp;$E153)-SUMIFS(TblApplications[CPU IKS libérable (vCPU)],TblApplications[Cluster IKS source],$F153,TblApplications[Action],"À décommissionner",TblApplications[Mois lib (calc)],"&lt;="&amp;$E153)))))</f>
        <v>48</v>
      </c>
      <c r="Y153" s="19">
        <f>IF($D153&lt;&gt;1,"",IF($G153="ROKS",$S153,IF($AI153=1,0,MAX($O153,$M153-SUMIFS(TblApplications[RAM IKS libérable (Go)],TblApplications[Cluster IKS source],$F153,TblApplications[Action],"À migrer",TblApplications[Mois prov (calc)],"&lt;="&amp;$E153)-SUMIFS(TblApplications[RAM IKS libérable (Go)],TblApplications[Cluster IKS source],$F153,TblApplications[Action],"À décommissionner",TblApplications[Mois lib (calc)],"&lt;="&amp;$E153)))))</f>
        <v>240</v>
      </c>
      <c r="Z153" s="19">
        <f t="shared" si="43"/>
        <v>6</v>
      </c>
      <c r="AA153" s="73">
        <f t="shared" si="44"/>
        <v>2208</v>
      </c>
      <c r="AB153" s="19">
        <f t="shared" si="45"/>
        <v>6</v>
      </c>
      <c r="AC153" s="73">
        <f t="shared" si="46"/>
        <v>2208</v>
      </c>
      <c r="AD153" s="19">
        <f t="shared" si="47"/>
        <v>0</v>
      </c>
      <c r="AE153" s="19">
        <f t="shared" si="48"/>
        <v>0</v>
      </c>
      <c r="AF153" s="19" t="str">
        <f>IF($D153&lt;&gt;1,"",IF(INDEX(TblClusters[Environnement],$B153)="","(vide)",INDEX(TblClusters[Environnement],$B153)))</f>
        <v>NPRD</v>
      </c>
      <c r="AG153" s="19">
        <f t="shared" si="49"/>
        <v>72</v>
      </c>
      <c r="AH153" s="19">
        <f t="shared" si="50"/>
        <v>30.666666666666668</v>
      </c>
      <c r="AI153" s="19">
        <f>IF($D153&lt;&gt;1,"",IF(AND($G153="IKS",ISNUMBER(INDEX(TblClusters[Fermeture retenue],$B153))),IF($E153&gt;=INDEX(TblClusters[Fermeture retenue],$B153),1,0),0))</f>
        <v>0</v>
      </c>
    </row>
    <row r="154" spans="1:35" x14ac:dyDescent="0.2">
      <c r="A154" s="19">
        <v>149</v>
      </c>
      <c r="B154" s="19">
        <f t="shared" si="34"/>
        <v>5</v>
      </c>
      <c r="C154" s="19">
        <f t="shared" si="35"/>
        <v>5</v>
      </c>
      <c r="D154" s="19">
        <f>IF($C154&gt;p_horizon,0,IFERROR(IF(AND(INDEX(TblClusters[Cluster],$B154)&lt;&gt;"",ISNUMBER(INDEX(TblClusters[CPU initial (vCPU)],$B154)),ISNUMBER(INDEX(TblClusters[CPU min (vCPU)],$B154)),OR(INDEX(TblClusters[Plateforme],$B154)="IKS",INDEX(TblClusters[Plateforme],$B154)="ROKS")),1,0),0))</f>
        <v>1</v>
      </c>
      <c r="E154" s="72">
        <f t="shared" si="36"/>
        <v>46419</v>
      </c>
      <c r="F154" s="19" t="str">
        <f>IF($D154=1,INDEX(TblClusters[Cluster],$B154),"")</f>
        <v>oc002i000849</v>
      </c>
      <c r="G154" s="19" t="str">
        <f>IF($D154=1,INDEX(TblClusters[Plateforme],$B154),"")</f>
        <v>ROKS</v>
      </c>
      <c r="H154" s="19">
        <f>IF($D154=1,INDEX(TblClusters[vCPU par nœud],$B154),"")</f>
        <v>8</v>
      </c>
      <c r="I154" s="19">
        <f>IF($D154=1,INDEX(TblClusters[RAM par nœud (Go)],$B154),"")</f>
        <v>40</v>
      </c>
      <c r="J154" s="19">
        <f>IF($D154=1,INDEX(TblClusters[Workers min],$B154),"")</f>
        <v>6</v>
      </c>
      <c r="K154" s="73">
        <f>IF($D154=1,INDEX(TblClusters[Tarif par nœud],$B154),"")</f>
        <v>368</v>
      </c>
      <c r="L154" s="19">
        <f>IF($D154=1,INDEX(TblClusters[CPU initial (vCPU)],$B154),"")</f>
        <v>48</v>
      </c>
      <c r="M154" s="19">
        <f>IF($D154=1,INDEX(TblClusters[RAM initiale (Go)],$B154),"")</f>
        <v>240</v>
      </c>
      <c r="N154" s="19">
        <f>IF($D154=1,INDEX(TblClusters[CPU min (vCPU)],$B154),"")</f>
        <v>48</v>
      </c>
      <c r="O154" s="19">
        <f>IF($D154=1,INDEX(TblClusters[RAM min (Go)],$B154),"")</f>
        <v>240</v>
      </c>
      <c r="P154" s="19">
        <f>IF($D154&lt;&gt;1,"",IF($G154="ROKS",SUMIFS(TblApplications[Besoin ROKS CPU (vCPU)],TblApplications[Cluster ROKS cible],$F154,TblApplications[Action],"À migrer",TblApplications[Déjà incluse ROKS],"Non",TblApplications[Mois prov (calc)],"&lt;="&amp;$E154),SUMIFS(TblApplications[CPU IKS libérable (vCPU)],TblApplications[Cluster IKS source],$F154,TblApplications[Mois lib (calc)],"&lt;="&amp;$E154)))</f>
        <v>0</v>
      </c>
      <c r="Q154" s="19">
        <f>IF($D154&lt;&gt;1,"",IF($G154="ROKS",SUMIFS(TblApplications[Besoin ROKS RAM (Go)],TblApplications[Cluster ROKS cible],$F154,TblApplications[Action],"À migrer",TblApplications[Déjà incluse ROKS],"Non",TblApplications[Mois prov (calc)],"&lt;="&amp;$E154),SUMIFS(TblApplications[RAM IKS libérable (Go)],TblApplications[Cluster IKS source],$F154,TblApplications[Mois lib (calc)],"&lt;="&amp;$E154)))</f>
        <v>0</v>
      </c>
      <c r="R154" s="19">
        <f t="shared" si="37"/>
        <v>48</v>
      </c>
      <c r="S154" s="19">
        <f t="shared" si="38"/>
        <v>240</v>
      </c>
      <c r="T154" s="19">
        <f t="shared" si="39"/>
        <v>6</v>
      </c>
      <c r="U154" s="19">
        <f t="shared" si="40"/>
        <v>48</v>
      </c>
      <c r="V154" s="19">
        <f t="shared" si="41"/>
        <v>240</v>
      </c>
      <c r="W154" s="73">
        <f t="shared" si="42"/>
        <v>2208</v>
      </c>
      <c r="X154" s="19">
        <f>IF($D154&lt;&gt;1,"",IF($G154="ROKS",$R154,IF($AI154=1,0,MAX($N154,$L154-SUMIFS(TblApplications[CPU IKS libérable (vCPU)],TblApplications[Cluster IKS source],$F154,TblApplications[Action],"À migrer",TblApplications[Mois prov (calc)],"&lt;="&amp;$E154)-SUMIFS(TblApplications[CPU IKS libérable (vCPU)],TblApplications[Cluster IKS source],$F154,TblApplications[Action],"À décommissionner",TblApplications[Mois lib (calc)],"&lt;="&amp;$E154)))))</f>
        <v>48</v>
      </c>
      <c r="Y154" s="19">
        <f>IF($D154&lt;&gt;1,"",IF($G154="ROKS",$S154,IF($AI154=1,0,MAX($O154,$M154-SUMIFS(TblApplications[RAM IKS libérable (Go)],TblApplications[Cluster IKS source],$F154,TblApplications[Action],"À migrer",TblApplications[Mois prov (calc)],"&lt;="&amp;$E154)-SUMIFS(TblApplications[RAM IKS libérable (Go)],TblApplications[Cluster IKS source],$F154,TblApplications[Action],"À décommissionner",TblApplications[Mois lib (calc)],"&lt;="&amp;$E154)))))</f>
        <v>240</v>
      </c>
      <c r="Z154" s="19">
        <f t="shared" si="43"/>
        <v>6</v>
      </c>
      <c r="AA154" s="73">
        <f t="shared" si="44"/>
        <v>2208</v>
      </c>
      <c r="AB154" s="19">
        <f t="shared" si="45"/>
        <v>6</v>
      </c>
      <c r="AC154" s="73">
        <f t="shared" si="46"/>
        <v>2208</v>
      </c>
      <c r="AD154" s="19">
        <f t="shared" si="47"/>
        <v>0</v>
      </c>
      <c r="AE154" s="19">
        <f t="shared" si="48"/>
        <v>0</v>
      </c>
      <c r="AF154" s="19" t="str">
        <f>IF($D154&lt;&gt;1,"",IF(INDEX(TblClusters[Environnement],$B154)="","(vide)",INDEX(TblClusters[Environnement],$B154)))</f>
        <v>NPRD</v>
      </c>
      <c r="AG154" s="19">
        <f t="shared" si="49"/>
        <v>72</v>
      </c>
      <c r="AH154" s="19">
        <f t="shared" si="50"/>
        <v>30.666666666666668</v>
      </c>
      <c r="AI154" s="19">
        <f>IF($D154&lt;&gt;1,"",IF(AND($G154="IKS",ISNUMBER(INDEX(TblClusters[Fermeture retenue],$B154))),IF($E154&gt;=INDEX(TblClusters[Fermeture retenue],$B154),1,0),0))</f>
        <v>0</v>
      </c>
    </row>
    <row r="155" spans="1:35" x14ac:dyDescent="0.2">
      <c r="A155" s="19">
        <v>150</v>
      </c>
      <c r="B155" s="19">
        <f t="shared" si="34"/>
        <v>5</v>
      </c>
      <c r="C155" s="19">
        <f t="shared" si="35"/>
        <v>6</v>
      </c>
      <c r="D155" s="19">
        <f>IF($C155&gt;p_horizon,0,IFERROR(IF(AND(INDEX(TblClusters[Cluster],$B155)&lt;&gt;"",ISNUMBER(INDEX(TblClusters[CPU initial (vCPU)],$B155)),ISNUMBER(INDEX(TblClusters[CPU min (vCPU)],$B155)),OR(INDEX(TblClusters[Plateforme],$B155)="IKS",INDEX(TblClusters[Plateforme],$B155)="ROKS")),1,0),0))</f>
        <v>1</v>
      </c>
      <c r="E155" s="72">
        <f t="shared" si="36"/>
        <v>46447</v>
      </c>
      <c r="F155" s="19" t="str">
        <f>IF($D155=1,INDEX(TblClusters[Cluster],$B155),"")</f>
        <v>oc002i000849</v>
      </c>
      <c r="G155" s="19" t="str">
        <f>IF($D155=1,INDEX(TblClusters[Plateforme],$B155),"")</f>
        <v>ROKS</v>
      </c>
      <c r="H155" s="19">
        <f>IF($D155=1,INDEX(TblClusters[vCPU par nœud],$B155),"")</f>
        <v>8</v>
      </c>
      <c r="I155" s="19">
        <f>IF($D155=1,INDEX(TblClusters[RAM par nœud (Go)],$B155),"")</f>
        <v>40</v>
      </c>
      <c r="J155" s="19">
        <f>IF($D155=1,INDEX(TblClusters[Workers min],$B155),"")</f>
        <v>6</v>
      </c>
      <c r="K155" s="73">
        <f>IF($D155=1,INDEX(TblClusters[Tarif par nœud],$B155),"")</f>
        <v>368</v>
      </c>
      <c r="L155" s="19">
        <f>IF($D155=1,INDEX(TblClusters[CPU initial (vCPU)],$B155),"")</f>
        <v>48</v>
      </c>
      <c r="M155" s="19">
        <f>IF($D155=1,INDEX(TblClusters[RAM initiale (Go)],$B155),"")</f>
        <v>240</v>
      </c>
      <c r="N155" s="19">
        <f>IF($D155=1,INDEX(TblClusters[CPU min (vCPU)],$B155),"")</f>
        <v>48</v>
      </c>
      <c r="O155" s="19">
        <f>IF($D155=1,INDEX(TblClusters[RAM min (Go)],$B155),"")</f>
        <v>240</v>
      </c>
      <c r="P155" s="19">
        <f>IF($D155&lt;&gt;1,"",IF($G155="ROKS",SUMIFS(TblApplications[Besoin ROKS CPU (vCPU)],TblApplications[Cluster ROKS cible],$F155,TblApplications[Action],"À migrer",TblApplications[Déjà incluse ROKS],"Non",TblApplications[Mois prov (calc)],"&lt;="&amp;$E155),SUMIFS(TblApplications[CPU IKS libérable (vCPU)],TblApplications[Cluster IKS source],$F155,TblApplications[Mois lib (calc)],"&lt;="&amp;$E155)))</f>
        <v>0</v>
      </c>
      <c r="Q155" s="19">
        <f>IF($D155&lt;&gt;1,"",IF($G155="ROKS",SUMIFS(TblApplications[Besoin ROKS RAM (Go)],TblApplications[Cluster ROKS cible],$F155,TblApplications[Action],"À migrer",TblApplications[Déjà incluse ROKS],"Non",TblApplications[Mois prov (calc)],"&lt;="&amp;$E155),SUMIFS(TblApplications[RAM IKS libérable (Go)],TblApplications[Cluster IKS source],$F155,TblApplications[Mois lib (calc)],"&lt;="&amp;$E155)))</f>
        <v>0</v>
      </c>
      <c r="R155" s="19">
        <f t="shared" si="37"/>
        <v>48</v>
      </c>
      <c r="S155" s="19">
        <f t="shared" si="38"/>
        <v>240</v>
      </c>
      <c r="T155" s="19">
        <f t="shared" si="39"/>
        <v>6</v>
      </c>
      <c r="U155" s="19">
        <f t="shared" si="40"/>
        <v>48</v>
      </c>
      <c r="V155" s="19">
        <f t="shared" si="41"/>
        <v>240</v>
      </c>
      <c r="W155" s="73">
        <f t="shared" si="42"/>
        <v>2208</v>
      </c>
      <c r="X155" s="19">
        <f>IF($D155&lt;&gt;1,"",IF($G155="ROKS",$R155,IF($AI155=1,0,MAX($N155,$L155-SUMIFS(TblApplications[CPU IKS libérable (vCPU)],TblApplications[Cluster IKS source],$F155,TblApplications[Action],"À migrer",TblApplications[Mois prov (calc)],"&lt;="&amp;$E155)-SUMIFS(TblApplications[CPU IKS libérable (vCPU)],TblApplications[Cluster IKS source],$F155,TblApplications[Action],"À décommissionner",TblApplications[Mois lib (calc)],"&lt;="&amp;$E155)))))</f>
        <v>48</v>
      </c>
      <c r="Y155" s="19">
        <f>IF($D155&lt;&gt;1,"",IF($G155="ROKS",$S155,IF($AI155=1,0,MAX($O155,$M155-SUMIFS(TblApplications[RAM IKS libérable (Go)],TblApplications[Cluster IKS source],$F155,TblApplications[Action],"À migrer",TblApplications[Mois prov (calc)],"&lt;="&amp;$E155)-SUMIFS(TblApplications[RAM IKS libérable (Go)],TblApplications[Cluster IKS source],$F155,TblApplications[Action],"À décommissionner",TblApplications[Mois lib (calc)],"&lt;="&amp;$E155)))))</f>
        <v>240</v>
      </c>
      <c r="Z155" s="19">
        <f t="shared" si="43"/>
        <v>6</v>
      </c>
      <c r="AA155" s="73">
        <f t="shared" si="44"/>
        <v>2208</v>
      </c>
      <c r="AB155" s="19">
        <f t="shared" si="45"/>
        <v>6</v>
      </c>
      <c r="AC155" s="73">
        <f t="shared" si="46"/>
        <v>2208</v>
      </c>
      <c r="AD155" s="19">
        <f t="shared" si="47"/>
        <v>0</v>
      </c>
      <c r="AE155" s="19">
        <f t="shared" si="48"/>
        <v>0</v>
      </c>
      <c r="AF155" s="19" t="str">
        <f>IF($D155&lt;&gt;1,"",IF(INDEX(TblClusters[Environnement],$B155)="","(vide)",INDEX(TblClusters[Environnement],$B155)))</f>
        <v>NPRD</v>
      </c>
      <c r="AG155" s="19">
        <f t="shared" si="49"/>
        <v>72</v>
      </c>
      <c r="AH155" s="19">
        <f t="shared" si="50"/>
        <v>30.666666666666668</v>
      </c>
      <c r="AI155" s="19">
        <f>IF($D155&lt;&gt;1,"",IF(AND($G155="IKS",ISNUMBER(INDEX(TblClusters[Fermeture retenue],$B155))),IF($E155&gt;=INDEX(TblClusters[Fermeture retenue],$B155),1,0),0))</f>
        <v>0</v>
      </c>
    </row>
    <row r="156" spans="1:35" x14ac:dyDescent="0.2">
      <c r="A156" s="19">
        <v>151</v>
      </c>
      <c r="B156" s="19">
        <f t="shared" si="34"/>
        <v>5</v>
      </c>
      <c r="C156" s="19">
        <f t="shared" si="35"/>
        <v>7</v>
      </c>
      <c r="D156" s="19">
        <f>IF($C156&gt;p_horizon,0,IFERROR(IF(AND(INDEX(TblClusters[Cluster],$B156)&lt;&gt;"",ISNUMBER(INDEX(TblClusters[CPU initial (vCPU)],$B156)),ISNUMBER(INDEX(TblClusters[CPU min (vCPU)],$B156)),OR(INDEX(TblClusters[Plateforme],$B156)="IKS",INDEX(TblClusters[Plateforme],$B156)="ROKS")),1,0),0))</f>
        <v>1</v>
      </c>
      <c r="E156" s="72">
        <f t="shared" si="36"/>
        <v>46478</v>
      </c>
      <c r="F156" s="19" t="str">
        <f>IF($D156=1,INDEX(TblClusters[Cluster],$B156),"")</f>
        <v>oc002i000849</v>
      </c>
      <c r="G156" s="19" t="str">
        <f>IF($D156=1,INDEX(TblClusters[Plateforme],$B156),"")</f>
        <v>ROKS</v>
      </c>
      <c r="H156" s="19">
        <f>IF($D156=1,INDEX(TblClusters[vCPU par nœud],$B156),"")</f>
        <v>8</v>
      </c>
      <c r="I156" s="19">
        <f>IF($D156=1,INDEX(TblClusters[RAM par nœud (Go)],$B156),"")</f>
        <v>40</v>
      </c>
      <c r="J156" s="19">
        <f>IF($D156=1,INDEX(TblClusters[Workers min],$B156),"")</f>
        <v>6</v>
      </c>
      <c r="K156" s="73">
        <f>IF($D156=1,INDEX(TblClusters[Tarif par nœud],$B156),"")</f>
        <v>368</v>
      </c>
      <c r="L156" s="19">
        <f>IF($D156=1,INDEX(TblClusters[CPU initial (vCPU)],$B156),"")</f>
        <v>48</v>
      </c>
      <c r="M156" s="19">
        <f>IF($D156=1,INDEX(TblClusters[RAM initiale (Go)],$B156),"")</f>
        <v>240</v>
      </c>
      <c r="N156" s="19">
        <f>IF($D156=1,INDEX(TblClusters[CPU min (vCPU)],$B156),"")</f>
        <v>48</v>
      </c>
      <c r="O156" s="19">
        <f>IF($D156=1,INDEX(TblClusters[RAM min (Go)],$B156),"")</f>
        <v>240</v>
      </c>
      <c r="P156" s="19">
        <f>IF($D156&lt;&gt;1,"",IF($G156="ROKS",SUMIFS(TblApplications[Besoin ROKS CPU (vCPU)],TblApplications[Cluster ROKS cible],$F156,TblApplications[Action],"À migrer",TblApplications[Déjà incluse ROKS],"Non",TblApplications[Mois prov (calc)],"&lt;="&amp;$E156),SUMIFS(TblApplications[CPU IKS libérable (vCPU)],TblApplications[Cluster IKS source],$F156,TblApplications[Mois lib (calc)],"&lt;="&amp;$E156)))</f>
        <v>0</v>
      </c>
      <c r="Q156" s="19">
        <f>IF($D156&lt;&gt;1,"",IF($G156="ROKS",SUMIFS(TblApplications[Besoin ROKS RAM (Go)],TblApplications[Cluster ROKS cible],$F156,TblApplications[Action],"À migrer",TblApplications[Déjà incluse ROKS],"Non",TblApplications[Mois prov (calc)],"&lt;="&amp;$E156),SUMIFS(TblApplications[RAM IKS libérable (Go)],TblApplications[Cluster IKS source],$F156,TblApplications[Mois lib (calc)],"&lt;="&amp;$E156)))</f>
        <v>0</v>
      </c>
      <c r="R156" s="19">
        <f t="shared" si="37"/>
        <v>48</v>
      </c>
      <c r="S156" s="19">
        <f t="shared" si="38"/>
        <v>240</v>
      </c>
      <c r="T156" s="19">
        <f t="shared" si="39"/>
        <v>6</v>
      </c>
      <c r="U156" s="19">
        <f t="shared" si="40"/>
        <v>48</v>
      </c>
      <c r="V156" s="19">
        <f t="shared" si="41"/>
        <v>240</v>
      </c>
      <c r="W156" s="73">
        <f t="shared" si="42"/>
        <v>2208</v>
      </c>
      <c r="X156" s="19">
        <f>IF($D156&lt;&gt;1,"",IF($G156="ROKS",$R156,IF($AI156=1,0,MAX($N156,$L156-SUMIFS(TblApplications[CPU IKS libérable (vCPU)],TblApplications[Cluster IKS source],$F156,TblApplications[Action],"À migrer",TblApplications[Mois prov (calc)],"&lt;="&amp;$E156)-SUMIFS(TblApplications[CPU IKS libérable (vCPU)],TblApplications[Cluster IKS source],$F156,TblApplications[Action],"À décommissionner",TblApplications[Mois lib (calc)],"&lt;="&amp;$E156)))))</f>
        <v>48</v>
      </c>
      <c r="Y156" s="19">
        <f>IF($D156&lt;&gt;1,"",IF($G156="ROKS",$S156,IF($AI156=1,0,MAX($O156,$M156-SUMIFS(TblApplications[RAM IKS libérable (Go)],TblApplications[Cluster IKS source],$F156,TblApplications[Action],"À migrer",TblApplications[Mois prov (calc)],"&lt;="&amp;$E156)-SUMIFS(TblApplications[RAM IKS libérable (Go)],TblApplications[Cluster IKS source],$F156,TblApplications[Action],"À décommissionner",TblApplications[Mois lib (calc)],"&lt;="&amp;$E156)))))</f>
        <v>240</v>
      </c>
      <c r="Z156" s="19">
        <f t="shared" si="43"/>
        <v>6</v>
      </c>
      <c r="AA156" s="73">
        <f t="shared" si="44"/>
        <v>2208</v>
      </c>
      <c r="AB156" s="19">
        <f t="shared" si="45"/>
        <v>6</v>
      </c>
      <c r="AC156" s="73">
        <f t="shared" si="46"/>
        <v>2208</v>
      </c>
      <c r="AD156" s="19">
        <f t="shared" si="47"/>
        <v>0</v>
      </c>
      <c r="AE156" s="19">
        <f t="shared" si="48"/>
        <v>0</v>
      </c>
      <c r="AF156" s="19" t="str">
        <f>IF($D156&lt;&gt;1,"",IF(INDEX(TblClusters[Environnement],$B156)="","(vide)",INDEX(TblClusters[Environnement],$B156)))</f>
        <v>NPRD</v>
      </c>
      <c r="AG156" s="19">
        <f t="shared" si="49"/>
        <v>72</v>
      </c>
      <c r="AH156" s="19">
        <f t="shared" si="50"/>
        <v>30.666666666666668</v>
      </c>
      <c r="AI156" s="19">
        <f>IF($D156&lt;&gt;1,"",IF(AND($G156="IKS",ISNUMBER(INDEX(TblClusters[Fermeture retenue],$B156))),IF($E156&gt;=INDEX(TblClusters[Fermeture retenue],$B156),1,0),0))</f>
        <v>0</v>
      </c>
    </row>
    <row r="157" spans="1:35" x14ac:dyDescent="0.2">
      <c r="A157" s="19">
        <v>152</v>
      </c>
      <c r="B157" s="19">
        <f t="shared" si="34"/>
        <v>5</v>
      </c>
      <c r="C157" s="19">
        <f t="shared" si="35"/>
        <v>8</v>
      </c>
      <c r="D157" s="19">
        <f>IF($C157&gt;p_horizon,0,IFERROR(IF(AND(INDEX(TblClusters[Cluster],$B157)&lt;&gt;"",ISNUMBER(INDEX(TblClusters[CPU initial (vCPU)],$B157)),ISNUMBER(INDEX(TblClusters[CPU min (vCPU)],$B157)),OR(INDEX(TblClusters[Plateforme],$B157)="IKS",INDEX(TblClusters[Plateforme],$B157)="ROKS")),1,0),0))</f>
        <v>1</v>
      </c>
      <c r="E157" s="72">
        <f t="shared" si="36"/>
        <v>46508</v>
      </c>
      <c r="F157" s="19" t="str">
        <f>IF($D157=1,INDEX(TblClusters[Cluster],$B157),"")</f>
        <v>oc002i000849</v>
      </c>
      <c r="G157" s="19" t="str">
        <f>IF($D157=1,INDEX(TblClusters[Plateforme],$B157),"")</f>
        <v>ROKS</v>
      </c>
      <c r="H157" s="19">
        <f>IF($D157=1,INDEX(TblClusters[vCPU par nœud],$B157),"")</f>
        <v>8</v>
      </c>
      <c r="I157" s="19">
        <f>IF($D157=1,INDEX(TblClusters[RAM par nœud (Go)],$B157),"")</f>
        <v>40</v>
      </c>
      <c r="J157" s="19">
        <f>IF($D157=1,INDEX(TblClusters[Workers min],$B157),"")</f>
        <v>6</v>
      </c>
      <c r="K157" s="73">
        <f>IF($D157=1,INDEX(TblClusters[Tarif par nœud],$B157),"")</f>
        <v>368</v>
      </c>
      <c r="L157" s="19">
        <f>IF($D157=1,INDEX(TblClusters[CPU initial (vCPU)],$B157),"")</f>
        <v>48</v>
      </c>
      <c r="M157" s="19">
        <f>IF($D157=1,INDEX(TblClusters[RAM initiale (Go)],$B157),"")</f>
        <v>240</v>
      </c>
      <c r="N157" s="19">
        <f>IF($D157=1,INDEX(TblClusters[CPU min (vCPU)],$B157),"")</f>
        <v>48</v>
      </c>
      <c r="O157" s="19">
        <f>IF($D157=1,INDEX(TblClusters[RAM min (Go)],$B157),"")</f>
        <v>240</v>
      </c>
      <c r="P157" s="19">
        <f>IF($D157&lt;&gt;1,"",IF($G157="ROKS",SUMIFS(TblApplications[Besoin ROKS CPU (vCPU)],TblApplications[Cluster ROKS cible],$F157,TblApplications[Action],"À migrer",TblApplications[Déjà incluse ROKS],"Non",TblApplications[Mois prov (calc)],"&lt;="&amp;$E157),SUMIFS(TblApplications[CPU IKS libérable (vCPU)],TblApplications[Cluster IKS source],$F157,TblApplications[Mois lib (calc)],"&lt;="&amp;$E157)))</f>
        <v>0</v>
      </c>
      <c r="Q157" s="19">
        <f>IF($D157&lt;&gt;1,"",IF($G157="ROKS",SUMIFS(TblApplications[Besoin ROKS RAM (Go)],TblApplications[Cluster ROKS cible],$F157,TblApplications[Action],"À migrer",TblApplications[Déjà incluse ROKS],"Non",TblApplications[Mois prov (calc)],"&lt;="&amp;$E157),SUMIFS(TblApplications[RAM IKS libérable (Go)],TblApplications[Cluster IKS source],$F157,TblApplications[Mois lib (calc)],"&lt;="&amp;$E157)))</f>
        <v>0</v>
      </c>
      <c r="R157" s="19">
        <f t="shared" si="37"/>
        <v>48</v>
      </c>
      <c r="S157" s="19">
        <f t="shared" si="38"/>
        <v>240</v>
      </c>
      <c r="T157" s="19">
        <f t="shared" si="39"/>
        <v>6</v>
      </c>
      <c r="U157" s="19">
        <f t="shared" si="40"/>
        <v>48</v>
      </c>
      <c r="V157" s="19">
        <f t="shared" si="41"/>
        <v>240</v>
      </c>
      <c r="W157" s="73">
        <f t="shared" si="42"/>
        <v>2208</v>
      </c>
      <c r="X157" s="19">
        <f>IF($D157&lt;&gt;1,"",IF($G157="ROKS",$R157,IF($AI157=1,0,MAX($N157,$L157-SUMIFS(TblApplications[CPU IKS libérable (vCPU)],TblApplications[Cluster IKS source],$F157,TblApplications[Action],"À migrer",TblApplications[Mois prov (calc)],"&lt;="&amp;$E157)-SUMIFS(TblApplications[CPU IKS libérable (vCPU)],TblApplications[Cluster IKS source],$F157,TblApplications[Action],"À décommissionner",TblApplications[Mois lib (calc)],"&lt;="&amp;$E157)))))</f>
        <v>48</v>
      </c>
      <c r="Y157" s="19">
        <f>IF($D157&lt;&gt;1,"",IF($G157="ROKS",$S157,IF($AI157=1,0,MAX($O157,$M157-SUMIFS(TblApplications[RAM IKS libérable (Go)],TblApplications[Cluster IKS source],$F157,TblApplications[Action],"À migrer",TblApplications[Mois prov (calc)],"&lt;="&amp;$E157)-SUMIFS(TblApplications[RAM IKS libérable (Go)],TblApplications[Cluster IKS source],$F157,TblApplications[Action],"À décommissionner",TblApplications[Mois lib (calc)],"&lt;="&amp;$E157)))))</f>
        <v>240</v>
      </c>
      <c r="Z157" s="19">
        <f t="shared" si="43"/>
        <v>6</v>
      </c>
      <c r="AA157" s="73">
        <f t="shared" si="44"/>
        <v>2208</v>
      </c>
      <c r="AB157" s="19">
        <f t="shared" si="45"/>
        <v>6</v>
      </c>
      <c r="AC157" s="73">
        <f t="shared" si="46"/>
        <v>2208</v>
      </c>
      <c r="AD157" s="19">
        <f t="shared" si="47"/>
        <v>0</v>
      </c>
      <c r="AE157" s="19">
        <f t="shared" si="48"/>
        <v>0</v>
      </c>
      <c r="AF157" s="19" t="str">
        <f>IF($D157&lt;&gt;1,"",IF(INDEX(TblClusters[Environnement],$B157)="","(vide)",INDEX(TblClusters[Environnement],$B157)))</f>
        <v>NPRD</v>
      </c>
      <c r="AG157" s="19">
        <f t="shared" si="49"/>
        <v>72</v>
      </c>
      <c r="AH157" s="19">
        <f t="shared" si="50"/>
        <v>30.666666666666668</v>
      </c>
      <c r="AI157" s="19">
        <f>IF($D157&lt;&gt;1,"",IF(AND($G157="IKS",ISNUMBER(INDEX(TblClusters[Fermeture retenue],$B157))),IF($E157&gt;=INDEX(TblClusters[Fermeture retenue],$B157),1,0),0))</f>
        <v>0</v>
      </c>
    </row>
    <row r="158" spans="1:35" x14ac:dyDescent="0.2">
      <c r="A158" s="19">
        <v>153</v>
      </c>
      <c r="B158" s="19">
        <f t="shared" si="34"/>
        <v>5</v>
      </c>
      <c r="C158" s="19">
        <f t="shared" si="35"/>
        <v>9</v>
      </c>
      <c r="D158" s="19">
        <f>IF($C158&gt;p_horizon,0,IFERROR(IF(AND(INDEX(TblClusters[Cluster],$B158)&lt;&gt;"",ISNUMBER(INDEX(TblClusters[CPU initial (vCPU)],$B158)),ISNUMBER(INDEX(TblClusters[CPU min (vCPU)],$B158)),OR(INDEX(TblClusters[Plateforme],$B158)="IKS",INDEX(TblClusters[Plateforme],$B158)="ROKS")),1,0),0))</f>
        <v>1</v>
      </c>
      <c r="E158" s="72">
        <f t="shared" si="36"/>
        <v>46539</v>
      </c>
      <c r="F158" s="19" t="str">
        <f>IF($D158=1,INDEX(TblClusters[Cluster],$B158),"")</f>
        <v>oc002i000849</v>
      </c>
      <c r="G158" s="19" t="str">
        <f>IF($D158=1,INDEX(TblClusters[Plateforme],$B158),"")</f>
        <v>ROKS</v>
      </c>
      <c r="H158" s="19">
        <f>IF($D158=1,INDEX(TblClusters[vCPU par nœud],$B158),"")</f>
        <v>8</v>
      </c>
      <c r="I158" s="19">
        <f>IF($D158=1,INDEX(TblClusters[RAM par nœud (Go)],$B158),"")</f>
        <v>40</v>
      </c>
      <c r="J158" s="19">
        <f>IF($D158=1,INDEX(TblClusters[Workers min],$B158),"")</f>
        <v>6</v>
      </c>
      <c r="K158" s="73">
        <f>IF($D158=1,INDEX(TblClusters[Tarif par nœud],$B158),"")</f>
        <v>368</v>
      </c>
      <c r="L158" s="19">
        <f>IF($D158=1,INDEX(TblClusters[CPU initial (vCPU)],$B158),"")</f>
        <v>48</v>
      </c>
      <c r="M158" s="19">
        <f>IF($D158=1,INDEX(TblClusters[RAM initiale (Go)],$B158),"")</f>
        <v>240</v>
      </c>
      <c r="N158" s="19">
        <f>IF($D158=1,INDEX(TblClusters[CPU min (vCPU)],$B158),"")</f>
        <v>48</v>
      </c>
      <c r="O158" s="19">
        <f>IF($D158=1,INDEX(TblClusters[RAM min (Go)],$B158),"")</f>
        <v>240</v>
      </c>
      <c r="P158" s="19">
        <f>IF($D158&lt;&gt;1,"",IF($G158="ROKS",SUMIFS(TblApplications[Besoin ROKS CPU (vCPU)],TblApplications[Cluster ROKS cible],$F158,TblApplications[Action],"À migrer",TblApplications[Déjà incluse ROKS],"Non",TblApplications[Mois prov (calc)],"&lt;="&amp;$E158),SUMIFS(TblApplications[CPU IKS libérable (vCPU)],TblApplications[Cluster IKS source],$F158,TblApplications[Mois lib (calc)],"&lt;="&amp;$E158)))</f>
        <v>0</v>
      </c>
      <c r="Q158" s="19">
        <f>IF($D158&lt;&gt;1,"",IF($G158="ROKS",SUMIFS(TblApplications[Besoin ROKS RAM (Go)],TblApplications[Cluster ROKS cible],$F158,TblApplications[Action],"À migrer",TblApplications[Déjà incluse ROKS],"Non",TblApplications[Mois prov (calc)],"&lt;="&amp;$E158),SUMIFS(TblApplications[RAM IKS libérable (Go)],TblApplications[Cluster IKS source],$F158,TblApplications[Mois lib (calc)],"&lt;="&amp;$E158)))</f>
        <v>0</v>
      </c>
      <c r="R158" s="19">
        <f t="shared" si="37"/>
        <v>48</v>
      </c>
      <c r="S158" s="19">
        <f t="shared" si="38"/>
        <v>240</v>
      </c>
      <c r="T158" s="19">
        <f t="shared" si="39"/>
        <v>6</v>
      </c>
      <c r="U158" s="19">
        <f t="shared" si="40"/>
        <v>48</v>
      </c>
      <c r="V158" s="19">
        <f t="shared" si="41"/>
        <v>240</v>
      </c>
      <c r="W158" s="73">
        <f t="shared" si="42"/>
        <v>2208</v>
      </c>
      <c r="X158" s="19">
        <f>IF($D158&lt;&gt;1,"",IF($G158="ROKS",$R158,IF($AI158=1,0,MAX($N158,$L158-SUMIFS(TblApplications[CPU IKS libérable (vCPU)],TblApplications[Cluster IKS source],$F158,TblApplications[Action],"À migrer",TblApplications[Mois prov (calc)],"&lt;="&amp;$E158)-SUMIFS(TblApplications[CPU IKS libérable (vCPU)],TblApplications[Cluster IKS source],$F158,TblApplications[Action],"À décommissionner",TblApplications[Mois lib (calc)],"&lt;="&amp;$E158)))))</f>
        <v>48</v>
      </c>
      <c r="Y158" s="19">
        <f>IF($D158&lt;&gt;1,"",IF($G158="ROKS",$S158,IF($AI158=1,0,MAX($O158,$M158-SUMIFS(TblApplications[RAM IKS libérable (Go)],TblApplications[Cluster IKS source],$F158,TblApplications[Action],"À migrer",TblApplications[Mois prov (calc)],"&lt;="&amp;$E158)-SUMIFS(TblApplications[RAM IKS libérable (Go)],TblApplications[Cluster IKS source],$F158,TblApplications[Action],"À décommissionner",TblApplications[Mois lib (calc)],"&lt;="&amp;$E158)))))</f>
        <v>240</v>
      </c>
      <c r="Z158" s="19">
        <f t="shared" si="43"/>
        <v>6</v>
      </c>
      <c r="AA158" s="73">
        <f t="shared" si="44"/>
        <v>2208</v>
      </c>
      <c r="AB158" s="19">
        <f t="shared" si="45"/>
        <v>6</v>
      </c>
      <c r="AC158" s="73">
        <f t="shared" si="46"/>
        <v>2208</v>
      </c>
      <c r="AD158" s="19">
        <f t="shared" si="47"/>
        <v>0</v>
      </c>
      <c r="AE158" s="19">
        <f t="shared" si="48"/>
        <v>0</v>
      </c>
      <c r="AF158" s="19" t="str">
        <f>IF($D158&lt;&gt;1,"",IF(INDEX(TblClusters[Environnement],$B158)="","(vide)",INDEX(TblClusters[Environnement],$B158)))</f>
        <v>NPRD</v>
      </c>
      <c r="AG158" s="19">
        <f t="shared" si="49"/>
        <v>72</v>
      </c>
      <c r="AH158" s="19">
        <f t="shared" si="50"/>
        <v>30.666666666666668</v>
      </c>
      <c r="AI158" s="19">
        <f>IF($D158&lt;&gt;1,"",IF(AND($G158="IKS",ISNUMBER(INDEX(TblClusters[Fermeture retenue],$B158))),IF($E158&gt;=INDEX(TblClusters[Fermeture retenue],$B158),1,0),0))</f>
        <v>0</v>
      </c>
    </row>
    <row r="159" spans="1:35" x14ac:dyDescent="0.2">
      <c r="A159" s="19">
        <v>154</v>
      </c>
      <c r="B159" s="19">
        <f t="shared" si="34"/>
        <v>5</v>
      </c>
      <c r="C159" s="19">
        <f t="shared" si="35"/>
        <v>10</v>
      </c>
      <c r="D159" s="19">
        <f>IF($C159&gt;p_horizon,0,IFERROR(IF(AND(INDEX(TblClusters[Cluster],$B159)&lt;&gt;"",ISNUMBER(INDEX(TblClusters[CPU initial (vCPU)],$B159)),ISNUMBER(INDEX(TblClusters[CPU min (vCPU)],$B159)),OR(INDEX(TblClusters[Plateforme],$B159)="IKS",INDEX(TblClusters[Plateforme],$B159)="ROKS")),1,0),0))</f>
        <v>1</v>
      </c>
      <c r="E159" s="72">
        <f t="shared" si="36"/>
        <v>46569</v>
      </c>
      <c r="F159" s="19" t="str">
        <f>IF($D159=1,INDEX(TblClusters[Cluster],$B159),"")</f>
        <v>oc002i000849</v>
      </c>
      <c r="G159" s="19" t="str">
        <f>IF($D159=1,INDEX(TblClusters[Plateforme],$B159),"")</f>
        <v>ROKS</v>
      </c>
      <c r="H159" s="19">
        <f>IF($D159=1,INDEX(TblClusters[vCPU par nœud],$B159),"")</f>
        <v>8</v>
      </c>
      <c r="I159" s="19">
        <f>IF($D159=1,INDEX(TblClusters[RAM par nœud (Go)],$B159),"")</f>
        <v>40</v>
      </c>
      <c r="J159" s="19">
        <f>IF($D159=1,INDEX(TblClusters[Workers min],$B159),"")</f>
        <v>6</v>
      </c>
      <c r="K159" s="73">
        <f>IF($D159=1,INDEX(TblClusters[Tarif par nœud],$B159),"")</f>
        <v>368</v>
      </c>
      <c r="L159" s="19">
        <f>IF($D159=1,INDEX(TblClusters[CPU initial (vCPU)],$B159),"")</f>
        <v>48</v>
      </c>
      <c r="M159" s="19">
        <f>IF($D159=1,INDEX(TblClusters[RAM initiale (Go)],$B159),"")</f>
        <v>240</v>
      </c>
      <c r="N159" s="19">
        <f>IF($D159=1,INDEX(TblClusters[CPU min (vCPU)],$B159),"")</f>
        <v>48</v>
      </c>
      <c r="O159" s="19">
        <f>IF($D159=1,INDEX(TblClusters[RAM min (Go)],$B159),"")</f>
        <v>240</v>
      </c>
      <c r="P159" s="19">
        <f>IF($D159&lt;&gt;1,"",IF($G159="ROKS",SUMIFS(TblApplications[Besoin ROKS CPU (vCPU)],TblApplications[Cluster ROKS cible],$F159,TblApplications[Action],"À migrer",TblApplications[Déjà incluse ROKS],"Non",TblApplications[Mois prov (calc)],"&lt;="&amp;$E159),SUMIFS(TblApplications[CPU IKS libérable (vCPU)],TblApplications[Cluster IKS source],$F159,TblApplications[Mois lib (calc)],"&lt;="&amp;$E159)))</f>
        <v>0</v>
      </c>
      <c r="Q159" s="19">
        <f>IF($D159&lt;&gt;1,"",IF($G159="ROKS",SUMIFS(TblApplications[Besoin ROKS RAM (Go)],TblApplications[Cluster ROKS cible],$F159,TblApplications[Action],"À migrer",TblApplications[Déjà incluse ROKS],"Non",TblApplications[Mois prov (calc)],"&lt;="&amp;$E159),SUMIFS(TblApplications[RAM IKS libérable (Go)],TblApplications[Cluster IKS source],$F159,TblApplications[Mois lib (calc)],"&lt;="&amp;$E159)))</f>
        <v>0</v>
      </c>
      <c r="R159" s="19">
        <f t="shared" si="37"/>
        <v>48</v>
      </c>
      <c r="S159" s="19">
        <f t="shared" si="38"/>
        <v>240</v>
      </c>
      <c r="T159" s="19">
        <f t="shared" si="39"/>
        <v>6</v>
      </c>
      <c r="U159" s="19">
        <f t="shared" si="40"/>
        <v>48</v>
      </c>
      <c r="V159" s="19">
        <f t="shared" si="41"/>
        <v>240</v>
      </c>
      <c r="W159" s="73">
        <f t="shared" si="42"/>
        <v>2208</v>
      </c>
      <c r="X159" s="19">
        <f>IF($D159&lt;&gt;1,"",IF($G159="ROKS",$R159,IF($AI159=1,0,MAX($N159,$L159-SUMIFS(TblApplications[CPU IKS libérable (vCPU)],TblApplications[Cluster IKS source],$F159,TblApplications[Action],"À migrer",TblApplications[Mois prov (calc)],"&lt;="&amp;$E159)-SUMIFS(TblApplications[CPU IKS libérable (vCPU)],TblApplications[Cluster IKS source],$F159,TblApplications[Action],"À décommissionner",TblApplications[Mois lib (calc)],"&lt;="&amp;$E159)))))</f>
        <v>48</v>
      </c>
      <c r="Y159" s="19">
        <f>IF($D159&lt;&gt;1,"",IF($G159="ROKS",$S159,IF($AI159=1,0,MAX($O159,$M159-SUMIFS(TblApplications[RAM IKS libérable (Go)],TblApplications[Cluster IKS source],$F159,TblApplications[Action],"À migrer",TblApplications[Mois prov (calc)],"&lt;="&amp;$E159)-SUMIFS(TblApplications[RAM IKS libérable (Go)],TblApplications[Cluster IKS source],$F159,TblApplications[Action],"À décommissionner",TblApplications[Mois lib (calc)],"&lt;="&amp;$E159)))))</f>
        <v>240</v>
      </c>
      <c r="Z159" s="19">
        <f t="shared" si="43"/>
        <v>6</v>
      </c>
      <c r="AA159" s="73">
        <f t="shared" si="44"/>
        <v>2208</v>
      </c>
      <c r="AB159" s="19">
        <f t="shared" si="45"/>
        <v>6</v>
      </c>
      <c r="AC159" s="73">
        <f t="shared" si="46"/>
        <v>2208</v>
      </c>
      <c r="AD159" s="19">
        <f t="shared" si="47"/>
        <v>0</v>
      </c>
      <c r="AE159" s="19">
        <f t="shared" si="48"/>
        <v>0</v>
      </c>
      <c r="AF159" s="19" t="str">
        <f>IF($D159&lt;&gt;1,"",IF(INDEX(TblClusters[Environnement],$B159)="","(vide)",INDEX(TblClusters[Environnement],$B159)))</f>
        <v>NPRD</v>
      </c>
      <c r="AG159" s="19">
        <f t="shared" si="49"/>
        <v>72</v>
      </c>
      <c r="AH159" s="19">
        <f t="shared" si="50"/>
        <v>30.666666666666668</v>
      </c>
      <c r="AI159" s="19">
        <f>IF($D159&lt;&gt;1,"",IF(AND($G159="IKS",ISNUMBER(INDEX(TblClusters[Fermeture retenue],$B159))),IF($E159&gt;=INDEX(TblClusters[Fermeture retenue],$B159),1,0),0))</f>
        <v>0</v>
      </c>
    </row>
    <row r="160" spans="1:35" x14ac:dyDescent="0.2">
      <c r="A160" s="19">
        <v>155</v>
      </c>
      <c r="B160" s="19">
        <f t="shared" si="34"/>
        <v>5</v>
      </c>
      <c r="C160" s="19">
        <f t="shared" si="35"/>
        <v>11</v>
      </c>
      <c r="D160" s="19">
        <f>IF($C160&gt;p_horizon,0,IFERROR(IF(AND(INDEX(TblClusters[Cluster],$B160)&lt;&gt;"",ISNUMBER(INDEX(TblClusters[CPU initial (vCPU)],$B160)),ISNUMBER(INDEX(TblClusters[CPU min (vCPU)],$B160)),OR(INDEX(TblClusters[Plateforme],$B160)="IKS",INDEX(TblClusters[Plateforme],$B160)="ROKS")),1,0),0))</f>
        <v>1</v>
      </c>
      <c r="E160" s="72">
        <f t="shared" si="36"/>
        <v>46600</v>
      </c>
      <c r="F160" s="19" t="str">
        <f>IF($D160=1,INDEX(TblClusters[Cluster],$B160),"")</f>
        <v>oc002i000849</v>
      </c>
      <c r="G160" s="19" t="str">
        <f>IF($D160=1,INDEX(TblClusters[Plateforme],$B160),"")</f>
        <v>ROKS</v>
      </c>
      <c r="H160" s="19">
        <f>IF($D160=1,INDEX(TblClusters[vCPU par nœud],$B160),"")</f>
        <v>8</v>
      </c>
      <c r="I160" s="19">
        <f>IF($D160=1,INDEX(TblClusters[RAM par nœud (Go)],$B160),"")</f>
        <v>40</v>
      </c>
      <c r="J160" s="19">
        <f>IF($D160=1,INDEX(TblClusters[Workers min],$B160),"")</f>
        <v>6</v>
      </c>
      <c r="K160" s="73">
        <f>IF($D160=1,INDEX(TblClusters[Tarif par nœud],$B160),"")</f>
        <v>368</v>
      </c>
      <c r="L160" s="19">
        <f>IF($D160=1,INDEX(TblClusters[CPU initial (vCPU)],$B160),"")</f>
        <v>48</v>
      </c>
      <c r="M160" s="19">
        <f>IF($D160=1,INDEX(TblClusters[RAM initiale (Go)],$B160),"")</f>
        <v>240</v>
      </c>
      <c r="N160" s="19">
        <f>IF($D160=1,INDEX(TblClusters[CPU min (vCPU)],$B160),"")</f>
        <v>48</v>
      </c>
      <c r="O160" s="19">
        <f>IF($D160=1,INDEX(TblClusters[RAM min (Go)],$B160),"")</f>
        <v>240</v>
      </c>
      <c r="P160" s="19">
        <f>IF($D160&lt;&gt;1,"",IF($G160="ROKS",SUMIFS(TblApplications[Besoin ROKS CPU (vCPU)],TblApplications[Cluster ROKS cible],$F160,TblApplications[Action],"À migrer",TblApplications[Déjà incluse ROKS],"Non",TblApplications[Mois prov (calc)],"&lt;="&amp;$E160),SUMIFS(TblApplications[CPU IKS libérable (vCPU)],TblApplications[Cluster IKS source],$F160,TblApplications[Mois lib (calc)],"&lt;="&amp;$E160)))</f>
        <v>0</v>
      </c>
      <c r="Q160" s="19">
        <f>IF($D160&lt;&gt;1,"",IF($G160="ROKS",SUMIFS(TblApplications[Besoin ROKS RAM (Go)],TblApplications[Cluster ROKS cible],$F160,TblApplications[Action],"À migrer",TblApplications[Déjà incluse ROKS],"Non",TblApplications[Mois prov (calc)],"&lt;="&amp;$E160),SUMIFS(TblApplications[RAM IKS libérable (Go)],TblApplications[Cluster IKS source],$F160,TblApplications[Mois lib (calc)],"&lt;="&amp;$E160)))</f>
        <v>0</v>
      </c>
      <c r="R160" s="19">
        <f t="shared" si="37"/>
        <v>48</v>
      </c>
      <c r="S160" s="19">
        <f t="shared" si="38"/>
        <v>240</v>
      </c>
      <c r="T160" s="19">
        <f t="shared" si="39"/>
        <v>6</v>
      </c>
      <c r="U160" s="19">
        <f t="shared" si="40"/>
        <v>48</v>
      </c>
      <c r="V160" s="19">
        <f t="shared" si="41"/>
        <v>240</v>
      </c>
      <c r="W160" s="73">
        <f t="shared" si="42"/>
        <v>2208</v>
      </c>
      <c r="X160" s="19">
        <f>IF($D160&lt;&gt;1,"",IF($G160="ROKS",$R160,IF($AI160=1,0,MAX($N160,$L160-SUMIFS(TblApplications[CPU IKS libérable (vCPU)],TblApplications[Cluster IKS source],$F160,TblApplications[Action],"À migrer",TblApplications[Mois prov (calc)],"&lt;="&amp;$E160)-SUMIFS(TblApplications[CPU IKS libérable (vCPU)],TblApplications[Cluster IKS source],$F160,TblApplications[Action],"À décommissionner",TblApplications[Mois lib (calc)],"&lt;="&amp;$E160)))))</f>
        <v>48</v>
      </c>
      <c r="Y160" s="19">
        <f>IF($D160&lt;&gt;1,"",IF($G160="ROKS",$S160,IF($AI160=1,0,MAX($O160,$M160-SUMIFS(TblApplications[RAM IKS libérable (Go)],TblApplications[Cluster IKS source],$F160,TblApplications[Action],"À migrer",TblApplications[Mois prov (calc)],"&lt;="&amp;$E160)-SUMIFS(TblApplications[RAM IKS libérable (Go)],TblApplications[Cluster IKS source],$F160,TblApplications[Action],"À décommissionner",TblApplications[Mois lib (calc)],"&lt;="&amp;$E160)))))</f>
        <v>240</v>
      </c>
      <c r="Z160" s="19">
        <f t="shared" si="43"/>
        <v>6</v>
      </c>
      <c r="AA160" s="73">
        <f t="shared" si="44"/>
        <v>2208</v>
      </c>
      <c r="AB160" s="19">
        <f t="shared" si="45"/>
        <v>6</v>
      </c>
      <c r="AC160" s="73">
        <f t="shared" si="46"/>
        <v>2208</v>
      </c>
      <c r="AD160" s="19">
        <f t="shared" si="47"/>
        <v>0</v>
      </c>
      <c r="AE160" s="19">
        <f t="shared" si="48"/>
        <v>0</v>
      </c>
      <c r="AF160" s="19" t="str">
        <f>IF($D160&lt;&gt;1,"",IF(INDEX(TblClusters[Environnement],$B160)="","(vide)",INDEX(TblClusters[Environnement],$B160)))</f>
        <v>NPRD</v>
      </c>
      <c r="AG160" s="19">
        <f t="shared" si="49"/>
        <v>72</v>
      </c>
      <c r="AH160" s="19">
        <f t="shared" si="50"/>
        <v>30.666666666666668</v>
      </c>
      <c r="AI160" s="19">
        <f>IF($D160&lt;&gt;1,"",IF(AND($G160="IKS",ISNUMBER(INDEX(TblClusters[Fermeture retenue],$B160))),IF($E160&gt;=INDEX(TblClusters[Fermeture retenue],$B160),1,0),0))</f>
        <v>0</v>
      </c>
    </row>
    <row r="161" spans="1:35" x14ac:dyDescent="0.2">
      <c r="A161" s="19">
        <v>156</v>
      </c>
      <c r="B161" s="19">
        <f t="shared" si="34"/>
        <v>5</v>
      </c>
      <c r="C161" s="19">
        <f t="shared" si="35"/>
        <v>12</v>
      </c>
      <c r="D161" s="19">
        <f>IF($C161&gt;p_horizon,0,IFERROR(IF(AND(INDEX(TblClusters[Cluster],$B161)&lt;&gt;"",ISNUMBER(INDEX(TblClusters[CPU initial (vCPU)],$B161)),ISNUMBER(INDEX(TblClusters[CPU min (vCPU)],$B161)),OR(INDEX(TblClusters[Plateforme],$B161)="IKS",INDEX(TblClusters[Plateforme],$B161)="ROKS")),1,0),0))</f>
        <v>1</v>
      </c>
      <c r="E161" s="72">
        <f t="shared" si="36"/>
        <v>46631</v>
      </c>
      <c r="F161" s="19" t="str">
        <f>IF($D161=1,INDEX(TblClusters[Cluster],$B161),"")</f>
        <v>oc002i000849</v>
      </c>
      <c r="G161" s="19" t="str">
        <f>IF($D161=1,INDEX(TblClusters[Plateforme],$B161),"")</f>
        <v>ROKS</v>
      </c>
      <c r="H161" s="19">
        <f>IF($D161=1,INDEX(TblClusters[vCPU par nœud],$B161),"")</f>
        <v>8</v>
      </c>
      <c r="I161" s="19">
        <f>IF($D161=1,INDEX(TblClusters[RAM par nœud (Go)],$B161),"")</f>
        <v>40</v>
      </c>
      <c r="J161" s="19">
        <f>IF($D161=1,INDEX(TblClusters[Workers min],$B161),"")</f>
        <v>6</v>
      </c>
      <c r="K161" s="73">
        <f>IF($D161=1,INDEX(TblClusters[Tarif par nœud],$B161),"")</f>
        <v>368</v>
      </c>
      <c r="L161" s="19">
        <f>IF($D161=1,INDEX(TblClusters[CPU initial (vCPU)],$B161),"")</f>
        <v>48</v>
      </c>
      <c r="M161" s="19">
        <f>IF($D161=1,INDEX(TblClusters[RAM initiale (Go)],$B161),"")</f>
        <v>240</v>
      </c>
      <c r="N161" s="19">
        <f>IF($D161=1,INDEX(TblClusters[CPU min (vCPU)],$B161),"")</f>
        <v>48</v>
      </c>
      <c r="O161" s="19">
        <f>IF($D161=1,INDEX(TblClusters[RAM min (Go)],$B161),"")</f>
        <v>240</v>
      </c>
      <c r="P161" s="19">
        <f>IF($D161&lt;&gt;1,"",IF($G161="ROKS",SUMIFS(TblApplications[Besoin ROKS CPU (vCPU)],TblApplications[Cluster ROKS cible],$F161,TblApplications[Action],"À migrer",TblApplications[Déjà incluse ROKS],"Non",TblApplications[Mois prov (calc)],"&lt;="&amp;$E161),SUMIFS(TblApplications[CPU IKS libérable (vCPU)],TblApplications[Cluster IKS source],$F161,TblApplications[Mois lib (calc)],"&lt;="&amp;$E161)))</f>
        <v>0</v>
      </c>
      <c r="Q161" s="19">
        <f>IF($D161&lt;&gt;1,"",IF($G161="ROKS",SUMIFS(TblApplications[Besoin ROKS RAM (Go)],TblApplications[Cluster ROKS cible],$F161,TblApplications[Action],"À migrer",TblApplications[Déjà incluse ROKS],"Non",TblApplications[Mois prov (calc)],"&lt;="&amp;$E161),SUMIFS(TblApplications[RAM IKS libérable (Go)],TblApplications[Cluster IKS source],$F161,TblApplications[Mois lib (calc)],"&lt;="&amp;$E161)))</f>
        <v>0</v>
      </c>
      <c r="R161" s="19">
        <f t="shared" si="37"/>
        <v>48</v>
      </c>
      <c r="S161" s="19">
        <f t="shared" si="38"/>
        <v>240</v>
      </c>
      <c r="T161" s="19">
        <f t="shared" si="39"/>
        <v>6</v>
      </c>
      <c r="U161" s="19">
        <f t="shared" si="40"/>
        <v>48</v>
      </c>
      <c r="V161" s="19">
        <f t="shared" si="41"/>
        <v>240</v>
      </c>
      <c r="W161" s="73">
        <f t="shared" si="42"/>
        <v>2208</v>
      </c>
      <c r="X161" s="19">
        <f>IF($D161&lt;&gt;1,"",IF($G161="ROKS",$R161,IF($AI161=1,0,MAX($N161,$L161-SUMIFS(TblApplications[CPU IKS libérable (vCPU)],TblApplications[Cluster IKS source],$F161,TblApplications[Action],"À migrer",TblApplications[Mois prov (calc)],"&lt;="&amp;$E161)-SUMIFS(TblApplications[CPU IKS libérable (vCPU)],TblApplications[Cluster IKS source],$F161,TblApplications[Action],"À décommissionner",TblApplications[Mois lib (calc)],"&lt;="&amp;$E161)))))</f>
        <v>48</v>
      </c>
      <c r="Y161" s="19">
        <f>IF($D161&lt;&gt;1,"",IF($G161="ROKS",$S161,IF($AI161=1,0,MAX($O161,$M161-SUMIFS(TblApplications[RAM IKS libérable (Go)],TblApplications[Cluster IKS source],$F161,TblApplications[Action],"À migrer",TblApplications[Mois prov (calc)],"&lt;="&amp;$E161)-SUMIFS(TblApplications[RAM IKS libérable (Go)],TblApplications[Cluster IKS source],$F161,TblApplications[Action],"À décommissionner",TblApplications[Mois lib (calc)],"&lt;="&amp;$E161)))))</f>
        <v>240</v>
      </c>
      <c r="Z161" s="19">
        <f t="shared" si="43"/>
        <v>6</v>
      </c>
      <c r="AA161" s="73">
        <f t="shared" si="44"/>
        <v>2208</v>
      </c>
      <c r="AB161" s="19">
        <f t="shared" si="45"/>
        <v>6</v>
      </c>
      <c r="AC161" s="73">
        <f t="shared" si="46"/>
        <v>2208</v>
      </c>
      <c r="AD161" s="19">
        <f t="shared" si="47"/>
        <v>0</v>
      </c>
      <c r="AE161" s="19">
        <f t="shared" si="48"/>
        <v>0</v>
      </c>
      <c r="AF161" s="19" t="str">
        <f>IF($D161&lt;&gt;1,"",IF(INDEX(TblClusters[Environnement],$B161)="","(vide)",INDEX(TblClusters[Environnement],$B161)))</f>
        <v>NPRD</v>
      </c>
      <c r="AG161" s="19">
        <f t="shared" si="49"/>
        <v>72</v>
      </c>
      <c r="AH161" s="19">
        <f t="shared" si="50"/>
        <v>30.666666666666668</v>
      </c>
      <c r="AI161" s="19">
        <f>IF($D161&lt;&gt;1,"",IF(AND($G161="IKS",ISNUMBER(INDEX(TblClusters[Fermeture retenue],$B161))),IF($E161&gt;=INDEX(TblClusters[Fermeture retenue],$B161),1,0),0))</f>
        <v>0</v>
      </c>
    </row>
    <row r="162" spans="1:35" x14ac:dyDescent="0.2">
      <c r="A162" s="19">
        <v>157</v>
      </c>
      <c r="B162" s="19">
        <f t="shared" si="34"/>
        <v>5</v>
      </c>
      <c r="C162" s="19">
        <f t="shared" si="35"/>
        <v>13</v>
      </c>
      <c r="D162" s="19">
        <f>IF($C162&gt;p_horizon,0,IFERROR(IF(AND(INDEX(TblClusters[Cluster],$B162)&lt;&gt;"",ISNUMBER(INDEX(TblClusters[CPU initial (vCPU)],$B162)),ISNUMBER(INDEX(TblClusters[CPU min (vCPU)],$B162)),OR(INDEX(TblClusters[Plateforme],$B162)="IKS",INDEX(TblClusters[Plateforme],$B162)="ROKS")),1,0),0))</f>
        <v>1</v>
      </c>
      <c r="E162" s="72">
        <f t="shared" si="36"/>
        <v>46661</v>
      </c>
      <c r="F162" s="19" t="str">
        <f>IF($D162=1,INDEX(TblClusters[Cluster],$B162),"")</f>
        <v>oc002i000849</v>
      </c>
      <c r="G162" s="19" t="str">
        <f>IF($D162=1,INDEX(TblClusters[Plateforme],$B162),"")</f>
        <v>ROKS</v>
      </c>
      <c r="H162" s="19">
        <f>IF($D162=1,INDEX(TblClusters[vCPU par nœud],$B162),"")</f>
        <v>8</v>
      </c>
      <c r="I162" s="19">
        <f>IF($D162=1,INDEX(TblClusters[RAM par nœud (Go)],$B162),"")</f>
        <v>40</v>
      </c>
      <c r="J162" s="19">
        <f>IF($D162=1,INDEX(TblClusters[Workers min],$B162),"")</f>
        <v>6</v>
      </c>
      <c r="K162" s="73">
        <f>IF($D162=1,INDEX(TblClusters[Tarif par nœud],$B162),"")</f>
        <v>368</v>
      </c>
      <c r="L162" s="19">
        <f>IF($D162=1,INDEX(TblClusters[CPU initial (vCPU)],$B162),"")</f>
        <v>48</v>
      </c>
      <c r="M162" s="19">
        <f>IF($D162=1,INDEX(TblClusters[RAM initiale (Go)],$B162),"")</f>
        <v>240</v>
      </c>
      <c r="N162" s="19">
        <f>IF($D162=1,INDEX(TblClusters[CPU min (vCPU)],$B162),"")</f>
        <v>48</v>
      </c>
      <c r="O162" s="19">
        <f>IF($D162=1,INDEX(TblClusters[RAM min (Go)],$B162),"")</f>
        <v>240</v>
      </c>
      <c r="P162" s="19">
        <f>IF($D162&lt;&gt;1,"",IF($G162="ROKS",SUMIFS(TblApplications[Besoin ROKS CPU (vCPU)],TblApplications[Cluster ROKS cible],$F162,TblApplications[Action],"À migrer",TblApplications[Déjà incluse ROKS],"Non",TblApplications[Mois prov (calc)],"&lt;="&amp;$E162),SUMIFS(TblApplications[CPU IKS libérable (vCPU)],TblApplications[Cluster IKS source],$F162,TblApplications[Mois lib (calc)],"&lt;="&amp;$E162)))</f>
        <v>0</v>
      </c>
      <c r="Q162" s="19">
        <f>IF($D162&lt;&gt;1,"",IF($G162="ROKS",SUMIFS(TblApplications[Besoin ROKS RAM (Go)],TblApplications[Cluster ROKS cible],$F162,TblApplications[Action],"À migrer",TblApplications[Déjà incluse ROKS],"Non",TblApplications[Mois prov (calc)],"&lt;="&amp;$E162),SUMIFS(TblApplications[RAM IKS libérable (Go)],TblApplications[Cluster IKS source],$F162,TblApplications[Mois lib (calc)],"&lt;="&amp;$E162)))</f>
        <v>0</v>
      </c>
      <c r="R162" s="19">
        <f t="shared" si="37"/>
        <v>48</v>
      </c>
      <c r="S162" s="19">
        <f t="shared" si="38"/>
        <v>240</v>
      </c>
      <c r="T162" s="19">
        <f t="shared" si="39"/>
        <v>6</v>
      </c>
      <c r="U162" s="19">
        <f t="shared" si="40"/>
        <v>48</v>
      </c>
      <c r="V162" s="19">
        <f t="shared" si="41"/>
        <v>240</v>
      </c>
      <c r="W162" s="73">
        <f t="shared" si="42"/>
        <v>2208</v>
      </c>
      <c r="X162" s="19">
        <f>IF($D162&lt;&gt;1,"",IF($G162="ROKS",$R162,IF($AI162=1,0,MAX($N162,$L162-SUMIFS(TblApplications[CPU IKS libérable (vCPU)],TblApplications[Cluster IKS source],$F162,TblApplications[Action],"À migrer",TblApplications[Mois prov (calc)],"&lt;="&amp;$E162)-SUMIFS(TblApplications[CPU IKS libérable (vCPU)],TblApplications[Cluster IKS source],$F162,TblApplications[Action],"À décommissionner",TblApplications[Mois lib (calc)],"&lt;="&amp;$E162)))))</f>
        <v>48</v>
      </c>
      <c r="Y162" s="19">
        <f>IF($D162&lt;&gt;1,"",IF($G162="ROKS",$S162,IF($AI162=1,0,MAX($O162,$M162-SUMIFS(TblApplications[RAM IKS libérable (Go)],TblApplications[Cluster IKS source],$F162,TblApplications[Action],"À migrer",TblApplications[Mois prov (calc)],"&lt;="&amp;$E162)-SUMIFS(TblApplications[RAM IKS libérable (Go)],TblApplications[Cluster IKS source],$F162,TblApplications[Action],"À décommissionner",TblApplications[Mois lib (calc)],"&lt;="&amp;$E162)))))</f>
        <v>240</v>
      </c>
      <c r="Z162" s="19">
        <f t="shared" si="43"/>
        <v>6</v>
      </c>
      <c r="AA162" s="73">
        <f t="shared" si="44"/>
        <v>2208</v>
      </c>
      <c r="AB162" s="19">
        <f t="shared" si="45"/>
        <v>6</v>
      </c>
      <c r="AC162" s="73">
        <f t="shared" si="46"/>
        <v>2208</v>
      </c>
      <c r="AD162" s="19">
        <f t="shared" si="47"/>
        <v>0</v>
      </c>
      <c r="AE162" s="19">
        <f t="shared" si="48"/>
        <v>0</v>
      </c>
      <c r="AF162" s="19" t="str">
        <f>IF($D162&lt;&gt;1,"",IF(INDEX(TblClusters[Environnement],$B162)="","(vide)",INDEX(TblClusters[Environnement],$B162)))</f>
        <v>NPRD</v>
      </c>
      <c r="AG162" s="19">
        <f t="shared" si="49"/>
        <v>72</v>
      </c>
      <c r="AH162" s="19">
        <f t="shared" si="50"/>
        <v>30.666666666666668</v>
      </c>
      <c r="AI162" s="19">
        <f>IF($D162&lt;&gt;1,"",IF(AND($G162="IKS",ISNUMBER(INDEX(TblClusters[Fermeture retenue],$B162))),IF($E162&gt;=INDEX(TblClusters[Fermeture retenue],$B162),1,0),0))</f>
        <v>0</v>
      </c>
    </row>
    <row r="163" spans="1:35" x14ac:dyDescent="0.2">
      <c r="A163" s="19">
        <v>158</v>
      </c>
      <c r="B163" s="19">
        <f t="shared" si="34"/>
        <v>5</v>
      </c>
      <c r="C163" s="19">
        <f t="shared" si="35"/>
        <v>14</v>
      </c>
      <c r="D163" s="19">
        <f>IF($C163&gt;p_horizon,0,IFERROR(IF(AND(INDEX(TblClusters[Cluster],$B163)&lt;&gt;"",ISNUMBER(INDEX(TblClusters[CPU initial (vCPU)],$B163)),ISNUMBER(INDEX(TblClusters[CPU min (vCPU)],$B163)),OR(INDEX(TblClusters[Plateforme],$B163)="IKS",INDEX(TblClusters[Plateforme],$B163)="ROKS")),1,0),0))</f>
        <v>1</v>
      </c>
      <c r="E163" s="72">
        <f t="shared" si="36"/>
        <v>46692</v>
      </c>
      <c r="F163" s="19" t="str">
        <f>IF($D163=1,INDEX(TblClusters[Cluster],$B163),"")</f>
        <v>oc002i000849</v>
      </c>
      <c r="G163" s="19" t="str">
        <f>IF($D163=1,INDEX(TblClusters[Plateforme],$B163),"")</f>
        <v>ROKS</v>
      </c>
      <c r="H163" s="19">
        <f>IF($D163=1,INDEX(TblClusters[vCPU par nœud],$B163),"")</f>
        <v>8</v>
      </c>
      <c r="I163" s="19">
        <f>IF($D163=1,INDEX(TblClusters[RAM par nœud (Go)],$B163),"")</f>
        <v>40</v>
      </c>
      <c r="J163" s="19">
        <f>IF($D163=1,INDEX(TblClusters[Workers min],$B163),"")</f>
        <v>6</v>
      </c>
      <c r="K163" s="73">
        <f>IF($D163=1,INDEX(TblClusters[Tarif par nœud],$B163),"")</f>
        <v>368</v>
      </c>
      <c r="L163" s="19">
        <f>IF($D163=1,INDEX(TblClusters[CPU initial (vCPU)],$B163),"")</f>
        <v>48</v>
      </c>
      <c r="M163" s="19">
        <f>IF($D163=1,INDEX(TblClusters[RAM initiale (Go)],$B163),"")</f>
        <v>240</v>
      </c>
      <c r="N163" s="19">
        <f>IF($D163=1,INDEX(TblClusters[CPU min (vCPU)],$B163),"")</f>
        <v>48</v>
      </c>
      <c r="O163" s="19">
        <f>IF($D163=1,INDEX(TblClusters[RAM min (Go)],$B163),"")</f>
        <v>240</v>
      </c>
      <c r="P163" s="19">
        <f>IF($D163&lt;&gt;1,"",IF($G163="ROKS",SUMIFS(TblApplications[Besoin ROKS CPU (vCPU)],TblApplications[Cluster ROKS cible],$F163,TblApplications[Action],"À migrer",TblApplications[Déjà incluse ROKS],"Non",TblApplications[Mois prov (calc)],"&lt;="&amp;$E163),SUMIFS(TblApplications[CPU IKS libérable (vCPU)],TblApplications[Cluster IKS source],$F163,TblApplications[Mois lib (calc)],"&lt;="&amp;$E163)))</f>
        <v>0</v>
      </c>
      <c r="Q163" s="19">
        <f>IF($D163&lt;&gt;1,"",IF($G163="ROKS",SUMIFS(TblApplications[Besoin ROKS RAM (Go)],TblApplications[Cluster ROKS cible],$F163,TblApplications[Action],"À migrer",TblApplications[Déjà incluse ROKS],"Non",TblApplications[Mois prov (calc)],"&lt;="&amp;$E163),SUMIFS(TblApplications[RAM IKS libérable (Go)],TblApplications[Cluster IKS source],$F163,TblApplications[Mois lib (calc)],"&lt;="&amp;$E163)))</f>
        <v>0</v>
      </c>
      <c r="R163" s="19">
        <f t="shared" si="37"/>
        <v>48</v>
      </c>
      <c r="S163" s="19">
        <f t="shared" si="38"/>
        <v>240</v>
      </c>
      <c r="T163" s="19">
        <f t="shared" si="39"/>
        <v>6</v>
      </c>
      <c r="U163" s="19">
        <f t="shared" si="40"/>
        <v>48</v>
      </c>
      <c r="V163" s="19">
        <f t="shared" si="41"/>
        <v>240</v>
      </c>
      <c r="W163" s="73">
        <f t="shared" si="42"/>
        <v>2208</v>
      </c>
      <c r="X163" s="19">
        <f>IF($D163&lt;&gt;1,"",IF($G163="ROKS",$R163,IF($AI163=1,0,MAX($N163,$L163-SUMIFS(TblApplications[CPU IKS libérable (vCPU)],TblApplications[Cluster IKS source],$F163,TblApplications[Action],"À migrer",TblApplications[Mois prov (calc)],"&lt;="&amp;$E163)-SUMIFS(TblApplications[CPU IKS libérable (vCPU)],TblApplications[Cluster IKS source],$F163,TblApplications[Action],"À décommissionner",TblApplications[Mois lib (calc)],"&lt;="&amp;$E163)))))</f>
        <v>48</v>
      </c>
      <c r="Y163" s="19">
        <f>IF($D163&lt;&gt;1,"",IF($G163="ROKS",$S163,IF($AI163=1,0,MAX($O163,$M163-SUMIFS(TblApplications[RAM IKS libérable (Go)],TblApplications[Cluster IKS source],$F163,TblApplications[Action],"À migrer",TblApplications[Mois prov (calc)],"&lt;="&amp;$E163)-SUMIFS(TblApplications[RAM IKS libérable (Go)],TblApplications[Cluster IKS source],$F163,TblApplications[Action],"À décommissionner",TblApplications[Mois lib (calc)],"&lt;="&amp;$E163)))))</f>
        <v>240</v>
      </c>
      <c r="Z163" s="19">
        <f t="shared" si="43"/>
        <v>6</v>
      </c>
      <c r="AA163" s="73">
        <f t="shared" si="44"/>
        <v>2208</v>
      </c>
      <c r="AB163" s="19">
        <f t="shared" si="45"/>
        <v>6</v>
      </c>
      <c r="AC163" s="73">
        <f t="shared" si="46"/>
        <v>2208</v>
      </c>
      <c r="AD163" s="19">
        <f t="shared" si="47"/>
        <v>0</v>
      </c>
      <c r="AE163" s="19">
        <f t="shared" si="48"/>
        <v>0</v>
      </c>
      <c r="AF163" s="19" t="str">
        <f>IF($D163&lt;&gt;1,"",IF(INDEX(TblClusters[Environnement],$B163)="","(vide)",INDEX(TblClusters[Environnement],$B163)))</f>
        <v>NPRD</v>
      </c>
      <c r="AG163" s="19">
        <f t="shared" si="49"/>
        <v>72</v>
      </c>
      <c r="AH163" s="19">
        <f t="shared" si="50"/>
        <v>30.666666666666668</v>
      </c>
      <c r="AI163" s="19">
        <f>IF($D163&lt;&gt;1,"",IF(AND($G163="IKS",ISNUMBER(INDEX(TblClusters[Fermeture retenue],$B163))),IF($E163&gt;=INDEX(TblClusters[Fermeture retenue],$B163),1,0),0))</f>
        <v>0</v>
      </c>
    </row>
    <row r="164" spans="1:35" x14ac:dyDescent="0.2">
      <c r="A164" s="19">
        <v>159</v>
      </c>
      <c r="B164" s="19">
        <f t="shared" si="34"/>
        <v>5</v>
      </c>
      <c r="C164" s="19">
        <f t="shared" si="35"/>
        <v>15</v>
      </c>
      <c r="D164" s="19">
        <f>IF($C164&gt;p_horizon,0,IFERROR(IF(AND(INDEX(TblClusters[Cluster],$B164)&lt;&gt;"",ISNUMBER(INDEX(TblClusters[CPU initial (vCPU)],$B164)),ISNUMBER(INDEX(TblClusters[CPU min (vCPU)],$B164)),OR(INDEX(TblClusters[Plateforme],$B164)="IKS",INDEX(TblClusters[Plateforme],$B164)="ROKS")),1,0),0))</f>
        <v>1</v>
      </c>
      <c r="E164" s="72">
        <f t="shared" si="36"/>
        <v>46722</v>
      </c>
      <c r="F164" s="19" t="str">
        <f>IF($D164=1,INDEX(TblClusters[Cluster],$B164),"")</f>
        <v>oc002i000849</v>
      </c>
      <c r="G164" s="19" t="str">
        <f>IF($D164=1,INDEX(TblClusters[Plateforme],$B164),"")</f>
        <v>ROKS</v>
      </c>
      <c r="H164" s="19">
        <f>IF($D164=1,INDEX(TblClusters[vCPU par nœud],$B164),"")</f>
        <v>8</v>
      </c>
      <c r="I164" s="19">
        <f>IF($D164=1,INDEX(TblClusters[RAM par nœud (Go)],$B164),"")</f>
        <v>40</v>
      </c>
      <c r="J164" s="19">
        <f>IF($D164=1,INDEX(TblClusters[Workers min],$B164),"")</f>
        <v>6</v>
      </c>
      <c r="K164" s="73">
        <f>IF($D164=1,INDEX(TblClusters[Tarif par nœud],$B164),"")</f>
        <v>368</v>
      </c>
      <c r="L164" s="19">
        <f>IF($D164=1,INDEX(TblClusters[CPU initial (vCPU)],$B164),"")</f>
        <v>48</v>
      </c>
      <c r="M164" s="19">
        <f>IF($D164=1,INDEX(TblClusters[RAM initiale (Go)],$B164),"")</f>
        <v>240</v>
      </c>
      <c r="N164" s="19">
        <f>IF($D164=1,INDEX(TblClusters[CPU min (vCPU)],$B164),"")</f>
        <v>48</v>
      </c>
      <c r="O164" s="19">
        <f>IF($D164=1,INDEX(TblClusters[RAM min (Go)],$B164),"")</f>
        <v>240</v>
      </c>
      <c r="P164" s="19">
        <f>IF($D164&lt;&gt;1,"",IF($G164="ROKS",SUMIFS(TblApplications[Besoin ROKS CPU (vCPU)],TblApplications[Cluster ROKS cible],$F164,TblApplications[Action],"À migrer",TblApplications[Déjà incluse ROKS],"Non",TblApplications[Mois prov (calc)],"&lt;="&amp;$E164),SUMIFS(TblApplications[CPU IKS libérable (vCPU)],TblApplications[Cluster IKS source],$F164,TblApplications[Mois lib (calc)],"&lt;="&amp;$E164)))</f>
        <v>0</v>
      </c>
      <c r="Q164" s="19">
        <f>IF($D164&lt;&gt;1,"",IF($G164="ROKS",SUMIFS(TblApplications[Besoin ROKS RAM (Go)],TblApplications[Cluster ROKS cible],$F164,TblApplications[Action],"À migrer",TblApplications[Déjà incluse ROKS],"Non",TblApplications[Mois prov (calc)],"&lt;="&amp;$E164),SUMIFS(TblApplications[RAM IKS libérable (Go)],TblApplications[Cluster IKS source],$F164,TblApplications[Mois lib (calc)],"&lt;="&amp;$E164)))</f>
        <v>0</v>
      </c>
      <c r="R164" s="19">
        <f t="shared" si="37"/>
        <v>48</v>
      </c>
      <c r="S164" s="19">
        <f t="shared" si="38"/>
        <v>240</v>
      </c>
      <c r="T164" s="19">
        <f t="shared" si="39"/>
        <v>6</v>
      </c>
      <c r="U164" s="19">
        <f t="shared" si="40"/>
        <v>48</v>
      </c>
      <c r="V164" s="19">
        <f t="shared" si="41"/>
        <v>240</v>
      </c>
      <c r="W164" s="73">
        <f t="shared" si="42"/>
        <v>2208</v>
      </c>
      <c r="X164" s="19">
        <f>IF($D164&lt;&gt;1,"",IF($G164="ROKS",$R164,IF($AI164=1,0,MAX($N164,$L164-SUMIFS(TblApplications[CPU IKS libérable (vCPU)],TblApplications[Cluster IKS source],$F164,TblApplications[Action],"À migrer",TblApplications[Mois prov (calc)],"&lt;="&amp;$E164)-SUMIFS(TblApplications[CPU IKS libérable (vCPU)],TblApplications[Cluster IKS source],$F164,TblApplications[Action],"À décommissionner",TblApplications[Mois lib (calc)],"&lt;="&amp;$E164)))))</f>
        <v>48</v>
      </c>
      <c r="Y164" s="19">
        <f>IF($D164&lt;&gt;1,"",IF($G164="ROKS",$S164,IF($AI164=1,0,MAX($O164,$M164-SUMIFS(TblApplications[RAM IKS libérable (Go)],TblApplications[Cluster IKS source],$F164,TblApplications[Action],"À migrer",TblApplications[Mois prov (calc)],"&lt;="&amp;$E164)-SUMIFS(TblApplications[RAM IKS libérable (Go)],TblApplications[Cluster IKS source],$F164,TblApplications[Action],"À décommissionner",TblApplications[Mois lib (calc)],"&lt;="&amp;$E164)))))</f>
        <v>240</v>
      </c>
      <c r="Z164" s="19">
        <f t="shared" si="43"/>
        <v>6</v>
      </c>
      <c r="AA164" s="73">
        <f t="shared" si="44"/>
        <v>2208</v>
      </c>
      <c r="AB164" s="19">
        <f t="shared" si="45"/>
        <v>6</v>
      </c>
      <c r="AC164" s="73">
        <f t="shared" si="46"/>
        <v>2208</v>
      </c>
      <c r="AD164" s="19">
        <f t="shared" si="47"/>
        <v>0</v>
      </c>
      <c r="AE164" s="19">
        <f t="shared" si="48"/>
        <v>0</v>
      </c>
      <c r="AF164" s="19" t="str">
        <f>IF($D164&lt;&gt;1,"",IF(INDEX(TblClusters[Environnement],$B164)="","(vide)",INDEX(TblClusters[Environnement],$B164)))</f>
        <v>NPRD</v>
      </c>
      <c r="AG164" s="19">
        <f t="shared" si="49"/>
        <v>72</v>
      </c>
      <c r="AH164" s="19">
        <f t="shared" si="50"/>
        <v>30.666666666666668</v>
      </c>
      <c r="AI164" s="19">
        <f>IF($D164&lt;&gt;1,"",IF(AND($G164="IKS",ISNUMBER(INDEX(TblClusters[Fermeture retenue],$B164))),IF($E164&gt;=INDEX(TblClusters[Fermeture retenue],$B164),1,0),0))</f>
        <v>0</v>
      </c>
    </row>
    <row r="165" spans="1:35" x14ac:dyDescent="0.2">
      <c r="A165" s="19">
        <v>160</v>
      </c>
      <c r="B165" s="19">
        <f t="shared" si="34"/>
        <v>5</v>
      </c>
      <c r="C165" s="19">
        <f t="shared" si="35"/>
        <v>16</v>
      </c>
      <c r="D165" s="19">
        <f>IF($C165&gt;p_horizon,0,IFERROR(IF(AND(INDEX(TblClusters[Cluster],$B165)&lt;&gt;"",ISNUMBER(INDEX(TblClusters[CPU initial (vCPU)],$B165)),ISNUMBER(INDEX(TblClusters[CPU min (vCPU)],$B165)),OR(INDEX(TblClusters[Plateforme],$B165)="IKS",INDEX(TblClusters[Plateforme],$B165)="ROKS")),1,0),0))</f>
        <v>1</v>
      </c>
      <c r="E165" s="72">
        <f t="shared" si="36"/>
        <v>46753</v>
      </c>
      <c r="F165" s="19" t="str">
        <f>IF($D165=1,INDEX(TblClusters[Cluster],$B165),"")</f>
        <v>oc002i000849</v>
      </c>
      <c r="G165" s="19" t="str">
        <f>IF($D165=1,INDEX(TblClusters[Plateforme],$B165),"")</f>
        <v>ROKS</v>
      </c>
      <c r="H165" s="19">
        <f>IF($D165=1,INDEX(TblClusters[vCPU par nœud],$B165),"")</f>
        <v>8</v>
      </c>
      <c r="I165" s="19">
        <f>IF($D165=1,INDEX(TblClusters[RAM par nœud (Go)],$B165),"")</f>
        <v>40</v>
      </c>
      <c r="J165" s="19">
        <f>IF($D165=1,INDEX(TblClusters[Workers min],$B165),"")</f>
        <v>6</v>
      </c>
      <c r="K165" s="73">
        <f>IF($D165=1,INDEX(TblClusters[Tarif par nœud],$B165),"")</f>
        <v>368</v>
      </c>
      <c r="L165" s="19">
        <f>IF($D165=1,INDEX(TblClusters[CPU initial (vCPU)],$B165),"")</f>
        <v>48</v>
      </c>
      <c r="M165" s="19">
        <f>IF($D165=1,INDEX(TblClusters[RAM initiale (Go)],$B165),"")</f>
        <v>240</v>
      </c>
      <c r="N165" s="19">
        <f>IF($D165=1,INDEX(TblClusters[CPU min (vCPU)],$B165),"")</f>
        <v>48</v>
      </c>
      <c r="O165" s="19">
        <f>IF($D165=1,INDEX(TblClusters[RAM min (Go)],$B165),"")</f>
        <v>240</v>
      </c>
      <c r="P165" s="19">
        <f>IF($D165&lt;&gt;1,"",IF($G165="ROKS",SUMIFS(TblApplications[Besoin ROKS CPU (vCPU)],TblApplications[Cluster ROKS cible],$F165,TblApplications[Action],"À migrer",TblApplications[Déjà incluse ROKS],"Non",TblApplications[Mois prov (calc)],"&lt;="&amp;$E165),SUMIFS(TblApplications[CPU IKS libérable (vCPU)],TblApplications[Cluster IKS source],$F165,TblApplications[Mois lib (calc)],"&lt;="&amp;$E165)))</f>
        <v>0</v>
      </c>
      <c r="Q165" s="19">
        <f>IF($D165&lt;&gt;1,"",IF($G165="ROKS",SUMIFS(TblApplications[Besoin ROKS RAM (Go)],TblApplications[Cluster ROKS cible],$F165,TblApplications[Action],"À migrer",TblApplications[Déjà incluse ROKS],"Non",TblApplications[Mois prov (calc)],"&lt;="&amp;$E165),SUMIFS(TblApplications[RAM IKS libérable (Go)],TblApplications[Cluster IKS source],$F165,TblApplications[Mois lib (calc)],"&lt;="&amp;$E165)))</f>
        <v>0</v>
      </c>
      <c r="R165" s="19">
        <f t="shared" si="37"/>
        <v>48</v>
      </c>
      <c r="S165" s="19">
        <f t="shared" si="38"/>
        <v>240</v>
      </c>
      <c r="T165" s="19">
        <f t="shared" si="39"/>
        <v>6</v>
      </c>
      <c r="U165" s="19">
        <f t="shared" si="40"/>
        <v>48</v>
      </c>
      <c r="V165" s="19">
        <f t="shared" si="41"/>
        <v>240</v>
      </c>
      <c r="W165" s="73">
        <f t="shared" si="42"/>
        <v>2208</v>
      </c>
      <c r="X165" s="19">
        <f>IF($D165&lt;&gt;1,"",IF($G165="ROKS",$R165,IF($AI165=1,0,MAX($N165,$L165-SUMIFS(TblApplications[CPU IKS libérable (vCPU)],TblApplications[Cluster IKS source],$F165,TblApplications[Action],"À migrer",TblApplications[Mois prov (calc)],"&lt;="&amp;$E165)-SUMIFS(TblApplications[CPU IKS libérable (vCPU)],TblApplications[Cluster IKS source],$F165,TblApplications[Action],"À décommissionner",TblApplications[Mois lib (calc)],"&lt;="&amp;$E165)))))</f>
        <v>48</v>
      </c>
      <c r="Y165" s="19">
        <f>IF($D165&lt;&gt;1,"",IF($G165="ROKS",$S165,IF($AI165=1,0,MAX($O165,$M165-SUMIFS(TblApplications[RAM IKS libérable (Go)],TblApplications[Cluster IKS source],$F165,TblApplications[Action],"À migrer",TblApplications[Mois prov (calc)],"&lt;="&amp;$E165)-SUMIFS(TblApplications[RAM IKS libérable (Go)],TblApplications[Cluster IKS source],$F165,TblApplications[Action],"À décommissionner",TblApplications[Mois lib (calc)],"&lt;="&amp;$E165)))))</f>
        <v>240</v>
      </c>
      <c r="Z165" s="19">
        <f t="shared" si="43"/>
        <v>6</v>
      </c>
      <c r="AA165" s="73">
        <f t="shared" si="44"/>
        <v>2208</v>
      </c>
      <c r="AB165" s="19">
        <f t="shared" si="45"/>
        <v>6</v>
      </c>
      <c r="AC165" s="73">
        <f t="shared" si="46"/>
        <v>2208</v>
      </c>
      <c r="AD165" s="19">
        <f t="shared" si="47"/>
        <v>0</v>
      </c>
      <c r="AE165" s="19">
        <f t="shared" si="48"/>
        <v>0</v>
      </c>
      <c r="AF165" s="19" t="str">
        <f>IF($D165&lt;&gt;1,"",IF(INDEX(TblClusters[Environnement],$B165)="","(vide)",INDEX(TblClusters[Environnement],$B165)))</f>
        <v>NPRD</v>
      </c>
      <c r="AG165" s="19">
        <f t="shared" si="49"/>
        <v>72</v>
      </c>
      <c r="AH165" s="19">
        <f t="shared" si="50"/>
        <v>30.666666666666668</v>
      </c>
      <c r="AI165" s="19">
        <f>IF($D165&lt;&gt;1,"",IF(AND($G165="IKS",ISNUMBER(INDEX(TblClusters[Fermeture retenue],$B165))),IF($E165&gt;=INDEX(TblClusters[Fermeture retenue],$B165),1,0),0))</f>
        <v>0</v>
      </c>
    </row>
    <row r="166" spans="1:35" x14ac:dyDescent="0.2">
      <c r="A166" s="19">
        <v>161</v>
      </c>
      <c r="B166" s="19">
        <f t="shared" si="34"/>
        <v>5</v>
      </c>
      <c r="C166" s="19">
        <f t="shared" si="35"/>
        <v>17</v>
      </c>
      <c r="D166" s="19">
        <f>IF($C166&gt;p_horizon,0,IFERROR(IF(AND(INDEX(TblClusters[Cluster],$B166)&lt;&gt;"",ISNUMBER(INDEX(TblClusters[CPU initial (vCPU)],$B166)),ISNUMBER(INDEX(TblClusters[CPU min (vCPU)],$B166)),OR(INDEX(TblClusters[Plateforme],$B166)="IKS",INDEX(TblClusters[Plateforme],$B166)="ROKS")),1,0),0))</f>
        <v>1</v>
      </c>
      <c r="E166" s="72">
        <f t="shared" si="36"/>
        <v>46784</v>
      </c>
      <c r="F166" s="19" t="str">
        <f>IF($D166=1,INDEX(TblClusters[Cluster],$B166),"")</f>
        <v>oc002i000849</v>
      </c>
      <c r="G166" s="19" t="str">
        <f>IF($D166=1,INDEX(TblClusters[Plateforme],$B166),"")</f>
        <v>ROKS</v>
      </c>
      <c r="H166" s="19">
        <f>IF($D166=1,INDEX(TblClusters[vCPU par nœud],$B166),"")</f>
        <v>8</v>
      </c>
      <c r="I166" s="19">
        <f>IF($D166=1,INDEX(TblClusters[RAM par nœud (Go)],$B166),"")</f>
        <v>40</v>
      </c>
      <c r="J166" s="19">
        <f>IF($D166=1,INDEX(TblClusters[Workers min],$B166),"")</f>
        <v>6</v>
      </c>
      <c r="K166" s="73">
        <f>IF($D166=1,INDEX(TblClusters[Tarif par nœud],$B166),"")</f>
        <v>368</v>
      </c>
      <c r="L166" s="19">
        <f>IF($D166=1,INDEX(TblClusters[CPU initial (vCPU)],$B166),"")</f>
        <v>48</v>
      </c>
      <c r="M166" s="19">
        <f>IF($D166=1,INDEX(TblClusters[RAM initiale (Go)],$B166),"")</f>
        <v>240</v>
      </c>
      <c r="N166" s="19">
        <f>IF($D166=1,INDEX(TblClusters[CPU min (vCPU)],$B166),"")</f>
        <v>48</v>
      </c>
      <c r="O166" s="19">
        <f>IF($D166=1,INDEX(TblClusters[RAM min (Go)],$B166),"")</f>
        <v>240</v>
      </c>
      <c r="P166" s="19">
        <f>IF($D166&lt;&gt;1,"",IF($G166="ROKS",SUMIFS(TblApplications[Besoin ROKS CPU (vCPU)],TblApplications[Cluster ROKS cible],$F166,TblApplications[Action],"À migrer",TblApplications[Déjà incluse ROKS],"Non",TblApplications[Mois prov (calc)],"&lt;="&amp;$E166),SUMIFS(TblApplications[CPU IKS libérable (vCPU)],TblApplications[Cluster IKS source],$F166,TblApplications[Mois lib (calc)],"&lt;="&amp;$E166)))</f>
        <v>0</v>
      </c>
      <c r="Q166" s="19">
        <f>IF($D166&lt;&gt;1,"",IF($G166="ROKS",SUMIFS(TblApplications[Besoin ROKS RAM (Go)],TblApplications[Cluster ROKS cible],$F166,TblApplications[Action],"À migrer",TblApplications[Déjà incluse ROKS],"Non",TblApplications[Mois prov (calc)],"&lt;="&amp;$E166),SUMIFS(TblApplications[RAM IKS libérable (Go)],TblApplications[Cluster IKS source],$F166,TblApplications[Mois lib (calc)],"&lt;="&amp;$E166)))</f>
        <v>0</v>
      </c>
      <c r="R166" s="19">
        <f t="shared" si="37"/>
        <v>48</v>
      </c>
      <c r="S166" s="19">
        <f t="shared" si="38"/>
        <v>240</v>
      </c>
      <c r="T166" s="19">
        <f t="shared" si="39"/>
        <v>6</v>
      </c>
      <c r="U166" s="19">
        <f t="shared" si="40"/>
        <v>48</v>
      </c>
      <c r="V166" s="19">
        <f t="shared" si="41"/>
        <v>240</v>
      </c>
      <c r="W166" s="73">
        <f t="shared" si="42"/>
        <v>2208</v>
      </c>
      <c r="X166" s="19">
        <f>IF($D166&lt;&gt;1,"",IF($G166="ROKS",$R166,IF($AI166=1,0,MAX($N166,$L166-SUMIFS(TblApplications[CPU IKS libérable (vCPU)],TblApplications[Cluster IKS source],$F166,TblApplications[Action],"À migrer",TblApplications[Mois prov (calc)],"&lt;="&amp;$E166)-SUMIFS(TblApplications[CPU IKS libérable (vCPU)],TblApplications[Cluster IKS source],$F166,TblApplications[Action],"À décommissionner",TblApplications[Mois lib (calc)],"&lt;="&amp;$E166)))))</f>
        <v>48</v>
      </c>
      <c r="Y166" s="19">
        <f>IF($D166&lt;&gt;1,"",IF($G166="ROKS",$S166,IF($AI166=1,0,MAX($O166,$M166-SUMIFS(TblApplications[RAM IKS libérable (Go)],TblApplications[Cluster IKS source],$F166,TblApplications[Action],"À migrer",TblApplications[Mois prov (calc)],"&lt;="&amp;$E166)-SUMIFS(TblApplications[RAM IKS libérable (Go)],TblApplications[Cluster IKS source],$F166,TblApplications[Action],"À décommissionner",TblApplications[Mois lib (calc)],"&lt;="&amp;$E166)))))</f>
        <v>240</v>
      </c>
      <c r="Z166" s="19">
        <f t="shared" si="43"/>
        <v>6</v>
      </c>
      <c r="AA166" s="73">
        <f t="shared" si="44"/>
        <v>2208</v>
      </c>
      <c r="AB166" s="19">
        <f t="shared" si="45"/>
        <v>6</v>
      </c>
      <c r="AC166" s="73">
        <f t="shared" si="46"/>
        <v>2208</v>
      </c>
      <c r="AD166" s="19">
        <f t="shared" si="47"/>
        <v>0</v>
      </c>
      <c r="AE166" s="19">
        <f t="shared" si="48"/>
        <v>0</v>
      </c>
      <c r="AF166" s="19" t="str">
        <f>IF($D166&lt;&gt;1,"",IF(INDEX(TblClusters[Environnement],$B166)="","(vide)",INDEX(TblClusters[Environnement],$B166)))</f>
        <v>NPRD</v>
      </c>
      <c r="AG166" s="19">
        <f t="shared" si="49"/>
        <v>72</v>
      </c>
      <c r="AH166" s="19">
        <f t="shared" si="50"/>
        <v>30.666666666666668</v>
      </c>
      <c r="AI166" s="19">
        <f>IF($D166&lt;&gt;1,"",IF(AND($G166="IKS",ISNUMBER(INDEX(TblClusters[Fermeture retenue],$B166))),IF($E166&gt;=INDEX(TblClusters[Fermeture retenue],$B166),1,0),0))</f>
        <v>0</v>
      </c>
    </row>
    <row r="167" spans="1:35" x14ac:dyDescent="0.2">
      <c r="A167" s="19">
        <v>162</v>
      </c>
      <c r="B167" s="19">
        <f t="shared" si="34"/>
        <v>5</v>
      </c>
      <c r="C167" s="19">
        <f t="shared" si="35"/>
        <v>18</v>
      </c>
      <c r="D167" s="19">
        <f>IF($C167&gt;p_horizon,0,IFERROR(IF(AND(INDEX(TblClusters[Cluster],$B167)&lt;&gt;"",ISNUMBER(INDEX(TblClusters[CPU initial (vCPU)],$B167)),ISNUMBER(INDEX(TblClusters[CPU min (vCPU)],$B167)),OR(INDEX(TblClusters[Plateforme],$B167)="IKS",INDEX(TblClusters[Plateforme],$B167)="ROKS")),1,0),0))</f>
        <v>1</v>
      </c>
      <c r="E167" s="72">
        <f t="shared" si="36"/>
        <v>46813</v>
      </c>
      <c r="F167" s="19" t="str">
        <f>IF($D167=1,INDEX(TblClusters[Cluster],$B167),"")</f>
        <v>oc002i000849</v>
      </c>
      <c r="G167" s="19" t="str">
        <f>IF($D167=1,INDEX(TblClusters[Plateforme],$B167),"")</f>
        <v>ROKS</v>
      </c>
      <c r="H167" s="19">
        <f>IF($D167=1,INDEX(TblClusters[vCPU par nœud],$B167),"")</f>
        <v>8</v>
      </c>
      <c r="I167" s="19">
        <f>IF($D167=1,INDEX(TblClusters[RAM par nœud (Go)],$B167),"")</f>
        <v>40</v>
      </c>
      <c r="J167" s="19">
        <f>IF($D167=1,INDEX(TblClusters[Workers min],$B167),"")</f>
        <v>6</v>
      </c>
      <c r="K167" s="73">
        <f>IF($D167=1,INDEX(TblClusters[Tarif par nœud],$B167),"")</f>
        <v>368</v>
      </c>
      <c r="L167" s="19">
        <f>IF($D167=1,INDEX(TblClusters[CPU initial (vCPU)],$B167),"")</f>
        <v>48</v>
      </c>
      <c r="M167" s="19">
        <f>IF($D167=1,INDEX(TblClusters[RAM initiale (Go)],$B167),"")</f>
        <v>240</v>
      </c>
      <c r="N167" s="19">
        <f>IF($D167=1,INDEX(TblClusters[CPU min (vCPU)],$B167),"")</f>
        <v>48</v>
      </c>
      <c r="O167" s="19">
        <f>IF($D167=1,INDEX(TblClusters[RAM min (Go)],$B167),"")</f>
        <v>240</v>
      </c>
      <c r="P167" s="19">
        <f>IF($D167&lt;&gt;1,"",IF($G167="ROKS",SUMIFS(TblApplications[Besoin ROKS CPU (vCPU)],TblApplications[Cluster ROKS cible],$F167,TblApplications[Action],"À migrer",TblApplications[Déjà incluse ROKS],"Non",TblApplications[Mois prov (calc)],"&lt;="&amp;$E167),SUMIFS(TblApplications[CPU IKS libérable (vCPU)],TblApplications[Cluster IKS source],$F167,TblApplications[Mois lib (calc)],"&lt;="&amp;$E167)))</f>
        <v>0</v>
      </c>
      <c r="Q167" s="19">
        <f>IF($D167&lt;&gt;1,"",IF($G167="ROKS",SUMIFS(TblApplications[Besoin ROKS RAM (Go)],TblApplications[Cluster ROKS cible],$F167,TblApplications[Action],"À migrer",TblApplications[Déjà incluse ROKS],"Non",TblApplications[Mois prov (calc)],"&lt;="&amp;$E167),SUMIFS(TblApplications[RAM IKS libérable (Go)],TblApplications[Cluster IKS source],$F167,TblApplications[Mois lib (calc)],"&lt;="&amp;$E167)))</f>
        <v>0</v>
      </c>
      <c r="R167" s="19">
        <f t="shared" si="37"/>
        <v>48</v>
      </c>
      <c r="S167" s="19">
        <f t="shared" si="38"/>
        <v>240</v>
      </c>
      <c r="T167" s="19">
        <f t="shared" si="39"/>
        <v>6</v>
      </c>
      <c r="U167" s="19">
        <f t="shared" si="40"/>
        <v>48</v>
      </c>
      <c r="V167" s="19">
        <f t="shared" si="41"/>
        <v>240</v>
      </c>
      <c r="W167" s="73">
        <f t="shared" si="42"/>
        <v>2208</v>
      </c>
      <c r="X167" s="19">
        <f>IF($D167&lt;&gt;1,"",IF($G167="ROKS",$R167,IF($AI167=1,0,MAX($N167,$L167-SUMIFS(TblApplications[CPU IKS libérable (vCPU)],TblApplications[Cluster IKS source],$F167,TblApplications[Action],"À migrer",TblApplications[Mois prov (calc)],"&lt;="&amp;$E167)-SUMIFS(TblApplications[CPU IKS libérable (vCPU)],TblApplications[Cluster IKS source],$F167,TblApplications[Action],"À décommissionner",TblApplications[Mois lib (calc)],"&lt;="&amp;$E167)))))</f>
        <v>48</v>
      </c>
      <c r="Y167" s="19">
        <f>IF($D167&lt;&gt;1,"",IF($G167="ROKS",$S167,IF($AI167=1,0,MAX($O167,$M167-SUMIFS(TblApplications[RAM IKS libérable (Go)],TblApplications[Cluster IKS source],$F167,TblApplications[Action],"À migrer",TblApplications[Mois prov (calc)],"&lt;="&amp;$E167)-SUMIFS(TblApplications[RAM IKS libérable (Go)],TblApplications[Cluster IKS source],$F167,TblApplications[Action],"À décommissionner",TblApplications[Mois lib (calc)],"&lt;="&amp;$E167)))))</f>
        <v>240</v>
      </c>
      <c r="Z167" s="19">
        <f t="shared" si="43"/>
        <v>6</v>
      </c>
      <c r="AA167" s="73">
        <f t="shared" si="44"/>
        <v>2208</v>
      </c>
      <c r="AB167" s="19">
        <f t="shared" si="45"/>
        <v>6</v>
      </c>
      <c r="AC167" s="73">
        <f t="shared" si="46"/>
        <v>2208</v>
      </c>
      <c r="AD167" s="19">
        <f t="shared" si="47"/>
        <v>0</v>
      </c>
      <c r="AE167" s="19">
        <f t="shared" si="48"/>
        <v>0</v>
      </c>
      <c r="AF167" s="19" t="str">
        <f>IF($D167&lt;&gt;1,"",IF(INDEX(TblClusters[Environnement],$B167)="","(vide)",INDEX(TblClusters[Environnement],$B167)))</f>
        <v>NPRD</v>
      </c>
      <c r="AG167" s="19">
        <f t="shared" si="49"/>
        <v>72</v>
      </c>
      <c r="AH167" s="19">
        <f t="shared" si="50"/>
        <v>30.666666666666668</v>
      </c>
      <c r="AI167" s="19">
        <f>IF($D167&lt;&gt;1,"",IF(AND($G167="IKS",ISNUMBER(INDEX(TblClusters[Fermeture retenue],$B167))),IF($E167&gt;=INDEX(TblClusters[Fermeture retenue],$B167),1,0),0))</f>
        <v>0</v>
      </c>
    </row>
    <row r="168" spans="1:35" x14ac:dyDescent="0.2">
      <c r="A168" s="19">
        <v>163</v>
      </c>
      <c r="B168" s="19">
        <f t="shared" si="34"/>
        <v>5</v>
      </c>
      <c r="C168" s="19">
        <f t="shared" si="35"/>
        <v>19</v>
      </c>
      <c r="D168" s="19">
        <f>IF($C168&gt;p_horizon,0,IFERROR(IF(AND(INDEX(TblClusters[Cluster],$B168)&lt;&gt;"",ISNUMBER(INDEX(TblClusters[CPU initial (vCPU)],$B168)),ISNUMBER(INDEX(TblClusters[CPU min (vCPU)],$B168)),OR(INDEX(TblClusters[Plateforme],$B168)="IKS",INDEX(TblClusters[Plateforme],$B168)="ROKS")),1,0),0))</f>
        <v>1</v>
      </c>
      <c r="E168" s="72">
        <f t="shared" si="36"/>
        <v>46844</v>
      </c>
      <c r="F168" s="19" t="str">
        <f>IF($D168=1,INDEX(TblClusters[Cluster],$B168),"")</f>
        <v>oc002i000849</v>
      </c>
      <c r="G168" s="19" t="str">
        <f>IF($D168=1,INDEX(TblClusters[Plateforme],$B168),"")</f>
        <v>ROKS</v>
      </c>
      <c r="H168" s="19">
        <f>IF($D168=1,INDEX(TblClusters[vCPU par nœud],$B168),"")</f>
        <v>8</v>
      </c>
      <c r="I168" s="19">
        <f>IF($D168=1,INDEX(TblClusters[RAM par nœud (Go)],$B168),"")</f>
        <v>40</v>
      </c>
      <c r="J168" s="19">
        <f>IF($D168=1,INDEX(TblClusters[Workers min],$B168),"")</f>
        <v>6</v>
      </c>
      <c r="K168" s="73">
        <f>IF($D168=1,INDEX(TblClusters[Tarif par nœud],$B168),"")</f>
        <v>368</v>
      </c>
      <c r="L168" s="19">
        <f>IF($D168=1,INDEX(TblClusters[CPU initial (vCPU)],$B168),"")</f>
        <v>48</v>
      </c>
      <c r="M168" s="19">
        <f>IF($D168=1,INDEX(TblClusters[RAM initiale (Go)],$B168),"")</f>
        <v>240</v>
      </c>
      <c r="N168" s="19">
        <f>IF($D168=1,INDEX(TblClusters[CPU min (vCPU)],$B168),"")</f>
        <v>48</v>
      </c>
      <c r="O168" s="19">
        <f>IF($D168=1,INDEX(TblClusters[RAM min (Go)],$B168),"")</f>
        <v>240</v>
      </c>
      <c r="P168" s="19">
        <f>IF($D168&lt;&gt;1,"",IF($G168="ROKS",SUMIFS(TblApplications[Besoin ROKS CPU (vCPU)],TblApplications[Cluster ROKS cible],$F168,TblApplications[Action],"À migrer",TblApplications[Déjà incluse ROKS],"Non",TblApplications[Mois prov (calc)],"&lt;="&amp;$E168),SUMIFS(TblApplications[CPU IKS libérable (vCPU)],TblApplications[Cluster IKS source],$F168,TblApplications[Mois lib (calc)],"&lt;="&amp;$E168)))</f>
        <v>0</v>
      </c>
      <c r="Q168" s="19">
        <f>IF($D168&lt;&gt;1,"",IF($G168="ROKS",SUMIFS(TblApplications[Besoin ROKS RAM (Go)],TblApplications[Cluster ROKS cible],$F168,TblApplications[Action],"À migrer",TblApplications[Déjà incluse ROKS],"Non",TblApplications[Mois prov (calc)],"&lt;="&amp;$E168),SUMIFS(TblApplications[RAM IKS libérable (Go)],TblApplications[Cluster IKS source],$F168,TblApplications[Mois lib (calc)],"&lt;="&amp;$E168)))</f>
        <v>0</v>
      </c>
      <c r="R168" s="19">
        <f t="shared" si="37"/>
        <v>48</v>
      </c>
      <c r="S168" s="19">
        <f t="shared" si="38"/>
        <v>240</v>
      </c>
      <c r="T168" s="19">
        <f t="shared" si="39"/>
        <v>6</v>
      </c>
      <c r="U168" s="19">
        <f t="shared" si="40"/>
        <v>48</v>
      </c>
      <c r="V168" s="19">
        <f t="shared" si="41"/>
        <v>240</v>
      </c>
      <c r="W168" s="73">
        <f t="shared" si="42"/>
        <v>2208</v>
      </c>
      <c r="X168" s="19">
        <f>IF($D168&lt;&gt;1,"",IF($G168="ROKS",$R168,IF($AI168=1,0,MAX($N168,$L168-SUMIFS(TblApplications[CPU IKS libérable (vCPU)],TblApplications[Cluster IKS source],$F168,TblApplications[Action],"À migrer",TblApplications[Mois prov (calc)],"&lt;="&amp;$E168)-SUMIFS(TblApplications[CPU IKS libérable (vCPU)],TblApplications[Cluster IKS source],$F168,TblApplications[Action],"À décommissionner",TblApplications[Mois lib (calc)],"&lt;="&amp;$E168)))))</f>
        <v>48</v>
      </c>
      <c r="Y168" s="19">
        <f>IF($D168&lt;&gt;1,"",IF($G168="ROKS",$S168,IF($AI168=1,0,MAX($O168,$M168-SUMIFS(TblApplications[RAM IKS libérable (Go)],TblApplications[Cluster IKS source],$F168,TblApplications[Action],"À migrer",TblApplications[Mois prov (calc)],"&lt;="&amp;$E168)-SUMIFS(TblApplications[RAM IKS libérable (Go)],TblApplications[Cluster IKS source],$F168,TblApplications[Action],"À décommissionner",TblApplications[Mois lib (calc)],"&lt;="&amp;$E168)))))</f>
        <v>240</v>
      </c>
      <c r="Z168" s="19">
        <f t="shared" si="43"/>
        <v>6</v>
      </c>
      <c r="AA168" s="73">
        <f t="shared" si="44"/>
        <v>2208</v>
      </c>
      <c r="AB168" s="19">
        <f t="shared" si="45"/>
        <v>6</v>
      </c>
      <c r="AC168" s="73">
        <f t="shared" si="46"/>
        <v>2208</v>
      </c>
      <c r="AD168" s="19">
        <f t="shared" si="47"/>
        <v>0</v>
      </c>
      <c r="AE168" s="19">
        <f t="shared" si="48"/>
        <v>0</v>
      </c>
      <c r="AF168" s="19" t="str">
        <f>IF($D168&lt;&gt;1,"",IF(INDEX(TblClusters[Environnement],$B168)="","(vide)",INDEX(TblClusters[Environnement],$B168)))</f>
        <v>NPRD</v>
      </c>
      <c r="AG168" s="19">
        <f t="shared" si="49"/>
        <v>72</v>
      </c>
      <c r="AH168" s="19">
        <f t="shared" si="50"/>
        <v>30.666666666666668</v>
      </c>
      <c r="AI168" s="19">
        <f>IF($D168&lt;&gt;1,"",IF(AND($G168="IKS",ISNUMBER(INDEX(TblClusters[Fermeture retenue],$B168))),IF($E168&gt;=INDEX(TblClusters[Fermeture retenue],$B168),1,0),0))</f>
        <v>0</v>
      </c>
    </row>
    <row r="169" spans="1:35" x14ac:dyDescent="0.2">
      <c r="A169" s="19">
        <v>164</v>
      </c>
      <c r="B169" s="19">
        <f t="shared" si="34"/>
        <v>5</v>
      </c>
      <c r="C169" s="19">
        <f t="shared" si="35"/>
        <v>20</v>
      </c>
      <c r="D169" s="19">
        <f>IF($C169&gt;p_horizon,0,IFERROR(IF(AND(INDEX(TblClusters[Cluster],$B169)&lt;&gt;"",ISNUMBER(INDEX(TblClusters[CPU initial (vCPU)],$B169)),ISNUMBER(INDEX(TblClusters[CPU min (vCPU)],$B169)),OR(INDEX(TblClusters[Plateforme],$B169)="IKS",INDEX(TblClusters[Plateforme],$B169)="ROKS")),1,0),0))</f>
        <v>1</v>
      </c>
      <c r="E169" s="72">
        <f t="shared" si="36"/>
        <v>46874</v>
      </c>
      <c r="F169" s="19" t="str">
        <f>IF($D169=1,INDEX(TblClusters[Cluster],$B169),"")</f>
        <v>oc002i000849</v>
      </c>
      <c r="G169" s="19" t="str">
        <f>IF($D169=1,INDEX(TblClusters[Plateforme],$B169),"")</f>
        <v>ROKS</v>
      </c>
      <c r="H169" s="19">
        <f>IF($D169=1,INDEX(TblClusters[vCPU par nœud],$B169),"")</f>
        <v>8</v>
      </c>
      <c r="I169" s="19">
        <f>IF($D169=1,INDEX(TblClusters[RAM par nœud (Go)],$B169),"")</f>
        <v>40</v>
      </c>
      <c r="J169" s="19">
        <f>IF($D169=1,INDEX(TblClusters[Workers min],$B169),"")</f>
        <v>6</v>
      </c>
      <c r="K169" s="73">
        <f>IF($D169=1,INDEX(TblClusters[Tarif par nœud],$B169),"")</f>
        <v>368</v>
      </c>
      <c r="L169" s="19">
        <f>IF($D169=1,INDEX(TblClusters[CPU initial (vCPU)],$B169),"")</f>
        <v>48</v>
      </c>
      <c r="M169" s="19">
        <f>IF($D169=1,INDEX(TblClusters[RAM initiale (Go)],$B169),"")</f>
        <v>240</v>
      </c>
      <c r="N169" s="19">
        <f>IF($D169=1,INDEX(TblClusters[CPU min (vCPU)],$B169),"")</f>
        <v>48</v>
      </c>
      <c r="O169" s="19">
        <f>IF($D169=1,INDEX(TblClusters[RAM min (Go)],$B169),"")</f>
        <v>240</v>
      </c>
      <c r="P169" s="19">
        <f>IF($D169&lt;&gt;1,"",IF($G169="ROKS",SUMIFS(TblApplications[Besoin ROKS CPU (vCPU)],TblApplications[Cluster ROKS cible],$F169,TblApplications[Action],"À migrer",TblApplications[Déjà incluse ROKS],"Non",TblApplications[Mois prov (calc)],"&lt;="&amp;$E169),SUMIFS(TblApplications[CPU IKS libérable (vCPU)],TblApplications[Cluster IKS source],$F169,TblApplications[Mois lib (calc)],"&lt;="&amp;$E169)))</f>
        <v>0</v>
      </c>
      <c r="Q169" s="19">
        <f>IF($D169&lt;&gt;1,"",IF($G169="ROKS",SUMIFS(TblApplications[Besoin ROKS RAM (Go)],TblApplications[Cluster ROKS cible],$F169,TblApplications[Action],"À migrer",TblApplications[Déjà incluse ROKS],"Non",TblApplications[Mois prov (calc)],"&lt;="&amp;$E169),SUMIFS(TblApplications[RAM IKS libérable (Go)],TblApplications[Cluster IKS source],$F169,TblApplications[Mois lib (calc)],"&lt;="&amp;$E169)))</f>
        <v>0</v>
      </c>
      <c r="R169" s="19">
        <f t="shared" si="37"/>
        <v>48</v>
      </c>
      <c r="S169" s="19">
        <f t="shared" si="38"/>
        <v>240</v>
      </c>
      <c r="T169" s="19">
        <f t="shared" si="39"/>
        <v>6</v>
      </c>
      <c r="U169" s="19">
        <f t="shared" si="40"/>
        <v>48</v>
      </c>
      <c r="V169" s="19">
        <f t="shared" si="41"/>
        <v>240</v>
      </c>
      <c r="W169" s="73">
        <f t="shared" si="42"/>
        <v>2208</v>
      </c>
      <c r="X169" s="19">
        <f>IF($D169&lt;&gt;1,"",IF($G169="ROKS",$R169,IF($AI169=1,0,MAX($N169,$L169-SUMIFS(TblApplications[CPU IKS libérable (vCPU)],TblApplications[Cluster IKS source],$F169,TblApplications[Action],"À migrer",TblApplications[Mois prov (calc)],"&lt;="&amp;$E169)-SUMIFS(TblApplications[CPU IKS libérable (vCPU)],TblApplications[Cluster IKS source],$F169,TblApplications[Action],"À décommissionner",TblApplications[Mois lib (calc)],"&lt;="&amp;$E169)))))</f>
        <v>48</v>
      </c>
      <c r="Y169" s="19">
        <f>IF($D169&lt;&gt;1,"",IF($G169="ROKS",$S169,IF($AI169=1,0,MAX($O169,$M169-SUMIFS(TblApplications[RAM IKS libérable (Go)],TblApplications[Cluster IKS source],$F169,TblApplications[Action],"À migrer",TblApplications[Mois prov (calc)],"&lt;="&amp;$E169)-SUMIFS(TblApplications[RAM IKS libérable (Go)],TblApplications[Cluster IKS source],$F169,TblApplications[Action],"À décommissionner",TblApplications[Mois lib (calc)],"&lt;="&amp;$E169)))))</f>
        <v>240</v>
      </c>
      <c r="Z169" s="19">
        <f t="shared" si="43"/>
        <v>6</v>
      </c>
      <c r="AA169" s="73">
        <f t="shared" si="44"/>
        <v>2208</v>
      </c>
      <c r="AB169" s="19">
        <f t="shared" si="45"/>
        <v>6</v>
      </c>
      <c r="AC169" s="73">
        <f t="shared" si="46"/>
        <v>2208</v>
      </c>
      <c r="AD169" s="19">
        <f t="shared" si="47"/>
        <v>0</v>
      </c>
      <c r="AE169" s="19">
        <f t="shared" si="48"/>
        <v>0</v>
      </c>
      <c r="AF169" s="19" t="str">
        <f>IF($D169&lt;&gt;1,"",IF(INDEX(TblClusters[Environnement],$B169)="","(vide)",INDEX(TblClusters[Environnement],$B169)))</f>
        <v>NPRD</v>
      </c>
      <c r="AG169" s="19">
        <f t="shared" si="49"/>
        <v>72</v>
      </c>
      <c r="AH169" s="19">
        <f t="shared" si="50"/>
        <v>30.666666666666668</v>
      </c>
      <c r="AI169" s="19">
        <f>IF($D169&lt;&gt;1,"",IF(AND($G169="IKS",ISNUMBER(INDEX(TblClusters[Fermeture retenue],$B169))),IF($E169&gt;=INDEX(TblClusters[Fermeture retenue],$B169),1,0),0))</f>
        <v>0</v>
      </c>
    </row>
    <row r="170" spans="1:35" x14ac:dyDescent="0.2">
      <c r="A170" s="19">
        <v>165</v>
      </c>
      <c r="B170" s="19">
        <f t="shared" si="34"/>
        <v>5</v>
      </c>
      <c r="C170" s="19">
        <f t="shared" si="35"/>
        <v>21</v>
      </c>
      <c r="D170" s="19">
        <f>IF($C170&gt;p_horizon,0,IFERROR(IF(AND(INDEX(TblClusters[Cluster],$B170)&lt;&gt;"",ISNUMBER(INDEX(TblClusters[CPU initial (vCPU)],$B170)),ISNUMBER(INDEX(TblClusters[CPU min (vCPU)],$B170)),OR(INDEX(TblClusters[Plateforme],$B170)="IKS",INDEX(TblClusters[Plateforme],$B170)="ROKS")),1,0),0))</f>
        <v>1</v>
      </c>
      <c r="E170" s="72">
        <f t="shared" si="36"/>
        <v>46905</v>
      </c>
      <c r="F170" s="19" t="str">
        <f>IF($D170=1,INDEX(TblClusters[Cluster],$B170),"")</f>
        <v>oc002i000849</v>
      </c>
      <c r="G170" s="19" t="str">
        <f>IF($D170=1,INDEX(TblClusters[Plateforme],$B170),"")</f>
        <v>ROKS</v>
      </c>
      <c r="H170" s="19">
        <f>IF($D170=1,INDEX(TblClusters[vCPU par nœud],$B170),"")</f>
        <v>8</v>
      </c>
      <c r="I170" s="19">
        <f>IF($D170=1,INDEX(TblClusters[RAM par nœud (Go)],$B170),"")</f>
        <v>40</v>
      </c>
      <c r="J170" s="19">
        <f>IF($D170=1,INDEX(TblClusters[Workers min],$B170),"")</f>
        <v>6</v>
      </c>
      <c r="K170" s="73">
        <f>IF($D170=1,INDEX(TblClusters[Tarif par nœud],$B170),"")</f>
        <v>368</v>
      </c>
      <c r="L170" s="19">
        <f>IF($D170=1,INDEX(TblClusters[CPU initial (vCPU)],$B170),"")</f>
        <v>48</v>
      </c>
      <c r="M170" s="19">
        <f>IF($D170=1,INDEX(TblClusters[RAM initiale (Go)],$B170),"")</f>
        <v>240</v>
      </c>
      <c r="N170" s="19">
        <f>IF($D170=1,INDEX(TblClusters[CPU min (vCPU)],$B170),"")</f>
        <v>48</v>
      </c>
      <c r="O170" s="19">
        <f>IF($D170=1,INDEX(TblClusters[RAM min (Go)],$B170),"")</f>
        <v>240</v>
      </c>
      <c r="P170" s="19">
        <f>IF($D170&lt;&gt;1,"",IF($G170="ROKS",SUMIFS(TblApplications[Besoin ROKS CPU (vCPU)],TblApplications[Cluster ROKS cible],$F170,TblApplications[Action],"À migrer",TblApplications[Déjà incluse ROKS],"Non",TblApplications[Mois prov (calc)],"&lt;="&amp;$E170),SUMIFS(TblApplications[CPU IKS libérable (vCPU)],TblApplications[Cluster IKS source],$F170,TblApplications[Mois lib (calc)],"&lt;="&amp;$E170)))</f>
        <v>0</v>
      </c>
      <c r="Q170" s="19">
        <f>IF($D170&lt;&gt;1,"",IF($G170="ROKS",SUMIFS(TblApplications[Besoin ROKS RAM (Go)],TblApplications[Cluster ROKS cible],$F170,TblApplications[Action],"À migrer",TblApplications[Déjà incluse ROKS],"Non",TblApplications[Mois prov (calc)],"&lt;="&amp;$E170),SUMIFS(TblApplications[RAM IKS libérable (Go)],TblApplications[Cluster IKS source],$F170,TblApplications[Mois lib (calc)],"&lt;="&amp;$E170)))</f>
        <v>0</v>
      </c>
      <c r="R170" s="19">
        <f t="shared" si="37"/>
        <v>48</v>
      </c>
      <c r="S170" s="19">
        <f t="shared" si="38"/>
        <v>240</v>
      </c>
      <c r="T170" s="19">
        <f t="shared" si="39"/>
        <v>6</v>
      </c>
      <c r="U170" s="19">
        <f t="shared" si="40"/>
        <v>48</v>
      </c>
      <c r="V170" s="19">
        <f t="shared" si="41"/>
        <v>240</v>
      </c>
      <c r="W170" s="73">
        <f t="shared" si="42"/>
        <v>2208</v>
      </c>
      <c r="X170" s="19">
        <f>IF($D170&lt;&gt;1,"",IF($G170="ROKS",$R170,IF($AI170=1,0,MAX($N170,$L170-SUMIFS(TblApplications[CPU IKS libérable (vCPU)],TblApplications[Cluster IKS source],$F170,TblApplications[Action],"À migrer",TblApplications[Mois prov (calc)],"&lt;="&amp;$E170)-SUMIFS(TblApplications[CPU IKS libérable (vCPU)],TblApplications[Cluster IKS source],$F170,TblApplications[Action],"À décommissionner",TblApplications[Mois lib (calc)],"&lt;="&amp;$E170)))))</f>
        <v>48</v>
      </c>
      <c r="Y170" s="19">
        <f>IF($D170&lt;&gt;1,"",IF($G170="ROKS",$S170,IF($AI170=1,0,MAX($O170,$M170-SUMIFS(TblApplications[RAM IKS libérable (Go)],TblApplications[Cluster IKS source],$F170,TblApplications[Action],"À migrer",TblApplications[Mois prov (calc)],"&lt;="&amp;$E170)-SUMIFS(TblApplications[RAM IKS libérable (Go)],TblApplications[Cluster IKS source],$F170,TblApplications[Action],"À décommissionner",TblApplications[Mois lib (calc)],"&lt;="&amp;$E170)))))</f>
        <v>240</v>
      </c>
      <c r="Z170" s="19">
        <f t="shared" si="43"/>
        <v>6</v>
      </c>
      <c r="AA170" s="73">
        <f t="shared" si="44"/>
        <v>2208</v>
      </c>
      <c r="AB170" s="19">
        <f t="shared" si="45"/>
        <v>6</v>
      </c>
      <c r="AC170" s="73">
        <f t="shared" si="46"/>
        <v>2208</v>
      </c>
      <c r="AD170" s="19">
        <f t="shared" si="47"/>
        <v>0</v>
      </c>
      <c r="AE170" s="19">
        <f t="shared" si="48"/>
        <v>0</v>
      </c>
      <c r="AF170" s="19" t="str">
        <f>IF($D170&lt;&gt;1,"",IF(INDEX(TblClusters[Environnement],$B170)="","(vide)",INDEX(TblClusters[Environnement],$B170)))</f>
        <v>NPRD</v>
      </c>
      <c r="AG170" s="19">
        <f t="shared" si="49"/>
        <v>72</v>
      </c>
      <c r="AH170" s="19">
        <f t="shared" si="50"/>
        <v>30.666666666666668</v>
      </c>
      <c r="AI170" s="19">
        <f>IF($D170&lt;&gt;1,"",IF(AND($G170="IKS",ISNUMBER(INDEX(TblClusters[Fermeture retenue],$B170))),IF($E170&gt;=INDEX(TblClusters[Fermeture retenue],$B170),1,0),0))</f>
        <v>0</v>
      </c>
    </row>
    <row r="171" spans="1:35" x14ac:dyDescent="0.2">
      <c r="A171" s="19">
        <v>166</v>
      </c>
      <c r="B171" s="19">
        <f t="shared" si="34"/>
        <v>5</v>
      </c>
      <c r="C171" s="19">
        <f t="shared" si="35"/>
        <v>22</v>
      </c>
      <c r="D171" s="19">
        <f>IF($C171&gt;p_horizon,0,IFERROR(IF(AND(INDEX(TblClusters[Cluster],$B171)&lt;&gt;"",ISNUMBER(INDEX(TblClusters[CPU initial (vCPU)],$B171)),ISNUMBER(INDEX(TblClusters[CPU min (vCPU)],$B171)),OR(INDEX(TblClusters[Plateforme],$B171)="IKS",INDEX(TblClusters[Plateforme],$B171)="ROKS")),1,0),0))</f>
        <v>1</v>
      </c>
      <c r="E171" s="72">
        <f t="shared" si="36"/>
        <v>46935</v>
      </c>
      <c r="F171" s="19" t="str">
        <f>IF($D171=1,INDEX(TblClusters[Cluster],$B171),"")</f>
        <v>oc002i000849</v>
      </c>
      <c r="G171" s="19" t="str">
        <f>IF($D171=1,INDEX(TblClusters[Plateforme],$B171),"")</f>
        <v>ROKS</v>
      </c>
      <c r="H171" s="19">
        <f>IF($D171=1,INDEX(TblClusters[vCPU par nœud],$B171),"")</f>
        <v>8</v>
      </c>
      <c r="I171" s="19">
        <f>IF($D171=1,INDEX(TblClusters[RAM par nœud (Go)],$B171),"")</f>
        <v>40</v>
      </c>
      <c r="J171" s="19">
        <f>IF($D171=1,INDEX(TblClusters[Workers min],$B171),"")</f>
        <v>6</v>
      </c>
      <c r="K171" s="73">
        <f>IF($D171=1,INDEX(TblClusters[Tarif par nœud],$B171),"")</f>
        <v>368</v>
      </c>
      <c r="L171" s="19">
        <f>IF($D171=1,INDEX(TblClusters[CPU initial (vCPU)],$B171),"")</f>
        <v>48</v>
      </c>
      <c r="M171" s="19">
        <f>IF($D171=1,INDEX(TblClusters[RAM initiale (Go)],$B171),"")</f>
        <v>240</v>
      </c>
      <c r="N171" s="19">
        <f>IF($D171=1,INDEX(TblClusters[CPU min (vCPU)],$B171),"")</f>
        <v>48</v>
      </c>
      <c r="O171" s="19">
        <f>IF($D171=1,INDEX(TblClusters[RAM min (Go)],$B171),"")</f>
        <v>240</v>
      </c>
      <c r="P171" s="19">
        <f>IF($D171&lt;&gt;1,"",IF($G171="ROKS",SUMIFS(TblApplications[Besoin ROKS CPU (vCPU)],TblApplications[Cluster ROKS cible],$F171,TblApplications[Action],"À migrer",TblApplications[Déjà incluse ROKS],"Non",TblApplications[Mois prov (calc)],"&lt;="&amp;$E171),SUMIFS(TblApplications[CPU IKS libérable (vCPU)],TblApplications[Cluster IKS source],$F171,TblApplications[Mois lib (calc)],"&lt;="&amp;$E171)))</f>
        <v>0</v>
      </c>
      <c r="Q171" s="19">
        <f>IF($D171&lt;&gt;1,"",IF($G171="ROKS",SUMIFS(TblApplications[Besoin ROKS RAM (Go)],TblApplications[Cluster ROKS cible],$F171,TblApplications[Action],"À migrer",TblApplications[Déjà incluse ROKS],"Non",TblApplications[Mois prov (calc)],"&lt;="&amp;$E171),SUMIFS(TblApplications[RAM IKS libérable (Go)],TblApplications[Cluster IKS source],$F171,TblApplications[Mois lib (calc)],"&lt;="&amp;$E171)))</f>
        <v>0</v>
      </c>
      <c r="R171" s="19">
        <f t="shared" si="37"/>
        <v>48</v>
      </c>
      <c r="S171" s="19">
        <f t="shared" si="38"/>
        <v>240</v>
      </c>
      <c r="T171" s="19">
        <f t="shared" si="39"/>
        <v>6</v>
      </c>
      <c r="U171" s="19">
        <f t="shared" si="40"/>
        <v>48</v>
      </c>
      <c r="V171" s="19">
        <f t="shared" si="41"/>
        <v>240</v>
      </c>
      <c r="W171" s="73">
        <f t="shared" si="42"/>
        <v>2208</v>
      </c>
      <c r="X171" s="19">
        <f>IF($D171&lt;&gt;1,"",IF($G171="ROKS",$R171,IF($AI171=1,0,MAX($N171,$L171-SUMIFS(TblApplications[CPU IKS libérable (vCPU)],TblApplications[Cluster IKS source],$F171,TblApplications[Action],"À migrer",TblApplications[Mois prov (calc)],"&lt;="&amp;$E171)-SUMIFS(TblApplications[CPU IKS libérable (vCPU)],TblApplications[Cluster IKS source],$F171,TblApplications[Action],"À décommissionner",TblApplications[Mois lib (calc)],"&lt;="&amp;$E171)))))</f>
        <v>48</v>
      </c>
      <c r="Y171" s="19">
        <f>IF($D171&lt;&gt;1,"",IF($G171="ROKS",$S171,IF($AI171=1,0,MAX($O171,$M171-SUMIFS(TblApplications[RAM IKS libérable (Go)],TblApplications[Cluster IKS source],$F171,TblApplications[Action],"À migrer",TblApplications[Mois prov (calc)],"&lt;="&amp;$E171)-SUMIFS(TblApplications[RAM IKS libérable (Go)],TblApplications[Cluster IKS source],$F171,TblApplications[Action],"À décommissionner",TblApplications[Mois lib (calc)],"&lt;="&amp;$E171)))))</f>
        <v>240</v>
      </c>
      <c r="Z171" s="19">
        <f t="shared" si="43"/>
        <v>6</v>
      </c>
      <c r="AA171" s="73">
        <f t="shared" si="44"/>
        <v>2208</v>
      </c>
      <c r="AB171" s="19">
        <f t="shared" si="45"/>
        <v>6</v>
      </c>
      <c r="AC171" s="73">
        <f t="shared" si="46"/>
        <v>2208</v>
      </c>
      <c r="AD171" s="19">
        <f t="shared" si="47"/>
        <v>0</v>
      </c>
      <c r="AE171" s="19">
        <f t="shared" si="48"/>
        <v>0</v>
      </c>
      <c r="AF171" s="19" t="str">
        <f>IF($D171&lt;&gt;1,"",IF(INDEX(TblClusters[Environnement],$B171)="","(vide)",INDEX(TblClusters[Environnement],$B171)))</f>
        <v>NPRD</v>
      </c>
      <c r="AG171" s="19">
        <f t="shared" si="49"/>
        <v>72</v>
      </c>
      <c r="AH171" s="19">
        <f t="shared" si="50"/>
        <v>30.666666666666668</v>
      </c>
      <c r="AI171" s="19">
        <f>IF($D171&lt;&gt;1,"",IF(AND($G171="IKS",ISNUMBER(INDEX(TblClusters[Fermeture retenue],$B171))),IF($E171&gt;=INDEX(TblClusters[Fermeture retenue],$B171),1,0),0))</f>
        <v>0</v>
      </c>
    </row>
    <row r="172" spans="1:35" x14ac:dyDescent="0.2">
      <c r="A172" s="19">
        <v>167</v>
      </c>
      <c r="B172" s="19">
        <f t="shared" si="34"/>
        <v>5</v>
      </c>
      <c r="C172" s="19">
        <f t="shared" si="35"/>
        <v>23</v>
      </c>
      <c r="D172" s="19">
        <f>IF($C172&gt;p_horizon,0,IFERROR(IF(AND(INDEX(TblClusters[Cluster],$B172)&lt;&gt;"",ISNUMBER(INDEX(TblClusters[CPU initial (vCPU)],$B172)),ISNUMBER(INDEX(TblClusters[CPU min (vCPU)],$B172)),OR(INDEX(TblClusters[Plateforme],$B172)="IKS",INDEX(TblClusters[Plateforme],$B172)="ROKS")),1,0),0))</f>
        <v>1</v>
      </c>
      <c r="E172" s="72">
        <f t="shared" si="36"/>
        <v>46966</v>
      </c>
      <c r="F172" s="19" t="str">
        <f>IF($D172=1,INDEX(TblClusters[Cluster],$B172),"")</f>
        <v>oc002i000849</v>
      </c>
      <c r="G172" s="19" t="str">
        <f>IF($D172=1,INDEX(TblClusters[Plateforme],$B172),"")</f>
        <v>ROKS</v>
      </c>
      <c r="H172" s="19">
        <f>IF($D172=1,INDEX(TblClusters[vCPU par nœud],$B172),"")</f>
        <v>8</v>
      </c>
      <c r="I172" s="19">
        <f>IF($D172=1,INDEX(TblClusters[RAM par nœud (Go)],$B172),"")</f>
        <v>40</v>
      </c>
      <c r="J172" s="19">
        <f>IF($D172=1,INDEX(TblClusters[Workers min],$B172),"")</f>
        <v>6</v>
      </c>
      <c r="K172" s="73">
        <f>IF($D172=1,INDEX(TblClusters[Tarif par nœud],$B172),"")</f>
        <v>368</v>
      </c>
      <c r="L172" s="19">
        <f>IF($D172=1,INDEX(TblClusters[CPU initial (vCPU)],$B172),"")</f>
        <v>48</v>
      </c>
      <c r="M172" s="19">
        <f>IF($D172=1,INDEX(TblClusters[RAM initiale (Go)],$B172),"")</f>
        <v>240</v>
      </c>
      <c r="N172" s="19">
        <f>IF($D172=1,INDEX(TblClusters[CPU min (vCPU)],$B172),"")</f>
        <v>48</v>
      </c>
      <c r="O172" s="19">
        <f>IF($D172=1,INDEX(TblClusters[RAM min (Go)],$B172),"")</f>
        <v>240</v>
      </c>
      <c r="P172" s="19">
        <f>IF($D172&lt;&gt;1,"",IF($G172="ROKS",SUMIFS(TblApplications[Besoin ROKS CPU (vCPU)],TblApplications[Cluster ROKS cible],$F172,TblApplications[Action],"À migrer",TblApplications[Déjà incluse ROKS],"Non",TblApplications[Mois prov (calc)],"&lt;="&amp;$E172),SUMIFS(TblApplications[CPU IKS libérable (vCPU)],TblApplications[Cluster IKS source],$F172,TblApplications[Mois lib (calc)],"&lt;="&amp;$E172)))</f>
        <v>0</v>
      </c>
      <c r="Q172" s="19">
        <f>IF($D172&lt;&gt;1,"",IF($G172="ROKS",SUMIFS(TblApplications[Besoin ROKS RAM (Go)],TblApplications[Cluster ROKS cible],$F172,TblApplications[Action],"À migrer",TblApplications[Déjà incluse ROKS],"Non",TblApplications[Mois prov (calc)],"&lt;="&amp;$E172),SUMIFS(TblApplications[RAM IKS libérable (Go)],TblApplications[Cluster IKS source],$F172,TblApplications[Mois lib (calc)],"&lt;="&amp;$E172)))</f>
        <v>0</v>
      </c>
      <c r="R172" s="19">
        <f t="shared" si="37"/>
        <v>48</v>
      </c>
      <c r="S172" s="19">
        <f t="shared" si="38"/>
        <v>240</v>
      </c>
      <c r="T172" s="19">
        <f t="shared" si="39"/>
        <v>6</v>
      </c>
      <c r="U172" s="19">
        <f t="shared" si="40"/>
        <v>48</v>
      </c>
      <c r="V172" s="19">
        <f t="shared" si="41"/>
        <v>240</v>
      </c>
      <c r="W172" s="73">
        <f t="shared" si="42"/>
        <v>2208</v>
      </c>
      <c r="X172" s="19">
        <f>IF($D172&lt;&gt;1,"",IF($G172="ROKS",$R172,IF($AI172=1,0,MAX($N172,$L172-SUMIFS(TblApplications[CPU IKS libérable (vCPU)],TblApplications[Cluster IKS source],$F172,TblApplications[Action],"À migrer",TblApplications[Mois prov (calc)],"&lt;="&amp;$E172)-SUMIFS(TblApplications[CPU IKS libérable (vCPU)],TblApplications[Cluster IKS source],$F172,TblApplications[Action],"À décommissionner",TblApplications[Mois lib (calc)],"&lt;="&amp;$E172)))))</f>
        <v>48</v>
      </c>
      <c r="Y172" s="19">
        <f>IF($D172&lt;&gt;1,"",IF($G172="ROKS",$S172,IF($AI172=1,0,MAX($O172,$M172-SUMIFS(TblApplications[RAM IKS libérable (Go)],TblApplications[Cluster IKS source],$F172,TblApplications[Action],"À migrer",TblApplications[Mois prov (calc)],"&lt;="&amp;$E172)-SUMIFS(TblApplications[RAM IKS libérable (Go)],TblApplications[Cluster IKS source],$F172,TblApplications[Action],"À décommissionner",TblApplications[Mois lib (calc)],"&lt;="&amp;$E172)))))</f>
        <v>240</v>
      </c>
      <c r="Z172" s="19">
        <f t="shared" si="43"/>
        <v>6</v>
      </c>
      <c r="AA172" s="73">
        <f t="shared" si="44"/>
        <v>2208</v>
      </c>
      <c r="AB172" s="19">
        <f t="shared" si="45"/>
        <v>6</v>
      </c>
      <c r="AC172" s="73">
        <f t="shared" si="46"/>
        <v>2208</v>
      </c>
      <c r="AD172" s="19">
        <f t="shared" si="47"/>
        <v>0</v>
      </c>
      <c r="AE172" s="19">
        <f t="shared" si="48"/>
        <v>0</v>
      </c>
      <c r="AF172" s="19" t="str">
        <f>IF($D172&lt;&gt;1,"",IF(INDEX(TblClusters[Environnement],$B172)="","(vide)",INDEX(TblClusters[Environnement],$B172)))</f>
        <v>NPRD</v>
      </c>
      <c r="AG172" s="19">
        <f t="shared" si="49"/>
        <v>72</v>
      </c>
      <c r="AH172" s="19">
        <f t="shared" si="50"/>
        <v>30.666666666666668</v>
      </c>
      <c r="AI172" s="19">
        <f>IF($D172&lt;&gt;1,"",IF(AND($G172="IKS",ISNUMBER(INDEX(TblClusters[Fermeture retenue],$B172))),IF($E172&gt;=INDEX(TblClusters[Fermeture retenue],$B172),1,0),0))</f>
        <v>0</v>
      </c>
    </row>
    <row r="173" spans="1:35" x14ac:dyDescent="0.2">
      <c r="A173" s="19">
        <v>168</v>
      </c>
      <c r="B173" s="19">
        <f t="shared" si="34"/>
        <v>5</v>
      </c>
      <c r="C173" s="19">
        <f t="shared" si="35"/>
        <v>24</v>
      </c>
      <c r="D173" s="19">
        <f>IF($C173&gt;p_horizon,0,IFERROR(IF(AND(INDEX(TblClusters[Cluster],$B173)&lt;&gt;"",ISNUMBER(INDEX(TblClusters[CPU initial (vCPU)],$B173)),ISNUMBER(INDEX(TblClusters[CPU min (vCPU)],$B173)),OR(INDEX(TblClusters[Plateforme],$B173)="IKS",INDEX(TblClusters[Plateforme],$B173)="ROKS")),1,0),0))</f>
        <v>1</v>
      </c>
      <c r="E173" s="72">
        <f t="shared" si="36"/>
        <v>46997</v>
      </c>
      <c r="F173" s="19" t="str">
        <f>IF($D173=1,INDEX(TblClusters[Cluster],$B173),"")</f>
        <v>oc002i000849</v>
      </c>
      <c r="G173" s="19" t="str">
        <f>IF($D173=1,INDEX(TblClusters[Plateforme],$B173),"")</f>
        <v>ROKS</v>
      </c>
      <c r="H173" s="19">
        <f>IF($D173=1,INDEX(TblClusters[vCPU par nœud],$B173),"")</f>
        <v>8</v>
      </c>
      <c r="I173" s="19">
        <f>IF($D173=1,INDEX(TblClusters[RAM par nœud (Go)],$B173),"")</f>
        <v>40</v>
      </c>
      <c r="J173" s="19">
        <f>IF($D173=1,INDEX(TblClusters[Workers min],$B173),"")</f>
        <v>6</v>
      </c>
      <c r="K173" s="73">
        <f>IF($D173=1,INDEX(TblClusters[Tarif par nœud],$B173),"")</f>
        <v>368</v>
      </c>
      <c r="L173" s="19">
        <f>IF($D173=1,INDEX(TblClusters[CPU initial (vCPU)],$B173),"")</f>
        <v>48</v>
      </c>
      <c r="M173" s="19">
        <f>IF($D173=1,INDEX(TblClusters[RAM initiale (Go)],$B173),"")</f>
        <v>240</v>
      </c>
      <c r="N173" s="19">
        <f>IF($D173=1,INDEX(TblClusters[CPU min (vCPU)],$B173),"")</f>
        <v>48</v>
      </c>
      <c r="O173" s="19">
        <f>IF($D173=1,INDEX(TblClusters[RAM min (Go)],$B173),"")</f>
        <v>240</v>
      </c>
      <c r="P173" s="19">
        <f>IF($D173&lt;&gt;1,"",IF($G173="ROKS",SUMIFS(TblApplications[Besoin ROKS CPU (vCPU)],TblApplications[Cluster ROKS cible],$F173,TblApplications[Action],"À migrer",TblApplications[Déjà incluse ROKS],"Non",TblApplications[Mois prov (calc)],"&lt;="&amp;$E173),SUMIFS(TblApplications[CPU IKS libérable (vCPU)],TblApplications[Cluster IKS source],$F173,TblApplications[Mois lib (calc)],"&lt;="&amp;$E173)))</f>
        <v>0</v>
      </c>
      <c r="Q173" s="19">
        <f>IF($D173&lt;&gt;1,"",IF($G173="ROKS",SUMIFS(TblApplications[Besoin ROKS RAM (Go)],TblApplications[Cluster ROKS cible],$F173,TblApplications[Action],"À migrer",TblApplications[Déjà incluse ROKS],"Non",TblApplications[Mois prov (calc)],"&lt;="&amp;$E173),SUMIFS(TblApplications[RAM IKS libérable (Go)],TblApplications[Cluster IKS source],$F173,TblApplications[Mois lib (calc)],"&lt;="&amp;$E173)))</f>
        <v>0</v>
      </c>
      <c r="R173" s="19">
        <f t="shared" si="37"/>
        <v>48</v>
      </c>
      <c r="S173" s="19">
        <f t="shared" si="38"/>
        <v>240</v>
      </c>
      <c r="T173" s="19">
        <f t="shared" si="39"/>
        <v>6</v>
      </c>
      <c r="U173" s="19">
        <f t="shared" si="40"/>
        <v>48</v>
      </c>
      <c r="V173" s="19">
        <f t="shared" si="41"/>
        <v>240</v>
      </c>
      <c r="W173" s="73">
        <f t="shared" si="42"/>
        <v>2208</v>
      </c>
      <c r="X173" s="19">
        <f>IF($D173&lt;&gt;1,"",IF($G173="ROKS",$R173,IF($AI173=1,0,MAX($N173,$L173-SUMIFS(TblApplications[CPU IKS libérable (vCPU)],TblApplications[Cluster IKS source],$F173,TblApplications[Action],"À migrer",TblApplications[Mois prov (calc)],"&lt;="&amp;$E173)-SUMIFS(TblApplications[CPU IKS libérable (vCPU)],TblApplications[Cluster IKS source],$F173,TblApplications[Action],"À décommissionner",TblApplications[Mois lib (calc)],"&lt;="&amp;$E173)))))</f>
        <v>48</v>
      </c>
      <c r="Y173" s="19">
        <f>IF($D173&lt;&gt;1,"",IF($G173="ROKS",$S173,IF($AI173=1,0,MAX($O173,$M173-SUMIFS(TblApplications[RAM IKS libérable (Go)],TblApplications[Cluster IKS source],$F173,TblApplications[Action],"À migrer",TblApplications[Mois prov (calc)],"&lt;="&amp;$E173)-SUMIFS(TblApplications[RAM IKS libérable (Go)],TblApplications[Cluster IKS source],$F173,TblApplications[Action],"À décommissionner",TblApplications[Mois lib (calc)],"&lt;="&amp;$E173)))))</f>
        <v>240</v>
      </c>
      <c r="Z173" s="19">
        <f t="shared" si="43"/>
        <v>6</v>
      </c>
      <c r="AA173" s="73">
        <f t="shared" si="44"/>
        <v>2208</v>
      </c>
      <c r="AB173" s="19">
        <f t="shared" si="45"/>
        <v>6</v>
      </c>
      <c r="AC173" s="73">
        <f t="shared" si="46"/>
        <v>2208</v>
      </c>
      <c r="AD173" s="19">
        <f t="shared" si="47"/>
        <v>0</v>
      </c>
      <c r="AE173" s="19">
        <f t="shared" si="48"/>
        <v>0</v>
      </c>
      <c r="AF173" s="19" t="str">
        <f>IF($D173&lt;&gt;1,"",IF(INDEX(TblClusters[Environnement],$B173)="","(vide)",INDEX(TblClusters[Environnement],$B173)))</f>
        <v>NPRD</v>
      </c>
      <c r="AG173" s="19">
        <f t="shared" si="49"/>
        <v>72</v>
      </c>
      <c r="AH173" s="19">
        <f t="shared" si="50"/>
        <v>30.666666666666668</v>
      </c>
      <c r="AI173" s="19">
        <f>IF($D173&lt;&gt;1,"",IF(AND($G173="IKS",ISNUMBER(INDEX(TblClusters[Fermeture retenue],$B173))),IF($E173&gt;=INDEX(TblClusters[Fermeture retenue],$B173),1,0),0))</f>
        <v>0</v>
      </c>
    </row>
    <row r="174" spans="1:35" x14ac:dyDescent="0.2">
      <c r="A174" s="19">
        <v>169</v>
      </c>
      <c r="B174" s="19">
        <f t="shared" si="34"/>
        <v>5</v>
      </c>
      <c r="C174" s="19">
        <f t="shared" si="35"/>
        <v>25</v>
      </c>
      <c r="D174" s="19">
        <f>IF($C174&gt;p_horizon,0,IFERROR(IF(AND(INDEX(TblClusters[Cluster],$B174)&lt;&gt;"",ISNUMBER(INDEX(TblClusters[CPU initial (vCPU)],$B174)),ISNUMBER(INDEX(TblClusters[CPU min (vCPU)],$B174)),OR(INDEX(TblClusters[Plateforme],$B174)="IKS",INDEX(TblClusters[Plateforme],$B174)="ROKS")),1,0),0))</f>
        <v>1</v>
      </c>
      <c r="E174" s="72">
        <f t="shared" si="36"/>
        <v>47027</v>
      </c>
      <c r="F174" s="19" t="str">
        <f>IF($D174=1,INDEX(TblClusters[Cluster],$B174),"")</f>
        <v>oc002i000849</v>
      </c>
      <c r="G174" s="19" t="str">
        <f>IF($D174=1,INDEX(TblClusters[Plateforme],$B174),"")</f>
        <v>ROKS</v>
      </c>
      <c r="H174" s="19">
        <f>IF($D174=1,INDEX(TblClusters[vCPU par nœud],$B174),"")</f>
        <v>8</v>
      </c>
      <c r="I174" s="19">
        <f>IF($D174=1,INDEX(TblClusters[RAM par nœud (Go)],$B174),"")</f>
        <v>40</v>
      </c>
      <c r="J174" s="19">
        <f>IF($D174=1,INDEX(TblClusters[Workers min],$B174),"")</f>
        <v>6</v>
      </c>
      <c r="K174" s="73">
        <f>IF($D174=1,INDEX(TblClusters[Tarif par nœud],$B174),"")</f>
        <v>368</v>
      </c>
      <c r="L174" s="19">
        <f>IF($D174=1,INDEX(TblClusters[CPU initial (vCPU)],$B174),"")</f>
        <v>48</v>
      </c>
      <c r="M174" s="19">
        <f>IF($D174=1,INDEX(TblClusters[RAM initiale (Go)],$B174),"")</f>
        <v>240</v>
      </c>
      <c r="N174" s="19">
        <f>IF($D174=1,INDEX(TblClusters[CPU min (vCPU)],$B174),"")</f>
        <v>48</v>
      </c>
      <c r="O174" s="19">
        <f>IF($D174=1,INDEX(TblClusters[RAM min (Go)],$B174),"")</f>
        <v>240</v>
      </c>
      <c r="P174" s="19">
        <f>IF($D174&lt;&gt;1,"",IF($G174="ROKS",SUMIFS(TblApplications[Besoin ROKS CPU (vCPU)],TblApplications[Cluster ROKS cible],$F174,TblApplications[Action],"À migrer",TblApplications[Déjà incluse ROKS],"Non",TblApplications[Mois prov (calc)],"&lt;="&amp;$E174),SUMIFS(TblApplications[CPU IKS libérable (vCPU)],TblApplications[Cluster IKS source],$F174,TblApplications[Mois lib (calc)],"&lt;="&amp;$E174)))</f>
        <v>0</v>
      </c>
      <c r="Q174" s="19">
        <f>IF($D174&lt;&gt;1,"",IF($G174="ROKS",SUMIFS(TblApplications[Besoin ROKS RAM (Go)],TblApplications[Cluster ROKS cible],$F174,TblApplications[Action],"À migrer",TblApplications[Déjà incluse ROKS],"Non",TblApplications[Mois prov (calc)],"&lt;="&amp;$E174),SUMIFS(TblApplications[RAM IKS libérable (Go)],TblApplications[Cluster IKS source],$F174,TblApplications[Mois lib (calc)],"&lt;="&amp;$E174)))</f>
        <v>0</v>
      </c>
      <c r="R174" s="19">
        <f t="shared" si="37"/>
        <v>48</v>
      </c>
      <c r="S174" s="19">
        <f t="shared" si="38"/>
        <v>240</v>
      </c>
      <c r="T174" s="19">
        <f t="shared" si="39"/>
        <v>6</v>
      </c>
      <c r="U174" s="19">
        <f t="shared" si="40"/>
        <v>48</v>
      </c>
      <c r="V174" s="19">
        <f t="shared" si="41"/>
        <v>240</v>
      </c>
      <c r="W174" s="73">
        <f t="shared" si="42"/>
        <v>2208</v>
      </c>
      <c r="X174" s="19">
        <f>IF($D174&lt;&gt;1,"",IF($G174="ROKS",$R174,IF($AI174=1,0,MAX($N174,$L174-SUMIFS(TblApplications[CPU IKS libérable (vCPU)],TblApplications[Cluster IKS source],$F174,TblApplications[Action],"À migrer",TblApplications[Mois prov (calc)],"&lt;="&amp;$E174)-SUMIFS(TblApplications[CPU IKS libérable (vCPU)],TblApplications[Cluster IKS source],$F174,TblApplications[Action],"À décommissionner",TblApplications[Mois lib (calc)],"&lt;="&amp;$E174)))))</f>
        <v>48</v>
      </c>
      <c r="Y174" s="19">
        <f>IF($D174&lt;&gt;1,"",IF($G174="ROKS",$S174,IF($AI174=1,0,MAX($O174,$M174-SUMIFS(TblApplications[RAM IKS libérable (Go)],TblApplications[Cluster IKS source],$F174,TblApplications[Action],"À migrer",TblApplications[Mois prov (calc)],"&lt;="&amp;$E174)-SUMIFS(TblApplications[RAM IKS libérable (Go)],TblApplications[Cluster IKS source],$F174,TblApplications[Action],"À décommissionner",TblApplications[Mois lib (calc)],"&lt;="&amp;$E174)))))</f>
        <v>240</v>
      </c>
      <c r="Z174" s="19">
        <f t="shared" si="43"/>
        <v>6</v>
      </c>
      <c r="AA174" s="73">
        <f t="shared" si="44"/>
        <v>2208</v>
      </c>
      <c r="AB174" s="19">
        <f t="shared" si="45"/>
        <v>6</v>
      </c>
      <c r="AC174" s="73">
        <f t="shared" si="46"/>
        <v>2208</v>
      </c>
      <c r="AD174" s="19">
        <f t="shared" si="47"/>
        <v>0</v>
      </c>
      <c r="AE174" s="19">
        <f t="shared" si="48"/>
        <v>0</v>
      </c>
      <c r="AF174" s="19" t="str">
        <f>IF($D174&lt;&gt;1,"",IF(INDEX(TblClusters[Environnement],$B174)="","(vide)",INDEX(TblClusters[Environnement],$B174)))</f>
        <v>NPRD</v>
      </c>
      <c r="AG174" s="19">
        <f t="shared" si="49"/>
        <v>72</v>
      </c>
      <c r="AH174" s="19">
        <f t="shared" si="50"/>
        <v>30.666666666666668</v>
      </c>
      <c r="AI174" s="19">
        <f>IF($D174&lt;&gt;1,"",IF(AND($G174="IKS",ISNUMBER(INDEX(TblClusters[Fermeture retenue],$B174))),IF($E174&gt;=INDEX(TblClusters[Fermeture retenue],$B174),1,0),0))</f>
        <v>0</v>
      </c>
    </row>
    <row r="175" spans="1:35" x14ac:dyDescent="0.2">
      <c r="A175" s="19">
        <v>170</v>
      </c>
      <c r="B175" s="19">
        <f t="shared" si="34"/>
        <v>5</v>
      </c>
      <c r="C175" s="19">
        <f t="shared" si="35"/>
        <v>26</v>
      </c>
      <c r="D175" s="19">
        <f>IF($C175&gt;p_horizon,0,IFERROR(IF(AND(INDEX(TblClusters[Cluster],$B175)&lt;&gt;"",ISNUMBER(INDEX(TblClusters[CPU initial (vCPU)],$B175)),ISNUMBER(INDEX(TblClusters[CPU min (vCPU)],$B175)),OR(INDEX(TblClusters[Plateforme],$B175)="IKS",INDEX(TblClusters[Plateforme],$B175)="ROKS")),1,0),0))</f>
        <v>1</v>
      </c>
      <c r="E175" s="72">
        <f t="shared" si="36"/>
        <v>47058</v>
      </c>
      <c r="F175" s="19" t="str">
        <f>IF($D175=1,INDEX(TblClusters[Cluster],$B175),"")</f>
        <v>oc002i000849</v>
      </c>
      <c r="G175" s="19" t="str">
        <f>IF($D175=1,INDEX(TblClusters[Plateforme],$B175),"")</f>
        <v>ROKS</v>
      </c>
      <c r="H175" s="19">
        <f>IF($D175=1,INDEX(TblClusters[vCPU par nœud],$B175),"")</f>
        <v>8</v>
      </c>
      <c r="I175" s="19">
        <f>IF($D175=1,INDEX(TblClusters[RAM par nœud (Go)],$B175),"")</f>
        <v>40</v>
      </c>
      <c r="J175" s="19">
        <f>IF($D175=1,INDEX(TblClusters[Workers min],$B175),"")</f>
        <v>6</v>
      </c>
      <c r="K175" s="73">
        <f>IF($D175=1,INDEX(TblClusters[Tarif par nœud],$B175),"")</f>
        <v>368</v>
      </c>
      <c r="L175" s="19">
        <f>IF($D175=1,INDEX(TblClusters[CPU initial (vCPU)],$B175),"")</f>
        <v>48</v>
      </c>
      <c r="M175" s="19">
        <f>IF($D175=1,INDEX(TblClusters[RAM initiale (Go)],$B175),"")</f>
        <v>240</v>
      </c>
      <c r="N175" s="19">
        <f>IF($D175=1,INDEX(TblClusters[CPU min (vCPU)],$B175),"")</f>
        <v>48</v>
      </c>
      <c r="O175" s="19">
        <f>IF($D175=1,INDEX(TblClusters[RAM min (Go)],$B175),"")</f>
        <v>240</v>
      </c>
      <c r="P175" s="19">
        <f>IF($D175&lt;&gt;1,"",IF($G175="ROKS",SUMIFS(TblApplications[Besoin ROKS CPU (vCPU)],TblApplications[Cluster ROKS cible],$F175,TblApplications[Action],"À migrer",TblApplications[Déjà incluse ROKS],"Non",TblApplications[Mois prov (calc)],"&lt;="&amp;$E175),SUMIFS(TblApplications[CPU IKS libérable (vCPU)],TblApplications[Cluster IKS source],$F175,TblApplications[Mois lib (calc)],"&lt;="&amp;$E175)))</f>
        <v>0</v>
      </c>
      <c r="Q175" s="19">
        <f>IF($D175&lt;&gt;1,"",IF($G175="ROKS",SUMIFS(TblApplications[Besoin ROKS RAM (Go)],TblApplications[Cluster ROKS cible],$F175,TblApplications[Action],"À migrer",TblApplications[Déjà incluse ROKS],"Non",TblApplications[Mois prov (calc)],"&lt;="&amp;$E175),SUMIFS(TblApplications[RAM IKS libérable (Go)],TblApplications[Cluster IKS source],$F175,TblApplications[Mois lib (calc)],"&lt;="&amp;$E175)))</f>
        <v>0</v>
      </c>
      <c r="R175" s="19">
        <f t="shared" si="37"/>
        <v>48</v>
      </c>
      <c r="S175" s="19">
        <f t="shared" si="38"/>
        <v>240</v>
      </c>
      <c r="T175" s="19">
        <f t="shared" si="39"/>
        <v>6</v>
      </c>
      <c r="U175" s="19">
        <f t="shared" si="40"/>
        <v>48</v>
      </c>
      <c r="V175" s="19">
        <f t="shared" si="41"/>
        <v>240</v>
      </c>
      <c r="W175" s="73">
        <f t="shared" si="42"/>
        <v>2208</v>
      </c>
      <c r="X175" s="19">
        <f>IF($D175&lt;&gt;1,"",IF($G175="ROKS",$R175,IF($AI175=1,0,MAX($N175,$L175-SUMIFS(TblApplications[CPU IKS libérable (vCPU)],TblApplications[Cluster IKS source],$F175,TblApplications[Action],"À migrer",TblApplications[Mois prov (calc)],"&lt;="&amp;$E175)-SUMIFS(TblApplications[CPU IKS libérable (vCPU)],TblApplications[Cluster IKS source],$F175,TblApplications[Action],"À décommissionner",TblApplications[Mois lib (calc)],"&lt;="&amp;$E175)))))</f>
        <v>48</v>
      </c>
      <c r="Y175" s="19">
        <f>IF($D175&lt;&gt;1,"",IF($G175="ROKS",$S175,IF($AI175=1,0,MAX($O175,$M175-SUMIFS(TblApplications[RAM IKS libérable (Go)],TblApplications[Cluster IKS source],$F175,TblApplications[Action],"À migrer",TblApplications[Mois prov (calc)],"&lt;="&amp;$E175)-SUMIFS(TblApplications[RAM IKS libérable (Go)],TblApplications[Cluster IKS source],$F175,TblApplications[Action],"À décommissionner",TblApplications[Mois lib (calc)],"&lt;="&amp;$E175)))))</f>
        <v>240</v>
      </c>
      <c r="Z175" s="19">
        <f t="shared" si="43"/>
        <v>6</v>
      </c>
      <c r="AA175" s="73">
        <f t="shared" si="44"/>
        <v>2208</v>
      </c>
      <c r="AB175" s="19">
        <f t="shared" si="45"/>
        <v>6</v>
      </c>
      <c r="AC175" s="73">
        <f t="shared" si="46"/>
        <v>2208</v>
      </c>
      <c r="AD175" s="19">
        <f t="shared" si="47"/>
        <v>0</v>
      </c>
      <c r="AE175" s="19">
        <f t="shared" si="48"/>
        <v>0</v>
      </c>
      <c r="AF175" s="19" t="str">
        <f>IF($D175&lt;&gt;1,"",IF(INDEX(TblClusters[Environnement],$B175)="","(vide)",INDEX(TblClusters[Environnement],$B175)))</f>
        <v>NPRD</v>
      </c>
      <c r="AG175" s="19">
        <f t="shared" si="49"/>
        <v>72</v>
      </c>
      <c r="AH175" s="19">
        <f t="shared" si="50"/>
        <v>30.666666666666668</v>
      </c>
      <c r="AI175" s="19">
        <f>IF($D175&lt;&gt;1,"",IF(AND($G175="IKS",ISNUMBER(INDEX(TblClusters[Fermeture retenue],$B175))),IF($E175&gt;=INDEX(TblClusters[Fermeture retenue],$B175),1,0),0))</f>
        <v>0</v>
      </c>
    </row>
    <row r="176" spans="1:35" x14ac:dyDescent="0.2">
      <c r="A176" s="19">
        <v>171</v>
      </c>
      <c r="B176" s="19">
        <f t="shared" si="34"/>
        <v>5</v>
      </c>
      <c r="C176" s="19">
        <f t="shared" si="35"/>
        <v>27</v>
      </c>
      <c r="D176" s="19">
        <f>IF($C176&gt;p_horizon,0,IFERROR(IF(AND(INDEX(TblClusters[Cluster],$B176)&lt;&gt;"",ISNUMBER(INDEX(TblClusters[CPU initial (vCPU)],$B176)),ISNUMBER(INDEX(TblClusters[CPU min (vCPU)],$B176)),OR(INDEX(TblClusters[Plateforme],$B176)="IKS",INDEX(TblClusters[Plateforme],$B176)="ROKS")),1,0),0))</f>
        <v>1</v>
      </c>
      <c r="E176" s="72">
        <f t="shared" si="36"/>
        <v>47088</v>
      </c>
      <c r="F176" s="19" t="str">
        <f>IF($D176=1,INDEX(TblClusters[Cluster],$B176),"")</f>
        <v>oc002i000849</v>
      </c>
      <c r="G176" s="19" t="str">
        <f>IF($D176=1,INDEX(TblClusters[Plateforme],$B176),"")</f>
        <v>ROKS</v>
      </c>
      <c r="H176" s="19">
        <f>IF($D176=1,INDEX(TblClusters[vCPU par nœud],$B176),"")</f>
        <v>8</v>
      </c>
      <c r="I176" s="19">
        <f>IF($D176=1,INDEX(TblClusters[RAM par nœud (Go)],$B176),"")</f>
        <v>40</v>
      </c>
      <c r="J176" s="19">
        <f>IF($D176=1,INDEX(TblClusters[Workers min],$B176),"")</f>
        <v>6</v>
      </c>
      <c r="K176" s="73">
        <f>IF($D176=1,INDEX(TblClusters[Tarif par nœud],$B176),"")</f>
        <v>368</v>
      </c>
      <c r="L176" s="19">
        <f>IF($D176=1,INDEX(TblClusters[CPU initial (vCPU)],$B176),"")</f>
        <v>48</v>
      </c>
      <c r="M176" s="19">
        <f>IF($D176=1,INDEX(TblClusters[RAM initiale (Go)],$B176),"")</f>
        <v>240</v>
      </c>
      <c r="N176" s="19">
        <f>IF($D176=1,INDEX(TblClusters[CPU min (vCPU)],$B176),"")</f>
        <v>48</v>
      </c>
      <c r="O176" s="19">
        <f>IF($D176=1,INDEX(TblClusters[RAM min (Go)],$B176),"")</f>
        <v>240</v>
      </c>
      <c r="P176" s="19">
        <f>IF($D176&lt;&gt;1,"",IF($G176="ROKS",SUMIFS(TblApplications[Besoin ROKS CPU (vCPU)],TblApplications[Cluster ROKS cible],$F176,TblApplications[Action],"À migrer",TblApplications[Déjà incluse ROKS],"Non",TblApplications[Mois prov (calc)],"&lt;="&amp;$E176),SUMIFS(TblApplications[CPU IKS libérable (vCPU)],TblApplications[Cluster IKS source],$F176,TblApplications[Mois lib (calc)],"&lt;="&amp;$E176)))</f>
        <v>0</v>
      </c>
      <c r="Q176" s="19">
        <f>IF($D176&lt;&gt;1,"",IF($G176="ROKS",SUMIFS(TblApplications[Besoin ROKS RAM (Go)],TblApplications[Cluster ROKS cible],$F176,TblApplications[Action],"À migrer",TblApplications[Déjà incluse ROKS],"Non",TblApplications[Mois prov (calc)],"&lt;="&amp;$E176),SUMIFS(TblApplications[RAM IKS libérable (Go)],TblApplications[Cluster IKS source],$F176,TblApplications[Mois lib (calc)],"&lt;="&amp;$E176)))</f>
        <v>0</v>
      </c>
      <c r="R176" s="19">
        <f t="shared" si="37"/>
        <v>48</v>
      </c>
      <c r="S176" s="19">
        <f t="shared" si="38"/>
        <v>240</v>
      </c>
      <c r="T176" s="19">
        <f t="shared" si="39"/>
        <v>6</v>
      </c>
      <c r="U176" s="19">
        <f t="shared" si="40"/>
        <v>48</v>
      </c>
      <c r="V176" s="19">
        <f t="shared" si="41"/>
        <v>240</v>
      </c>
      <c r="W176" s="73">
        <f t="shared" si="42"/>
        <v>2208</v>
      </c>
      <c r="X176" s="19">
        <f>IF($D176&lt;&gt;1,"",IF($G176="ROKS",$R176,IF($AI176=1,0,MAX($N176,$L176-SUMIFS(TblApplications[CPU IKS libérable (vCPU)],TblApplications[Cluster IKS source],$F176,TblApplications[Action],"À migrer",TblApplications[Mois prov (calc)],"&lt;="&amp;$E176)-SUMIFS(TblApplications[CPU IKS libérable (vCPU)],TblApplications[Cluster IKS source],$F176,TblApplications[Action],"À décommissionner",TblApplications[Mois lib (calc)],"&lt;="&amp;$E176)))))</f>
        <v>48</v>
      </c>
      <c r="Y176" s="19">
        <f>IF($D176&lt;&gt;1,"",IF($G176="ROKS",$S176,IF($AI176=1,0,MAX($O176,$M176-SUMIFS(TblApplications[RAM IKS libérable (Go)],TblApplications[Cluster IKS source],$F176,TblApplications[Action],"À migrer",TblApplications[Mois prov (calc)],"&lt;="&amp;$E176)-SUMIFS(TblApplications[RAM IKS libérable (Go)],TblApplications[Cluster IKS source],$F176,TblApplications[Action],"À décommissionner",TblApplications[Mois lib (calc)],"&lt;="&amp;$E176)))))</f>
        <v>240</v>
      </c>
      <c r="Z176" s="19">
        <f t="shared" si="43"/>
        <v>6</v>
      </c>
      <c r="AA176" s="73">
        <f t="shared" si="44"/>
        <v>2208</v>
      </c>
      <c r="AB176" s="19">
        <f t="shared" si="45"/>
        <v>6</v>
      </c>
      <c r="AC176" s="73">
        <f t="shared" si="46"/>
        <v>2208</v>
      </c>
      <c r="AD176" s="19">
        <f t="shared" si="47"/>
        <v>0</v>
      </c>
      <c r="AE176" s="19">
        <f t="shared" si="48"/>
        <v>0</v>
      </c>
      <c r="AF176" s="19" t="str">
        <f>IF($D176&lt;&gt;1,"",IF(INDEX(TblClusters[Environnement],$B176)="","(vide)",INDEX(TblClusters[Environnement],$B176)))</f>
        <v>NPRD</v>
      </c>
      <c r="AG176" s="19">
        <f t="shared" si="49"/>
        <v>72</v>
      </c>
      <c r="AH176" s="19">
        <f t="shared" si="50"/>
        <v>30.666666666666668</v>
      </c>
      <c r="AI176" s="19">
        <f>IF($D176&lt;&gt;1,"",IF(AND($G176="IKS",ISNUMBER(INDEX(TblClusters[Fermeture retenue],$B176))),IF($E176&gt;=INDEX(TblClusters[Fermeture retenue],$B176),1,0),0))</f>
        <v>0</v>
      </c>
    </row>
    <row r="177" spans="1:35" x14ac:dyDescent="0.2">
      <c r="A177" s="19">
        <v>172</v>
      </c>
      <c r="B177" s="19">
        <f t="shared" si="34"/>
        <v>5</v>
      </c>
      <c r="C177" s="19">
        <f t="shared" si="35"/>
        <v>28</v>
      </c>
      <c r="D177" s="19">
        <f>IF($C177&gt;p_horizon,0,IFERROR(IF(AND(INDEX(TblClusters[Cluster],$B177)&lt;&gt;"",ISNUMBER(INDEX(TblClusters[CPU initial (vCPU)],$B177)),ISNUMBER(INDEX(TblClusters[CPU min (vCPU)],$B177)),OR(INDEX(TblClusters[Plateforme],$B177)="IKS",INDEX(TblClusters[Plateforme],$B177)="ROKS")),1,0),0))</f>
        <v>1</v>
      </c>
      <c r="E177" s="72">
        <f t="shared" si="36"/>
        <v>47119</v>
      </c>
      <c r="F177" s="19" t="str">
        <f>IF($D177=1,INDEX(TblClusters[Cluster],$B177),"")</f>
        <v>oc002i000849</v>
      </c>
      <c r="G177" s="19" t="str">
        <f>IF($D177=1,INDEX(TblClusters[Plateforme],$B177),"")</f>
        <v>ROKS</v>
      </c>
      <c r="H177" s="19">
        <f>IF($D177=1,INDEX(TblClusters[vCPU par nœud],$B177),"")</f>
        <v>8</v>
      </c>
      <c r="I177" s="19">
        <f>IF($D177=1,INDEX(TblClusters[RAM par nœud (Go)],$B177),"")</f>
        <v>40</v>
      </c>
      <c r="J177" s="19">
        <f>IF($D177=1,INDEX(TblClusters[Workers min],$B177),"")</f>
        <v>6</v>
      </c>
      <c r="K177" s="73">
        <f>IF($D177=1,INDEX(TblClusters[Tarif par nœud],$B177),"")</f>
        <v>368</v>
      </c>
      <c r="L177" s="19">
        <f>IF($D177=1,INDEX(TblClusters[CPU initial (vCPU)],$B177),"")</f>
        <v>48</v>
      </c>
      <c r="M177" s="19">
        <f>IF($D177=1,INDEX(TblClusters[RAM initiale (Go)],$B177),"")</f>
        <v>240</v>
      </c>
      <c r="N177" s="19">
        <f>IF($D177=1,INDEX(TblClusters[CPU min (vCPU)],$B177),"")</f>
        <v>48</v>
      </c>
      <c r="O177" s="19">
        <f>IF($D177=1,INDEX(TblClusters[RAM min (Go)],$B177),"")</f>
        <v>240</v>
      </c>
      <c r="P177" s="19">
        <f>IF($D177&lt;&gt;1,"",IF($G177="ROKS",SUMIFS(TblApplications[Besoin ROKS CPU (vCPU)],TblApplications[Cluster ROKS cible],$F177,TblApplications[Action],"À migrer",TblApplications[Déjà incluse ROKS],"Non",TblApplications[Mois prov (calc)],"&lt;="&amp;$E177),SUMIFS(TblApplications[CPU IKS libérable (vCPU)],TblApplications[Cluster IKS source],$F177,TblApplications[Mois lib (calc)],"&lt;="&amp;$E177)))</f>
        <v>0</v>
      </c>
      <c r="Q177" s="19">
        <f>IF($D177&lt;&gt;1,"",IF($G177="ROKS",SUMIFS(TblApplications[Besoin ROKS RAM (Go)],TblApplications[Cluster ROKS cible],$F177,TblApplications[Action],"À migrer",TblApplications[Déjà incluse ROKS],"Non",TblApplications[Mois prov (calc)],"&lt;="&amp;$E177),SUMIFS(TblApplications[RAM IKS libérable (Go)],TblApplications[Cluster IKS source],$F177,TblApplications[Mois lib (calc)],"&lt;="&amp;$E177)))</f>
        <v>0</v>
      </c>
      <c r="R177" s="19">
        <f t="shared" si="37"/>
        <v>48</v>
      </c>
      <c r="S177" s="19">
        <f t="shared" si="38"/>
        <v>240</v>
      </c>
      <c r="T177" s="19">
        <f t="shared" si="39"/>
        <v>6</v>
      </c>
      <c r="U177" s="19">
        <f t="shared" si="40"/>
        <v>48</v>
      </c>
      <c r="V177" s="19">
        <f t="shared" si="41"/>
        <v>240</v>
      </c>
      <c r="W177" s="73">
        <f t="shared" si="42"/>
        <v>2208</v>
      </c>
      <c r="X177" s="19">
        <f>IF($D177&lt;&gt;1,"",IF($G177="ROKS",$R177,IF($AI177=1,0,MAX($N177,$L177-SUMIFS(TblApplications[CPU IKS libérable (vCPU)],TblApplications[Cluster IKS source],$F177,TblApplications[Action],"À migrer",TblApplications[Mois prov (calc)],"&lt;="&amp;$E177)-SUMIFS(TblApplications[CPU IKS libérable (vCPU)],TblApplications[Cluster IKS source],$F177,TblApplications[Action],"À décommissionner",TblApplications[Mois lib (calc)],"&lt;="&amp;$E177)))))</f>
        <v>48</v>
      </c>
      <c r="Y177" s="19">
        <f>IF($D177&lt;&gt;1,"",IF($G177="ROKS",$S177,IF($AI177=1,0,MAX($O177,$M177-SUMIFS(TblApplications[RAM IKS libérable (Go)],TblApplications[Cluster IKS source],$F177,TblApplications[Action],"À migrer",TblApplications[Mois prov (calc)],"&lt;="&amp;$E177)-SUMIFS(TblApplications[RAM IKS libérable (Go)],TblApplications[Cluster IKS source],$F177,TblApplications[Action],"À décommissionner",TblApplications[Mois lib (calc)],"&lt;="&amp;$E177)))))</f>
        <v>240</v>
      </c>
      <c r="Z177" s="19">
        <f t="shared" si="43"/>
        <v>6</v>
      </c>
      <c r="AA177" s="73">
        <f t="shared" si="44"/>
        <v>2208</v>
      </c>
      <c r="AB177" s="19">
        <f t="shared" si="45"/>
        <v>6</v>
      </c>
      <c r="AC177" s="73">
        <f t="shared" si="46"/>
        <v>2208</v>
      </c>
      <c r="AD177" s="19">
        <f t="shared" si="47"/>
        <v>0</v>
      </c>
      <c r="AE177" s="19">
        <f t="shared" si="48"/>
        <v>0</v>
      </c>
      <c r="AF177" s="19" t="str">
        <f>IF($D177&lt;&gt;1,"",IF(INDEX(TblClusters[Environnement],$B177)="","(vide)",INDEX(TblClusters[Environnement],$B177)))</f>
        <v>NPRD</v>
      </c>
      <c r="AG177" s="19">
        <f t="shared" si="49"/>
        <v>72</v>
      </c>
      <c r="AH177" s="19">
        <f t="shared" si="50"/>
        <v>30.666666666666668</v>
      </c>
      <c r="AI177" s="19">
        <f>IF($D177&lt;&gt;1,"",IF(AND($G177="IKS",ISNUMBER(INDEX(TblClusters[Fermeture retenue],$B177))),IF($E177&gt;=INDEX(TblClusters[Fermeture retenue],$B177),1,0),0))</f>
        <v>0</v>
      </c>
    </row>
    <row r="178" spans="1:35" x14ac:dyDescent="0.2">
      <c r="A178" s="19">
        <v>173</v>
      </c>
      <c r="B178" s="19">
        <f t="shared" si="34"/>
        <v>5</v>
      </c>
      <c r="C178" s="19">
        <f t="shared" si="35"/>
        <v>29</v>
      </c>
      <c r="D178" s="19">
        <f>IF($C178&gt;p_horizon,0,IFERROR(IF(AND(INDEX(TblClusters[Cluster],$B178)&lt;&gt;"",ISNUMBER(INDEX(TblClusters[CPU initial (vCPU)],$B178)),ISNUMBER(INDEX(TblClusters[CPU min (vCPU)],$B178)),OR(INDEX(TblClusters[Plateforme],$B178)="IKS",INDEX(TblClusters[Plateforme],$B178)="ROKS")),1,0),0))</f>
        <v>1</v>
      </c>
      <c r="E178" s="72">
        <f t="shared" si="36"/>
        <v>47150</v>
      </c>
      <c r="F178" s="19" t="str">
        <f>IF($D178=1,INDEX(TblClusters[Cluster],$B178),"")</f>
        <v>oc002i000849</v>
      </c>
      <c r="G178" s="19" t="str">
        <f>IF($D178=1,INDEX(TblClusters[Plateforme],$B178),"")</f>
        <v>ROKS</v>
      </c>
      <c r="H178" s="19">
        <f>IF($D178=1,INDEX(TblClusters[vCPU par nœud],$B178),"")</f>
        <v>8</v>
      </c>
      <c r="I178" s="19">
        <f>IF($D178=1,INDEX(TblClusters[RAM par nœud (Go)],$B178),"")</f>
        <v>40</v>
      </c>
      <c r="J178" s="19">
        <f>IF($D178=1,INDEX(TblClusters[Workers min],$B178),"")</f>
        <v>6</v>
      </c>
      <c r="K178" s="73">
        <f>IF($D178=1,INDEX(TblClusters[Tarif par nœud],$B178),"")</f>
        <v>368</v>
      </c>
      <c r="L178" s="19">
        <f>IF($D178=1,INDEX(TblClusters[CPU initial (vCPU)],$B178),"")</f>
        <v>48</v>
      </c>
      <c r="M178" s="19">
        <f>IF($D178=1,INDEX(TblClusters[RAM initiale (Go)],$B178),"")</f>
        <v>240</v>
      </c>
      <c r="N178" s="19">
        <f>IF($D178=1,INDEX(TblClusters[CPU min (vCPU)],$B178),"")</f>
        <v>48</v>
      </c>
      <c r="O178" s="19">
        <f>IF($D178=1,INDEX(TblClusters[RAM min (Go)],$B178),"")</f>
        <v>240</v>
      </c>
      <c r="P178" s="19">
        <f>IF($D178&lt;&gt;1,"",IF($G178="ROKS",SUMIFS(TblApplications[Besoin ROKS CPU (vCPU)],TblApplications[Cluster ROKS cible],$F178,TblApplications[Action],"À migrer",TblApplications[Déjà incluse ROKS],"Non",TblApplications[Mois prov (calc)],"&lt;="&amp;$E178),SUMIFS(TblApplications[CPU IKS libérable (vCPU)],TblApplications[Cluster IKS source],$F178,TblApplications[Mois lib (calc)],"&lt;="&amp;$E178)))</f>
        <v>0</v>
      </c>
      <c r="Q178" s="19">
        <f>IF($D178&lt;&gt;1,"",IF($G178="ROKS",SUMIFS(TblApplications[Besoin ROKS RAM (Go)],TblApplications[Cluster ROKS cible],$F178,TblApplications[Action],"À migrer",TblApplications[Déjà incluse ROKS],"Non",TblApplications[Mois prov (calc)],"&lt;="&amp;$E178),SUMIFS(TblApplications[RAM IKS libérable (Go)],TblApplications[Cluster IKS source],$F178,TblApplications[Mois lib (calc)],"&lt;="&amp;$E178)))</f>
        <v>0</v>
      </c>
      <c r="R178" s="19">
        <f t="shared" si="37"/>
        <v>48</v>
      </c>
      <c r="S178" s="19">
        <f t="shared" si="38"/>
        <v>240</v>
      </c>
      <c r="T178" s="19">
        <f t="shared" si="39"/>
        <v>6</v>
      </c>
      <c r="U178" s="19">
        <f t="shared" si="40"/>
        <v>48</v>
      </c>
      <c r="V178" s="19">
        <f t="shared" si="41"/>
        <v>240</v>
      </c>
      <c r="W178" s="73">
        <f t="shared" si="42"/>
        <v>2208</v>
      </c>
      <c r="X178" s="19">
        <f>IF($D178&lt;&gt;1,"",IF($G178="ROKS",$R178,IF($AI178=1,0,MAX($N178,$L178-SUMIFS(TblApplications[CPU IKS libérable (vCPU)],TblApplications[Cluster IKS source],$F178,TblApplications[Action],"À migrer",TblApplications[Mois prov (calc)],"&lt;="&amp;$E178)-SUMIFS(TblApplications[CPU IKS libérable (vCPU)],TblApplications[Cluster IKS source],$F178,TblApplications[Action],"À décommissionner",TblApplications[Mois lib (calc)],"&lt;="&amp;$E178)))))</f>
        <v>48</v>
      </c>
      <c r="Y178" s="19">
        <f>IF($D178&lt;&gt;1,"",IF($G178="ROKS",$S178,IF($AI178=1,0,MAX($O178,$M178-SUMIFS(TblApplications[RAM IKS libérable (Go)],TblApplications[Cluster IKS source],$F178,TblApplications[Action],"À migrer",TblApplications[Mois prov (calc)],"&lt;="&amp;$E178)-SUMIFS(TblApplications[RAM IKS libérable (Go)],TblApplications[Cluster IKS source],$F178,TblApplications[Action],"À décommissionner",TblApplications[Mois lib (calc)],"&lt;="&amp;$E178)))))</f>
        <v>240</v>
      </c>
      <c r="Z178" s="19">
        <f t="shared" si="43"/>
        <v>6</v>
      </c>
      <c r="AA178" s="73">
        <f t="shared" si="44"/>
        <v>2208</v>
      </c>
      <c r="AB178" s="19">
        <f t="shared" si="45"/>
        <v>6</v>
      </c>
      <c r="AC178" s="73">
        <f t="shared" si="46"/>
        <v>2208</v>
      </c>
      <c r="AD178" s="19">
        <f t="shared" si="47"/>
        <v>0</v>
      </c>
      <c r="AE178" s="19">
        <f t="shared" si="48"/>
        <v>0</v>
      </c>
      <c r="AF178" s="19" t="str">
        <f>IF($D178&lt;&gt;1,"",IF(INDEX(TblClusters[Environnement],$B178)="","(vide)",INDEX(TblClusters[Environnement],$B178)))</f>
        <v>NPRD</v>
      </c>
      <c r="AG178" s="19">
        <f t="shared" si="49"/>
        <v>72</v>
      </c>
      <c r="AH178" s="19">
        <f t="shared" si="50"/>
        <v>30.666666666666668</v>
      </c>
      <c r="AI178" s="19">
        <f>IF($D178&lt;&gt;1,"",IF(AND($G178="IKS",ISNUMBER(INDEX(TblClusters[Fermeture retenue],$B178))),IF($E178&gt;=INDEX(TblClusters[Fermeture retenue],$B178),1,0),0))</f>
        <v>0</v>
      </c>
    </row>
    <row r="179" spans="1:35" x14ac:dyDescent="0.2">
      <c r="A179" s="19">
        <v>174</v>
      </c>
      <c r="B179" s="19">
        <f t="shared" si="34"/>
        <v>5</v>
      </c>
      <c r="C179" s="19">
        <f t="shared" si="35"/>
        <v>30</v>
      </c>
      <c r="D179" s="19">
        <f>IF($C179&gt;p_horizon,0,IFERROR(IF(AND(INDEX(TblClusters[Cluster],$B179)&lt;&gt;"",ISNUMBER(INDEX(TblClusters[CPU initial (vCPU)],$B179)),ISNUMBER(INDEX(TblClusters[CPU min (vCPU)],$B179)),OR(INDEX(TblClusters[Plateforme],$B179)="IKS",INDEX(TblClusters[Plateforme],$B179)="ROKS")),1,0),0))</f>
        <v>1</v>
      </c>
      <c r="E179" s="72">
        <f t="shared" si="36"/>
        <v>47178</v>
      </c>
      <c r="F179" s="19" t="str">
        <f>IF($D179=1,INDEX(TblClusters[Cluster],$B179),"")</f>
        <v>oc002i000849</v>
      </c>
      <c r="G179" s="19" t="str">
        <f>IF($D179=1,INDEX(TblClusters[Plateforme],$B179),"")</f>
        <v>ROKS</v>
      </c>
      <c r="H179" s="19">
        <f>IF($D179=1,INDEX(TblClusters[vCPU par nœud],$B179),"")</f>
        <v>8</v>
      </c>
      <c r="I179" s="19">
        <f>IF($D179=1,INDEX(TblClusters[RAM par nœud (Go)],$B179),"")</f>
        <v>40</v>
      </c>
      <c r="J179" s="19">
        <f>IF($D179=1,INDEX(TblClusters[Workers min],$B179),"")</f>
        <v>6</v>
      </c>
      <c r="K179" s="73">
        <f>IF($D179=1,INDEX(TblClusters[Tarif par nœud],$B179),"")</f>
        <v>368</v>
      </c>
      <c r="L179" s="19">
        <f>IF($D179=1,INDEX(TblClusters[CPU initial (vCPU)],$B179),"")</f>
        <v>48</v>
      </c>
      <c r="M179" s="19">
        <f>IF($D179=1,INDEX(TblClusters[RAM initiale (Go)],$B179),"")</f>
        <v>240</v>
      </c>
      <c r="N179" s="19">
        <f>IF($D179=1,INDEX(TblClusters[CPU min (vCPU)],$B179),"")</f>
        <v>48</v>
      </c>
      <c r="O179" s="19">
        <f>IF($D179=1,INDEX(TblClusters[RAM min (Go)],$B179),"")</f>
        <v>240</v>
      </c>
      <c r="P179" s="19">
        <f>IF($D179&lt;&gt;1,"",IF($G179="ROKS",SUMIFS(TblApplications[Besoin ROKS CPU (vCPU)],TblApplications[Cluster ROKS cible],$F179,TblApplications[Action],"À migrer",TblApplications[Déjà incluse ROKS],"Non",TblApplications[Mois prov (calc)],"&lt;="&amp;$E179),SUMIFS(TblApplications[CPU IKS libérable (vCPU)],TblApplications[Cluster IKS source],$F179,TblApplications[Mois lib (calc)],"&lt;="&amp;$E179)))</f>
        <v>0</v>
      </c>
      <c r="Q179" s="19">
        <f>IF($D179&lt;&gt;1,"",IF($G179="ROKS",SUMIFS(TblApplications[Besoin ROKS RAM (Go)],TblApplications[Cluster ROKS cible],$F179,TblApplications[Action],"À migrer",TblApplications[Déjà incluse ROKS],"Non",TblApplications[Mois prov (calc)],"&lt;="&amp;$E179),SUMIFS(TblApplications[RAM IKS libérable (Go)],TblApplications[Cluster IKS source],$F179,TblApplications[Mois lib (calc)],"&lt;="&amp;$E179)))</f>
        <v>0</v>
      </c>
      <c r="R179" s="19">
        <f t="shared" si="37"/>
        <v>48</v>
      </c>
      <c r="S179" s="19">
        <f t="shared" si="38"/>
        <v>240</v>
      </c>
      <c r="T179" s="19">
        <f t="shared" si="39"/>
        <v>6</v>
      </c>
      <c r="U179" s="19">
        <f t="shared" si="40"/>
        <v>48</v>
      </c>
      <c r="V179" s="19">
        <f t="shared" si="41"/>
        <v>240</v>
      </c>
      <c r="W179" s="73">
        <f t="shared" si="42"/>
        <v>2208</v>
      </c>
      <c r="X179" s="19">
        <f>IF($D179&lt;&gt;1,"",IF($G179="ROKS",$R179,IF($AI179=1,0,MAX($N179,$L179-SUMIFS(TblApplications[CPU IKS libérable (vCPU)],TblApplications[Cluster IKS source],$F179,TblApplications[Action],"À migrer",TblApplications[Mois prov (calc)],"&lt;="&amp;$E179)-SUMIFS(TblApplications[CPU IKS libérable (vCPU)],TblApplications[Cluster IKS source],$F179,TblApplications[Action],"À décommissionner",TblApplications[Mois lib (calc)],"&lt;="&amp;$E179)))))</f>
        <v>48</v>
      </c>
      <c r="Y179" s="19">
        <f>IF($D179&lt;&gt;1,"",IF($G179="ROKS",$S179,IF($AI179=1,0,MAX($O179,$M179-SUMIFS(TblApplications[RAM IKS libérable (Go)],TblApplications[Cluster IKS source],$F179,TblApplications[Action],"À migrer",TblApplications[Mois prov (calc)],"&lt;="&amp;$E179)-SUMIFS(TblApplications[RAM IKS libérable (Go)],TblApplications[Cluster IKS source],$F179,TblApplications[Action],"À décommissionner",TblApplications[Mois lib (calc)],"&lt;="&amp;$E179)))))</f>
        <v>240</v>
      </c>
      <c r="Z179" s="19">
        <f t="shared" si="43"/>
        <v>6</v>
      </c>
      <c r="AA179" s="73">
        <f t="shared" si="44"/>
        <v>2208</v>
      </c>
      <c r="AB179" s="19">
        <f t="shared" si="45"/>
        <v>6</v>
      </c>
      <c r="AC179" s="73">
        <f t="shared" si="46"/>
        <v>2208</v>
      </c>
      <c r="AD179" s="19">
        <f t="shared" si="47"/>
        <v>0</v>
      </c>
      <c r="AE179" s="19">
        <f t="shared" si="48"/>
        <v>0</v>
      </c>
      <c r="AF179" s="19" t="str">
        <f>IF($D179&lt;&gt;1,"",IF(INDEX(TblClusters[Environnement],$B179)="","(vide)",INDEX(TblClusters[Environnement],$B179)))</f>
        <v>NPRD</v>
      </c>
      <c r="AG179" s="19">
        <f t="shared" si="49"/>
        <v>72</v>
      </c>
      <c r="AH179" s="19">
        <f t="shared" si="50"/>
        <v>30.666666666666668</v>
      </c>
      <c r="AI179" s="19">
        <f>IF($D179&lt;&gt;1,"",IF(AND($G179="IKS",ISNUMBER(INDEX(TblClusters[Fermeture retenue],$B179))),IF($E179&gt;=INDEX(TblClusters[Fermeture retenue],$B179),1,0),0))</f>
        <v>0</v>
      </c>
    </row>
    <row r="180" spans="1:35" x14ac:dyDescent="0.2">
      <c r="A180" s="19">
        <v>175</v>
      </c>
      <c r="B180" s="19">
        <f t="shared" si="34"/>
        <v>5</v>
      </c>
      <c r="C180" s="19">
        <f t="shared" si="35"/>
        <v>31</v>
      </c>
      <c r="D180" s="19">
        <f>IF($C180&gt;p_horizon,0,IFERROR(IF(AND(INDEX(TblClusters[Cluster],$B180)&lt;&gt;"",ISNUMBER(INDEX(TblClusters[CPU initial (vCPU)],$B180)),ISNUMBER(INDEX(TblClusters[CPU min (vCPU)],$B180)),OR(INDEX(TblClusters[Plateforme],$B180)="IKS",INDEX(TblClusters[Plateforme],$B180)="ROKS")),1,0),0))</f>
        <v>1</v>
      </c>
      <c r="E180" s="72">
        <f t="shared" si="36"/>
        <v>47209</v>
      </c>
      <c r="F180" s="19" t="str">
        <f>IF($D180=1,INDEX(TblClusters[Cluster],$B180),"")</f>
        <v>oc002i000849</v>
      </c>
      <c r="G180" s="19" t="str">
        <f>IF($D180=1,INDEX(TblClusters[Plateforme],$B180),"")</f>
        <v>ROKS</v>
      </c>
      <c r="H180" s="19">
        <f>IF($D180=1,INDEX(TblClusters[vCPU par nœud],$B180),"")</f>
        <v>8</v>
      </c>
      <c r="I180" s="19">
        <f>IF($D180=1,INDEX(TblClusters[RAM par nœud (Go)],$B180),"")</f>
        <v>40</v>
      </c>
      <c r="J180" s="19">
        <f>IF($D180=1,INDEX(TblClusters[Workers min],$B180),"")</f>
        <v>6</v>
      </c>
      <c r="K180" s="73">
        <f>IF($D180=1,INDEX(TblClusters[Tarif par nœud],$B180),"")</f>
        <v>368</v>
      </c>
      <c r="L180" s="19">
        <f>IF($D180=1,INDEX(TblClusters[CPU initial (vCPU)],$B180),"")</f>
        <v>48</v>
      </c>
      <c r="M180" s="19">
        <f>IF($D180=1,INDEX(TblClusters[RAM initiale (Go)],$B180),"")</f>
        <v>240</v>
      </c>
      <c r="N180" s="19">
        <f>IF($D180=1,INDEX(TblClusters[CPU min (vCPU)],$B180),"")</f>
        <v>48</v>
      </c>
      <c r="O180" s="19">
        <f>IF($D180=1,INDEX(TblClusters[RAM min (Go)],$B180),"")</f>
        <v>240</v>
      </c>
      <c r="P180" s="19">
        <f>IF($D180&lt;&gt;1,"",IF($G180="ROKS",SUMIFS(TblApplications[Besoin ROKS CPU (vCPU)],TblApplications[Cluster ROKS cible],$F180,TblApplications[Action],"À migrer",TblApplications[Déjà incluse ROKS],"Non",TblApplications[Mois prov (calc)],"&lt;="&amp;$E180),SUMIFS(TblApplications[CPU IKS libérable (vCPU)],TblApplications[Cluster IKS source],$F180,TblApplications[Mois lib (calc)],"&lt;="&amp;$E180)))</f>
        <v>0</v>
      </c>
      <c r="Q180" s="19">
        <f>IF($D180&lt;&gt;1,"",IF($G180="ROKS",SUMIFS(TblApplications[Besoin ROKS RAM (Go)],TblApplications[Cluster ROKS cible],$F180,TblApplications[Action],"À migrer",TblApplications[Déjà incluse ROKS],"Non",TblApplications[Mois prov (calc)],"&lt;="&amp;$E180),SUMIFS(TblApplications[RAM IKS libérable (Go)],TblApplications[Cluster IKS source],$F180,TblApplications[Mois lib (calc)],"&lt;="&amp;$E180)))</f>
        <v>0</v>
      </c>
      <c r="R180" s="19">
        <f t="shared" si="37"/>
        <v>48</v>
      </c>
      <c r="S180" s="19">
        <f t="shared" si="38"/>
        <v>240</v>
      </c>
      <c r="T180" s="19">
        <f t="shared" si="39"/>
        <v>6</v>
      </c>
      <c r="U180" s="19">
        <f t="shared" si="40"/>
        <v>48</v>
      </c>
      <c r="V180" s="19">
        <f t="shared" si="41"/>
        <v>240</v>
      </c>
      <c r="W180" s="73">
        <f t="shared" si="42"/>
        <v>2208</v>
      </c>
      <c r="X180" s="19">
        <f>IF($D180&lt;&gt;1,"",IF($G180="ROKS",$R180,IF($AI180=1,0,MAX($N180,$L180-SUMIFS(TblApplications[CPU IKS libérable (vCPU)],TblApplications[Cluster IKS source],$F180,TblApplications[Action],"À migrer",TblApplications[Mois prov (calc)],"&lt;="&amp;$E180)-SUMIFS(TblApplications[CPU IKS libérable (vCPU)],TblApplications[Cluster IKS source],$F180,TblApplications[Action],"À décommissionner",TblApplications[Mois lib (calc)],"&lt;="&amp;$E180)))))</f>
        <v>48</v>
      </c>
      <c r="Y180" s="19">
        <f>IF($D180&lt;&gt;1,"",IF($G180="ROKS",$S180,IF($AI180=1,0,MAX($O180,$M180-SUMIFS(TblApplications[RAM IKS libérable (Go)],TblApplications[Cluster IKS source],$F180,TblApplications[Action],"À migrer",TblApplications[Mois prov (calc)],"&lt;="&amp;$E180)-SUMIFS(TblApplications[RAM IKS libérable (Go)],TblApplications[Cluster IKS source],$F180,TblApplications[Action],"À décommissionner",TblApplications[Mois lib (calc)],"&lt;="&amp;$E180)))))</f>
        <v>240</v>
      </c>
      <c r="Z180" s="19">
        <f t="shared" si="43"/>
        <v>6</v>
      </c>
      <c r="AA180" s="73">
        <f t="shared" si="44"/>
        <v>2208</v>
      </c>
      <c r="AB180" s="19">
        <f t="shared" si="45"/>
        <v>6</v>
      </c>
      <c r="AC180" s="73">
        <f t="shared" si="46"/>
        <v>2208</v>
      </c>
      <c r="AD180" s="19">
        <f t="shared" si="47"/>
        <v>0</v>
      </c>
      <c r="AE180" s="19">
        <f t="shared" si="48"/>
        <v>0</v>
      </c>
      <c r="AF180" s="19" t="str">
        <f>IF($D180&lt;&gt;1,"",IF(INDEX(TblClusters[Environnement],$B180)="","(vide)",INDEX(TblClusters[Environnement],$B180)))</f>
        <v>NPRD</v>
      </c>
      <c r="AG180" s="19">
        <f t="shared" si="49"/>
        <v>72</v>
      </c>
      <c r="AH180" s="19">
        <f t="shared" si="50"/>
        <v>30.666666666666668</v>
      </c>
      <c r="AI180" s="19">
        <f>IF($D180&lt;&gt;1,"",IF(AND($G180="IKS",ISNUMBER(INDEX(TblClusters[Fermeture retenue],$B180))),IF($E180&gt;=INDEX(TblClusters[Fermeture retenue],$B180),1,0),0))</f>
        <v>0</v>
      </c>
    </row>
    <row r="181" spans="1:35" x14ac:dyDescent="0.2">
      <c r="A181" s="19">
        <v>176</v>
      </c>
      <c r="B181" s="19">
        <f t="shared" si="34"/>
        <v>5</v>
      </c>
      <c r="C181" s="19">
        <f t="shared" si="35"/>
        <v>32</v>
      </c>
      <c r="D181" s="19">
        <f>IF($C181&gt;p_horizon,0,IFERROR(IF(AND(INDEX(TblClusters[Cluster],$B181)&lt;&gt;"",ISNUMBER(INDEX(TblClusters[CPU initial (vCPU)],$B181)),ISNUMBER(INDEX(TblClusters[CPU min (vCPU)],$B181)),OR(INDEX(TblClusters[Plateforme],$B181)="IKS",INDEX(TblClusters[Plateforme],$B181)="ROKS")),1,0),0))</f>
        <v>1</v>
      </c>
      <c r="E181" s="72">
        <f t="shared" si="36"/>
        <v>47239</v>
      </c>
      <c r="F181" s="19" t="str">
        <f>IF($D181=1,INDEX(TblClusters[Cluster],$B181),"")</f>
        <v>oc002i000849</v>
      </c>
      <c r="G181" s="19" t="str">
        <f>IF($D181=1,INDEX(TblClusters[Plateforme],$B181),"")</f>
        <v>ROKS</v>
      </c>
      <c r="H181" s="19">
        <f>IF($D181=1,INDEX(TblClusters[vCPU par nœud],$B181),"")</f>
        <v>8</v>
      </c>
      <c r="I181" s="19">
        <f>IF($D181=1,INDEX(TblClusters[RAM par nœud (Go)],$B181),"")</f>
        <v>40</v>
      </c>
      <c r="J181" s="19">
        <f>IF($D181=1,INDEX(TblClusters[Workers min],$B181),"")</f>
        <v>6</v>
      </c>
      <c r="K181" s="73">
        <f>IF($D181=1,INDEX(TblClusters[Tarif par nœud],$B181),"")</f>
        <v>368</v>
      </c>
      <c r="L181" s="19">
        <f>IF($D181=1,INDEX(TblClusters[CPU initial (vCPU)],$B181),"")</f>
        <v>48</v>
      </c>
      <c r="M181" s="19">
        <f>IF($D181=1,INDEX(TblClusters[RAM initiale (Go)],$B181),"")</f>
        <v>240</v>
      </c>
      <c r="N181" s="19">
        <f>IF($D181=1,INDEX(TblClusters[CPU min (vCPU)],$B181),"")</f>
        <v>48</v>
      </c>
      <c r="O181" s="19">
        <f>IF($D181=1,INDEX(TblClusters[RAM min (Go)],$B181),"")</f>
        <v>240</v>
      </c>
      <c r="P181" s="19">
        <f>IF($D181&lt;&gt;1,"",IF($G181="ROKS",SUMIFS(TblApplications[Besoin ROKS CPU (vCPU)],TblApplications[Cluster ROKS cible],$F181,TblApplications[Action],"À migrer",TblApplications[Déjà incluse ROKS],"Non",TblApplications[Mois prov (calc)],"&lt;="&amp;$E181),SUMIFS(TblApplications[CPU IKS libérable (vCPU)],TblApplications[Cluster IKS source],$F181,TblApplications[Mois lib (calc)],"&lt;="&amp;$E181)))</f>
        <v>0</v>
      </c>
      <c r="Q181" s="19">
        <f>IF($D181&lt;&gt;1,"",IF($G181="ROKS",SUMIFS(TblApplications[Besoin ROKS RAM (Go)],TblApplications[Cluster ROKS cible],$F181,TblApplications[Action],"À migrer",TblApplications[Déjà incluse ROKS],"Non",TblApplications[Mois prov (calc)],"&lt;="&amp;$E181),SUMIFS(TblApplications[RAM IKS libérable (Go)],TblApplications[Cluster IKS source],$F181,TblApplications[Mois lib (calc)],"&lt;="&amp;$E181)))</f>
        <v>0</v>
      </c>
      <c r="R181" s="19">
        <f t="shared" si="37"/>
        <v>48</v>
      </c>
      <c r="S181" s="19">
        <f t="shared" si="38"/>
        <v>240</v>
      </c>
      <c r="T181" s="19">
        <f t="shared" si="39"/>
        <v>6</v>
      </c>
      <c r="U181" s="19">
        <f t="shared" si="40"/>
        <v>48</v>
      </c>
      <c r="V181" s="19">
        <f t="shared" si="41"/>
        <v>240</v>
      </c>
      <c r="W181" s="73">
        <f t="shared" si="42"/>
        <v>2208</v>
      </c>
      <c r="X181" s="19">
        <f>IF($D181&lt;&gt;1,"",IF($G181="ROKS",$R181,IF($AI181=1,0,MAX($N181,$L181-SUMIFS(TblApplications[CPU IKS libérable (vCPU)],TblApplications[Cluster IKS source],$F181,TblApplications[Action],"À migrer",TblApplications[Mois prov (calc)],"&lt;="&amp;$E181)-SUMIFS(TblApplications[CPU IKS libérable (vCPU)],TblApplications[Cluster IKS source],$F181,TblApplications[Action],"À décommissionner",TblApplications[Mois lib (calc)],"&lt;="&amp;$E181)))))</f>
        <v>48</v>
      </c>
      <c r="Y181" s="19">
        <f>IF($D181&lt;&gt;1,"",IF($G181="ROKS",$S181,IF($AI181=1,0,MAX($O181,$M181-SUMIFS(TblApplications[RAM IKS libérable (Go)],TblApplications[Cluster IKS source],$F181,TblApplications[Action],"À migrer",TblApplications[Mois prov (calc)],"&lt;="&amp;$E181)-SUMIFS(TblApplications[RAM IKS libérable (Go)],TblApplications[Cluster IKS source],$F181,TblApplications[Action],"À décommissionner",TblApplications[Mois lib (calc)],"&lt;="&amp;$E181)))))</f>
        <v>240</v>
      </c>
      <c r="Z181" s="19">
        <f t="shared" si="43"/>
        <v>6</v>
      </c>
      <c r="AA181" s="73">
        <f t="shared" si="44"/>
        <v>2208</v>
      </c>
      <c r="AB181" s="19">
        <f t="shared" si="45"/>
        <v>6</v>
      </c>
      <c r="AC181" s="73">
        <f t="shared" si="46"/>
        <v>2208</v>
      </c>
      <c r="AD181" s="19">
        <f t="shared" si="47"/>
        <v>0</v>
      </c>
      <c r="AE181" s="19">
        <f t="shared" si="48"/>
        <v>0</v>
      </c>
      <c r="AF181" s="19" t="str">
        <f>IF($D181&lt;&gt;1,"",IF(INDEX(TblClusters[Environnement],$B181)="","(vide)",INDEX(TblClusters[Environnement],$B181)))</f>
        <v>NPRD</v>
      </c>
      <c r="AG181" s="19">
        <f t="shared" si="49"/>
        <v>72</v>
      </c>
      <c r="AH181" s="19">
        <f t="shared" si="50"/>
        <v>30.666666666666668</v>
      </c>
      <c r="AI181" s="19">
        <f>IF($D181&lt;&gt;1,"",IF(AND($G181="IKS",ISNUMBER(INDEX(TblClusters[Fermeture retenue],$B181))),IF($E181&gt;=INDEX(TblClusters[Fermeture retenue],$B181),1,0),0))</f>
        <v>0</v>
      </c>
    </row>
    <row r="182" spans="1:35" x14ac:dyDescent="0.2">
      <c r="A182" s="19">
        <v>177</v>
      </c>
      <c r="B182" s="19">
        <f t="shared" si="34"/>
        <v>5</v>
      </c>
      <c r="C182" s="19">
        <f t="shared" si="35"/>
        <v>33</v>
      </c>
      <c r="D182" s="19">
        <f>IF($C182&gt;p_horizon,0,IFERROR(IF(AND(INDEX(TblClusters[Cluster],$B182)&lt;&gt;"",ISNUMBER(INDEX(TblClusters[CPU initial (vCPU)],$B182)),ISNUMBER(INDEX(TblClusters[CPU min (vCPU)],$B182)),OR(INDEX(TblClusters[Plateforme],$B182)="IKS",INDEX(TblClusters[Plateforme],$B182)="ROKS")),1,0),0))</f>
        <v>1</v>
      </c>
      <c r="E182" s="72">
        <f t="shared" si="36"/>
        <v>47270</v>
      </c>
      <c r="F182" s="19" t="str">
        <f>IF($D182=1,INDEX(TblClusters[Cluster],$B182),"")</f>
        <v>oc002i000849</v>
      </c>
      <c r="G182" s="19" t="str">
        <f>IF($D182=1,INDEX(TblClusters[Plateforme],$B182),"")</f>
        <v>ROKS</v>
      </c>
      <c r="H182" s="19">
        <f>IF($D182=1,INDEX(TblClusters[vCPU par nœud],$B182),"")</f>
        <v>8</v>
      </c>
      <c r="I182" s="19">
        <f>IF($D182=1,INDEX(TblClusters[RAM par nœud (Go)],$B182),"")</f>
        <v>40</v>
      </c>
      <c r="J182" s="19">
        <f>IF($D182=1,INDEX(TblClusters[Workers min],$B182),"")</f>
        <v>6</v>
      </c>
      <c r="K182" s="73">
        <f>IF($D182=1,INDEX(TblClusters[Tarif par nœud],$B182),"")</f>
        <v>368</v>
      </c>
      <c r="L182" s="19">
        <f>IF($D182=1,INDEX(TblClusters[CPU initial (vCPU)],$B182),"")</f>
        <v>48</v>
      </c>
      <c r="M182" s="19">
        <f>IF($D182=1,INDEX(TblClusters[RAM initiale (Go)],$B182),"")</f>
        <v>240</v>
      </c>
      <c r="N182" s="19">
        <f>IF($D182=1,INDEX(TblClusters[CPU min (vCPU)],$B182),"")</f>
        <v>48</v>
      </c>
      <c r="O182" s="19">
        <f>IF($D182=1,INDEX(TblClusters[RAM min (Go)],$B182),"")</f>
        <v>240</v>
      </c>
      <c r="P182" s="19">
        <f>IF($D182&lt;&gt;1,"",IF($G182="ROKS",SUMIFS(TblApplications[Besoin ROKS CPU (vCPU)],TblApplications[Cluster ROKS cible],$F182,TblApplications[Action],"À migrer",TblApplications[Déjà incluse ROKS],"Non",TblApplications[Mois prov (calc)],"&lt;="&amp;$E182),SUMIFS(TblApplications[CPU IKS libérable (vCPU)],TblApplications[Cluster IKS source],$F182,TblApplications[Mois lib (calc)],"&lt;="&amp;$E182)))</f>
        <v>0</v>
      </c>
      <c r="Q182" s="19">
        <f>IF($D182&lt;&gt;1,"",IF($G182="ROKS",SUMIFS(TblApplications[Besoin ROKS RAM (Go)],TblApplications[Cluster ROKS cible],$F182,TblApplications[Action],"À migrer",TblApplications[Déjà incluse ROKS],"Non",TblApplications[Mois prov (calc)],"&lt;="&amp;$E182),SUMIFS(TblApplications[RAM IKS libérable (Go)],TblApplications[Cluster IKS source],$F182,TblApplications[Mois lib (calc)],"&lt;="&amp;$E182)))</f>
        <v>0</v>
      </c>
      <c r="R182" s="19">
        <f t="shared" si="37"/>
        <v>48</v>
      </c>
      <c r="S182" s="19">
        <f t="shared" si="38"/>
        <v>240</v>
      </c>
      <c r="T182" s="19">
        <f t="shared" si="39"/>
        <v>6</v>
      </c>
      <c r="U182" s="19">
        <f t="shared" si="40"/>
        <v>48</v>
      </c>
      <c r="V182" s="19">
        <f t="shared" si="41"/>
        <v>240</v>
      </c>
      <c r="W182" s="73">
        <f t="shared" si="42"/>
        <v>2208</v>
      </c>
      <c r="X182" s="19">
        <f>IF($D182&lt;&gt;1,"",IF($G182="ROKS",$R182,IF($AI182=1,0,MAX($N182,$L182-SUMIFS(TblApplications[CPU IKS libérable (vCPU)],TblApplications[Cluster IKS source],$F182,TblApplications[Action],"À migrer",TblApplications[Mois prov (calc)],"&lt;="&amp;$E182)-SUMIFS(TblApplications[CPU IKS libérable (vCPU)],TblApplications[Cluster IKS source],$F182,TblApplications[Action],"À décommissionner",TblApplications[Mois lib (calc)],"&lt;="&amp;$E182)))))</f>
        <v>48</v>
      </c>
      <c r="Y182" s="19">
        <f>IF($D182&lt;&gt;1,"",IF($G182="ROKS",$S182,IF($AI182=1,0,MAX($O182,$M182-SUMIFS(TblApplications[RAM IKS libérable (Go)],TblApplications[Cluster IKS source],$F182,TblApplications[Action],"À migrer",TblApplications[Mois prov (calc)],"&lt;="&amp;$E182)-SUMIFS(TblApplications[RAM IKS libérable (Go)],TblApplications[Cluster IKS source],$F182,TblApplications[Action],"À décommissionner",TblApplications[Mois lib (calc)],"&lt;="&amp;$E182)))))</f>
        <v>240</v>
      </c>
      <c r="Z182" s="19">
        <f t="shared" si="43"/>
        <v>6</v>
      </c>
      <c r="AA182" s="73">
        <f t="shared" si="44"/>
        <v>2208</v>
      </c>
      <c r="AB182" s="19">
        <f t="shared" si="45"/>
        <v>6</v>
      </c>
      <c r="AC182" s="73">
        <f t="shared" si="46"/>
        <v>2208</v>
      </c>
      <c r="AD182" s="19">
        <f t="shared" si="47"/>
        <v>0</v>
      </c>
      <c r="AE182" s="19">
        <f t="shared" si="48"/>
        <v>0</v>
      </c>
      <c r="AF182" s="19" t="str">
        <f>IF($D182&lt;&gt;1,"",IF(INDEX(TblClusters[Environnement],$B182)="","(vide)",INDEX(TblClusters[Environnement],$B182)))</f>
        <v>NPRD</v>
      </c>
      <c r="AG182" s="19">
        <f t="shared" si="49"/>
        <v>72</v>
      </c>
      <c r="AH182" s="19">
        <f t="shared" si="50"/>
        <v>30.666666666666668</v>
      </c>
      <c r="AI182" s="19">
        <f>IF($D182&lt;&gt;1,"",IF(AND($G182="IKS",ISNUMBER(INDEX(TblClusters[Fermeture retenue],$B182))),IF($E182&gt;=INDEX(TblClusters[Fermeture retenue],$B182),1,0),0))</f>
        <v>0</v>
      </c>
    </row>
    <row r="183" spans="1:35" x14ac:dyDescent="0.2">
      <c r="A183" s="19">
        <v>178</v>
      </c>
      <c r="B183" s="19">
        <f t="shared" si="34"/>
        <v>5</v>
      </c>
      <c r="C183" s="19">
        <f t="shared" si="35"/>
        <v>34</v>
      </c>
      <c r="D183" s="19">
        <f>IF($C183&gt;p_horizon,0,IFERROR(IF(AND(INDEX(TblClusters[Cluster],$B183)&lt;&gt;"",ISNUMBER(INDEX(TblClusters[CPU initial (vCPU)],$B183)),ISNUMBER(INDEX(TblClusters[CPU min (vCPU)],$B183)),OR(INDEX(TblClusters[Plateforme],$B183)="IKS",INDEX(TblClusters[Plateforme],$B183)="ROKS")),1,0),0))</f>
        <v>1</v>
      </c>
      <c r="E183" s="72">
        <f t="shared" si="36"/>
        <v>47300</v>
      </c>
      <c r="F183" s="19" t="str">
        <f>IF($D183=1,INDEX(TblClusters[Cluster],$B183),"")</f>
        <v>oc002i000849</v>
      </c>
      <c r="G183" s="19" t="str">
        <f>IF($D183=1,INDEX(TblClusters[Plateforme],$B183),"")</f>
        <v>ROKS</v>
      </c>
      <c r="H183" s="19">
        <f>IF($D183=1,INDEX(TblClusters[vCPU par nœud],$B183),"")</f>
        <v>8</v>
      </c>
      <c r="I183" s="19">
        <f>IF($D183=1,INDEX(TblClusters[RAM par nœud (Go)],$B183),"")</f>
        <v>40</v>
      </c>
      <c r="J183" s="19">
        <f>IF($D183=1,INDEX(TblClusters[Workers min],$B183),"")</f>
        <v>6</v>
      </c>
      <c r="K183" s="73">
        <f>IF($D183=1,INDEX(TblClusters[Tarif par nœud],$B183),"")</f>
        <v>368</v>
      </c>
      <c r="L183" s="19">
        <f>IF($D183=1,INDEX(TblClusters[CPU initial (vCPU)],$B183),"")</f>
        <v>48</v>
      </c>
      <c r="M183" s="19">
        <f>IF($D183=1,INDEX(TblClusters[RAM initiale (Go)],$B183),"")</f>
        <v>240</v>
      </c>
      <c r="N183" s="19">
        <f>IF($D183=1,INDEX(TblClusters[CPU min (vCPU)],$B183),"")</f>
        <v>48</v>
      </c>
      <c r="O183" s="19">
        <f>IF($D183=1,INDEX(TblClusters[RAM min (Go)],$B183),"")</f>
        <v>240</v>
      </c>
      <c r="P183" s="19">
        <f>IF($D183&lt;&gt;1,"",IF($G183="ROKS",SUMIFS(TblApplications[Besoin ROKS CPU (vCPU)],TblApplications[Cluster ROKS cible],$F183,TblApplications[Action],"À migrer",TblApplications[Déjà incluse ROKS],"Non",TblApplications[Mois prov (calc)],"&lt;="&amp;$E183),SUMIFS(TblApplications[CPU IKS libérable (vCPU)],TblApplications[Cluster IKS source],$F183,TblApplications[Mois lib (calc)],"&lt;="&amp;$E183)))</f>
        <v>0</v>
      </c>
      <c r="Q183" s="19">
        <f>IF($D183&lt;&gt;1,"",IF($G183="ROKS",SUMIFS(TblApplications[Besoin ROKS RAM (Go)],TblApplications[Cluster ROKS cible],$F183,TblApplications[Action],"À migrer",TblApplications[Déjà incluse ROKS],"Non",TblApplications[Mois prov (calc)],"&lt;="&amp;$E183),SUMIFS(TblApplications[RAM IKS libérable (Go)],TblApplications[Cluster IKS source],$F183,TblApplications[Mois lib (calc)],"&lt;="&amp;$E183)))</f>
        <v>0</v>
      </c>
      <c r="R183" s="19">
        <f t="shared" si="37"/>
        <v>48</v>
      </c>
      <c r="S183" s="19">
        <f t="shared" si="38"/>
        <v>240</v>
      </c>
      <c r="T183" s="19">
        <f t="shared" si="39"/>
        <v>6</v>
      </c>
      <c r="U183" s="19">
        <f t="shared" si="40"/>
        <v>48</v>
      </c>
      <c r="V183" s="19">
        <f t="shared" si="41"/>
        <v>240</v>
      </c>
      <c r="W183" s="73">
        <f t="shared" si="42"/>
        <v>2208</v>
      </c>
      <c r="X183" s="19">
        <f>IF($D183&lt;&gt;1,"",IF($G183="ROKS",$R183,IF($AI183=1,0,MAX($N183,$L183-SUMIFS(TblApplications[CPU IKS libérable (vCPU)],TblApplications[Cluster IKS source],$F183,TblApplications[Action],"À migrer",TblApplications[Mois prov (calc)],"&lt;="&amp;$E183)-SUMIFS(TblApplications[CPU IKS libérable (vCPU)],TblApplications[Cluster IKS source],$F183,TblApplications[Action],"À décommissionner",TblApplications[Mois lib (calc)],"&lt;="&amp;$E183)))))</f>
        <v>48</v>
      </c>
      <c r="Y183" s="19">
        <f>IF($D183&lt;&gt;1,"",IF($G183="ROKS",$S183,IF($AI183=1,0,MAX($O183,$M183-SUMIFS(TblApplications[RAM IKS libérable (Go)],TblApplications[Cluster IKS source],$F183,TblApplications[Action],"À migrer",TblApplications[Mois prov (calc)],"&lt;="&amp;$E183)-SUMIFS(TblApplications[RAM IKS libérable (Go)],TblApplications[Cluster IKS source],$F183,TblApplications[Action],"À décommissionner",TblApplications[Mois lib (calc)],"&lt;="&amp;$E183)))))</f>
        <v>240</v>
      </c>
      <c r="Z183" s="19">
        <f t="shared" si="43"/>
        <v>6</v>
      </c>
      <c r="AA183" s="73">
        <f t="shared" si="44"/>
        <v>2208</v>
      </c>
      <c r="AB183" s="19">
        <f t="shared" si="45"/>
        <v>6</v>
      </c>
      <c r="AC183" s="73">
        <f t="shared" si="46"/>
        <v>2208</v>
      </c>
      <c r="AD183" s="19">
        <f t="shared" si="47"/>
        <v>0</v>
      </c>
      <c r="AE183" s="19">
        <f t="shared" si="48"/>
        <v>0</v>
      </c>
      <c r="AF183" s="19" t="str">
        <f>IF($D183&lt;&gt;1,"",IF(INDEX(TblClusters[Environnement],$B183)="","(vide)",INDEX(TblClusters[Environnement],$B183)))</f>
        <v>NPRD</v>
      </c>
      <c r="AG183" s="19">
        <f t="shared" si="49"/>
        <v>72</v>
      </c>
      <c r="AH183" s="19">
        <f t="shared" si="50"/>
        <v>30.666666666666668</v>
      </c>
      <c r="AI183" s="19">
        <f>IF($D183&lt;&gt;1,"",IF(AND($G183="IKS",ISNUMBER(INDEX(TblClusters[Fermeture retenue],$B183))),IF($E183&gt;=INDEX(TblClusters[Fermeture retenue],$B183),1,0),0))</f>
        <v>0</v>
      </c>
    </row>
    <row r="184" spans="1:35" x14ac:dyDescent="0.2">
      <c r="A184" s="19">
        <v>179</v>
      </c>
      <c r="B184" s="19">
        <f t="shared" si="34"/>
        <v>5</v>
      </c>
      <c r="C184" s="19">
        <f t="shared" si="35"/>
        <v>35</v>
      </c>
      <c r="D184" s="19">
        <f>IF($C184&gt;p_horizon,0,IFERROR(IF(AND(INDEX(TblClusters[Cluster],$B184)&lt;&gt;"",ISNUMBER(INDEX(TblClusters[CPU initial (vCPU)],$B184)),ISNUMBER(INDEX(TblClusters[CPU min (vCPU)],$B184)),OR(INDEX(TblClusters[Plateforme],$B184)="IKS",INDEX(TblClusters[Plateforme],$B184)="ROKS")),1,0),0))</f>
        <v>1</v>
      </c>
      <c r="E184" s="72">
        <f t="shared" si="36"/>
        <v>47331</v>
      </c>
      <c r="F184" s="19" t="str">
        <f>IF($D184=1,INDEX(TblClusters[Cluster],$B184),"")</f>
        <v>oc002i000849</v>
      </c>
      <c r="G184" s="19" t="str">
        <f>IF($D184=1,INDEX(TblClusters[Plateforme],$B184),"")</f>
        <v>ROKS</v>
      </c>
      <c r="H184" s="19">
        <f>IF($D184=1,INDEX(TblClusters[vCPU par nœud],$B184),"")</f>
        <v>8</v>
      </c>
      <c r="I184" s="19">
        <f>IF($D184=1,INDEX(TblClusters[RAM par nœud (Go)],$B184),"")</f>
        <v>40</v>
      </c>
      <c r="J184" s="19">
        <f>IF($D184=1,INDEX(TblClusters[Workers min],$B184),"")</f>
        <v>6</v>
      </c>
      <c r="K184" s="73">
        <f>IF($D184=1,INDEX(TblClusters[Tarif par nœud],$B184),"")</f>
        <v>368</v>
      </c>
      <c r="L184" s="19">
        <f>IF($D184=1,INDEX(TblClusters[CPU initial (vCPU)],$B184),"")</f>
        <v>48</v>
      </c>
      <c r="M184" s="19">
        <f>IF($D184=1,INDEX(TblClusters[RAM initiale (Go)],$B184),"")</f>
        <v>240</v>
      </c>
      <c r="N184" s="19">
        <f>IF($D184=1,INDEX(TblClusters[CPU min (vCPU)],$B184),"")</f>
        <v>48</v>
      </c>
      <c r="O184" s="19">
        <f>IF($D184=1,INDEX(TblClusters[RAM min (Go)],$B184),"")</f>
        <v>240</v>
      </c>
      <c r="P184" s="19">
        <f>IF($D184&lt;&gt;1,"",IF($G184="ROKS",SUMIFS(TblApplications[Besoin ROKS CPU (vCPU)],TblApplications[Cluster ROKS cible],$F184,TblApplications[Action],"À migrer",TblApplications[Déjà incluse ROKS],"Non",TblApplications[Mois prov (calc)],"&lt;="&amp;$E184),SUMIFS(TblApplications[CPU IKS libérable (vCPU)],TblApplications[Cluster IKS source],$F184,TblApplications[Mois lib (calc)],"&lt;="&amp;$E184)))</f>
        <v>0</v>
      </c>
      <c r="Q184" s="19">
        <f>IF($D184&lt;&gt;1,"",IF($G184="ROKS",SUMIFS(TblApplications[Besoin ROKS RAM (Go)],TblApplications[Cluster ROKS cible],$F184,TblApplications[Action],"À migrer",TblApplications[Déjà incluse ROKS],"Non",TblApplications[Mois prov (calc)],"&lt;="&amp;$E184),SUMIFS(TblApplications[RAM IKS libérable (Go)],TblApplications[Cluster IKS source],$F184,TblApplications[Mois lib (calc)],"&lt;="&amp;$E184)))</f>
        <v>0</v>
      </c>
      <c r="R184" s="19">
        <f t="shared" si="37"/>
        <v>48</v>
      </c>
      <c r="S184" s="19">
        <f t="shared" si="38"/>
        <v>240</v>
      </c>
      <c r="T184" s="19">
        <f t="shared" si="39"/>
        <v>6</v>
      </c>
      <c r="U184" s="19">
        <f t="shared" si="40"/>
        <v>48</v>
      </c>
      <c r="V184" s="19">
        <f t="shared" si="41"/>
        <v>240</v>
      </c>
      <c r="W184" s="73">
        <f t="shared" si="42"/>
        <v>2208</v>
      </c>
      <c r="X184" s="19">
        <f>IF($D184&lt;&gt;1,"",IF($G184="ROKS",$R184,IF($AI184=1,0,MAX($N184,$L184-SUMIFS(TblApplications[CPU IKS libérable (vCPU)],TblApplications[Cluster IKS source],$F184,TblApplications[Action],"À migrer",TblApplications[Mois prov (calc)],"&lt;="&amp;$E184)-SUMIFS(TblApplications[CPU IKS libérable (vCPU)],TblApplications[Cluster IKS source],$F184,TblApplications[Action],"À décommissionner",TblApplications[Mois lib (calc)],"&lt;="&amp;$E184)))))</f>
        <v>48</v>
      </c>
      <c r="Y184" s="19">
        <f>IF($D184&lt;&gt;1,"",IF($G184="ROKS",$S184,IF($AI184=1,0,MAX($O184,$M184-SUMIFS(TblApplications[RAM IKS libérable (Go)],TblApplications[Cluster IKS source],$F184,TblApplications[Action],"À migrer",TblApplications[Mois prov (calc)],"&lt;="&amp;$E184)-SUMIFS(TblApplications[RAM IKS libérable (Go)],TblApplications[Cluster IKS source],$F184,TblApplications[Action],"À décommissionner",TblApplications[Mois lib (calc)],"&lt;="&amp;$E184)))))</f>
        <v>240</v>
      </c>
      <c r="Z184" s="19">
        <f t="shared" si="43"/>
        <v>6</v>
      </c>
      <c r="AA184" s="73">
        <f t="shared" si="44"/>
        <v>2208</v>
      </c>
      <c r="AB184" s="19">
        <f t="shared" si="45"/>
        <v>6</v>
      </c>
      <c r="AC184" s="73">
        <f t="shared" si="46"/>
        <v>2208</v>
      </c>
      <c r="AD184" s="19">
        <f t="shared" si="47"/>
        <v>0</v>
      </c>
      <c r="AE184" s="19">
        <f t="shared" si="48"/>
        <v>0</v>
      </c>
      <c r="AF184" s="19" t="str">
        <f>IF($D184&lt;&gt;1,"",IF(INDEX(TblClusters[Environnement],$B184)="","(vide)",INDEX(TblClusters[Environnement],$B184)))</f>
        <v>NPRD</v>
      </c>
      <c r="AG184" s="19">
        <f t="shared" si="49"/>
        <v>72</v>
      </c>
      <c r="AH184" s="19">
        <f t="shared" si="50"/>
        <v>30.666666666666668</v>
      </c>
      <c r="AI184" s="19">
        <f>IF($D184&lt;&gt;1,"",IF(AND($G184="IKS",ISNUMBER(INDEX(TblClusters[Fermeture retenue],$B184))),IF($E184&gt;=INDEX(TblClusters[Fermeture retenue],$B184),1,0),0))</f>
        <v>0</v>
      </c>
    </row>
    <row r="185" spans="1:35" x14ac:dyDescent="0.2">
      <c r="A185" s="19">
        <v>180</v>
      </c>
      <c r="B185" s="19">
        <f t="shared" si="34"/>
        <v>5</v>
      </c>
      <c r="C185" s="19">
        <f t="shared" si="35"/>
        <v>36</v>
      </c>
      <c r="D185" s="19">
        <f>IF($C185&gt;p_horizon,0,IFERROR(IF(AND(INDEX(TblClusters[Cluster],$B185)&lt;&gt;"",ISNUMBER(INDEX(TblClusters[CPU initial (vCPU)],$B185)),ISNUMBER(INDEX(TblClusters[CPU min (vCPU)],$B185)),OR(INDEX(TblClusters[Plateforme],$B185)="IKS",INDEX(TblClusters[Plateforme],$B185)="ROKS")),1,0),0))</f>
        <v>1</v>
      </c>
      <c r="E185" s="72">
        <f t="shared" si="36"/>
        <v>47362</v>
      </c>
      <c r="F185" s="19" t="str">
        <f>IF($D185=1,INDEX(TblClusters[Cluster],$B185),"")</f>
        <v>oc002i000849</v>
      </c>
      <c r="G185" s="19" t="str">
        <f>IF($D185=1,INDEX(TblClusters[Plateforme],$B185),"")</f>
        <v>ROKS</v>
      </c>
      <c r="H185" s="19">
        <f>IF($D185=1,INDEX(TblClusters[vCPU par nœud],$B185),"")</f>
        <v>8</v>
      </c>
      <c r="I185" s="19">
        <f>IF($D185=1,INDEX(TblClusters[RAM par nœud (Go)],$B185),"")</f>
        <v>40</v>
      </c>
      <c r="J185" s="19">
        <f>IF($D185=1,INDEX(TblClusters[Workers min],$B185),"")</f>
        <v>6</v>
      </c>
      <c r="K185" s="73">
        <f>IF($D185=1,INDEX(TblClusters[Tarif par nœud],$B185),"")</f>
        <v>368</v>
      </c>
      <c r="L185" s="19">
        <f>IF($D185=1,INDEX(TblClusters[CPU initial (vCPU)],$B185),"")</f>
        <v>48</v>
      </c>
      <c r="M185" s="19">
        <f>IF($D185=1,INDEX(TblClusters[RAM initiale (Go)],$B185),"")</f>
        <v>240</v>
      </c>
      <c r="N185" s="19">
        <f>IF($D185=1,INDEX(TblClusters[CPU min (vCPU)],$B185),"")</f>
        <v>48</v>
      </c>
      <c r="O185" s="19">
        <f>IF($D185=1,INDEX(TblClusters[RAM min (Go)],$B185),"")</f>
        <v>240</v>
      </c>
      <c r="P185" s="19">
        <f>IF($D185&lt;&gt;1,"",IF($G185="ROKS",SUMIFS(TblApplications[Besoin ROKS CPU (vCPU)],TblApplications[Cluster ROKS cible],$F185,TblApplications[Action],"À migrer",TblApplications[Déjà incluse ROKS],"Non",TblApplications[Mois prov (calc)],"&lt;="&amp;$E185),SUMIFS(TblApplications[CPU IKS libérable (vCPU)],TblApplications[Cluster IKS source],$F185,TblApplications[Mois lib (calc)],"&lt;="&amp;$E185)))</f>
        <v>0</v>
      </c>
      <c r="Q185" s="19">
        <f>IF($D185&lt;&gt;1,"",IF($G185="ROKS",SUMIFS(TblApplications[Besoin ROKS RAM (Go)],TblApplications[Cluster ROKS cible],$F185,TblApplications[Action],"À migrer",TblApplications[Déjà incluse ROKS],"Non",TblApplications[Mois prov (calc)],"&lt;="&amp;$E185),SUMIFS(TblApplications[RAM IKS libérable (Go)],TblApplications[Cluster IKS source],$F185,TblApplications[Mois lib (calc)],"&lt;="&amp;$E185)))</f>
        <v>0</v>
      </c>
      <c r="R185" s="19">
        <f t="shared" si="37"/>
        <v>48</v>
      </c>
      <c r="S185" s="19">
        <f t="shared" si="38"/>
        <v>240</v>
      </c>
      <c r="T185" s="19">
        <f t="shared" si="39"/>
        <v>6</v>
      </c>
      <c r="U185" s="19">
        <f t="shared" si="40"/>
        <v>48</v>
      </c>
      <c r="V185" s="19">
        <f t="shared" si="41"/>
        <v>240</v>
      </c>
      <c r="W185" s="73">
        <f t="shared" si="42"/>
        <v>2208</v>
      </c>
      <c r="X185" s="19">
        <f>IF($D185&lt;&gt;1,"",IF($G185="ROKS",$R185,IF($AI185=1,0,MAX($N185,$L185-SUMIFS(TblApplications[CPU IKS libérable (vCPU)],TblApplications[Cluster IKS source],$F185,TblApplications[Action],"À migrer",TblApplications[Mois prov (calc)],"&lt;="&amp;$E185)-SUMIFS(TblApplications[CPU IKS libérable (vCPU)],TblApplications[Cluster IKS source],$F185,TblApplications[Action],"À décommissionner",TblApplications[Mois lib (calc)],"&lt;="&amp;$E185)))))</f>
        <v>48</v>
      </c>
      <c r="Y185" s="19">
        <f>IF($D185&lt;&gt;1,"",IF($G185="ROKS",$S185,IF($AI185=1,0,MAX($O185,$M185-SUMIFS(TblApplications[RAM IKS libérable (Go)],TblApplications[Cluster IKS source],$F185,TblApplications[Action],"À migrer",TblApplications[Mois prov (calc)],"&lt;="&amp;$E185)-SUMIFS(TblApplications[RAM IKS libérable (Go)],TblApplications[Cluster IKS source],$F185,TblApplications[Action],"À décommissionner",TblApplications[Mois lib (calc)],"&lt;="&amp;$E185)))))</f>
        <v>240</v>
      </c>
      <c r="Z185" s="19">
        <f t="shared" si="43"/>
        <v>6</v>
      </c>
      <c r="AA185" s="73">
        <f t="shared" si="44"/>
        <v>2208</v>
      </c>
      <c r="AB185" s="19">
        <f t="shared" si="45"/>
        <v>6</v>
      </c>
      <c r="AC185" s="73">
        <f t="shared" si="46"/>
        <v>2208</v>
      </c>
      <c r="AD185" s="19">
        <f t="shared" si="47"/>
        <v>0</v>
      </c>
      <c r="AE185" s="19">
        <f t="shared" si="48"/>
        <v>0</v>
      </c>
      <c r="AF185" s="19" t="str">
        <f>IF($D185&lt;&gt;1,"",IF(INDEX(TblClusters[Environnement],$B185)="","(vide)",INDEX(TblClusters[Environnement],$B185)))</f>
        <v>NPRD</v>
      </c>
      <c r="AG185" s="19">
        <f t="shared" si="49"/>
        <v>72</v>
      </c>
      <c r="AH185" s="19">
        <f t="shared" si="50"/>
        <v>30.666666666666668</v>
      </c>
      <c r="AI185" s="19">
        <f>IF($D185&lt;&gt;1,"",IF(AND($G185="IKS",ISNUMBER(INDEX(TblClusters[Fermeture retenue],$B185))),IF($E185&gt;=INDEX(TblClusters[Fermeture retenue],$B185),1,0),0))</f>
        <v>0</v>
      </c>
    </row>
    <row r="186" spans="1:35" x14ac:dyDescent="0.2">
      <c r="A186" s="19">
        <v>181</v>
      </c>
      <c r="B186" s="19">
        <f t="shared" si="34"/>
        <v>6</v>
      </c>
      <c r="C186" s="19">
        <f t="shared" si="35"/>
        <v>1</v>
      </c>
      <c r="D186" s="19">
        <f>IF($C186&gt;p_horizon,0,IFERROR(IF(AND(INDEX(TblClusters[Cluster],$B186)&lt;&gt;"",ISNUMBER(INDEX(TblClusters[CPU initial (vCPU)],$B186)),ISNUMBER(INDEX(TblClusters[CPU min (vCPU)],$B186)),OR(INDEX(TblClusters[Plateforme],$B186)="IKS",INDEX(TblClusters[Plateforme],$B186)="ROKS")),1,0),0))</f>
        <v>1</v>
      </c>
      <c r="E186" s="72">
        <f t="shared" si="36"/>
        <v>46296</v>
      </c>
      <c r="F186" s="19" t="str">
        <f>IF($D186=1,INDEX(TblClusters[Cluster],$B186),"")</f>
        <v>oc002i000850</v>
      </c>
      <c r="G186" s="19" t="str">
        <f>IF($D186=1,INDEX(TblClusters[Plateforme],$B186),"")</f>
        <v>ROKS</v>
      </c>
      <c r="H186" s="19">
        <f>IF($D186=1,INDEX(TblClusters[vCPU par nœud],$B186),"")</f>
        <v>8</v>
      </c>
      <c r="I186" s="19">
        <f>IF($D186=1,INDEX(TblClusters[RAM par nœud (Go)],$B186),"")</f>
        <v>40</v>
      </c>
      <c r="J186" s="19">
        <f>IF($D186=1,INDEX(TblClusters[Workers min],$B186),"")</f>
        <v>6</v>
      </c>
      <c r="K186" s="73">
        <f>IF($D186=1,INDEX(TblClusters[Tarif par nœud],$B186),"")</f>
        <v>368</v>
      </c>
      <c r="L186" s="19">
        <f>IF($D186=1,INDEX(TblClusters[CPU initial (vCPU)],$B186),"")</f>
        <v>48</v>
      </c>
      <c r="M186" s="19">
        <f>IF($D186=1,INDEX(TblClusters[RAM initiale (Go)],$B186),"")</f>
        <v>240</v>
      </c>
      <c r="N186" s="19">
        <f>IF($D186=1,INDEX(TblClusters[CPU min (vCPU)],$B186),"")</f>
        <v>48</v>
      </c>
      <c r="O186" s="19">
        <f>IF($D186=1,INDEX(TblClusters[RAM min (Go)],$B186),"")</f>
        <v>240</v>
      </c>
      <c r="P186" s="19">
        <f>IF($D186&lt;&gt;1,"",IF($G186="ROKS",SUMIFS(TblApplications[Besoin ROKS CPU (vCPU)],TblApplications[Cluster ROKS cible],$F186,TblApplications[Action],"À migrer",TblApplications[Déjà incluse ROKS],"Non",TblApplications[Mois prov (calc)],"&lt;="&amp;$E186),SUMIFS(TblApplications[CPU IKS libérable (vCPU)],TblApplications[Cluster IKS source],$F186,TblApplications[Mois lib (calc)],"&lt;="&amp;$E186)))</f>
        <v>0</v>
      </c>
      <c r="Q186" s="19">
        <f>IF($D186&lt;&gt;1,"",IF($G186="ROKS",SUMIFS(TblApplications[Besoin ROKS RAM (Go)],TblApplications[Cluster ROKS cible],$F186,TblApplications[Action],"À migrer",TblApplications[Déjà incluse ROKS],"Non",TblApplications[Mois prov (calc)],"&lt;="&amp;$E186),SUMIFS(TblApplications[RAM IKS libérable (Go)],TblApplications[Cluster IKS source],$F186,TblApplications[Mois lib (calc)],"&lt;="&amp;$E186)))</f>
        <v>0</v>
      </c>
      <c r="R186" s="19">
        <f t="shared" si="37"/>
        <v>48</v>
      </c>
      <c r="S186" s="19">
        <f t="shared" si="38"/>
        <v>240</v>
      </c>
      <c r="T186" s="19">
        <f t="shared" si="39"/>
        <v>6</v>
      </c>
      <c r="U186" s="19">
        <f t="shared" si="40"/>
        <v>48</v>
      </c>
      <c r="V186" s="19">
        <f t="shared" si="41"/>
        <v>240</v>
      </c>
      <c r="W186" s="73">
        <f t="shared" si="42"/>
        <v>2208</v>
      </c>
      <c r="X186" s="19">
        <f>IF($D186&lt;&gt;1,"",IF($G186="ROKS",$R186,IF($AI186=1,0,MAX($N186,$L186-SUMIFS(TblApplications[CPU IKS libérable (vCPU)],TblApplications[Cluster IKS source],$F186,TblApplications[Action],"À migrer",TblApplications[Mois prov (calc)],"&lt;="&amp;$E186)-SUMIFS(TblApplications[CPU IKS libérable (vCPU)],TblApplications[Cluster IKS source],$F186,TblApplications[Action],"À décommissionner",TblApplications[Mois lib (calc)],"&lt;="&amp;$E186)))))</f>
        <v>48</v>
      </c>
      <c r="Y186" s="19">
        <f>IF($D186&lt;&gt;1,"",IF($G186="ROKS",$S186,IF($AI186=1,0,MAX($O186,$M186-SUMIFS(TblApplications[RAM IKS libérable (Go)],TblApplications[Cluster IKS source],$F186,TblApplications[Action],"À migrer",TblApplications[Mois prov (calc)],"&lt;="&amp;$E186)-SUMIFS(TblApplications[RAM IKS libérable (Go)],TblApplications[Cluster IKS source],$F186,TblApplications[Action],"À décommissionner",TblApplications[Mois lib (calc)],"&lt;="&amp;$E186)))))</f>
        <v>240</v>
      </c>
      <c r="Z186" s="19">
        <f t="shared" si="43"/>
        <v>6</v>
      </c>
      <c r="AA186" s="73">
        <f t="shared" si="44"/>
        <v>2208</v>
      </c>
      <c r="AB186" s="19">
        <f t="shared" si="45"/>
        <v>6</v>
      </c>
      <c r="AC186" s="73">
        <f t="shared" si="46"/>
        <v>2208</v>
      </c>
      <c r="AD186" s="19">
        <f t="shared" si="47"/>
        <v>0</v>
      </c>
      <c r="AE186" s="19">
        <f t="shared" si="48"/>
        <v>0</v>
      </c>
      <c r="AF186" s="19" t="str">
        <f>IF($D186&lt;&gt;1,"",IF(INDEX(TblClusters[Environnement],$B186)="","(vide)",INDEX(TblClusters[Environnement],$B186)))</f>
        <v>PRD</v>
      </c>
      <c r="AG186" s="19">
        <f t="shared" si="49"/>
        <v>72</v>
      </c>
      <c r="AH186" s="19">
        <f t="shared" si="50"/>
        <v>30.666666666666668</v>
      </c>
      <c r="AI186" s="19">
        <f>IF($D186&lt;&gt;1,"",IF(AND($G186="IKS",ISNUMBER(INDEX(TblClusters[Fermeture retenue],$B186))),IF($E186&gt;=INDEX(TblClusters[Fermeture retenue],$B186),1,0),0))</f>
        <v>0</v>
      </c>
    </row>
    <row r="187" spans="1:35" x14ac:dyDescent="0.2">
      <c r="A187" s="19">
        <v>182</v>
      </c>
      <c r="B187" s="19">
        <f t="shared" si="34"/>
        <v>6</v>
      </c>
      <c r="C187" s="19">
        <f t="shared" si="35"/>
        <v>2</v>
      </c>
      <c r="D187" s="19">
        <f>IF($C187&gt;p_horizon,0,IFERROR(IF(AND(INDEX(TblClusters[Cluster],$B187)&lt;&gt;"",ISNUMBER(INDEX(TblClusters[CPU initial (vCPU)],$B187)),ISNUMBER(INDEX(TblClusters[CPU min (vCPU)],$B187)),OR(INDEX(TblClusters[Plateforme],$B187)="IKS",INDEX(TblClusters[Plateforme],$B187)="ROKS")),1,0),0))</f>
        <v>1</v>
      </c>
      <c r="E187" s="72">
        <f t="shared" si="36"/>
        <v>46327</v>
      </c>
      <c r="F187" s="19" t="str">
        <f>IF($D187=1,INDEX(TblClusters[Cluster],$B187),"")</f>
        <v>oc002i000850</v>
      </c>
      <c r="G187" s="19" t="str">
        <f>IF($D187=1,INDEX(TblClusters[Plateforme],$B187),"")</f>
        <v>ROKS</v>
      </c>
      <c r="H187" s="19">
        <f>IF($D187=1,INDEX(TblClusters[vCPU par nœud],$B187),"")</f>
        <v>8</v>
      </c>
      <c r="I187" s="19">
        <f>IF($D187=1,INDEX(TblClusters[RAM par nœud (Go)],$B187),"")</f>
        <v>40</v>
      </c>
      <c r="J187" s="19">
        <f>IF($D187=1,INDEX(TblClusters[Workers min],$B187),"")</f>
        <v>6</v>
      </c>
      <c r="K187" s="73">
        <f>IF($D187=1,INDEX(TblClusters[Tarif par nœud],$B187),"")</f>
        <v>368</v>
      </c>
      <c r="L187" s="19">
        <f>IF($D187=1,INDEX(TblClusters[CPU initial (vCPU)],$B187),"")</f>
        <v>48</v>
      </c>
      <c r="M187" s="19">
        <f>IF($D187=1,INDEX(TblClusters[RAM initiale (Go)],$B187),"")</f>
        <v>240</v>
      </c>
      <c r="N187" s="19">
        <f>IF($D187=1,INDEX(TblClusters[CPU min (vCPU)],$B187),"")</f>
        <v>48</v>
      </c>
      <c r="O187" s="19">
        <f>IF($D187=1,INDEX(TblClusters[RAM min (Go)],$B187),"")</f>
        <v>240</v>
      </c>
      <c r="P187" s="19">
        <f>IF($D187&lt;&gt;1,"",IF($G187="ROKS",SUMIFS(TblApplications[Besoin ROKS CPU (vCPU)],TblApplications[Cluster ROKS cible],$F187,TblApplications[Action],"À migrer",TblApplications[Déjà incluse ROKS],"Non",TblApplications[Mois prov (calc)],"&lt;="&amp;$E187),SUMIFS(TblApplications[CPU IKS libérable (vCPU)],TblApplications[Cluster IKS source],$F187,TblApplications[Mois lib (calc)],"&lt;="&amp;$E187)))</f>
        <v>0</v>
      </c>
      <c r="Q187" s="19">
        <f>IF($D187&lt;&gt;1,"",IF($G187="ROKS",SUMIFS(TblApplications[Besoin ROKS RAM (Go)],TblApplications[Cluster ROKS cible],$F187,TblApplications[Action],"À migrer",TblApplications[Déjà incluse ROKS],"Non",TblApplications[Mois prov (calc)],"&lt;="&amp;$E187),SUMIFS(TblApplications[RAM IKS libérable (Go)],TblApplications[Cluster IKS source],$F187,TblApplications[Mois lib (calc)],"&lt;="&amp;$E187)))</f>
        <v>0</v>
      </c>
      <c r="R187" s="19">
        <f t="shared" si="37"/>
        <v>48</v>
      </c>
      <c r="S187" s="19">
        <f t="shared" si="38"/>
        <v>240</v>
      </c>
      <c r="T187" s="19">
        <f t="shared" si="39"/>
        <v>6</v>
      </c>
      <c r="U187" s="19">
        <f t="shared" si="40"/>
        <v>48</v>
      </c>
      <c r="V187" s="19">
        <f t="shared" si="41"/>
        <v>240</v>
      </c>
      <c r="W187" s="73">
        <f t="shared" si="42"/>
        <v>2208</v>
      </c>
      <c r="X187" s="19">
        <f>IF($D187&lt;&gt;1,"",IF($G187="ROKS",$R187,IF($AI187=1,0,MAX($N187,$L187-SUMIFS(TblApplications[CPU IKS libérable (vCPU)],TblApplications[Cluster IKS source],$F187,TblApplications[Action],"À migrer",TblApplications[Mois prov (calc)],"&lt;="&amp;$E187)-SUMIFS(TblApplications[CPU IKS libérable (vCPU)],TblApplications[Cluster IKS source],$F187,TblApplications[Action],"À décommissionner",TblApplications[Mois lib (calc)],"&lt;="&amp;$E187)))))</f>
        <v>48</v>
      </c>
      <c r="Y187" s="19">
        <f>IF($D187&lt;&gt;1,"",IF($G187="ROKS",$S187,IF($AI187=1,0,MAX($O187,$M187-SUMIFS(TblApplications[RAM IKS libérable (Go)],TblApplications[Cluster IKS source],$F187,TblApplications[Action],"À migrer",TblApplications[Mois prov (calc)],"&lt;="&amp;$E187)-SUMIFS(TblApplications[RAM IKS libérable (Go)],TblApplications[Cluster IKS source],$F187,TblApplications[Action],"À décommissionner",TblApplications[Mois lib (calc)],"&lt;="&amp;$E187)))))</f>
        <v>240</v>
      </c>
      <c r="Z187" s="19">
        <f t="shared" si="43"/>
        <v>6</v>
      </c>
      <c r="AA187" s="73">
        <f t="shared" si="44"/>
        <v>2208</v>
      </c>
      <c r="AB187" s="19">
        <f t="shared" si="45"/>
        <v>6</v>
      </c>
      <c r="AC187" s="73">
        <f t="shared" si="46"/>
        <v>2208</v>
      </c>
      <c r="AD187" s="19">
        <f t="shared" si="47"/>
        <v>0</v>
      </c>
      <c r="AE187" s="19">
        <f t="shared" si="48"/>
        <v>0</v>
      </c>
      <c r="AF187" s="19" t="str">
        <f>IF($D187&lt;&gt;1,"",IF(INDEX(TblClusters[Environnement],$B187)="","(vide)",INDEX(TblClusters[Environnement],$B187)))</f>
        <v>PRD</v>
      </c>
      <c r="AG187" s="19">
        <f t="shared" si="49"/>
        <v>72</v>
      </c>
      <c r="AH187" s="19">
        <f t="shared" si="50"/>
        <v>30.666666666666668</v>
      </c>
      <c r="AI187" s="19">
        <f>IF($D187&lt;&gt;1,"",IF(AND($G187="IKS",ISNUMBER(INDEX(TblClusters[Fermeture retenue],$B187))),IF($E187&gt;=INDEX(TblClusters[Fermeture retenue],$B187),1,0),0))</f>
        <v>0</v>
      </c>
    </row>
    <row r="188" spans="1:35" x14ac:dyDescent="0.2">
      <c r="A188" s="19">
        <v>183</v>
      </c>
      <c r="B188" s="19">
        <f t="shared" si="34"/>
        <v>6</v>
      </c>
      <c r="C188" s="19">
        <f t="shared" si="35"/>
        <v>3</v>
      </c>
      <c r="D188" s="19">
        <f>IF($C188&gt;p_horizon,0,IFERROR(IF(AND(INDEX(TblClusters[Cluster],$B188)&lt;&gt;"",ISNUMBER(INDEX(TblClusters[CPU initial (vCPU)],$B188)),ISNUMBER(INDEX(TblClusters[CPU min (vCPU)],$B188)),OR(INDEX(TblClusters[Plateforme],$B188)="IKS",INDEX(TblClusters[Plateforme],$B188)="ROKS")),1,0),0))</f>
        <v>1</v>
      </c>
      <c r="E188" s="72">
        <f t="shared" si="36"/>
        <v>46357</v>
      </c>
      <c r="F188" s="19" t="str">
        <f>IF($D188=1,INDEX(TblClusters[Cluster],$B188),"")</f>
        <v>oc002i000850</v>
      </c>
      <c r="G188" s="19" t="str">
        <f>IF($D188=1,INDEX(TblClusters[Plateforme],$B188),"")</f>
        <v>ROKS</v>
      </c>
      <c r="H188" s="19">
        <f>IF($D188=1,INDEX(TblClusters[vCPU par nœud],$B188),"")</f>
        <v>8</v>
      </c>
      <c r="I188" s="19">
        <f>IF($D188=1,INDEX(TblClusters[RAM par nœud (Go)],$B188),"")</f>
        <v>40</v>
      </c>
      <c r="J188" s="19">
        <f>IF($D188=1,INDEX(TblClusters[Workers min],$B188),"")</f>
        <v>6</v>
      </c>
      <c r="K188" s="73">
        <f>IF($D188=1,INDEX(TblClusters[Tarif par nœud],$B188),"")</f>
        <v>368</v>
      </c>
      <c r="L188" s="19">
        <f>IF($D188=1,INDEX(TblClusters[CPU initial (vCPU)],$B188),"")</f>
        <v>48</v>
      </c>
      <c r="M188" s="19">
        <f>IF($D188=1,INDEX(TblClusters[RAM initiale (Go)],$B188),"")</f>
        <v>240</v>
      </c>
      <c r="N188" s="19">
        <f>IF($D188=1,INDEX(TblClusters[CPU min (vCPU)],$B188),"")</f>
        <v>48</v>
      </c>
      <c r="O188" s="19">
        <f>IF($D188=1,INDEX(TblClusters[RAM min (Go)],$B188),"")</f>
        <v>240</v>
      </c>
      <c r="P188" s="19">
        <f>IF($D188&lt;&gt;1,"",IF($G188="ROKS",SUMIFS(TblApplications[Besoin ROKS CPU (vCPU)],TblApplications[Cluster ROKS cible],$F188,TblApplications[Action],"À migrer",TblApplications[Déjà incluse ROKS],"Non",TblApplications[Mois prov (calc)],"&lt;="&amp;$E188),SUMIFS(TblApplications[CPU IKS libérable (vCPU)],TblApplications[Cluster IKS source],$F188,TblApplications[Mois lib (calc)],"&lt;="&amp;$E188)))</f>
        <v>0</v>
      </c>
      <c r="Q188" s="19">
        <f>IF($D188&lt;&gt;1,"",IF($G188="ROKS",SUMIFS(TblApplications[Besoin ROKS RAM (Go)],TblApplications[Cluster ROKS cible],$F188,TblApplications[Action],"À migrer",TblApplications[Déjà incluse ROKS],"Non",TblApplications[Mois prov (calc)],"&lt;="&amp;$E188),SUMIFS(TblApplications[RAM IKS libérable (Go)],TblApplications[Cluster IKS source],$F188,TblApplications[Mois lib (calc)],"&lt;="&amp;$E188)))</f>
        <v>0</v>
      </c>
      <c r="R188" s="19">
        <f t="shared" si="37"/>
        <v>48</v>
      </c>
      <c r="S188" s="19">
        <f t="shared" si="38"/>
        <v>240</v>
      </c>
      <c r="T188" s="19">
        <f t="shared" si="39"/>
        <v>6</v>
      </c>
      <c r="U188" s="19">
        <f t="shared" si="40"/>
        <v>48</v>
      </c>
      <c r="V188" s="19">
        <f t="shared" si="41"/>
        <v>240</v>
      </c>
      <c r="W188" s="73">
        <f t="shared" si="42"/>
        <v>2208</v>
      </c>
      <c r="X188" s="19">
        <f>IF($D188&lt;&gt;1,"",IF($G188="ROKS",$R188,IF($AI188=1,0,MAX($N188,$L188-SUMIFS(TblApplications[CPU IKS libérable (vCPU)],TblApplications[Cluster IKS source],$F188,TblApplications[Action],"À migrer",TblApplications[Mois prov (calc)],"&lt;="&amp;$E188)-SUMIFS(TblApplications[CPU IKS libérable (vCPU)],TblApplications[Cluster IKS source],$F188,TblApplications[Action],"À décommissionner",TblApplications[Mois lib (calc)],"&lt;="&amp;$E188)))))</f>
        <v>48</v>
      </c>
      <c r="Y188" s="19">
        <f>IF($D188&lt;&gt;1,"",IF($G188="ROKS",$S188,IF($AI188=1,0,MAX($O188,$M188-SUMIFS(TblApplications[RAM IKS libérable (Go)],TblApplications[Cluster IKS source],$F188,TblApplications[Action],"À migrer",TblApplications[Mois prov (calc)],"&lt;="&amp;$E188)-SUMIFS(TblApplications[RAM IKS libérable (Go)],TblApplications[Cluster IKS source],$F188,TblApplications[Action],"À décommissionner",TblApplications[Mois lib (calc)],"&lt;="&amp;$E188)))))</f>
        <v>240</v>
      </c>
      <c r="Z188" s="19">
        <f t="shared" si="43"/>
        <v>6</v>
      </c>
      <c r="AA188" s="73">
        <f t="shared" si="44"/>
        <v>2208</v>
      </c>
      <c r="AB188" s="19">
        <f t="shared" si="45"/>
        <v>6</v>
      </c>
      <c r="AC188" s="73">
        <f t="shared" si="46"/>
        <v>2208</v>
      </c>
      <c r="AD188" s="19">
        <f t="shared" si="47"/>
        <v>0</v>
      </c>
      <c r="AE188" s="19">
        <f t="shared" si="48"/>
        <v>0</v>
      </c>
      <c r="AF188" s="19" t="str">
        <f>IF($D188&lt;&gt;1,"",IF(INDEX(TblClusters[Environnement],$B188)="","(vide)",INDEX(TblClusters[Environnement],$B188)))</f>
        <v>PRD</v>
      </c>
      <c r="AG188" s="19">
        <f t="shared" si="49"/>
        <v>72</v>
      </c>
      <c r="AH188" s="19">
        <f t="shared" si="50"/>
        <v>30.666666666666668</v>
      </c>
      <c r="AI188" s="19">
        <f>IF($D188&lt;&gt;1,"",IF(AND($G188="IKS",ISNUMBER(INDEX(TblClusters[Fermeture retenue],$B188))),IF($E188&gt;=INDEX(TblClusters[Fermeture retenue],$B188),1,0),0))</f>
        <v>0</v>
      </c>
    </row>
    <row r="189" spans="1:35" x14ac:dyDescent="0.2">
      <c r="A189" s="19">
        <v>184</v>
      </c>
      <c r="B189" s="19">
        <f t="shared" si="34"/>
        <v>6</v>
      </c>
      <c r="C189" s="19">
        <f t="shared" si="35"/>
        <v>4</v>
      </c>
      <c r="D189" s="19">
        <f>IF($C189&gt;p_horizon,0,IFERROR(IF(AND(INDEX(TblClusters[Cluster],$B189)&lt;&gt;"",ISNUMBER(INDEX(TblClusters[CPU initial (vCPU)],$B189)),ISNUMBER(INDEX(TblClusters[CPU min (vCPU)],$B189)),OR(INDEX(TblClusters[Plateforme],$B189)="IKS",INDEX(TblClusters[Plateforme],$B189)="ROKS")),1,0),0))</f>
        <v>1</v>
      </c>
      <c r="E189" s="72">
        <f t="shared" si="36"/>
        <v>46388</v>
      </c>
      <c r="F189" s="19" t="str">
        <f>IF($D189=1,INDEX(TblClusters[Cluster],$B189),"")</f>
        <v>oc002i000850</v>
      </c>
      <c r="G189" s="19" t="str">
        <f>IF($D189=1,INDEX(TblClusters[Plateforme],$B189),"")</f>
        <v>ROKS</v>
      </c>
      <c r="H189" s="19">
        <f>IF($D189=1,INDEX(TblClusters[vCPU par nœud],$B189),"")</f>
        <v>8</v>
      </c>
      <c r="I189" s="19">
        <f>IF($D189=1,INDEX(TblClusters[RAM par nœud (Go)],$B189),"")</f>
        <v>40</v>
      </c>
      <c r="J189" s="19">
        <f>IF($D189=1,INDEX(TblClusters[Workers min],$B189),"")</f>
        <v>6</v>
      </c>
      <c r="K189" s="73">
        <f>IF($D189=1,INDEX(TblClusters[Tarif par nœud],$B189),"")</f>
        <v>368</v>
      </c>
      <c r="L189" s="19">
        <f>IF($D189=1,INDEX(TblClusters[CPU initial (vCPU)],$B189),"")</f>
        <v>48</v>
      </c>
      <c r="M189" s="19">
        <f>IF($D189=1,INDEX(TblClusters[RAM initiale (Go)],$B189),"")</f>
        <v>240</v>
      </c>
      <c r="N189" s="19">
        <f>IF($D189=1,INDEX(TblClusters[CPU min (vCPU)],$B189),"")</f>
        <v>48</v>
      </c>
      <c r="O189" s="19">
        <f>IF($D189=1,INDEX(TblClusters[RAM min (Go)],$B189),"")</f>
        <v>240</v>
      </c>
      <c r="P189" s="19">
        <f>IF($D189&lt;&gt;1,"",IF($G189="ROKS",SUMIFS(TblApplications[Besoin ROKS CPU (vCPU)],TblApplications[Cluster ROKS cible],$F189,TblApplications[Action],"À migrer",TblApplications[Déjà incluse ROKS],"Non",TblApplications[Mois prov (calc)],"&lt;="&amp;$E189),SUMIFS(TblApplications[CPU IKS libérable (vCPU)],TblApplications[Cluster IKS source],$F189,TblApplications[Mois lib (calc)],"&lt;="&amp;$E189)))</f>
        <v>0</v>
      </c>
      <c r="Q189" s="19">
        <f>IF($D189&lt;&gt;1,"",IF($G189="ROKS",SUMIFS(TblApplications[Besoin ROKS RAM (Go)],TblApplications[Cluster ROKS cible],$F189,TblApplications[Action],"À migrer",TblApplications[Déjà incluse ROKS],"Non",TblApplications[Mois prov (calc)],"&lt;="&amp;$E189),SUMIFS(TblApplications[RAM IKS libérable (Go)],TblApplications[Cluster IKS source],$F189,TblApplications[Mois lib (calc)],"&lt;="&amp;$E189)))</f>
        <v>0</v>
      </c>
      <c r="R189" s="19">
        <f t="shared" si="37"/>
        <v>48</v>
      </c>
      <c r="S189" s="19">
        <f t="shared" si="38"/>
        <v>240</v>
      </c>
      <c r="T189" s="19">
        <f t="shared" si="39"/>
        <v>6</v>
      </c>
      <c r="U189" s="19">
        <f t="shared" si="40"/>
        <v>48</v>
      </c>
      <c r="V189" s="19">
        <f t="shared" si="41"/>
        <v>240</v>
      </c>
      <c r="W189" s="73">
        <f t="shared" si="42"/>
        <v>2208</v>
      </c>
      <c r="X189" s="19">
        <f>IF($D189&lt;&gt;1,"",IF($G189="ROKS",$R189,IF($AI189=1,0,MAX($N189,$L189-SUMIFS(TblApplications[CPU IKS libérable (vCPU)],TblApplications[Cluster IKS source],$F189,TblApplications[Action],"À migrer",TblApplications[Mois prov (calc)],"&lt;="&amp;$E189)-SUMIFS(TblApplications[CPU IKS libérable (vCPU)],TblApplications[Cluster IKS source],$F189,TblApplications[Action],"À décommissionner",TblApplications[Mois lib (calc)],"&lt;="&amp;$E189)))))</f>
        <v>48</v>
      </c>
      <c r="Y189" s="19">
        <f>IF($D189&lt;&gt;1,"",IF($G189="ROKS",$S189,IF($AI189=1,0,MAX($O189,$M189-SUMIFS(TblApplications[RAM IKS libérable (Go)],TblApplications[Cluster IKS source],$F189,TblApplications[Action],"À migrer",TblApplications[Mois prov (calc)],"&lt;="&amp;$E189)-SUMIFS(TblApplications[RAM IKS libérable (Go)],TblApplications[Cluster IKS source],$F189,TblApplications[Action],"À décommissionner",TblApplications[Mois lib (calc)],"&lt;="&amp;$E189)))))</f>
        <v>240</v>
      </c>
      <c r="Z189" s="19">
        <f t="shared" si="43"/>
        <v>6</v>
      </c>
      <c r="AA189" s="73">
        <f t="shared" si="44"/>
        <v>2208</v>
      </c>
      <c r="AB189" s="19">
        <f t="shared" si="45"/>
        <v>6</v>
      </c>
      <c r="AC189" s="73">
        <f t="shared" si="46"/>
        <v>2208</v>
      </c>
      <c r="AD189" s="19">
        <f t="shared" si="47"/>
        <v>0</v>
      </c>
      <c r="AE189" s="19">
        <f t="shared" si="48"/>
        <v>0</v>
      </c>
      <c r="AF189" s="19" t="str">
        <f>IF($D189&lt;&gt;1,"",IF(INDEX(TblClusters[Environnement],$B189)="","(vide)",INDEX(TblClusters[Environnement],$B189)))</f>
        <v>PRD</v>
      </c>
      <c r="AG189" s="19">
        <f t="shared" si="49"/>
        <v>72</v>
      </c>
      <c r="AH189" s="19">
        <f t="shared" si="50"/>
        <v>30.666666666666668</v>
      </c>
      <c r="AI189" s="19">
        <f>IF($D189&lt;&gt;1,"",IF(AND($G189="IKS",ISNUMBER(INDEX(TblClusters[Fermeture retenue],$B189))),IF($E189&gt;=INDEX(TblClusters[Fermeture retenue],$B189),1,0),0))</f>
        <v>0</v>
      </c>
    </row>
    <row r="190" spans="1:35" x14ac:dyDescent="0.2">
      <c r="A190" s="19">
        <v>185</v>
      </c>
      <c r="B190" s="19">
        <f t="shared" si="34"/>
        <v>6</v>
      </c>
      <c r="C190" s="19">
        <f t="shared" si="35"/>
        <v>5</v>
      </c>
      <c r="D190" s="19">
        <f>IF($C190&gt;p_horizon,0,IFERROR(IF(AND(INDEX(TblClusters[Cluster],$B190)&lt;&gt;"",ISNUMBER(INDEX(TblClusters[CPU initial (vCPU)],$B190)),ISNUMBER(INDEX(TblClusters[CPU min (vCPU)],$B190)),OR(INDEX(TblClusters[Plateforme],$B190)="IKS",INDEX(TblClusters[Plateforme],$B190)="ROKS")),1,0),0))</f>
        <v>1</v>
      </c>
      <c r="E190" s="72">
        <f t="shared" si="36"/>
        <v>46419</v>
      </c>
      <c r="F190" s="19" t="str">
        <f>IF($D190=1,INDEX(TblClusters[Cluster],$B190),"")</f>
        <v>oc002i000850</v>
      </c>
      <c r="G190" s="19" t="str">
        <f>IF($D190=1,INDEX(TblClusters[Plateforme],$B190),"")</f>
        <v>ROKS</v>
      </c>
      <c r="H190" s="19">
        <f>IF($D190=1,INDEX(TblClusters[vCPU par nœud],$B190),"")</f>
        <v>8</v>
      </c>
      <c r="I190" s="19">
        <f>IF($D190=1,INDEX(TblClusters[RAM par nœud (Go)],$B190),"")</f>
        <v>40</v>
      </c>
      <c r="J190" s="19">
        <f>IF($D190=1,INDEX(TblClusters[Workers min],$B190),"")</f>
        <v>6</v>
      </c>
      <c r="K190" s="73">
        <f>IF($D190=1,INDEX(TblClusters[Tarif par nœud],$B190),"")</f>
        <v>368</v>
      </c>
      <c r="L190" s="19">
        <f>IF($D190=1,INDEX(TblClusters[CPU initial (vCPU)],$B190),"")</f>
        <v>48</v>
      </c>
      <c r="M190" s="19">
        <f>IF($D190=1,INDEX(TblClusters[RAM initiale (Go)],$B190),"")</f>
        <v>240</v>
      </c>
      <c r="N190" s="19">
        <f>IF($D190=1,INDEX(TblClusters[CPU min (vCPU)],$B190),"")</f>
        <v>48</v>
      </c>
      <c r="O190" s="19">
        <f>IF($D190=1,INDEX(TblClusters[RAM min (Go)],$B190),"")</f>
        <v>240</v>
      </c>
      <c r="P190" s="19">
        <f>IF($D190&lt;&gt;1,"",IF($G190="ROKS",SUMIFS(TblApplications[Besoin ROKS CPU (vCPU)],TblApplications[Cluster ROKS cible],$F190,TblApplications[Action],"À migrer",TblApplications[Déjà incluse ROKS],"Non",TblApplications[Mois prov (calc)],"&lt;="&amp;$E190),SUMIFS(TblApplications[CPU IKS libérable (vCPU)],TblApplications[Cluster IKS source],$F190,TblApplications[Mois lib (calc)],"&lt;="&amp;$E190)))</f>
        <v>0</v>
      </c>
      <c r="Q190" s="19">
        <f>IF($D190&lt;&gt;1,"",IF($G190="ROKS",SUMIFS(TblApplications[Besoin ROKS RAM (Go)],TblApplications[Cluster ROKS cible],$F190,TblApplications[Action],"À migrer",TblApplications[Déjà incluse ROKS],"Non",TblApplications[Mois prov (calc)],"&lt;="&amp;$E190),SUMIFS(TblApplications[RAM IKS libérable (Go)],TblApplications[Cluster IKS source],$F190,TblApplications[Mois lib (calc)],"&lt;="&amp;$E190)))</f>
        <v>0</v>
      </c>
      <c r="R190" s="19">
        <f t="shared" si="37"/>
        <v>48</v>
      </c>
      <c r="S190" s="19">
        <f t="shared" si="38"/>
        <v>240</v>
      </c>
      <c r="T190" s="19">
        <f t="shared" si="39"/>
        <v>6</v>
      </c>
      <c r="U190" s="19">
        <f t="shared" si="40"/>
        <v>48</v>
      </c>
      <c r="V190" s="19">
        <f t="shared" si="41"/>
        <v>240</v>
      </c>
      <c r="W190" s="73">
        <f t="shared" si="42"/>
        <v>2208</v>
      </c>
      <c r="X190" s="19">
        <f>IF($D190&lt;&gt;1,"",IF($G190="ROKS",$R190,IF($AI190=1,0,MAX($N190,$L190-SUMIFS(TblApplications[CPU IKS libérable (vCPU)],TblApplications[Cluster IKS source],$F190,TblApplications[Action],"À migrer",TblApplications[Mois prov (calc)],"&lt;="&amp;$E190)-SUMIFS(TblApplications[CPU IKS libérable (vCPU)],TblApplications[Cluster IKS source],$F190,TblApplications[Action],"À décommissionner",TblApplications[Mois lib (calc)],"&lt;="&amp;$E190)))))</f>
        <v>48</v>
      </c>
      <c r="Y190" s="19">
        <f>IF($D190&lt;&gt;1,"",IF($G190="ROKS",$S190,IF($AI190=1,0,MAX($O190,$M190-SUMIFS(TblApplications[RAM IKS libérable (Go)],TblApplications[Cluster IKS source],$F190,TblApplications[Action],"À migrer",TblApplications[Mois prov (calc)],"&lt;="&amp;$E190)-SUMIFS(TblApplications[RAM IKS libérable (Go)],TblApplications[Cluster IKS source],$F190,TblApplications[Action],"À décommissionner",TblApplications[Mois lib (calc)],"&lt;="&amp;$E190)))))</f>
        <v>240</v>
      </c>
      <c r="Z190" s="19">
        <f t="shared" si="43"/>
        <v>6</v>
      </c>
      <c r="AA190" s="73">
        <f t="shared" si="44"/>
        <v>2208</v>
      </c>
      <c r="AB190" s="19">
        <f t="shared" si="45"/>
        <v>6</v>
      </c>
      <c r="AC190" s="73">
        <f t="shared" si="46"/>
        <v>2208</v>
      </c>
      <c r="AD190" s="19">
        <f t="shared" si="47"/>
        <v>0</v>
      </c>
      <c r="AE190" s="19">
        <f t="shared" si="48"/>
        <v>0</v>
      </c>
      <c r="AF190" s="19" t="str">
        <f>IF($D190&lt;&gt;1,"",IF(INDEX(TblClusters[Environnement],$B190)="","(vide)",INDEX(TblClusters[Environnement],$B190)))</f>
        <v>PRD</v>
      </c>
      <c r="AG190" s="19">
        <f t="shared" si="49"/>
        <v>72</v>
      </c>
      <c r="AH190" s="19">
        <f t="shared" si="50"/>
        <v>30.666666666666668</v>
      </c>
      <c r="AI190" s="19">
        <f>IF($D190&lt;&gt;1,"",IF(AND($G190="IKS",ISNUMBER(INDEX(TblClusters[Fermeture retenue],$B190))),IF($E190&gt;=INDEX(TblClusters[Fermeture retenue],$B190),1,0),0))</f>
        <v>0</v>
      </c>
    </row>
    <row r="191" spans="1:35" x14ac:dyDescent="0.2">
      <c r="A191" s="19">
        <v>186</v>
      </c>
      <c r="B191" s="19">
        <f t="shared" si="34"/>
        <v>6</v>
      </c>
      <c r="C191" s="19">
        <f t="shared" si="35"/>
        <v>6</v>
      </c>
      <c r="D191" s="19">
        <f>IF($C191&gt;p_horizon,0,IFERROR(IF(AND(INDEX(TblClusters[Cluster],$B191)&lt;&gt;"",ISNUMBER(INDEX(TblClusters[CPU initial (vCPU)],$B191)),ISNUMBER(INDEX(TblClusters[CPU min (vCPU)],$B191)),OR(INDEX(TblClusters[Plateforme],$B191)="IKS",INDEX(TblClusters[Plateforme],$B191)="ROKS")),1,0),0))</f>
        <v>1</v>
      </c>
      <c r="E191" s="72">
        <f t="shared" si="36"/>
        <v>46447</v>
      </c>
      <c r="F191" s="19" t="str">
        <f>IF($D191=1,INDEX(TblClusters[Cluster],$B191),"")</f>
        <v>oc002i000850</v>
      </c>
      <c r="G191" s="19" t="str">
        <f>IF($D191=1,INDEX(TblClusters[Plateforme],$B191),"")</f>
        <v>ROKS</v>
      </c>
      <c r="H191" s="19">
        <f>IF($D191=1,INDEX(TblClusters[vCPU par nœud],$B191),"")</f>
        <v>8</v>
      </c>
      <c r="I191" s="19">
        <f>IF($D191=1,INDEX(TblClusters[RAM par nœud (Go)],$B191),"")</f>
        <v>40</v>
      </c>
      <c r="J191" s="19">
        <f>IF($D191=1,INDEX(TblClusters[Workers min],$B191),"")</f>
        <v>6</v>
      </c>
      <c r="K191" s="73">
        <f>IF($D191=1,INDEX(TblClusters[Tarif par nœud],$B191),"")</f>
        <v>368</v>
      </c>
      <c r="L191" s="19">
        <f>IF($D191=1,INDEX(TblClusters[CPU initial (vCPU)],$B191),"")</f>
        <v>48</v>
      </c>
      <c r="M191" s="19">
        <f>IF($D191=1,INDEX(TblClusters[RAM initiale (Go)],$B191),"")</f>
        <v>240</v>
      </c>
      <c r="N191" s="19">
        <f>IF($D191=1,INDEX(TblClusters[CPU min (vCPU)],$B191),"")</f>
        <v>48</v>
      </c>
      <c r="O191" s="19">
        <f>IF($D191=1,INDEX(TblClusters[RAM min (Go)],$B191),"")</f>
        <v>240</v>
      </c>
      <c r="P191" s="19">
        <f>IF($D191&lt;&gt;1,"",IF($G191="ROKS",SUMIFS(TblApplications[Besoin ROKS CPU (vCPU)],TblApplications[Cluster ROKS cible],$F191,TblApplications[Action],"À migrer",TblApplications[Déjà incluse ROKS],"Non",TblApplications[Mois prov (calc)],"&lt;="&amp;$E191),SUMIFS(TblApplications[CPU IKS libérable (vCPU)],TblApplications[Cluster IKS source],$F191,TblApplications[Mois lib (calc)],"&lt;="&amp;$E191)))</f>
        <v>0</v>
      </c>
      <c r="Q191" s="19">
        <f>IF($D191&lt;&gt;1,"",IF($G191="ROKS",SUMIFS(TblApplications[Besoin ROKS RAM (Go)],TblApplications[Cluster ROKS cible],$F191,TblApplications[Action],"À migrer",TblApplications[Déjà incluse ROKS],"Non",TblApplications[Mois prov (calc)],"&lt;="&amp;$E191),SUMIFS(TblApplications[RAM IKS libérable (Go)],TblApplications[Cluster IKS source],$F191,TblApplications[Mois lib (calc)],"&lt;="&amp;$E191)))</f>
        <v>0</v>
      </c>
      <c r="R191" s="19">
        <f t="shared" si="37"/>
        <v>48</v>
      </c>
      <c r="S191" s="19">
        <f t="shared" si="38"/>
        <v>240</v>
      </c>
      <c r="T191" s="19">
        <f t="shared" si="39"/>
        <v>6</v>
      </c>
      <c r="U191" s="19">
        <f t="shared" si="40"/>
        <v>48</v>
      </c>
      <c r="V191" s="19">
        <f t="shared" si="41"/>
        <v>240</v>
      </c>
      <c r="W191" s="73">
        <f t="shared" si="42"/>
        <v>2208</v>
      </c>
      <c r="X191" s="19">
        <f>IF($D191&lt;&gt;1,"",IF($G191="ROKS",$R191,IF($AI191=1,0,MAX($N191,$L191-SUMIFS(TblApplications[CPU IKS libérable (vCPU)],TblApplications[Cluster IKS source],$F191,TblApplications[Action],"À migrer",TblApplications[Mois prov (calc)],"&lt;="&amp;$E191)-SUMIFS(TblApplications[CPU IKS libérable (vCPU)],TblApplications[Cluster IKS source],$F191,TblApplications[Action],"À décommissionner",TblApplications[Mois lib (calc)],"&lt;="&amp;$E191)))))</f>
        <v>48</v>
      </c>
      <c r="Y191" s="19">
        <f>IF($D191&lt;&gt;1,"",IF($G191="ROKS",$S191,IF($AI191=1,0,MAX($O191,$M191-SUMIFS(TblApplications[RAM IKS libérable (Go)],TblApplications[Cluster IKS source],$F191,TblApplications[Action],"À migrer",TblApplications[Mois prov (calc)],"&lt;="&amp;$E191)-SUMIFS(TblApplications[RAM IKS libérable (Go)],TblApplications[Cluster IKS source],$F191,TblApplications[Action],"À décommissionner",TblApplications[Mois lib (calc)],"&lt;="&amp;$E191)))))</f>
        <v>240</v>
      </c>
      <c r="Z191" s="19">
        <f t="shared" si="43"/>
        <v>6</v>
      </c>
      <c r="AA191" s="73">
        <f t="shared" si="44"/>
        <v>2208</v>
      </c>
      <c r="AB191" s="19">
        <f t="shared" si="45"/>
        <v>6</v>
      </c>
      <c r="AC191" s="73">
        <f t="shared" si="46"/>
        <v>2208</v>
      </c>
      <c r="AD191" s="19">
        <f t="shared" si="47"/>
        <v>0</v>
      </c>
      <c r="AE191" s="19">
        <f t="shared" si="48"/>
        <v>0</v>
      </c>
      <c r="AF191" s="19" t="str">
        <f>IF($D191&lt;&gt;1,"",IF(INDEX(TblClusters[Environnement],$B191)="","(vide)",INDEX(TblClusters[Environnement],$B191)))</f>
        <v>PRD</v>
      </c>
      <c r="AG191" s="19">
        <f t="shared" si="49"/>
        <v>72</v>
      </c>
      <c r="AH191" s="19">
        <f t="shared" si="50"/>
        <v>30.666666666666668</v>
      </c>
      <c r="AI191" s="19">
        <f>IF($D191&lt;&gt;1,"",IF(AND($G191="IKS",ISNUMBER(INDEX(TblClusters[Fermeture retenue],$B191))),IF($E191&gt;=INDEX(TblClusters[Fermeture retenue],$B191),1,0),0))</f>
        <v>0</v>
      </c>
    </row>
    <row r="192" spans="1:35" x14ac:dyDescent="0.2">
      <c r="A192" s="19">
        <v>187</v>
      </c>
      <c r="B192" s="19">
        <f t="shared" si="34"/>
        <v>6</v>
      </c>
      <c r="C192" s="19">
        <f t="shared" si="35"/>
        <v>7</v>
      </c>
      <c r="D192" s="19">
        <f>IF($C192&gt;p_horizon,0,IFERROR(IF(AND(INDEX(TblClusters[Cluster],$B192)&lt;&gt;"",ISNUMBER(INDEX(TblClusters[CPU initial (vCPU)],$B192)),ISNUMBER(INDEX(TblClusters[CPU min (vCPU)],$B192)),OR(INDEX(TblClusters[Plateforme],$B192)="IKS",INDEX(TblClusters[Plateforme],$B192)="ROKS")),1,0),0))</f>
        <v>1</v>
      </c>
      <c r="E192" s="72">
        <f t="shared" si="36"/>
        <v>46478</v>
      </c>
      <c r="F192" s="19" t="str">
        <f>IF($D192=1,INDEX(TblClusters[Cluster],$B192),"")</f>
        <v>oc002i000850</v>
      </c>
      <c r="G192" s="19" t="str">
        <f>IF($D192=1,INDEX(TblClusters[Plateforme],$B192),"")</f>
        <v>ROKS</v>
      </c>
      <c r="H192" s="19">
        <f>IF($D192=1,INDEX(TblClusters[vCPU par nœud],$B192),"")</f>
        <v>8</v>
      </c>
      <c r="I192" s="19">
        <f>IF($D192=1,INDEX(TblClusters[RAM par nœud (Go)],$B192),"")</f>
        <v>40</v>
      </c>
      <c r="J192" s="19">
        <f>IF($D192=1,INDEX(TblClusters[Workers min],$B192),"")</f>
        <v>6</v>
      </c>
      <c r="K192" s="73">
        <f>IF($D192=1,INDEX(TblClusters[Tarif par nœud],$B192),"")</f>
        <v>368</v>
      </c>
      <c r="L192" s="19">
        <f>IF($D192=1,INDEX(TblClusters[CPU initial (vCPU)],$B192),"")</f>
        <v>48</v>
      </c>
      <c r="M192" s="19">
        <f>IF($D192=1,INDEX(TblClusters[RAM initiale (Go)],$B192),"")</f>
        <v>240</v>
      </c>
      <c r="N192" s="19">
        <f>IF($D192=1,INDEX(TblClusters[CPU min (vCPU)],$B192),"")</f>
        <v>48</v>
      </c>
      <c r="O192" s="19">
        <f>IF($D192=1,INDEX(TblClusters[RAM min (Go)],$B192),"")</f>
        <v>240</v>
      </c>
      <c r="P192" s="19">
        <f>IF($D192&lt;&gt;1,"",IF($G192="ROKS",SUMIFS(TblApplications[Besoin ROKS CPU (vCPU)],TblApplications[Cluster ROKS cible],$F192,TblApplications[Action],"À migrer",TblApplications[Déjà incluse ROKS],"Non",TblApplications[Mois prov (calc)],"&lt;="&amp;$E192),SUMIFS(TblApplications[CPU IKS libérable (vCPU)],TblApplications[Cluster IKS source],$F192,TblApplications[Mois lib (calc)],"&lt;="&amp;$E192)))</f>
        <v>0</v>
      </c>
      <c r="Q192" s="19">
        <f>IF($D192&lt;&gt;1,"",IF($G192="ROKS",SUMIFS(TblApplications[Besoin ROKS RAM (Go)],TblApplications[Cluster ROKS cible],$F192,TblApplications[Action],"À migrer",TblApplications[Déjà incluse ROKS],"Non",TblApplications[Mois prov (calc)],"&lt;="&amp;$E192),SUMIFS(TblApplications[RAM IKS libérable (Go)],TblApplications[Cluster IKS source],$F192,TblApplications[Mois lib (calc)],"&lt;="&amp;$E192)))</f>
        <v>0</v>
      </c>
      <c r="R192" s="19">
        <f t="shared" si="37"/>
        <v>48</v>
      </c>
      <c r="S192" s="19">
        <f t="shared" si="38"/>
        <v>240</v>
      </c>
      <c r="T192" s="19">
        <f t="shared" si="39"/>
        <v>6</v>
      </c>
      <c r="U192" s="19">
        <f t="shared" si="40"/>
        <v>48</v>
      </c>
      <c r="V192" s="19">
        <f t="shared" si="41"/>
        <v>240</v>
      </c>
      <c r="W192" s="73">
        <f t="shared" si="42"/>
        <v>2208</v>
      </c>
      <c r="X192" s="19">
        <f>IF($D192&lt;&gt;1,"",IF($G192="ROKS",$R192,IF($AI192=1,0,MAX($N192,$L192-SUMIFS(TblApplications[CPU IKS libérable (vCPU)],TblApplications[Cluster IKS source],$F192,TblApplications[Action],"À migrer",TblApplications[Mois prov (calc)],"&lt;="&amp;$E192)-SUMIFS(TblApplications[CPU IKS libérable (vCPU)],TblApplications[Cluster IKS source],$F192,TblApplications[Action],"À décommissionner",TblApplications[Mois lib (calc)],"&lt;="&amp;$E192)))))</f>
        <v>48</v>
      </c>
      <c r="Y192" s="19">
        <f>IF($D192&lt;&gt;1,"",IF($G192="ROKS",$S192,IF($AI192=1,0,MAX($O192,$M192-SUMIFS(TblApplications[RAM IKS libérable (Go)],TblApplications[Cluster IKS source],$F192,TblApplications[Action],"À migrer",TblApplications[Mois prov (calc)],"&lt;="&amp;$E192)-SUMIFS(TblApplications[RAM IKS libérable (Go)],TblApplications[Cluster IKS source],$F192,TblApplications[Action],"À décommissionner",TblApplications[Mois lib (calc)],"&lt;="&amp;$E192)))))</f>
        <v>240</v>
      </c>
      <c r="Z192" s="19">
        <f t="shared" si="43"/>
        <v>6</v>
      </c>
      <c r="AA192" s="73">
        <f t="shared" si="44"/>
        <v>2208</v>
      </c>
      <c r="AB192" s="19">
        <f t="shared" si="45"/>
        <v>6</v>
      </c>
      <c r="AC192" s="73">
        <f t="shared" si="46"/>
        <v>2208</v>
      </c>
      <c r="AD192" s="19">
        <f t="shared" si="47"/>
        <v>0</v>
      </c>
      <c r="AE192" s="19">
        <f t="shared" si="48"/>
        <v>0</v>
      </c>
      <c r="AF192" s="19" t="str">
        <f>IF($D192&lt;&gt;1,"",IF(INDEX(TblClusters[Environnement],$B192)="","(vide)",INDEX(TblClusters[Environnement],$B192)))</f>
        <v>PRD</v>
      </c>
      <c r="AG192" s="19">
        <f t="shared" si="49"/>
        <v>72</v>
      </c>
      <c r="AH192" s="19">
        <f t="shared" si="50"/>
        <v>30.666666666666668</v>
      </c>
      <c r="AI192" s="19">
        <f>IF($D192&lt;&gt;1,"",IF(AND($G192="IKS",ISNUMBER(INDEX(TblClusters[Fermeture retenue],$B192))),IF($E192&gt;=INDEX(TblClusters[Fermeture retenue],$B192),1,0),0))</f>
        <v>0</v>
      </c>
    </row>
    <row r="193" spans="1:35" x14ac:dyDescent="0.2">
      <c r="A193" s="19">
        <v>188</v>
      </c>
      <c r="B193" s="19">
        <f t="shared" si="34"/>
        <v>6</v>
      </c>
      <c r="C193" s="19">
        <f t="shared" si="35"/>
        <v>8</v>
      </c>
      <c r="D193" s="19">
        <f>IF($C193&gt;p_horizon,0,IFERROR(IF(AND(INDEX(TblClusters[Cluster],$B193)&lt;&gt;"",ISNUMBER(INDEX(TblClusters[CPU initial (vCPU)],$B193)),ISNUMBER(INDEX(TblClusters[CPU min (vCPU)],$B193)),OR(INDEX(TblClusters[Plateforme],$B193)="IKS",INDEX(TblClusters[Plateforme],$B193)="ROKS")),1,0),0))</f>
        <v>1</v>
      </c>
      <c r="E193" s="72">
        <f t="shared" si="36"/>
        <v>46508</v>
      </c>
      <c r="F193" s="19" t="str">
        <f>IF($D193=1,INDEX(TblClusters[Cluster],$B193),"")</f>
        <v>oc002i000850</v>
      </c>
      <c r="G193" s="19" t="str">
        <f>IF($D193=1,INDEX(TblClusters[Plateforme],$B193),"")</f>
        <v>ROKS</v>
      </c>
      <c r="H193" s="19">
        <f>IF($D193=1,INDEX(TblClusters[vCPU par nœud],$B193),"")</f>
        <v>8</v>
      </c>
      <c r="I193" s="19">
        <f>IF($D193=1,INDEX(TblClusters[RAM par nœud (Go)],$B193),"")</f>
        <v>40</v>
      </c>
      <c r="J193" s="19">
        <f>IF($D193=1,INDEX(TblClusters[Workers min],$B193),"")</f>
        <v>6</v>
      </c>
      <c r="K193" s="73">
        <f>IF($D193=1,INDEX(TblClusters[Tarif par nœud],$B193),"")</f>
        <v>368</v>
      </c>
      <c r="L193" s="19">
        <f>IF($D193=1,INDEX(TblClusters[CPU initial (vCPU)],$B193),"")</f>
        <v>48</v>
      </c>
      <c r="M193" s="19">
        <f>IF($D193=1,INDEX(TblClusters[RAM initiale (Go)],$B193),"")</f>
        <v>240</v>
      </c>
      <c r="N193" s="19">
        <f>IF($D193=1,INDEX(TblClusters[CPU min (vCPU)],$B193),"")</f>
        <v>48</v>
      </c>
      <c r="O193" s="19">
        <f>IF($D193=1,INDEX(TblClusters[RAM min (Go)],$B193),"")</f>
        <v>240</v>
      </c>
      <c r="P193" s="19">
        <f>IF($D193&lt;&gt;1,"",IF($G193="ROKS",SUMIFS(TblApplications[Besoin ROKS CPU (vCPU)],TblApplications[Cluster ROKS cible],$F193,TblApplications[Action],"À migrer",TblApplications[Déjà incluse ROKS],"Non",TblApplications[Mois prov (calc)],"&lt;="&amp;$E193),SUMIFS(TblApplications[CPU IKS libérable (vCPU)],TblApplications[Cluster IKS source],$F193,TblApplications[Mois lib (calc)],"&lt;="&amp;$E193)))</f>
        <v>0</v>
      </c>
      <c r="Q193" s="19">
        <f>IF($D193&lt;&gt;1,"",IF($G193="ROKS",SUMIFS(TblApplications[Besoin ROKS RAM (Go)],TblApplications[Cluster ROKS cible],$F193,TblApplications[Action],"À migrer",TblApplications[Déjà incluse ROKS],"Non",TblApplications[Mois prov (calc)],"&lt;="&amp;$E193),SUMIFS(TblApplications[RAM IKS libérable (Go)],TblApplications[Cluster IKS source],$F193,TblApplications[Mois lib (calc)],"&lt;="&amp;$E193)))</f>
        <v>0</v>
      </c>
      <c r="R193" s="19">
        <f t="shared" si="37"/>
        <v>48</v>
      </c>
      <c r="S193" s="19">
        <f t="shared" si="38"/>
        <v>240</v>
      </c>
      <c r="T193" s="19">
        <f t="shared" si="39"/>
        <v>6</v>
      </c>
      <c r="U193" s="19">
        <f t="shared" si="40"/>
        <v>48</v>
      </c>
      <c r="V193" s="19">
        <f t="shared" si="41"/>
        <v>240</v>
      </c>
      <c r="W193" s="73">
        <f t="shared" si="42"/>
        <v>2208</v>
      </c>
      <c r="X193" s="19">
        <f>IF($D193&lt;&gt;1,"",IF($G193="ROKS",$R193,IF($AI193=1,0,MAX($N193,$L193-SUMIFS(TblApplications[CPU IKS libérable (vCPU)],TblApplications[Cluster IKS source],$F193,TblApplications[Action],"À migrer",TblApplications[Mois prov (calc)],"&lt;="&amp;$E193)-SUMIFS(TblApplications[CPU IKS libérable (vCPU)],TblApplications[Cluster IKS source],$F193,TblApplications[Action],"À décommissionner",TblApplications[Mois lib (calc)],"&lt;="&amp;$E193)))))</f>
        <v>48</v>
      </c>
      <c r="Y193" s="19">
        <f>IF($D193&lt;&gt;1,"",IF($G193="ROKS",$S193,IF($AI193=1,0,MAX($O193,$M193-SUMIFS(TblApplications[RAM IKS libérable (Go)],TblApplications[Cluster IKS source],$F193,TblApplications[Action],"À migrer",TblApplications[Mois prov (calc)],"&lt;="&amp;$E193)-SUMIFS(TblApplications[RAM IKS libérable (Go)],TblApplications[Cluster IKS source],$F193,TblApplications[Action],"À décommissionner",TblApplications[Mois lib (calc)],"&lt;="&amp;$E193)))))</f>
        <v>240</v>
      </c>
      <c r="Z193" s="19">
        <f t="shared" si="43"/>
        <v>6</v>
      </c>
      <c r="AA193" s="73">
        <f t="shared" si="44"/>
        <v>2208</v>
      </c>
      <c r="AB193" s="19">
        <f t="shared" si="45"/>
        <v>6</v>
      </c>
      <c r="AC193" s="73">
        <f t="shared" si="46"/>
        <v>2208</v>
      </c>
      <c r="AD193" s="19">
        <f t="shared" si="47"/>
        <v>0</v>
      </c>
      <c r="AE193" s="19">
        <f t="shared" si="48"/>
        <v>0</v>
      </c>
      <c r="AF193" s="19" t="str">
        <f>IF($D193&lt;&gt;1,"",IF(INDEX(TblClusters[Environnement],$B193)="","(vide)",INDEX(TblClusters[Environnement],$B193)))</f>
        <v>PRD</v>
      </c>
      <c r="AG193" s="19">
        <f t="shared" si="49"/>
        <v>72</v>
      </c>
      <c r="AH193" s="19">
        <f t="shared" si="50"/>
        <v>30.666666666666668</v>
      </c>
      <c r="AI193" s="19">
        <f>IF($D193&lt;&gt;1,"",IF(AND($G193="IKS",ISNUMBER(INDEX(TblClusters[Fermeture retenue],$B193))),IF($E193&gt;=INDEX(TblClusters[Fermeture retenue],$B193),1,0),0))</f>
        <v>0</v>
      </c>
    </row>
    <row r="194" spans="1:35" x14ac:dyDescent="0.2">
      <c r="A194" s="19">
        <v>189</v>
      </c>
      <c r="B194" s="19">
        <f t="shared" si="34"/>
        <v>6</v>
      </c>
      <c r="C194" s="19">
        <f t="shared" si="35"/>
        <v>9</v>
      </c>
      <c r="D194" s="19">
        <f>IF($C194&gt;p_horizon,0,IFERROR(IF(AND(INDEX(TblClusters[Cluster],$B194)&lt;&gt;"",ISNUMBER(INDEX(TblClusters[CPU initial (vCPU)],$B194)),ISNUMBER(INDEX(TblClusters[CPU min (vCPU)],$B194)),OR(INDEX(TblClusters[Plateforme],$B194)="IKS",INDEX(TblClusters[Plateforme],$B194)="ROKS")),1,0),0))</f>
        <v>1</v>
      </c>
      <c r="E194" s="72">
        <f t="shared" si="36"/>
        <v>46539</v>
      </c>
      <c r="F194" s="19" t="str">
        <f>IF($D194=1,INDEX(TblClusters[Cluster],$B194),"")</f>
        <v>oc002i000850</v>
      </c>
      <c r="G194" s="19" t="str">
        <f>IF($D194=1,INDEX(TblClusters[Plateforme],$B194),"")</f>
        <v>ROKS</v>
      </c>
      <c r="H194" s="19">
        <f>IF($D194=1,INDEX(TblClusters[vCPU par nœud],$B194),"")</f>
        <v>8</v>
      </c>
      <c r="I194" s="19">
        <f>IF($D194=1,INDEX(TblClusters[RAM par nœud (Go)],$B194),"")</f>
        <v>40</v>
      </c>
      <c r="J194" s="19">
        <f>IF($D194=1,INDEX(TblClusters[Workers min],$B194),"")</f>
        <v>6</v>
      </c>
      <c r="K194" s="73">
        <f>IF($D194=1,INDEX(TblClusters[Tarif par nœud],$B194),"")</f>
        <v>368</v>
      </c>
      <c r="L194" s="19">
        <f>IF($D194=1,INDEX(TblClusters[CPU initial (vCPU)],$B194),"")</f>
        <v>48</v>
      </c>
      <c r="M194" s="19">
        <f>IF($D194=1,INDEX(TblClusters[RAM initiale (Go)],$B194),"")</f>
        <v>240</v>
      </c>
      <c r="N194" s="19">
        <f>IF($D194=1,INDEX(TblClusters[CPU min (vCPU)],$B194),"")</f>
        <v>48</v>
      </c>
      <c r="O194" s="19">
        <f>IF($D194=1,INDEX(TblClusters[RAM min (Go)],$B194),"")</f>
        <v>240</v>
      </c>
      <c r="P194" s="19">
        <f>IF($D194&lt;&gt;1,"",IF($G194="ROKS",SUMIFS(TblApplications[Besoin ROKS CPU (vCPU)],TblApplications[Cluster ROKS cible],$F194,TblApplications[Action],"À migrer",TblApplications[Déjà incluse ROKS],"Non",TblApplications[Mois prov (calc)],"&lt;="&amp;$E194),SUMIFS(TblApplications[CPU IKS libérable (vCPU)],TblApplications[Cluster IKS source],$F194,TblApplications[Mois lib (calc)],"&lt;="&amp;$E194)))</f>
        <v>0</v>
      </c>
      <c r="Q194" s="19">
        <f>IF($D194&lt;&gt;1,"",IF($G194="ROKS",SUMIFS(TblApplications[Besoin ROKS RAM (Go)],TblApplications[Cluster ROKS cible],$F194,TblApplications[Action],"À migrer",TblApplications[Déjà incluse ROKS],"Non",TblApplications[Mois prov (calc)],"&lt;="&amp;$E194),SUMIFS(TblApplications[RAM IKS libérable (Go)],TblApplications[Cluster IKS source],$F194,TblApplications[Mois lib (calc)],"&lt;="&amp;$E194)))</f>
        <v>0</v>
      </c>
      <c r="R194" s="19">
        <f t="shared" si="37"/>
        <v>48</v>
      </c>
      <c r="S194" s="19">
        <f t="shared" si="38"/>
        <v>240</v>
      </c>
      <c r="T194" s="19">
        <f t="shared" si="39"/>
        <v>6</v>
      </c>
      <c r="U194" s="19">
        <f t="shared" si="40"/>
        <v>48</v>
      </c>
      <c r="V194" s="19">
        <f t="shared" si="41"/>
        <v>240</v>
      </c>
      <c r="W194" s="73">
        <f t="shared" si="42"/>
        <v>2208</v>
      </c>
      <c r="X194" s="19">
        <f>IF($D194&lt;&gt;1,"",IF($G194="ROKS",$R194,IF($AI194=1,0,MAX($N194,$L194-SUMIFS(TblApplications[CPU IKS libérable (vCPU)],TblApplications[Cluster IKS source],$F194,TblApplications[Action],"À migrer",TblApplications[Mois prov (calc)],"&lt;="&amp;$E194)-SUMIFS(TblApplications[CPU IKS libérable (vCPU)],TblApplications[Cluster IKS source],$F194,TblApplications[Action],"À décommissionner",TblApplications[Mois lib (calc)],"&lt;="&amp;$E194)))))</f>
        <v>48</v>
      </c>
      <c r="Y194" s="19">
        <f>IF($D194&lt;&gt;1,"",IF($G194="ROKS",$S194,IF($AI194=1,0,MAX($O194,$M194-SUMIFS(TblApplications[RAM IKS libérable (Go)],TblApplications[Cluster IKS source],$F194,TblApplications[Action],"À migrer",TblApplications[Mois prov (calc)],"&lt;="&amp;$E194)-SUMIFS(TblApplications[RAM IKS libérable (Go)],TblApplications[Cluster IKS source],$F194,TblApplications[Action],"À décommissionner",TblApplications[Mois lib (calc)],"&lt;="&amp;$E194)))))</f>
        <v>240</v>
      </c>
      <c r="Z194" s="19">
        <f t="shared" si="43"/>
        <v>6</v>
      </c>
      <c r="AA194" s="73">
        <f t="shared" si="44"/>
        <v>2208</v>
      </c>
      <c r="AB194" s="19">
        <f t="shared" si="45"/>
        <v>6</v>
      </c>
      <c r="AC194" s="73">
        <f t="shared" si="46"/>
        <v>2208</v>
      </c>
      <c r="AD194" s="19">
        <f t="shared" si="47"/>
        <v>0</v>
      </c>
      <c r="AE194" s="19">
        <f t="shared" si="48"/>
        <v>0</v>
      </c>
      <c r="AF194" s="19" t="str">
        <f>IF($D194&lt;&gt;1,"",IF(INDEX(TblClusters[Environnement],$B194)="","(vide)",INDEX(TblClusters[Environnement],$B194)))</f>
        <v>PRD</v>
      </c>
      <c r="AG194" s="19">
        <f t="shared" si="49"/>
        <v>72</v>
      </c>
      <c r="AH194" s="19">
        <f t="shared" si="50"/>
        <v>30.666666666666668</v>
      </c>
      <c r="AI194" s="19">
        <f>IF($D194&lt;&gt;1,"",IF(AND($G194="IKS",ISNUMBER(INDEX(TblClusters[Fermeture retenue],$B194))),IF($E194&gt;=INDEX(TblClusters[Fermeture retenue],$B194),1,0),0))</f>
        <v>0</v>
      </c>
    </row>
    <row r="195" spans="1:35" x14ac:dyDescent="0.2">
      <c r="A195" s="19">
        <v>190</v>
      </c>
      <c r="B195" s="19">
        <f t="shared" si="34"/>
        <v>6</v>
      </c>
      <c r="C195" s="19">
        <f t="shared" si="35"/>
        <v>10</v>
      </c>
      <c r="D195" s="19">
        <f>IF($C195&gt;p_horizon,0,IFERROR(IF(AND(INDEX(TblClusters[Cluster],$B195)&lt;&gt;"",ISNUMBER(INDEX(TblClusters[CPU initial (vCPU)],$B195)),ISNUMBER(INDEX(TblClusters[CPU min (vCPU)],$B195)),OR(INDEX(TblClusters[Plateforme],$B195)="IKS",INDEX(TblClusters[Plateforme],$B195)="ROKS")),1,0),0))</f>
        <v>1</v>
      </c>
      <c r="E195" s="72">
        <f t="shared" si="36"/>
        <v>46569</v>
      </c>
      <c r="F195" s="19" t="str">
        <f>IF($D195=1,INDEX(TblClusters[Cluster],$B195),"")</f>
        <v>oc002i000850</v>
      </c>
      <c r="G195" s="19" t="str">
        <f>IF($D195=1,INDEX(TblClusters[Plateforme],$B195),"")</f>
        <v>ROKS</v>
      </c>
      <c r="H195" s="19">
        <f>IF($D195=1,INDEX(TblClusters[vCPU par nœud],$B195),"")</f>
        <v>8</v>
      </c>
      <c r="I195" s="19">
        <f>IF($D195=1,INDEX(TblClusters[RAM par nœud (Go)],$B195),"")</f>
        <v>40</v>
      </c>
      <c r="J195" s="19">
        <f>IF($D195=1,INDEX(TblClusters[Workers min],$B195),"")</f>
        <v>6</v>
      </c>
      <c r="K195" s="73">
        <f>IF($D195=1,INDEX(TblClusters[Tarif par nœud],$B195),"")</f>
        <v>368</v>
      </c>
      <c r="L195" s="19">
        <f>IF($D195=1,INDEX(TblClusters[CPU initial (vCPU)],$B195),"")</f>
        <v>48</v>
      </c>
      <c r="M195" s="19">
        <f>IF($D195=1,INDEX(TblClusters[RAM initiale (Go)],$B195),"")</f>
        <v>240</v>
      </c>
      <c r="N195" s="19">
        <f>IF($D195=1,INDEX(TblClusters[CPU min (vCPU)],$B195),"")</f>
        <v>48</v>
      </c>
      <c r="O195" s="19">
        <f>IF($D195=1,INDEX(TblClusters[RAM min (Go)],$B195),"")</f>
        <v>240</v>
      </c>
      <c r="P195" s="19">
        <f>IF($D195&lt;&gt;1,"",IF($G195="ROKS",SUMIFS(TblApplications[Besoin ROKS CPU (vCPU)],TblApplications[Cluster ROKS cible],$F195,TblApplications[Action],"À migrer",TblApplications[Déjà incluse ROKS],"Non",TblApplications[Mois prov (calc)],"&lt;="&amp;$E195),SUMIFS(TblApplications[CPU IKS libérable (vCPU)],TblApplications[Cluster IKS source],$F195,TblApplications[Mois lib (calc)],"&lt;="&amp;$E195)))</f>
        <v>0</v>
      </c>
      <c r="Q195" s="19">
        <f>IF($D195&lt;&gt;1,"",IF($G195="ROKS",SUMIFS(TblApplications[Besoin ROKS RAM (Go)],TblApplications[Cluster ROKS cible],$F195,TblApplications[Action],"À migrer",TblApplications[Déjà incluse ROKS],"Non",TblApplications[Mois prov (calc)],"&lt;="&amp;$E195),SUMIFS(TblApplications[RAM IKS libérable (Go)],TblApplications[Cluster IKS source],$F195,TblApplications[Mois lib (calc)],"&lt;="&amp;$E195)))</f>
        <v>0</v>
      </c>
      <c r="R195" s="19">
        <f t="shared" si="37"/>
        <v>48</v>
      </c>
      <c r="S195" s="19">
        <f t="shared" si="38"/>
        <v>240</v>
      </c>
      <c r="T195" s="19">
        <f t="shared" si="39"/>
        <v>6</v>
      </c>
      <c r="U195" s="19">
        <f t="shared" si="40"/>
        <v>48</v>
      </c>
      <c r="V195" s="19">
        <f t="shared" si="41"/>
        <v>240</v>
      </c>
      <c r="W195" s="73">
        <f t="shared" si="42"/>
        <v>2208</v>
      </c>
      <c r="X195" s="19">
        <f>IF($D195&lt;&gt;1,"",IF($G195="ROKS",$R195,IF($AI195=1,0,MAX($N195,$L195-SUMIFS(TblApplications[CPU IKS libérable (vCPU)],TblApplications[Cluster IKS source],$F195,TblApplications[Action],"À migrer",TblApplications[Mois prov (calc)],"&lt;="&amp;$E195)-SUMIFS(TblApplications[CPU IKS libérable (vCPU)],TblApplications[Cluster IKS source],$F195,TblApplications[Action],"À décommissionner",TblApplications[Mois lib (calc)],"&lt;="&amp;$E195)))))</f>
        <v>48</v>
      </c>
      <c r="Y195" s="19">
        <f>IF($D195&lt;&gt;1,"",IF($G195="ROKS",$S195,IF($AI195=1,0,MAX($O195,$M195-SUMIFS(TblApplications[RAM IKS libérable (Go)],TblApplications[Cluster IKS source],$F195,TblApplications[Action],"À migrer",TblApplications[Mois prov (calc)],"&lt;="&amp;$E195)-SUMIFS(TblApplications[RAM IKS libérable (Go)],TblApplications[Cluster IKS source],$F195,TblApplications[Action],"À décommissionner",TblApplications[Mois lib (calc)],"&lt;="&amp;$E195)))))</f>
        <v>240</v>
      </c>
      <c r="Z195" s="19">
        <f t="shared" si="43"/>
        <v>6</v>
      </c>
      <c r="AA195" s="73">
        <f t="shared" si="44"/>
        <v>2208</v>
      </c>
      <c r="AB195" s="19">
        <f t="shared" si="45"/>
        <v>6</v>
      </c>
      <c r="AC195" s="73">
        <f t="shared" si="46"/>
        <v>2208</v>
      </c>
      <c r="AD195" s="19">
        <f t="shared" si="47"/>
        <v>0</v>
      </c>
      <c r="AE195" s="19">
        <f t="shared" si="48"/>
        <v>0</v>
      </c>
      <c r="AF195" s="19" t="str">
        <f>IF($D195&lt;&gt;1,"",IF(INDEX(TblClusters[Environnement],$B195)="","(vide)",INDEX(TblClusters[Environnement],$B195)))</f>
        <v>PRD</v>
      </c>
      <c r="AG195" s="19">
        <f t="shared" si="49"/>
        <v>72</v>
      </c>
      <c r="AH195" s="19">
        <f t="shared" si="50"/>
        <v>30.666666666666668</v>
      </c>
      <c r="AI195" s="19">
        <f>IF($D195&lt;&gt;1,"",IF(AND($G195="IKS",ISNUMBER(INDEX(TblClusters[Fermeture retenue],$B195))),IF($E195&gt;=INDEX(TblClusters[Fermeture retenue],$B195),1,0),0))</f>
        <v>0</v>
      </c>
    </row>
    <row r="196" spans="1:35" x14ac:dyDescent="0.2">
      <c r="A196" s="19">
        <v>191</v>
      </c>
      <c r="B196" s="19">
        <f t="shared" si="34"/>
        <v>6</v>
      </c>
      <c r="C196" s="19">
        <f t="shared" si="35"/>
        <v>11</v>
      </c>
      <c r="D196" s="19">
        <f>IF($C196&gt;p_horizon,0,IFERROR(IF(AND(INDEX(TblClusters[Cluster],$B196)&lt;&gt;"",ISNUMBER(INDEX(TblClusters[CPU initial (vCPU)],$B196)),ISNUMBER(INDEX(TblClusters[CPU min (vCPU)],$B196)),OR(INDEX(TblClusters[Plateforme],$B196)="IKS",INDEX(TblClusters[Plateforme],$B196)="ROKS")),1,0),0))</f>
        <v>1</v>
      </c>
      <c r="E196" s="72">
        <f t="shared" si="36"/>
        <v>46600</v>
      </c>
      <c r="F196" s="19" t="str">
        <f>IF($D196=1,INDEX(TblClusters[Cluster],$B196),"")</f>
        <v>oc002i000850</v>
      </c>
      <c r="G196" s="19" t="str">
        <f>IF($D196=1,INDEX(TblClusters[Plateforme],$B196),"")</f>
        <v>ROKS</v>
      </c>
      <c r="H196" s="19">
        <f>IF($D196=1,INDEX(TblClusters[vCPU par nœud],$B196),"")</f>
        <v>8</v>
      </c>
      <c r="I196" s="19">
        <f>IF($D196=1,INDEX(TblClusters[RAM par nœud (Go)],$B196),"")</f>
        <v>40</v>
      </c>
      <c r="J196" s="19">
        <f>IF($D196=1,INDEX(TblClusters[Workers min],$B196),"")</f>
        <v>6</v>
      </c>
      <c r="K196" s="73">
        <f>IF($D196=1,INDEX(TblClusters[Tarif par nœud],$B196),"")</f>
        <v>368</v>
      </c>
      <c r="L196" s="19">
        <f>IF($D196=1,INDEX(TblClusters[CPU initial (vCPU)],$B196),"")</f>
        <v>48</v>
      </c>
      <c r="M196" s="19">
        <f>IF($D196=1,INDEX(TblClusters[RAM initiale (Go)],$B196),"")</f>
        <v>240</v>
      </c>
      <c r="N196" s="19">
        <f>IF($D196=1,INDEX(TblClusters[CPU min (vCPU)],$B196),"")</f>
        <v>48</v>
      </c>
      <c r="O196" s="19">
        <f>IF($D196=1,INDEX(TblClusters[RAM min (Go)],$B196),"")</f>
        <v>240</v>
      </c>
      <c r="P196" s="19">
        <f>IF($D196&lt;&gt;1,"",IF($G196="ROKS",SUMIFS(TblApplications[Besoin ROKS CPU (vCPU)],TblApplications[Cluster ROKS cible],$F196,TblApplications[Action],"À migrer",TblApplications[Déjà incluse ROKS],"Non",TblApplications[Mois prov (calc)],"&lt;="&amp;$E196),SUMIFS(TblApplications[CPU IKS libérable (vCPU)],TblApplications[Cluster IKS source],$F196,TblApplications[Mois lib (calc)],"&lt;="&amp;$E196)))</f>
        <v>0</v>
      </c>
      <c r="Q196" s="19">
        <f>IF($D196&lt;&gt;1,"",IF($G196="ROKS",SUMIFS(TblApplications[Besoin ROKS RAM (Go)],TblApplications[Cluster ROKS cible],$F196,TblApplications[Action],"À migrer",TblApplications[Déjà incluse ROKS],"Non",TblApplications[Mois prov (calc)],"&lt;="&amp;$E196),SUMIFS(TblApplications[RAM IKS libérable (Go)],TblApplications[Cluster IKS source],$F196,TblApplications[Mois lib (calc)],"&lt;="&amp;$E196)))</f>
        <v>0</v>
      </c>
      <c r="R196" s="19">
        <f t="shared" si="37"/>
        <v>48</v>
      </c>
      <c r="S196" s="19">
        <f t="shared" si="38"/>
        <v>240</v>
      </c>
      <c r="T196" s="19">
        <f t="shared" si="39"/>
        <v>6</v>
      </c>
      <c r="U196" s="19">
        <f t="shared" si="40"/>
        <v>48</v>
      </c>
      <c r="V196" s="19">
        <f t="shared" si="41"/>
        <v>240</v>
      </c>
      <c r="W196" s="73">
        <f t="shared" si="42"/>
        <v>2208</v>
      </c>
      <c r="X196" s="19">
        <f>IF($D196&lt;&gt;1,"",IF($G196="ROKS",$R196,IF($AI196=1,0,MAX($N196,$L196-SUMIFS(TblApplications[CPU IKS libérable (vCPU)],TblApplications[Cluster IKS source],$F196,TblApplications[Action],"À migrer",TblApplications[Mois prov (calc)],"&lt;="&amp;$E196)-SUMIFS(TblApplications[CPU IKS libérable (vCPU)],TblApplications[Cluster IKS source],$F196,TblApplications[Action],"À décommissionner",TblApplications[Mois lib (calc)],"&lt;="&amp;$E196)))))</f>
        <v>48</v>
      </c>
      <c r="Y196" s="19">
        <f>IF($D196&lt;&gt;1,"",IF($G196="ROKS",$S196,IF($AI196=1,0,MAX($O196,$M196-SUMIFS(TblApplications[RAM IKS libérable (Go)],TblApplications[Cluster IKS source],$F196,TblApplications[Action],"À migrer",TblApplications[Mois prov (calc)],"&lt;="&amp;$E196)-SUMIFS(TblApplications[RAM IKS libérable (Go)],TblApplications[Cluster IKS source],$F196,TblApplications[Action],"À décommissionner",TblApplications[Mois lib (calc)],"&lt;="&amp;$E196)))))</f>
        <v>240</v>
      </c>
      <c r="Z196" s="19">
        <f t="shared" si="43"/>
        <v>6</v>
      </c>
      <c r="AA196" s="73">
        <f t="shared" si="44"/>
        <v>2208</v>
      </c>
      <c r="AB196" s="19">
        <f t="shared" si="45"/>
        <v>6</v>
      </c>
      <c r="AC196" s="73">
        <f t="shared" si="46"/>
        <v>2208</v>
      </c>
      <c r="AD196" s="19">
        <f t="shared" si="47"/>
        <v>0</v>
      </c>
      <c r="AE196" s="19">
        <f t="shared" si="48"/>
        <v>0</v>
      </c>
      <c r="AF196" s="19" t="str">
        <f>IF($D196&lt;&gt;1,"",IF(INDEX(TblClusters[Environnement],$B196)="","(vide)",INDEX(TblClusters[Environnement],$B196)))</f>
        <v>PRD</v>
      </c>
      <c r="AG196" s="19">
        <f t="shared" si="49"/>
        <v>72</v>
      </c>
      <c r="AH196" s="19">
        <f t="shared" si="50"/>
        <v>30.666666666666668</v>
      </c>
      <c r="AI196" s="19">
        <f>IF($D196&lt;&gt;1,"",IF(AND($G196="IKS",ISNUMBER(INDEX(TblClusters[Fermeture retenue],$B196))),IF($E196&gt;=INDEX(TblClusters[Fermeture retenue],$B196),1,0),0))</f>
        <v>0</v>
      </c>
    </row>
    <row r="197" spans="1:35" x14ac:dyDescent="0.2">
      <c r="A197" s="19">
        <v>192</v>
      </c>
      <c r="B197" s="19">
        <f t="shared" si="34"/>
        <v>6</v>
      </c>
      <c r="C197" s="19">
        <f t="shared" si="35"/>
        <v>12</v>
      </c>
      <c r="D197" s="19">
        <f>IF($C197&gt;p_horizon,0,IFERROR(IF(AND(INDEX(TblClusters[Cluster],$B197)&lt;&gt;"",ISNUMBER(INDEX(TblClusters[CPU initial (vCPU)],$B197)),ISNUMBER(INDEX(TblClusters[CPU min (vCPU)],$B197)),OR(INDEX(TblClusters[Plateforme],$B197)="IKS",INDEX(TblClusters[Plateforme],$B197)="ROKS")),1,0),0))</f>
        <v>1</v>
      </c>
      <c r="E197" s="72">
        <f t="shared" si="36"/>
        <v>46631</v>
      </c>
      <c r="F197" s="19" t="str">
        <f>IF($D197=1,INDEX(TblClusters[Cluster],$B197),"")</f>
        <v>oc002i000850</v>
      </c>
      <c r="G197" s="19" t="str">
        <f>IF($D197=1,INDEX(TblClusters[Plateforme],$B197),"")</f>
        <v>ROKS</v>
      </c>
      <c r="H197" s="19">
        <f>IF($D197=1,INDEX(TblClusters[vCPU par nœud],$B197),"")</f>
        <v>8</v>
      </c>
      <c r="I197" s="19">
        <f>IF($D197=1,INDEX(TblClusters[RAM par nœud (Go)],$B197),"")</f>
        <v>40</v>
      </c>
      <c r="J197" s="19">
        <f>IF($D197=1,INDEX(TblClusters[Workers min],$B197),"")</f>
        <v>6</v>
      </c>
      <c r="K197" s="73">
        <f>IF($D197=1,INDEX(TblClusters[Tarif par nœud],$B197),"")</f>
        <v>368</v>
      </c>
      <c r="L197" s="19">
        <f>IF($D197=1,INDEX(TblClusters[CPU initial (vCPU)],$B197),"")</f>
        <v>48</v>
      </c>
      <c r="M197" s="19">
        <f>IF($D197=1,INDEX(TblClusters[RAM initiale (Go)],$B197),"")</f>
        <v>240</v>
      </c>
      <c r="N197" s="19">
        <f>IF($D197=1,INDEX(TblClusters[CPU min (vCPU)],$B197),"")</f>
        <v>48</v>
      </c>
      <c r="O197" s="19">
        <f>IF($D197=1,INDEX(TblClusters[RAM min (Go)],$B197),"")</f>
        <v>240</v>
      </c>
      <c r="P197" s="19">
        <f>IF($D197&lt;&gt;1,"",IF($G197="ROKS",SUMIFS(TblApplications[Besoin ROKS CPU (vCPU)],TblApplications[Cluster ROKS cible],$F197,TblApplications[Action],"À migrer",TblApplications[Déjà incluse ROKS],"Non",TblApplications[Mois prov (calc)],"&lt;="&amp;$E197),SUMIFS(TblApplications[CPU IKS libérable (vCPU)],TblApplications[Cluster IKS source],$F197,TblApplications[Mois lib (calc)],"&lt;="&amp;$E197)))</f>
        <v>0</v>
      </c>
      <c r="Q197" s="19">
        <f>IF($D197&lt;&gt;1,"",IF($G197="ROKS",SUMIFS(TblApplications[Besoin ROKS RAM (Go)],TblApplications[Cluster ROKS cible],$F197,TblApplications[Action],"À migrer",TblApplications[Déjà incluse ROKS],"Non",TblApplications[Mois prov (calc)],"&lt;="&amp;$E197),SUMIFS(TblApplications[RAM IKS libérable (Go)],TblApplications[Cluster IKS source],$F197,TblApplications[Mois lib (calc)],"&lt;="&amp;$E197)))</f>
        <v>0</v>
      </c>
      <c r="R197" s="19">
        <f t="shared" si="37"/>
        <v>48</v>
      </c>
      <c r="S197" s="19">
        <f t="shared" si="38"/>
        <v>240</v>
      </c>
      <c r="T197" s="19">
        <f t="shared" si="39"/>
        <v>6</v>
      </c>
      <c r="U197" s="19">
        <f t="shared" si="40"/>
        <v>48</v>
      </c>
      <c r="V197" s="19">
        <f t="shared" si="41"/>
        <v>240</v>
      </c>
      <c r="W197" s="73">
        <f t="shared" si="42"/>
        <v>2208</v>
      </c>
      <c r="X197" s="19">
        <f>IF($D197&lt;&gt;1,"",IF($G197="ROKS",$R197,IF($AI197=1,0,MAX($N197,$L197-SUMIFS(TblApplications[CPU IKS libérable (vCPU)],TblApplications[Cluster IKS source],$F197,TblApplications[Action],"À migrer",TblApplications[Mois prov (calc)],"&lt;="&amp;$E197)-SUMIFS(TblApplications[CPU IKS libérable (vCPU)],TblApplications[Cluster IKS source],$F197,TblApplications[Action],"À décommissionner",TblApplications[Mois lib (calc)],"&lt;="&amp;$E197)))))</f>
        <v>48</v>
      </c>
      <c r="Y197" s="19">
        <f>IF($D197&lt;&gt;1,"",IF($G197="ROKS",$S197,IF($AI197=1,0,MAX($O197,$M197-SUMIFS(TblApplications[RAM IKS libérable (Go)],TblApplications[Cluster IKS source],$F197,TblApplications[Action],"À migrer",TblApplications[Mois prov (calc)],"&lt;="&amp;$E197)-SUMIFS(TblApplications[RAM IKS libérable (Go)],TblApplications[Cluster IKS source],$F197,TblApplications[Action],"À décommissionner",TblApplications[Mois lib (calc)],"&lt;="&amp;$E197)))))</f>
        <v>240</v>
      </c>
      <c r="Z197" s="19">
        <f t="shared" si="43"/>
        <v>6</v>
      </c>
      <c r="AA197" s="73">
        <f t="shared" si="44"/>
        <v>2208</v>
      </c>
      <c r="AB197" s="19">
        <f t="shared" si="45"/>
        <v>6</v>
      </c>
      <c r="AC197" s="73">
        <f t="shared" si="46"/>
        <v>2208</v>
      </c>
      <c r="AD197" s="19">
        <f t="shared" si="47"/>
        <v>0</v>
      </c>
      <c r="AE197" s="19">
        <f t="shared" si="48"/>
        <v>0</v>
      </c>
      <c r="AF197" s="19" t="str">
        <f>IF($D197&lt;&gt;1,"",IF(INDEX(TblClusters[Environnement],$B197)="","(vide)",INDEX(TblClusters[Environnement],$B197)))</f>
        <v>PRD</v>
      </c>
      <c r="AG197" s="19">
        <f t="shared" si="49"/>
        <v>72</v>
      </c>
      <c r="AH197" s="19">
        <f t="shared" si="50"/>
        <v>30.666666666666668</v>
      </c>
      <c r="AI197" s="19">
        <f>IF($D197&lt;&gt;1,"",IF(AND($G197="IKS",ISNUMBER(INDEX(TblClusters[Fermeture retenue],$B197))),IF($E197&gt;=INDEX(TblClusters[Fermeture retenue],$B197),1,0),0))</f>
        <v>0</v>
      </c>
    </row>
    <row r="198" spans="1:35" x14ac:dyDescent="0.2">
      <c r="A198" s="19">
        <v>193</v>
      </c>
      <c r="B198" s="19">
        <f t="shared" ref="B198:B261" si="51">INT(($A198-1)/36)+1</f>
        <v>6</v>
      </c>
      <c r="C198" s="19">
        <f t="shared" ref="C198:C261" si="52">MOD($A198-1,36)+1</f>
        <v>13</v>
      </c>
      <c r="D198" s="19">
        <f>IF($C198&gt;p_horizon,0,IFERROR(IF(AND(INDEX(TblClusters[Cluster],$B198)&lt;&gt;"",ISNUMBER(INDEX(TblClusters[CPU initial (vCPU)],$B198)),ISNUMBER(INDEX(TblClusters[CPU min (vCPU)],$B198)),OR(INDEX(TblClusters[Plateforme],$B198)="IKS",INDEX(TblClusters[Plateforme],$B198)="ROKS")),1,0),0))</f>
        <v>1</v>
      </c>
      <c r="E198" s="72">
        <f t="shared" ref="E198:E261" si="53">IF($D198=1,EDATE(p_debut,$C198-1),"")</f>
        <v>46661</v>
      </c>
      <c r="F198" s="19" t="str">
        <f>IF($D198=1,INDEX(TblClusters[Cluster],$B198),"")</f>
        <v>oc002i000850</v>
      </c>
      <c r="G198" s="19" t="str">
        <f>IF($D198=1,INDEX(TblClusters[Plateforme],$B198),"")</f>
        <v>ROKS</v>
      </c>
      <c r="H198" s="19">
        <f>IF($D198=1,INDEX(TblClusters[vCPU par nœud],$B198),"")</f>
        <v>8</v>
      </c>
      <c r="I198" s="19">
        <f>IF($D198=1,INDEX(TblClusters[RAM par nœud (Go)],$B198),"")</f>
        <v>40</v>
      </c>
      <c r="J198" s="19">
        <f>IF($D198=1,INDEX(TblClusters[Workers min],$B198),"")</f>
        <v>6</v>
      </c>
      <c r="K198" s="73">
        <f>IF($D198=1,INDEX(TblClusters[Tarif par nœud],$B198),"")</f>
        <v>368</v>
      </c>
      <c r="L198" s="19">
        <f>IF($D198=1,INDEX(TblClusters[CPU initial (vCPU)],$B198),"")</f>
        <v>48</v>
      </c>
      <c r="M198" s="19">
        <f>IF($D198=1,INDEX(TblClusters[RAM initiale (Go)],$B198),"")</f>
        <v>240</v>
      </c>
      <c r="N198" s="19">
        <f>IF($D198=1,INDEX(TblClusters[CPU min (vCPU)],$B198),"")</f>
        <v>48</v>
      </c>
      <c r="O198" s="19">
        <f>IF($D198=1,INDEX(TblClusters[RAM min (Go)],$B198),"")</f>
        <v>240</v>
      </c>
      <c r="P198" s="19">
        <f>IF($D198&lt;&gt;1,"",IF($G198="ROKS",SUMIFS(TblApplications[Besoin ROKS CPU (vCPU)],TblApplications[Cluster ROKS cible],$F198,TblApplications[Action],"À migrer",TblApplications[Déjà incluse ROKS],"Non",TblApplications[Mois prov (calc)],"&lt;="&amp;$E198),SUMIFS(TblApplications[CPU IKS libérable (vCPU)],TblApplications[Cluster IKS source],$F198,TblApplications[Mois lib (calc)],"&lt;="&amp;$E198)))</f>
        <v>0</v>
      </c>
      <c r="Q198" s="19">
        <f>IF($D198&lt;&gt;1,"",IF($G198="ROKS",SUMIFS(TblApplications[Besoin ROKS RAM (Go)],TblApplications[Cluster ROKS cible],$F198,TblApplications[Action],"À migrer",TblApplications[Déjà incluse ROKS],"Non",TblApplications[Mois prov (calc)],"&lt;="&amp;$E198),SUMIFS(TblApplications[RAM IKS libérable (Go)],TblApplications[Cluster IKS source],$F198,TblApplications[Mois lib (calc)],"&lt;="&amp;$E198)))</f>
        <v>0</v>
      </c>
      <c r="R198" s="19">
        <f t="shared" ref="R198:R261" si="54">IF($D198&lt;&gt;1,"",IF($G198="ROKS",$L198+$P198,IF($AI198=1,0,MAX($N198,$L198-$P198))))</f>
        <v>48</v>
      </c>
      <c r="S198" s="19">
        <f t="shared" ref="S198:S261" si="55">IF($D198&lt;&gt;1,"",IF($G198="ROKS",$M198+$Q198,IF($AI198=1,0,MAX($O198,$M198-$Q198))))</f>
        <v>240</v>
      </c>
      <c r="T198" s="19">
        <f t="shared" ref="T198:T261" si="56">IF($D198&lt;&gt;1,"",IF($AI198=1,0,MAX($J198,ROUNDUP(MAX($R198/$H198,$S198/$I198),0))))</f>
        <v>6</v>
      </c>
      <c r="U198" s="19">
        <f t="shared" ref="U198:U261" si="57">IF($D198&lt;&gt;1,"",IF(p_mode="Nœud",$T198*$H198,$R198))</f>
        <v>48</v>
      </c>
      <c r="V198" s="19">
        <f t="shared" ref="V198:V261" si="58">IF($D198&lt;&gt;1,"",IF(p_mode="Nœud",$T198*$I198,$S198))</f>
        <v>240</v>
      </c>
      <c r="W198" s="73">
        <f t="shared" ref="W198:W261" si="59">IF($D198&lt;&gt;1,"",IF(p_mode="Nœud",$T198*$K198,$R198*IF($G198="IKS",p_iks_cpu,p_roks_cpu)+$S198*IF($G198="IKS",p_iks_ram,p_roks_ram))*p_facteur)</f>
        <v>2208</v>
      </c>
      <c r="X198" s="19">
        <f>IF($D198&lt;&gt;1,"",IF($G198="ROKS",$R198,IF($AI198=1,0,MAX($N198,$L198-SUMIFS(TblApplications[CPU IKS libérable (vCPU)],TblApplications[Cluster IKS source],$F198,TblApplications[Action],"À migrer",TblApplications[Mois prov (calc)],"&lt;="&amp;$E198)-SUMIFS(TblApplications[CPU IKS libérable (vCPU)],TblApplications[Cluster IKS source],$F198,TblApplications[Action],"À décommissionner",TblApplications[Mois lib (calc)],"&lt;="&amp;$E198)))))</f>
        <v>48</v>
      </c>
      <c r="Y198" s="19">
        <f>IF($D198&lt;&gt;1,"",IF($G198="ROKS",$S198,IF($AI198=1,0,MAX($O198,$M198-SUMIFS(TblApplications[RAM IKS libérable (Go)],TblApplications[Cluster IKS source],$F198,TblApplications[Action],"À migrer",TblApplications[Mois prov (calc)],"&lt;="&amp;$E198)-SUMIFS(TblApplications[RAM IKS libérable (Go)],TblApplications[Cluster IKS source],$F198,TblApplications[Action],"À décommissionner",TblApplications[Mois lib (calc)],"&lt;="&amp;$E198)))))</f>
        <v>240</v>
      </c>
      <c r="Z198" s="19">
        <f t="shared" ref="Z198:Z261" si="60">IF($D198&lt;&gt;1,"",IF($AI198=1,0,MAX($J198,ROUNDUP(MAX($X198/$H198,$Y198/$I198),0))))</f>
        <v>6</v>
      </c>
      <c r="AA198" s="73">
        <f t="shared" ref="AA198:AA261" si="61">IF($D198&lt;&gt;1,"",IF(p_mode="Nœud",$Z198*$K198,$X198*IF($G198="IKS",p_iks_cpu,p_roks_cpu)+$Y198*IF($G198="IKS",p_iks_ram,p_roks_ram))*p_facteur)</f>
        <v>2208</v>
      </c>
      <c r="AB198" s="19">
        <f t="shared" ref="AB198:AB261" si="62">IF($D198&lt;&gt;1,"",MAX($J198,ROUNDUP(MAX($L198/$H198,$M198/$I198),0)))</f>
        <v>6</v>
      </c>
      <c r="AC198" s="73">
        <f t="shared" ref="AC198:AC261" si="63">IF($D198&lt;&gt;1,"",IF(p_mode="Nœud",$AB198*$K198,$L198*IF($G198="IKS",p_iks_cpu,p_roks_cpu)+$M198*IF($G198="IKS",p_iks_ram,p_roks_ram))*p_facteur)</f>
        <v>2208</v>
      </c>
      <c r="AD198" s="19">
        <f t="shared" ref="AD198:AD261" si="64">IF($D198&lt;&gt;1,"",IF(AND($G198="IKS",$AI198&lt;&gt;1,OR($L198-$P198&lt;$N198,$M198-$Q198&lt;$O198)),1,0))</f>
        <v>0</v>
      </c>
      <c r="AE198" s="19">
        <f t="shared" ref="AE198:AE261" si="65">IF($D198&lt;&gt;1,"",IF(AND($G198="ROKS",$T198&gt;p_maxworkers),1,0))</f>
        <v>0</v>
      </c>
      <c r="AF198" s="19" t="str">
        <f>IF($D198&lt;&gt;1,"",IF(INDEX(TblClusters[Environnement],$B198)="","(vide)",INDEX(TblClusters[Environnement],$B198)))</f>
        <v>PRD</v>
      </c>
      <c r="AG198" s="19">
        <f t="shared" ref="AG198:AG261" si="66">IF($D198&lt;&gt;1,"",$R198+p_poidsram*$S198)</f>
        <v>72</v>
      </c>
      <c r="AH198" s="19">
        <f t="shared" ref="AH198:AH261" si="67">IF($D198&lt;&gt;1,"",IFERROR($W198/$AG198,0))</f>
        <v>30.666666666666668</v>
      </c>
      <c r="AI198" s="19">
        <f>IF($D198&lt;&gt;1,"",IF(AND($G198="IKS",ISNUMBER(INDEX(TblClusters[Fermeture retenue],$B198))),IF($E198&gt;=INDEX(TblClusters[Fermeture retenue],$B198),1,0),0))</f>
        <v>0</v>
      </c>
    </row>
    <row r="199" spans="1:35" x14ac:dyDescent="0.2">
      <c r="A199" s="19">
        <v>194</v>
      </c>
      <c r="B199" s="19">
        <f t="shared" si="51"/>
        <v>6</v>
      </c>
      <c r="C199" s="19">
        <f t="shared" si="52"/>
        <v>14</v>
      </c>
      <c r="D199" s="19">
        <f>IF($C199&gt;p_horizon,0,IFERROR(IF(AND(INDEX(TblClusters[Cluster],$B199)&lt;&gt;"",ISNUMBER(INDEX(TblClusters[CPU initial (vCPU)],$B199)),ISNUMBER(INDEX(TblClusters[CPU min (vCPU)],$B199)),OR(INDEX(TblClusters[Plateforme],$B199)="IKS",INDEX(TblClusters[Plateforme],$B199)="ROKS")),1,0),0))</f>
        <v>1</v>
      </c>
      <c r="E199" s="72">
        <f t="shared" si="53"/>
        <v>46692</v>
      </c>
      <c r="F199" s="19" t="str">
        <f>IF($D199=1,INDEX(TblClusters[Cluster],$B199),"")</f>
        <v>oc002i000850</v>
      </c>
      <c r="G199" s="19" t="str">
        <f>IF($D199=1,INDEX(TblClusters[Plateforme],$B199),"")</f>
        <v>ROKS</v>
      </c>
      <c r="H199" s="19">
        <f>IF($D199=1,INDEX(TblClusters[vCPU par nœud],$B199),"")</f>
        <v>8</v>
      </c>
      <c r="I199" s="19">
        <f>IF($D199=1,INDEX(TblClusters[RAM par nœud (Go)],$B199),"")</f>
        <v>40</v>
      </c>
      <c r="J199" s="19">
        <f>IF($D199=1,INDEX(TblClusters[Workers min],$B199),"")</f>
        <v>6</v>
      </c>
      <c r="K199" s="73">
        <f>IF($D199=1,INDEX(TblClusters[Tarif par nœud],$B199),"")</f>
        <v>368</v>
      </c>
      <c r="L199" s="19">
        <f>IF($D199=1,INDEX(TblClusters[CPU initial (vCPU)],$B199),"")</f>
        <v>48</v>
      </c>
      <c r="M199" s="19">
        <f>IF($D199=1,INDEX(TblClusters[RAM initiale (Go)],$B199),"")</f>
        <v>240</v>
      </c>
      <c r="N199" s="19">
        <f>IF($D199=1,INDEX(TblClusters[CPU min (vCPU)],$B199),"")</f>
        <v>48</v>
      </c>
      <c r="O199" s="19">
        <f>IF($D199=1,INDEX(TblClusters[RAM min (Go)],$B199),"")</f>
        <v>240</v>
      </c>
      <c r="P199" s="19">
        <f>IF($D199&lt;&gt;1,"",IF($G199="ROKS",SUMIFS(TblApplications[Besoin ROKS CPU (vCPU)],TblApplications[Cluster ROKS cible],$F199,TblApplications[Action],"À migrer",TblApplications[Déjà incluse ROKS],"Non",TblApplications[Mois prov (calc)],"&lt;="&amp;$E199),SUMIFS(TblApplications[CPU IKS libérable (vCPU)],TblApplications[Cluster IKS source],$F199,TblApplications[Mois lib (calc)],"&lt;="&amp;$E199)))</f>
        <v>0</v>
      </c>
      <c r="Q199" s="19">
        <f>IF($D199&lt;&gt;1,"",IF($G199="ROKS",SUMIFS(TblApplications[Besoin ROKS RAM (Go)],TblApplications[Cluster ROKS cible],$F199,TblApplications[Action],"À migrer",TblApplications[Déjà incluse ROKS],"Non",TblApplications[Mois prov (calc)],"&lt;="&amp;$E199),SUMIFS(TblApplications[RAM IKS libérable (Go)],TblApplications[Cluster IKS source],$F199,TblApplications[Mois lib (calc)],"&lt;="&amp;$E199)))</f>
        <v>0</v>
      </c>
      <c r="R199" s="19">
        <f t="shared" si="54"/>
        <v>48</v>
      </c>
      <c r="S199" s="19">
        <f t="shared" si="55"/>
        <v>240</v>
      </c>
      <c r="T199" s="19">
        <f t="shared" si="56"/>
        <v>6</v>
      </c>
      <c r="U199" s="19">
        <f t="shared" si="57"/>
        <v>48</v>
      </c>
      <c r="V199" s="19">
        <f t="shared" si="58"/>
        <v>240</v>
      </c>
      <c r="W199" s="73">
        <f t="shared" si="59"/>
        <v>2208</v>
      </c>
      <c r="X199" s="19">
        <f>IF($D199&lt;&gt;1,"",IF($G199="ROKS",$R199,IF($AI199=1,0,MAX($N199,$L199-SUMIFS(TblApplications[CPU IKS libérable (vCPU)],TblApplications[Cluster IKS source],$F199,TblApplications[Action],"À migrer",TblApplications[Mois prov (calc)],"&lt;="&amp;$E199)-SUMIFS(TblApplications[CPU IKS libérable (vCPU)],TblApplications[Cluster IKS source],$F199,TblApplications[Action],"À décommissionner",TblApplications[Mois lib (calc)],"&lt;="&amp;$E199)))))</f>
        <v>48</v>
      </c>
      <c r="Y199" s="19">
        <f>IF($D199&lt;&gt;1,"",IF($G199="ROKS",$S199,IF($AI199=1,0,MAX($O199,$M199-SUMIFS(TblApplications[RAM IKS libérable (Go)],TblApplications[Cluster IKS source],$F199,TblApplications[Action],"À migrer",TblApplications[Mois prov (calc)],"&lt;="&amp;$E199)-SUMIFS(TblApplications[RAM IKS libérable (Go)],TblApplications[Cluster IKS source],$F199,TblApplications[Action],"À décommissionner",TblApplications[Mois lib (calc)],"&lt;="&amp;$E199)))))</f>
        <v>240</v>
      </c>
      <c r="Z199" s="19">
        <f t="shared" si="60"/>
        <v>6</v>
      </c>
      <c r="AA199" s="73">
        <f t="shared" si="61"/>
        <v>2208</v>
      </c>
      <c r="AB199" s="19">
        <f t="shared" si="62"/>
        <v>6</v>
      </c>
      <c r="AC199" s="73">
        <f t="shared" si="63"/>
        <v>2208</v>
      </c>
      <c r="AD199" s="19">
        <f t="shared" si="64"/>
        <v>0</v>
      </c>
      <c r="AE199" s="19">
        <f t="shared" si="65"/>
        <v>0</v>
      </c>
      <c r="AF199" s="19" t="str">
        <f>IF($D199&lt;&gt;1,"",IF(INDEX(TblClusters[Environnement],$B199)="","(vide)",INDEX(TblClusters[Environnement],$B199)))</f>
        <v>PRD</v>
      </c>
      <c r="AG199" s="19">
        <f t="shared" si="66"/>
        <v>72</v>
      </c>
      <c r="AH199" s="19">
        <f t="shared" si="67"/>
        <v>30.666666666666668</v>
      </c>
      <c r="AI199" s="19">
        <f>IF($D199&lt;&gt;1,"",IF(AND($G199="IKS",ISNUMBER(INDEX(TblClusters[Fermeture retenue],$B199))),IF($E199&gt;=INDEX(TblClusters[Fermeture retenue],$B199),1,0),0))</f>
        <v>0</v>
      </c>
    </row>
    <row r="200" spans="1:35" x14ac:dyDescent="0.2">
      <c r="A200" s="19">
        <v>195</v>
      </c>
      <c r="B200" s="19">
        <f t="shared" si="51"/>
        <v>6</v>
      </c>
      <c r="C200" s="19">
        <f t="shared" si="52"/>
        <v>15</v>
      </c>
      <c r="D200" s="19">
        <f>IF($C200&gt;p_horizon,0,IFERROR(IF(AND(INDEX(TblClusters[Cluster],$B200)&lt;&gt;"",ISNUMBER(INDEX(TblClusters[CPU initial (vCPU)],$B200)),ISNUMBER(INDEX(TblClusters[CPU min (vCPU)],$B200)),OR(INDEX(TblClusters[Plateforme],$B200)="IKS",INDEX(TblClusters[Plateforme],$B200)="ROKS")),1,0),0))</f>
        <v>1</v>
      </c>
      <c r="E200" s="72">
        <f t="shared" si="53"/>
        <v>46722</v>
      </c>
      <c r="F200" s="19" t="str">
        <f>IF($D200=1,INDEX(TblClusters[Cluster],$B200),"")</f>
        <v>oc002i000850</v>
      </c>
      <c r="G200" s="19" t="str">
        <f>IF($D200=1,INDEX(TblClusters[Plateforme],$B200),"")</f>
        <v>ROKS</v>
      </c>
      <c r="H200" s="19">
        <f>IF($D200=1,INDEX(TblClusters[vCPU par nœud],$B200),"")</f>
        <v>8</v>
      </c>
      <c r="I200" s="19">
        <f>IF($D200=1,INDEX(TblClusters[RAM par nœud (Go)],$B200),"")</f>
        <v>40</v>
      </c>
      <c r="J200" s="19">
        <f>IF($D200=1,INDEX(TblClusters[Workers min],$B200),"")</f>
        <v>6</v>
      </c>
      <c r="K200" s="73">
        <f>IF($D200=1,INDEX(TblClusters[Tarif par nœud],$B200),"")</f>
        <v>368</v>
      </c>
      <c r="L200" s="19">
        <f>IF($D200=1,INDEX(TblClusters[CPU initial (vCPU)],$B200),"")</f>
        <v>48</v>
      </c>
      <c r="M200" s="19">
        <f>IF($D200=1,INDEX(TblClusters[RAM initiale (Go)],$B200),"")</f>
        <v>240</v>
      </c>
      <c r="N200" s="19">
        <f>IF($D200=1,INDEX(TblClusters[CPU min (vCPU)],$B200),"")</f>
        <v>48</v>
      </c>
      <c r="O200" s="19">
        <f>IF($D200=1,INDEX(TblClusters[RAM min (Go)],$B200),"")</f>
        <v>240</v>
      </c>
      <c r="P200" s="19">
        <f>IF($D200&lt;&gt;1,"",IF($G200="ROKS",SUMIFS(TblApplications[Besoin ROKS CPU (vCPU)],TblApplications[Cluster ROKS cible],$F200,TblApplications[Action],"À migrer",TblApplications[Déjà incluse ROKS],"Non",TblApplications[Mois prov (calc)],"&lt;="&amp;$E200),SUMIFS(TblApplications[CPU IKS libérable (vCPU)],TblApplications[Cluster IKS source],$F200,TblApplications[Mois lib (calc)],"&lt;="&amp;$E200)))</f>
        <v>0</v>
      </c>
      <c r="Q200" s="19">
        <f>IF($D200&lt;&gt;1,"",IF($G200="ROKS",SUMIFS(TblApplications[Besoin ROKS RAM (Go)],TblApplications[Cluster ROKS cible],$F200,TblApplications[Action],"À migrer",TblApplications[Déjà incluse ROKS],"Non",TblApplications[Mois prov (calc)],"&lt;="&amp;$E200),SUMIFS(TblApplications[RAM IKS libérable (Go)],TblApplications[Cluster IKS source],$F200,TblApplications[Mois lib (calc)],"&lt;="&amp;$E200)))</f>
        <v>0</v>
      </c>
      <c r="R200" s="19">
        <f t="shared" si="54"/>
        <v>48</v>
      </c>
      <c r="S200" s="19">
        <f t="shared" si="55"/>
        <v>240</v>
      </c>
      <c r="T200" s="19">
        <f t="shared" si="56"/>
        <v>6</v>
      </c>
      <c r="U200" s="19">
        <f t="shared" si="57"/>
        <v>48</v>
      </c>
      <c r="V200" s="19">
        <f t="shared" si="58"/>
        <v>240</v>
      </c>
      <c r="W200" s="73">
        <f t="shared" si="59"/>
        <v>2208</v>
      </c>
      <c r="X200" s="19">
        <f>IF($D200&lt;&gt;1,"",IF($G200="ROKS",$R200,IF($AI200=1,0,MAX($N200,$L200-SUMIFS(TblApplications[CPU IKS libérable (vCPU)],TblApplications[Cluster IKS source],$F200,TblApplications[Action],"À migrer",TblApplications[Mois prov (calc)],"&lt;="&amp;$E200)-SUMIFS(TblApplications[CPU IKS libérable (vCPU)],TblApplications[Cluster IKS source],$F200,TblApplications[Action],"À décommissionner",TblApplications[Mois lib (calc)],"&lt;="&amp;$E200)))))</f>
        <v>48</v>
      </c>
      <c r="Y200" s="19">
        <f>IF($D200&lt;&gt;1,"",IF($G200="ROKS",$S200,IF($AI200=1,0,MAX($O200,$M200-SUMIFS(TblApplications[RAM IKS libérable (Go)],TblApplications[Cluster IKS source],$F200,TblApplications[Action],"À migrer",TblApplications[Mois prov (calc)],"&lt;="&amp;$E200)-SUMIFS(TblApplications[RAM IKS libérable (Go)],TblApplications[Cluster IKS source],$F200,TblApplications[Action],"À décommissionner",TblApplications[Mois lib (calc)],"&lt;="&amp;$E200)))))</f>
        <v>240</v>
      </c>
      <c r="Z200" s="19">
        <f t="shared" si="60"/>
        <v>6</v>
      </c>
      <c r="AA200" s="73">
        <f t="shared" si="61"/>
        <v>2208</v>
      </c>
      <c r="AB200" s="19">
        <f t="shared" si="62"/>
        <v>6</v>
      </c>
      <c r="AC200" s="73">
        <f t="shared" si="63"/>
        <v>2208</v>
      </c>
      <c r="AD200" s="19">
        <f t="shared" si="64"/>
        <v>0</v>
      </c>
      <c r="AE200" s="19">
        <f t="shared" si="65"/>
        <v>0</v>
      </c>
      <c r="AF200" s="19" t="str">
        <f>IF($D200&lt;&gt;1,"",IF(INDEX(TblClusters[Environnement],$B200)="","(vide)",INDEX(TblClusters[Environnement],$B200)))</f>
        <v>PRD</v>
      </c>
      <c r="AG200" s="19">
        <f t="shared" si="66"/>
        <v>72</v>
      </c>
      <c r="AH200" s="19">
        <f t="shared" si="67"/>
        <v>30.666666666666668</v>
      </c>
      <c r="AI200" s="19">
        <f>IF($D200&lt;&gt;1,"",IF(AND($G200="IKS",ISNUMBER(INDEX(TblClusters[Fermeture retenue],$B200))),IF($E200&gt;=INDEX(TblClusters[Fermeture retenue],$B200),1,0),0))</f>
        <v>0</v>
      </c>
    </row>
    <row r="201" spans="1:35" x14ac:dyDescent="0.2">
      <c r="A201" s="19">
        <v>196</v>
      </c>
      <c r="B201" s="19">
        <f t="shared" si="51"/>
        <v>6</v>
      </c>
      <c r="C201" s="19">
        <f t="shared" si="52"/>
        <v>16</v>
      </c>
      <c r="D201" s="19">
        <f>IF($C201&gt;p_horizon,0,IFERROR(IF(AND(INDEX(TblClusters[Cluster],$B201)&lt;&gt;"",ISNUMBER(INDEX(TblClusters[CPU initial (vCPU)],$B201)),ISNUMBER(INDEX(TblClusters[CPU min (vCPU)],$B201)),OR(INDEX(TblClusters[Plateforme],$B201)="IKS",INDEX(TblClusters[Plateforme],$B201)="ROKS")),1,0),0))</f>
        <v>1</v>
      </c>
      <c r="E201" s="72">
        <f t="shared" si="53"/>
        <v>46753</v>
      </c>
      <c r="F201" s="19" t="str">
        <f>IF($D201=1,INDEX(TblClusters[Cluster],$B201),"")</f>
        <v>oc002i000850</v>
      </c>
      <c r="G201" s="19" t="str">
        <f>IF($D201=1,INDEX(TblClusters[Plateforme],$B201),"")</f>
        <v>ROKS</v>
      </c>
      <c r="H201" s="19">
        <f>IF($D201=1,INDEX(TblClusters[vCPU par nœud],$B201),"")</f>
        <v>8</v>
      </c>
      <c r="I201" s="19">
        <f>IF($D201=1,INDEX(TblClusters[RAM par nœud (Go)],$B201),"")</f>
        <v>40</v>
      </c>
      <c r="J201" s="19">
        <f>IF($D201=1,INDEX(TblClusters[Workers min],$B201),"")</f>
        <v>6</v>
      </c>
      <c r="K201" s="73">
        <f>IF($D201=1,INDEX(TblClusters[Tarif par nœud],$B201),"")</f>
        <v>368</v>
      </c>
      <c r="L201" s="19">
        <f>IF($D201=1,INDEX(TblClusters[CPU initial (vCPU)],$B201),"")</f>
        <v>48</v>
      </c>
      <c r="M201" s="19">
        <f>IF($D201=1,INDEX(TblClusters[RAM initiale (Go)],$B201),"")</f>
        <v>240</v>
      </c>
      <c r="N201" s="19">
        <f>IF($D201=1,INDEX(TblClusters[CPU min (vCPU)],$B201),"")</f>
        <v>48</v>
      </c>
      <c r="O201" s="19">
        <f>IF($D201=1,INDEX(TblClusters[RAM min (Go)],$B201),"")</f>
        <v>240</v>
      </c>
      <c r="P201" s="19">
        <f>IF($D201&lt;&gt;1,"",IF($G201="ROKS",SUMIFS(TblApplications[Besoin ROKS CPU (vCPU)],TblApplications[Cluster ROKS cible],$F201,TblApplications[Action],"À migrer",TblApplications[Déjà incluse ROKS],"Non",TblApplications[Mois prov (calc)],"&lt;="&amp;$E201),SUMIFS(TblApplications[CPU IKS libérable (vCPU)],TblApplications[Cluster IKS source],$F201,TblApplications[Mois lib (calc)],"&lt;="&amp;$E201)))</f>
        <v>0</v>
      </c>
      <c r="Q201" s="19">
        <f>IF($D201&lt;&gt;1,"",IF($G201="ROKS",SUMIFS(TblApplications[Besoin ROKS RAM (Go)],TblApplications[Cluster ROKS cible],$F201,TblApplications[Action],"À migrer",TblApplications[Déjà incluse ROKS],"Non",TblApplications[Mois prov (calc)],"&lt;="&amp;$E201),SUMIFS(TblApplications[RAM IKS libérable (Go)],TblApplications[Cluster IKS source],$F201,TblApplications[Mois lib (calc)],"&lt;="&amp;$E201)))</f>
        <v>0</v>
      </c>
      <c r="R201" s="19">
        <f t="shared" si="54"/>
        <v>48</v>
      </c>
      <c r="S201" s="19">
        <f t="shared" si="55"/>
        <v>240</v>
      </c>
      <c r="T201" s="19">
        <f t="shared" si="56"/>
        <v>6</v>
      </c>
      <c r="U201" s="19">
        <f t="shared" si="57"/>
        <v>48</v>
      </c>
      <c r="V201" s="19">
        <f t="shared" si="58"/>
        <v>240</v>
      </c>
      <c r="W201" s="73">
        <f t="shared" si="59"/>
        <v>2208</v>
      </c>
      <c r="X201" s="19">
        <f>IF($D201&lt;&gt;1,"",IF($G201="ROKS",$R201,IF($AI201=1,0,MAX($N201,$L201-SUMIFS(TblApplications[CPU IKS libérable (vCPU)],TblApplications[Cluster IKS source],$F201,TblApplications[Action],"À migrer",TblApplications[Mois prov (calc)],"&lt;="&amp;$E201)-SUMIFS(TblApplications[CPU IKS libérable (vCPU)],TblApplications[Cluster IKS source],$F201,TblApplications[Action],"À décommissionner",TblApplications[Mois lib (calc)],"&lt;="&amp;$E201)))))</f>
        <v>48</v>
      </c>
      <c r="Y201" s="19">
        <f>IF($D201&lt;&gt;1,"",IF($G201="ROKS",$S201,IF($AI201=1,0,MAX($O201,$M201-SUMIFS(TblApplications[RAM IKS libérable (Go)],TblApplications[Cluster IKS source],$F201,TblApplications[Action],"À migrer",TblApplications[Mois prov (calc)],"&lt;="&amp;$E201)-SUMIFS(TblApplications[RAM IKS libérable (Go)],TblApplications[Cluster IKS source],$F201,TblApplications[Action],"À décommissionner",TblApplications[Mois lib (calc)],"&lt;="&amp;$E201)))))</f>
        <v>240</v>
      </c>
      <c r="Z201" s="19">
        <f t="shared" si="60"/>
        <v>6</v>
      </c>
      <c r="AA201" s="73">
        <f t="shared" si="61"/>
        <v>2208</v>
      </c>
      <c r="AB201" s="19">
        <f t="shared" si="62"/>
        <v>6</v>
      </c>
      <c r="AC201" s="73">
        <f t="shared" si="63"/>
        <v>2208</v>
      </c>
      <c r="AD201" s="19">
        <f t="shared" si="64"/>
        <v>0</v>
      </c>
      <c r="AE201" s="19">
        <f t="shared" si="65"/>
        <v>0</v>
      </c>
      <c r="AF201" s="19" t="str">
        <f>IF($D201&lt;&gt;1,"",IF(INDEX(TblClusters[Environnement],$B201)="","(vide)",INDEX(TblClusters[Environnement],$B201)))</f>
        <v>PRD</v>
      </c>
      <c r="AG201" s="19">
        <f t="shared" si="66"/>
        <v>72</v>
      </c>
      <c r="AH201" s="19">
        <f t="shared" si="67"/>
        <v>30.666666666666668</v>
      </c>
      <c r="AI201" s="19">
        <f>IF($D201&lt;&gt;1,"",IF(AND($G201="IKS",ISNUMBER(INDEX(TblClusters[Fermeture retenue],$B201))),IF($E201&gt;=INDEX(TblClusters[Fermeture retenue],$B201),1,0),0))</f>
        <v>0</v>
      </c>
    </row>
    <row r="202" spans="1:35" x14ac:dyDescent="0.2">
      <c r="A202" s="19">
        <v>197</v>
      </c>
      <c r="B202" s="19">
        <f t="shared" si="51"/>
        <v>6</v>
      </c>
      <c r="C202" s="19">
        <f t="shared" si="52"/>
        <v>17</v>
      </c>
      <c r="D202" s="19">
        <f>IF($C202&gt;p_horizon,0,IFERROR(IF(AND(INDEX(TblClusters[Cluster],$B202)&lt;&gt;"",ISNUMBER(INDEX(TblClusters[CPU initial (vCPU)],$B202)),ISNUMBER(INDEX(TblClusters[CPU min (vCPU)],$B202)),OR(INDEX(TblClusters[Plateforme],$B202)="IKS",INDEX(TblClusters[Plateforme],$B202)="ROKS")),1,0),0))</f>
        <v>1</v>
      </c>
      <c r="E202" s="72">
        <f t="shared" si="53"/>
        <v>46784</v>
      </c>
      <c r="F202" s="19" t="str">
        <f>IF($D202=1,INDEX(TblClusters[Cluster],$B202),"")</f>
        <v>oc002i000850</v>
      </c>
      <c r="G202" s="19" t="str">
        <f>IF($D202=1,INDEX(TblClusters[Plateforme],$B202),"")</f>
        <v>ROKS</v>
      </c>
      <c r="H202" s="19">
        <f>IF($D202=1,INDEX(TblClusters[vCPU par nœud],$B202),"")</f>
        <v>8</v>
      </c>
      <c r="I202" s="19">
        <f>IF($D202=1,INDEX(TblClusters[RAM par nœud (Go)],$B202),"")</f>
        <v>40</v>
      </c>
      <c r="J202" s="19">
        <f>IF($D202=1,INDEX(TblClusters[Workers min],$B202),"")</f>
        <v>6</v>
      </c>
      <c r="K202" s="73">
        <f>IF($D202=1,INDEX(TblClusters[Tarif par nœud],$B202),"")</f>
        <v>368</v>
      </c>
      <c r="L202" s="19">
        <f>IF($D202=1,INDEX(TblClusters[CPU initial (vCPU)],$B202),"")</f>
        <v>48</v>
      </c>
      <c r="M202" s="19">
        <f>IF($D202=1,INDEX(TblClusters[RAM initiale (Go)],$B202),"")</f>
        <v>240</v>
      </c>
      <c r="N202" s="19">
        <f>IF($D202=1,INDEX(TblClusters[CPU min (vCPU)],$B202),"")</f>
        <v>48</v>
      </c>
      <c r="O202" s="19">
        <f>IF($D202=1,INDEX(TblClusters[RAM min (Go)],$B202),"")</f>
        <v>240</v>
      </c>
      <c r="P202" s="19">
        <f>IF($D202&lt;&gt;1,"",IF($G202="ROKS",SUMIFS(TblApplications[Besoin ROKS CPU (vCPU)],TblApplications[Cluster ROKS cible],$F202,TblApplications[Action],"À migrer",TblApplications[Déjà incluse ROKS],"Non",TblApplications[Mois prov (calc)],"&lt;="&amp;$E202),SUMIFS(TblApplications[CPU IKS libérable (vCPU)],TblApplications[Cluster IKS source],$F202,TblApplications[Mois lib (calc)],"&lt;="&amp;$E202)))</f>
        <v>0</v>
      </c>
      <c r="Q202" s="19">
        <f>IF($D202&lt;&gt;1,"",IF($G202="ROKS",SUMIFS(TblApplications[Besoin ROKS RAM (Go)],TblApplications[Cluster ROKS cible],$F202,TblApplications[Action],"À migrer",TblApplications[Déjà incluse ROKS],"Non",TblApplications[Mois prov (calc)],"&lt;="&amp;$E202),SUMIFS(TblApplications[RAM IKS libérable (Go)],TblApplications[Cluster IKS source],$F202,TblApplications[Mois lib (calc)],"&lt;="&amp;$E202)))</f>
        <v>0</v>
      </c>
      <c r="R202" s="19">
        <f t="shared" si="54"/>
        <v>48</v>
      </c>
      <c r="S202" s="19">
        <f t="shared" si="55"/>
        <v>240</v>
      </c>
      <c r="T202" s="19">
        <f t="shared" si="56"/>
        <v>6</v>
      </c>
      <c r="U202" s="19">
        <f t="shared" si="57"/>
        <v>48</v>
      </c>
      <c r="V202" s="19">
        <f t="shared" si="58"/>
        <v>240</v>
      </c>
      <c r="W202" s="73">
        <f t="shared" si="59"/>
        <v>2208</v>
      </c>
      <c r="X202" s="19">
        <f>IF($D202&lt;&gt;1,"",IF($G202="ROKS",$R202,IF($AI202=1,0,MAX($N202,$L202-SUMIFS(TblApplications[CPU IKS libérable (vCPU)],TblApplications[Cluster IKS source],$F202,TblApplications[Action],"À migrer",TblApplications[Mois prov (calc)],"&lt;="&amp;$E202)-SUMIFS(TblApplications[CPU IKS libérable (vCPU)],TblApplications[Cluster IKS source],$F202,TblApplications[Action],"À décommissionner",TblApplications[Mois lib (calc)],"&lt;="&amp;$E202)))))</f>
        <v>48</v>
      </c>
      <c r="Y202" s="19">
        <f>IF($D202&lt;&gt;1,"",IF($G202="ROKS",$S202,IF($AI202=1,0,MAX($O202,$M202-SUMIFS(TblApplications[RAM IKS libérable (Go)],TblApplications[Cluster IKS source],$F202,TblApplications[Action],"À migrer",TblApplications[Mois prov (calc)],"&lt;="&amp;$E202)-SUMIFS(TblApplications[RAM IKS libérable (Go)],TblApplications[Cluster IKS source],$F202,TblApplications[Action],"À décommissionner",TblApplications[Mois lib (calc)],"&lt;="&amp;$E202)))))</f>
        <v>240</v>
      </c>
      <c r="Z202" s="19">
        <f t="shared" si="60"/>
        <v>6</v>
      </c>
      <c r="AA202" s="73">
        <f t="shared" si="61"/>
        <v>2208</v>
      </c>
      <c r="AB202" s="19">
        <f t="shared" si="62"/>
        <v>6</v>
      </c>
      <c r="AC202" s="73">
        <f t="shared" si="63"/>
        <v>2208</v>
      </c>
      <c r="AD202" s="19">
        <f t="shared" si="64"/>
        <v>0</v>
      </c>
      <c r="AE202" s="19">
        <f t="shared" si="65"/>
        <v>0</v>
      </c>
      <c r="AF202" s="19" t="str">
        <f>IF($D202&lt;&gt;1,"",IF(INDEX(TblClusters[Environnement],$B202)="","(vide)",INDEX(TblClusters[Environnement],$B202)))</f>
        <v>PRD</v>
      </c>
      <c r="AG202" s="19">
        <f t="shared" si="66"/>
        <v>72</v>
      </c>
      <c r="AH202" s="19">
        <f t="shared" si="67"/>
        <v>30.666666666666668</v>
      </c>
      <c r="AI202" s="19">
        <f>IF($D202&lt;&gt;1,"",IF(AND($G202="IKS",ISNUMBER(INDEX(TblClusters[Fermeture retenue],$B202))),IF($E202&gt;=INDEX(TblClusters[Fermeture retenue],$B202),1,0),0))</f>
        <v>0</v>
      </c>
    </row>
    <row r="203" spans="1:35" x14ac:dyDescent="0.2">
      <c r="A203" s="19">
        <v>198</v>
      </c>
      <c r="B203" s="19">
        <f t="shared" si="51"/>
        <v>6</v>
      </c>
      <c r="C203" s="19">
        <f t="shared" si="52"/>
        <v>18</v>
      </c>
      <c r="D203" s="19">
        <f>IF($C203&gt;p_horizon,0,IFERROR(IF(AND(INDEX(TblClusters[Cluster],$B203)&lt;&gt;"",ISNUMBER(INDEX(TblClusters[CPU initial (vCPU)],$B203)),ISNUMBER(INDEX(TblClusters[CPU min (vCPU)],$B203)),OR(INDEX(TblClusters[Plateforme],$B203)="IKS",INDEX(TblClusters[Plateforme],$B203)="ROKS")),1,0),0))</f>
        <v>1</v>
      </c>
      <c r="E203" s="72">
        <f t="shared" si="53"/>
        <v>46813</v>
      </c>
      <c r="F203" s="19" t="str">
        <f>IF($D203=1,INDEX(TblClusters[Cluster],$B203),"")</f>
        <v>oc002i000850</v>
      </c>
      <c r="G203" s="19" t="str">
        <f>IF($D203=1,INDEX(TblClusters[Plateforme],$B203),"")</f>
        <v>ROKS</v>
      </c>
      <c r="H203" s="19">
        <f>IF($D203=1,INDEX(TblClusters[vCPU par nœud],$B203),"")</f>
        <v>8</v>
      </c>
      <c r="I203" s="19">
        <f>IF($D203=1,INDEX(TblClusters[RAM par nœud (Go)],$B203),"")</f>
        <v>40</v>
      </c>
      <c r="J203" s="19">
        <f>IF($D203=1,INDEX(TblClusters[Workers min],$B203),"")</f>
        <v>6</v>
      </c>
      <c r="K203" s="73">
        <f>IF($D203=1,INDEX(TblClusters[Tarif par nœud],$B203),"")</f>
        <v>368</v>
      </c>
      <c r="L203" s="19">
        <f>IF($D203=1,INDEX(TblClusters[CPU initial (vCPU)],$B203),"")</f>
        <v>48</v>
      </c>
      <c r="M203" s="19">
        <f>IF($D203=1,INDEX(TblClusters[RAM initiale (Go)],$B203),"")</f>
        <v>240</v>
      </c>
      <c r="N203" s="19">
        <f>IF($D203=1,INDEX(TblClusters[CPU min (vCPU)],$B203),"")</f>
        <v>48</v>
      </c>
      <c r="O203" s="19">
        <f>IF($D203=1,INDEX(TblClusters[RAM min (Go)],$B203),"")</f>
        <v>240</v>
      </c>
      <c r="P203" s="19">
        <f>IF($D203&lt;&gt;1,"",IF($G203="ROKS",SUMIFS(TblApplications[Besoin ROKS CPU (vCPU)],TblApplications[Cluster ROKS cible],$F203,TblApplications[Action],"À migrer",TblApplications[Déjà incluse ROKS],"Non",TblApplications[Mois prov (calc)],"&lt;="&amp;$E203),SUMIFS(TblApplications[CPU IKS libérable (vCPU)],TblApplications[Cluster IKS source],$F203,TblApplications[Mois lib (calc)],"&lt;="&amp;$E203)))</f>
        <v>0</v>
      </c>
      <c r="Q203" s="19">
        <f>IF($D203&lt;&gt;1,"",IF($G203="ROKS",SUMIFS(TblApplications[Besoin ROKS RAM (Go)],TblApplications[Cluster ROKS cible],$F203,TblApplications[Action],"À migrer",TblApplications[Déjà incluse ROKS],"Non",TblApplications[Mois prov (calc)],"&lt;="&amp;$E203),SUMIFS(TblApplications[RAM IKS libérable (Go)],TblApplications[Cluster IKS source],$F203,TblApplications[Mois lib (calc)],"&lt;="&amp;$E203)))</f>
        <v>0</v>
      </c>
      <c r="R203" s="19">
        <f t="shared" si="54"/>
        <v>48</v>
      </c>
      <c r="S203" s="19">
        <f t="shared" si="55"/>
        <v>240</v>
      </c>
      <c r="T203" s="19">
        <f t="shared" si="56"/>
        <v>6</v>
      </c>
      <c r="U203" s="19">
        <f t="shared" si="57"/>
        <v>48</v>
      </c>
      <c r="V203" s="19">
        <f t="shared" si="58"/>
        <v>240</v>
      </c>
      <c r="W203" s="73">
        <f t="shared" si="59"/>
        <v>2208</v>
      </c>
      <c r="X203" s="19">
        <f>IF($D203&lt;&gt;1,"",IF($G203="ROKS",$R203,IF($AI203=1,0,MAX($N203,$L203-SUMIFS(TblApplications[CPU IKS libérable (vCPU)],TblApplications[Cluster IKS source],$F203,TblApplications[Action],"À migrer",TblApplications[Mois prov (calc)],"&lt;="&amp;$E203)-SUMIFS(TblApplications[CPU IKS libérable (vCPU)],TblApplications[Cluster IKS source],$F203,TblApplications[Action],"À décommissionner",TblApplications[Mois lib (calc)],"&lt;="&amp;$E203)))))</f>
        <v>48</v>
      </c>
      <c r="Y203" s="19">
        <f>IF($D203&lt;&gt;1,"",IF($G203="ROKS",$S203,IF($AI203=1,0,MAX($O203,$M203-SUMIFS(TblApplications[RAM IKS libérable (Go)],TblApplications[Cluster IKS source],$F203,TblApplications[Action],"À migrer",TblApplications[Mois prov (calc)],"&lt;="&amp;$E203)-SUMIFS(TblApplications[RAM IKS libérable (Go)],TblApplications[Cluster IKS source],$F203,TblApplications[Action],"À décommissionner",TblApplications[Mois lib (calc)],"&lt;="&amp;$E203)))))</f>
        <v>240</v>
      </c>
      <c r="Z203" s="19">
        <f t="shared" si="60"/>
        <v>6</v>
      </c>
      <c r="AA203" s="73">
        <f t="shared" si="61"/>
        <v>2208</v>
      </c>
      <c r="AB203" s="19">
        <f t="shared" si="62"/>
        <v>6</v>
      </c>
      <c r="AC203" s="73">
        <f t="shared" si="63"/>
        <v>2208</v>
      </c>
      <c r="AD203" s="19">
        <f t="shared" si="64"/>
        <v>0</v>
      </c>
      <c r="AE203" s="19">
        <f t="shared" si="65"/>
        <v>0</v>
      </c>
      <c r="AF203" s="19" t="str">
        <f>IF($D203&lt;&gt;1,"",IF(INDEX(TblClusters[Environnement],$B203)="","(vide)",INDEX(TblClusters[Environnement],$B203)))</f>
        <v>PRD</v>
      </c>
      <c r="AG203" s="19">
        <f t="shared" si="66"/>
        <v>72</v>
      </c>
      <c r="AH203" s="19">
        <f t="shared" si="67"/>
        <v>30.666666666666668</v>
      </c>
      <c r="AI203" s="19">
        <f>IF($D203&lt;&gt;1,"",IF(AND($G203="IKS",ISNUMBER(INDEX(TblClusters[Fermeture retenue],$B203))),IF($E203&gt;=INDEX(TblClusters[Fermeture retenue],$B203),1,0),0))</f>
        <v>0</v>
      </c>
    </row>
    <row r="204" spans="1:35" x14ac:dyDescent="0.2">
      <c r="A204" s="19">
        <v>199</v>
      </c>
      <c r="B204" s="19">
        <f t="shared" si="51"/>
        <v>6</v>
      </c>
      <c r="C204" s="19">
        <f t="shared" si="52"/>
        <v>19</v>
      </c>
      <c r="D204" s="19">
        <f>IF($C204&gt;p_horizon,0,IFERROR(IF(AND(INDEX(TblClusters[Cluster],$B204)&lt;&gt;"",ISNUMBER(INDEX(TblClusters[CPU initial (vCPU)],$B204)),ISNUMBER(INDEX(TblClusters[CPU min (vCPU)],$B204)),OR(INDEX(TblClusters[Plateforme],$B204)="IKS",INDEX(TblClusters[Plateforme],$B204)="ROKS")),1,0),0))</f>
        <v>1</v>
      </c>
      <c r="E204" s="72">
        <f t="shared" si="53"/>
        <v>46844</v>
      </c>
      <c r="F204" s="19" t="str">
        <f>IF($D204=1,INDEX(TblClusters[Cluster],$B204),"")</f>
        <v>oc002i000850</v>
      </c>
      <c r="G204" s="19" t="str">
        <f>IF($D204=1,INDEX(TblClusters[Plateforme],$B204),"")</f>
        <v>ROKS</v>
      </c>
      <c r="H204" s="19">
        <f>IF($D204=1,INDEX(TblClusters[vCPU par nœud],$B204),"")</f>
        <v>8</v>
      </c>
      <c r="I204" s="19">
        <f>IF($D204=1,INDEX(TblClusters[RAM par nœud (Go)],$B204),"")</f>
        <v>40</v>
      </c>
      <c r="J204" s="19">
        <f>IF($D204=1,INDEX(TblClusters[Workers min],$B204),"")</f>
        <v>6</v>
      </c>
      <c r="K204" s="73">
        <f>IF($D204=1,INDEX(TblClusters[Tarif par nœud],$B204),"")</f>
        <v>368</v>
      </c>
      <c r="L204" s="19">
        <f>IF($D204=1,INDEX(TblClusters[CPU initial (vCPU)],$B204),"")</f>
        <v>48</v>
      </c>
      <c r="M204" s="19">
        <f>IF($D204=1,INDEX(TblClusters[RAM initiale (Go)],$B204),"")</f>
        <v>240</v>
      </c>
      <c r="N204" s="19">
        <f>IF($D204=1,INDEX(TblClusters[CPU min (vCPU)],$B204),"")</f>
        <v>48</v>
      </c>
      <c r="O204" s="19">
        <f>IF($D204=1,INDEX(TblClusters[RAM min (Go)],$B204),"")</f>
        <v>240</v>
      </c>
      <c r="P204" s="19">
        <f>IF($D204&lt;&gt;1,"",IF($G204="ROKS",SUMIFS(TblApplications[Besoin ROKS CPU (vCPU)],TblApplications[Cluster ROKS cible],$F204,TblApplications[Action],"À migrer",TblApplications[Déjà incluse ROKS],"Non",TblApplications[Mois prov (calc)],"&lt;="&amp;$E204),SUMIFS(TblApplications[CPU IKS libérable (vCPU)],TblApplications[Cluster IKS source],$F204,TblApplications[Mois lib (calc)],"&lt;="&amp;$E204)))</f>
        <v>0</v>
      </c>
      <c r="Q204" s="19">
        <f>IF($D204&lt;&gt;1,"",IF($G204="ROKS",SUMIFS(TblApplications[Besoin ROKS RAM (Go)],TblApplications[Cluster ROKS cible],$F204,TblApplications[Action],"À migrer",TblApplications[Déjà incluse ROKS],"Non",TblApplications[Mois prov (calc)],"&lt;="&amp;$E204),SUMIFS(TblApplications[RAM IKS libérable (Go)],TblApplications[Cluster IKS source],$F204,TblApplications[Mois lib (calc)],"&lt;="&amp;$E204)))</f>
        <v>0</v>
      </c>
      <c r="R204" s="19">
        <f t="shared" si="54"/>
        <v>48</v>
      </c>
      <c r="S204" s="19">
        <f t="shared" si="55"/>
        <v>240</v>
      </c>
      <c r="T204" s="19">
        <f t="shared" si="56"/>
        <v>6</v>
      </c>
      <c r="U204" s="19">
        <f t="shared" si="57"/>
        <v>48</v>
      </c>
      <c r="V204" s="19">
        <f t="shared" si="58"/>
        <v>240</v>
      </c>
      <c r="W204" s="73">
        <f t="shared" si="59"/>
        <v>2208</v>
      </c>
      <c r="X204" s="19">
        <f>IF($D204&lt;&gt;1,"",IF($G204="ROKS",$R204,IF($AI204=1,0,MAX($N204,$L204-SUMIFS(TblApplications[CPU IKS libérable (vCPU)],TblApplications[Cluster IKS source],$F204,TblApplications[Action],"À migrer",TblApplications[Mois prov (calc)],"&lt;="&amp;$E204)-SUMIFS(TblApplications[CPU IKS libérable (vCPU)],TblApplications[Cluster IKS source],$F204,TblApplications[Action],"À décommissionner",TblApplications[Mois lib (calc)],"&lt;="&amp;$E204)))))</f>
        <v>48</v>
      </c>
      <c r="Y204" s="19">
        <f>IF($D204&lt;&gt;1,"",IF($G204="ROKS",$S204,IF($AI204=1,0,MAX($O204,$M204-SUMIFS(TblApplications[RAM IKS libérable (Go)],TblApplications[Cluster IKS source],$F204,TblApplications[Action],"À migrer",TblApplications[Mois prov (calc)],"&lt;="&amp;$E204)-SUMIFS(TblApplications[RAM IKS libérable (Go)],TblApplications[Cluster IKS source],$F204,TblApplications[Action],"À décommissionner",TblApplications[Mois lib (calc)],"&lt;="&amp;$E204)))))</f>
        <v>240</v>
      </c>
      <c r="Z204" s="19">
        <f t="shared" si="60"/>
        <v>6</v>
      </c>
      <c r="AA204" s="73">
        <f t="shared" si="61"/>
        <v>2208</v>
      </c>
      <c r="AB204" s="19">
        <f t="shared" si="62"/>
        <v>6</v>
      </c>
      <c r="AC204" s="73">
        <f t="shared" si="63"/>
        <v>2208</v>
      </c>
      <c r="AD204" s="19">
        <f t="shared" si="64"/>
        <v>0</v>
      </c>
      <c r="AE204" s="19">
        <f t="shared" si="65"/>
        <v>0</v>
      </c>
      <c r="AF204" s="19" t="str">
        <f>IF($D204&lt;&gt;1,"",IF(INDEX(TblClusters[Environnement],$B204)="","(vide)",INDEX(TblClusters[Environnement],$B204)))</f>
        <v>PRD</v>
      </c>
      <c r="AG204" s="19">
        <f t="shared" si="66"/>
        <v>72</v>
      </c>
      <c r="AH204" s="19">
        <f t="shared" si="67"/>
        <v>30.666666666666668</v>
      </c>
      <c r="AI204" s="19">
        <f>IF($D204&lt;&gt;1,"",IF(AND($G204="IKS",ISNUMBER(INDEX(TblClusters[Fermeture retenue],$B204))),IF($E204&gt;=INDEX(TblClusters[Fermeture retenue],$B204),1,0),0))</f>
        <v>0</v>
      </c>
    </row>
    <row r="205" spans="1:35" x14ac:dyDescent="0.2">
      <c r="A205" s="19">
        <v>200</v>
      </c>
      <c r="B205" s="19">
        <f t="shared" si="51"/>
        <v>6</v>
      </c>
      <c r="C205" s="19">
        <f t="shared" si="52"/>
        <v>20</v>
      </c>
      <c r="D205" s="19">
        <f>IF($C205&gt;p_horizon,0,IFERROR(IF(AND(INDEX(TblClusters[Cluster],$B205)&lt;&gt;"",ISNUMBER(INDEX(TblClusters[CPU initial (vCPU)],$B205)),ISNUMBER(INDEX(TblClusters[CPU min (vCPU)],$B205)),OR(INDEX(TblClusters[Plateforme],$B205)="IKS",INDEX(TblClusters[Plateforme],$B205)="ROKS")),1,0),0))</f>
        <v>1</v>
      </c>
      <c r="E205" s="72">
        <f t="shared" si="53"/>
        <v>46874</v>
      </c>
      <c r="F205" s="19" t="str">
        <f>IF($D205=1,INDEX(TblClusters[Cluster],$B205),"")</f>
        <v>oc002i000850</v>
      </c>
      <c r="G205" s="19" t="str">
        <f>IF($D205=1,INDEX(TblClusters[Plateforme],$B205),"")</f>
        <v>ROKS</v>
      </c>
      <c r="H205" s="19">
        <f>IF($D205=1,INDEX(TblClusters[vCPU par nœud],$B205),"")</f>
        <v>8</v>
      </c>
      <c r="I205" s="19">
        <f>IF($D205=1,INDEX(TblClusters[RAM par nœud (Go)],$B205),"")</f>
        <v>40</v>
      </c>
      <c r="J205" s="19">
        <f>IF($D205=1,INDEX(TblClusters[Workers min],$B205),"")</f>
        <v>6</v>
      </c>
      <c r="K205" s="73">
        <f>IF($D205=1,INDEX(TblClusters[Tarif par nœud],$B205),"")</f>
        <v>368</v>
      </c>
      <c r="L205" s="19">
        <f>IF($D205=1,INDEX(TblClusters[CPU initial (vCPU)],$B205),"")</f>
        <v>48</v>
      </c>
      <c r="M205" s="19">
        <f>IF($D205=1,INDEX(TblClusters[RAM initiale (Go)],$B205),"")</f>
        <v>240</v>
      </c>
      <c r="N205" s="19">
        <f>IF($D205=1,INDEX(TblClusters[CPU min (vCPU)],$B205),"")</f>
        <v>48</v>
      </c>
      <c r="O205" s="19">
        <f>IF($D205=1,INDEX(TblClusters[RAM min (Go)],$B205),"")</f>
        <v>240</v>
      </c>
      <c r="P205" s="19">
        <f>IF($D205&lt;&gt;1,"",IF($G205="ROKS",SUMIFS(TblApplications[Besoin ROKS CPU (vCPU)],TblApplications[Cluster ROKS cible],$F205,TblApplications[Action],"À migrer",TblApplications[Déjà incluse ROKS],"Non",TblApplications[Mois prov (calc)],"&lt;="&amp;$E205),SUMIFS(TblApplications[CPU IKS libérable (vCPU)],TblApplications[Cluster IKS source],$F205,TblApplications[Mois lib (calc)],"&lt;="&amp;$E205)))</f>
        <v>0</v>
      </c>
      <c r="Q205" s="19">
        <f>IF($D205&lt;&gt;1,"",IF($G205="ROKS",SUMIFS(TblApplications[Besoin ROKS RAM (Go)],TblApplications[Cluster ROKS cible],$F205,TblApplications[Action],"À migrer",TblApplications[Déjà incluse ROKS],"Non",TblApplications[Mois prov (calc)],"&lt;="&amp;$E205),SUMIFS(TblApplications[RAM IKS libérable (Go)],TblApplications[Cluster IKS source],$F205,TblApplications[Mois lib (calc)],"&lt;="&amp;$E205)))</f>
        <v>0</v>
      </c>
      <c r="R205" s="19">
        <f t="shared" si="54"/>
        <v>48</v>
      </c>
      <c r="S205" s="19">
        <f t="shared" si="55"/>
        <v>240</v>
      </c>
      <c r="T205" s="19">
        <f t="shared" si="56"/>
        <v>6</v>
      </c>
      <c r="U205" s="19">
        <f t="shared" si="57"/>
        <v>48</v>
      </c>
      <c r="V205" s="19">
        <f t="shared" si="58"/>
        <v>240</v>
      </c>
      <c r="W205" s="73">
        <f t="shared" si="59"/>
        <v>2208</v>
      </c>
      <c r="X205" s="19">
        <f>IF($D205&lt;&gt;1,"",IF($G205="ROKS",$R205,IF($AI205=1,0,MAX($N205,$L205-SUMIFS(TblApplications[CPU IKS libérable (vCPU)],TblApplications[Cluster IKS source],$F205,TblApplications[Action],"À migrer",TblApplications[Mois prov (calc)],"&lt;="&amp;$E205)-SUMIFS(TblApplications[CPU IKS libérable (vCPU)],TblApplications[Cluster IKS source],$F205,TblApplications[Action],"À décommissionner",TblApplications[Mois lib (calc)],"&lt;="&amp;$E205)))))</f>
        <v>48</v>
      </c>
      <c r="Y205" s="19">
        <f>IF($D205&lt;&gt;1,"",IF($G205="ROKS",$S205,IF($AI205=1,0,MAX($O205,$M205-SUMIFS(TblApplications[RAM IKS libérable (Go)],TblApplications[Cluster IKS source],$F205,TblApplications[Action],"À migrer",TblApplications[Mois prov (calc)],"&lt;="&amp;$E205)-SUMIFS(TblApplications[RAM IKS libérable (Go)],TblApplications[Cluster IKS source],$F205,TblApplications[Action],"À décommissionner",TblApplications[Mois lib (calc)],"&lt;="&amp;$E205)))))</f>
        <v>240</v>
      </c>
      <c r="Z205" s="19">
        <f t="shared" si="60"/>
        <v>6</v>
      </c>
      <c r="AA205" s="73">
        <f t="shared" si="61"/>
        <v>2208</v>
      </c>
      <c r="AB205" s="19">
        <f t="shared" si="62"/>
        <v>6</v>
      </c>
      <c r="AC205" s="73">
        <f t="shared" si="63"/>
        <v>2208</v>
      </c>
      <c r="AD205" s="19">
        <f t="shared" si="64"/>
        <v>0</v>
      </c>
      <c r="AE205" s="19">
        <f t="shared" si="65"/>
        <v>0</v>
      </c>
      <c r="AF205" s="19" t="str">
        <f>IF($D205&lt;&gt;1,"",IF(INDEX(TblClusters[Environnement],$B205)="","(vide)",INDEX(TblClusters[Environnement],$B205)))</f>
        <v>PRD</v>
      </c>
      <c r="AG205" s="19">
        <f t="shared" si="66"/>
        <v>72</v>
      </c>
      <c r="AH205" s="19">
        <f t="shared" si="67"/>
        <v>30.666666666666668</v>
      </c>
      <c r="AI205" s="19">
        <f>IF($D205&lt;&gt;1,"",IF(AND($G205="IKS",ISNUMBER(INDEX(TblClusters[Fermeture retenue],$B205))),IF($E205&gt;=INDEX(TblClusters[Fermeture retenue],$B205),1,0),0))</f>
        <v>0</v>
      </c>
    </row>
    <row r="206" spans="1:35" x14ac:dyDescent="0.2">
      <c r="A206" s="19">
        <v>201</v>
      </c>
      <c r="B206" s="19">
        <f t="shared" si="51"/>
        <v>6</v>
      </c>
      <c r="C206" s="19">
        <f t="shared" si="52"/>
        <v>21</v>
      </c>
      <c r="D206" s="19">
        <f>IF($C206&gt;p_horizon,0,IFERROR(IF(AND(INDEX(TblClusters[Cluster],$B206)&lt;&gt;"",ISNUMBER(INDEX(TblClusters[CPU initial (vCPU)],$B206)),ISNUMBER(INDEX(TblClusters[CPU min (vCPU)],$B206)),OR(INDEX(TblClusters[Plateforme],$B206)="IKS",INDEX(TblClusters[Plateforme],$B206)="ROKS")),1,0),0))</f>
        <v>1</v>
      </c>
      <c r="E206" s="72">
        <f t="shared" si="53"/>
        <v>46905</v>
      </c>
      <c r="F206" s="19" t="str">
        <f>IF($D206=1,INDEX(TblClusters[Cluster],$B206),"")</f>
        <v>oc002i000850</v>
      </c>
      <c r="G206" s="19" t="str">
        <f>IF($D206=1,INDEX(TblClusters[Plateforme],$B206),"")</f>
        <v>ROKS</v>
      </c>
      <c r="H206" s="19">
        <f>IF($D206=1,INDEX(TblClusters[vCPU par nœud],$B206),"")</f>
        <v>8</v>
      </c>
      <c r="I206" s="19">
        <f>IF($D206=1,INDEX(TblClusters[RAM par nœud (Go)],$B206),"")</f>
        <v>40</v>
      </c>
      <c r="J206" s="19">
        <f>IF($D206=1,INDEX(TblClusters[Workers min],$B206),"")</f>
        <v>6</v>
      </c>
      <c r="K206" s="73">
        <f>IF($D206=1,INDEX(TblClusters[Tarif par nœud],$B206),"")</f>
        <v>368</v>
      </c>
      <c r="L206" s="19">
        <f>IF($D206=1,INDEX(TblClusters[CPU initial (vCPU)],$B206),"")</f>
        <v>48</v>
      </c>
      <c r="M206" s="19">
        <f>IF($D206=1,INDEX(TblClusters[RAM initiale (Go)],$B206),"")</f>
        <v>240</v>
      </c>
      <c r="N206" s="19">
        <f>IF($D206=1,INDEX(TblClusters[CPU min (vCPU)],$B206),"")</f>
        <v>48</v>
      </c>
      <c r="O206" s="19">
        <f>IF($D206=1,INDEX(TblClusters[RAM min (Go)],$B206),"")</f>
        <v>240</v>
      </c>
      <c r="P206" s="19">
        <f>IF($D206&lt;&gt;1,"",IF($G206="ROKS",SUMIFS(TblApplications[Besoin ROKS CPU (vCPU)],TblApplications[Cluster ROKS cible],$F206,TblApplications[Action],"À migrer",TblApplications[Déjà incluse ROKS],"Non",TblApplications[Mois prov (calc)],"&lt;="&amp;$E206),SUMIFS(TblApplications[CPU IKS libérable (vCPU)],TblApplications[Cluster IKS source],$F206,TblApplications[Mois lib (calc)],"&lt;="&amp;$E206)))</f>
        <v>0</v>
      </c>
      <c r="Q206" s="19">
        <f>IF($D206&lt;&gt;1,"",IF($G206="ROKS",SUMIFS(TblApplications[Besoin ROKS RAM (Go)],TblApplications[Cluster ROKS cible],$F206,TblApplications[Action],"À migrer",TblApplications[Déjà incluse ROKS],"Non",TblApplications[Mois prov (calc)],"&lt;="&amp;$E206),SUMIFS(TblApplications[RAM IKS libérable (Go)],TblApplications[Cluster IKS source],$F206,TblApplications[Mois lib (calc)],"&lt;="&amp;$E206)))</f>
        <v>0</v>
      </c>
      <c r="R206" s="19">
        <f t="shared" si="54"/>
        <v>48</v>
      </c>
      <c r="S206" s="19">
        <f t="shared" si="55"/>
        <v>240</v>
      </c>
      <c r="T206" s="19">
        <f t="shared" si="56"/>
        <v>6</v>
      </c>
      <c r="U206" s="19">
        <f t="shared" si="57"/>
        <v>48</v>
      </c>
      <c r="V206" s="19">
        <f t="shared" si="58"/>
        <v>240</v>
      </c>
      <c r="W206" s="73">
        <f t="shared" si="59"/>
        <v>2208</v>
      </c>
      <c r="X206" s="19">
        <f>IF($D206&lt;&gt;1,"",IF($G206="ROKS",$R206,IF($AI206=1,0,MAX($N206,$L206-SUMIFS(TblApplications[CPU IKS libérable (vCPU)],TblApplications[Cluster IKS source],$F206,TblApplications[Action],"À migrer",TblApplications[Mois prov (calc)],"&lt;="&amp;$E206)-SUMIFS(TblApplications[CPU IKS libérable (vCPU)],TblApplications[Cluster IKS source],$F206,TblApplications[Action],"À décommissionner",TblApplications[Mois lib (calc)],"&lt;="&amp;$E206)))))</f>
        <v>48</v>
      </c>
      <c r="Y206" s="19">
        <f>IF($D206&lt;&gt;1,"",IF($G206="ROKS",$S206,IF($AI206=1,0,MAX($O206,$M206-SUMIFS(TblApplications[RAM IKS libérable (Go)],TblApplications[Cluster IKS source],$F206,TblApplications[Action],"À migrer",TblApplications[Mois prov (calc)],"&lt;="&amp;$E206)-SUMIFS(TblApplications[RAM IKS libérable (Go)],TblApplications[Cluster IKS source],$F206,TblApplications[Action],"À décommissionner",TblApplications[Mois lib (calc)],"&lt;="&amp;$E206)))))</f>
        <v>240</v>
      </c>
      <c r="Z206" s="19">
        <f t="shared" si="60"/>
        <v>6</v>
      </c>
      <c r="AA206" s="73">
        <f t="shared" si="61"/>
        <v>2208</v>
      </c>
      <c r="AB206" s="19">
        <f t="shared" si="62"/>
        <v>6</v>
      </c>
      <c r="AC206" s="73">
        <f t="shared" si="63"/>
        <v>2208</v>
      </c>
      <c r="AD206" s="19">
        <f t="shared" si="64"/>
        <v>0</v>
      </c>
      <c r="AE206" s="19">
        <f t="shared" si="65"/>
        <v>0</v>
      </c>
      <c r="AF206" s="19" t="str">
        <f>IF($D206&lt;&gt;1,"",IF(INDEX(TblClusters[Environnement],$B206)="","(vide)",INDEX(TblClusters[Environnement],$B206)))</f>
        <v>PRD</v>
      </c>
      <c r="AG206" s="19">
        <f t="shared" si="66"/>
        <v>72</v>
      </c>
      <c r="AH206" s="19">
        <f t="shared" si="67"/>
        <v>30.666666666666668</v>
      </c>
      <c r="AI206" s="19">
        <f>IF($D206&lt;&gt;1,"",IF(AND($G206="IKS",ISNUMBER(INDEX(TblClusters[Fermeture retenue],$B206))),IF($E206&gt;=INDEX(TblClusters[Fermeture retenue],$B206),1,0),0))</f>
        <v>0</v>
      </c>
    </row>
    <row r="207" spans="1:35" x14ac:dyDescent="0.2">
      <c r="A207" s="19">
        <v>202</v>
      </c>
      <c r="B207" s="19">
        <f t="shared" si="51"/>
        <v>6</v>
      </c>
      <c r="C207" s="19">
        <f t="shared" si="52"/>
        <v>22</v>
      </c>
      <c r="D207" s="19">
        <f>IF($C207&gt;p_horizon,0,IFERROR(IF(AND(INDEX(TblClusters[Cluster],$B207)&lt;&gt;"",ISNUMBER(INDEX(TblClusters[CPU initial (vCPU)],$B207)),ISNUMBER(INDEX(TblClusters[CPU min (vCPU)],$B207)),OR(INDEX(TblClusters[Plateforme],$B207)="IKS",INDEX(TblClusters[Plateforme],$B207)="ROKS")),1,0),0))</f>
        <v>1</v>
      </c>
      <c r="E207" s="72">
        <f t="shared" si="53"/>
        <v>46935</v>
      </c>
      <c r="F207" s="19" t="str">
        <f>IF($D207=1,INDEX(TblClusters[Cluster],$B207),"")</f>
        <v>oc002i000850</v>
      </c>
      <c r="G207" s="19" t="str">
        <f>IF($D207=1,INDEX(TblClusters[Plateforme],$B207),"")</f>
        <v>ROKS</v>
      </c>
      <c r="H207" s="19">
        <f>IF($D207=1,INDEX(TblClusters[vCPU par nœud],$B207),"")</f>
        <v>8</v>
      </c>
      <c r="I207" s="19">
        <f>IF($D207=1,INDEX(TblClusters[RAM par nœud (Go)],$B207),"")</f>
        <v>40</v>
      </c>
      <c r="J207" s="19">
        <f>IF($D207=1,INDEX(TblClusters[Workers min],$B207),"")</f>
        <v>6</v>
      </c>
      <c r="K207" s="73">
        <f>IF($D207=1,INDEX(TblClusters[Tarif par nœud],$B207),"")</f>
        <v>368</v>
      </c>
      <c r="L207" s="19">
        <f>IF($D207=1,INDEX(TblClusters[CPU initial (vCPU)],$B207),"")</f>
        <v>48</v>
      </c>
      <c r="M207" s="19">
        <f>IF($D207=1,INDEX(TblClusters[RAM initiale (Go)],$B207),"")</f>
        <v>240</v>
      </c>
      <c r="N207" s="19">
        <f>IF($D207=1,INDEX(TblClusters[CPU min (vCPU)],$B207),"")</f>
        <v>48</v>
      </c>
      <c r="O207" s="19">
        <f>IF($D207=1,INDEX(TblClusters[RAM min (Go)],$B207),"")</f>
        <v>240</v>
      </c>
      <c r="P207" s="19">
        <f>IF($D207&lt;&gt;1,"",IF($G207="ROKS",SUMIFS(TblApplications[Besoin ROKS CPU (vCPU)],TblApplications[Cluster ROKS cible],$F207,TblApplications[Action],"À migrer",TblApplications[Déjà incluse ROKS],"Non",TblApplications[Mois prov (calc)],"&lt;="&amp;$E207),SUMIFS(TblApplications[CPU IKS libérable (vCPU)],TblApplications[Cluster IKS source],$F207,TblApplications[Mois lib (calc)],"&lt;="&amp;$E207)))</f>
        <v>0</v>
      </c>
      <c r="Q207" s="19">
        <f>IF($D207&lt;&gt;1,"",IF($G207="ROKS",SUMIFS(TblApplications[Besoin ROKS RAM (Go)],TblApplications[Cluster ROKS cible],$F207,TblApplications[Action],"À migrer",TblApplications[Déjà incluse ROKS],"Non",TblApplications[Mois prov (calc)],"&lt;="&amp;$E207),SUMIFS(TblApplications[RAM IKS libérable (Go)],TblApplications[Cluster IKS source],$F207,TblApplications[Mois lib (calc)],"&lt;="&amp;$E207)))</f>
        <v>0</v>
      </c>
      <c r="R207" s="19">
        <f t="shared" si="54"/>
        <v>48</v>
      </c>
      <c r="S207" s="19">
        <f t="shared" si="55"/>
        <v>240</v>
      </c>
      <c r="T207" s="19">
        <f t="shared" si="56"/>
        <v>6</v>
      </c>
      <c r="U207" s="19">
        <f t="shared" si="57"/>
        <v>48</v>
      </c>
      <c r="V207" s="19">
        <f t="shared" si="58"/>
        <v>240</v>
      </c>
      <c r="W207" s="73">
        <f t="shared" si="59"/>
        <v>2208</v>
      </c>
      <c r="X207" s="19">
        <f>IF($D207&lt;&gt;1,"",IF($G207="ROKS",$R207,IF($AI207=1,0,MAX($N207,$L207-SUMIFS(TblApplications[CPU IKS libérable (vCPU)],TblApplications[Cluster IKS source],$F207,TblApplications[Action],"À migrer",TblApplications[Mois prov (calc)],"&lt;="&amp;$E207)-SUMIFS(TblApplications[CPU IKS libérable (vCPU)],TblApplications[Cluster IKS source],$F207,TblApplications[Action],"À décommissionner",TblApplications[Mois lib (calc)],"&lt;="&amp;$E207)))))</f>
        <v>48</v>
      </c>
      <c r="Y207" s="19">
        <f>IF($D207&lt;&gt;1,"",IF($G207="ROKS",$S207,IF($AI207=1,0,MAX($O207,$M207-SUMIFS(TblApplications[RAM IKS libérable (Go)],TblApplications[Cluster IKS source],$F207,TblApplications[Action],"À migrer",TblApplications[Mois prov (calc)],"&lt;="&amp;$E207)-SUMIFS(TblApplications[RAM IKS libérable (Go)],TblApplications[Cluster IKS source],$F207,TblApplications[Action],"À décommissionner",TblApplications[Mois lib (calc)],"&lt;="&amp;$E207)))))</f>
        <v>240</v>
      </c>
      <c r="Z207" s="19">
        <f t="shared" si="60"/>
        <v>6</v>
      </c>
      <c r="AA207" s="73">
        <f t="shared" si="61"/>
        <v>2208</v>
      </c>
      <c r="AB207" s="19">
        <f t="shared" si="62"/>
        <v>6</v>
      </c>
      <c r="AC207" s="73">
        <f t="shared" si="63"/>
        <v>2208</v>
      </c>
      <c r="AD207" s="19">
        <f t="shared" si="64"/>
        <v>0</v>
      </c>
      <c r="AE207" s="19">
        <f t="shared" si="65"/>
        <v>0</v>
      </c>
      <c r="AF207" s="19" t="str">
        <f>IF($D207&lt;&gt;1,"",IF(INDEX(TblClusters[Environnement],$B207)="","(vide)",INDEX(TblClusters[Environnement],$B207)))</f>
        <v>PRD</v>
      </c>
      <c r="AG207" s="19">
        <f t="shared" si="66"/>
        <v>72</v>
      </c>
      <c r="AH207" s="19">
        <f t="shared" si="67"/>
        <v>30.666666666666668</v>
      </c>
      <c r="AI207" s="19">
        <f>IF($D207&lt;&gt;1,"",IF(AND($G207="IKS",ISNUMBER(INDEX(TblClusters[Fermeture retenue],$B207))),IF($E207&gt;=INDEX(TblClusters[Fermeture retenue],$B207),1,0),0))</f>
        <v>0</v>
      </c>
    </row>
    <row r="208" spans="1:35" x14ac:dyDescent="0.2">
      <c r="A208" s="19">
        <v>203</v>
      </c>
      <c r="B208" s="19">
        <f t="shared" si="51"/>
        <v>6</v>
      </c>
      <c r="C208" s="19">
        <f t="shared" si="52"/>
        <v>23</v>
      </c>
      <c r="D208" s="19">
        <f>IF($C208&gt;p_horizon,0,IFERROR(IF(AND(INDEX(TblClusters[Cluster],$B208)&lt;&gt;"",ISNUMBER(INDEX(TblClusters[CPU initial (vCPU)],$B208)),ISNUMBER(INDEX(TblClusters[CPU min (vCPU)],$B208)),OR(INDEX(TblClusters[Plateforme],$B208)="IKS",INDEX(TblClusters[Plateforme],$B208)="ROKS")),1,0),0))</f>
        <v>1</v>
      </c>
      <c r="E208" s="72">
        <f t="shared" si="53"/>
        <v>46966</v>
      </c>
      <c r="F208" s="19" t="str">
        <f>IF($D208=1,INDEX(TblClusters[Cluster],$B208),"")</f>
        <v>oc002i000850</v>
      </c>
      <c r="G208" s="19" t="str">
        <f>IF($D208=1,INDEX(TblClusters[Plateforme],$B208),"")</f>
        <v>ROKS</v>
      </c>
      <c r="H208" s="19">
        <f>IF($D208=1,INDEX(TblClusters[vCPU par nœud],$B208),"")</f>
        <v>8</v>
      </c>
      <c r="I208" s="19">
        <f>IF($D208=1,INDEX(TblClusters[RAM par nœud (Go)],$B208),"")</f>
        <v>40</v>
      </c>
      <c r="J208" s="19">
        <f>IF($D208=1,INDEX(TblClusters[Workers min],$B208),"")</f>
        <v>6</v>
      </c>
      <c r="K208" s="73">
        <f>IF($D208=1,INDEX(TblClusters[Tarif par nœud],$B208),"")</f>
        <v>368</v>
      </c>
      <c r="L208" s="19">
        <f>IF($D208=1,INDEX(TblClusters[CPU initial (vCPU)],$B208),"")</f>
        <v>48</v>
      </c>
      <c r="M208" s="19">
        <f>IF($D208=1,INDEX(TblClusters[RAM initiale (Go)],$B208),"")</f>
        <v>240</v>
      </c>
      <c r="N208" s="19">
        <f>IF($D208=1,INDEX(TblClusters[CPU min (vCPU)],$B208),"")</f>
        <v>48</v>
      </c>
      <c r="O208" s="19">
        <f>IF($D208=1,INDEX(TblClusters[RAM min (Go)],$B208),"")</f>
        <v>240</v>
      </c>
      <c r="P208" s="19">
        <f>IF($D208&lt;&gt;1,"",IF($G208="ROKS",SUMIFS(TblApplications[Besoin ROKS CPU (vCPU)],TblApplications[Cluster ROKS cible],$F208,TblApplications[Action],"À migrer",TblApplications[Déjà incluse ROKS],"Non",TblApplications[Mois prov (calc)],"&lt;="&amp;$E208),SUMIFS(TblApplications[CPU IKS libérable (vCPU)],TblApplications[Cluster IKS source],$F208,TblApplications[Mois lib (calc)],"&lt;="&amp;$E208)))</f>
        <v>0</v>
      </c>
      <c r="Q208" s="19">
        <f>IF($D208&lt;&gt;1,"",IF($G208="ROKS",SUMIFS(TblApplications[Besoin ROKS RAM (Go)],TblApplications[Cluster ROKS cible],$F208,TblApplications[Action],"À migrer",TblApplications[Déjà incluse ROKS],"Non",TblApplications[Mois prov (calc)],"&lt;="&amp;$E208),SUMIFS(TblApplications[RAM IKS libérable (Go)],TblApplications[Cluster IKS source],$F208,TblApplications[Mois lib (calc)],"&lt;="&amp;$E208)))</f>
        <v>0</v>
      </c>
      <c r="R208" s="19">
        <f t="shared" si="54"/>
        <v>48</v>
      </c>
      <c r="S208" s="19">
        <f t="shared" si="55"/>
        <v>240</v>
      </c>
      <c r="T208" s="19">
        <f t="shared" si="56"/>
        <v>6</v>
      </c>
      <c r="U208" s="19">
        <f t="shared" si="57"/>
        <v>48</v>
      </c>
      <c r="V208" s="19">
        <f t="shared" si="58"/>
        <v>240</v>
      </c>
      <c r="W208" s="73">
        <f t="shared" si="59"/>
        <v>2208</v>
      </c>
      <c r="X208" s="19">
        <f>IF($D208&lt;&gt;1,"",IF($G208="ROKS",$R208,IF($AI208=1,0,MAX($N208,$L208-SUMIFS(TblApplications[CPU IKS libérable (vCPU)],TblApplications[Cluster IKS source],$F208,TblApplications[Action],"À migrer",TblApplications[Mois prov (calc)],"&lt;="&amp;$E208)-SUMIFS(TblApplications[CPU IKS libérable (vCPU)],TblApplications[Cluster IKS source],$F208,TblApplications[Action],"À décommissionner",TblApplications[Mois lib (calc)],"&lt;="&amp;$E208)))))</f>
        <v>48</v>
      </c>
      <c r="Y208" s="19">
        <f>IF($D208&lt;&gt;1,"",IF($G208="ROKS",$S208,IF($AI208=1,0,MAX($O208,$M208-SUMIFS(TblApplications[RAM IKS libérable (Go)],TblApplications[Cluster IKS source],$F208,TblApplications[Action],"À migrer",TblApplications[Mois prov (calc)],"&lt;="&amp;$E208)-SUMIFS(TblApplications[RAM IKS libérable (Go)],TblApplications[Cluster IKS source],$F208,TblApplications[Action],"À décommissionner",TblApplications[Mois lib (calc)],"&lt;="&amp;$E208)))))</f>
        <v>240</v>
      </c>
      <c r="Z208" s="19">
        <f t="shared" si="60"/>
        <v>6</v>
      </c>
      <c r="AA208" s="73">
        <f t="shared" si="61"/>
        <v>2208</v>
      </c>
      <c r="AB208" s="19">
        <f t="shared" si="62"/>
        <v>6</v>
      </c>
      <c r="AC208" s="73">
        <f t="shared" si="63"/>
        <v>2208</v>
      </c>
      <c r="AD208" s="19">
        <f t="shared" si="64"/>
        <v>0</v>
      </c>
      <c r="AE208" s="19">
        <f t="shared" si="65"/>
        <v>0</v>
      </c>
      <c r="AF208" s="19" t="str">
        <f>IF($D208&lt;&gt;1,"",IF(INDEX(TblClusters[Environnement],$B208)="","(vide)",INDEX(TblClusters[Environnement],$B208)))</f>
        <v>PRD</v>
      </c>
      <c r="AG208" s="19">
        <f t="shared" si="66"/>
        <v>72</v>
      </c>
      <c r="AH208" s="19">
        <f t="shared" si="67"/>
        <v>30.666666666666668</v>
      </c>
      <c r="AI208" s="19">
        <f>IF($D208&lt;&gt;1,"",IF(AND($G208="IKS",ISNUMBER(INDEX(TblClusters[Fermeture retenue],$B208))),IF($E208&gt;=INDEX(TblClusters[Fermeture retenue],$B208),1,0),0))</f>
        <v>0</v>
      </c>
    </row>
    <row r="209" spans="1:35" x14ac:dyDescent="0.2">
      <c r="A209" s="19">
        <v>204</v>
      </c>
      <c r="B209" s="19">
        <f t="shared" si="51"/>
        <v>6</v>
      </c>
      <c r="C209" s="19">
        <f t="shared" si="52"/>
        <v>24</v>
      </c>
      <c r="D209" s="19">
        <f>IF($C209&gt;p_horizon,0,IFERROR(IF(AND(INDEX(TblClusters[Cluster],$B209)&lt;&gt;"",ISNUMBER(INDEX(TblClusters[CPU initial (vCPU)],$B209)),ISNUMBER(INDEX(TblClusters[CPU min (vCPU)],$B209)),OR(INDEX(TblClusters[Plateforme],$B209)="IKS",INDEX(TblClusters[Plateforme],$B209)="ROKS")),1,0),0))</f>
        <v>1</v>
      </c>
      <c r="E209" s="72">
        <f t="shared" si="53"/>
        <v>46997</v>
      </c>
      <c r="F209" s="19" t="str">
        <f>IF($D209=1,INDEX(TblClusters[Cluster],$B209),"")</f>
        <v>oc002i000850</v>
      </c>
      <c r="G209" s="19" t="str">
        <f>IF($D209=1,INDEX(TblClusters[Plateforme],$B209),"")</f>
        <v>ROKS</v>
      </c>
      <c r="H209" s="19">
        <f>IF($D209=1,INDEX(TblClusters[vCPU par nœud],$B209),"")</f>
        <v>8</v>
      </c>
      <c r="I209" s="19">
        <f>IF($D209=1,INDEX(TblClusters[RAM par nœud (Go)],$B209),"")</f>
        <v>40</v>
      </c>
      <c r="J209" s="19">
        <f>IF($D209=1,INDEX(TblClusters[Workers min],$B209),"")</f>
        <v>6</v>
      </c>
      <c r="K209" s="73">
        <f>IF($D209=1,INDEX(TblClusters[Tarif par nœud],$B209),"")</f>
        <v>368</v>
      </c>
      <c r="L209" s="19">
        <f>IF($D209=1,INDEX(TblClusters[CPU initial (vCPU)],$B209),"")</f>
        <v>48</v>
      </c>
      <c r="M209" s="19">
        <f>IF($D209=1,INDEX(TblClusters[RAM initiale (Go)],$B209),"")</f>
        <v>240</v>
      </c>
      <c r="N209" s="19">
        <f>IF($D209=1,INDEX(TblClusters[CPU min (vCPU)],$B209),"")</f>
        <v>48</v>
      </c>
      <c r="O209" s="19">
        <f>IF($D209=1,INDEX(TblClusters[RAM min (Go)],$B209),"")</f>
        <v>240</v>
      </c>
      <c r="P209" s="19">
        <f>IF($D209&lt;&gt;1,"",IF($G209="ROKS",SUMIFS(TblApplications[Besoin ROKS CPU (vCPU)],TblApplications[Cluster ROKS cible],$F209,TblApplications[Action],"À migrer",TblApplications[Déjà incluse ROKS],"Non",TblApplications[Mois prov (calc)],"&lt;="&amp;$E209),SUMIFS(TblApplications[CPU IKS libérable (vCPU)],TblApplications[Cluster IKS source],$F209,TblApplications[Mois lib (calc)],"&lt;="&amp;$E209)))</f>
        <v>0</v>
      </c>
      <c r="Q209" s="19">
        <f>IF($D209&lt;&gt;1,"",IF($G209="ROKS",SUMIFS(TblApplications[Besoin ROKS RAM (Go)],TblApplications[Cluster ROKS cible],$F209,TblApplications[Action],"À migrer",TblApplications[Déjà incluse ROKS],"Non",TblApplications[Mois prov (calc)],"&lt;="&amp;$E209),SUMIFS(TblApplications[RAM IKS libérable (Go)],TblApplications[Cluster IKS source],$F209,TblApplications[Mois lib (calc)],"&lt;="&amp;$E209)))</f>
        <v>0</v>
      </c>
      <c r="R209" s="19">
        <f t="shared" si="54"/>
        <v>48</v>
      </c>
      <c r="S209" s="19">
        <f t="shared" si="55"/>
        <v>240</v>
      </c>
      <c r="T209" s="19">
        <f t="shared" si="56"/>
        <v>6</v>
      </c>
      <c r="U209" s="19">
        <f t="shared" si="57"/>
        <v>48</v>
      </c>
      <c r="V209" s="19">
        <f t="shared" si="58"/>
        <v>240</v>
      </c>
      <c r="W209" s="73">
        <f t="shared" si="59"/>
        <v>2208</v>
      </c>
      <c r="X209" s="19">
        <f>IF($D209&lt;&gt;1,"",IF($G209="ROKS",$R209,IF($AI209=1,0,MAX($N209,$L209-SUMIFS(TblApplications[CPU IKS libérable (vCPU)],TblApplications[Cluster IKS source],$F209,TblApplications[Action],"À migrer",TblApplications[Mois prov (calc)],"&lt;="&amp;$E209)-SUMIFS(TblApplications[CPU IKS libérable (vCPU)],TblApplications[Cluster IKS source],$F209,TblApplications[Action],"À décommissionner",TblApplications[Mois lib (calc)],"&lt;="&amp;$E209)))))</f>
        <v>48</v>
      </c>
      <c r="Y209" s="19">
        <f>IF($D209&lt;&gt;1,"",IF($G209="ROKS",$S209,IF($AI209=1,0,MAX($O209,$M209-SUMIFS(TblApplications[RAM IKS libérable (Go)],TblApplications[Cluster IKS source],$F209,TblApplications[Action],"À migrer",TblApplications[Mois prov (calc)],"&lt;="&amp;$E209)-SUMIFS(TblApplications[RAM IKS libérable (Go)],TblApplications[Cluster IKS source],$F209,TblApplications[Action],"À décommissionner",TblApplications[Mois lib (calc)],"&lt;="&amp;$E209)))))</f>
        <v>240</v>
      </c>
      <c r="Z209" s="19">
        <f t="shared" si="60"/>
        <v>6</v>
      </c>
      <c r="AA209" s="73">
        <f t="shared" si="61"/>
        <v>2208</v>
      </c>
      <c r="AB209" s="19">
        <f t="shared" si="62"/>
        <v>6</v>
      </c>
      <c r="AC209" s="73">
        <f t="shared" si="63"/>
        <v>2208</v>
      </c>
      <c r="AD209" s="19">
        <f t="shared" si="64"/>
        <v>0</v>
      </c>
      <c r="AE209" s="19">
        <f t="shared" si="65"/>
        <v>0</v>
      </c>
      <c r="AF209" s="19" t="str">
        <f>IF($D209&lt;&gt;1,"",IF(INDEX(TblClusters[Environnement],$B209)="","(vide)",INDEX(TblClusters[Environnement],$B209)))</f>
        <v>PRD</v>
      </c>
      <c r="AG209" s="19">
        <f t="shared" si="66"/>
        <v>72</v>
      </c>
      <c r="AH209" s="19">
        <f t="shared" si="67"/>
        <v>30.666666666666668</v>
      </c>
      <c r="AI209" s="19">
        <f>IF($D209&lt;&gt;1,"",IF(AND($G209="IKS",ISNUMBER(INDEX(TblClusters[Fermeture retenue],$B209))),IF($E209&gt;=INDEX(TblClusters[Fermeture retenue],$B209),1,0),0))</f>
        <v>0</v>
      </c>
    </row>
    <row r="210" spans="1:35" x14ac:dyDescent="0.2">
      <c r="A210" s="19">
        <v>205</v>
      </c>
      <c r="B210" s="19">
        <f t="shared" si="51"/>
        <v>6</v>
      </c>
      <c r="C210" s="19">
        <f t="shared" si="52"/>
        <v>25</v>
      </c>
      <c r="D210" s="19">
        <f>IF($C210&gt;p_horizon,0,IFERROR(IF(AND(INDEX(TblClusters[Cluster],$B210)&lt;&gt;"",ISNUMBER(INDEX(TblClusters[CPU initial (vCPU)],$B210)),ISNUMBER(INDEX(TblClusters[CPU min (vCPU)],$B210)),OR(INDEX(TblClusters[Plateforme],$B210)="IKS",INDEX(TblClusters[Plateforme],$B210)="ROKS")),1,0),0))</f>
        <v>1</v>
      </c>
      <c r="E210" s="72">
        <f t="shared" si="53"/>
        <v>47027</v>
      </c>
      <c r="F210" s="19" t="str">
        <f>IF($D210=1,INDEX(TblClusters[Cluster],$B210),"")</f>
        <v>oc002i000850</v>
      </c>
      <c r="G210" s="19" t="str">
        <f>IF($D210=1,INDEX(TblClusters[Plateforme],$B210),"")</f>
        <v>ROKS</v>
      </c>
      <c r="H210" s="19">
        <f>IF($D210=1,INDEX(TblClusters[vCPU par nœud],$B210),"")</f>
        <v>8</v>
      </c>
      <c r="I210" s="19">
        <f>IF($D210=1,INDEX(TblClusters[RAM par nœud (Go)],$B210),"")</f>
        <v>40</v>
      </c>
      <c r="J210" s="19">
        <f>IF($D210=1,INDEX(TblClusters[Workers min],$B210),"")</f>
        <v>6</v>
      </c>
      <c r="K210" s="73">
        <f>IF($D210=1,INDEX(TblClusters[Tarif par nœud],$B210),"")</f>
        <v>368</v>
      </c>
      <c r="L210" s="19">
        <f>IF($D210=1,INDEX(TblClusters[CPU initial (vCPU)],$B210),"")</f>
        <v>48</v>
      </c>
      <c r="M210" s="19">
        <f>IF($D210=1,INDEX(TblClusters[RAM initiale (Go)],$B210),"")</f>
        <v>240</v>
      </c>
      <c r="N210" s="19">
        <f>IF($D210=1,INDEX(TblClusters[CPU min (vCPU)],$B210),"")</f>
        <v>48</v>
      </c>
      <c r="O210" s="19">
        <f>IF($D210=1,INDEX(TblClusters[RAM min (Go)],$B210),"")</f>
        <v>240</v>
      </c>
      <c r="P210" s="19">
        <f>IF($D210&lt;&gt;1,"",IF($G210="ROKS",SUMIFS(TblApplications[Besoin ROKS CPU (vCPU)],TblApplications[Cluster ROKS cible],$F210,TblApplications[Action],"À migrer",TblApplications[Déjà incluse ROKS],"Non",TblApplications[Mois prov (calc)],"&lt;="&amp;$E210),SUMIFS(TblApplications[CPU IKS libérable (vCPU)],TblApplications[Cluster IKS source],$F210,TblApplications[Mois lib (calc)],"&lt;="&amp;$E210)))</f>
        <v>0</v>
      </c>
      <c r="Q210" s="19">
        <f>IF($D210&lt;&gt;1,"",IF($G210="ROKS",SUMIFS(TblApplications[Besoin ROKS RAM (Go)],TblApplications[Cluster ROKS cible],$F210,TblApplications[Action],"À migrer",TblApplications[Déjà incluse ROKS],"Non",TblApplications[Mois prov (calc)],"&lt;="&amp;$E210),SUMIFS(TblApplications[RAM IKS libérable (Go)],TblApplications[Cluster IKS source],$F210,TblApplications[Mois lib (calc)],"&lt;="&amp;$E210)))</f>
        <v>0</v>
      </c>
      <c r="R210" s="19">
        <f t="shared" si="54"/>
        <v>48</v>
      </c>
      <c r="S210" s="19">
        <f t="shared" si="55"/>
        <v>240</v>
      </c>
      <c r="T210" s="19">
        <f t="shared" si="56"/>
        <v>6</v>
      </c>
      <c r="U210" s="19">
        <f t="shared" si="57"/>
        <v>48</v>
      </c>
      <c r="V210" s="19">
        <f t="shared" si="58"/>
        <v>240</v>
      </c>
      <c r="W210" s="73">
        <f t="shared" si="59"/>
        <v>2208</v>
      </c>
      <c r="X210" s="19">
        <f>IF($D210&lt;&gt;1,"",IF($G210="ROKS",$R210,IF($AI210=1,0,MAX($N210,$L210-SUMIFS(TblApplications[CPU IKS libérable (vCPU)],TblApplications[Cluster IKS source],$F210,TblApplications[Action],"À migrer",TblApplications[Mois prov (calc)],"&lt;="&amp;$E210)-SUMIFS(TblApplications[CPU IKS libérable (vCPU)],TblApplications[Cluster IKS source],$F210,TblApplications[Action],"À décommissionner",TblApplications[Mois lib (calc)],"&lt;="&amp;$E210)))))</f>
        <v>48</v>
      </c>
      <c r="Y210" s="19">
        <f>IF($D210&lt;&gt;1,"",IF($G210="ROKS",$S210,IF($AI210=1,0,MAX($O210,$M210-SUMIFS(TblApplications[RAM IKS libérable (Go)],TblApplications[Cluster IKS source],$F210,TblApplications[Action],"À migrer",TblApplications[Mois prov (calc)],"&lt;="&amp;$E210)-SUMIFS(TblApplications[RAM IKS libérable (Go)],TblApplications[Cluster IKS source],$F210,TblApplications[Action],"À décommissionner",TblApplications[Mois lib (calc)],"&lt;="&amp;$E210)))))</f>
        <v>240</v>
      </c>
      <c r="Z210" s="19">
        <f t="shared" si="60"/>
        <v>6</v>
      </c>
      <c r="AA210" s="73">
        <f t="shared" si="61"/>
        <v>2208</v>
      </c>
      <c r="AB210" s="19">
        <f t="shared" si="62"/>
        <v>6</v>
      </c>
      <c r="AC210" s="73">
        <f t="shared" si="63"/>
        <v>2208</v>
      </c>
      <c r="AD210" s="19">
        <f t="shared" si="64"/>
        <v>0</v>
      </c>
      <c r="AE210" s="19">
        <f t="shared" si="65"/>
        <v>0</v>
      </c>
      <c r="AF210" s="19" t="str">
        <f>IF($D210&lt;&gt;1,"",IF(INDEX(TblClusters[Environnement],$B210)="","(vide)",INDEX(TblClusters[Environnement],$B210)))</f>
        <v>PRD</v>
      </c>
      <c r="AG210" s="19">
        <f t="shared" si="66"/>
        <v>72</v>
      </c>
      <c r="AH210" s="19">
        <f t="shared" si="67"/>
        <v>30.666666666666668</v>
      </c>
      <c r="AI210" s="19">
        <f>IF($D210&lt;&gt;1,"",IF(AND($G210="IKS",ISNUMBER(INDEX(TblClusters[Fermeture retenue],$B210))),IF($E210&gt;=INDEX(TblClusters[Fermeture retenue],$B210),1,0),0))</f>
        <v>0</v>
      </c>
    </row>
    <row r="211" spans="1:35" x14ac:dyDescent="0.2">
      <c r="A211" s="19">
        <v>206</v>
      </c>
      <c r="B211" s="19">
        <f t="shared" si="51"/>
        <v>6</v>
      </c>
      <c r="C211" s="19">
        <f t="shared" si="52"/>
        <v>26</v>
      </c>
      <c r="D211" s="19">
        <f>IF($C211&gt;p_horizon,0,IFERROR(IF(AND(INDEX(TblClusters[Cluster],$B211)&lt;&gt;"",ISNUMBER(INDEX(TblClusters[CPU initial (vCPU)],$B211)),ISNUMBER(INDEX(TblClusters[CPU min (vCPU)],$B211)),OR(INDEX(TblClusters[Plateforme],$B211)="IKS",INDEX(TblClusters[Plateforme],$B211)="ROKS")),1,0),0))</f>
        <v>1</v>
      </c>
      <c r="E211" s="72">
        <f t="shared" si="53"/>
        <v>47058</v>
      </c>
      <c r="F211" s="19" t="str">
        <f>IF($D211=1,INDEX(TblClusters[Cluster],$B211),"")</f>
        <v>oc002i000850</v>
      </c>
      <c r="G211" s="19" t="str">
        <f>IF($D211=1,INDEX(TblClusters[Plateforme],$B211),"")</f>
        <v>ROKS</v>
      </c>
      <c r="H211" s="19">
        <f>IF($D211=1,INDEX(TblClusters[vCPU par nœud],$B211),"")</f>
        <v>8</v>
      </c>
      <c r="I211" s="19">
        <f>IF($D211=1,INDEX(TblClusters[RAM par nœud (Go)],$B211),"")</f>
        <v>40</v>
      </c>
      <c r="J211" s="19">
        <f>IF($D211=1,INDEX(TblClusters[Workers min],$B211),"")</f>
        <v>6</v>
      </c>
      <c r="K211" s="73">
        <f>IF($D211=1,INDEX(TblClusters[Tarif par nœud],$B211),"")</f>
        <v>368</v>
      </c>
      <c r="L211" s="19">
        <f>IF($D211=1,INDEX(TblClusters[CPU initial (vCPU)],$B211),"")</f>
        <v>48</v>
      </c>
      <c r="M211" s="19">
        <f>IF($D211=1,INDEX(TblClusters[RAM initiale (Go)],$B211),"")</f>
        <v>240</v>
      </c>
      <c r="N211" s="19">
        <f>IF($D211=1,INDEX(TblClusters[CPU min (vCPU)],$B211),"")</f>
        <v>48</v>
      </c>
      <c r="O211" s="19">
        <f>IF($D211=1,INDEX(TblClusters[RAM min (Go)],$B211),"")</f>
        <v>240</v>
      </c>
      <c r="P211" s="19">
        <f>IF($D211&lt;&gt;1,"",IF($G211="ROKS",SUMIFS(TblApplications[Besoin ROKS CPU (vCPU)],TblApplications[Cluster ROKS cible],$F211,TblApplications[Action],"À migrer",TblApplications[Déjà incluse ROKS],"Non",TblApplications[Mois prov (calc)],"&lt;="&amp;$E211),SUMIFS(TblApplications[CPU IKS libérable (vCPU)],TblApplications[Cluster IKS source],$F211,TblApplications[Mois lib (calc)],"&lt;="&amp;$E211)))</f>
        <v>0</v>
      </c>
      <c r="Q211" s="19">
        <f>IF($D211&lt;&gt;1,"",IF($G211="ROKS",SUMIFS(TblApplications[Besoin ROKS RAM (Go)],TblApplications[Cluster ROKS cible],$F211,TblApplications[Action],"À migrer",TblApplications[Déjà incluse ROKS],"Non",TblApplications[Mois prov (calc)],"&lt;="&amp;$E211),SUMIFS(TblApplications[RAM IKS libérable (Go)],TblApplications[Cluster IKS source],$F211,TblApplications[Mois lib (calc)],"&lt;="&amp;$E211)))</f>
        <v>0</v>
      </c>
      <c r="R211" s="19">
        <f t="shared" si="54"/>
        <v>48</v>
      </c>
      <c r="S211" s="19">
        <f t="shared" si="55"/>
        <v>240</v>
      </c>
      <c r="T211" s="19">
        <f t="shared" si="56"/>
        <v>6</v>
      </c>
      <c r="U211" s="19">
        <f t="shared" si="57"/>
        <v>48</v>
      </c>
      <c r="V211" s="19">
        <f t="shared" si="58"/>
        <v>240</v>
      </c>
      <c r="W211" s="73">
        <f t="shared" si="59"/>
        <v>2208</v>
      </c>
      <c r="X211" s="19">
        <f>IF($D211&lt;&gt;1,"",IF($G211="ROKS",$R211,IF($AI211=1,0,MAX($N211,$L211-SUMIFS(TblApplications[CPU IKS libérable (vCPU)],TblApplications[Cluster IKS source],$F211,TblApplications[Action],"À migrer",TblApplications[Mois prov (calc)],"&lt;="&amp;$E211)-SUMIFS(TblApplications[CPU IKS libérable (vCPU)],TblApplications[Cluster IKS source],$F211,TblApplications[Action],"À décommissionner",TblApplications[Mois lib (calc)],"&lt;="&amp;$E211)))))</f>
        <v>48</v>
      </c>
      <c r="Y211" s="19">
        <f>IF($D211&lt;&gt;1,"",IF($G211="ROKS",$S211,IF($AI211=1,0,MAX($O211,$M211-SUMIFS(TblApplications[RAM IKS libérable (Go)],TblApplications[Cluster IKS source],$F211,TblApplications[Action],"À migrer",TblApplications[Mois prov (calc)],"&lt;="&amp;$E211)-SUMIFS(TblApplications[RAM IKS libérable (Go)],TblApplications[Cluster IKS source],$F211,TblApplications[Action],"À décommissionner",TblApplications[Mois lib (calc)],"&lt;="&amp;$E211)))))</f>
        <v>240</v>
      </c>
      <c r="Z211" s="19">
        <f t="shared" si="60"/>
        <v>6</v>
      </c>
      <c r="AA211" s="73">
        <f t="shared" si="61"/>
        <v>2208</v>
      </c>
      <c r="AB211" s="19">
        <f t="shared" si="62"/>
        <v>6</v>
      </c>
      <c r="AC211" s="73">
        <f t="shared" si="63"/>
        <v>2208</v>
      </c>
      <c r="AD211" s="19">
        <f t="shared" si="64"/>
        <v>0</v>
      </c>
      <c r="AE211" s="19">
        <f t="shared" si="65"/>
        <v>0</v>
      </c>
      <c r="AF211" s="19" t="str">
        <f>IF($D211&lt;&gt;1,"",IF(INDEX(TblClusters[Environnement],$B211)="","(vide)",INDEX(TblClusters[Environnement],$B211)))</f>
        <v>PRD</v>
      </c>
      <c r="AG211" s="19">
        <f t="shared" si="66"/>
        <v>72</v>
      </c>
      <c r="AH211" s="19">
        <f t="shared" si="67"/>
        <v>30.666666666666668</v>
      </c>
      <c r="AI211" s="19">
        <f>IF($D211&lt;&gt;1,"",IF(AND($G211="IKS",ISNUMBER(INDEX(TblClusters[Fermeture retenue],$B211))),IF($E211&gt;=INDEX(TblClusters[Fermeture retenue],$B211),1,0),0))</f>
        <v>0</v>
      </c>
    </row>
    <row r="212" spans="1:35" x14ac:dyDescent="0.2">
      <c r="A212" s="19">
        <v>207</v>
      </c>
      <c r="B212" s="19">
        <f t="shared" si="51"/>
        <v>6</v>
      </c>
      <c r="C212" s="19">
        <f t="shared" si="52"/>
        <v>27</v>
      </c>
      <c r="D212" s="19">
        <f>IF($C212&gt;p_horizon,0,IFERROR(IF(AND(INDEX(TblClusters[Cluster],$B212)&lt;&gt;"",ISNUMBER(INDEX(TblClusters[CPU initial (vCPU)],$B212)),ISNUMBER(INDEX(TblClusters[CPU min (vCPU)],$B212)),OR(INDEX(TblClusters[Plateforme],$B212)="IKS",INDEX(TblClusters[Plateforme],$B212)="ROKS")),1,0),0))</f>
        <v>1</v>
      </c>
      <c r="E212" s="72">
        <f t="shared" si="53"/>
        <v>47088</v>
      </c>
      <c r="F212" s="19" t="str">
        <f>IF($D212=1,INDEX(TblClusters[Cluster],$B212),"")</f>
        <v>oc002i000850</v>
      </c>
      <c r="G212" s="19" t="str">
        <f>IF($D212=1,INDEX(TblClusters[Plateforme],$B212),"")</f>
        <v>ROKS</v>
      </c>
      <c r="H212" s="19">
        <f>IF($D212=1,INDEX(TblClusters[vCPU par nœud],$B212),"")</f>
        <v>8</v>
      </c>
      <c r="I212" s="19">
        <f>IF($D212=1,INDEX(TblClusters[RAM par nœud (Go)],$B212),"")</f>
        <v>40</v>
      </c>
      <c r="J212" s="19">
        <f>IF($D212=1,INDEX(TblClusters[Workers min],$B212),"")</f>
        <v>6</v>
      </c>
      <c r="K212" s="73">
        <f>IF($D212=1,INDEX(TblClusters[Tarif par nœud],$B212),"")</f>
        <v>368</v>
      </c>
      <c r="L212" s="19">
        <f>IF($D212=1,INDEX(TblClusters[CPU initial (vCPU)],$B212),"")</f>
        <v>48</v>
      </c>
      <c r="M212" s="19">
        <f>IF($D212=1,INDEX(TblClusters[RAM initiale (Go)],$B212),"")</f>
        <v>240</v>
      </c>
      <c r="N212" s="19">
        <f>IF($D212=1,INDEX(TblClusters[CPU min (vCPU)],$B212),"")</f>
        <v>48</v>
      </c>
      <c r="O212" s="19">
        <f>IF($D212=1,INDEX(TblClusters[RAM min (Go)],$B212),"")</f>
        <v>240</v>
      </c>
      <c r="P212" s="19">
        <f>IF($D212&lt;&gt;1,"",IF($G212="ROKS",SUMIFS(TblApplications[Besoin ROKS CPU (vCPU)],TblApplications[Cluster ROKS cible],$F212,TblApplications[Action],"À migrer",TblApplications[Déjà incluse ROKS],"Non",TblApplications[Mois prov (calc)],"&lt;="&amp;$E212),SUMIFS(TblApplications[CPU IKS libérable (vCPU)],TblApplications[Cluster IKS source],$F212,TblApplications[Mois lib (calc)],"&lt;="&amp;$E212)))</f>
        <v>0</v>
      </c>
      <c r="Q212" s="19">
        <f>IF($D212&lt;&gt;1,"",IF($G212="ROKS",SUMIFS(TblApplications[Besoin ROKS RAM (Go)],TblApplications[Cluster ROKS cible],$F212,TblApplications[Action],"À migrer",TblApplications[Déjà incluse ROKS],"Non",TblApplications[Mois prov (calc)],"&lt;="&amp;$E212),SUMIFS(TblApplications[RAM IKS libérable (Go)],TblApplications[Cluster IKS source],$F212,TblApplications[Mois lib (calc)],"&lt;="&amp;$E212)))</f>
        <v>0</v>
      </c>
      <c r="R212" s="19">
        <f t="shared" si="54"/>
        <v>48</v>
      </c>
      <c r="S212" s="19">
        <f t="shared" si="55"/>
        <v>240</v>
      </c>
      <c r="T212" s="19">
        <f t="shared" si="56"/>
        <v>6</v>
      </c>
      <c r="U212" s="19">
        <f t="shared" si="57"/>
        <v>48</v>
      </c>
      <c r="V212" s="19">
        <f t="shared" si="58"/>
        <v>240</v>
      </c>
      <c r="W212" s="73">
        <f t="shared" si="59"/>
        <v>2208</v>
      </c>
      <c r="X212" s="19">
        <f>IF($D212&lt;&gt;1,"",IF($G212="ROKS",$R212,IF($AI212=1,0,MAX($N212,$L212-SUMIFS(TblApplications[CPU IKS libérable (vCPU)],TblApplications[Cluster IKS source],$F212,TblApplications[Action],"À migrer",TblApplications[Mois prov (calc)],"&lt;="&amp;$E212)-SUMIFS(TblApplications[CPU IKS libérable (vCPU)],TblApplications[Cluster IKS source],$F212,TblApplications[Action],"À décommissionner",TblApplications[Mois lib (calc)],"&lt;="&amp;$E212)))))</f>
        <v>48</v>
      </c>
      <c r="Y212" s="19">
        <f>IF($D212&lt;&gt;1,"",IF($G212="ROKS",$S212,IF($AI212=1,0,MAX($O212,$M212-SUMIFS(TblApplications[RAM IKS libérable (Go)],TblApplications[Cluster IKS source],$F212,TblApplications[Action],"À migrer",TblApplications[Mois prov (calc)],"&lt;="&amp;$E212)-SUMIFS(TblApplications[RAM IKS libérable (Go)],TblApplications[Cluster IKS source],$F212,TblApplications[Action],"À décommissionner",TblApplications[Mois lib (calc)],"&lt;="&amp;$E212)))))</f>
        <v>240</v>
      </c>
      <c r="Z212" s="19">
        <f t="shared" si="60"/>
        <v>6</v>
      </c>
      <c r="AA212" s="73">
        <f t="shared" si="61"/>
        <v>2208</v>
      </c>
      <c r="AB212" s="19">
        <f t="shared" si="62"/>
        <v>6</v>
      </c>
      <c r="AC212" s="73">
        <f t="shared" si="63"/>
        <v>2208</v>
      </c>
      <c r="AD212" s="19">
        <f t="shared" si="64"/>
        <v>0</v>
      </c>
      <c r="AE212" s="19">
        <f t="shared" si="65"/>
        <v>0</v>
      </c>
      <c r="AF212" s="19" t="str">
        <f>IF($D212&lt;&gt;1,"",IF(INDEX(TblClusters[Environnement],$B212)="","(vide)",INDEX(TblClusters[Environnement],$B212)))</f>
        <v>PRD</v>
      </c>
      <c r="AG212" s="19">
        <f t="shared" si="66"/>
        <v>72</v>
      </c>
      <c r="AH212" s="19">
        <f t="shared" si="67"/>
        <v>30.666666666666668</v>
      </c>
      <c r="AI212" s="19">
        <f>IF($D212&lt;&gt;1,"",IF(AND($G212="IKS",ISNUMBER(INDEX(TblClusters[Fermeture retenue],$B212))),IF($E212&gt;=INDEX(TblClusters[Fermeture retenue],$B212),1,0),0))</f>
        <v>0</v>
      </c>
    </row>
    <row r="213" spans="1:35" x14ac:dyDescent="0.2">
      <c r="A213" s="19">
        <v>208</v>
      </c>
      <c r="B213" s="19">
        <f t="shared" si="51"/>
        <v>6</v>
      </c>
      <c r="C213" s="19">
        <f t="shared" si="52"/>
        <v>28</v>
      </c>
      <c r="D213" s="19">
        <f>IF($C213&gt;p_horizon,0,IFERROR(IF(AND(INDEX(TblClusters[Cluster],$B213)&lt;&gt;"",ISNUMBER(INDEX(TblClusters[CPU initial (vCPU)],$B213)),ISNUMBER(INDEX(TblClusters[CPU min (vCPU)],$B213)),OR(INDEX(TblClusters[Plateforme],$B213)="IKS",INDEX(TblClusters[Plateforme],$B213)="ROKS")),1,0),0))</f>
        <v>1</v>
      </c>
      <c r="E213" s="72">
        <f t="shared" si="53"/>
        <v>47119</v>
      </c>
      <c r="F213" s="19" t="str">
        <f>IF($D213=1,INDEX(TblClusters[Cluster],$B213),"")</f>
        <v>oc002i000850</v>
      </c>
      <c r="G213" s="19" t="str">
        <f>IF($D213=1,INDEX(TblClusters[Plateforme],$B213),"")</f>
        <v>ROKS</v>
      </c>
      <c r="H213" s="19">
        <f>IF($D213=1,INDEX(TblClusters[vCPU par nœud],$B213),"")</f>
        <v>8</v>
      </c>
      <c r="I213" s="19">
        <f>IF($D213=1,INDEX(TblClusters[RAM par nœud (Go)],$B213),"")</f>
        <v>40</v>
      </c>
      <c r="J213" s="19">
        <f>IF($D213=1,INDEX(TblClusters[Workers min],$B213),"")</f>
        <v>6</v>
      </c>
      <c r="K213" s="73">
        <f>IF($D213=1,INDEX(TblClusters[Tarif par nœud],$B213),"")</f>
        <v>368</v>
      </c>
      <c r="L213" s="19">
        <f>IF($D213=1,INDEX(TblClusters[CPU initial (vCPU)],$B213),"")</f>
        <v>48</v>
      </c>
      <c r="M213" s="19">
        <f>IF($D213=1,INDEX(TblClusters[RAM initiale (Go)],$B213),"")</f>
        <v>240</v>
      </c>
      <c r="N213" s="19">
        <f>IF($D213=1,INDEX(TblClusters[CPU min (vCPU)],$B213),"")</f>
        <v>48</v>
      </c>
      <c r="O213" s="19">
        <f>IF($D213=1,INDEX(TblClusters[RAM min (Go)],$B213),"")</f>
        <v>240</v>
      </c>
      <c r="P213" s="19">
        <f>IF($D213&lt;&gt;1,"",IF($G213="ROKS",SUMIFS(TblApplications[Besoin ROKS CPU (vCPU)],TblApplications[Cluster ROKS cible],$F213,TblApplications[Action],"À migrer",TblApplications[Déjà incluse ROKS],"Non",TblApplications[Mois prov (calc)],"&lt;="&amp;$E213),SUMIFS(TblApplications[CPU IKS libérable (vCPU)],TblApplications[Cluster IKS source],$F213,TblApplications[Mois lib (calc)],"&lt;="&amp;$E213)))</f>
        <v>0</v>
      </c>
      <c r="Q213" s="19">
        <f>IF($D213&lt;&gt;1,"",IF($G213="ROKS",SUMIFS(TblApplications[Besoin ROKS RAM (Go)],TblApplications[Cluster ROKS cible],$F213,TblApplications[Action],"À migrer",TblApplications[Déjà incluse ROKS],"Non",TblApplications[Mois prov (calc)],"&lt;="&amp;$E213),SUMIFS(TblApplications[RAM IKS libérable (Go)],TblApplications[Cluster IKS source],$F213,TblApplications[Mois lib (calc)],"&lt;="&amp;$E213)))</f>
        <v>0</v>
      </c>
      <c r="R213" s="19">
        <f t="shared" si="54"/>
        <v>48</v>
      </c>
      <c r="S213" s="19">
        <f t="shared" si="55"/>
        <v>240</v>
      </c>
      <c r="T213" s="19">
        <f t="shared" si="56"/>
        <v>6</v>
      </c>
      <c r="U213" s="19">
        <f t="shared" si="57"/>
        <v>48</v>
      </c>
      <c r="V213" s="19">
        <f t="shared" si="58"/>
        <v>240</v>
      </c>
      <c r="W213" s="73">
        <f t="shared" si="59"/>
        <v>2208</v>
      </c>
      <c r="X213" s="19">
        <f>IF($D213&lt;&gt;1,"",IF($G213="ROKS",$R213,IF($AI213=1,0,MAX($N213,$L213-SUMIFS(TblApplications[CPU IKS libérable (vCPU)],TblApplications[Cluster IKS source],$F213,TblApplications[Action],"À migrer",TblApplications[Mois prov (calc)],"&lt;="&amp;$E213)-SUMIFS(TblApplications[CPU IKS libérable (vCPU)],TblApplications[Cluster IKS source],$F213,TblApplications[Action],"À décommissionner",TblApplications[Mois lib (calc)],"&lt;="&amp;$E213)))))</f>
        <v>48</v>
      </c>
      <c r="Y213" s="19">
        <f>IF($D213&lt;&gt;1,"",IF($G213="ROKS",$S213,IF($AI213=1,0,MAX($O213,$M213-SUMIFS(TblApplications[RAM IKS libérable (Go)],TblApplications[Cluster IKS source],$F213,TblApplications[Action],"À migrer",TblApplications[Mois prov (calc)],"&lt;="&amp;$E213)-SUMIFS(TblApplications[RAM IKS libérable (Go)],TblApplications[Cluster IKS source],$F213,TblApplications[Action],"À décommissionner",TblApplications[Mois lib (calc)],"&lt;="&amp;$E213)))))</f>
        <v>240</v>
      </c>
      <c r="Z213" s="19">
        <f t="shared" si="60"/>
        <v>6</v>
      </c>
      <c r="AA213" s="73">
        <f t="shared" si="61"/>
        <v>2208</v>
      </c>
      <c r="AB213" s="19">
        <f t="shared" si="62"/>
        <v>6</v>
      </c>
      <c r="AC213" s="73">
        <f t="shared" si="63"/>
        <v>2208</v>
      </c>
      <c r="AD213" s="19">
        <f t="shared" si="64"/>
        <v>0</v>
      </c>
      <c r="AE213" s="19">
        <f t="shared" si="65"/>
        <v>0</v>
      </c>
      <c r="AF213" s="19" t="str">
        <f>IF($D213&lt;&gt;1,"",IF(INDEX(TblClusters[Environnement],$B213)="","(vide)",INDEX(TblClusters[Environnement],$B213)))</f>
        <v>PRD</v>
      </c>
      <c r="AG213" s="19">
        <f t="shared" si="66"/>
        <v>72</v>
      </c>
      <c r="AH213" s="19">
        <f t="shared" si="67"/>
        <v>30.666666666666668</v>
      </c>
      <c r="AI213" s="19">
        <f>IF($D213&lt;&gt;1,"",IF(AND($G213="IKS",ISNUMBER(INDEX(TblClusters[Fermeture retenue],$B213))),IF($E213&gt;=INDEX(TblClusters[Fermeture retenue],$B213),1,0),0))</f>
        <v>0</v>
      </c>
    </row>
    <row r="214" spans="1:35" x14ac:dyDescent="0.2">
      <c r="A214" s="19">
        <v>209</v>
      </c>
      <c r="B214" s="19">
        <f t="shared" si="51"/>
        <v>6</v>
      </c>
      <c r="C214" s="19">
        <f t="shared" si="52"/>
        <v>29</v>
      </c>
      <c r="D214" s="19">
        <f>IF($C214&gt;p_horizon,0,IFERROR(IF(AND(INDEX(TblClusters[Cluster],$B214)&lt;&gt;"",ISNUMBER(INDEX(TblClusters[CPU initial (vCPU)],$B214)),ISNUMBER(INDEX(TblClusters[CPU min (vCPU)],$B214)),OR(INDEX(TblClusters[Plateforme],$B214)="IKS",INDEX(TblClusters[Plateforme],$B214)="ROKS")),1,0),0))</f>
        <v>1</v>
      </c>
      <c r="E214" s="72">
        <f t="shared" si="53"/>
        <v>47150</v>
      </c>
      <c r="F214" s="19" t="str">
        <f>IF($D214=1,INDEX(TblClusters[Cluster],$B214),"")</f>
        <v>oc002i000850</v>
      </c>
      <c r="G214" s="19" t="str">
        <f>IF($D214=1,INDEX(TblClusters[Plateforme],$B214),"")</f>
        <v>ROKS</v>
      </c>
      <c r="H214" s="19">
        <f>IF($D214=1,INDEX(TblClusters[vCPU par nœud],$B214),"")</f>
        <v>8</v>
      </c>
      <c r="I214" s="19">
        <f>IF($D214=1,INDEX(TblClusters[RAM par nœud (Go)],$B214),"")</f>
        <v>40</v>
      </c>
      <c r="J214" s="19">
        <f>IF($D214=1,INDEX(TblClusters[Workers min],$B214),"")</f>
        <v>6</v>
      </c>
      <c r="K214" s="73">
        <f>IF($D214=1,INDEX(TblClusters[Tarif par nœud],$B214),"")</f>
        <v>368</v>
      </c>
      <c r="L214" s="19">
        <f>IF($D214=1,INDEX(TblClusters[CPU initial (vCPU)],$B214),"")</f>
        <v>48</v>
      </c>
      <c r="M214" s="19">
        <f>IF($D214=1,INDEX(TblClusters[RAM initiale (Go)],$B214),"")</f>
        <v>240</v>
      </c>
      <c r="N214" s="19">
        <f>IF($D214=1,INDEX(TblClusters[CPU min (vCPU)],$B214),"")</f>
        <v>48</v>
      </c>
      <c r="O214" s="19">
        <f>IF($D214=1,INDEX(TblClusters[RAM min (Go)],$B214),"")</f>
        <v>240</v>
      </c>
      <c r="P214" s="19">
        <f>IF($D214&lt;&gt;1,"",IF($G214="ROKS",SUMIFS(TblApplications[Besoin ROKS CPU (vCPU)],TblApplications[Cluster ROKS cible],$F214,TblApplications[Action],"À migrer",TblApplications[Déjà incluse ROKS],"Non",TblApplications[Mois prov (calc)],"&lt;="&amp;$E214),SUMIFS(TblApplications[CPU IKS libérable (vCPU)],TblApplications[Cluster IKS source],$F214,TblApplications[Mois lib (calc)],"&lt;="&amp;$E214)))</f>
        <v>0</v>
      </c>
      <c r="Q214" s="19">
        <f>IF($D214&lt;&gt;1,"",IF($G214="ROKS",SUMIFS(TblApplications[Besoin ROKS RAM (Go)],TblApplications[Cluster ROKS cible],$F214,TblApplications[Action],"À migrer",TblApplications[Déjà incluse ROKS],"Non",TblApplications[Mois prov (calc)],"&lt;="&amp;$E214),SUMIFS(TblApplications[RAM IKS libérable (Go)],TblApplications[Cluster IKS source],$F214,TblApplications[Mois lib (calc)],"&lt;="&amp;$E214)))</f>
        <v>0</v>
      </c>
      <c r="R214" s="19">
        <f t="shared" si="54"/>
        <v>48</v>
      </c>
      <c r="S214" s="19">
        <f t="shared" si="55"/>
        <v>240</v>
      </c>
      <c r="T214" s="19">
        <f t="shared" si="56"/>
        <v>6</v>
      </c>
      <c r="U214" s="19">
        <f t="shared" si="57"/>
        <v>48</v>
      </c>
      <c r="V214" s="19">
        <f t="shared" si="58"/>
        <v>240</v>
      </c>
      <c r="W214" s="73">
        <f t="shared" si="59"/>
        <v>2208</v>
      </c>
      <c r="X214" s="19">
        <f>IF($D214&lt;&gt;1,"",IF($G214="ROKS",$R214,IF($AI214=1,0,MAX($N214,$L214-SUMIFS(TblApplications[CPU IKS libérable (vCPU)],TblApplications[Cluster IKS source],$F214,TblApplications[Action],"À migrer",TblApplications[Mois prov (calc)],"&lt;="&amp;$E214)-SUMIFS(TblApplications[CPU IKS libérable (vCPU)],TblApplications[Cluster IKS source],$F214,TblApplications[Action],"À décommissionner",TblApplications[Mois lib (calc)],"&lt;="&amp;$E214)))))</f>
        <v>48</v>
      </c>
      <c r="Y214" s="19">
        <f>IF($D214&lt;&gt;1,"",IF($G214="ROKS",$S214,IF($AI214=1,0,MAX($O214,$M214-SUMIFS(TblApplications[RAM IKS libérable (Go)],TblApplications[Cluster IKS source],$F214,TblApplications[Action],"À migrer",TblApplications[Mois prov (calc)],"&lt;="&amp;$E214)-SUMIFS(TblApplications[RAM IKS libérable (Go)],TblApplications[Cluster IKS source],$F214,TblApplications[Action],"À décommissionner",TblApplications[Mois lib (calc)],"&lt;="&amp;$E214)))))</f>
        <v>240</v>
      </c>
      <c r="Z214" s="19">
        <f t="shared" si="60"/>
        <v>6</v>
      </c>
      <c r="AA214" s="73">
        <f t="shared" si="61"/>
        <v>2208</v>
      </c>
      <c r="AB214" s="19">
        <f t="shared" si="62"/>
        <v>6</v>
      </c>
      <c r="AC214" s="73">
        <f t="shared" si="63"/>
        <v>2208</v>
      </c>
      <c r="AD214" s="19">
        <f t="shared" si="64"/>
        <v>0</v>
      </c>
      <c r="AE214" s="19">
        <f t="shared" si="65"/>
        <v>0</v>
      </c>
      <c r="AF214" s="19" t="str">
        <f>IF($D214&lt;&gt;1,"",IF(INDEX(TblClusters[Environnement],$B214)="","(vide)",INDEX(TblClusters[Environnement],$B214)))</f>
        <v>PRD</v>
      </c>
      <c r="AG214" s="19">
        <f t="shared" si="66"/>
        <v>72</v>
      </c>
      <c r="AH214" s="19">
        <f t="shared" si="67"/>
        <v>30.666666666666668</v>
      </c>
      <c r="AI214" s="19">
        <f>IF($D214&lt;&gt;1,"",IF(AND($G214="IKS",ISNUMBER(INDEX(TblClusters[Fermeture retenue],$B214))),IF($E214&gt;=INDEX(TblClusters[Fermeture retenue],$B214),1,0),0))</f>
        <v>0</v>
      </c>
    </row>
    <row r="215" spans="1:35" x14ac:dyDescent="0.2">
      <c r="A215" s="19">
        <v>210</v>
      </c>
      <c r="B215" s="19">
        <f t="shared" si="51"/>
        <v>6</v>
      </c>
      <c r="C215" s="19">
        <f t="shared" si="52"/>
        <v>30</v>
      </c>
      <c r="D215" s="19">
        <f>IF($C215&gt;p_horizon,0,IFERROR(IF(AND(INDEX(TblClusters[Cluster],$B215)&lt;&gt;"",ISNUMBER(INDEX(TblClusters[CPU initial (vCPU)],$B215)),ISNUMBER(INDEX(TblClusters[CPU min (vCPU)],$B215)),OR(INDEX(TblClusters[Plateforme],$B215)="IKS",INDEX(TblClusters[Plateforme],$B215)="ROKS")),1,0),0))</f>
        <v>1</v>
      </c>
      <c r="E215" s="72">
        <f t="shared" si="53"/>
        <v>47178</v>
      </c>
      <c r="F215" s="19" t="str">
        <f>IF($D215=1,INDEX(TblClusters[Cluster],$B215),"")</f>
        <v>oc002i000850</v>
      </c>
      <c r="G215" s="19" t="str">
        <f>IF($D215=1,INDEX(TblClusters[Plateforme],$B215),"")</f>
        <v>ROKS</v>
      </c>
      <c r="H215" s="19">
        <f>IF($D215=1,INDEX(TblClusters[vCPU par nœud],$B215),"")</f>
        <v>8</v>
      </c>
      <c r="I215" s="19">
        <f>IF($D215=1,INDEX(TblClusters[RAM par nœud (Go)],$B215),"")</f>
        <v>40</v>
      </c>
      <c r="J215" s="19">
        <f>IF($D215=1,INDEX(TblClusters[Workers min],$B215),"")</f>
        <v>6</v>
      </c>
      <c r="K215" s="73">
        <f>IF($D215=1,INDEX(TblClusters[Tarif par nœud],$B215),"")</f>
        <v>368</v>
      </c>
      <c r="L215" s="19">
        <f>IF($D215=1,INDEX(TblClusters[CPU initial (vCPU)],$B215),"")</f>
        <v>48</v>
      </c>
      <c r="M215" s="19">
        <f>IF($D215=1,INDEX(TblClusters[RAM initiale (Go)],$B215),"")</f>
        <v>240</v>
      </c>
      <c r="N215" s="19">
        <f>IF($D215=1,INDEX(TblClusters[CPU min (vCPU)],$B215),"")</f>
        <v>48</v>
      </c>
      <c r="O215" s="19">
        <f>IF($D215=1,INDEX(TblClusters[RAM min (Go)],$B215),"")</f>
        <v>240</v>
      </c>
      <c r="P215" s="19">
        <f>IF($D215&lt;&gt;1,"",IF($G215="ROKS",SUMIFS(TblApplications[Besoin ROKS CPU (vCPU)],TblApplications[Cluster ROKS cible],$F215,TblApplications[Action],"À migrer",TblApplications[Déjà incluse ROKS],"Non",TblApplications[Mois prov (calc)],"&lt;="&amp;$E215),SUMIFS(TblApplications[CPU IKS libérable (vCPU)],TblApplications[Cluster IKS source],$F215,TblApplications[Mois lib (calc)],"&lt;="&amp;$E215)))</f>
        <v>0</v>
      </c>
      <c r="Q215" s="19">
        <f>IF($D215&lt;&gt;1,"",IF($G215="ROKS",SUMIFS(TblApplications[Besoin ROKS RAM (Go)],TblApplications[Cluster ROKS cible],$F215,TblApplications[Action],"À migrer",TblApplications[Déjà incluse ROKS],"Non",TblApplications[Mois prov (calc)],"&lt;="&amp;$E215),SUMIFS(TblApplications[RAM IKS libérable (Go)],TblApplications[Cluster IKS source],$F215,TblApplications[Mois lib (calc)],"&lt;="&amp;$E215)))</f>
        <v>0</v>
      </c>
      <c r="R215" s="19">
        <f t="shared" si="54"/>
        <v>48</v>
      </c>
      <c r="S215" s="19">
        <f t="shared" si="55"/>
        <v>240</v>
      </c>
      <c r="T215" s="19">
        <f t="shared" si="56"/>
        <v>6</v>
      </c>
      <c r="U215" s="19">
        <f t="shared" si="57"/>
        <v>48</v>
      </c>
      <c r="V215" s="19">
        <f t="shared" si="58"/>
        <v>240</v>
      </c>
      <c r="W215" s="73">
        <f t="shared" si="59"/>
        <v>2208</v>
      </c>
      <c r="X215" s="19">
        <f>IF($D215&lt;&gt;1,"",IF($G215="ROKS",$R215,IF($AI215=1,0,MAX($N215,$L215-SUMIFS(TblApplications[CPU IKS libérable (vCPU)],TblApplications[Cluster IKS source],$F215,TblApplications[Action],"À migrer",TblApplications[Mois prov (calc)],"&lt;="&amp;$E215)-SUMIFS(TblApplications[CPU IKS libérable (vCPU)],TblApplications[Cluster IKS source],$F215,TblApplications[Action],"À décommissionner",TblApplications[Mois lib (calc)],"&lt;="&amp;$E215)))))</f>
        <v>48</v>
      </c>
      <c r="Y215" s="19">
        <f>IF($D215&lt;&gt;1,"",IF($G215="ROKS",$S215,IF($AI215=1,0,MAX($O215,$M215-SUMIFS(TblApplications[RAM IKS libérable (Go)],TblApplications[Cluster IKS source],$F215,TblApplications[Action],"À migrer",TblApplications[Mois prov (calc)],"&lt;="&amp;$E215)-SUMIFS(TblApplications[RAM IKS libérable (Go)],TblApplications[Cluster IKS source],$F215,TblApplications[Action],"À décommissionner",TblApplications[Mois lib (calc)],"&lt;="&amp;$E215)))))</f>
        <v>240</v>
      </c>
      <c r="Z215" s="19">
        <f t="shared" si="60"/>
        <v>6</v>
      </c>
      <c r="AA215" s="73">
        <f t="shared" si="61"/>
        <v>2208</v>
      </c>
      <c r="AB215" s="19">
        <f t="shared" si="62"/>
        <v>6</v>
      </c>
      <c r="AC215" s="73">
        <f t="shared" si="63"/>
        <v>2208</v>
      </c>
      <c r="AD215" s="19">
        <f t="shared" si="64"/>
        <v>0</v>
      </c>
      <c r="AE215" s="19">
        <f t="shared" si="65"/>
        <v>0</v>
      </c>
      <c r="AF215" s="19" t="str">
        <f>IF($D215&lt;&gt;1,"",IF(INDEX(TblClusters[Environnement],$B215)="","(vide)",INDEX(TblClusters[Environnement],$B215)))</f>
        <v>PRD</v>
      </c>
      <c r="AG215" s="19">
        <f t="shared" si="66"/>
        <v>72</v>
      </c>
      <c r="AH215" s="19">
        <f t="shared" si="67"/>
        <v>30.666666666666668</v>
      </c>
      <c r="AI215" s="19">
        <f>IF($D215&lt;&gt;1,"",IF(AND($G215="IKS",ISNUMBER(INDEX(TblClusters[Fermeture retenue],$B215))),IF($E215&gt;=INDEX(TblClusters[Fermeture retenue],$B215),1,0),0))</f>
        <v>0</v>
      </c>
    </row>
    <row r="216" spans="1:35" x14ac:dyDescent="0.2">
      <c r="A216" s="19">
        <v>211</v>
      </c>
      <c r="B216" s="19">
        <f t="shared" si="51"/>
        <v>6</v>
      </c>
      <c r="C216" s="19">
        <f t="shared" si="52"/>
        <v>31</v>
      </c>
      <c r="D216" s="19">
        <f>IF($C216&gt;p_horizon,0,IFERROR(IF(AND(INDEX(TblClusters[Cluster],$B216)&lt;&gt;"",ISNUMBER(INDEX(TblClusters[CPU initial (vCPU)],$B216)),ISNUMBER(INDEX(TblClusters[CPU min (vCPU)],$B216)),OR(INDEX(TblClusters[Plateforme],$B216)="IKS",INDEX(TblClusters[Plateforme],$B216)="ROKS")),1,0),0))</f>
        <v>1</v>
      </c>
      <c r="E216" s="72">
        <f t="shared" si="53"/>
        <v>47209</v>
      </c>
      <c r="F216" s="19" t="str">
        <f>IF($D216=1,INDEX(TblClusters[Cluster],$B216),"")</f>
        <v>oc002i000850</v>
      </c>
      <c r="G216" s="19" t="str">
        <f>IF($D216=1,INDEX(TblClusters[Plateforme],$B216),"")</f>
        <v>ROKS</v>
      </c>
      <c r="H216" s="19">
        <f>IF($D216=1,INDEX(TblClusters[vCPU par nœud],$B216),"")</f>
        <v>8</v>
      </c>
      <c r="I216" s="19">
        <f>IF($D216=1,INDEX(TblClusters[RAM par nœud (Go)],$B216),"")</f>
        <v>40</v>
      </c>
      <c r="J216" s="19">
        <f>IF($D216=1,INDEX(TblClusters[Workers min],$B216),"")</f>
        <v>6</v>
      </c>
      <c r="K216" s="73">
        <f>IF($D216=1,INDEX(TblClusters[Tarif par nœud],$B216),"")</f>
        <v>368</v>
      </c>
      <c r="L216" s="19">
        <f>IF($D216=1,INDEX(TblClusters[CPU initial (vCPU)],$B216),"")</f>
        <v>48</v>
      </c>
      <c r="M216" s="19">
        <f>IF($D216=1,INDEX(TblClusters[RAM initiale (Go)],$B216),"")</f>
        <v>240</v>
      </c>
      <c r="N216" s="19">
        <f>IF($D216=1,INDEX(TblClusters[CPU min (vCPU)],$B216),"")</f>
        <v>48</v>
      </c>
      <c r="O216" s="19">
        <f>IF($D216=1,INDEX(TblClusters[RAM min (Go)],$B216),"")</f>
        <v>240</v>
      </c>
      <c r="P216" s="19">
        <f>IF($D216&lt;&gt;1,"",IF($G216="ROKS",SUMIFS(TblApplications[Besoin ROKS CPU (vCPU)],TblApplications[Cluster ROKS cible],$F216,TblApplications[Action],"À migrer",TblApplications[Déjà incluse ROKS],"Non",TblApplications[Mois prov (calc)],"&lt;="&amp;$E216),SUMIFS(TblApplications[CPU IKS libérable (vCPU)],TblApplications[Cluster IKS source],$F216,TblApplications[Mois lib (calc)],"&lt;="&amp;$E216)))</f>
        <v>0</v>
      </c>
      <c r="Q216" s="19">
        <f>IF($D216&lt;&gt;1,"",IF($G216="ROKS",SUMIFS(TblApplications[Besoin ROKS RAM (Go)],TblApplications[Cluster ROKS cible],$F216,TblApplications[Action],"À migrer",TblApplications[Déjà incluse ROKS],"Non",TblApplications[Mois prov (calc)],"&lt;="&amp;$E216),SUMIFS(TblApplications[RAM IKS libérable (Go)],TblApplications[Cluster IKS source],$F216,TblApplications[Mois lib (calc)],"&lt;="&amp;$E216)))</f>
        <v>0</v>
      </c>
      <c r="R216" s="19">
        <f t="shared" si="54"/>
        <v>48</v>
      </c>
      <c r="S216" s="19">
        <f t="shared" si="55"/>
        <v>240</v>
      </c>
      <c r="T216" s="19">
        <f t="shared" si="56"/>
        <v>6</v>
      </c>
      <c r="U216" s="19">
        <f t="shared" si="57"/>
        <v>48</v>
      </c>
      <c r="V216" s="19">
        <f t="shared" si="58"/>
        <v>240</v>
      </c>
      <c r="W216" s="73">
        <f t="shared" si="59"/>
        <v>2208</v>
      </c>
      <c r="X216" s="19">
        <f>IF($D216&lt;&gt;1,"",IF($G216="ROKS",$R216,IF($AI216=1,0,MAX($N216,$L216-SUMIFS(TblApplications[CPU IKS libérable (vCPU)],TblApplications[Cluster IKS source],$F216,TblApplications[Action],"À migrer",TblApplications[Mois prov (calc)],"&lt;="&amp;$E216)-SUMIFS(TblApplications[CPU IKS libérable (vCPU)],TblApplications[Cluster IKS source],$F216,TblApplications[Action],"À décommissionner",TblApplications[Mois lib (calc)],"&lt;="&amp;$E216)))))</f>
        <v>48</v>
      </c>
      <c r="Y216" s="19">
        <f>IF($D216&lt;&gt;1,"",IF($G216="ROKS",$S216,IF($AI216=1,0,MAX($O216,$M216-SUMIFS(TblApplications[RAM IKS libérable (Go)],TblApplications[Cluster IKS source],$F216,TblApplications[Action],"À migrer",TblApplications[Mois prov (calc)],"&lt;="&amp;$E216)-SUMIFS(TblApplications[RAM IKS libérable (Go)],TblApplications[Cluster IKS source],$F216,TblApplications[Action],"À décommissionner",TblApplications[Mois lib (calc)],"&lt;="&amp;$E216)))))</f>
        <v>240</v>
      </c>
      <c r="Z216" s="19">
        <f t="shared" si="60"/>
        <v>6</v>
      </c>
      <c r="AA216" s="73">
        <f t="shared" si="61"/>
        <v>2208</v>
      </c>
      <c r="AB216" s="19">
        <f t="shared" si="62"/>
        <v>6</v>
      </c>
      <c r="AC216" s="73">
        <f t="shared" si="63"/>
        <v>2208</v>
      </c>
      <c r="AD216" s="19">
        <f t="shared" si="64"/>
        <v>0</v>
      </c>
      <c r="AE216" s="19">
        <f t="shared" si="65"/>
        <v>0</v>
      </c>
      <c r="AF216" s="19" t="str">
        <f>IF($D216&lt;&gt;1,"",IF(INDEX(TblClusters[Environnement],$B216)="","(vide)",INDEX(TblClusters[Environnement],$B216)))</f>
        <v>PRD</v>
      </c>
      <c r="AG216" s="19">
        <f t="shared" si="66"/>
        <v>72</v>
      </c>
      <c r="AH216" s="19">
        <f t="shared" si="67"/>
        <v>30.666666666666668</v>
      </c>
      <c r="AI216" s="19">
        <f>IF($D216&lt;&gt;1,"",IF(AND($G216="IKS",ISNUMBER(INDEX(TblClusters[Fermeture retenue],$B216))),IF($E216&gt;=INDEX(TblClusters[Fermeture retenue],$B216),1,0),0))</f>
        <v>0</v>
      </c>
    </row>
    <row r="217" spans="1:35" x14ac:dyDescent="0.2">
      <c r="A217" s="19">
        <v>212</v>
      </c>
      <c r="B217" s="19">
        <f t="shared" si="51"/>
        <v>6</v>
      </c>
      <c r="C217" s="19">
        <f t="shared" si="52"/>
        <v>32</v>
      </c>
      <c r="D217" s="19">
        <f>IF($C217&gt;p_horizon,0,IFERROR(IF(AND(INDEX(TblClusters[Cluster],$B217)&lt;&gt;"",ISNUMBER(INDEX(TblClusters[CPU initial (vCPU)],$B217)),ISNUMBER(INDEX(TblClusters[CPU min (vCPU)],$B217)),OR(INDEX(TblClusters[Plateforme],$B217)="IKS",INDEX(TblClusters[Plateforme],$B217)="ROKS")),1,0),0))</f>
        <v>1</v>
      </c>
      <c r="E217" s="72">
        <f t="shared" si="53"/>
        <v>47239</v>
      </c>
      <c r="F217" s="19" t="str">
        <f>IF($D217=1,INDEX(TblClusters[Cluster],$B217),"")</f>
        <v>oc002i000850</v>
      </c>
      <c r="G217" s="19" t="str">
        <f>IF($D217=1,INDEX(TblClusters[Plateforme],$B217),"")</f>
        <v>ROKS</v>
      </c>
      <c r="H217" s="19">
        <f>IF($D217=1,INDEX(TblClusters[vCPU par nœud],$B217),"")</f>
        <v>8</v>
      </c>
      <c r="I217" s="19">
        <f>IF($D217=1,INDEX(TblClusters[RAM par nœud (Go)],$B217),"")</f>
        <v>40</v>
      </c>
      <c r="J217" s="19">
        <f>IF($D217=1,INDEX(TblClusters[Workers min],$B217),"")</f>
        <v>6</v>
      </c>
      <c r="K217" s="73">
        <f>IF($D217=1,INDEX(TblClusters[Tarif par nœud],$B217),"")</f>
        <v>368</v>
      </c>
      <c r="L217" s="19">
        <f>IF($D217=1,INDEX(TblClusters[CPU initial (vCPU)],$B217),"")</f>
        <v>48</v>
      </c>
      <c r="M217" s="19">
        <f>IF($D217=1,INDEX(TblClusters[RAM initiale (Go)],$B217),"")</f>
        <v>240</v>
      </c>
      <c r="N217" s="19">
        <f>IF($D217=1,INDEX(TblClusters[CPU min (vCPU)],$B217),"")</f>
        <v>48</v>
      </c>
      <c r="O217" s="19">
        <f>IF($D217=1,INDEX(TblClusters[RAM min (Go)],$B217),"")</f>
        <v>240</v>
      </c>
      <c r="P217" s="19">
        <f>IF($D217&lt;&gt;1,"",IF($G217="ROKS",SUMIFS(TblApplications[Besoin ROKS CPU (vCPU)],TblApplications[Cluster ROKS cible],$F217,TblApplications[Action],"À migrer",TblApplications[Déjà incluse ROKS],"Non",TblApplications[Mois prov (calc)],"&lt;="&amp;$E217),SUMIFS(TblApplications[CPU IKS libérable (vCPU)],TblApplications[Cluster IKS source],$F217,TblApplications[Mois lib (calc)],"&lt;="&amp;$E217)))</f>
        <v>0</v>
      </c>
      <c r="Q217" s="19">
        <f>IF($D217&lt;&gt;1,"",IF($G217="ROKS",SUMIFS(TblApplications[Besoin ROKS RAM (Go)],TblApplications[Cluster ROKS cible],$F217,TblApplications[Action],"À migrer",TblApplications[Déjà incluse ROKS],"Non",TblApplications[Mois prov (calc)],"&lt;="&amp;$E217),SUMIFS(TblApplications[RAM IKS libérable (Go)],TblApplications[Cluster IKS source],$F217,TblApplications[Mois lib (calc)],"&lt;="&amp;$E217)))</f>
        <v>0</v>
      </c>
      <c r="R217" s="19">
        <f t="shared" si="54"/>
        <v>48</v>
      </c>
      <c r="S217" s="19">
        <f t="shared" si="55"/>
        <v>240</v>
      </c>
      <c r="T217" s="19">
        <f t="shared" si="56"/>
        <v>6</v>
      </c>
      <c r="U217" s="19">
        <f t="shared" si="57"/>
        <v>48</v>
      </c>
      <c r="V217" s="19">
        <f t="shared" si="58"/>
        <v>240</v>
      </c>
      <c r="W217" s="73">
        <f t="shared" si="59"/>
        <v>2208</v>
      </c>
      <c r="X217" s="19">
        <f>IF($D217&lt;&gt;1,"",IF($G217="ROKS",$R217,IF($AI217=1,0,MAX($N217,$L217-SUMIFS(TblApplications[CPU IKS libérable (vCPU)],TblApplications[Cluster IKS source],$F217,TblApplications[Action],"À migrer",TblApplications[Mois prov (calc)],"&lt;="&amp;$E217)-SUMIFS(TblApplications[CPU IKS libérable (vCPU)],TblApplications[Cluster IKS source],$F217,TblApplications[Action],"À décommissionner",TblApplications[Mois lib (calc)],"&lt;="&amp;$E217)))))</f>
        <v>48</v>
      </c>
      <c r="Y217" s="19">
        <f>IF($D217&lt;&gt;1,"",IF($G217="ROKS",$S217,IF($AI217=1,0,MAX($O217,$M217-SUMIFS(TblApplications[RAM IKS libérable (Go)],TblApplications[Cluster IKS source],$F217,TblApplications[Action],"À migrer",TblApplications[Mois prov (calc)],"&lt;="&amp;$E217)-SUMIFS(TblApplications[RAM IKS libérable (Go)],TblApplications[Cluster IKS source],$F217,TblApplications[Action],"À décommissionner",TblApplications[Mois lib (calc)],"&lt;="&amp;$E217)))))</f>
        <v>240</v>
      </c>
      <c r="Z217" s="19">
        <f t="shared" si="60"/>
        <v>6</v>
      </c>
      <c r="AA217" s="73">
        <f t="shared" si="61"/>
        <v>2208</v>
      </c>
      <c r="AB217" s="19">
        <f t="shared" si="62"/>
        <v>6</v>
      </c>
      <c r="AC217" s="73">
        <f t="shared" si="63"/>
        <v>2208</v>
      </c>
      <c r="AD217" s="19">
        <f t="shared" si="64"/>
        <v>0</v>
      </c>
      <c r="AE217" s="19">
        <f t="shared" si="65"/>
        <v>0</v>
      </c>
      <c r="AF217" s="19" t="str">
        <f>IF($D217&lt;&gt;1,"",IF(INDEX(TblClusters[Environnement],$B217)="","(vide)",INDEX(TblClusters[Environnement],$B217)))</f>
        <v>PRD</v>
      </c>
      <c r="AG217" s="19">
        <f t="shared" si="66"/>
        <v>72</v>
      </c>
      <c r="AH217" s="19">
        <f t="shared" si="67"/>
        <v>30.666666666666668</v>
      </c>
      <c r="AI217" s="19">
        <f>IF($D217&lt;&gt;1,"",IF(AND($G217="IKS",ISNUMBER(INDEX(TblClusters[Fermeture retenue],$B217))),IF($E217&gt;=INDEX(TblClusters[Fermeture retenue],$B217),1,0),0))</f>
        <v>0</v>
      </c>
    </row>
    <row r="218" spans="1:35" x14ac:dyDescent="0.2">
      <c r="A218" s="19">
        <v>213</v>
      </c>
      <c r="B218" s="19">
        <f t="shared" si="51"/>
        <v>6</v>
      </c>
      <c r="C218" s="19">
        <f t="shared" si="52"/>
        <v>33</v>
      </c>
      <c r="D218" s="19">
        <f>IF($C218&gt;p_horizon,0,IFERROR(IF(AND(INDEX(TblClusters[Cluster],$B218)&lt;&gt;"",ISNUMBER(INDEX(TblClusters[CPU initial (vCPU)],$B218)),ISNUMBER(INDEX(TblClusters[CPU min (vCPU)],$B218)),OR(INDEX(TblClusters[Plateforme],$B218)="IKS",INDEX(TblClusters[Plateforme],$B218)="ROKS")),1,0),0))</f>
        <v>1</v>
      </c>
      <c r="E218" s="72">
        <f t="shared" si="53"/>
        <v>47270</v>
      </c>
      <c r="F218" s="19" t="str">
        <f>IF($D218=1,INDEX(TblClusters[Cluster],$B218),"")</f>
        <v>oc002i000850</v>
      </c>
      <c r="G218" s="19" t="str">
        <f>IF($D218=1,INDEX(TblClusters[Plateforme],$B218),"")</f>
        <v>ROKS</v>
      </c>
      <c r="H218" s="19">
        <f>IF($D218=1,INDEX(TblClusters[vCPU par nœud],$B218),"")</f>
        <v>8</v>
      </c>
      <c r="I218" s="19">
        <f>IF($D218=1,INDEX(TblClusters[RAM par nœud (Go)],$B218),"")</f>
        <v>40</v>
      </c>
      <c r="J218" s="19">
        <f>IF($D218=1,INDEX(TblClusters[Workers min],$B218),"")</f>
        <v>6</v>
      </c>
      <c r="K218" s="73">
        <f>IF($D218=1,INDEX(TblClusters[Tarif par nœud],$B218),"")</f>
        <v>368</v>
      </c>
      <c r="L218" s="19">
        <f>IF($D218=1,INDEX(TblClusters[CPU initial (vCPU)],$B218),"")</f>
        <v>48</v>
      </c>
      <c r="M218" s="19">
        <f>IF($D218=1,INDEX(TblClusters[RAM initiale (Go)],$B218),"")</f>
        <v>240</v>
      </c>
      <c r="N218" s="19">
        <f>IF($D218=1,INDEX(TblClusters[CPU min (vCPU)],$B218),"")</f>
        <v>48</v>
      </c>
      <c r="O218" s="19">
        <f>IF($D218=1,INDEX(TblClusters[RAM min (Go)],$B218),"")</f>
        <v>240</v>
      </c>
      <c r="P218" s="19">
        <f>IF($D218&lt;&gt;1,"",IF($G218="ROKS",SUMIFS(TblApplications[Besoin ROKS CPU (vCPU)],TblApplications[Cluster ROKS cible],$F218,TblApplications[Action],"À migrer",TblApplications[Déjà incluse ROKS],"Non",TblApplications[Mois prov (calc)],"&lt;="&amp;$E218),SUMIFS(TblApplications[CPU IKS libérable (vCPU)],TblApplications[Cluster IKS source],$F218,TblApplications[Mois lib (calc)],"&lt;="&amp;$E218)))</f>
        <v>0</v>
      </c>
      <c r="Q218" s="19">
        <f>IF($D218&lt;&gt;1,"",IF($G218="ROKS",SUMIFS(TblApplications[Besoin ROKS RAM (Go)],TblApplications[Cluster ROKS cible],$F218,TblApplications[Action],"À migrer",TblApplications[Déjà incluse ROKS],"Non",TblApplications[Mois prov (calc)],"&lt;="&amp;$E218),SUMIFS(TblApplications[RAM IKS libérable (Go)],TblApplications[Cluster IKS source],$F218,TblApplications[Mois lib (calc)],"&lt;="&amp;$E218)))</f>
        <v>0</v>
      </c>
      <c r="R218" s="19">
        <f t="shared" si="54"/>
        <v>48</v>
      </c>
      <c r="S218" s="19">
        <f t="shared" si="55"/>
        <v>240</v>
      </c>
      <c r="T218" s="19">
        <f t="shared" si="56"/>
        <v>6</v>
      </c>
      <c r="U218" s="19">
        <f t="shared" si="57"/>
        <v>48</v>
      </c>
      <c r="V218" s="19">
        <f t="shared" si="58"/>
        <v>240</v>
      </c>
      <c r="W218" s="73">
        <f t="shared" si="59"/>
        <v>2208</v>
      </c>
      <c r="X218" s="19">
        <f>IF($D218&lt;&gt;1,"",IF($G218="ROKS",$R218,IF($AI218=1,0,MAX($N218,$L218-SUMIFS(TblApplications[CPU IKS libérable (vCPU)],TblApplications[Cluster IKS source],$F218,TblApplications[Action],"À migrer",TblApplications[Mois prov (calc)],"&lt;="&amp;$E218)-SUMIFS(TblApplications[CPU IKS libérable (vCPU)],TblApplications[Cluster IKS source],$F218,TblApplications[Action],"À décommissionner",TblApplications[Mois lib (calc)],"&lt;="&amp;$E218)))))</f>
        <v>48</v>
      </c>
      <c r="Y218" s="19">
        <f>IF($D218&lt;&gt;1,"",IF($G218="ROKS",$S218,IF($AI218=1,0,MAX($O218,$M218-SUMIFS(TblApplications[RAM IKS libérable (Go)],TblApplications[Cluster IKS source],$F218,TblApplications[Action],"À migrer",TblApplications[Mois prov (calc)],"&lt;="&amp;$E218)-SUMIFS(TblApplications[RAM IKS libérable (Go)],TblApplications[Cluster IKS source],$F218,TblApplications[Action],"À décommissionner",TblApplications[Mois lib (calc)],"&lt;="&amp;$E218)))))</f>
        <v>240</v>
      </c>
      <c r="Z218" s="19">
        <f t="shared" si="60"/>
        <v>6</v>
      </c>
      <c r="AA218" s="73">
        <f t="shared" si="61"/>
        <v>2208</v>
      </c>
      <c r="AB218" s="19">
        <f t="shared" si="62"/>
        <v>6</v>
      </c>
      <c r="AC218" s="73">
        <f t="shared" si="63"/>
        <v>2208</v>
      </c>
      <c r="AD218" s="19">
        <f t="shared" si="64"/>
        <v>0</v>
      </c>
      <c r="AE218" s="19">
        <f t="shared" si="65"/>
        <v>0</v>
      </c>
      <c r="AF218" s="19" t="str">
        <f>IF($D218&lt;&gt;1,"",IF(INDEX(TblClusters[Environnement],$B218)="","(vide)",INDEX(TblClusters[Environnement],$B218)))</f>
        <v>PRD</v>
      </c>
      <c r="AG218" s="19">
        <f t="shared" si="66"/>
        <v>72</v>
      </c>
      <c r="AH218" s="19">
        <f t="shared" si="67"/>
        <v>30.666666666666668</v>
      </c>
      <c r="AI218" s="19">
        <f>IF($D218&lt;&gt;1,"",IF(AND($G218="IKS",ISNUMBER(INDEX(TblClusters[Fermeture retenue],$B218))),IF($E218&gt;=INDEX(TblClusters[Fermeture retenue],$B218),1,0),0))</f>
        <v>0</v>
      </c>
    </row>
    <row r="219" spans="1:35" x14ac:dyDescent="0.2">
      <c r="A219" s="19">
        <v>214</v>
      </c>
      <c r="B219" s="19">
        <f t="shared" si="51"/>
        <v>6</v>
      </c>
      <c r="C219" s="19">
        <f t="shared" si="52"/>
        <v>34</v>
      </c>
      <c r="D219" s="19">
        <f>IF($C219&gt;p_horizon,0,IFERROR(IF(AND(INDEX(TblClusters[Cluster],$B219)&lt;&gt;"",ISNUMBER(INDEX(TblClusters[CPU initial (vCPU)],$B219)),ISNUMBER(INDEX(TblClusters[CPU min (vCPU)],$B219)),OR(INDEX(TblClusters[Plateforme],$B219)="IKS",INDEX(TblClusters[Plateforme],$B219)="ROKS")),1,0),0))</f>
        <v>1</v>
      </c>
      <c r="E219" s="72">
        <f t="shared" si="53"/>
        <v>47300</v>
      </c>
      <c r="F219" s="19" t="str">
        <f>IF($D219=1,INDEX(TblClusters[Cluster],$B219),"")</f>
        <v>oc002i000850</v>
      </c>
      <c r="G219" s="19" t="str">
        <f>IF($D219=1,INDEX(TblClusters[Plateforme],$B219),"")</f>
        <v>ROKS</v>
      </c>
      <c r="H219" s="19">
        <f>IF($D219=1,INDEX(TblClusters[vCPU par nœud],$B219),"")</f>
        <v>8</v>
      </c>
      <c r="I219" s="19">
        <f>IF($D219=1,INDEX(TblClusters[RAM par nœud (Go)],$B219),"")</f>
        <v>40</v>
      </c>
      <c r="J219" s="19">
        <f>IF($D219=1,INDEX(TblClusters[Workers min],$B219),"")</f>
        <v>6</v>
      </c>
      <c r="K219" s="73">
        <f>IF($D219=1,INDEX(TblClusters[Tarif par nœud],$B219),"")</f>
        <v>368</v>
      </c>
      <c r="L219" s="19">
        <f>IF($D219=1,INDEX(TblClusters[CPU initial (vCPU)],$B219),"")</f>
        <v>48</v>
      </c>
      <c r="M219" s="19">
        <f>IF($D219=1,INDEX(TblClusters[RAM initiale (Go)],$B219),"")</f>
        <v>240</v>
      </c>
      <c r="N219" s="19">
        <f>IF($D219=1,INDEX(TblClusters[CPU min (vCPU)],$B219),"")</f>
        <v>48</v>
      </c>
      <c r="O219" s="19">
        <f>IF($D219=1,INDEX(TblClusters[RAM min (Go)],$B219),"")</f>
        <v>240</v>
      </c>
      <c r="P219" s="19">
        <f>IF($D219&lt;&gt;1,"",IF($G219="ROKS",SUMIFS(TblApplications[Besoin ROKS CPU (vCPU)],TblApplications[Cluster ROKS cible],$F219,TblApplications[Action],"À migrer",TblApplications[Déjà incluse ROKS],"Non",TblApplications[Mois prov (calc)],"&lt;="&amp;$E219),SUMIFS(TblApplications[CPU IKS libérable (vCPU)],TblApplications[Cluster IKS source],$F219,TblApplications[Mois lib (calc)],"&lt;="&amp;$E219)))</f>
        <v>0</v>
      </c>
      <c r="Q219" s="19">
        <f>IF($D219&lt;&gt;1,"",IF($G219="ROKS",SUMIFS(TblApplications[Besoin ROKS RAM (Go)],TblApplications[Cluster ROKS cible],$F219,TblApplications[Action],"À migrer",TblApplications[Déjà incluse ROKS],"Non",TblApplications[Mois prov (calc)],"&lt;="&amp;$E219),SUMIFS(TblApplications[RAM IKS libérable (Go)],TblApplications[Cluster IKS source],$F219,TblApplications[Mois lib (calc)],"&lt;="&amp;$E219)))</f>
        <v>0</v>
      </c>
      <c r="R219" s="19">
        <f t="shared" si="54"/>
        <v>48</v>
      </c>
      <c r="S219" s="19">
        <f t="shared" si="55"/>
        <v>240</v>
      </c>
      <c r="T219" s="19">
        <f t="shared" si="56"/>
        <v>6</v>
      </c>
      <c r="U219" s="19">
        <f t="shared" si="57"/>
        <v>48</v>
      </c>
      <c r="V219" s="19">
        <f t="shared" si="58"/>
        <v>240</v>
      </c>
      <c r="W219" s="73">
        <f t="shared" si="59"/>
        <v>2208</v>
      </c>
      <c r="X219" s="19">
        <f>IF($D219&lt;&gt;1,"",IF($G219="ROKS",$R219,IF($AI219=1,0,MAX($N219,$L219-SUMIFS(TblApplications[CPU IKS libérable (vCPU)],TblApplications[Cluster IKS source],$F219,TblApplications[Action],"À migrer",TblApplications[Mois prov (calc)],"&lt;="&amp;$E219)-SUMIFS(TblApplications[CPU IKS libérable (vCPU)],TblApplications[Cluster IKS source],$F219,TblApplications[Action],"À décommissionner",TblApplications[Mois lib (calc)],"&lt;="&amp;$E219)))))</f>
        <v>48</v>
      </c>
      <c r="Y219" s="19">
        <f>IF($D219&lt;&gt;1,"",IF($G219="ROKS",$S219,IF($AI219=1,0,MAX($O219,$M219-SUMIFS(TblApplications[RAM IKS libérable (Go)],TblApplications[Cluster IKS source],$F219,TblApplications[Action],"À migrer",TblApplications[Mois prov (calc)],"&lt;="&amp;$E219)-SUMIFS(TblApplications[RAM IKS libérable (Go)],TblApplications[Cluster IKS source],$F219,TblApplications[Action],"À décommissionner",TblApplications[Mois lib (calc)],"&lt;="&amp;$E219)))))</f>
        <v>240</v>
      </c>
      <c r="Z219" s="19">
        <f t="shared" si="60"/>
        <v>6</v>
      </c>
      <c r="AA219" s="73">
        <f t="shared" si="61"/>
        <v>2208</v>
      </c>
      <c r="AB219" s="19">
        <f t="shared" si="62"/>
        <v>6</v>
      </c>
      <c r="AC219" s="73">
        <f t="shared" si="63"/>
        <v>2208</v>
      </c>
      <c r="AD219" s="19">
        <f t="shared" si="64"/>
        <v>0</v>
      </c>
      <c r="AE219" s="19">
        <f t="shared" si="65"/>
        <v>0</v>
      </c>
      <c r="AF219" s="19" t="str">
        <f>IF($D219&lt;&gt;1,"",IF(INDEX(TblClusters[Environnement],$B219)="","(vide)",INDEX(TblClusters[Environnement],$B219)))</f>
        <v>PRD</v>
      </c>
      <c r="AG219" s="19">
        <f t="shared" si="66"/>
        <v>72</v>
      </c>
      <c r="AH219" s="19">
        <f t="shared" si="67"/>
        <v>30.666666666666668</v>
      </c>
      <c r="AI219" s="19">
        <f>IF($D219&lt;&gt;1,"",IF(AND($G219="IKS",ISNUMBER(INDEX(TblClusters[Fermeture retenue],$B219))),IF($E219&gt;=INDEX(TblClusters[Fermeture retenue],$B219),1,0),0))</f>
        <v>0</v>
      </c>
    </row>
    <row r="220" spans="1:35" x14ac:dyDescent="0.2">
      <c r="A220" s="19">
        <v>215</v>
      </c>
      <c r="B220" s="19">
        <f t="shared" si="51"/>
        <v>6</v>
      </c>
      <c r="C220" s="19">
        <f t="shared" si="52"/>
        <v>35</v>
      </c>
      <c r="D220" s="19">
        <f>IF($C220&gt;p_horizon,0,IFERROR(IF(AND(INDEX(TblClusters[Cluster],$B220)&lt;&gt;"",ISNUMBER(INDEX(TblClusters[CPU initial (vCPU)],$B220)),ISNUMBER(INDEX(TblClusters[CPU min (vCPU)],$B220)),OR(INDEX(TblClusters[Plateforme],$B220)="IKS",INDEX(TblClusters[Plateforme],$B220)="ROKS")),1,0),0))</f>
        <v>1</v>
      </c>
      <c r="E220" s="72">
        <f t="shared" si="53"/>
        <v>47331</v>
      </c>
      <c r="F220" s="19" t="str">
        <f>IF($D220=1,INDEX(TblClusters[Cluster],$B220),"")</f>
        <v>oc002i000850</v>
      </c>
      <c r="G220" s="19" t="str">
        <f>IF($D220=1,INDEX(TblClusters[Plateforme],$B220),"")</f>
        <v>ROKS</v>
      </c>
      <c r="H220" s="19">
        <f>IF($D220=1,INDEX(TblClusters[vCPU par nœud],$B220),"")</f>
        <v>8</v>
      </c>
      <c r="I220" s="19">
        <f>IF($D220=1,INDEX(TblClusters[RAM par nœud (Go)],$B220),"")</f>
        <v>40</v>
      </c>
      <c r="J220" s="19">
        <f>IF($D220=1,INDEX(TblClusters[Workers min],$B220),"")</f>
        <v>6</v>
      </c>
      <c r="K220" s="73">
        <f>IF($D220=1,INDEX(TblClusters[Tarif par nœud],$B220),"")</f>
        <v>368</v>
      </c>
      <c r="L220" s="19">
        <f>IF($D220=1,INDEX(TblClusters[CPU initial (vCPU)],$B220),"")</f>
        <v>48</v>
      </c>
      <c r="M220" s="19">
        <f>IF($D220=1,INDEX(TblClusters[RAM initiale (Go)],$B220),"")</f>
        <v>240</v>
      </c>
      <c r="N220" s="19">
        <f>IF($D220=1,INDEX(TblClusters[CPU min (vCPU)],$B220),"")</f>
        <v>48</v>
      </c>
      <c r="O220" s="19">
        <f>IF($D220=1,INDEX(TblClusters[RAM min (Go)],$B220),"")</f>
        <v>240</v>
      </c>
      <c r="P220" s="19">
        <f>IF($D220&lt;&gt;1,"",IF($G220="ROKS",SUMIFS(TblApplications[Besoin ROKS CPU (vCPU)],TblApplications[Cluster ROKS cible],$F220,TblApplications[Action],"À migrer",TblApplications[Déjà incluse ROKS],"Non",TblApplications[Mois prov (calc)],"&lt;="&amp;$E220),SUMIFS(TblApplications[CPU IKS libérable (vCPU)],TblApplications[Cluster IKS source],$F220,TblApplications[Mois lib (calc)],"&lt;="&amp;$E220)))</f>
        <v>0</v>
      </c>
      <c r="Q220" s="19">
        <f>IF($D220&lt;&gt;1,"",IF($G220="ROKS",SUMIFS(TblApplications[Besoin ROKS RAM (Go)],TblApplications[Cluster ROKS cible],$F220,TblApplications[Action],"À migrer",TblApplications[Déjà incluse ROKS],"Non",TblApplications[Mois prov (calc)],"&lt;="&amp;$E220),SUMIFS(TblApplications[RAM IKS libérable (Go)],TblApplications[Cluster IKS source],$F220,TblApplications[Mois lib (calc)],"&lt;="&amp;$E220)))</f>
        <v>0</v>
      </c>
      <c r="R220" s="19">
        <f t="shared" si="54"/>
        <v>48</v>
      </c>
      <c r="S220" s="19">
        <f t="shared" si="55"/>
        <v>240</v>
      </c>
      <c r="T220" s="19">
        <f t="shared" si="56"/>
        <v>6</v>
      </c>
      <c r="U220" s="19">
        <f t="shared" si="57"/>
        <v>48</v>
      </c>
      <c r="V220" s="19">
        <f t="shared" si="58"/>
        <v>240</v>
      </c>
      <c r="W220" s="73">
        <f t="shared" si="59"/>
        <v>2208</v>
      </c>
      <c r="X220" s="19">
        <f>IF($D220&lt;&gt;1,"",IF($G220="ROKS",$R220,IF($AI220=1,0,MAX($N220,$L220-SUMIFS(TblApplications[CPU IKS libérable (vCPU)],TblApplications[Cluster IKS source],$F220,TblApplications[Action],"À migrer",TblApplications[Mois prov (calc)],"&lt;="&amp;$E220)-SUMIFS(TblApplications[CPU IKS libérable (vCPU)],TblApplications[Cluster IKS source],$F220,TblApplications[Action],"À décommissionner",TblApplications[Mois lib (calc)],"&lt;="&amp;$E220)))))</f>
        <v>48</v>
      </c>
      <c r="Y220" s="19">
        <f>IF($D220&lt;&gt;1,"",IF($G220="ROKS",$S220,IF($AI220=1,0,MAX($O220,$M220-SUMIFS(TblApplications[RAM IKS libérable (Go)],TblApplications[Cluster IKS source],$F220,TblApplications[Action],"À migrer",TblApplications[Mois prov (calc)],"&lt;="&amp;$E220)-SUMIFS(TblApplications[RAM IKS libérable (Go)],TblApplications[Cluster IKS source],$F220,TblApplications[Action],"À décommissionner",TblApplications[Mois lib (calc)],"&lt;="&amp;$E220)))))</f>
        <v>240</v>
      </c>
      <c r="Z220" s="19">
        <f t="shared" si="60"/>
        <v>6</v>
      </c>
      <c r="AA220" s="73">
        <f t="shared" si="61"/>
        <v>2208</v>
      </c>
      <c r="AB220" s="19">
        <f t="shared" si="62"/>
        <v>6</v>
      </c>
      <c r="AC220" s="73">
        <f t="shared" si="63"/>
        <v>2208</v>
      </c>
      <c r="AD220" s="19">
        <f t="shared" si="64"/>
        <v>0</v>
      </c>
      <c r="AE220" s="19">
        <f t="shared" si="65"/>
        <v>0</v>
      </c>
      <c r="AF220" s="19" t="str">
        <f>IF($D220&lt;&gt;1,"",IF(INDEX(TblClusters[Environnement],$B220)="","(vide)",INDEX(TblClusters[Environnement],$B220)))</f>
        <v>PRD</v>
      </c>
      <c r="AG220" s="19">
        <f t="shared" si="66"/>
        <v>72</v>
      </c>
      <c r="AH220" s="19">
        <f t="shared" si="67"/>
        <v>30.666666666666668</v>
      </c>
      <c r="AI220" s="19">
        <f>IF($D220&lt;&gt;1,"",IF(AND($G220="IKS",ISNUMBER(INDEX(TblClusters[Fermeture retenue],$B220))),IF($E220&gt;=INDEX(TblClusters[Fermeture retenue],$B220),1,0),0))</f>
        <v>0</v>
      </c>
    </row>
    <row r="221" spans="1:35" x14ac:dyDescent="0.2">
      <c r="A221" s="19">
        <v>216</v>
      </c>
      <c r="B221" s="19">
        <f t="shared" si="51"/>
        <v>6</v>
      </c>
      <c r="C221" s="19">
        <f t="shared" si="52"/>
        <v>36</v>
      </c>
      <c r="D221" s="19">
        <f>IF($C221&gt;p_horizon,0,IFERROR(IF(AND(INDEX(TblClusters[Cluster],$B221)&lt;&gt;"",ISNUMBER(INDEX(TblClusters[CPU initial (vCPU)],$B221)),ISNUMBER(INDEX(TblClusters[CPU min (vCPU)],$B221)),OR(INDEX(TblClusters[Plateforme],$B221)="IKS",INDEX(TblClusters[Plateforme],$B221)="ROKS")),1,0),0))</f>
        <v>1</v>
      </c>
      <c r="E221" s="72">
        <f t="shared" si="53"/>
        <v>47362</v>
      </c>
      <c r="F221" s="19" t="str">
        <f>IF($D221=1,INDEX(TblClusters[Cluster],$B221),"")</f>
        <v>oc002i000850</v>
      </c>
      <c r="G221" s="19" t="str">
        <f>IF($D221=1,INDEX(TblClusters[Plateforme],$B221),"")</f>
        <v>ROKS</v>
      </c>
      <c r="H221" s="19">
        <f>IF($D221=1,INDEX(TblClusters[vCPU par nœud],$B221),"")</f>
        <v>8</v>
      </c>
      <c r="I221" s="19">
        <f>IF($D221=1,INDEX(TblClusters[RAM par nœud (Go)],$B221),"")</f>
        <v>40</v>
      </c>
      <c r="J221" s="19">
        <f>IF($D221=1,INDEX(TblClusters[Workers min],$B221),"")</f>
        <v>6</v>
      </c>
      <c r="K221" s="73">
        <f>IF($D221=1,INDEX(TblClusters[Tarif par nœud],$B221),"")</f>
        <v>368</v>
      </c>
      <c r="L221" s="19">
        <f>IF($D221=1,INDEX(TblClusters[CPU initial (vCPU)],$B221),"")</f>
        <v>48</v>
      </c>
      <c r="M221" s="19">
        <f>IF($D221=1,INDEX(TblClusters[RAM initiale (Go)],$B221),"")</f>
        <v>240</v>
      </c>
      <c r="N221" s="19">
        <f>IF($D221=1,INDEX(TblClusters[CPU min (vCPU)],$B221),"")</f>
        <v>48</v>
      </c>
      <c r="O221" s="19">
        <f>IF($D221=1,INDEX(TblClusters[RAM min (Go)],$B221),"")</f>
        <v>240</v>
      </c>
      <c r="P221" s="19">
        <f>IF($D221&lt;&gt;1,"",IF($G221="ROKS",SUMIFS(TblApplications[Besoin ROKS CPU (vCPU)],TblApplications[Cluster ROKS cible],$F221,TblApplications[Action],"À migrer",TblApplications[Déjà incluse ROKS],"Non",TblApplications[Mois prov (calc)],"&lt;="&amp;$E221),SUMIFS(TblApplications[CPU IKS libérable (vCPU)],TblApplications[Cluster IKS source],$F221,TblApplications[Mois lib (calc)],"&lt;="&amp;$E221)))</f>
        <v>0</v>
      </c>
      <c r="Q221" s="19">
        <f>IF($D221&lt;&gt;1,"",IF($G221="ROKS",SUMIFS(TblApplications[Besoin ROKS RAM (Go)],TblApplications[Cluster ROKS cible],$F221,TblApplications[Action],"À migrer",TblApplications[Déjà incluse ROKS],"Non",TblApplications[Mois prov (calc)],"&lt;="&amp;$E221),SUMIFS(TblApplications[RAM IKS libérable (Go)],TblApplications[Cluster IKS source],$F221,TblApplications[Mois lib (calc)],"&lt;="&amp;$E221)))</f>
        <v>0</v>
      </c>
      <c r="R221" s="19">
        <f t="shared" si="54"/>
        <v>48</v>
      </c>
      <c r="S221" s="19">
        <f t="shared" si="55"/>
        <v>240</v>
      </c>
      <c r="T221" s="19">
        <f t="shared" si="56"/>
        <v>6</v>
      </c>
      <c r="U221" s="19">
        <f t="shared" si="57"/>
        <v>48</v>
      </c>
      <c r="V221" s="19">
        <f t="shared" si="58"/>
        <v>240</v>
      </c>
      <c r="W221" s="73">
        <f t="shared" si="59"/>
        <v>2208</v>
      </c>
      <c r="X221" s="19">
        <f>IF($D221&lt;&gt;1,"",IF($G221="ROKS",$R221,IF($AI221=1,0,MAX($N221,$L221-SUMIFS(TblApplications[CPU IKS libérable (vCPU)],TblApplications[Cluster IKS source],$F221,TblApplications[Action],"À migrer",TblApplications[Mois prov (calc)],"&lt;="&amp;$E221)-SUMIFS(TblApplications[CPU IKS libérable (vCPU)],TblApplications[Cluster IKS source],$F221,TblApplications[Action],"À décommissionner",TblApplications[Mois lib (calc)],"&lt;="&amp;$E221)))))</f>
        <v>48</v>
      </c>
      <c r="Y221" s="19">
        <f>IF($D221&lt;&gt;1,"",IF($G221="ROKS",$S221,IF($AI221=1,0,MAX($O221,$M221-SUMIFS(TblApplications[RAM IKS libérable (Go)],TblApplications[Cluster IKS source],$F221,TblApplications[Action],"À migrer",TblApplications[Mois prov (calc)],"&lt;="&amp;$E221)-SUMIFS(TblApplications[RAM IKS libérable (Go)],TblApplications[Cluster IKS source],$F221,TblApplications[Action],"À décommissionner",TblApplications[Mois lib (calc)],"&lt;="&amp;$E221)))))</f>
        <v>240</v>
      </c>
      <c r="Z221" s="19">
        <f t="shared" si="60"/>
        <v>6</v>
      </c>
      <c r="AA221" s="73">
        <f t="shared" si="61"/>
        <v>2208</v>
      </c>
      <c r="AB221" s="19">
        <f t="shared" si="62"/>
        <v>6</v>
      </c>
      <c r="AC221" s="73">
        <f t="shared" si="63"/>
        <v>2208</v>
      </c>
      <c r="AD221" s="19">
        <f t="shared" si="64"/>
        <v>0</v>
      </c>
      <c r="AE221" s="19">
        <f t="shared" si="65"/>
        <v>0</v>
      </c>
      <c r="AF221" s="19" t="str">
        <f>IF($D221&lt;&gt;1,"",IF(INDEX(TblClusters[Environnement],$B221)="","(vide)",INDEX(TblClusters[Environnement],$B221)))</f>
        <v>PRD</v>
      </c>
      <c r="AG221" s="19">
        <f t="shared" si="66"/>
        <v>72</v>
      </c>
      <c r="AH221" s="19">
        <f t="shared" si="67"/>
        <v>30.666666666666668</v>
      </c>
      <c r="AI221" s="19">
        <f>IF($D221&lt;&gt;1,"",IF(AND($G221="IKS",ISNUMBER(INDEX(TblClusters[Fermeture retenue],$B221))),IF($E221&gt;=INDEX(TblClusters[Fermeture retenue],$B221),1,0),0))</f>
        <v>0</v>
      </c>
    </row>
    <row r="222" spans="1:35" x14ac:dyDescent="0.2">
      <c r="A222" s="19">
        <v>217</v>
      </c>
      <c r="B222" s="19">
        <f t="shared" si="51"/>
        <v>7</v>
      </c>
      <c r="C222" s="19">
        <f t="shared" si="52"/>
        <v>1</v>
      </c>
      <c r="D222" s="19">
        <f>IF($C222&gt;p_horizon,0,IFERROR(IF(AND(INDEX(TblClusters[Cluster],$B222)&lt;&gt;"",ISNUMBER(INDEX(TblClusters[CPU initial (vCPU)],$B222)),ISNUMBER(INDEX(TblClusters[CPU min (vCPU)],$B222)),OR(INDEX(TblClusters[Plateforme],$B222)="IKS",INDEX(TblClusters[Plateforme],$B222)="ROKS")),1,0),0))</f>
        <v>0</v>
      </c>
      <c r="E222" s="72" t="str">
        <f t="shared" si="53"/>
        <v/>
      </c>
      <c r="F222" s="19" t="str">
        <f>IF($D222=1,INDEX(TblClusters[Cluster],$B222),"")</f>
        <v/>
      </c>
      <c r="G222" s="19" t="str">
        <f>IF($D222=1,INDEX(TblClusters[Plateforme],$B222),"")</f>
        <v/>
      </c>
      <c r="H222" s="19" t="str">
        <f>IF($D222=1,INDEX(TblClusters[vCPU par nœud],$B222),"")</f>
        <v/>
      </c>
      <c r="I222" s="19" t="str">
        <f>IF($D222=1,INDEX(TblClusters[RAM par nœud (Go)],$B222),"")</f>
        <v/>
      </c>
      <c r="J222" s="19" t="str">
        <f>IF($D222=1,INDEX(TblClusters[Workers min],$B222),"")</f>
        <v/>
      </c>
      <c r="K222" s="73" t="str">
        <f>IF($D222=1,INDEX(TblClusters[Tarif par nœud],$B222),"")</f>
        <v/>
      </c>
      <c r="L222" s="19" t="str">
        <f>IF($D222=1,INDEX(TblClusters[CPU initial (vCPU)],$B222),"")</f>
        <v/>
      </c>
      <c r="M222" s="19" t="str">
        <f>IF($D222=1,INDEX(TblClusters[RAM initiale (Go)],$B222),"")</f>
        <v/>
      </c>
      <c r="N222" s="19" t="str">
        <f>IF($D222=1,INDEX(TblClusters[CPU min (vCPU)],$B222),"")</f>
        <v/>
      </c>
      <c r="O222" s="19" t="str">
        <f>IF($D222=1,INDEX(TblClusters[RAM min (Go)],$B222),"")</f>
        <v/>
      </c>
      <c r="P222" s="19" t="str">
        <f>IF($D222&lt;&gt;1,"",IF($G222="ROKS",SUMIFS(TblApplications[Besoin ROKS CPU (vCPU)],TblApplications[Cluster ROKS cible],$F222,TblApplications[Action],"À migrer",TblApplications[Déjà incluse ROKS],"Non",TblApplications[Mois prov (calc)],"&lt;="&amp;$E222),SUMIFS(TblApplications[CPU IKS libérable (vCPU)],TblApplications[Cluster IKS source],$F222,TblApplications[Mois lib (calc)],"&lt;="&amp;$E222)))</f>
        <v/>
      </c>
      <c r="Q222" s="19" t="str">
        <f>IF($D222&lt;&gt;1,"",IF($G222="ROKS",SUMIFS(TblApplications[Besoin ROKS RAM (Go)],TblApplications[Cluster ROKS cible],$F222,TblApplications[Action],"À migrer",TblApplications[Déjà incluse ROKS],"Non",TblApplications[Mois prov (calc)],"&lt;="&amp;$E222),SUMIFS(TblApplications[RAM IKS libérable (Go)],TblApplications[Cluster IKS source],$F222,TblApplications[Mois lib (calc)],"&lt;="&amp;$E222)))</f>
        <v/>
      </c>
      <c r="R222" s="19" t="str">
        <f t="shared" si="54"/>
        <v/>
      </c>
      <c r="S222" s="19" t="str">
        <f t="shared" si="55"/>
        <v/>
      </c>
      <c r="T222" s="19" t="str">
        <f t="shared" si="56"/>
        <v/>
      </c>
      <c r="U222" s="19" t="str">
        <f t="shared" si="57"/>
        <v/>
      </c>
      <c r="V222" s="19" t="str">
        <f t="shared" si="58"/>
        <v/>
      </c>
      <c r="W222" s="73" t="str">
        <f t="shared" si="59"/>
        <v/>
      </c>
      <c r="X222" s="19" t="str">
        <f>IF($D222&lt;&gt;1,"",IF($G222="ROKS",$R222,IF($AI222=1,0,MAX($N222,$L222-SUMIFS(TblApplications[CPU IKS libérable (vCPU)],TblApplications[Cluster IKS source],$F222,TblApplications[Action],"À migrer",TblApplications[Mois prov (calc)],"&lt;="&amp;$E222)-SUMIFS(TblApplications[CPU IKS libérable (vCPU)],TblApplications[Cluster IKS source],$F222,TblApplications[Action],"À décommissionner",TblApplications[Mois lib (calc)],"&lt;="&amp;$E222)))))</f>
        <v/>
      </c>
      <c r="Y222" s="19" t="str">
        <f>IF($D222&lt;&gt;1,"",IF($G222="ROKS",$S222,IF($AI222=1,0,MAX($O222,$M222-SUMIFS(TblApplications[RAM IKS libérable (Go)],TblApplications[Cluster IKS source],$F222,TblApplications[Action],"À migrer",TblApplications[Mois prov (calc)],"&lt;="&amp;$E222)-SUMIFS(TblApplications[RAM IKS libérable (Go)],TblApplications[Cluster IKS source],$F222,TblApplications[Action],"À décommissionner",TblApplications[Mois lib (calc)],"&lt;="&amp;$E222)))))</f>
        <v/>
      </c>
      <c r="Z222" s="19" t="str">
        <f t="shared" si="60"/>
        <v/>
      </c>
      <c r="AA222" s="73" t="str">
        <f t="shared" si="61"/>
        <v/>
      </c>
      <c r="AB222" s="19" t="str">
        <f t="shared" si="62"/>
        <v/>
      </c>
      <c r="AC222" s="73" t="str">
        <f t="shared" si="63"/>
        <v/>
      </c>
      <c r="AD222" s="19" t="str">
        <f t="shared" si="64"/>
        <v/>
      </c>
      <c r="AE222" s="19" t="str">
        <f t="shared" si="65"/>
        <v/>
      </c>
      <c r="AF222" s="19" t="str">
        <f>IF($D222&lt;&gt;1,"",IF(INDEX(TblClusters[Environnement],$B222)="","(vide)",INDEX(TblClusters[Environnement],$B222)))</f>
        <v/>
      </c>
      <c r="AG222" s="19" t="str">
        <f t="shared" si="66"/>
        <v/>
      </c>
      <c r="AH222" s="19" t="str">
        <f t="shared" si="67"/>
        <v/>
      </c>
      <c r="AI222" s="19" t="str">
        <f>IF($D222&lt;&gt;1,"",IF(AND($G222="IKS",ISNUMBER(INDEX(TblClusters[Fermeture retenue],$B222))),IF($E222&gt;=INDEX(TblClusters[Fermeture retenue],$B222),1,0),0))</f>
        <v/>
      </c>
    </row>
    <row r="223" spans="1:35" x14ac:dyDescent="0.2">
      <c r="A223" s="19">
        <v>218</v>
      </c>
      <c r="B223" s="19">
        <f t="shared" si="51"/>
        <v>7</v>
      </c>
      <c r="C223" s="19">
        <f t="shared" si="52"/>
        <v>2</v>
      </c>
      <c r="D223" s="19">
        <f>IF($C223&gt;p_horizon,0,IFERROR(IF(AND(INDEX(TblClusters[Cluster],$B223)&lt;&gt;"",ISNUMBER(INDEX(TblClusters[CPU initial (vCPU)],$B223)),ISNUMBER(INDEX(TblClusters[CPU min (vCPU)],$B223)),OR(INDEX(TblClusters[Plateforme],$B223)="IKS",INDEX(TblClusters[Plateforme],$B223)="ROKS")),1,0),0))</f>
        <v>0</v>
      </c>
      <c r="E223" s="72" t="str">
        <f t="shared" si="53"/>
        <v/>
      </c>
      <c r="F223" s="19" t="str">
        <f>IF($D223=1,INDEX(TblClusters[Cluster],$B223),"")</f>
        <v/>
      </c>
      <c r="G223" s="19" t="str">
        <f>IF($D223=1,INDEX(TblClusters[Plateforme],$B223),"")</f>
        <v/>
      </c>
      <c r="H223" s="19" t="str">
        <f>IF($D223=1,INDEX(TblClusters[vCPU par nœud],$B223),"")</f>
        <v/>
      </c>
      <c r="I223" s="19" t="str">
        <f>IF($D223=1,INDEX(TblClusters[RAM par nœud (Go)],$B223),"")</f>
        <v/>
      </c>
      <c r="J223" s="19" t="str">
        <f>IF($D223=1,INDEX(TblClusters[Workers min],$B223),"")</f>
        <v/>
      </c>
      <c r="K223" s="73" t="str">
        <f>IF($D223=1,INDEX(TblClusters[Tarif par nœud],$B223),"")</f>
        <v/>
      </c>
      <c r="L223" s="19" t="str">
        <f>IF($D223=1,INDEX(TblClusters[CPU initial (vCPU)],$B223),"")</f>
        <v/>
      </c>
      <c r="M223" s="19" t="str">
        <f>IF($D223=1,INDEX(TblClusters[RAM initiale (Go)],$B223),"")</f>
        <v/>
      </c>
      <c r="N223" s="19" t="str">
        <f>IF($D223=1,INDEX(TblClusters[CPU min (vCPU)],$B223),"")</f>
        <v/>
      </c>
      <c r="O223" s="19" t="str">
        <f>IF($D223=1,INDEX(TblClusters[RAM min (Go)],$B223),"")</f>
        <v/>
      </c>
      <c r="P223" s="19" t="str">
        <f>IF($D223&lt;&gt;1,"",IF($G223="ROKS",SUMIFS(TblApplications[Besoin ROKS CPU (vCPU)],TblApplications[Cluster ROKS cible],$F223,TblApplications[Action],"À migrer",TblApplications[Déjà incluse ROKS],"Non",TblApplications[Mois prov (calc)],"&lt;="&amp;$E223),SUMIFS(TblApplications[CPU IKS libérable (vCPU)],TblApplications[Cluster IKS source],$F223,TblApplications[Mois lib (calc)],"&lt;="&amp;$E223)))</f>
        <v/>
      </c>
      <c r="Q223" s="19" t="str">
        <f>IF($D223&lt;&gt;1,"",IF($G223="ROKS",SUMIFS(TblApplications[Besoin ROKS RAM (Go)],TblApplications[Cluster ROKS cible],$F223,TblApplications[Action],"À migrer",TblApplications[Déjà incluse ROKS],"Non",TblApplications[Mois prov (calc)],"&lt;="&amp;$E223),SUMIFS(TblApplications[RAM IKS libérable (Go)],TblApplications[Cluster IKS source],$F223,TblApplications[Mois lib (calc)],"&lt;="&amp;$E223)))</f>
        <v/>
      </c>
      <c r="R223" s="19" t="str">
        <f t="shared" si="54"/>
        <v/>
      </c>
      <c r="S223" s="19" t="str">
        <f t="shared" si="55"/>
        <v/>
      </c>
      <c r="T223" s="19" t="str">
        <f t="shared" si="56"/>
        <v/>
      </c>
      <c r="U223" s="19" t="str">
        <f t="shared" si="57"/>
        <v/>
      </c>
      <c r="V223" s="19" t="str">
        <f t="shared" si="58"/>
        <v/>
      </c>
      <c r="W223" s="73" t="str">
        <f t="shared" si="59"/>
        <v/>
      </c>
      <c r="X223" s="19" t="str">
        <f>IF($D223&lt;&gt;1,"",IF($G223="ROKS",$R223,IF($AI223=1,0,MAX($N223,$L223-SUMIFS(TblApplications[CPU IKS libérable (vCPU)],TblApplications[Cluster IKS source],$F223,TblApplications[Action],"À migrer",TblApplications[Mois prov (calc)],"&lt;="&amp;$E223)-SUMIFS(TblApplications[CPU IKS libérable (vCPU)],TblApplications[Cluster IKS source],$F223,TblApplications[Action],"À décommissionner",TblApplications[Mois lib (calc)],"&lt;="&amp;$E223)))))</f>
        <v/>
      </c>
      <c r="Y223" s="19" t="str">
        <f>IF($D223&lt;&gt;1,"",IF($G223="ROKS",$S223,IF($AI223=1,0,MAX($O223,$M223-SUMIFS(TblApplications[RAM IKS libérable (Go)],TblApplications[Cluster IKS source],$F223,TblApplications[Action],"À migrer",TblApplications[Mois prov (calc)],"&lt;="&amp;$E223)-SUMIFS(TblApplications[RAM IKS libérable (Go)],TblApplications[Cluster IKS source],$F223,TblApplications[Action],"À décommissionner",TblApplications[Mois lib (calc)],"&lt;="&amp;$E223)))))</f>
        <v/>
      </c>
      <c r="Z223" s="19" t="str">
        <f t="shared" si="60"/>
        <v/>
      </c>
      <c r="AA223" s="73" t="str">
        <f t="shared" si="61"/>
        <v/>
      </c>
      <c r="AB223" s="19" t="str">
        <f t="shared" si="62"/>
        <v/>
      </c>
      <c r="AC223" s="73" t="str">
        <f t="shared" si="63"/>
        <v/>
      </c>
      <c r="AD223" s="19" t="str">
        <f t="shared" si="64"/>
        <v/>
      </c>
      <c r="AE223" s="19" t="str">
        <f t="shared" si="65"/>
        <v/>
      </c>
      <c r="AF223" s="19" t="str">
        <f>IF($D223&lt;&gt;1,"",IF(INDEX(TblClusters[Environnement],$B223)="","(vide)",INDEX(TblClusters[Environnement],$B223)))</f>
        <v/>
      </c>
      <c r="AG223" s="19" t="str">
        <f t="shared" si="66"/>
        <v/>
      </c>
      <c r="AH223" s="19" t="str">
        <f t="shared" si="67"/>
        <v/>
      </c>
      <c r="AI223" s="19" t="str">
        <f>IF($D223&lt;&gt;1,"",IF(AND($G223="IKS",ISNUMBER(INDEX(TblClusters[Fermeture retenue],$B223))),IF($E223&gt;=INDEX(TblClusters[Fermeture retenue],$B223),1,0),0))</f>
        <v/>
      </c>
    </row>
    <row r="224" spans="1:35" x14ac:dyDescent="0.2">
      <c r="A224" s="19">
        <v>219</v>
      </c>
      <c r="B224" s="19">
        <f t="shared" si="51"/>
        <v>7</v>
      </c>
      <c r="C224" s="19">
        <f t="shared" si="52"/>
        <v>3</v>
      </c>
      <c r="D224" s="19">
        <f>IF($C224&gt;p_horizon,0,IFERROR(IF(AND(INDEX(TblClusters[Cluster],$B224)&lt;&gt;"",ISNUMBER(INDEX(TblClusters[CPU initial (vCPU)],$B224)),ISNUMBER(INDEX(TblClusters[CPU min (vCPU)],$B224)),OR(INDEX(TblClusters[Plateforme],$B224)="IKS",INDEX(TblClusters[Plateforme],$B224)="ROKS")),1,0),0))</f>
        <v>0</v>
      </c>
      <c r="E224" s="72" t="str">
        <f t="shared" si="53"/>
        <v/>
      </c>
      <c r="F224" s="19" t="str">
        <f>IF($D224=1,INDEX(TblClusters[Cluster],$B224),"")</f>
        <v/>
      </c>
      <c r="G224" s="19" t="str">
        <f>IF($D224=1,INDEX(TblClusters[Plateforme],$B224),"")</f>
        <v/>
      </c>
      <c r="H224" s="19" t="str">
        <f>IF($D224=1,INDEX(TblClusters[vCPU par nœud],$B224),"")</f>
        <v/>
      </c>
      <c r="I224" s="19" t="str">
        <f>IF($D224=1,INDEX(TblClusters[RAM par nœud (Go)],$B224),"")</f>
        <v/>
      </c>
      <c r="J224" s="19" t="str">
        <f>IF($D224=1,INDEX(TblClusters[Workers min],$B224),"")</f>
        <v/>
      </c>
      <c r="K224" s="73" t="str">
        <f>IF($D224=1,INDEX(TblClusters[Tarif par nœud],$B224),"")</f>
        <v/>
      </c>
      <c r="L224" s="19" t="str">
        <f>IF($D224=1,INDEX(TblClusters[CPU initial (vCPU)],$B224),"")</f>
        <v/>
      </c>
      <c r="M224" s="19" t="str">
        <f>IF($D224=1,INDEX(TblClusters[RAM initiale (Go)],$B224),"")</f>
        <v/>
      </c>
      <c r="N224" s="19" t="str">
        <f>IF($D224=1,INDEX(TblClusters[CPU min (vCPU)],$B224),"")</f>
        <v/>
      </c>
      <c r="O224" s="19" t="str">
        <f>IF($D224=1,INDEX(TblClusters[RAM min (Go)],$B224),"")</f>
        <v/>
      </c>
      <c r="P224" s="19" t="str">
        <f>IF($D224&lt;&gt;1,"",IF($G224="ROKS",SUMIFS(TblApplications[Besoin ROKS CPU (vCPU)],TblApplications[Cluster ROKS cible],$F224,TblApplications[Action],"À migrer",TblApplications[Déjà incluse ROKS],"Non",TblApplications[Mois prov (calc)],"&lt;="&amp;$E224),SUMIFS(TblApplications[CPU IKS libérable (vCPU)],TblApplications[Cluster IKS source],$F224,TblApplications[Mois lib (calc)],"&lt;="&amp;$E224)))</f>
        <v/>
      </c>
      <c r="Q224" s="19" t="str">
        <f>IF($D224&lt;&gt;1,"",IF($G224="ROKS",SUMIFS(TblApplications[Besoin ROKS RAM (Go)],TblApplications[Cluster ROKS cible],$F224,TblApplications[Action],"À migrer",TblApplications[Déjà incluse ROKS],"Non",TblApplications[Mois prov (calc)],"&lt;="&amp;$E224),SUMIFS(TblApplications[RAM IKS libérable (Go)],TblApplications[Cluster IKS source],$F224,TblApplications[Mois lib (calc)],"&lt;="&amp;$E224)))</f>
        <v/>
      </c>
      <c r="R224" s="19" t="str">
        <f t="shared" si="54"/>
        <v/>
      </c>
      <c r="S224" s="19" t="str">
        <f t="shared" si="55"/>
        <v/>
      </c>
      <c r="T224" s="19" t="str">
        <f t="shared" si="56"/>
        <v/>
      </c>
      <c r="U224" s="19" t="str">
        <f t="shared" si="57"/>
        <v/>
      </c>
      <c r="V224" s="19" t="str">
        <f t="shared" si="58"/>
        <v/>
      </c>
      <c r="W224" s="73" t="str">
        <f t="shared" si="59"/>
        <v/>
      </c>
      <c r="X224" s="19" t="str">
        <f>IF($D224&lt;&gt;1,"",IF($G224="ROKS",$R224,IF($AI224=1,0,MAX($N224,$L224-SUMIFS(TblApplications[CPU IKS libérable (vCPU)],TblApplications[Cluster IKS source],$F224,TblApplications[Action],"À migrer",TblApplications[Mois prov (calc)],"&lt;="&amp;$E224)-SUMIFS(TblApplications[CPU IKS libérable (vCPU)],TblApplications[Cluster IKS source],$F224,TblApplications[Action],"À décommissionner",TblApplications[Mois lib (calc)],"&lt;="&amp;$E224)))))</f>
        <v/>
      </c>
      <c r="Y224" s="19" t="str">
        <f>IF($D224&lt;&gt;1,"",IF($G224="ROKS",$S224,IF($AI224=1,0,MAX($O224,$M224-SUMIFS(TblApplications[RAM IKS libérable (Go)],TblApplications[Cluster IKS source],$F224,TblApplications[Action],"À migrer",TblApplications[Mois prov (calc)],"&lt;="&amp;$E224)-SUMIFS(TblApplications[RAM IKS libérable (Go)],TblApplications[Cluster IKS source],$F224,TblApplications[Action],"À décommissionner",TblApplications[Mois lib (calc)],"&lt;="&amp;$E224)))))</f>
        <v/>
      </c>
      <c r="Z224" s="19" t="str">
        <f t="shared" si="60"/>
        <v/>
      </c>
      <c r="AA224" s="73" t="str">
        <f t="shared" si="61"/>
        <v/>
      </c>
      <c r="AB224" s="19" t="str">
        <f t="shared" si="62"/>
        <v/>
      </c>
      <c r="AC224" s="73" t="str">
        <f t="shared" si="63"/>
        <v/>
      </c>
      <c r="AD224" s="19" t="str">
        <f t="shared" si="64"/>
        <v/>
      </c>
      <c r="AE224" s="19" t="str">
        <f t="shared" si="65"/>
        <v/>
      </c>
      <c r="AF224" s="19" t="str">
        <f>IF($D224&lt;&gt;1,"",IF(INDEX(TblClusters[Environnement],$B224)="","(vide)",INDEX(TblClusters[Environnement],$B224)))</f>
        <v/>
      </c>
      <c r="AG224" s="19" t="str">
        <f t="shared" si="66"/>
        <v/>
      </c>
      <c r="AH224" s="19" t="str">
        <f t="shared" si="67"/>
        <v/>
      </c>
      <c r="AI224" s="19" t="str">
        <f>IF($D224&lt;&gt;1,"",IF(AND($G224="IKS",ISNUMBER(INDEX(TblClusters[Fermeture retenue],$B224))),IF($E224&gt;=INDEX(TblClusters[Fermeture retenue],$B224),1,0),0))</f>
        <v/>
      </c>
    </row>
    <row r="225" spans="1:35" x14ac:dyDescent="0.2">
      <c r="A225" s="19">
        <v>220</v>
      </c>
      <c r="B225" s="19">
        <f t="shared" si="51"/>
        <v>7</v>
      </c>
      <c r="C225" s="19">
        <f t="shared" si="52"/>
        <v>4</v>
      </c>
      <c r="D225" s="19">
        <f>IF($C225&gt;p_horizon,0,IFERROR(IF(AND(INDEX(TblClusters[Cluster],$B225)&lt;&gt;"",ISNUMBER(INDEX(TblClusters[CPU initial (vCPU)],$B225)),ISNUMBER(INDEX(TblClusters[CPU min (vCPU)],$B225)),OR(INDEX(TblClusters[Plateforme],$B225)="IKS",INDEX(TblClusters[Plateforme],$B225)="ROKS")),1,0),0))</f>
        <v>0</v>
      </c>
      <c r="E225" s="72" t="str">
        <f t="shared" si="53"/>
        <v/>
      </c>
      <c r="F225" s="19" t="str">
        <f>IF($D225=1,INDEX(TblClusters[Cluster],$B225),"")</f>
        <v/>
      </c>
      <c r="G225" s="19" t="str">
        <f>IF($D225=1,INDEX(TblClusters[Plateforme],$B225),"")</f>
        <v/>
      </c>
      <c r="H225" s="19" t="str">
        <f>IF($D225=1,INDEX(TblClusters[vCPU par nœud],$B225),"")</f>
        <v/>
      </c>
      <c r="I225" s="19" t="str">
        <f>IF($D225=1,INDEX(TblClusters[RAM par nœud (Go)],$B225),"")</f>
        <v/>
      </c>
      <c r="J225" s="19" t="str">
        <f>IF($D225=1,INDEX(TblClusters[Workers min],$B225),"")</f>
        <v/>
      </c>
      <c r="K225" s="73" t="str">
        <f>IF($D225=1,INDEX(TblClusters[Tarif par nœud],$B225),"")</f>
        <v/>
      </c>
      <c r="L225" s="19" t="str">
        <f>IF($D225=1,INDEX(TblClusters[CPU initial (vCPU)],$B225),"")</f>
        <v/>
      </c>
      <c r="M225" s="19" t="str">
        <f>IF($D225=1,INDEX(TblClusters[RAM initiale (Go)],$B225),"")</f>
        <v/>
      </c>
      <c r="N225" s="19" t="str">
        <f>IF($D225=1,INDEX(TblClusters[CPU min (vCPU)],$B225),"")</f>
        <v/>
      </c>
      <c r="O225" s="19" t="str">
        <f>IF($D225=1,INDEX(TblClusters[RAM min (Go)],$B225),"")</f>
        <v/>
      </c>
      <c r="P225" s="19" t="str">
        <f>IF($D225&lt;&gt;1,"",IF($G225="ROKS",SUMIFS(TblApplications[Besoin ROKS CPU (vCPU)],TblApplications[Cluster ROKS cible],$F225,TblApplications[Action],"À migrer",TblApplications[Déjà incluse ROKS],"Non",TblApplications[Mois prov (calc)],"&lt;="&amp;$E225),SUMIFS(TblApplications[CPU IKS libérable (vCPU)],TblApplications[Cluster IKS source],$F225,TblApplications[Mois lib (calc)],"&lt;="&amp;$E225)))</f>
        <v/>
      </c>
      <c r="Q225" s="19" t="str">
        <f>IF($D225&lt;&gt;1,"",IF($G225="ROKS",SUMIFS(TblApplications[Besoin ROKS RAM (Go)],TblApplications[Cluster ROKS cible],$F225,TblApplications[Action],"À migrer",TblApplications[Déjà incluse ROKS],"Non",TblApplications[Mois prov (calc)],"&lt;="&amp;$E225),SUMIFS(TblApplications[RAM IKS libérable (Go)],TblApplications[Cluster IKS source],$F225,TblApplications[Mois lib (calc)],"&lt;="&amp;$E225)))</f>
        <v/>
      </c>
      <c r="R225" s="19" t="str">
        <f t="shared" si="54"/>
        <v/>
      </c>
      <c r="S225" s="19" t="str">
        <f t="shared" si="55"/>
        <v/>
      </c>
      <c r="T225" s="19" t="str">
        <f t="shared" si="56"/>
        <v/>
      </c>
      <c r="U225" s="19" t="str">
        <f t="shared" si="57"/>
        <v/>
      </c>
      <c r="V225" s="19" t="str">
        <f t="shared" si="58"/>
        <v/>
      </c>
      <c r="W225" s="73" t="str">
        <f t="shared" si="59"/>
        <v/>
      </c>
      <c r="X225" s="19" t="str">
        <f>IF($D225&lt;&gt;1,"",IF($G225="ROKS",$R225,IF($AI225=1,0,MAX($N225,$L225-SUMIFS(TblApplications[CPU IKS libérable (vCPU)],TblApplications[Cluster IKS source],$F225,TblApplications[Action],"À migrer",TblApplications[Mois prov (calc)],"&lt;="&amp;$E225)-SUMIFS(TblApplications[CPU IKS libérable (vCPU)],TblApplications[Cluster IKS source],$F225,TblApplications[Action],"À décommissionner",TblApplications[Mois lib (calc)],"&lt;="&amp;$E225)))))</f>
        <v/>
      </c>
      <c r="Y225" s="19" t="str">
        <f>IF($D225&lt;&gt;1,"",IF($G225="ROKS",$S225,IF($AI225=1,0,MAX($O225,$M225-SUMIFS(TblApplications[RAM IKS libérable (Go)],TblApplications[Cluster IKS source],$F225,TblApplications[Action],"À migrer",TblApplications[Mois prov (calc)],"&lt;="&amp;$E225)-SUMIFS(TblApplications[RAM IKS libérable (Go)],TblApplications[Cluster IKS source],$F225,TblApplications[Action],"À décommissionner",TblApplications[Mois lib (calc)],"&lt;="&amp;$E225)))))</f>
        <v/>
      </c>
      <c r="Z225" s="19" t="str">
        <f t="shared" si="60"/>
        <v/>
      </c>
      <c r="AA225" s="73" t="str">
        <f t="shared" si="61"/>
        <v/>
      </c>
      <c r="AB225" s="19" t="str">
        <f t="shared" si="62"/>
        <v/>
      </c>
      <c r="AC225" s="73" t="str">
        <f t="shared" si="63"/>
        <v/>
      </c>
      <c r="AD225" s="19" t="str">
        <f t="shared" si="64"/>
        <v/>
      </c>
      <c r="AE225" s="19" t="str">
        <f t="shared" si="65"/>
        <v/>
      </c>
      <c r="AF225" s="19" t="str">
        <f>IF($D225&lt;&gt;1,"",IF(INDEX(TblClusters[Environnement],$B225)="","(vide)",INDEX(TblClusters[Environnement],$B225)))</f>
        <v/>
      </c>
      <c r="AG225" s="19" t="str">
        <f t="shared" si="66"/>
        <v/>
      </c>
      <c r="AH225" s="19" t="str">
        <f t="shared" si="67"/>
        <v/>
      </c>
      <c r="AI225" s="19" t="str">
        <f>IF($D225&lt;&gt;1,"",IF(AND($G225="IKS",ISNUMBER(INDEX(TblClusters[Fermeture retenue],$B225))),IF($E225&gt;=INDEX(TblClusters[Fermeture retenue],$B225),1,0),0))</f>
        <v/>
      </c>
    </row>
    <row r="226" spans="1:35" x14ac:dyDescent="0.2">
      <c r="A226" s="19">
        <v>221</v>
      </c>
      <c r="B226" s="19">
        <f t="shared" si="51"/>
        <v>7</v>
      </c>
      <c r="C226" s="19">
        <f t="shared" si="52"/>
        <v>5</v>
      </c>
      <c r="D226" s="19">
        <f>IF($C226&gt;p_horizon,0,IFERROR(IF(AND(INDEX(TblClusters[Cluster],$B226)&lt;&gt;"",ISNUMBER(INDEX(TblClusters[CPU initial (vCPU)],$B226)),ISNUMBER(INDEX(TblClusters[CPU min (vCPU)],$B226)),OR(INDEX(TblClusters[Plateforme],$B226)="IKS",INDEX(TblClusters[Plateforme],$B226)="ROKS")),1,0),0))</f>
        <v>0</v>
      </c>
      <c r="E226" s="72" t="str">
        <f t="shared" si="53"/>
        <v/>
      </c>
      <c r="F226" s="19" t="str">
        <f>IF($D226=1,INDEX(TblClusters[Cluster],$B226),"")</f>
        <v/>
      </c>
      <c r="G226" s="19" t="str">
        <f>IF($D226=1,INDEX(TblClusters[Plateforme],$B226),"")</f>
        <v/>
      </c>
      <c r="H226" s="19" t="str">
        <f>IF($D226=1,INDEX(TblClusters[vCPU par nœud],$B226),"")</f>
        <v/>
      </c>
      <c r="I226" s="19" t="str">
        <f>IF($D226=1,INDEX(TblClusters[RAM par nœud (Go)],$B226),"")</f>
        <v/>
      </c>
      <c r="J226" s="19" t="str">
        <f>IF($D226=1,INDEX(TblClusters[Workers min],$B226),"")</f>
        <v/>
      </c>
      <c r="K226" s="73" t="str">
        <f>IF($D226=1,INDEX(TblClusters[Tarif par nœud],$B226),"")</f>
        <v/>
      </c>
      <c r="L226" s="19" t="str">
        <f>IF($D226=1,INDEX(TblClusters[CPU initial (vCPU)],$B226),"")</f>
        <v/>
      </c>
      <c r="M226" s="19" t="str">
        <f>IF($D226=1,INDEX(TblClusters[RAM initiale (Go)],$B226),"")</f>
        <v/>
      </c>
      <c r="N226" s="19" t="str">
        <f>IF($D226=1,INDEX(TblClusters[CPU min (vCPU)],$B226),"")</f>
        <v/>
      </c>
      <c r="O226" s="19" t="str">
        <f>IF($D226=1,INDEX(TblClusters[RAM min (Go)],$B226),"")</f>
        <v/>
      </c>
      <c r="P226" s="19" t="str">
        <f>IF($D226&lt;&gt;1,"",IF($G226="ROKS",SUMIFS(TblApplications[Besoin ROKS CPU (vCPU)],TblApplications[Cluster ROKS cible],$F226,TblApplications[Action],"À migrer",TblApplications[Déjà incluse ROKS],"Non",TblApplications[Mois prov (calc)],"&lt;="&amp;$E226),SUMIFS(TblApplications[CPU IKS libérable (vCPU)],TblApplications[Cluster IKS source],$F226,TblApplications[Mois lib (calc)],"&lt;="&amp;$E226)))</f>
        <v/>
      </c>
      <c r="Q226" s="19" t="str">
        <f>IF($D226&lt;&gt;1,"",IF($G226="ROKS",SUMIFS(TblApplications[Besoin ROKS RAM (Go)],TblApplications[Cluster ROKS cible],$F226,TblApplications[Action],"À migrer",TblApplications[Déjà incluse ROKS],"Non",TblApplications[Mois prov (calc)],"&lt;="&amp;$E226),SUMIFS(TblApplications[RAM IKS libérable (Go)],TblApplications[Cluster IKS source],$F226,TblApplications[Mois lib (calc)],"&lt;="&amp;$E226)))</f>
        <v/>
      </c>
      <c r="R226" s="19" t="str">
        <f t="shared" si="54"/>
        <v/>
      </c>
      <c r="S226" s="19" t="str">
        <f t="shared" si="55"/>
        <v/>
      </c>
      <c r="T226" s="19" t="str">
        <f t="shared" si="56"/>
        <v/>
      </c>
      <c r="U226" s="19" t="str">
        <f t="shared" si="57"/>
        <v/>
      </c>
      <c r="V226" s="19" t="str">
        <f t="shared" si="58"/>
        <v/>
      </c>
      <c r="W226" s="73" t="str">
        <f t="shared" si="59"/>
        <v/>
      </c>
      <c r="X226" s="19" t="str">
        <f>IF($D226&lt;&gt;1,"",IF($G226="ROKS",$R226,IF($AI226=1,0,MAX($N226,$L226-SUMIFS(TblApplications[CPU IKS libérable (vCPU)],TblApplications[Cluster IKS source],$F226,TblApplications[Action],"À migrer",TblApplications[Mois prov (calc)],"&lt;="&amp;$E226)-SUMIFS(TblApplications[CPU IKS libérable (vCPU)],TblApplications[Cluster IKS source],$F226,TblApplications[Action],"À décommissionner",TblApplications[Mois lib (calc)],"&lt;="&amp;$E226)))))</f>
        <v/>
      </c>
      <c r="Y226" s="19" t="str">
        <f>IF($D226&lt;&gt;1,"",IF($G226="ROKS",$S226,IF($AI226=1,0,MAX($O226,$M226-SUMIFS(TblApplications[RAM IKS libérable (Go)],TblApplications[Cluster IKS source],$F226,TblApplications[Action],"À migrer",TblApplications[Mois prov (calc)],"&lt;="&amp;$E226)-SUMIFS(TblApplications[RAM IKS libérable (Go)],TblApplications[Cluster IKS source],$F226,TblApplications[Action],"À décommissionner",TblApplications[Mois lib (calc)],"&lt;="&amp;$E226)))))</f>
        <v/>
      </c>
      <c r="Z226" s="19" t="str">
        <f t="shared" si="60"/>
        <v/>
      </c>
      <c r="AA226" s="73" t="str">
        <f t="shared" si="61"/>
        <v/>
      </c>
      <c r="AB226" s="19" t="str">
        <f t="shared" si="62"/>
        <v/>
      </c>
      <c r="AC226" s="73" t="str">
        <f t="shared" si="63"/>
        <v/>
      </c>
      <c r="AD226" s="19" t="str">
        <f t="shared" si="64"/>
        <v/>
      </c>
      <c r="AE226" s="19" t="str">
        <f t="shared" si="65"/>
        <v/>
      </c>
      <c r="AF226" s="19" t="str">
        <f>IF($D226&lt;&gt;1,"",IF(INDEX(TblClusters[Environnement],$B226)="","(vide)",INDEX(TblClusters[Environnement],$B226)))</f>
        <v/>
      </c>
      <c r="AG226" s="19" t="str">
        <f t="shared" si="66"/>
        <v/>
      </c>
      <c r="AH226" s="19" t="str">
        <f t="shared" si="67"/>
        <v/>
      </c>
      <c r="AI226" s="19" t="str">
        <f>IF($D226&lt;&gt;1,"",IF(AND($G226="IKS",ISNUMBER(INDEX(TblClusters[Fermeture retenue],$B226))),IF($E226&gt;=INDEX(TblClusters[Fermeture retenue],$B226),1,0),0))</f>
        <v/>
      </c>
    </row>
    <row r="227" spans="1:35" x14ac:dyDescent="0.2">
      <c r="A227" s="19">
        <v>222</v>
      </c>
      <c r="B227" s="19">
        <f t="shared" si="51"/>
        <v>7</v>
      </c>
      <c r="C227" s="19">
        <f t="shared" si="52"/>
        <v>6</v>
      </c>
      <c r="D227" s="19">
        <f>IF($C227&gt;p_horizon,0,IFERROR(IF(AND(INDEX(TblClusters[Cluster],$B227)&lt;&gt;"",ISNUMBER(INDEX(TblClusters[CPU initial (vCPU)],$B227)),ISNUMBER(INDEX(TblClusters[CPU min (vCPU)],$B227)),OR(INDEX(TblClusters[Plateforme],$B227)="IKS",INDEX(TblClusters[Plateforme],$B227)="ROKS")),1,0),0))</f>
        <v>0</v>
      </c>
      <c r="E227" s="72" t="str">
        <f t="shared" si="53"/>
        <v/>
      </c>
      <c r="F227" s="19" t="str">
        <f>IF($D227=1,INDEX(TblClusters[Cluster],$B227),"")</f>
        <v/>
      </c>
      <c r="G227" s="19" t="str">
        <f>IF($D227=1,INDEX(TblClusters[Plateforme],$B227),"")</f>
        <v/>
      </c>
      <c r="H227" s="19" t="str">
        <f>IF($D227=1,INDEX(TblClusters[vCPU par nœud],$B227),"")</f>
        <v/>
      </c>
      <c r="I227" s="19" t="str">
        <f>IF($D227=1,INDEX(TblClusters[RAM par nœud (Go)],$B227),"")</f>
        <v/>
      </c>
      <c r="J227" s="19" t="str">
        <f>IF($D227=1,INDEX(TblClusters[Workers min],$B227),"")</f>
        <v/>
      </c>
      <c r="K227" s="73" t="str">
        <f>IF($D227=1,INDEX(TblClusters[Tarif par nœud],$B227),"")</f>
        <v/>
      </c>
      <c r="L227" s="19" t="str">
        <f>IF($D227=1,INDEX(TblClusters[CPU initial (vCPU)],$B227),"")</f>
        <v/>
      </c>
      <c r="M227" s="19" t="str">
        <f>IF($D227=1,INDEX(TblClusters[RAM initiale (Go)],$B227),"")</f>
        <v/>
      </c>
      <c r="N227" s="19" t="str">
        <f>IF($D227=1,INDEX(TblClusters[CPU min (vCPU)],$B227),"")</f>
        <v/>
      </c>
      <c r="O227" s="19" t="str">
        <f>IF($D227=1,INDEX(TblClusters[RAM min (Go)],$B227),"")</f>
        <v/>
      </c>
      <c r="P227" s="19" t="str">
        <f>IF($D227&lt;&gt;1,"",IF($G227="ROKS",SUMIFS(TblApplications[Besoin ROKS CPU (vCPU)],TblApplications[Cluster ROKS cible],$F227,TblApplications[Action],"À migrer",TblApplications[Déjà incluse ROKS],"Non",TblApplications[Mois prov (calc)],"&lt;="&amp;$E227),SUMIFS(TblApplications[CPU IKS libérable (vCPU)],TblApplications[Cluster IKS source],$F227,TblApplications[Mois lib (calc)],"&lt;="&amp;$E227)))</f>
        <v/>
      </c>
      <c r="Q227" s="19" t="str">
        <f>IF($D227&lt;&gt;1,"",IF($G227="ROKS",SUMIFS(TblApplications[Besoin ROKS RAM (Go)],TblApplications[Cluster ROKS cible],$F227,TblApplications[Action],"À migrer",TblApplications[Déjà incluse ROKS],"Non",TblApplications[Mois prov (calc)],"&lt;="&amp;$E227),SUMIFS(TblApplications[RAM IKS libérable (Go)],TblApplications[Cluster IKS source],$F227,TblApplications[Mois lib (calc)],"&lt;="&amp;$E227)))</f>
        <v/>
      </c>
      <c r="R227" s="19" t="str">
        <f t="shared" si="54"/>
        <v/>
      </c>
      <c r="S227" s="19" t="str">
        <f t="shared" si="55"/>
        <v/>
      </c>
      <c r="T227" s="19" t="str">
        <f t="shared" si="56"/>
        <v/>
      </c>
      <c r="U227" s="19" t="str">
        <f t="shared" si="57"/>
        <v/>
      </c>
      <c r="V227" s="19" t="str">
        <f t="shared" si="58"/>
        <v/>
      </c>
      <c r="W227" s="73" t="str">
        <f t="shared" si="59"/>
        <v/>
      </c>
      <c r="X227" s="19" t="str">
        <f>IF($D227&lt;&gt;1,"",IF($G227="ROKS",$R227,IF($AI227=1,0,MAX($N227,$L227-SUMIFS(TblApplications[CPU IKS libérable (vCPU)],TblApplications[Cluster IKS source],$F227,TblApplications[Action],"À migrer",TblApplications[Mois prov (calc)],"&lt;="&amp;$E227)-SUMIFS(TblApplications[CPU IKS libérable (vCPU)],TblApplications[Cluster IKS source],$F227,TblApplications[Action],"À décommissionner",TblApplications[Mois lib (calc)],"&lt;="&amp;$E227)))))</f>
        <v/>
      </c>
      <c r="Y227" s="19" t="str">
        <f>IF($D227&lt;&gt;1,"",IF($G227="ROKS",$S227,IF($AI227=1,0,MAX($O227,$M227-SUMIFS(TblApplications[RAM IKS libérable (Go)],TblApplications[Cluster IKS source],$F227,TblApplications[Action],"À migrer",TblApplications[Mois prov (calc)],"&lt;="&amp;$E227)-SUMIFS(TblApplications[RAM IKS libérable (Go)],TblApplications[Cluster IKS source],$F227,TblApplications[Action],"À décommissionner",TblApplications[Mois lib (calc)],"&lt;="&amp;$E227)))))</f>
        <v/>
      </c>
      <c r="Z227" s="19" t="str">
        <f t="shared" si="60"/>
        <v/>
      </c>
      <c r="AA227" s="73" t="str">
        <f t="shared" si="61"/>
        <v/>
      </c>
      <c r="AB227" s="19" t="str">
        <f t="shared" si="62"/>
        <v/>
      </c>
      <c r="AC227" s="73" t="str">
        <f t="shared" si="63"/>
        <v/>
      </c>
      <c r="AD227" s="19" t="str">
        <f t="shared" si="64"/>
        <v/>
      </c>
      <c r="AE227" s="19" t="str">
        <f t="shared" si="65"/>
        <v/>
      </c>
      <c r="AF227" s="19" t="str">
        <f>IF($D227&lt;&gt;1,"",IF(INDEX(TblClusters[Environnement],$B227)="","(vide)",INDEX(TblClusters[Environnement],$B227)))</f>
        <v/>
      </c>
      <c r="AG227" s="19" t="str">
        <f t="shared" si="66"/>
        <v/>
      </c>
      <c r="AH227" s="19" t="str">
        <f t="shared" si="67"/>
        <v/>
      </c>
      <c r="AI227" s="19" t="str">
        <f>IF($D227&lt;&gt;1,"",IF(AND($G227="IKS",ISNUMBER(INDEX(TblClusters[Fermeture retenue],$B227))),IF($E227&gt;=INDEX(TblClusters[Fermeture retenue],$B227),1,0),0))</f>
        <v/>
      </c>
    </row>
    <row r="228" spans="1:35" x14ac:dyDescent="0.2">
      <c r="A228" s="19">
        <v>223</v>
      </c>
      <c r="B228" s="19">
        <f t="shared" si="51"/>
        <v>7</v>
      </c>
      <c r="C228" s="19">
        <f t="shared" si="52"/>
        <v>7</v>
      </c>
      <c r="D228" s="19">
        <f>IF($C228&gt;p_horizon,0,IFERROR(IF(AND(INDEX(TblClusters[Cluster],$B228)&lt;&gt;"",ISNUMBER(INDEX(TblClusters[CPU initial (vCPU)],$B228)),ISNUMBER(INDEX(TblClusters[CPU min (vCPU)],$B228)),OR(INDEX(TblClusters[Plateforme],$B228)="IKS",INDEX(TblClusters[Plateforme],$B228)="ROKS")),1,0),0))</f>
        <v>0</v>
      </c>
      <c r="E228" s="72" t="str">
        <f t="shared" si="53"/>
        <v/>
      </c>
      <c r="F228" s="19" t="str">
        <f>IF($D228=1,INDEX(TblClusters[Cluster],$B228),"")</f>
        <v/>
      </c>
      <c r="G228" s="19" t="str">
        <f>IF($D228=1,INDEX(TblClusters[Plateforme],$B228),"")</f>
        <v/>
      </c>
      <c r="H228" s="19" t="str">
        <f>IF($D228=1,INDEX(TblClusters[vCPU par nœud],$B228),"")</f>
        <v/>
      </c>
      <c r="I228" s="19" t="str">
        <f>IF($D228=1,INDEX(TblClusters[RAM par nœud (Go)],$B228),"")</f>
        <v/>
      </c>
      <c r="J228" s="19" t="str">
        <f>IF($D228=1,INDEX(TblClusters[Workers min],$B228),"")</f>
        <v/>
      </c>
      <c r="K228" s="73" t="str">
        <f>IF($D228=1,INDEX(TblClusters[Tarif par nœud],$B228),"")</f>
        <v/>
      </c>
      <c r="L228" s="19" t="str">
        <f>IF($D228=1,INDEX(TblClusters[CPU initial (vCPU)],$B228),"")</f>
        <v/>
      </c>
      <c r="M228" s="19" t="str">
        <f>IF($D228=1,INDEX(TblClusters[RAM initiale (Go)],$B228),"")</f>
        <v/>
      </c>
      <c r="N228" s="19" t="str">
        <f>IF($D228=1,INDEX(TblClusters[CPU min (vCPU)],$B228),"")</f>
        <v/>
      </c>
      <c r="O228" s="19" t="str">
        <f>IF($D228=1,INDEX(TblClusters[RAM min (Go)],$B228),"")</f>
        <v/>
      </c>
      <c r="P228" s="19" t="str">
        <f>IF($D228&lt;&gt;1,"",IF($G228="ROKS",SUMIFS(TblApplications[Besoin ROKS CPU (vCPU)],TblApplications[Cluster ROKS cible],$F228,TblApplications[Action],"À migrer",TblApplications[Déjà incluse ROKS],"Non",TblApplications[Mois prov (calc)],"&lt;="&amp;$E228),SUMIFS(TblApplications[CPU IKS libérable (vCPU)],TblApplications[Cluster IKS source],$F228,TblApplications[Mois lib (calc)],"&lt;="&amp;$E228)))</f>
        <v/>
      </c>
      <c r="Q228" s="19" t="str">
        <f>IF($D228&lt;&gt;1,"",IF($G228="ROKS",SUMIFS(TblApplications[Besoin ROKS RAM (Go)],TblApplications[Cluster ROKS cible],$F228,TblApplications[Action],"À migrer",TblApplications[Déjà incluse ROKS],"Non",TblApplications[Mois prov (calc)],"&lt;="&amp;$E228),SUMIFS(TblApplications[RAM IKS libérable (Go)],TblApplications[Cluster IKS source],$F228,TblApplications[Mois lib (calc)],"&lt;="&amp;$E228)))</f>
        <v/>
      </c>
      <c r="R228" s="19" t="str">
        <f t="shared" si="54"/>
        <v/>
      </c>
      <c r="S228" s="19" t="str">
        <f t="shared" si="55"/>
        <v/>
      </c>
      <c r="T228" s="19" t="str">
        <f t="shared" si="56"/>
        <v/>
      </c>
      <c r="U228" s="19" t="str">
        <f t="shared" si="57"/>
        <v/>
      </c>
      <c r="V228" s="19" t="str">
        <f t="shared" si="58"/>
        <v/>
      </c>
      <c r="W228" s="73" t="str">
        <f t="shared" si="59"/>
        <v/>
      </c>
      <c r="X228" s="19" t="str">
        <f>IF($D228&lt;&gt;1,"",IF($G228="ROKS",$R228,IF($AI228=1,0,MAX($N228,$L228-SUMIFS(TblApplications[CPU IKS libérable (vCPU)],TblApplications[Cluster IKS source],$F228,TblApplications[Action],"À migrer",TblApplications[Mois prov (calc)],"&lt;="&amp;$E228)-SUMIFS(TblApplications[CPU IKS libérable (vCPU)],TblApplications[Cluster IKS source],$F228,TblApplications[Action],"À décommissionner",TblApplications[Mois lib (calc)],"&lt;="&amp;$E228)))))</f>
        <v/>
      </c>
      <c r="Y228" s="19" t="str">
        <f>IF($D228&lt;&gt;1,"",IF($G228="ROKS",$S228,IF($AI228=1,0,MAX($O228,$M228-SUMIFS(TblApplications[RAM IKS libérable (Go)],TblApplications[Cluster IKS source],$F228,TblApplications[Action],"À migrer",TblApplications[Mois prov (calc)],"&lt;="&amp;$E228)-SUMIFS(TblApplications[RAM IKS libérable (Go)],TblApplications[Cluster IKS source],$F228,TblApplications[Action],"À décommissionner",TblApplications[Mois lib (calc)],"&lt;="&amp;$E228)))))</f>
        <v/>
      </c>
      <c r="Z228" s="19" t="str">
        <f t="shared" si="60"/>
        <v/>
      </c>
      <c r="AA228" s="73" t="str">
        <f t="shared" si="61"/>
        <v/>
      </c>
      <c r="AB228" s="19" t="str">
        <f t="shared" si="62"/>
        <v/>
      </c>
      <c r="AC228" s="73" t="str">
        <f t="shared" si="63"/>
        <v/>
      </c>
      <c r="AD228" s="19" t="str">
        <f t="shared" si="64"/>
        <v/>
      </c>
      <c r="AE228" s="19" t="str">
        <f t="shared" si="65"/>
        <v/>
      </c>
      <c r="AF228" s="19" t="str">
        <f>IF($D228&lt;&gt;1,"",IF(INDEX(TblClusters[Environnement],$B228)="","(vide)",INDEX(TblClusters[Environnement],$B228)))</f>
        <v/>
      </c>
      <c r="AG228" s="19" t="str">
        <f t="shared" si="66"/>
        <v/>
      </c>
      <c r="AH228" s="19" t="str">
        <f t="shared" si="67"/>
        <v/>
      </c>
      <c r="AI228" s="19" t="str">
        <f>IF($D228&lt;&gt;1,"",IF(AND($G228="IKS",ISNUMBER(INDEX(TblClusters[Fermeture retenue],$B228))),IF($E228&gt;=INDEX(TblClusters[Fermeture retenue],$B228),1,0),0))</f>
        <v/>
      </c>
    </row>
    <row r="229" spans="1:35" x14ac:dyDescent="0.2">
      <c r="A229" s="19">
        <v>224</v>
      </c>
      <c r="B229" s="19">
        <f t="shared" si="51"/>
        <v>7</v>
      </c>
      <c r="C229" s="19">
        <f t="shared" si="52"/>
        <v>8</v>
      </c>
      <c r="D229" s="19">
        <f>IF($C229&gt;p_horizon,0,IFERROR(IF(AND(INDEX(TblClusters[Cluster],$B229)&lt;&gt;"",ISNUMBER(INDEX(TblClusters[CPU initial (vCPU)],$B229)),ISNUMBER(INDEX(TblClusters[CPU min (vCPU)],$B229)),OR(INDEX(TblClusters[Plateforme],$B229)="IKS",INDEX(TblClusters[Plateforme],$B229)="ROKS")),1,0),0))</f>
        <v>0</v>
      </c>
      <c r="E229" s="72" t="str">
        <f t="shared" si="53"/>
        <v/>
      </c>
      <c r="F229" s="19" t="str">
        <f>IF($D229=1,INDEX(TblClusters[Cluster],$B229),"")</f>
        <v/>
      </c>
      <c r="G229" s="19" t="str">
        <f>IF($D229=1,INDEX(TblClusters[Plateforme],$B229),"")</f>
        <v/>
      </c>
      <c r="H229" s="19" t="str">
        <f>IF($D229=1,INDEX(TblClusters[vCPU par nœud],$B229),"")</f>
        <v/>
      </c>
      <c r="I229" s="19" t="str">
        <f>IF($D229=1,INDEX(TblClusters[RAM par nœud (Go)],$B229),"")</f>
        <v/>
      </c>
      <c r="J229" s="19" t="str">
        <f>IF($D229=1,INDEX(TblClusters[Workers min],$B229),"")</f>
        <v/>
      </c>
      <c r="K229" s="73" t="str">
        <f>IF($D229=1,INDEX(TblClusters[Tarif par nœud],$B229),"")</f>
        <v/>
      </c>
      <c r="L229" s="19" t="str">
        <f>IF($D229=1,INDEX(TblClusters[CPU initial (vCPU)],$B229),"")</f>
        <v/>
      </c>
      <c r="M229" s="19" t="str">
        <f>IF($D229=1,INDEX(TblClusters[RAM initiale (Go)],$B229),"")</f>
        <v/>
      </c>
      <c r="N229" s="19" t="str">
        <f>IF($D229=1,INDEX(TblClusters[CPU min (vCPU)],$B229),"")</f>
        <v/>
      </c>
      <c r="O229" s="19" t="str">
        <f>IF($D229=1,INDEX(TblClusters[RAM min (Go)],$B229),"")</f>
        <v/>
      </c>
      <c r="P229" s="19" t="str">
        <f>IF($D229&lt;&gt;1,"",IF($G229="ROKS",SUMIFS(TblApplications[Besoin ROKS CPU (vCPU)],TblApplications[Cluster ROKS cible],$F229,TblApplications[Action],"À migrer",TblApplications[Déjà incluse ROKS],"Non",TblApplications[Mois prov (calc)],"&lt;="&amp;$E229),SUMIFS(TblApplications[CPU IKS libérable (vCPU)],TblApplications[Cluster IKS source],$F229,TblApplications[Mois lib (calc)],"&lt;="&amp;$E229)))</f>
        <v/>
      </c>
      <c r="Q229" s="19" t="str">
        <f>IF($D229&lt;&gt;1,"",IF($G229="ROKS",SUMIFS(TblApplications[Besoin ROKS RAM (Go)],TblApplications[Cluster ROKS cible],$F229,TblApplications[Action],"À migrer",TblApplications[Déjà incluse ROKS],"Non",TblApplications[Mois prov (calc)],"&lt;="&amp;$E229),SUMIFS(TblApplications[RAM IKS libérable (Go)],TblApplications[Cluster IKS source],$F229,TblApplications[Mois lib (calc)],"&lt;="&amp;$E229)))</f>
        <v/>
      </c>
      <c r="R229" s="19" t="str">
        <f t="shared" si="54"/>
        <v/>
      </c>
      <c r="S229" s="19" t="str">
        <f t="shared" si="55"/>
        <v/>
      </c>
      <c r="T229" s="19" t="str">
        <f t="shared" si="56"/>
        <v/>
      </c>
      <c r="U229" s="19" t="str">
        <f t="shared" si="57"/>
        <v/>
      </c>
      <c r="V229" s="19" t="str">
        <f t="shared" si="58"/>
        <v/>
      </c>
      <c r="W229" s="73" t="str">
        <f t="shared" si="59"/>
        <v/>
      </c>
      <c r="X229" s="19" t="str">
        <f>IF($D229&lt;&gt;1,"",IF($G229="ROKS",$R229,IF($AI229=1,0,MAX($N229,$L229-SUMIFS(TblApplications[CPU IKS libérable (vCPU)],TblApplications[Cluster IKS source],$F229,TblApplications[Action],"À migrer",TblApplications[Mois prov (calc)],"&lt;="&amp;$E229)-SUMIFS(TblApplications[CPU IKS libérable (vCPU)],TblApplications[Cluster IKS source],$F229,TblApplications[Action],"À décommissionner",TblApplications[Mois lib (calc)],"&lt;="&amp;$E229)))))</f>
        <v/>
      </c>
      <c r="Y229" s="19" t="str">
        <f>IF($D229&lt;&gt;1,"",IF($G229="ROKS",$S229,IF($AI229=1,0,MAX($O229,$M229-SUMIFS(TblApplications[RAM IKS libérable (Go)],TblApplications[Cluster IKS source],$F229,TblApplications[Action],"À migrer",TblApplications[Mois prov (calc)],"&lt;="&amp;$E229)-SUMIFS(TblApplications[RAM IKS libérable (Go)],TblApplications[Cluster IKS source],$F229,TblApplications[Action],"À décommissionner",TblApplications[Mois lib (calc)],"&lt;="&amp;$E229)))))</f>
        <v/>
      </c>
      <c r="Z229" s="19" t="str">
        <f t="shared" si="60"/>
        <v/>
      </c>
      <c r="AA229" s="73" t="str">
        <f t="shared" si="61"/>
        <v/>
      </c>
      <c r="AB229" s="19" t="str">
        <f t="shared" si="62"/>
        <v/>
      </c>
      <c r="AC229" s="73" t="str">
        <f t="shared" si="63"/>
        <v/>
      </c>
      <c r="AD229" s="19" t="str">
        <f t="shared" si="64"/>
        <v/>
      </c>
      <c r="AE229" s="19" t="str">
        <f t="shared" si="65"/>
        <v/>
      </c>
      <c r="AF229" s="19" t="str">
        <f>IF($D229&lt;&gt;1,"",IF(INDEX(TblClusters[Environnement],$B229)="","(vide)",INDEX(TblClusters[Environnement],$B229)))</f>
        <v/>
      </c>
      <c r="AG229" s="19" t="str">
        <f t="shared" si="66"/>
        <v/>
      </c>
      <c r="AH229" s="19" t="str">
        <f t="shared" si="67"/>
        <v/>
      </c>
      <c r="AI229" s="19" t="str">
        <f>IF($D229&lt;&gt;1,"",IF(AND($G229="IKS",ISNUMBER(INDEX(TblClusters[Fermeture retenue],$B229))),IF($E229&gt;=INDEX(TblClusters[Fermeture retenue],$B229),1,0),0))</f>
        <v/>
      </c>
    </row>
    <row r="230" spans="1:35" x14ac:dyDescent="0.2">
      <c r="A230" s="19">
        <v>225</v>
      </c>
      <c r="B230" s="19">
        <f t="shared" si="51"/>
        <v>7</v>
      </c>
      <c r="C230" s="19">
        <f t="shared" si="52"/>
        <v>9</v>
      </c>
      <c r="D230" s="19">
        <f>IF($C230&gt;p_horizon,0,IFERROR(IF(AND(INDEX(TblClusters[Cluster],$B230)&lt;&gt;"",ISNUMBER(INDEX(TblClusters[CPU initial (vCPU)],$B230)),ISNUMBER(INDEX(TblClusters[CPU min (vCPU)],$B230)),OR(INDEX(TblClusters[Plateforme],$B230)="IKS",INDEX(TblClusters[Plateforme],$B230)="ROKS")),1,0),0))</f>
        <v>0</v>
      </c>
      <c r="E230" s="72" t="str">
        <f t="shared" si="53"/>
        <v/>
      </c>
      <c r="F230" s="19" t="str">
        <f>IF($D230=1,INDEX(TblClusters[Cluster],$B230),"")</f>
        <v/>
      </c>
      <c r="G230" s="19" t="str">
        <f>IF($D230=1,INDEX(TblClusters[Plateforme],$B230),"")</f>
        <v/>
      </c>
      <c r="H230" s="19" t="str">
        <f>IF($D230=1,INDEX(TblClusters[vCPU par nœud],$B230),"")</f>
        <v/>
      </c>
      <c r="I230" s="19" t="str">
        <f>IF($D230=1,INDEX(TblClusters[RAM par nœud (Go)],$B230),"")</f>
        <v/>
      </c>
      <c r="J230" s="19" t="str">
        <f>IF($D230=1,INDEX(TblClusters[Workers min],$B230),"")</f>
        <v/>
      </c>
      <c r="K230" s="73" t="str">
        <f>IF($D230=1,INDEX(TblClusters[Tarif par nœud],$B230),"")</f>
        <v/>
      </c>
      <c r="L230" s="19" t="str">
        <f>IF($D230=1,INDEX(TblClusters[CPU initial (vCPU)],$B230),"")</f>
        <v/>
      </c>
      <c r="M230" s="19" t="str">
        <f>IF($D230=1,INDEX(TblClusters[RAM initiale (Go)],$B230),"")</f>
        <v/>
      </c>
      <c r="N230" s="19" t="str">
        <f>IF($D230=1,INDEX(TblClusters[CPU min (vCPU)],$B230),"")</f>
        <v/>
      </c>
      <c r="O230" s="19" t="str">
        <f>IF($D230=1,INDEX(TblClusters[RAM min (Go)],$B230),"")</f>
        <v/>
      </c>
      <c r="P230" s="19" t="str">
        <f>IF($D230&lt;&gt;1,"",IF($G230="ROKS",SUMIFS(TblApplications[Besoin ROKS CPU (vCPU)],TblApplications[Cluster ROKS cible],$F230,TblApplications[Action],"À migrer",TblApplications[Déjà incluse ROKS],"Non",TblApplications[Mois prov (calc)],"&lt;="&amp;$E230),SUMIFS(TblApplications[CPU IKS libérable (vCPU)],TblApplications[Cluster IKS source],$F230,TblApplications[Mois lib (calc)],"&lt;="&amp;$E230)))</f>
        <v/>
      </c>
      <c r="Q230" s="19" t="str">
        <f>IF($D230&lt;&gt;1,"",IF($G230="ROKS",SUMIFS(TblApplications[Besoin ROKS RAM (Go)],TblApplications[Cluster ROKS cible],$F230,TblApplications[Action],"À migrer",TblApplications[Déjà incluse ROKS],"Non",TblApplications[Mois prov (calc)],"&lt;="&amp;$E230),SUMIFS(TblApplications[RAM IKS libérable (Go)],TblApplications[Cluster IKS source],$F230,TblApplications[Mois lib (calc)],"&lt;="&amp;$E230)))</f>
        <v/>
      </c>
      <c r="R230" s="19" t="str">
        <f t="shared" si="54"/>
        <v/>
      </c>
      <c r="S230" s="19" t="str">
        <f t="shared" si="55"/>
        <v/>
      </c>
      <c r="T230" s="19" t="str">
        <f t="shared" si="56"/>
        <v/>
      </c>
      <c r="U230" s="19" t="str">
        <f t="shared" si="57"/>
        <v/>
      </c>
      <c r="V230" s="19" t="str">
        <f t="shared" si="58"/>
        <v/>
      </c>
      <c r="W230" s="73" t="str">
        <f t="shared" si="59"/>
        <v/>
      </c>
      <c r="X230" s="19" t="str">
        <f>IF($D230&lt;&gt;1,"",IF($G230="ROKS",$R230,IF($AI230=1,0,MAX($N230,$L230-SUMIFS(TblApplications[CPU IKS libérable (vCPU)],TblApplications[Cluster IKS source],$F230,TblApplications[Action],"À migrer",TblApplications[Mois prov (calc)],"&lt;="&amp;$E230)-SUMIFS(TblApplications[CPU IKS libérable (vCPU)],TblApplications[Cluster IKS source],$F230,TblApplications[Action],"À décommissionner",TblApplications[Mois lib (calc)],"&lt;="&amp;$E230)))))</f>
        <v/>
      </c>
      <c r="Y230" s="19" t="str">
        <f>IF($D230&lt;&gt;1,"",IF($G230="ROKS",$S230,IF($AI230=1,0,MAX($O230,$M230-SUMIFS(TblApplications[RAM IKS libérable (Go)],TblApplications[Cluster IKS source],$F230,TblApplications[Action],"À migrer",TblApplications[Mois prov (calc)],"&lt;="&amp;$E230)-SUMIFS(TblApplications[RAM IKS libérable (Go)],TblApplications[Cluster IKS source],$F230,TblApplications[Action],"À décommissionner",TblApplications[Mois lib (calc)],"&lt;="&amp;$E230)))))</f>
        <v/>
      </c>
      <c r="Z230" s="19" t="str">
        <f t="shared" si="60"/>
        <v/>
      </c>
      <c r="AA230" s="73" t="str">
        <f t="shared" si="61"/>
        <v/>
      </c>
      <c r="AB230" s="19" t="str">
        <f t="shared" si="62"/>
        <v/>
      </c>
      <c r="AC230" s="73" t="str">
        <f t="shared" si="63"/>
        <v/>
      </c>
      <c r="AD230" s="19" t="str">
        <f t="shared" si="64"/>
        <v/>
      </c>
      <c r="AE230" s="19" t="str">
        <f t="shared" si="65"/>
        <v/>
      </c>
      <c r="AF230" s="19" t="str">
        <f>IF($D230&lt;&gt;1,"",IF(INDEX(TblClusters[Environnement],$B230)="","(vide)",INDEX(TblClusters[Environnement],$B230)))</f>
        <v/>
      </c>
      <c r="AG230" s="19" t="str">
        <f t="shared" si="66"/>
        <v/>
      </c>
      <c r="AH230" s="19" t="str">
        <f t="shared" si="67"/>
        <v/>
      </c>
      <c r="AI230" s="19" t="str">
        <f>IF($D230&lt;&gt;1,"",IF(AND($G230="IKS",ISNUMBER(INDEX(TblClusters[Fermeture retenue],$B230))),IF($E230&gt;=INDEX(TblClusters[Fermeture retenue],$B230),1,0),0))</f>
        <v/>
      </c>
    </row>
    <row r="231" spans="1:35" x14ac:dyDescent="0.2">
      <c r="A231" s="19">
        <v>226</v>
      </c>
      <c r="B231" s="19">
        <f t="shared" si="51"/>
        <v>7</v>
      </c>
      <c r="C231" s="19">
        <f t="shared" si="52"/>
        <v>10</v>
      </c>
      <c r="D231" s="19">
        <f>IF($C231&gt;p_horizon,0,IFERROR(IF(AND(INDEX(TblClusters[Cluster],$B231)&lt;&gt;"",ISNUMBER(INDEX(TblClusters[CPU initial (vCPU)],$B231)),ISNUMBER(INDEX(TblClusters[CPU min (vCPU)],$B231)),OR(INDEX(TblClusters[Plateforme],$B231)="IKS",INDEX(TblClusters[Plateforme],$B231)="ROKS")),1,0),0))</f>
        <v>0</v>
      </c>
      <c r="E231" s="72" t="str">
        <f t="shared" si="53"/>
        <v/>
      </c>
      <c r="F231" s="19" t="str">
        <f>IF($D231=1,INDEX(TblClusters[Cluster],$B231),"")</f>
        <v/>
      </c>
      <c r="G231" s="19" t="str">
        <f>IF($D231=1,INDEX(TblClusters[Plateforme],$B231),"")</f>
        <v/>
      </c>
      <c r="H231" s="19" t="str">
        <f>IF($D231=1,INDEX(TblClusters[vCPU par nœud],$B231),"")</f>
        <v/>
      </c>
      <c r="I231" s="19" t="str">
        <f>IF($D231=1,INDEX(TblClusters[RAM par nœud (Go)],$B231),"")</f>
        <v/>
      </c>
      <c r="J231" s="19" t="str">
        <f>IF($D231=1,INDEX(TblClusters[Workers min],$B231),"")</f>
        <v/>
      </c>
      <c r="K231" s="73" t="str">
        <f>IF($D231=1,INDEX(TblClusters[Tarif par nœud],$B231),"")</f>
        <v/>
      </c>
      <c r="L231" s="19" t="str">
        <f>IF($D231=1,INDEX(TblClusters[CPU initial (vCPU)],$B231),"")</f>
        <v/>
      </c>
      <c r="M231" s="19" t="str">
        <f>IF($D231=1,INDEX(TblClusters[RAM initiale (Go)],$B231),"")</f>
        <v/>
      </c>
      <c r="N231" s="19" t="str">
        <f>IF($D231=1,INDEX(TblClusters[CPU min (vCPU)],$B231),"")</f>
        <v/>
      </c>
      <c r="O231" s="19" t="str">
        <f>IF($D231=1,INDEX(TblClusters[RAM min (Go)],$B231),"")</f>
        <v/>
      </c>
      <c r="P231" s="19" t="str">
        <f>IF($D231&lt;&gt;1,"",IF($G231="ROKS",SUMIFS(TblApplications[Besoin ROKS CPU (vCPU)],TblApplications[Cluster ROKS cible],$F231,TblApplications[Action],"À migrer",TblApplications[Déjà incluse ROKS],"Non",TblApplications[Mois prov (calc)],"&lt;="&amp;$E231),SUMIFS(TblApplications[CPU IKS libérable (vCPU)],TblApplications[Cluster IKS source],$F231,TblApplications[Mois lib (calc)],"&lt;="&amp;$E231)))</f>
        <v/>
      </c>
      <c r="Q231" s="19" t="str">
        <f>IF($D231&lt;&gt;1,"",IF($G231="ROKS",SUMIFS(TblApplications[Besoin ROKS RAM (Go)],TblApplications[Cluster ROKS cible],$F231,TblApplications[Action],"À migrer",TblApplications[Déjà incluse ROKS],"Non",TblApplications[Mois prov (calc)],"&lt;="&amp;$E231),SUMIFS(TblApplications[RAM IKS libérable (Go)],TblApplications[Cluster IKS source],$F231,TblApplications[Mois lib (calc)],"&lt;="&amp;$E231)))</f>
        <v/>
      </c>
      <c r="R231" s="19" t="str">
        <f t="shared" si="54"/>
        <v/>
      </c>
      <c r="S231" s="19" t="str">
        <f t="shared" si="55"/>
        <v/>
      </c>
      <c r="T231" s="19" t="str">
        <f t="shared" si="56"/>
        <v/>
      </c>
      <c r="U231" s="19" t="str">
        <f t="shared" si="57"/>
        <v/>
      </c>
      <c r="V231" s="19" t="str">
        <f t="shared" si="58"/>
        <v/>
      </c>
      <c r="W231" s="73" t="str">
        <f t="shared" si="59"/>
        <v/>
      </c>
      <c r="X231" s="19" t="str">
        <f>IF($D231&lt;&gt;1,"",IF($G231="ROKS",$R231,IF($AI231=1,0,MAX($N231,$L231-SUMIFS(TblApplications[CPU IKS libérable (vCPU)],TblApplications[Cluster IKS source],$F231,TblApplications[Action],"À migrer",TblApplications[Mois prov (calc)],"&lt;="&amp;$E231)-SUMIFS(TblApplications[CPU IKS libérable (vCPU)],TblApplications[Cluster IKS source],$F231,TblApplications[Action],"À décommissionner",TblApplications[Mois lib (calc)],"&lt;="&amp;$E231)))))</f>
        <v/>
      </c>
      <c r="Y231" s="19" t="str">
        <f>IF($D231&lt;&gt;1,"",IF($G231="ROKS",$S231,IF($AI231=1,0,MAX($O231,$M231-SUMIFS(TblApplications[RAM IKS libérable (Go)],TblApplications[Cluster IKS source],$F231,TblApplications[Action],"À migrer",TblApplications[Mois prov (calc)],"&lt;="&amp;$E231)-SUMIFS(TblApplications[RAM IKS libérable (Go)],TblApplications[Cluster IKS source],$F231,TblApplications[Action],"À décommissionner",TblApplications[Mois lib (calc)],"&lt;="&amp;$E231)))))</f>
        <v/>
      </c>
      <c r="Z231" s="19" t="str">
        <f t="shared" si="60"/>
        <v/>
      </c>
      <c r="AA231" s="73" t="str">
        <f t="shared" si="61"/>
        <v/>
      </c>
      <c r="AB231" s="19" t="str">
        <f t="shared" si="62"/>
        <v/>
      </c>
      <c r="AC231" s="73" t="str">
        <f t="shared" si="63"/>
        <v/>
      </c>
      <c r="AD231" s="19" t="str">
        <f t="shared" si="64"/>
        <v/>
      </c>
      <c r="AE231" s="19" t="str">
        <f t="shared" si="65"/>
        <v/>
      </c>
      <c r="AF231" s="19" t="str">
        <f>IF($D231&lt;&gt;1,"",IF(INDEX(TblClusters[Environnement],$B231)="","(vide)",INDEX(TblClusters[Environnement],$B231)))</f>
        <v/>
      </c>
      <c r="AG231" s="19" t="str">
        <f t="shared" si="66"/>
        <v/>
      </c>
      <c r="AH231" s="19" t="str">
        <f t="shared" si="67"/>
        <v/>
      </c>
      <c r="AI231" s="19" t="str">
        <f>IF($D231&lt;&gt;1,"",IF(AND($G231="IKS",ISNUMBER(INDEX(TblClusters[Fermeture retenue],$B231))),IF($E231&gt;=INDEX(TblClusters[Fermeture retenue],$B231),1,0),0))</f>
        <v/>
      </c>
    </row>
    <row r="232" spans="1:35" x14ac:dyDescent="0.2">
      <c r="A232" s="19">
        <v>227</v>
      </c>
      <c r="B232" s="19">
        <f t="shared" si="51"/>
        <v>7</v>
      </c>
      <c r="C232" s="19">
        <f t="shared" si="52"/>
        <v>11</v>
      </c>
      <c r="D232" s="19">
        <f>IF($C232&gt;p_horizon,0,IFERROR(IF(AND(INDEX(TblClusters[Cluster],$B232)&lt;&gt;"",ISNUMBER(INDEX(TblClusters[CPU initial (vCPU)],$B232)),ISNUMBER(INDEX(TblClusters[CPU min (vCPU)],$B232)),OR(INDEX(TblClusters[Plateforme],$B232)="IKS",INDEX(TblClusters[Plateforme],$B232)="ROKS")),1,0),0))</f>
        <v>0</v>
      </c>
      <c r="E232" s="72" t="str">
        <f t="shared" si="53"/>
        <v/>
      </c>
      <c r="F232" s="19" t="str">
        <f>IF($D232=1,INDEX(TblClusters[Cluster],$B232),"")</f>
        <v/>
      </c>
      <c r="G232" s="19" t="str">
        <f>IF($D232=1,INDEX(TblClusters[Plateforme],$B232),"")</f>
        <v/>
      </c>
      <c r="H232" s="19" t="str">
        <f>IF($D232=1,INDEX(TblClusters[vCPU par nœud],$B232),"")</f>
        <v/>
      </c>
      <c r="I232" s="19" t="str">
        <f>IF($D232=1,INDEX(TblClusters[RAM par nœud (Go)],$B232),"")</f>
        <v/>
      </c>
      <c r="J232" s="19" t="str">
        <f>IF($D232=1,INDEX(TblClusters[Workers min],$B232),"")</f>
        <v/>
      </c>
      <c r="K232" s="73" t="str">
        <f>IF($D232=1,INDEX(TblClusters[Tarif par nœud],$B232),"")</f>
        <v/>
      </c>
      <c r="L232" s="19" t="str">
        <f>IF($D232=1,INDEX(TblClusters[CPU initial (vCPU)],$B232),"")</f>
        <v/>
      </c>
      <c r="M232" s="19" t="str">
        <f>IF($D232=1,INDEX(TblClusters[RAM initiale (Go)],$B232),"")</f>
        <v/>
      </c>
      <c r="N232" s="19" t="str">
        <f>IF($D232=1,INDEX(TblClusters[CPU min (vCPU)],$B232),"")</f>
        <v/>
      </c>
      <c r="O232" s="19" t="str">
        <f>IF($D232=1,INDEX(TblClusters[RAM min (Go)],$B232),"")</f>
        <v/>
      </c>
      <c r="P232" s="19" t="str">
        <f>IF($D232&lt;&gt;1,"",IF($G232="ROKS",SUMIFS(TblApplications[Besoin ROKS CPU (vCPU)],TblApplications[Cluster ROKS cible],$F232,TblApplications[Action],"À migrer",TblApplications[Déjà incluse ROKS],"Non",TblApplications[Mois prov (calc)],"&lt;="&amp;$E232),SUMIFS(TblApplications[CPU IKS libérable (vCPU)],TblApplications[Cluster IKS source],$F232,TblApplications[Mois lib (calc)],"&lt;="&amp;$E232)))</f>
        <v/>
      </c>
      <c r="Q232" s="19" t="str">
        <f>IF($D232&lt;&gt;1,"",IF($G232="ROKS",SUMIFS(TblApplications[Besoin ROKS RAM (Go)],TblApplications[Cluster ROKS cible],$F232,TblApplications[Action],"À migrer",TblApplications[Déjà incluse ROKS],"Non",TblApplications[Mois prov (calc)],"&lt;="&amp;$E232),SUMIFS(TblApplications[RAM IKS libérable (Go)],TblApplications[Cluster IKS source],$F232,TblApplications[Mois lib (calc)],"&lt;="&amp;$E232)))</f>
        <v/>
      </c>
      <c r="R232" s="19" t="str">
        <f t="shared" si="54"/>
        <v/>
      </c>
      <c r="S232" s="19" t="str">
        <f t="shared" si="55"/>
        <v/>
      </c>
      <c r="T232" s="19" t="str">
        <f t="shared" si="56"/>
        <v/>
      </c>
      <c r="U232" s="19" t="str">
        <f t="shared" si="57"/>
        <v/>
      </c>
      <c r="V232" s="19" t="str">
        <f t="shared" si="58"/>
        <v/>
      </c>
      <c r="W232" s="73" t="str">
        <f t="shared" si="59"/>
        <v/>
      </c>
      <c r="X232" s="19" t="str">
        <f>IF($D232&lt;&gt;1,"",IF($G232="ROKS",$R232,IF($AI232=1,0,MAX($N232,$L232-SUMIFS(TblApplications[CPU IKS libérable (vCPU)],TblApplications[Cluster IKS source],$F232,TblApplications[Action],"À migrer",TblApplications[Mois prov (calc)],"&lt;="&amp;$E232)-SUMIFS(TblApplications[CPU IKS libérable (vCPU)],TblApplications[Cluster IKS source],$F232,TblApplications[Action],"À décommissionner",TblApplications[Mois lib (calc)],"&lt;="&amp;$E232)))))</f>
        <v/>
      </c>
      <c r="Y232" s="19" t="str">
        <f>IF($D232&lt;&gt;1,"",IF($G232="ROKS",$S232,IF($AI232=1,0,MAX($O232,$M232-SUMIFS(TblApplications[RAM IKS libérable (Go)],TblApplications[Cluster IKS source],$F232,TblApplications[Action],"À migrer",TblApplications[Mois prov (calc)],"&lt;="&amp;$E232)-SUMIFS(TblApplications[RAM IKS libérable (Go)],TblApplications[Cluster IKS source],$F232,TblApplications[Action],"À décommissionner",TblApplications[Mois lib (calc)],"&lt;="&amp;$E232)))))</f>
        <v/>
      </c>
      <c r="Z232" s="19" t="str">
        <f t="shared" si="60"/>
        <v/>
      </c>
      <c r="AA232" s="73" t="str">
        <f t="shared" si="61"/>
        <v/>
      </c>
      <c r="AB232" s="19" t="str">
        <f t="shared" si="62"/>
        <v/>
      </c>
      <c r="AC232" s="73" t="str">
        <f t="shared" si="63"/>
        <v/>
      </c>
      <c r="AD232" s="19" t="str">
        <f t="shared" si="64"/>
        <v/>
      </c>
      <c r="AE232" s="19" t="str">
        <f t="shared" si="65"/>
        <v/>
      </c>
      <c r="AF232" s="19" t="str">
        <f>IF($D232&lt;&gt;1,"",IF(INDEX(TblClusters[Environnement],$B232)="","(vide)",INDEX(TblClusters[Environnement],$B232)))</f>
        <v/>
      </c>
      <c r="AG232" s="19" t="str">
        <f t="shared" si="66"/>
        <v/>
      </c>
      <c r="AH232" s="19" t="str">
        <f t="shared" si="67"/>
        <v/>
      </c>
      <c r="AI232" s="19" t="str">
        <f>IF($D232&lt;&gt;1,"",IF(AND($G232="IKS",ISNUMBER(INDEX(TblClusters[Fermeture retenue],$B232))),IF($E232&gt;=INDEX(TblClusters[Fermeture retenue],$B232),1,0),0))</f>
        <v/>
      </c>
    </row>
    <row r="233" spans="1:35" x14ac:dyDescent="0.2">
      <c r="A233" s="19">
        <v>228</v>
      </c>
      <c r="B233" s="19">
        <f t="shared" si="51"/>
        <v>7</v>
      </c>
      <c r="C233" s="19">
        <f t="shared" si="52"/>
        <v>12</v>
      </c>
      <c r="D233" s="19">
        <f>IF($C233&gt;p_horizon,0,IFERROR(IF(AND(INDEX(TblClusters[Cluster],$B233)&lt;&gt;"",ISNUMBER(INDEX(TblClusters[CPU initial (vCPU)],$B233)),ISNUMBER(INDEX(TblClusters[CPU min (vCPU)],$B233)),OR(INDEX(TblClusters[Plateforme],$B233)="IKS",INDEX(TblClusters[Plateforme],$B233)="ROKS")),1,0),0))</f>
        <v>0</v>
      </c>
      <c r="E233" s="72" t="str">
        <f t="shared" si="53"/>
        <v/>
      </c>
      <c r="F233" s="19" t="str">
        <f>IF($D233=1,INDEX(TblClusters[Cluster],$B233),"")</f>
        <v/>
      </c>
      <c r="G233" s="19" t="str">
        <f>IF($D233=1,INDEX(TblClusters[Plateforme],$B233),"")</f>
        <v/>
      </c>
      <c r="H233" s="19" t="str">
        <f>IF($D233=1,INDEX(TblClusters[vCPU par nœud],$B233),"")</f>
        <v/>
      </c>
      <c r="I233" s="19" t="str">
        <f>IF($D233=1,INDEX(TblClusters[RAM par nœud (Go)],$B233),"")</f>
        <v/>
      </c>
      <c r="J233" s="19" t="str">
        <f>IF($D233=1,INDEX(TblClusters[Workers min],$B233),"")</f>
        <v/>
      </c>
      <c r="K233" s="73" t="str">
        <f>IF($D233=1,INDEX(TblClusters[Tarif par nœud],$B233),"")</f>
        <v/>
      </c>
      <c r="L233" s="19" t="str">
        <f>IF($D233=1,INDEX(TblClusters[CPU initial (vCPU)],$B233),"")</f>
        <v/>
      </c>
      <c r="M233" s="19" t="str">
        <f>IF($D233=1,INDEX(TblClusters[RAM initiale (Go)],$B233),"")</f>
        <v/>
      </c>
      <c r="N233" s="19" t="str">
        <f>IF($D233=1,INDEX(TblClusters[CPU min (vCPU)],$B233),"")</f>
        <v/>
      </c>
      <c r="O233" s="19" t="str">
        <f>IF($D233=1,INDEX(TblClusters[RAM min (Go)],$B233),"")</f>
        <v/>
      </c>
      <c r="P233" s="19" t="str">
        <f>IF($D233&lt;&gt;1,"",IF($G233="ROKS",SUMIFS(TblApplications[Besoin ROKS CPU (vCPU)],TblApplications[Cluster ROKS cible],$F233,TblApplications[Action],"À migrer",TblApplications[Déjà incluse ROKS],"Non",TblApplications[Mois prov (calc)],"&lt;="&amp;$E233),SUMIFS(TblApplications[CPU IKS libérable (vCPU)],TblApplications[Cluster IKS source],$F233,TblApplications[Mois lib (calc)],"&lt;="&amp;$E233)))</f>
        <v/>
      </c>
      <c r="Q233" s="19" t="str">
        <f>IF($D233&lt;&gt;1,"",IF($G233="ROKS",SUMIFS(TblApplications[Besoin ROKS RAM (Go)],TblApplications[Cluster ROKS cible],$F233,TblApplications[Action],"À migrer",TblApplications[Déjà incluse ROKS],"Non",TblApplications[Mois prov (calc)],"&lt;="&amp;$E233),SUMIFS(TblApplications[RAM IKS libérable (Go)],TblApplications[Cluster IKS source],$F233,TblApplications[Mois lib (calc)],"&lt;="&amp;$E233)))</f>
        <v/>
      </c>
      <c r="R233" s="19" t="str">
        <f t="shared" si="54"/>
        <v/>
      </c>
      <c r="S233" s="19" t="str">
        <f t="shared" si="55"/>
        <v/>
      </c>
      <c r="T233" s="19" t="str">
        <f t="shared" si="56"/>
        <v/>
      </c>
      <c r="U233" s="19" t="str">
        <f t="shared" si="57"/>
        <v/>
      </c>
      <c r="V233" s="19" t="str">
        <f t="shared" si="58"/>
        <v/>
      </c>
      <c r="W233" s="73" t="str">
        <f t="shared" si="59"/>
        <v/>
      </c>
      <c r="X233" s="19" t="str">
        <f>IF($D233&lt;&gt;1,"",IF($G233="ROKS",$R233,IF($AI233=1,0,MAX($N233,$L233-SUMIFS(TblApplications[CPU IKS libérable (vCPU)],TblApplications[Cluster IKS source],$F233,TblApplications[Action],"À migrer",TblApplications[Mois prov (calc)],"&lt;="&amp;$E233)-SUMIFS(TblApplications[CPU IKS libérable (vCPU)],TblApplications[Cluster IKS source],$F233,TblApplications[Action],"À décommissionner",TblApplications[Mois lib (calc)],"&lt;="&amp;$E233)))))</f>
        <v/>
      </c>
      <c r="Y233" s="19" t="str">
        <f>IF($D233&lt;&gt;1,"",IF($G233="ROKS",$S233,IF($AI233=1,0,MAX($O233,$M233-SUMIFS(TblApplications[RAM IKS libérable (Go)],TblApplications[Cluster IKS source],$F233,TblApplications[Action],"À migrer",TblApplications[Mois prov (calc)],"&lt;="&amp;$E233)-SUMIFS(TblApplications[RAM IKS libérable (Go)],TblApplications[Cluster IKS source],$F233,TblApplications[Action],"À décommissionner",TblApplications[Mois lib (calc)],"&lt;="&amp;$E233)))))</f>
        <v/>
      </c>
      <c r="Z233" s="19" t="str">
        <f t="shared" si="60"/>
        <v/>
      </c>
      <c r="AA233" s="73" t="str">
        <f t="shared" si="61"/>
        <v/>
      </c>
      <c r="AB233" s="19" t="str">
        <f t="shared" si="62"/>
        <v/>
      </c>
      <c r="AC233" s="73" t="str">
        <f t="shared" si="63"/>
        <v/>
      </c>
      <c r="AD233" s="19" t="str">
        <f t="shared" si="64"/>
        <v/>
      </c>
      <c r="AE233" s="19" t="str">
        <f t="shared" si="65"/>
        <v/>
      </c>
      <c r="AF233" s="19" t="str">
        <f>IF($D233&lt;&gt;1,"",IF(INDEX(TblClusters[Environnement],$B233)="","(vide)",INDEX(TblClusters[Environnement],$B233)))</f>
        <v/>
      </c>
      <c r="AG233" s="19" t="str">
        <f t="shared" si="66"/>
        <v/>
      </c>
      <c r="AH233" s="19" t="str">
        <f t="shared" si="67"/>
        <v/>
      </c>
      <c r="AI233" s="19" t="str">
        <f>IF($D233&lt;&gt;1,"",IF(AND($G233="IKS",ISNUMBER(INDEX(TblClusters[Fermeture retenue],$B233))),IF($E233&gt;=INDEX(TblClusters[Fermeture retenue],$B233),1,0),0))</f>
        <v/>
      </c>
    </row>
    <row r="234" spans="1:35" x14ac:dyDescent="0.2">
      <c r="A234" s="19">
        <v>229</v>
      </c>
      <c r="B234" s="19">
        <f t="shared" si="51"/>
        <v>7</v>
      </c>
      <c r="C234" s="19">
        <f t="shared" si="52"/>
        <v>13</v>
      </c>
      <c r="D234" s="19">
        <f>IF($C234&gt;p_horizon,0,IFERROR(IF(AND(INDEX(TblClusters[Cluster],$B234)&lt;&gt;"",ISNUMBER(INDEX(TblClusters[CPU initial (vCPU)],$B234)),ISNUMBER(INDEX(TblClusters[CPU min (vCPU)],$B234)),OR(INDEX(TblClusters[Plateforme],$B234)="IKS",INDEX(TblClusters[Plateforme],$B234)="ROKS")),1,0),0))</f>
        <v>0</v>
      </c>
      <c r="E234" s="72" t="str">
        <f t="shared" si="53"/>
        <v/>
      </c>
      <c r="F234" s="19" t="str">
        <f>IF($D234=1,INDEX(TblClusters[Cluster],$B234),"")</f>
        <v/>
      </c>
      <c r="G234" s="19" t="str">
        <f>IF($D234=1,INDEX(TblClusters[Plateforme],$B234),"")</f>
        <v/>
      </c>
      <c r="H234" s="19" t="str">
        <f>IF($D234=1,INDEX(TblClusters[vCPU par nœud],$B234),"")</f>
        <v/>
      </c>
      <c r="I234" s="19" t="str">
        <f>IF($D234=1,INDEX(TblClusters[RAM par nœud (Go)],$B234),"")</f>
        <v/>
      </c>
      <c r="J234" s="19" t="str">
        <f>IF($D234=1,INDEX(TblClusters[Workers min],$B234),"")</f>
        <v/>
      </c>
      <c r="K234" s="73" t="str">
        <f>IF($D234=1,INDEX(TblClusters[Tarif par nœud],$B234),"")</f>
        <v/>
      </c>
      <c r="L234" s="19" t="str">
        <f>IF($D234=1,INDEX(TblClusters[CPU initial (vCPU)],$B234),"")</f>
        <v/>
      </c>
      <c r="M234" s="19" t="str">
        <f>IF($D234=1,INDEX(TblClusters[RAM initiale (Go)],$B234),"")</f>
        <v/>
      </c>
      <c r="N234" s="19" t="str">
        <f>IF($D234=1,INDEX(TblClusters[CPU min (vCPU)],$B234),"")</f>
        <v/>
      </c>
      <c r="O234" s="19" t="str">
        <f>IF($D234=1,INDEX(TblClusters[RAM min (Go)],$B234),"")</f>
        <v/>
      </c>
      <c r="P234" s="19" t="str">
        <f>IF($D234&lt;&gt;1,"",IF($G234="ROKS",SUMIFS(TblApplications[Besoin ROKS CPU (vCPU)],TblApplications[Cluster ROKS cible],$F234,TblApplications[Action],"À migrer",TblApplications[Déjà incluse ROKS],"Non",TblApplications[Mois prov (calc)],"&lt;="&amp;$E234),SUMIFS(TblApplications[CPU IKS libérable (vCPU)],TblApplications[Cluster IKS source],$F234,TblApplications[Mois lib (calc)],"&lt;="&amp;$E234)))</f>
        <v/>
      </c>
      <c r="Q234" s="19" t="str">
        <f>IF($D234&lt;&gt;1,"",IF($G234="ROKS",SUMIFS(TblApplications[Besoin ROKS RAM (Go)],TblApplications[Cluster ROKS cible],$F234,TblApplications[Action],"À migrer",TblApplications[Déjà incluse ROKS],"Non",TblApplications[Mois prov (calc)],"&lt;="&amp;$E234),SUMIFS(TblApplications[RAM IKS libérable (Go)],TblApplications[Cluster IKS source],$F234,TblApplications[Mois lib (calc)],"&lt;="&amp;$E234)))</f>
        <v/>
      </c>
      <c r="R234" s="19" t="str">
        <f t="shared" si="54"/>
        <v/>
      </c>
      <c r="S234" s="19" t="str">
        <f t="shared" si="55"/>
        <v/>
      </c>
      <c r="T234" s="19" t="str">
        <f t="shared" si="56"/>
        <v/>
      </c>
      <c r="U234" s="19" t="str">
        <f t="shared" si="57"/>
        <v/>
      </c>
      <c r="V234" s="19" t="str">
        <f t="shared" si="58"/>
        <v/>
      </c>
      <c r="W234" s="73" t="str">
        <f t="shared" si="59"/>
        <v/>
      </c>
      <c r="X234" s="19" t="str">
        <f>IF($D234&lt;&gt;1,"",IF($G234="ROKS",$R234,IF($AI234=1,0,MAX($N234,$L234-SUMIFS(TblApplications[CPU IKS libérable (vCPU)],TblApplications[Cluster IKS source],$F234,TblApplications[Action],"À migrer",TblApplications[Mois prov (calc)],"&lt;="&amp;$E234)-SUMIFS(TblApplications[CPU IKS libérable (vCPU)],TblApplications[Cluster IKS source],$F234,TblApplications[Action],"À décommissionner",TblApplications[Mois lib (calc)],"&lt;="&amp;$E234)))))</f>
        <v/>
      </c>
      <c r="Y234" s="19" t="str">
        <f>IF($D234&lt;&gt;1,"",IF($G234="ROKS",$S234,IF($AI234=1,0,MAX($O234,$M234-SUMIFS(TblApplications[RAM IKS libérable (Go)],TblApplications[Cluster IKS source],$F234,TblApplications[Action],"À migrer",TblApplications[Mois prov (calc)],"&lt;="&amp;$E234)-SUMIFS(TblApplications[RAM IKS libérable (Go)],TblApplications[Cluster IKS source],$F234,TblApplications[Action],"À décommissionner",TblApplications[Mois lib (calc)],"&lt;="&amp;$E234)))))</f>
        <v/>
      </c>
      <c r="Z234" s="19" t="str">
        <f t="shared" si="60"/>
        <v/>
      </c>
      <c r="AA234" s="73" t="str">
        <f t="shared" si="61"/>
        <v/>
      </c>
      <c r="AB234" s="19" t="str">
        <f t="shared" si="62"/>
        <v/>
      </c>
      <c r="AC234" s="73" t="str">
        <f t="shared" si="63"/>
        <v/>
      </c>
      <c r="AD234" s="19" t="str">
        <f t="shared" si="64"/>
        <v/>
      </c>
      <c r="AE234" s="19" t="str">
        <f t="shared" si="65"/>
        <v/>
      </c>
      <c r="AF234" s="19" t="str">
        <f>IF($D234&lt;&gt;1,"",IF(INDEX(TblClusters[Environnement],$B234)="","(vide)",INDEX(TblClusters[Environnement],$B234)))</f>
        <v/>
      </c>
      <c r="AG234" s="19" t="str">
        <f t="shared" si="66"/>
        <v/>
      </c>
      <c r="AH234" s="19" t="str">
        <f t="shared" si="67"/>
        <v/>
      </c>
      <c r="AI234" s="19" t="str">
        <f>IF($D234&lt;&gt;1,"",IF(AND($G234="IKS",ISNUMBER(INDEX(TblClusters[Fermeture retenue],$B234))),IF($E234&gt;=INDEX(TblClusters[Fermeture retenue],$B234),1,0),0))</f>
        <v/>
      </c>
    </row>
    <row r="235" spans="1:35" x14ac:dyDescent="0.2">
      <c r="A235" s="19">
        <v>230</v>
      </c>
      <c r="B235" s="19">
        <f t="shared" si="51"/>
        <v>7</v>
      </c>
      <c r="C235" s="19">
        <f t="shared" si="52"/>
        <v>14</v>
      </c>
      <c r="D235" s="19">
        <f>IF($C235&gt;p_horizon,0,IFERROR(IF(AND(INDEX(TblClusters[Cluster],$B235)&lt;&gt;"",ISNUMBER(INDEX(TblClusters[CPU initial (vCPU)],$B235)),ISNUMBER(INDEX(TblClusters[CPU min (vCPU)],$B235)),OR(INDEX(TblClusters[Plateforme],$B235)="IKS",INDEX(TblClusters[Plateforme],$B235)="ROKS")),1,0),0))</f>
        <v>0</v>
      </c>
      <c r="E235" s="72" t="str">
        <f t="shared" si="53"/>
        <v/>
      </c>
      <c r="F235" s="19" t="str">
        <f>IF($D235=1,INDEX(TblClusters[Cluster],$B235),"")</f>
        <v/>
      </c>
      <c r="G235" s="19" t="str">
        <f>IF($D235=1,INDEX(TblClusters[Plateforme],$B235),"")</f>
        <v/>
      </c>
      <c r="H235" s="19" t="str">
        <f>IF($D235=1,INDEX(TblClusters[vCPU par nœud],$B235),"")</f>
        <v/>
      </c>
      <c r="I235" s="19" t="str">
        <f>IF($D235=1,INDEX(TblClusters[RAM par nœud (Go)],$B235),"")</f>
        <v/>
      </c>
      <c r="J235" s="19" t="str">
        <f>IF($D235=1,INDEX(TblClusters[Workers min],$B235),"")</f>
        <v/>
      </c>
      <c r="K235" s="73" t="str">
        <f>IF($D235=1,INDEX(TblClusters[Tarif par nœud],$B235),"")</f>
        <v/>
      </c>
      <c r="L235" s="19" t="str">
        <f>IF($D235=1,INDEX(TblClusters[CPU initial (vCPU)],$B235),"")</f>
        <v/>
      </c>
      <c r="M235" s="19" t="str">
        <f>IF($D235=1,INDEX(TblClusters[RAM initiale (Go)],$B235),"")</f>
        <v/>
      </c>
      <c r="N235" s="19" t="str">
        <f>IF($D235=1,INDEX(TblClusters[CPU min (vCPU)],$B235),"")</f>
        <v/>
      </c>
      <c r="O235" s="19" t="str">
        <f>IF($D235=1,INDEX(TblClusters[RAM min (Go)],$B235),"")</f>
        <v/>
      </c>
      <c r="P235" s="19" t="str">
        <f>IF($D235&lt;&gt;1,"",IF($G235="ROKS",SUMIFS(TblApplications[Besoin ROKS CPU (vCPU)],TblApplications[Cluster ROKS cible],$F235,TblApplications[Action],"À migrer",TblApplications[Déjà incluse ROKS],"Non",TblApplications[Mois prov (calc)],"&lt;="&amp;$E235),SUMIFS(TblApplications[CPU IKS libérable (vCPU)],TblApplications[Cluster IKS source],$F235,TblApplications[Mois lib (calc)],"&lt;="&amp;$E235)))</f>
        <v/>
      </c>
      <c r="Q235" s="19" t="str">
        <f>IF($D235&lt;&gt;1,"",IF($G235="ROKS",SUMIFS(TblApplications[Besoin ROKS RAM (Go)],TblApplications[Cluster ROKS cible],$F235,TblApplications[Action],"À migrer",TblApplications[Déjà incluse ROKS],"Non",TblApplications[Mois prov (calc)],"&lt;="&amp;$E235),SUMIFS(TblApplications[RAM IKS libérable (Go)],TblApplications[Cluster IKS source],$F235,TblApplications[Mois lib (calc)],"&lt;="&amp;$E235)))</f>
        <v/>
      </c>
      <c r="R235" s="19" t="str">
        <f t="shared" si="54"/>
        <v/>
      </c>
      <c r="S235" s="19" t="str">
        <f t="shared" si="55"/>
        <v/>
      </c>
      <c r="T235" s="19" t="str">
        <f t="shared" si="56"/>
        <v/>
      </c>
      <c r="U235" s="19" t="str">
        <f t="shared" si="57"/>
        <v/>
      </c>
      <c r="V235" s="19" t="str">
        <f t="shared" si="58"/>
        <v/>
      </c>
      <c r="W235" s="73" t="str">
        <f t="shared" si="59"/>
        <v/>
      </c>
      <c r="X235" s="19" t="str">
        <f>IF($D235&lt;&gt;1,"",IF($G235="ROKS",$R235,IF($AI235=1,0,MAX($N235,$L235-SUMIFS(TblApplications[CPU IKS libérable (vCPU)],TblApplications[Cluster IKS source],$F235,TblApplications[Action],"À migrer",TblApplications[Mois prov (calc)],"&lt;="&amp;$E235)-SUMIFS(TblApplications[CPU IKS libérable (vCPU)],TblApplications[Cluster IKS source],$F235,TblApplications[Action],"À décommissionner",TblApplications[Mois lib (calc)],"&lt;="&amp;$E235)))))</f>
        <v/>
      </c>
      <c r="Y235" s="19" t="str">
        <f>IF($D235&lt;&gt;1,"",IF($G235="ROKS",$S235,IF($AI235=1,0,MAX($O235,$M235-SUMIFS(TblApplications[RAM IKS libérable (Go)],TblApplications[Cluster IKS source],$F235,TblApplications[Action],"À migrer",TblApplications[Mois prov (calc)],"&lt;="&amp;$E235)-SUMIFS(TblApplications[RAM IKS libérable (Go)],TblApplications[Cluster IKS source],$F235,TblApplications[Action],"À décommissionner",TblApplications[Mois lib (calc)],"&lt;="&amp;$E235)))))</f>
        <v/>
      </c>
      <c r="Z235" s="19" t="str">
        <f t="shared" si="60"/>
        <v/>
      </c>
      <c r="AA235" s="73" t="str">
        <f t="shared" si="61"/>
        <v/>
      </c>
      <c r="AB235" s="19" t="str">
        <f t="shared" si="62"/>
        <v/>
      </c>
      <c r="AC235" s="73" t="str">
        <f t="shared" si="63"/>
        <v/>
      </c>
      <c r="AD235" s="19" t="str">
        <f t="shared" si="64"/>
        <v/>
      </c>
      <c r="AE235" s="19" t="str">
        <f t="shared" si="65"/>
        <v/>
      </c>
      <c r="AF235" s="19" t="str">
        <f>IF($D235&lt;&gt;1,"",IF(INDEX(TblClusters[Environnement],$B235)="","(vide)",INDEX(TblClusters[Environnement],$B235)))</f>
        <v/>
      </c>
      <c r="AG235" s="19" t="str">
        <f t="shared" si="66"/>
        <v/>
      </c>
      <c r="AH235" s="19" t="str">
        <f t="shared" si="67"/>
        <v/>
      </c>
      <c r="AI235" s="19" t="str">
        <f>IF($D235&lt;&gt;1,"",IF(AND($G235="IKS",ISNUMBER(INDEX(TblClusters[Fermeture retenue],$B235))),IF($E235&gt;=INDEX(TblClusters[Fermeture retenue],$B235),1,0),0))</f>
        <v/>
      </c>
    </row>
    <row r="236" spans="1:35" x14ac:dyDescent="0.2">
      <c r="A236" s="19">
        <v>231</v>
      </c>
      <c r="B236" s="19">
        <f t="shared" si="51"/>
        <v>7</v>
      </c>
      <c r="C236" s="19">
        <f t="shared" si="52"/>
        <v>15</v>
      </c>
      <c r="D236" s="19">
        <f>IF($C236&gt;p_horizon,0,IFERROR(IF(AND(INDEX(TblClusters[Cluster],$B236)&lt;&gt;"",ISNUMBER(INDEX(TblClusters[CPU initial (vCPU)],$B236)),ISNUMBER(INDEX(TblClusters[CPU min (vCPU)],$B236)),OR(INDEX(TblClusters[Plateforme],$B236)="IKS",INDEX(TblClusters[Plateforme],$B236)="ROKS")),1,0),0))</f>
        <v>0</v>
      </c>
      <c r="E236" s="72" t="str">
        <f t="shared" si="53"/>
        <v/>
      </c>
      <c r="F236" s="19" t="str">
        <f>IF($D236=1,INDEX(TblClusters[Cluster],$B236),"")</f>
        <v/>
      </c>
      <c r="G236" s="19" t="str">
        <f>IF($D236=1,INDEX(TblClusters[Plateforme],$B236),"")</f>
        <v/>
      </c>
      <c r="H236" s="19" t="str">
        <f>IF($D236=1,INDEX(TblClusters[vCPU par nœud],$B236),"")</f>
        <v/>
      </c>
      <c r="I236" s="19" t="str">
        <f>IF($D236=1,INDEX(TblClusters[RAM par nœud (Go)],$B236),"")</f>
        <v/>
      </c>
      <c r="J236" s="19" t="str">
        <f>IF($D236=1,INDEX(TblClusters[Workers min],$B236),"")</f>
        <v/>
      </c>
      <c r="K236" s="73" t="str">
        <f>IF($D236=1,INDEX(TblClusters[Tarif par nœud],$B236),"")</f>
        <v/>
      </c>
      <c r="L236" s="19" t="str">
        <f>IF($D236=1,INDEX(TblClusters[CPU initial (vCPU)],$B236),"")</f>
        <v/>
      </c>
      <c r="M236" s="19" t="str">
        <f>IF($D236=1,INDEX(TblClusters[RAM initiale (Go)],$B236),"")</f>
        <v/>
      </c>
      <c r="N236" s="19" t="str">
        <f>IF($D236=1,INDEX(TblClusters[CPU min (vCPU)],$B236),"")</f>
        <v/>
      </c>
      <c r="O236" s="19" t="str">
        <f>IF($D236=1,INDEX(TblClusters[RAM min (Go)],$B236),"")</f>
        <v/>
      </c>
      <c r="P236" s="19" t="str">
        <f>IF($D236&lt;&gt;1,"",IF($G236="ROKS",SUMIFS(TblApplications[Besoin ROKS CPU (vCPU)],TblApplications[Cluster ROKS cible],$F236,TblApplications[Action],"À migrer",TblApplications[Déjà incluse ROKS],"Non",TblApplications[Mois prov (calc)],"&lt;="&amp;$E236),SUMIFS(TblApplications[CPU IKS libérable (vCPU)],TblApplications[Cluster IKS source],$F236,TblApplications[Mois lib (calc)],"&lt;="&amp;$E236)))</f>
        <v/>
      </c>
      <c r="Q236" s="19" t="str">
        <f>IF($D236&lt;&gt;1,"",IF($G236="ROKS",SUMIFS(TblApplications[Besoin ROKS RAM (Go)],TblApplications[Cluster ROKS cible],$F236,TblApplications[Action],"À migrer",TblApplications[Déjà incluse ROKS],"Non",TblApplications[Mois prov (calc)],"&lt;="&amp;$E236),SUMIFS(TblApplications[RAM IKS libérable (Go)],TblApplications[Cluster IKS source],$F236,TblApplications[Mois lib (calc)],"&lt;="&amp;$E236)))</f>
        <v/>
      </c>
      <c r="R236" s="19" t="str">
        <f t="shared" si="54"/>
        <v/>
      </c>
      <c r="S236" s="19" t="str">
        <f t="shared" si="55"/>
        <v/>
      </c>
      <c r="T236" s="19" t="str">
        <f t="shared" si="56"/>
        <v/>
      </c>
      <c r="U236" s="19" t="str">
        <f t="shared" si="57"/>
        <v/>
      </c>
      <c r="V236" s="19" t="str">
        <f t="shared" si="58"/>
        <v/>
      </c>
      <c r="W236" s="73" t="str">
        <f t="shared" si="59"/>
        <v/>
      </c>
      <c r="X236" s="19" t="str">
        <f>IF($D236&lt;&gt;1,"",IF($G236="ROKS",$R236,IF($AI236=1,0,MAX($N236,$L236-SUMIFS(TblApplications[CPU IKS libérable (vCPU)],TblApplications[Cluster IKS source],$F236,TblApplications[Action],"À migrer",TblApplications[Mois prov (calc)],"&lt;="&amp;$E236)-SUMIFS(TblApplications[CPU IKS libérable (vCPU)],TblApplications[Cluster IKS source],$F236,TblApplications[Action],"À décommissionner",TblApplications[Mois lib (calc)],"&lt;="&amp;$E236)))))</f>
        <v/>
      </c>
      <c r="Y236" s="19" t="str">
        <f>IF($D236&lt;&gt;1,"",IF($G236="ROKS",$S236,IF($AI236=1,0,MAX($O236,$M236-SUMIFS(TblApplications[RAM IKS libérable (Go)],TblApplications[Cluster IKS source],$F236,TblApplications[Action],"À migrer",TblApplications[Mois prov (calc)],"&lt;="&amp;$E236)-SUMIFS(TblApplications[RAM IKS libérable (Go)],TblApplications[Cluster IKS source],$F236,TblApplications[Action],"À décommissionner",TblApplications[Mois lib (calc)],"&lt;="&amp;$E236)))))</f>
        <v/>
      </c>
      <c r="Z236" s="19" t="str">
        <f t="shared" si="60"/>
        <v/>
      </c>
      <c r="AA236" s="73" t="str">
        <f t="shared" si="61"/>
        <v/>
      </c>
      <c r="AB236" s="19" t="str">
        <f t="shared" si="62"/>
        <v/>
      </c>
      <c r="AC236" s="73" t="str">
        <f t="shared" si="63"/>
        <v/>
      </c>
      <c r="AD236" s="19" t="str">
        <f t="shared" si="64"/>
        <v/>
      </c>
      <c r="AE236" s="19" t="str">
        <f t="shared" si="65"/>
        <v/>
      </c>
      <c r="AF236" s="19" t="str">
        <f>IF($D236&lt;&gt;1,"",IF(INDEX(TblClusters[Environnement],$B236)="","(vide)",INDEX(TblClusters[Environnement],$B236)))</f>
        <v/>
      </c>
      <c r="AG236" s="19" t="str">
        <f t="shared" si="66"/>
        <v/>
      </c>
      <c r="AH236" s="19" t="str">
        <f t="shared" si="67"/>
        <v/>
      </c>
      <c r="AI236" s="19" t="str">
        <f>IF($D236&lt;&gt;1,"",IF(AND($G236="IKS",ISNUMBER(INDEX(TblClusters[Fermeture retenue],$B236))),IF($E236&gt;=INDEX(TblClusters[Fermeture retenue],$B236),1,0),0))</f>
        <v/>
      </c>
    </row>
    <row r="237" spans="1:35" x14ac:dyDescent="0.2">
      <c r="A237" s="19">
        <v>232</v>
      </c>
      <c r="B237" s="19">
        <f t="shared" si="51"/>
        <v>7</v>
      </c>
      <c r="C237" s="19">
        <f t="shared" si="52"/>
        <v>16</v>
      </c>
      <c r="D237" s="19">
        <f>IF($C237&gt;p_horizon,0,IFERROR(IF(AND(INDEX(TblClusters[Cluster],$B237)&lt;&gt;"",ISNUMBER(INDEX(TblClusters[CPU initial (vCPU)],$B237)),ISNUMBER(INDEX(TblClusters[CPU min (vCPU)],$B237)),OR(INDEX(TblClusters[Plateforme],$B237)="IKS",INDEX(TblClusters[Plateforme],$B237)="ROKS")),1,0),0))</f>
        <v>0</v>
      </c>
      <c r="E237" s="72" t="str">
        <f t="shared" si="53"/>
        <v/>
      </c>
      <c r="F237" s="19" t="str">
        <f>IF($D237=1,INDEX(TblClusters[Cluster],$B237),"")</f>
        <v/>
      </c>
      <c r="G237" s="19" t="str">
        <f>IF($D237=1,INDEX(TblClusters[Plateforme],$B237),"")</f>
        <v/>
      </c>
      <c r="H237" s="19" t="str">
        <f>IF($D237=1,INDEX(TblClusters[vCPU par nœud],$B237),"")</f>
        <v/>
      </c>
      <c r="I237" s="19" t="str">
        <f>IF($D237=1,INDEX(TblClusters[RAM par nœud (Go)],$B237),"")</f>
        <v/>
      </c>
      <c r="J237" s="19" t="str">
        <f>IF($D237=1,INDEX(TblClusters[Workers min],$B237),"")</f>
        <v/>
      </c>
      <c r="K237" s="73" t="str">
        <f>IF($D237=1,INDEX(TblClusters[Tarif par nœud],$B237),"")</f>
        <v/>
      </c>
      <c r="L237" s="19" t="str">
        <f>IF($D237=1,INDEX(TblClusters[CPU initial (vCPU)],$B237),"")</f>
        <v/>
      </c>
      <c r="M237" s="19" t="str">
        <f>IF($D237=1,INDEX(TblClusters[RAM initiale (Go)],$B237),"")</f>
        <v/>
      </c>
      <c r="N237" s="19" t="str">
        <f>IF($D237=1,INDEX(TblClusters[CPU min (vCPU)],$B237),"")</f>
        <v/>
      </c>
      <c r="O237" s="19" t="str">
        <f>IF($D237=1,INDEX(TblClusters[RAM min (Go)],$B237),"")</f>
        <v/>
      </c>
      <c r="P237" s="19" t="str">
        <f>IF($D237&lt;&gt;1,"",IF($G237="ROKS",SUMIFS(TblApplications[Besoin ROKS CPU (vCPU)],TblApplications[Cluster ROKS cible],$F237,TblApplications[Action],"À migrer",TblApplications[Déjà incluse ROKS],"Non",TblApplications[Mois prov (calc)],"&lt;="&amp;$E237),SUMIFS(TblApplications[CPU IKS libérable (vCPU)],TblApplications[Cluster IKS source],$F237,TblApplications[Mois lib (calc)],"&lt;="&amp;$E237)))</f>
        <v/>
      </c>
      <c r="Q237" s="19" t="str">
        <f>IF($D237&lt;&gt;1,"",IF($G237="ROKS",SUMIFS(TblApplications[Besoin ROKS RAM (Go)],TblApplications[Cluster ROKS cible],$F237,TblApplications[Action],"À migrer",TblApplications[Déjà incluse ROKS],"Non",TblApplications[Mois prov (calc)],"&lt;="&amp;$E237),SUMIFS(TblApplications[RAM IKS libérable (Go)],TblApplications[Cluster IKS source],$F237,TblApplications[Mois lib (calc)],"&lt;="&amp;$E237)))</f>
        <v/>
      </c>
      <c r="R237" s="19" t="str">
        <f t="shared" si="54"/>
        <v/>
      </c>
      <c r="S237" s="19" t="str">
        <f t="shared" si="55"/>
        <v/>
      </c>
      <c r="T237" s="19" t="str">
        <f t="shared" si="56"/>
        <v/>
      </c>
      <c r="U237" s="19" t="str">
        <f t="shared" si="57"/>
        <v/>
      </c>
      <c r="V237" s="19" t="str">
        <f t="shared" si="58"/>
        <v/>
      </c>
      <c r="W237" s="73" t="str">
        <f t="shared" si="59"/>
        <v/>
      </c>
      <c r="X237" s="19" t="str">
        <f>IF($D237&lt;&gt;1,"",IF($G237="ROKS",$R237,IF($AI237=1,0,MAX($N237,$L237-SUMIFS(TblApplications[CPU IKS libérable (vCPU)],TblApplications[Cluster IKS source],$F237,TblApplications[Action],"À migrer",TblApplications[Mois prov (calc)],"&lt;="&amp;$E237)-SUMIFS(TblApplications[CPU IKS libérable (vCPU)],TblApplications[Cluster IKS source],$F237,TblApplications[Action],"À décommissionner",TblApplications[Mois lib (calc)],"&lt;="&amp;$E237)))))</f>
        <v/>
      </c>
      <c r="Y237" s="19" t="str">
        <f>IF($D237&lt;&gt;1,"",IF($G237="ROKS",$S237,IF($AI237=1,0,MAX($O237,$M237-SUMIFS(TblApplications[RAM IKS libérable (Go)],TblApplications[Cluster IKS source],$F237,TblApplications[Action],"À migrer",TblApplications[Mois prov (calc)],"&lt;="&amp;$E237)-SUMIFS(TblApplications[RAM IKS libérable (Go)],TblApplications[Cluster IKS source],$F237,TblApplications[Action],"À décommissionner",TblApplications[Mois lib (calc)],"&lt;="&amp;$E237)))))</f>
        <v/>
      </c>
      <c r="Z237" s="19" t="str">
        <f t="shared" si="60"/>
        <v/>
      </c>
      <c r="AA237" s="73" t="str">
        <f t="shared" si="61"/>
        <v/>
      </c>
      <c r="AB237" s="19" t="str">
        <f t="shared" si="62"/>
        <v/>
      </c>
      <c r="AC237" s="73" t="str">
        <f t="shared" si="63"/>
        <v/>
      </c>
      <c r="AD237" s="19" t="str">
        <f t="shared" si="64"/>
        <v/>
      </c>
      <c r="AE237" s="19" t="str">
        <f t="shared" si="65"/>
        <v/>
      </c>
      <c r="AF237" s="19" t="str">
        <f>IF($D237&lt;&gt;1,"",IF(INDEX(TblClusters[Environnement],$B237)="","(vide)",INDEX(TblClusters[Environnement],$B237)))</f>
        <v/>
      </c>
      <c r="AG237" s="19" t="str">
        <f t="shared" si="66"/>
        <v/>
      </c>
      <c r="AH237" s="19" t="str">
        <f t="shared" si="67"/>
        <v/>
      </c>
      <c r="AI237" s="19" t="str">
        <f>IF($D237&lt;&gt;1,"",IF(AND($G237="IKS",ISNUMBER(INDEX(TblClusters[Fermeture retenue],$B237))),IF($E237&gt;=INDEX(TblClusters[Fermeture retenue],$B237),1,0),0))</f>
        <v/>
      </c>
    </row>
    <row r="238" spans="1:35" x14ac:dyDescent="0.2">
      <c r="A238" s="19">
        <v>233</v>
      </c>
      <c r="B238" s="19">
        <f t="shared" si="51"/>
        <v>7</v>
      </c>
      <c r="C238" s="19">
        <f t="shared" si="52"/>
        <v>17</v>
      </c>
      <c r="D238" s="19">
        <f>IF($C238&gt;p_horizon,0,IFERROR(IF(AND(INDEX(TblClusters[Cluster],$B238)&lt;&gt;"",ISNUMBER(INDEX(TblClusters[CPU initial (vCPU)],$B238)),ISNUMBER(INDEX(TblClusters[CPU min (vCPU)],$B238)),OR(INDEX(TblClusters[Plateforme],$B238)="IKS",INDEX(TblClusters[Plateforme],$B238)="ROKS")),1,0),0))</f>
        <v>0</v>
      </c>
      <c r="E238" s="72" t="str">
        <f t="shared" si="53"/>
        <v/>
      </c>
      <c r="F238" s="19" t="str">
        <f>IF($D238=1,INDEX(TblClusters[Cluster],$B238),"")</f>
        <v/>
      </c>
      <c r="G238" s="19" t="str">
        <f>IF($D238=1,INDEX(TblClusters[Plateforme],$B238),"")</f>
        <v/>
      </c>
      <c r="H238" s="19" t="str">
        <f>IF($D238=1,INDEX(TblClusters[vCPU par nœud],$B238),"")</f>
        <v/>
      </c>
      <c r="I238" s="19" t="str">
        <f>IF($D238=1,INDEX(TblClusters[RAM par nœud (Go)],$B238),"")</f>
        <v/>
      </c>
      <c r="J238" s="19" t="str">
        <f>IF($D238=1,INDEX(TblClusters[Workers min],$B238),"")</f>
        <v/>
      </c>
      <c r="K238" s="73" t="str">
        <f>IF($D238=1,INDEX(TblClusters[Tarif par nœud],$B238),"")</f>
        <v/>
      </c>
      <c r="L238" s="19" t="str">
        <f>IF($D238=1,INDEX(TblClusters[CPU initial (vCPU)],$B238),"")</f>
        <v/>
      </c>
      <c r="M238" s="19" t="str">
        <f>IF($D238=1,INDEX(TblClusters[RAM initiale (Go)],$B238),"")</f>
        <v/>
      </c>
      <c r="N238" s="19" t="str">
        <f>IF($D238=1,INDEX(TblClusters[CPU min (vCPU)],$B238),"")</f>
        <v/>
      </c>
      <c r="O238" s="19" t="str">
        <f>IF($D238=1,INDEX(TblClusters[RAM min (Go)],$B238),"")</f>
        <v/>
      </c>
      <c r="P238" s="19" t="str">
        <f>IF($D238&lt;&gt;1,"",IF($G238="ROKS",SUMIFS(TblApplications[Besoin ROKS CPU (vCPU)],TblApplications[Cluster ROKS cible],$F238,TblApplications[Action],"À migrer",TblApplications[Déjà incluse ROKS],"Non",TblApplications[Mois prov (calc)],"&lt;="&amp;$E238),SUMIFS(TblApplications[CPU IKS libérable (vCPU)],TblApplications[Cluster IKS source],$F238,TblApplications[Mois lib (calc)],"&lt;="&amp;$E238)))</f>
        <v/>
      </c>
      <c r="Q238" s="19" t="str">
        <f>IF($D238&lt;&gt;1,"",IF($G238="ROKS",SUMIFS(TblApplications[Besoin ROKS RAM (Go)],TblApplications[Cluster ROKS cible],$F238,TblApplications[Action],"À migrer",TblApplications[Déjà incluse ROKS],"Non",TblApplications[Mois prov (calc)],"&lt;="&amp;$E238),SUMIFS(TblApplications[RAM IKS libérable (Go)],TblApplications[Cluster IKS source],$F238,TblApplications[Mois lib (calc)],"&lt;="&amp;$E238)))</f>
        <v/>
      </c>
      <c r="R238" s="19" t="str">
        <f t="shared" si="54"/>
        <v/>
      </c>
      <c r="S238" s="19" t="str">
        <f t="shared" si="55"/>
        <v/>
      </c>
      <c r="T238" s="19" t="str">
        <f t="shared" si="56"/>
        <v/>
      </c>
      <c r="U238" s="19" t="str">
        <f t="shared" si="57"/>
        <v/>
      </c>
      <c r="V238" s="19" t="str">
        <f t="shared" si="58"/>
        <v/>
      </c>
      <c r="W238" s="73" t="str">
        <f t="shared" si="59"/>
        <v/>
      </c>
      <c r="X238" s="19" t="str">
        <f>IF($D238&lt;&gt;1,"",IF($G238="ROKS",$R238,IF($AI238=1,0,MAX($N238,$L238-SUMIFS(TblApplications[CPU IKS libérable (vCPU)],TblApplications[Cluster IKS source],$F238,TblApplications[Action],"À migrer",TblApplications[Mois prov (calc)],"&lt;="&amp;$E238)-SUMIFS(TblApplications[CPU IKS libérable (vCPU)],TblApplications[Cluster IKS source],$F238,TblApplications[Action],"À décommissionner",TblApplications[Mois lib (calc)],"&lt;="&amp;$E238)))))</f>
        <v/>
      </c>
      <c r="Y238" s="19" t="str">
        <f>IF($D238&lt;&gt;1,"",IF($G238="ROKS",$S238,IF($AI238=1,0,MAX($O238,$M238-SUMIFS(TblApplications[RAM IKS libérable (Go)],TblApplications[Cluster IKS source],$F238,TblApplications[Action],"À migrer",TblApplications[Mois prov (calc)],"&lt;="&amp;$E238)-SUMIFS(TblApplications[RAM IKS libérable (Go)],TblApplications[Cluster IKS source],$F238,TblApplications[Action],"À décommissionner",TblApplications[Mois lib (calc)],"&lt;="&amp;$E238)))))</f>
        <v/>
      </c>
      <c r="Z238" s="19" t="str">
        <f t="shared" si="60"/>
        <v/>
      </c>
      <c r="AA238" s="73" t="str">
        <f t="shared" si="61"/>
        <v/>
      </c>
      <c r="AB238" s="19" t="str">
        <f t="shared" si="62"/>
        <v/>
      </c>
      <c r="AC238" s="73" t="str">
        <f t="shared" si="63"/>
        <v/>
      </c>
      <c r="AD238" s="19" t="str">
        <f t="shared" si="64"/>
        <v/>
      </c>
      <c r="AE238" s="19" t="str">
        <f t="shared" si="65"/>
        <v/>
      </c>
      <c r="AF238" s="19" t="str">
        <f>IF($D238&lt;&gt;1,"",IF(INDEX(TblClusters[Environnement],$B238)="","(vide)",INDEX(TblClusters[Environnement],$B238)))</f>
        <v/>
      </c>
      <c r="AG238" s="19" t="str">
        <f t="shared" si="66"/>
        <v/>
      </c>
      <c r="AH238" s="19" t="str">
        <f t="shared" si="67"/>
        <v/>
      </c>
      <c r="AI238" s="19" t="str">
        <f>IF($D238&lt;&gt;1,"",IF(AND($G238="IKS",ISNUMBER(INDEX(TblClusters[Fermeture retenue],$B238))),IF($E238&gt;=INDEX(TblClusters[Fermeture retenue],$B238),1,0),0))</f>
        <v/>
      </c>
    </row>
    <row r="239" spans="1:35" x14ac:dyDescent="0.2">
      <c r="A239" s="19">
        <v>234</v>
      </c>
      <c r="B239" s="19">
        <f t="shared" si="51"/>
        <v>7</v>
      </c>
      <c r="C239" s="19">
        <f t="shared" si="52"/>
        <v>18</v>
      </c>
      <c r="D239" s="19">
        <f>IF($C239&gt;p_horizon,0,IFERROR(IF(AND(INDEX(TblClusters[Cluster],$B239)&lt;&gt;"",ISNUMBER(INDEX(TblClusters[CPU initial (vCPU)],$B239)),ISNUMBER(INDEX(TblClusters[CPU min (vCPU)],$B239)),OR(INDEX(TblClusters[Plateforme],$B239)="IKS",INDEX(TblClusters[Plateforme],$B239)="ROKS")),1,0),0))</f>
        <v>0</v>
      </c>
      <c r="E239" s="72" t="str">
        <f t="shared" si="53"/>
        <v/>
      </c>
      <c r="F239" s="19" t="str">
        <f>IF($D239=1,INDEX(TblClusters[Cluster],$B239),"")</f>
        <v/>
      </c>
      <c r="G239" s="19" t="str">
        <f>IF($D239=1,INDEX(TblClusters[Plateforme],$B239),"")</f>
        <v/>
      </c>
      <c r="H239" s="19" t="str">
        <f>IF($D239=1,INDEX(TblClusters[vCPU par nœud],$B239),"")</f>
        <v/>
      </c>
      <c r="I239" s="19" t="str">
        <f>IF($D239=1,INDEX(TblClusters[RAM par nœud (Go)],$B239),"")</f>
        <v/>
      </c>
      <c r="J239" s="19" t="str">
        <f>IF($D239=1,INDEX(TblClusters[Workers min],$B239),"")</f>
        <v/>
      </c>
      <c r="K239" s="73" t="str">
        <f>IF($D239=1,INDEX(TblClusters[Tarif par nœud],$B239),"")</f>
        <v/>
      </c>
      <c r="L239" s="19" t="str">
        <f>IF($D239=1,INDEX(TblClusters[CPU initial (vCPU)],$B239),"")</f>
        <v/>
      </c>
      <c r="M239" s="19" t="str">
        <f>IF($D239=1,INDEX(TblClusters[RAM initiale (Go)],$B239),"")</f>
        <v/>
      </c>
      <c r="N239" s="19" t="str">
        <f>IF($D239=1,INDEX(TblClusters[CPU min (vCPU)],$B239),"")</f>
        <v/>
      </c>
      <c r="O239" s="19" t="str">
        <f>IF($D239=1,INDEX(TblClusters[RAM min (Go)],$B239),"")</f>
        <v/>
      </c>
      <c r="P239" s="19" t="str">
        <f>IF($D239&lt;&gt;1,"",IF($G239="ROKS",SUMIFS(TblApplications[Besoin ROKS CPU (vCPU)],TblApplications[Cluster ROKS cible],$F239,TblApplications[Action],"À migrer",TblApplications[Déjà incluse ROKS],"Non",TblApplications[Mois prov (calc)],"&lt;="&amp;$E239),SUMIFS(TblApplications[CPU IKS libérable (vCPU)],TblApplications[Cluster IKS source],$F239,TblApplications[Mois lib (calc)],"&lt;="&amp;$E239)))</f>
        <v/>
      </c>
      <c r="Q239" s="19" t="str">
        <f>IF($D239&lt;&gt;1,"",IF($G239="ROKS",SUMIFS(TblApplications[Besoin ROKS RAM (Go)],TblApplications[Cluster ROKS cible],$F239,TblApplications[Action],"À migrer",TblApplications[Déjà incluse ROKS],"Non",TblApplications[Mois prov (calc)],"&lt;="&amp;$E239),SUMIFS(TblApplications[RAM IKS libérable (Go)],TblApplications[Cluster IKS source],$F239,TblApplications[Mois lib (calc)],"&lt;="&amp;$E239)))</f>
        <v/>
      </c>
      <c r="R239" s="19" t="str">
        <f t="shared" si="54"/>
        <v/>
      </c>
      <c r="S239" s="19" t="str">
        <f t="shared" si="55"/>
        <v/>
      </c>
      <c r="T239" s="19" t="str">
        <f t="shared" si="56"/>
        <v/>
      </c>
      <c r="U239" s="19" t="str">
        <f t="shared" si="57"/>
        <v/>
      </c>
      <c r="V239" s="19" t="str">
        <f t="shared" si="58"/>
        <v/>
      </c>
      <c r="W239" s="73" t="str">
        <f t="shared" si="59"/>
        <v/>
      </c>
      <c r="X239" s="19" t="str">
        <f>IF($D239&lt;&gt;1,"",IF($G239="ROKS",$R239,IF($AI239=1,0,MAX($N239,$L239-SUMIFS(TblApplications[CPU IKS libérable (vCPU)],TblApplications[Cluster IKS source],$F239,TblApplications[Action],"À migrer",TblApplications[Mois prov (calc)],"&lt;="&amp;$E239)-SUMIFS(TblApplications[CPU IKS libérable (vCPU)],TblApplications[Cluster IKS source],$F239,TblApplications[Action],"À décommissionner",TblApplications[Mois lib (calc)],"&lt;="&amp;$E239)))))</f>
        <v/>
      </c>
      <c r="Y239" s="19" t="str">
        <f>IF($D239&lt;&gt;1,"",IF($G239="ROKS",$S239,IF($AI239=1,0,MAX($O239,$M239-SUMIFS(TblApplications[RAM IKS libérable (Go)],TblApplications[Cluster IKS source],$F239,TblApplications[Action],"À migrer",TblApplications[Mois prov (calc)],"&lt;="&amp;$E239)-SUMIFS(TblApplications[RAM IKS libérable (Go)],TblApplications[Cluster IKS source],$F239,TblApplications[Action],"À décommissionner",TblApplications[Mois lib (calc)],"&lt;="&amp;$E239)))))</f>
        <v/>
      </c>
      <c r="Z239" s="19" t="str">
        <f t="shared" si="60"/>
        <v/>
      </c>
      <c r="AA239" s="73" t="str">
        <f t="shared" si="61"/>
        <v/>
      </c>
      <c r="AB239" s="19" t="str">
        <f t="shared" si="62"/>
        <v/>
      </c>
      <c r="AC239" s="73" t="str">
        <f t="shared" si="63"/>
        <v/>
      </c>
      <c r="AD239" s="19" t="str">
        <f t="shared" si="64"/>
        <v/>
      </c>
      <c r="AE239" s="19" t="str">
        <f t="shared" si="65"/>
        <v/>
      </c>
      <c r="AF239" s="19" t="str">
        <f>IF($D239&lt;&gt;1,"",IF(INDEX(TblClusters[Environnement],$B239)="","(vide)",INDEX(TblClusters[Environnement],$B239)))</f>
        <v/>
      </c>
      <c r="AG239" s="19" t="str">
        <f t="shared" si="66"/>
        <v/>
      </c>
      <c r="AH239" s="19" t="str">
        <f t="shared" si="67"/>
        <v/>
      </c>
      <c r="AI239" s="19" t="str">
        <f>IF($D239&lt;&gt;1,"",IF(AND($G239="IKS",ISNUMBER(INDEX(TblClusters[Fermeture retenue],$B239))),IF($E239&gt;=INDEX(TblClusters[Fermeture retenue],$B239),1,0),0))</f>
        <v/>
      </c>
    </row>
    <row r="240" spans="1:35" x14ac:dyDescent="0.2">
      <c r="A240" s="19">
        <v>235</v>
      </c>
      <c r="B240" s="19">
        <f t="shared" si="51"/>
        <v>7</v>
      </c>
      <c r="C240" s="19">
        <f t="shared" si="52"/>
        <v>19</v>
      </c>
      <c r="D240" s="19">
        <f>IF($C240&gt;p_horizon,0,IFERROR(IF(AND(INDEX(TblClusters[Cluster],$B240)&lt;&gt;"",ISNUMBER(INDEX(TblClusters[CPU initial (vCPU)],$B240)),ISNUMBER(INDEX(TblClusters[CPU min (vCPU)],$B240)),OR(INDEX(TblClusters[Plateforme],$B240)="IKS",INDEX(TblClusters[Plateforme],$B240)="ROKS")),1,0),0))</f>
        <v>0</v>
      </c>
      <c r="E240" s="72" t="str">
        <f t="shared" si="53"/>
        <v/>
      </c>
      <c r="F240" s="19" t="str">
        <f>IF($D240=1,INDEX(TblClusters[Cluster],$B240),"")</f>
        <v/>
      </c>
      <c r="G240" s="19" t="str">
        <f>IF($D240=1,INDEX(TblClusters[Plateforme],$B240),"")</f>
        <v/>
      </c>
      <c r="H240" s="19" t="str">
        <f>IF($D240=1,INDEX(TblClusters[vCPU par nœud],$B240),"")</f>
        <v/>
      </c>
      <c r="I240" s="19" t="str">
        <f>IF($D240=1,INDEX(TblClusters[RAM par nœud (Go)],$B240),"")</f>
        <v/>
      </c>
      <c r="J240" s="19" t="str">
        <f>IF($D240=1,INDEX(TblClusters[Workers min],$B240),"")</f>
        <v/>
      </c>
      <c r="K240" s="73" t="str">
        <f>IF($D240=1,INDEX(TblClusters[Tarif par nœud],$B240),"")</f>
        <v/>
      </c>
      <c r="L240" s="19" t="str">
        <f>IF($D240=1,INDEX(TblClusters[CPU initial (vCPU)],$B240),"")</f>
        <v/>
      </c>
      <c r="M240" s="19" t="str">
        <f>IF($D240=1,INDEX(TblClusters[RAM initiale (Go)],$B240),"")</f>
        <v/>
      </c>
      <c r="N240" s="19" t="str">
        <f>IF($D240=1,INDEX(TblClusters[CPU min (vCPU)],$B240),"")</f>
        <v/>
      </c>
      <c r="O240" s="19" t="str">
        <f>IF($D240=1,INDEX(TblClusters[RAM min (Go)],$B240),"")</f>
        <v/>
      </c>
      <c r="P240" s="19" t="str">
        <f>IF($D240&lt;&gt;1,"",IF($G240="ROKS",SUMIFS(TblApplications[Besoin ROKS CPU (vCPU)],TblApplications[Cluster ROKS cible],$F240,TblApplications[Action],"À migrer",TblApplications[Déjà incluse ROKS],"Non",TblApplications[Mois prov (calc)],"&lt;="&amp;$E240),SUMIFS(TblApplications[CPU IKS libérable (vCPU)],TblApplications[Cluster IKS source],$F240,TblApplications[Mois lib (calc)],"&lt;="&amp;$E240)))</f>
        <v/>
      </c>
      <c r="Q240" s="19" t="str">
        <f>IF($D240&lt;&gt;1,"",IF($G240="ROKS",SUMIFS(TblApplications[Besoin ROKS RAM (Go)],TblApplications[Cluster ROKS cible],$F240,TblApplications[Action],"À migrer",TblApplications[Déjà incluse ROKS],"Non",TblApplications[Mois prov (calc)],"&lt;="&amp;$E240),SUMIFS(TblApplications[RAM IKS libérable (Go)],TblApplications[Cluster IKS source],$F240,TblApplications[Mois lib (calc)],"&lt;="&amp;$E240)))</f>
        <v/>
      </c>
      <c r="R240" s="19" t="str">
        <f t="shared" si="54"/>
        <v/>
      </c>
      <c r="S240" s="19" t="str">
        <f t="shared" si="55"/>
        <v/>
      </c>
      <c r="T240" s="19" t="str">
        <f t="shared" si="56"/>
        <v/>
      </c>
      <c r="U240" s="19" t="str">
        <f t="shared" si="57"/>
        <v/>
      </c>
      <c r="V240" s="19" t="str">
        <f t="shared" si="58"/>
        <v/>
      </c>
      <c r="W240" s="73" t="str">
        <f t="shared" si="59"/>
        <v/>
      </c>
      <c r="X240" s="19" t="str">
        <f>IF($D240&lt;&gt;1,"",IF($G240="ROKS",$R240,IF($AI240=1,0,MAX($N240,$L240-SUMIFS(TblApplications[CPU IKS libérable (vCPU)],TblApplications[Cluster IKS source],$F240,TblApplications[Action],"À migrer",TblApplications[Mois prov (calc)],"&lt;="&amp;$E240)-SUMIFS(TblApplications[CPU IKS libérable (vCPU)],TblApplications[Cluster IKS source],$F240,TblApplications[Action],"À décommissionner",TblApplications[Mois lib (calc)],"&lt;="&amp;$E240)))))</f>
        <v/>
      </c>
      <c r="Y240" s="19" t="str">
        <f>IF($D240&lt;&gt;1,"",IF($G240="ROKS",$S240,IF($AI240=1,0,MAX($O240,$M240-SUMIFS(TblApplications[RAM IKS libérable (Go)],TblApplications[Cluster IKS source],$F240,TblApplications[Action],"À migrer",TblApplications[Mois prov (calc)],"&lt;="&amp;$E240)-SUMIFS(TblApplications[RAM IKS libérable (Go)],TblApplications[Cluster IKS source],$F240,TblApplications[Action],"À décommissionner",TblApplications[Mois lib (calc)],"&lt;="&amp;$E240)))))</f>
        <v/>
      </c>
      <c r="Z240" s="19" t="str">
        <f t="shared" si="60"/>
        <v/>
      </c>
      <c r="AA240" s="73" t="str">
        <f t="shared" si="61"/>
        <v/>
      </c>
      <c r="AB240" s="19" t="str">
        <f t="shared" si="62"/>
        <v/>
      </c>
      <c r="AC240" s="73" t="str">
        <f t="shared" si="63"/>
        <v/>
      </c>
      <c r="AD240" s="19" t="str">
        <f t="shared" si="64"/>
        <v/>
      </c>
      <c r="AE240" s="19" t="str">
        <f t="shared" si="65"/>
        <v/>
      </c>
      <c r="AF240" s="19" t="str">
        <f>IF($D240&lt;&gt;1,"",IF(INDEX(TblClusters[Environnement],$B240)="","(vide)",INDEX(TblClusters[Environnement],$B240)))</f>
        <v/>
      </c>
      <c r="AG240" s="19" t="str">
        <f t="shared" si="66"/>
        <v/>
      </c>
      <c r="AH240" s="19" t="str">
        <f t="shared" si="67"/>
        <v/>
      </c>
      <c r="AI240" s="19" t="str">
        <f>IF($D240&lt;&gt;1,"",IF(AND($G240="IKS",ISNUMBER(INDEX(TblClusters[Fermeture retenue],$B240))),IF($E240&gt;=INDEX(TblClusters[Fermeture retenue],$B240),1,0),0))</f>
        <v/>
      </c>
    </row>
    <row r="241" spans="1:35" x14ac:dyDescent="0.2">
      <c r="A241" s="19">
        <v>236</v>
      </c>
      <c r="B241" s="19">
        <f t="shared" si="51"/>
        <v>7</v>
      </c>
      <c r="C241" s="19">
        <f t="shared" si="52"/>
        <v>20</v>
      </c>
      <c r="D241" s="19">
        <f>IF($C241&gt;p_horizon,0,IFERROR(IF(AND(INDEX(TblClusters[Cluster],$B241)&lt;&gt;"",ISNUMBER(INDEX(TblClusters[CPU initial (vCPU)],$B241)),ISNUMBER(INDEX(TblClusters[CPU min (vCPU)],$B241)),OR(INDEX(TblClusters[Plateforme],$B241)="IKS",INDEX(TblClusters[Plateforme],$B241)="ROKS")),1,0),0))</f>
        <v>0</v>
      </c>
      <c r="E241" s="72" t="str">
        <f t="shared" si="53"/>
        <v/>
      </c>
      <c r="F241" s="19" t="str">
        <f>IF($D241=1,INDEX(TblClusters[Cluster],$B241),"")</f>
        <v/>
      </c>
      <c r="G241" s="19" t="str">
        <f>IF($D241=1,INDEX(TblClusters[Plateforme],$B241),"")</f>
        <v/>
      </c>
      <c r="H241" s="19" t="str">
        <f>IF($D241=1,INDEX(TblClusters[vCPU par nœud],$B241),"")</f>
        <v/>
      </c>
      <c r="I241" s="19" t="str">
        <f>IF($D241=1,INDEX(TblClusters[RAM par nœud (Go)],$B241),"")</f>
        <v/>
      </c>
      <c r="J241" s="19" t="str">
        <f>IF($D241=1,INDEX(TblClusters[Workers min],$B241),"")</f>
        <v/>
      </c>
      <c r="K241" s="73" t="str">
        <f>IF($D241=1,INDEX(TblClusters[Tarif par nœud],$B241),"")</f>
        <v/>
      </c>
      <c r="L241" s="19" t="str">
        <f>IF($D241=1,INDEX(TblClusters[CPU initial (vCPU)],$B241),"")</f>
        <v/>
      </c>
      <c r="M241" s="19" t="str">
        <f>IF($D241=1,INDEX(TblClusters[RAM initiale (Go)],$B241),"")</f>
        <v/>
      </c>
      <c r="N241" s="19" t="str">
        <f>IF($D241=1,INDEX(TblClusters[CPU min (vCPU)],$B241),"")</f>
        <v/>
      </c>
      <c r="O241" s="19" t="str">
        <f>IF($D241=1,INDEX(TblClusters[RAM min (Go)],$B241),"")</f>
        <v/>
      </c>
      <c r="P241" s="19" t="str">
        <f>IF($D241&lt;&gt;1,"",IF($G241="ROKS",SUMIFS(TblApplications[Besoin ROKS CPU (vCPU)],TblApplications[Cluster ROKS cible],$F241,TblApplications[Action],"À migrer",TblApplications[Déjà incluse ROKS],"Non",TblApplications[Mois prov (calc)],"&lt;="&amp;$E241),SUMIFS(TblApplications[CPU IKS libérable (vCPU)],TblApplications[Cluster IKS source],$F241,TblApplications[Mois lib (calc)],"&lt;="&amp;$E241)))</f>
        <v/>
      </c>
      <c r="Q241" s="19" t="str">
        <f>IF($D241&lt;&gt;1,"",IF($G241="ROKS",SUMIFS(TblApplications[Besoin ROKS RAM (Go)],TblApplications[Cluster ROKS cible],$F241,TblApplications[Action],"À migrer",TblApplications[Déjà incluse ROKS],"Non",TblApplications[Mois prov (calc)],"&lt;="&amp;$E241),SUMIFS(TblApplications[RAM IKS libérable (Go)],TblApplications[Cluster IKS source],$F241,TblApplications[Mois lib (calc)],"&lt;="&amp;$E241)))</f>
        <v/>
      </c>
      <c r="R241" s="19" t="str">
        <f t="shared" si="54"/>
        <v/>
      </c>
      <c r="S241" s="19" t="str">
        <f t="shared" si="55"/>
        <v/>
      </c>
      <c r="T241" s="19" t="str">
        <f t="shared" si="56"/>
        <v/>
      </c>
      <c r="U241" s="19" t="str">
        <f t="shared" si="57"/>
        <v/>
      </c>
      <c r="V241" s="19" t="str">
        <f t="shared" si="58"/>
        <v/>
      </c>
      <c r="W241" s="73" t="str">
        <f t="shared" si="59"/>
        <v/>
      </c>
      <c r="X241" s="19" t="str">
        <f>IF($D241&lt;&gt;1,"",IF($G241="ROKS",$R241,IF($AI241=1,0,MAX($N241,$L241-SUMIFS(TblApplications[CPU IKS libérable (vCPU)],TblApplications[Cluster IKS source],$F241,TblApplications[Action],"À migrer",TblApplications[Mois prov (calc)],"&lt;="&amp;$E241)-SUMIFS(TblApplications[CPU IKS libérable (vCPU)],TblApplications[Cluster IKS source],$F241,TblApplications[Action],"À décommissionner",TblApplications[Mois lib (calc)],"&lt;="&amp;$E241)))))</f>
        <v/>
      </c>
      <c r="Y241" s="19" t="str">
        <f>IF($D241&lt;&gt;1,"",IF($G241="ROKS",$S241,IF($AI241=1,0,MAX($O241,$M241-SUMIFS(TblApplications[RAM IKS libérable (Go)],TblApplications[Cluster IKS source],$F241,TblApplications[Action],"À migrer",TblApplications[Mois prov (calc)],"&lt;="&amp;$E241)-SUMIFS(TblApplications[RAM IKS libérable (Go)],TblApplications[Cluster IKS source],$F241,TblApplications[Action],"À décommissionner",TblApplications[Mois lib (calc)],"&lt;="&amp;$E241)))))</f>
        <v/>
      </c>
      <c r="Z241" s="19" t="str">
        <f t="shared" si="60"/>
        <v/>
      </c>
      <c r="AA241" s="73" t="str">
        <f t="shared" si="61"/>
        <v/>
      </c>
      <c r="AB241" s="19" t="str">
        <f t="shared" si="62"/>
        <v/>
      </c>
      <c r="AC241" s="73" t="str">
        <f t="shared" si="63"/>
        <v/>
      </c>
      <c r="AD241" s="19" t="str">
        <f t="shared" si="64"/>
        <v/>
      </c>
      <c r="AE241" s="19" t="str">
        <f t="shared" si="65"/>
        <v/>
      </c>
      <c r="AF241" s="19" t="str">
        <f>IF($D241&lt;&gt;1,"",IF(INDEX(TblClusters[Environnement],$B241)="","(vide)",INDEX(TblClusters[Environnement],$B241)))</f>
        <v/>
      </c>
      <c r="AG241" s="19" t="str">
        <f t="shared" si="66"/>
        <v/>
      </c>
      <c r="AH241" s="19" t="str">
        <f t="shared" si="67"/>
        <v/>
      </c>
      <c r="AI241" s="19" t="str">
        <f>IF($D241&lt;&gt;1,"",IF(AND($G241="IKS",ISNUMBER(INDEX(TblClusters[Fermeture retenue],$B241))),IF($E241&gt;=INDEX(TblClusters[Fermeture retenue],$B241),1,0),0))</f>
        <v/>
      </c>
    </row>
    <row r="242" spans="1:35" x14ac:dyDescent="0.2">
      <c r="A242" s="19">
        <v>237</v>
      </c>
      <c r="B242" s="19">
        <f t="shared" si="51"/>
        <v>7</v>
      </c>
      <c r="C242" s="19">
        <f t="shared" si="52"/>
        <v>21</v>
      </c>
      <c r="D242" s="19">
        <f>IF($C242&gt;p_horizon,0,IFERROR(IF(AND(INDEX(TblClusters[Cluster],$B242)&lt;&gt;"",ISNUMBER(INDEX(TblClusters[CPU initial (vCPU)],$B242)),ISNUMBER(INDEX(TblClusters[CPU min (vCPU)],$B242)),OR(INDEX(TblClusters[Plateforme],$B242)="IKS",INDEX(TblClusters[Plateforme],$B242)="ROKS")),1,0),0))</f>
        <v>0</v>
      </c>
      <c r="E242" s="72" t="str">
        <f t="shared" si="53"/>
        <v/>
      </c>
      <c r="F242" s="19" t="str">
        <f>IF($D242=1,INDEX(TblClusters[Cluster],$B242),"")</f>
        <v/>
      </c>
      <c r="G242" s="19" t="str">
        <f>IF($D242=1,INDEX(TblClusters[Plateforme],$B242),"")</f>
        <v/>
      </c>
      <c r="H242" s="19" t="str">
        <f>IF($D242=1,INDEX(TblClusters[vCPU par nœud],$B242),"")</f>
        <v/>
      </c>
      <c r="I242" s="19" t="str">
        <f>IF($D242=1,INDEX(TblClusters[RAM par nœud (Go)],$B242),"")</f>
        <v/>
      </c>
      <c r="J242" s="19" t="str">
        <f>IF($D242=1,INDEX(TblClusters[Workers min],$B242),"")</f>
        <v/>
      </c>
      <c r="K242" s="73" t="str">
        <f>IF($D242=1,INDEX(TblClusters[Tarif par nœud],$B242),"")</f>
        <v/>
      </c>
      <c r="L242" s="19" t="str">
        <f>IF($D242=1,INDEX(TblClusters[CPU initial (vCPU)],$B242),"")</f>
        <v/>
      </c>
      <c r="M242" s="19" t="str">
        <f>IF($D242=1,INDEX(TblClusters[RAM initiale (Go)],$B242),"")</f>
        <v/>
      </c>
      <c r="N242" s="19" t="str">
        <f>IF($D242=1,INDEX(TblClusters[CPU min (vCPU)],$B242),"")</f>
        <v/>
      </c>
      <c r="O242" s="19" t="str">
        <f>IF($D242=1,INDEX(TblClusters[RAM min (Go)],$B242),"")</f>
        <v/>
      </c>
      <c r="P242" s="19" t="str">
        <f>IF($D242&lt;&gt;1,"",IF($G242="ROKS",SUMIFS(TblApplications[Besoin ROKS CPU (vCPU)],TblApplications[Cluster ROKS cible],$F242,TblApplications[Action],"À migrer",TblApplications[Déjà incluse ROKS],"Non",TblApplications[Mois prov (calc)],"&lt;="&amp;$E242),SUMIFS(TblApplications[CPU IKS libérable (vCPU)],TblApplications[Cluster IKS source],$F242,TblApplications[Mois lib (calc)],"&lt;="&amp;$E242)))</f>
        <v/>
      </c>
      <c r="Q242" s="19" t="str">
        <f>IF($D242&lt;&gt;1,"",IF($G242="ROKS",SUMIFS(TblApplications[Besoin ROKS RAM (Go)],TblApplications[Cluster ROKS cible],$F242,TblApplications[Action],"À migrer",TblApplications[Déjà incluse ROKS],"Non",TblApplications[Mois prov (calc)],"&lt;="&amp;$E242),SUMIFS(TblApplications[RAM IKS libérable (Go)],TblApplications[Cluster IKS source],$F242,TblApplications[Mois lib (calc)],"&lt;="&amp;$E242)))</f>
        <v/>
      </c>
      <c r="R242" s="19" t="str">
        <f t="shared" si="54"/>
        <v/>
      </c>
      <c r="S242" s="19" t="str">
        <f t="shared" si="55"/>
        <v/>
      </c>
      <c r="T242" s="19" t="str">
        <f t="shared" si="56"/>
        <v/>
      </c>
      <c r="U242" s="19" t="str">
        <f t="shared" si="57"/>
        <v/>
      </c>
      <c r="V242" s="19" t="str">
        <f t="shared" si="58"/>
        <v/>
      </c>
      <c r="W242" s="73" t="str">
        <f t="shared" si="59"/>
        <v/>
      </c>
      <c r="X242" s="19" t="str">
        <f>IF($D242&lt;&gt;1,"",IF($G242="ROKS",$R242,IF($AI242=1,0,MAX($N242,$L242-SUMIFS(TblApplications[CPU IKS libérable (vCPU)],TblApplications[Cluster IKS source],$F242,TblApplications[Action],"À migrer",TblApplications[Mois prov (calc)],"&lt;="&amp;$E242)-SUMIFS(TblApplications[CPU IKS libérable (vCPU)],TblApplications[Cluster IKS source],$F242,TblApplications[Action],"À décommissionner",TblApplications[Mois lib (calc)],"&lt;="&amp;$E242)))))</f>
        <v/>
      </c>
      <c r="Y242" s="19" t="str">
        <f>IF($D242&lt;&gt;1,"",IF($G242="ROKS",$S242,IF($AI242=1,0,MAX($O242,$M242-SUMIFS(TblApplications[RAM IKS libérable (Go)],TblApplications[Cluster IKS source],$F242,TblApplications[Action],"À migrer",TblApplications[Mois prov (calc)],"&lt;="&amp;$E242)-SUMIFS(TblApplications[RAM IKS libérable (Go)],TblApplications[Cluster IKS source],$F242,TblApplications[Action],"À décommissionner",TblApplications[Mois lib (calc)],"&lt;="&amp;$E242)))))</f>
        <v/>
      </c>
      <c r="Z242" s="19" t="str">
        <f t="shared" si="60"/>
        <v/>
      </c>
      <c r="AA242" s="73" t="str">
        <f t="shared" si="61"/>
        <v/>
      </c>
      <c r="AB242" s="19" t="str">
        <f t="shared" si="62"/>
        <v/>
      </c>
      <c r="AC242" s="73" t="str">
        <f t="shared" si="63"/>
        <v/>
      </c>
      <c r="AD242" s="19" t="str">
        <f t="shared" si="64"/>
        <v/>
      </c>
      <c r="AE242" s="19" t="str">
        <f t="shared" si="65"/>
        <v/>
      </c>
      <c r="AF242" s="19" t="str">
        <f>IF($D242&lt;&gt;1,"",IF(INDEX(TblClusters[Environnement],$B242)="","(vide)",INDEX(TblClusters[Environnement],$B242)))</f>
        <v/>
      </c>
      <c r="AG242" s="19" t="str">
        <f t="shared" si="66"/>
        <v/>
      </c>
      <c r="AH242" s="19" t="str">
        <f t="shared" si="67"/>
        <v/>
      </c>
      <c r="AI242" s="19" t="str">
        <f>IF($D242&lt;&gt;1,"",IF(AND($G242="IKS",ISNUMBER(INDEX(TblClusters[Fermeture retenue],$B242))),IF($E242&gt;=INDEX(TblClusters[Fermeture retenue],$B242),1,0),0))</f>
        <v/>
      </c>
    </row>
    <row r="243" spans="1:35" x14ac:dyDescent="0.2">
      <c r="A243" s="19">
        <v>238</v>
      </c>
      <c r="B243" s="19">
        <f t="shared" si="51"/>
        <v>7</v>
      </c>
      <c r="C243" s="19">
        <f t="shared" si="52"/>
        <v>22</v>
      </c>
      <c r="D243" s="19">
        <f>IF($C243&gt;p_horizon,0,IFERROR(IF(AND(INDEX(TblClusters[Cluster],$B243)&lt;&gt;"",ISNUMBER(INDEX(TblClusters[CPU initial (vCPU)],$B243)),ISNUMBER(INDEX(TblClusters[CPU min (vCPU)],$B243)),OR(INDEX(TblClusters[Plateforme],$B243)="IKS",INDEX(TblClusters[Plateforme],$B243)="ROKS")),1,0),0))</f>
        <v>0</v>
      </c>
      <c r="E243" s="72" t="str">
        <f t="shared" si="53"/>
        <v/>
      </c>
      <c r="F243" s="19" t="str">
        <f>IF($D243=1,INDEX(TblClusters[Cluster],$B243),"")</f>
        <v/>
      </c>
      <c r="G243" s="19" t="str">
        <f>IF($D243=1,INDEX(TblClusters[Plateforme],$B243),"")</f>
        <v/>
      </c>
      <c r="H243" s="19" t="str">
        <f>IF($D243=1,INDEX(TblClusters[vCPU par nœud],$B243),"")</f>
        <v/>
      </c>
      <c r="I243" s="19" t="str">
        <f>IF($D243=1,INDEX(TblClusters[RAM par nœud (Go)],$B243),"")</f>
        <v/>
      </c>
      <c r="J243" s="19" t="str">
        <f>IF($D243=1,INDEX(TblClusters[Workers min],$B243),"")</f>
        <v/>
      </c>
      <c r="K243" s="73" t="str">
        <f>IF($D243=1,INDEX(TblClusters[Tarif par nœud],$B243),"")</f>
        <v/>
      </c>
      <c r="L243" s="19" t="str">
        <f>IF($D243=1,INDEX(TblClusters[CPU initial (vCPU)],$B243),"")</f>
        <v/>
      </c>
      <c r="M243" s="19" t="str">
        <f>IF($D243=1,INDEX(TblClusters[RAM initiale (Go)],$B243),"")</f>
        <v/>
      </c>
      <c r="N243" s="19" t="str">
        <f>IF($D243=1,INDEX(TblClusters[CPU min (vCPU)],$B243),"")</f>
        <v/>
      </c>
      <c r="O243" s="19" t="str">
        <f>IF($D243=1,INDEX(TblClusters[RAM min (Go)],$B243),"")</f>
        <v/>
      </c>
      <c r="P243" s="19" t="str">
        <f>IF($D243&lt;&gt;1,"",IF($G243="ROKS",SUMIFS(TblApplications[Besoin ROKS CPU (vCPU)],TblApplications[Cluster ROKS cible],$F243,TblApplications[Action],"À migrer",TblApplications[Déjà incluse ROKS],"Non",TblApplications[Mois prov (calc)],"&lt;="&amp;$E243),SUMIFS(TblApplications[CPU IKS libérable (vCPU)],TblApplications[Cluster IKS source],$F243,TblApplications[Mois lib (calc)],"&lt;="&amp;$E243)))</f>
        <v/>
      </c>
      <c r="Q243" s="19" t="str">
        <f>IF($D243&lt;&gt;1,"",IF($G243="ROKS",SUMIFS(TblApplications[Besoin ROKS RAM (Go)],TblApplications[Cluster ROKS cible],$F243,TblApplications[Action],"À migrer",TblApplications[Déjà incluse ROKS],"Non",TblApplications[Mois prov (calc)],"&lt;="&amp;$E243),SUMIFS(TblApplications[RAM IKS libérable (Go)],TblApplications[Cluster IKS source],$F243,TblApplications[Mois lib (calc)],"&lt;="&amp;$E243)))</f>
        <v/>
      </c>
      <c r="R243" s="19" t="str">
        <f t="shared" si="54"/>
        <v/>
      </c>
      <c r="S243" s="19" t="str">
        <f t="shared" si="55"/>
        <v/>
      </c>
      <c r="T243" s="19" t="str">
        <f t="shared" si="56"/>
        <v/>
      </c>
      <c r="U243" s="19" t="str">
        <f t="shared" si="57"/>
        <v/>
      </c>
      <c r="V243" s="19" t="str">
        <f t="shared" si="58"/>
        <v/>
      </c>
      <c r="W243" s="73" t="str">
        <f t="shared" si="59"/>
        <v/>
      </c>
      <c r="X243" s="19" t="str">
        <f>IF($D243&lt;&gt;1,"",IF($G243="ROKS",$R243,IF($AI243=1,0,MAX($N243,$L243-SUMIFS(TblApplications[CPU IKS libérable (vCPU)],TblApplications[Cluster IKS source],$F243,TblApplications[Action],"À migrer",TblApplications[Mois prov (calc)],"&lt;="&amp;$E243)-SUMIFS(TblApplications[CPU IKS libérable (vCPU)],TblApplications[Cluster IKS source],$F243,TblApplications[Action],"À décommissionner",TblApplications[Mois lib (calc)],"&lt;="&amp;$E243)))))</f>
        <v/>
      </c>
      <c r="Y243" s="19" t="str">
        <f>IF($D243&lt;&gt;1,"",IF($G243="ROKS",$S243,IF($AI243=1,0,MAX($O243,$M243-SUMIFS(TblApplications[RAM IKS libérable (Go)],TblApplications[Cluster IKS source],$F243,TblApplications[Action],"À migrer",TblApplications[Mois prov (calc)],"&lt;="&amp;$E243)-SUMIFS(TblApplications[RAM IKS libérable (Go)],TblApplications[Cluster IKS source],$F243,TblApplications[Action],"À décommissionner",TblApplications[Mois lib (calc)],"&lt;="&amp;$E243)))))</f>
        <v/>
      </c>
      <c r="Z243" s="19" t="str">
        <f t="shared" si="60"/>
        <v/>
      </c>
      <c r="AA243" s="73" t="str">
        <f t="shared" si="61"/>
        <v/>
      </c>
      <c r="AB243" s="19" t="str">
        <f t="shared" si="62"/>
        <v/>
      </c>
      <c r="AC243" s="73" t="str">
        <f t="shared" si="63"/>
        <v/>
      </c>
      <c r="AD243" s="19" t="str">
        <f t="shared" si="64"/>
        <v/>
      </c>
      <c r="AE243" s="19" t="str">
        <f t="shared" si="65"/>
        <v/>
      </c>
      <c r="AF243" s="19" t="str">
        <f>IF($D243&lt;&gt;1,"",IF(INDEX(TblClusters[Environnement],$B243)="","(vide)",INDEX(TblClusters[Environnement],$B243)))</f>
        <v/>
      </c>
      <c r="AG243" s="19" t="str">
        <f t="shared" si="66"/>
        <v/>
      </c>
      <c r="AH243" s="19" t="str">
        <f t="shared" si="67"/>
        <v/>
      </c>
      <c r="AI243" s="19" t="str">
        <f>IF($D243&lt;&gt;1,"",IF(AND($G243="IKS",ISNUMBER(INDEX(TblClusters[Fermeture retenue],$B243))),IF($E243&gt;=INDEX(TblClusters[Fermeture retenue],$B243),1,0),0))</f>
        <v/>
      </c>
    </row>
    <row r="244" spans="1:35" x14ac:dyDescent="0.2">
      <c r="A244" s="19">
        <v>239</v>
      </c>
      <c r="B244" s="19">
        <f t="shared" si="51"/>
        <v>7</v>
      </c>
      <c r="C244" s="19">
        <f t="shared" si="52"/>
        <v>23</v>
      </c>
      <c r="D244" s="19">
        <f>IF($C244&gt;p_horizon,0,IFERROR(IF(AND(INDEX(TblClusters[Cluster],$B244)&lt;&gt;"",ISNUMBER(INDEX(TblClusters[CPU initial (vCPU)],$B244)),ISNUMBER(INDEX(TblClusters[CPU min (vCPU)],$B244)),OR(INDEX(TblClusters[Plateforme],$B244)="IKS",INDEX(TblClusters[Plateforme],$B244)="ROKS")),1,0),0))</f>
        <v>0</v>
      </c>
      <c r="E244" s="72" t="str">
        <f t="shared" si="53"/>
        <v/>
      </c>
      <c r="F244" s="19" t="str">
        <f>IF($D244=1,INDEX(TblClusters[Cluster],$B244),"")</f>
        <v/>
      </c>
      <c r="G244" s="19" t="str">
        <f>IF($D244=1,INDEX(TblClusters[Plateforme],$B244),"")</f>
        <v/>
      </c>
      <c r="H244" s="19" t="str">
        <f>IF($D244=1,INDEX(TblClusters[vCPU par nœud],$B244),"")</f>
        <v/>
      </c>
      <c r="I244" s="19" t="str">
        <f>IF($D244=1,INDEX(TblClusters[RAM par nœud (Go)],$B244),"")</f>
        <v/>
      </c>
      <c r="J244" s="19" t="str">
        <f>IF($D244=1,INDEX(TblClusters[Workers min],$B244),"")</f>
        <v/>
      </c>
      <c r="K244" s="73" t="str">
        <f>IF($D244=1,INDEX(TblClusters[Tarif par nœud],$B244),"")</f>
        <v/>
      </c>
      <c r="L244" s="19" t="str">
        <f>IF($D244=1,INDEX(TblClusters[CPU initial (vCPU)],$B244),"")</f>
        <v/>
      </c>
      <c r="M244" s="19" t="str">
        <f>IF($D244=1,INDEX(TblClusters[RAM initiale (Go)],$B244),"")</f>
        <v/>
      </c>
      <c r="N244" s="19" t="str">
        <f>IF($D244=1,INDEX(TblClusters[CPU min (vCPU)],$B244),"")</f>
        <v/>
      </c>
      <c r="O244" s="19" t="str">
        <f>IF($D244=1,INDEX(TblClusters[RAM min (Go)],$B244),"")</f>
        <v/>
      </c>
      <c r="P244" s="19" t="str">
        <f>IF($D244&lt;&gt;1,"",IF($G244="ROKS",SUMIFS(TblApplications[Besoin ROKS CPU (vCPU)],TblApplications[Cluster ROKS cible],$F244,TblApplications[Action],"À migrer",TblApplications[Déjà incluse ROKS],"Non",TblApplications[Mois prov (calc)],"&lt;="&amp;$E244),SUMIFS(TblApplications[CPU IKS libérable (vCPU)],TblApplications[Cluster IKS source],$F244,TblApplications[Mois lib (calc)],"&lt;="&amp;$E244)))</f>
        <v/>
      </c>
      <c r="Q244" s="19" t="str">
        <f>IF($D244&lt;&gt;1,"",IF($G244="ROKS",SUMIFS(TblApplications[Besoin ROKS RAM (Go)],TblApplications[Cluster ROKS cible],$F244,TblApplications[Action],"À migrer",TblApplications[Déjà incluse ROKS],"Non",TblApplications[Mois prov (calc)],"&lt;="&amp;$E244),SUMIFS(TblApplications[RAM IKS libérable (Go)],TblApplications[Cluster IKS source],$F244,TblApplications[Mois lib (calc)],"&lt;="&amp;$E244)))</f>
        <v/>
      </c>
      <c r="R244" s="19" t="str">
        <f t="shared" si="54"/>
        <v/>
      </c>
      <c r="S244" s="19" t="str">
        <f t="shared" si="55"/>
        <v/>
      </c>
      <c r="T244" s="19" t="str">
        <f t="shared" si="56"/>
        <v/>
      </c>
      <c r="U244" s="19" t="str">
        <f t="shared" si="57"/>
        <v/>
      </c>
      <c r="V244" s="19" t="str">
        <f t="shared" si="58"/>
        <v/>
      </c>
      <c r="W244" s="73" t="str">
        <f t="shared" si="59"/>
        <v/>
      </c>
      <c r="X244" s="19" t="str">
        <f>IF($D244&lt;&gt;1,"",IF($G244="ROKS",$R244,IF($AI244=1,0,MAX($N244,$L244-SUMIFS(TblApplications[CPU IKS libérable (vCPU)],TblApplications[Cluster IKS source],$F244,TblApplications[Action],"À migrer",TblApplications[Mois prov (calc)],"&lt;="&amp;$E244)-SUMIFS(TblApplications[CPU IKS libérable (vCPU)],TblApplications[Cluster IKS source],$F244,TblApplications[Action],"À décommissionner",TblApplications[Mois lib (calc)],"&lt;="&amp;$E244)))))</f>
        <v/>
      </c>
      <c r="Y244" s="19" t="str">
        <f>IF($D244&lt;&gt;1,"",IF($G244="ROKS",$S244,IF($AI244=1,0,MAX($O244,$M244-SUMIFS(TblApplications[RAM IKS libérable (Go)],TblApplications[Cluster IKS source],$F244,TblApplications[Action],"À migrer",TblApplications[Mois prov (calc)],"&lt;="&amp;$E244)-SUMIFS(TblApplications[RAM IKS libérable (Go)],TblApplications[Cluster IKS source],$F244,TblApplications[Action],"À décommissionner",TblApplications[Mois lib (calc)],"&lt;="&amp;$E244)))))</f>
        <v/>
      </c>
      <c r="Z244" s="19" t="str">
        <f t="shared" si="60"/>
        <v/>
      </c>
      <c r="AA244" s="73" t="str">
        <f t="shared" si="61"/>
        <v/>
      </c>
      <c r="AB244" s="19" t="str">
        <f t="shared" si="62"/>
        <v/>
      </c>
      <c r="AC244" s="73" t="str">
        <f t="shared" si="63"/>
        <v/>
      </c>
      <c r="AD244" s="19" t="str">
        <f t="shared" si="64"/>
        <v/>
      </c>
      <c r="AE244" s="19" t="str">
        <f t="shared" si="65"/>
        <v/>
      </c>
      <c r="AF244" s="19" t="str">
        <f>IF($D244&lt;&gt;1,"",IF(INDEX(TblClusters[Environnement],$B244)="","(vide)",INDEX(TblClusters[Environnement],$B244)))</f>
        <v/>
      </c>
      <c r="AG244" s="19" t="str">
        <f t="shared" si="66"/>
        <v/>
      </c>
      <c r="AH244" s="19" t="str">
        <f t="shared" si="67"/>
        <v/>
      </c>
      <c r="AI244" s="19" t="str">
        <f>IF($D244&lt;&gt;1,"",IF(AND($G244="IKS",ISNUMBER(INDEX(TblClusters[Fermeture retenue],$B244))),IF($E244&gt;=INDEX(TblClusters[Fermeture retenue],$B244),1,0),0))</f>
        <v/>
      </c>
    </row>
    <row r="245" spans="1:35" x14ac:dyDescent="0.2">
      <c r="A245" s="19">
        <v>240</v>
      </c>
      <c r="B245" s="19">
        <f t="shared" si="51"/>
        <v>7</v>
      </c>
      <c r="C245" s="19">
        <f t="shared" si="52"/>
        <v>24</v>
      </c>
      <c r="D245" s="19">
        <f>IF($C245&gt;p_horizon,0,IFERROR(IF(AND(INDEX(TblClusters[Cluster],$B245)&lt;&gt;"",ISNUMBER(INDEX(TblClusters[CPU initial (vCPU)],$B245)),ISNUMBER(INDEX(TblClusters[CPU min (vCPU)],$B245)),OR(INDEX(TblClusters[Plateforme],$B245)="IKS",INDEX(TblClusters[Plateforme],$B245)="ROKS")),1,0),0))</f>
        <v>0</v>
      </c>
      <c r="E245" s="72" t="str">
        <f t="shared" si="53"/>
        <v/>
      </c>
      <c r="F245" s="19" t="str">
        <f>IF($D245=1,INDEX(TblClusters[Cluster],$B245),"")</f>
        <v/>
      </c>
      <c r="G245" s="19" t="str">
        <f>IF($D245=1,INDEX(TblClusters[Plateforme],$B245),"")</f>
        <v/>
      </c>
      <c r="H245" s="19" t="str">
        <f>IF($D245=1,INDEX(TblClusters[vCPU par nœud],$B245),"")</f>
        <v/>
      </c>
      <c r="I245" s="19" t="str">
        <f>IF($D245=1,INDEX(TblClusters[RAM par nœud (Go)],$B245),"")</f>
        <v/>
      </c>
      <c r="J245" s="19" t="str">
        <f>IF($D245=1,INDEX(TblClusters[Workers min],$B245),"")</f>
        <v/>
      </c>
      <c r="K245" s="73" t="str">
        <f>IF($D245=1,INDEX(TblClusters[Tarif par nœud],$B245),"")</f>
        <v/>
      </c>
      <c r="L245" s="19" t="str">
        <f>IF($D245=1,INDEX(TblClusters[CPU initial (vCPU)],$B245),"")</f>
        <v/>
      </c>
      <c r="M245" s="19" t="str">
        <f>IF($D245=1,INDEX(TblClusters[RAM initiale (Go)],$B245),"")</f>
        <v/>
      </c>
      <c r="N245" s="19" t="str">
        <f>IF($D245=1,INDEX(TblClusters[CPU min (vCPU)],$B245),"")</f>
        <v/>
      </c>
      <c r="O245" s="19" t="str">
        <f>IF($D245=1,INDEX(TblClusters[RAM min (Go)],$B245),"")</f>
        <v/>
      </c>
      <c r="P245" s="19" t="str">
        <f>IF($D245&lt;&gt;1,"",IF($G245="ROKS",SUMIFS(TblApplications[Besoin ROKS CPU (vCPU)],TblApplications[Cluster ROKS cible],$F245,TblApplications[Action],"À migrer",TblApplications[Déjà incluse ROKS],"Non",TblApplications[Mois prov (calc)],"&lt;="&amp;$E245),SUMIFS(TblApplications[CPU IKS libérable (vCPU)],TblApplications[Cluster IKS source],$F245,TblApplications[Mois lib (calc)],"&lt;="&amp;$E245)))</f>
        <v/>
      </c>
      <c r="Q245" s="19" t="str">
        <f>IF($D245&lt;&gt;1,"",IF($G245="ROKS",SUMIFS(TblApplications[Besoin ROKS RAM (Go)],TblApplications[Cluster ROKS cible],$F245,TblApplications[Action],"À migrer",TblApplications[Déjà incluse ROKS],"Non",TblApplications[Mois prov (calc)],"&lt;="&amp;$E245),SUMIFS(TblApplications[RAM IKS libérable (Go)],TblApplications[Cluster IKS source],$F245,TblApplications[Mois lib (calc)],"&lt;="&amp;$E245)))</f>
        <v/>
      </c>
      <c r="R245" s="19" t="str">
        <f t="shared" si="54"/>
        <v/>
      </c>
      <c r="S245" s="19" t="str">
        <f t="shared" si="55"/>
        <v/>
      </c>
      <c r="T245" s="19" t="str">
        <f t="shared" si="56"/>
        <v/>
      </c>
      <c r="U245" s="19" t="str">
        <f t="shared" si="57"/>
        <v/>
      </c>
      <c r="V245" s="19" t="str">
        <f t="shared" si="58"/>
        <v/>
      </c>
      <c r="W245" s="73" t="str">
        <f t="shared" si="59"/>
        <v/>
      </c>
      <c r="X245" s="19" t="str">
        <f>IF($D245&lt;&gt;1,"",IF($G245="ROKS",$R245,IF($AI245=1,0,MAX($N245,$L245-SUMIFS(TblApplications[CPU IKS libérable (vCPU)],TblApplications[Cluster IKS source],$F245,TblApplications[Action],"À migrer",TblApplications[Mois prov (calc)],"&lt;="&amp;$E245)-SUMIFS(TblApplications[CPU IKS libérable (vCPU)],TblApplications[Cluster IKS source],$F245,TblApplications[Action],"À décommissionner",TblApplications[Mois lib (calc)],"&lt;="&amp;$E245)))))</f>
        <v/>
      </c>
      <c r="Y245" s="19" t="str">
        <f>IF($D245&lt;&gt;1,"",IF($G245="ROKS",$S245,IF($AI245=1,0,MAX($O245,$M245-SUMIFS(TblApplications[RAM IKS libérable (Go)],TblApplications[Cluster IKS source],$F245,TblApplications[Action],"À migrer",TblApplications[Mois prov (calc)],"&lt;="&amp;$E245)-SUMIFS(TblApplications[RAM IKS libérable (Go)],TblApplications[Cluster IKS source],$F245,TblApplications[Action],"À décommissionner",TblApplications[Mois lib (calc)],"&lt;="&amp;$E245)))))</f>
        <v/>
      </c>
      <c r="Z245" s="19" t="str">
        <f t="shared" si="60"/>
        <v/>
      </c>
      <c r="AA245" s="73" t="str">
        <f t="shared" si="61"/>
        <v/>
      </c>
      <c r="AB245" s="19" t="str">
        <f t="shared" si="62"/>
        <v/>
      </c>
      <c r="AC245" s="73" t="str">
        <f t="shared" si="63"/>
        <v/>
      </c>
      <c r="AD245" s="19" t="str">
        <f t="shared" si="64"/>
        <v/>
      </c>
      <c r="AE245" s="19" t="str">
        <f t="shared" si="65"/>
        <v/>
      </c>
      <c r="AF245" s="19" t="str">
        <f>IF($D245&lt;&gt;1,"",IF(INDEX(TblClusters[Environnement],$B245)="","(vide)",INDEX(TblClusters[Environnement],$B245)))</f>
        <v/>
      </c>
      <c r="AG245" s="19" t="str">
        <f t="shared" si="66"/>
        <v/>
      </c>
      <c r="AH245" s="19" t="str">
        <f t="shared" si="67"/>
        <v/>
      </c>
      <c r="AI245" s="19" t="str">
        <f>IF($D245&lt;&gt;1,"",IF(AND($G245="IKS",ISNUMBER(INDEX(TblClusters[Fermeture retenue],$B245))),IF($E245&gt;=INDEX(TblClusters[Fermeture retenue],$B245),1,0),0))</f>
        <v/>
      </c>
    </row>
    <row r="246" spans="1:35" x14ac:dyDescent="0.2">
      <c r="A246" s="19">
        <v>241</v>
      </c>
      <c r="B246" s="19">
        <f t="shared" si="51"/>
        <v>7</v>
      </c>
      <c r="C246" s="19">
        <f t="shared" si="52"/>
        <v>25</v>
      </c>
      <c r="D246" s="19">
        <f>IF($C246&gt;p_horizon,0,IFERROR(IF(AND(INDEX(TblClusters[Cluster],$B246)&lt;&gt;"",ISNUMBER(INDEX(TblClusters[CPU initial (vCPU)],$B246)),ISNUMBER(INDEX(TblClusters[CPU min (vCPU)],$B246)),OR(INDEX(TblClusters[Plateforme],$B246)="IKS",INDEX(TblClusters[Plateforme],$B246)="ROKS")),1,0),0))</f>
        <v>0</v>
      </c>
      <c r="E246" s="72" t="str">
        <f t="shared" si="53"/>
        <v/>
      </c>
      <c r="F246" s="19" t="str">
        <f>IF($D246=1,INDEX(TblClusters[Cluster],$B246),"")</f>
        <v/>
      </c>
      <c r="G246" s="19" t="str">
        <f>IF($D246=1,INDEX(TblClusters[Plateforme],$B246),"")</f>
        <v/>
      </c>
      <c r="H246" s="19" t="str">
        <f>IF($D246=1,INDEX(TblClusters[vCPU par nœud],$B246),"")</f>
        <v/>
      </c>
      <c r="I246" s="19" t="str">
        <f>IF($D246=1,INDEX(TblClusters[RAM par nœud (Go)],$B246),"")</f>
        <v/>
      </c>
      <c r="J246" s="19" t="str">
        <f>IF($D246=1,INDEX(TblClusters[Workers min],$B246),"")</f>
        <v/>
      </c>
      <c r="K246" s="73" t="str">
        <f>IF($D246=1,INDEX(TblClusters[Tarif par nœud],$B246),"")</f>
        <v/>
      </c>
      <c r="L246" s="19" t="str">
        <f>IF($D246=1,INDEX(TblClusters[CPU initial (vCPU)],$B246),"")</f>
        <v/>
      </c>
      <c r="M246" s="19" t="str">
        <f>IF($D246=1,INDEX(TblClusters[RAM initiale (Go)],$B246),"")</f>
        <v/>
      </c>
      <c r="N246" s="19" t="str">
        <f>IF($D246=1,INDEX(TblClusters[CPU min (vCPU)],$B246),"")</f>
        <v/>
      </c>
      <c r="O246" s="19" t="str">
        <f>IF($D246=1,INDEX(TblClusters[RAM min (Go)],$B246),"")</f>
        <v/>
      </c>
      <c r="P246" s="19" t="str">
        <f>IF($D246&lt;&gt;1,"",IF($G246="ROKS",SUMIFS(TblApplications[Besoin ROKS CPU (vCPU)],TblApplications[Cluster ROKS cible],$F246,TblApplications[Action],"À migrer",TblApplications[Déjà incluse ROKS],"Non",TblApplications[Mois prov (calc)],"&lt;="&amp;$E246),SUMIFS(TblApplications[CPU IKS libérable (vCPU)],TblApplications[Cluster IKS source],$F246,TblApplications[Mois lib (calc)],"&lt;="&amp;$E246)))</f>
        <v/>
      </c>
      <c r="Q246" s="19" t="str">
        <f>IF($D246&lt;&gt;1,"",IF($G246="ROKS",SUMIFS(TblApplications[Besoin ROKS RAM (Go)],TblApplications[Cluster ROKS cible],$F246,TblApplications[Action],"À migrer",TblApplications[Déjà incluse ROKS],"Non",TblApplications[Mois prov (calc)],"&lt;="&amp;$E246),SUMIFS(TblApplications[RAM IKS libérable (Go)],TblApplications[Cluster IKS source],$F246,TblApplications[Mois lib (calc)],"&lt;="&amp;$E246)))</f>
        <v/>
      </c>
      <c r="R246" s="19" t="str">
        <f t="shared" si="54"/>
        <v/>
      </c>
      <c r="S246" s="19" t="str">
        <f t="shared" si="55"/>
        <v/>
      </c>
      <c r="T246" s="19" t="str">
        <f t="shared" si="56"/>
        <v/>
      </c>
      <c r="U246" s="19" t="str">
        <f t="shared" si="57"/>
        <v/>
      </c>
      <c r="V246" s="19" t="str">
        <f t="shared" si="58"/>
        <v/>
      </c>
      <c r="W246" s="73" t="str">
        <f t="shared" si="59"/>
        <v/>
      </c>
      <c r="X246" s="19" t="str">
        <f>IF($D246&lt;&gt;1,"",IF($G246="ROKS",$R246,IF($AI246=1,0,MAX($N246,$L246-SUMIFS(TblApplications[CPU IKS libérable (vCPU)],TblApplications[Cluster IKS source],$F246,TblApplications[Action],"À migrer",TblApplications[Mois prov (calc)],"&lt;="&amp;$E246)-SUMIFS(TblApplications[CPU IKS libérable (vCPU)],TblApplications[Cluster IKS source],$F246,TblApplications[Action],"À décommissionner",TblApplications[Mois lib (calc)],"&lt;="&amp;$E246)))))</f>
        <v/>
      </c>
      <c r="Y246" s="19" t="str">
        <f>IF($D246&lt;&gt;1,"",IF($G246="ROKS",$S246,IF($AI246=1,0,MAX($O246,$M246-SUMIFS(TblApplications[RAM IKS libérable (Go)],TblApplications[Cluster IKS source],$F246,TblApplications[Action],"À migrer",TblApplications[Mois prov (calc)],"&lt;="&amp;$E246)-SUMIFS(TblApplications[RAM IKS libérable (Go)],TblApplications[Cluster IKS source],$F246,TblApplications[Action],"À décommissionner",TblApplications[Mois lib (calc)],"&lt;="&amp;$E246)))))</f>
        <v/>
      </c>
      <c r="Z246" s="19" t="str">
        <f t="shared" si="60"/>
        <v/>
      </c>
      <c r="AA246" s="73" t="str">
        <f t="shared" si="61"/>
        <v/>
      </c>
      <c r="AB246" s="19" t="str">
        <f t="shared" si="62"/>
        <v/>
      </c>
      <c r="AC246" s="73" t="str">
        <f t="shared" si="63"/>
        <v/>
      </c>
      <c r="AD246" s="19" t="str">
        <f t="shared" si="64"/>
        <v/>
      </c>
      <c r="AE246" s="19" t="str">
        <f t="shared" si="65"/>
        <v/>
      </c>
      <c r="AF246" s="19" t="str">
        <f>IF($D246&lt;&gt;1,"",IF(INDEX(TblClusters[Environnement],$B246)="","(vide)",INDEX(TblClusters[Environnement],$B246)))</f>
        <v/>
      </c>
      <c r="AG246" s="19" t="str">
        <f t="shared" si="66"/>
        <v/>
      </c>
      <c r="AH246" s="19" t="str">
        <f t="shared" si="67"/>
        <v/>
      </c>
      <c r="AI246" s="19" t="str">
        <f>IF($D246&lt;&gt;1,"",IF(AND($G246="IKS",ISNUMBER(INDEX(TblClusters[Fermeture retenue],$B246))),IF($E246&gt;=INDEX(TblClusters[Fermeture retenue],$B246),1,0),0))</f>
        <v/>
      </c>
    </row>
    <row r="247" spans="1:35" x14ac:dyDescent="0.2">
      <c r="A247" s="19">
        <v>242</v>
      </c>
      <c r="B247" s="19">
        <f t="shared" si="51"/>
        <v>7</v>
      </c>
      <c r="C247" s="19">
        <f t="shared" si="52"/>
        <v>26</v>
      </c>
      <c r="D247" s="19">
        <f>IF($C247&gt;p_horizon,0,IFERROR(IF(AND(INDEX(TblClusters[Cluster],$B247)&lt;&gt;"",ISNUMBER(INDEX(TblClusters[CPU initial (vCPU)],$B247)),ISNUMBER(INDEX(TblClusters[CPU min (vCPU)],$B247)),OR(INDEX(TblClusters[Plateforme],$B247)="IKS",INDEX(TblClusters[Plateforme],$B247)="ROKS")),1,0),0))</f>
        <v>0</v>
      </c>
      <c r="E247" s="72" t="str">
        <f t="shared" si="53"/>
        <v/>
      </c>
      <c r="F247" s="19" t="str">
        <f>IF($D247=1,INDEX(TblClusters[Cluster],$B247),"")</f>
        <v/>
      </c>
      <c r="G247" s="19" t="str">
        <f>IF($D247=1,INDEX(TblClusters[Plateforme],$B247),"")</f>
        <v/>
      </c>
      <c r="H247" s="19" t="str">
        <f>IF($D247=1,INDEX(TblClusters[vCPU par nœud],$B247),"")</f>
        <v/>
      </c>
      <c r="I247" s="19" t="str">
        <f>IF($D247=1,INDEX(TblClusters[RAM par nœud (Go)],$B247),"")</f>
        <v/>
      </c>
      <c r="J247" s="19" t="str">
        <f>IF($D247=1,INDEX(TblClusters[Workers min],$B247),"")</f>
        <v/>
      </c>
      <c r="K247" s="73" t="str">
        <f>IF($D247=1,INDEX(TblClusters[Tarif par nœud],$B247),"")</f>
        <v/>
      </c>
      <c r="L247" s="19" t="str">
        <f>IF($D247=1,INDEX(TblClusters[CPU initial (vCPU)],$B247),"")</f>
        <v/>
      </c>
      <c r="M247" s="19" t="str">
        <f>IF($D247=1,INDEX(TblClusters[RAM initiale (Go)],$B247),"")</f>
        <v/>
      </c>
      <c r="N247" s="19" t="str">
        <f>IF($D247=1,INDEX(TblClusters[CPU min (vCPU)],$B247),"")</f>
        <v/>
      </c>
      <c r="O247" s="19" t="str">
        <f>IF($D247=1,INDEX(TblClusters[RAM min (Go)],$B247),"")</f>
        <v/>
      </c>
      <c r="P247" s="19" t="str">
        <f>IF($D247&lt;&gt;1,"",IF($G247="ROKS",SUMIFS(TblApplications[Besoin ROKS CPU (vCPU)],TblApplications[Cluster ROKS cible],$F247,TblApplications[Action],"À migrer",TblApplications[Déjà incluse ROKS],"Non",TblApplications[Mois prov (calc)],"&lt;="&amp;$E247),SUMIFS(TblApplications[CPU IKS libérable (vCPU)],TblApplications[Cluster IKS source],$F247,TblApplications[Mois lib (calc)],"&lt;="&amp;$E247)))</f>
        <v/>
      </c>
      <c r="Q247" s="19" t="str">
        <f>IF($D247&lt;&gt;1,"",IF($G247="ROKS",SUMIFS(TblApplications[Besoin ROKS RAM (Go)],TblApplications[Cluster ROKS cible],$F247,TblApplications[Action],"À migrer",TblApplications[Déjà incluse ROKS],"Non",TblApplications[Mois prov (calc)],"&lt;="&amp;$E247),SUMIFS(TblApplications[RAM IKS libérable (Go)],TblApplications[Cluster IKS source],$F247,TblApplications[Mois lib (calc)],"&lt;="&amp;$E247)))</f>
        <v/>
      </c>
      <c r="R247" s="19" t="str">
        <f t="shared" si="54"/>
        <v/>
      </c>
      <c r="S247" s="19" t="str">
        <f t="shared" si="55"/>
        <v/>
      </c>
      <c r="T247" s="19" t="str">
        <f t="shared" si="56"/>
        <v/>
      </c>
      <c r="U247" s="19" t="str">
        <f t="shared" si="57"/>
        <v/>
      </c>
      <c r="V247" s="19" t="str">
        <f t="shared" si="58"/>
        <v/>
      </c>
      <c r="W247" s="73" t="str">
        <f t="shared" si="59"/>
        <v/>
      </c>
      <c r="X247" s="19" t="str">
        <f>IF($D247&lt;&gt;1,"",IF($G247="ROKS",$R247,IF($AI247=1,0,MAX($N247,$L247-SUMIFS(TblApplications[CPU IKS libérable (vCPU)],TblApplications[Cluster IKS source],$F247,TblApplications[Action],"À migrer",TblApplications[Mois prov (calc)],"&lt;="&amp;$E247)-SUMIFS(TblApplications[CPU IKS libérable (vCPU)],TblApplications[Cluster IKS source],$F247,TblApplications[Action],"À décommissionner",TblApplications[Mois lib (calc)],"&lt;="&amp;$E247)))))</f>
        <v/>
      </c>
      <c r="Y247" s="19" t="str">
        <f>IF($D247&lt;&gt;1,"",IF($G247="ROKS",$S247,IF($AI247=1,0,MAX($O247,$M247-SUMIFS(TblApplications[RAM IKS libérable (Go)],TblApplications[Cluster IKS source],$F247,TblApplications[Action],"À migrer",TblApplications[Mois prov (calc)],"&lt;="&amp;$E247)-SUMIFS(TblApplications[RAM IKS libérable (Go)],TblApplications[Cluster IKS source],$F247,TblApplications[Action],"À décommissionner",TblApplications[Mois lib (calc)],"&lt;="&amp;$E247)))))</f>
        <v/>
      </c>
      <c r="Z247" s="19" t="str">
        <f t="shared" si="60"/>
        <v/>
      </c>
      <c r="AA247" s="73" t="str">
        <f t="shared" si="61"/>
        <v/>
      </c>
      <c r="AB247" s="19" t="str">
        <f t="shared" si="62"/>
        <v/>
      </c>
      <c r="AC247" s="73" t="str">
        <f t="shared" si="63"/>
        <v/>
      </c>
      <c r="AD247" s="19" t="str">
        <f t="shared" si="64"/>
        <v/>
      </c>
      <c r="AE247" s="19" t="str">
        <f t="shared" si="65"/>
        <v/>
      </c>
      <c r="AF247" s="19" t="str">
        <f>IF($D247&lt;&gt;1,"",IF(INDEX(TblClusters[Environnement],$B247)="","(vide)",INDEX(TblClusters[Environnement],$B247)))</f>
        <v/>
      </c>
      <c r="AG247" s="19" t="str">
        <f t="shared" si="66"/>
        <v/>
      </c>
      <c r="AH247" s="19" t="str">
        <f t="shared" si="67"/>
        <v/>
      </c>
      <c r="AI247" s="19" t="str">
        <f>IF($D247&lt;&gt;1,"",IF(AND($G247="IKS",ISNUMBER(INDEX(TblClusters[Fermeture retenue],$B247))),IF($E247&gt;=INDEX(TblClusters[Fermeture retenue],$B247),1,0),0))</f>
        <v/>
      </c>
    </row>
    <row r="248" spans="1:35" x14ac:dyDescent="0.2">
      <c r="A248" s="19">
        <v>243</v>
      </c>
      <c r="B248" s="19">
        <f t="shared" si="51"/>
        <v>7</v>
      </c>
      <c r="C248" s="19">
        <f t="shared" si="52"/>
        <v>27</v>
      </c>
      <c r="D248" s="19">
        <f>IF($C248&gt;p_horizon,0,IFERROR(IF(AND(INDEX(TblClusters[Cluster],$B248)&lt;&gt;"",ISNUMBER(INDEX(TblClusters[CPU initial (vCPU)],$B248)),ISNUMBER(INDEX(TblClusters[CPU min (vCPU)],$B248)),OR(INDEX(TblClusters[Plateforme],$B248)="IKS",INDEX(TblClusters[Plateforme],$B248)="ROKS")),1,0),0))</f>
        <v>0</v>
      </c>
      <c r="E248" s="72" t="str">
        <f t="shared" si="53"/>
        <v/>
      </c>
      <c r="F248" s="19" t="str">
        <f>IF($D248=1,INDEX(TblClusters[Cluster],$B248),"")</f>
        <v/>
      </c>
      <c r="G248" s="19" t="str">
        <f>IF($D248=1,INDEX(TblClusters[Plateforme],$B248),"")</f>
        <v/>
      </c>
      <c r="H248" s="19" t="str">
        <f>IF($D248=1,INDEX(TblClusters[vCPU par nœud],$B248),"")</f>
        <v/>
      </c>
      <c r="I248" s="19" t="str">
        <f>IF($D248=1,INDEX(TblClusters[RAM par nœud (Go)],$B248),"")</f>
        <v/>
      </c>
      <c r="J248" s="19" t="str">
        <f>IF($D248=1,INDEX(TblClusters[Workers min],$B248),"")</f>
        <v/>
      </c>
      <c r="K248" s="73" t="str">
        <f>IF($D248=1,INDEX(TblClusters[Tarif par nœud],$B248),"")</f>
        <v/>
      </c>
      <c r="L248" s="19" t="str">
        <f>IF($D248=1,INDEX(TblClusters[CPU initial (vCPU)],$B248),"")</f>
        <v/>
      </c>
      <c r="M248" s="19" t="str">
        <f>IF($D248=1,INDEX(TblClusters[RAM initiale (Go)],$B248),"")</f>
        <v/>
      </c>
      <c r="N248" s="19" t="str">
        <f>IF($D248=1,INDEX(TblClusters[CPU min (vCPU)],$B248),"")</f>
        <v/>
      </c>
      <c r="O248" s="19" t="str">
        <f>IF($D248=1,INDEX(TblClusters[RAM min (Go)],$B248),"")</f>
        <v/>
      </c>
      <c r="P248" s="19" t="str">
        <f>IF($D248&lt;&gt;1,"",IF($G248="ROKS",SUMIFS(TblApplications[Besoin ROKS CPU (vCPU)],TblApplications[Cluster ROKS cible],$F248,TblApplications[Action],"À migrer",TblApplications[Déjà incluse ROKS],"Non",TblApplications[Mois prov (calc)],"&lt;="&amp;$E248),SUMIFS(TblApplications[CPU IKS libérable (vCPU)],TblApplications[Cluster IKS source],$F248,TblApplications[Mois lib (calc)],"&lt;="&amp;$E248)))</f>
        <v/>
      </c>
      <c r="Q248" s="19" t="str">
        <f>IF($D248&lt;&gt;1,"",IF($G248="ROKS",SUMIFS(TblApplications[Besoin ROKS RAM (Go)],TblApplications[Cluster ROKS cible],$F248,TblApplications[Action],"À migrer",TblApplications[Déjà incluse ROKS],"Non",TblApplications[Mois prov (calc)],"&lt;="&amp;$E248),SUMIFS(TblApplications[RAM IKS libérable (Go)],TblApplications[Cluster IKS source],$F248,TblApplications[Mois lib (calc)],"&lt;="&amp;$E248)))</f>
        <v/>
      </c>
      <c r="R248" s="19" t="str">
        <f t="shared" si="54"/>
        <v/>
      </c>
      <c r="S248" s="19" t="str">
        <f t="shared" si="55"/>
        <v/>
      </c>
      <c r="T248" s="19" t="str">
        <f t="shared" si="56"/>
        <v/>
      </c>
      <c r="U248" s="19" t="str">
        <f t="shared" si="57"/>
        <v/>
      </c>
      <c r="V248" s="19" t="str">
        <f t="shared" si="58"/>
        <v/>
      </c>
      <c r="W248" s="73" t="str">
        <f t="shared" si="59"/>
        <v/>
      </c>
      <c r="X248" s="19" t="str">
        <f>IF($D248&lt;&gt;1,"",IF($G248="ROKS",$R248,IF($AI248=1,0,MAX($N248,$L248-SUMIFS(TblApplications[CPU IKS libérable (vCPU)],TblApplications[Cluster IKS source],$F248,TblApplications[Action],"À migrer",TblApplications[Mois prov (calc)],"&lt;="&amp;$E248)-SUMIFS(TblApplications[CPU IKS libérable (vCPU)],TblApplications[Cluster IKS source],$F248,TblApplications[Action],"À décommissionner",TblApplications[Mois lib (calc)],"&lt;="&amp;$E248)))))</f>
        <v/>
      </c>
      <c r="Y248" s="19" t="str">
        <f>IF($D248&lt;&gt;1,"",IF($G248="ROKS",$S248,IF($AI248=1,0,MAX($O248,$M248-SUMIFS(TblApplications[RAM IKS libérable (Go)],TblApplications[Cluster IKS source],$F248,TblApplications[Action],"À migrer",TblApplications[Mois prov (calc)],"&lt;="&amp;$E248)-SUMIFS(TblApplications[RAM IKS libérable (Go)],TblApplications[Cluster IKS source],$F248,TblApplications[Action],"À décommissionner",TblApplications[Mois lib (calc)],"&lt;="&amp;$E248)))))</f>
        <v/>
      </c>
      <c r="Z248" s="19" t="str">
        <f t="shared" si="60"/>
        <v/>
      </c>
      <c r="AA248" s="73" t="str">
        <f t="shared" si="61"/>
        <v/>
      </c>
      <c r="AB248" s="19" t="str">
        <f t="shared" si="62"/>
        <v/>
      </c>
      <c r="AC248" s="73" t="str">
        <f t="shared" si="63"/>
        <v/>
      </c>
      <c r="AD248" s="19" t="str">
        <f t="shared" si="64"/>
        <v/>
      </c>
      <c r="AE248" s="19" t="str">
        <f t="shared" si="65"/>
        <v/>
      </c>
      <c r="AF248" s="19" t="str">
        <f>IF($D248&lt;&gt;1,"",IF(INDEX(TblClusters[Environnement],$B248)="","(vide)",INDEX(TblClusters[Environnement],$B248)))</f>
        <v/>
      </c>
      <c r="AG248" s="19" t="str">
        <f t="shared" si="66"/>
        <v/>
      </c>
      <c r="AH248" s="19" t="str">
        <f t="shared" si="67"/>
        <v/>
      </c>
      <c r="AI248" s="19" t="str">
        <f>IF($D248&lt;&gt;1,"",IF(AND($G248="IKS",ISNUMBER(INDEX(TblClusters[Fermeture retenue],$B248))),IF($E248&gt;=INDEX(TblClusters[Fermeture retenue],$B248),1,0),0))</f>
        <v/>
      </c>
    </row>
    <row r="249" spans="1:35" x14ac:dyDescent="0.2">
      <c r="A249" s="19">
        <v>244</v>
      </c>
      <c r="B249" s="19">
        <f t="shared" si="51"/>
        <v>7</v>
      </c>
      <c r="C249" s="19">
        <f t="shared" si="52"/>
        <v>28</v>
      </c>
      <c r="D249" s="19">
        <f>IF($C249&gt;p_horizon,0,IFERROR(IF(AND(INDEX(TblClusters[Cluster],$B249)&lt;&gt;"",ISNUMBER(INDEX(TblClusters[CPU initial (vCPU)],$B249)),ISNUMBER(INDEX(TblClusters[CPU min (vCPU)],$B249)),OR(INDEX(TblClusters[Plateforme],$B249)="IKS",INDEX(TblClusters[Plateforme],$B249)="ROKS")),1,0),0))</f>
        <v>0</v>
      </c>
      <c r="E249" s="72" t="str">
        <f t="shared" si="53"/>
        <v/>
      </c>
      <c r="F249" s="19" t="str">
        <f>IF($D249=1,INDEX(TblClusters[Cluster],$B249),"")</f>
        <v/>
      </c>
      <c r="G249" s="19" t="str">
        <f>IF($D249=1,INDEX(TblClusters[Plateforme],$B249),"")</f>
        <v/>
      </c>
      <c r="H249" s="19" t="str">
        <f>IF($D249=1,INDEX(TblClusters[vCPU par nœud],$B249),"")</f>
        <v/>
      </c>
      <c r="I249" s="19" t="str">
        <f>IF($D249=1,INDEX(TblClusters[RAM par nœud (Go)],$B249),"")</f>
        <v/>
      </c>
      <c r="J249" s="19" t="str">
        <f>IF($D249=1,INDEX(TblClusters[Workers min],$B249),"")</f>
        <v/>
      </c>
      <c r="K249" s="73" t="str">
        <f>IF($D249=1,INDEX(TblClusters[Tarif par nœud],$B249),"")</f>
        <v/>
      </c>
      <c r="L249" s="19" t="str">
        <f>IF($D249=1,INDEX(TblClusters[CPU initial (vCPU)],$B249),"")</f>
        <v/>
      </c>
      <c r="M249" s="19" t="str">
        <f>IF($D249=1,INDEX(TblClusters[RAM initiale (Go)],$B249),"")</f>
        <v/>
      </c>
      <c r="N249" s="19" t="str">
        <f>IF($D249=1,INDEX(TblClusters[CPU min (vCPU)],$B249),"")</f>
        <v/>
      </c>
      <c r="O249" s="19" t="str">
        <f>IF($D249=1,INDEX(TblClusters[RAM min (Go)],$B249),"")</f>
        <v/>
      </c>
      <c r="P249" s="19" t="str">
        <f>IF($D249&lt;&gt;1,"",IF($G249="ROKS",SUMIFS(TblApplications[Besoin ROKS CPU (vCPU)],TblApplications[Cluster ROKS cible],$F249,TblApplications[Action],"À migrer",TblApplications[Déjà incluse ROKS],"Non",TblApplications[Mois prov (calc)],"&lt;="&amp;$E249),SUMIFS(TblApplications[CPU IKS libérable (vCPU)],TblApplications[Cluster IKS source],$F249,TblApplications[Mois lib (calc)],"&lt;="&amp;$E249)))</f>
        <v/>
      </c>
      <c r="Q249" s="19" t="str">
        <f>IF($D249&lt;&gt;1,"",IF($G249="ROKS",SUMIFS(TblApplications[Besoin ROKS RAM (Go)],TblApplications[Cluster ROKS cible],$F249,TblApplications[Action],"À migrer",TblApplications[Déjà incluse ROKS],"Non",TblApplications[Mois prov (calc)],"&lt;="&amp;$E249),SUMIFS(TblApplications[RAM IKS libérable (Go)],TblApplications[Cluster IKS source],$F249,TblApplications[Mois lib (calc)],"&lt;="&amp;$E249)))</f>
        <v/>
      </c>
      <c r="R249" s="19" t="str">
        <f t="shared" si="54"/>
        <v/>
      </c>
      <c r="S249" s="19" t="str">
        <f t="shared" si="55"/>
        <v/>
      </c>
      <c r="T249" s="19" t="str">
        <f t="shared" si="56"/>
        <v/>
      </c>
      <c r="U249" s="19" t="str">
        <f t="shared" si="57"/>
        <v/>
      </c>
      <c r="V249" s="19" t="str">
        <f t="shared" si="58"/>
        <v/>
      </c>
      <c r="W249" s="73" t="str">
        <f t="shared" si="59"/>
        <v/>
      </c>
      <c r="X249" s="19" t="str">
        <f>IF($D249&lt;&gt;1,"",IF($G249="ROKS",$R249,IF($AI249=1,0,MAX($N249,$L249-SUMIFS(TblApplications[CPU IKS libérable (vCPU)],TblApplications[Cluster IKS source],$F249,TblApplications[Action],"À migrer",TblApplications[Mois prov (calc)],"&lt;="&amp;$E249)-SUMIFS(TblApplications[CPU IKS libérable (vCPU)],TblApplications[Cluster IKS source],$F249,TblApplications[Action],"À décommissionner",TblApplications[Mois lib (calc)],"&lt;="&amp;$E249)))))</f>
        <v/>
      </c>
      <c r="Y249" s="19" t="str">
        <f>IF($D249&lt;&gt;1,"",IF($G249="ROKS",$S249,IF($AI249=1,0,MAX($O249,$M249-SUMIFS(TblApplications[RAM IKS libérable (Go)],TblApplications[Cluster IKS source],$F249,TblApplications[Action],"À migrer",TblApplications[Mois prov (calc)],"&lt;="&amp;$E249)-SUMIFS(TblApplications[RAM IKS libérable (Go)],TblApplications[Cluster IKS source],$F249,TblApplications[Action],"À décommissionner",TblApplications[Mois lib (calc)],"&lt;="&amp;$E249)))))</f>
        <v/>
      </c>
      <c r="Z249" s="19" t="str">
        <f t="shared" si="60"/>
        <v/>
      </c>
      <c r="AA249" s="73" t="str">
        <f t="shared" si="61"/>
        <v/>
      </c>
      <c r="AB249" s="19" t="str">
        <f t="shared" si="62"/>
        <v/>
      </c>
      <c r="AC249" s="73" t="str">
        <f t="shared" si="63"/>
        <v/>
      </c>
      <c r="AD249" s="19" t="str">
        <f t="shared" si="64"/>
        <v/>
      </c>
      <c r="AE249" s="19" t="str">
        <f t="shared" si="65"/>
        <v/>
      </c>
      <c r="AF249" s="19" t="str">
        <f>IF($D249&lt;&gt;1,"",IF(INDEX(TblClusters[Environnement],$B249)="","(vide)",INDEX(TblClusters[Environnement],$B249)))</f>
        <v/>
      </c>
      <c r="AG249" s="19" t="str">
        <f t="shared" si="66"/>
        <v/>
      </c>
      <c r="AH249" s="19" t="str">
        <f t="shared" si="67"/>
        <v/>
      </c>
      <c r="AI249" s="19" t="str">
        <f>IF($D249&lt;&gt;1,"",IF(AND($G249="IKS",ISNUMBER(INDEX(TblClusters[Fermeture retenue],$B249))),IF($E249&gt;=INDEX(TblClusters[Fermeture retenue],$B249),1,0),0))</f>
        <v/>
      </c>
    </row>
    <row r="250" spans="1:35" x14ac:dyDescent="0.2">
      <c r="A250" s="19">
        <v>245</v>
      </c>
      <c r="B250" s="19">
        <f t="shared" si="51"/>
        <v>7</v>
      </c>
      <c r="C250" s="19">
        <f t="shared" si="52"/>
        <v>29</v>
      </c>
      <c r="D250" s="19">
        <f>IF($C250&gt;p_horizon,0,IFERROR(IF(AND(INDEX(TblClusters[Cluster],$B250)&lt;&gt;"",ISNUMBER(INDEX(TblClusters[CPU initial (vCPU)],$B250)),ISNUMBER(INDEX(TblClusters[CPU min (vCPU)],$B250)),OR(INDEX(TblClusters[Plateforme],$B250)="IKS",INDEX(TblClusters[Plateforme],$B250)="ROKS")),1,0),0))</f>
        <v>0</v>
      </c>
      <c r="E250" s="72" t="str">
        <f t="shared" si="53"/>
        <v/>
      </c>
      <c r="F250" s="19" t="str">
        <f>IF($D250=1,INDEX(TblClusters[Cluster],$B250),"")</f>
        <v/>
      </c>
      <c r="G250" s="19" t="str">
        <f>IF($D250=1,INDEX(TblClusters[Plateforme],$B250),"")</f>
        <v/>
      </c>
      <c r="H250" s="19" t="str">
        <f>IF($D250=1,INDEX(TblClusters[vCPU par nœud],$B250),"")</f>
        <v/>
      </c>
      <c r="I250" s="19" t="str">
        <f>IF($D250=1,INDEX(TblClusters[RAM par nœud (Go)],$B250),"")</f>
        <v/>
      </c>
      <c r="J250" s="19" t="str">
        <f>IF($D250=1,INDEX(TblClusters[Workers min],$B250),"")</f>
        <v/>
      </c>
      <c r="K250" s="73" t="str">
        <f>IF($D250=1,INDEX(TblClusters[Tarif par nœud],$B250),"")</f>
        <v/>
      </c>
      <c r="L250" s="19" t="str">
        <f>IF($D250=1,INDEX(TblClusters[CPU initial (vCPU)],$B250),"")</f>
        <v/>
      </c>
      <c r="M250" s="19" t="str">
        <f>IF($D250=1,INDEX(TblClusters[RAM initiale (Go)],$B250),"")</f>
        <v/>
      </c>
      <c r="N250" s="19" t="str">
        <f>IF($D250=1,INDEX(TblClusters[CPU min (vCPU)],$B250),"")</f>
        <v/>
      </c>
      <c r="O250" s="19" t="str">
        <f>IF($D250=1,INDEX(TblClusters[RAM min (Go)],$B250),"")</f>
        <v/>
      </c>
      <c r="P250" s="19" t="str">
        <f>IF($D250&lt;&gt;1,"",IF($G250="ROKS",SUMIFS(TblApplications[Besoin ROKS CPU (vCPU)],TblApplications[Cluster ROKS cible],$F250,TblApplications[Action],"À migrer",TblApplications[Déjà incluse ROKS],"Non",TblApplications[Mois prov (calc)],"&lt;="&amp;$E250),SUMIFS(TblApplications[CPU IKS libérable (vCPU)],TblApplications[Cluster IKS source],$F250,TblApplications[Mois lib (calc)],"&lt;="&amp;$E250)))</f>
        <v/>
      </c>
      <c r="Q250" s="19" t="str">
        <f>IF($D250&lt;&gt;1,"",IF($G250="ROKS",SUMIFS(TblApplications[Besoin ROKS RAM (Go)],TblApplications[Cluster ROKS cible],$F250,TblApplications[Action],"À migrer",TblApplications[Déjà incluse ROKS],"Non",TblApplications[Mois prov (calc)],"&lt;="&amp;$E250),SUMIFS(TblApplications[RAM IKS libérable (Go)],TblApplications[Cluster IKS source],$F250,TblApplications[Mois lib (calc)],"&lt;="&amp;$E250)))</f>
        <v/>
      </c>
      <c r="R250" s="19" t="str">
        <f t="shared" si="54"/>
        <v/>
      </c>
      <c r="S250" s="19" t="str">
        <f t="shared" si="55"/>
        <v/>
      </c>
      <c r="T250" s="19" t="str">
        <f t="shared" si="56"/>
        <v/>
      </c>
      <c r="U250" s="19" t="str">
        <f t="shared" si="57"/>
        <v/>
      </c>
      <c r="V250" s="19" t="str">
        <f t="shared" si="58"/>
        <v/>
      </c>
      <c r="W250" s="73" t="str">
        <f t="shared" si="59"/>
        <v/>
      </c>
      <c r="X250" s="19" t="str">
        <f>IF($D250&lt;&gt;1,"",IF($G250="ROKS",$R250,IF($AI250=1,0,MAX($N250,$L250-SUMIFS(TblApplications[CPU IKS libérable (vCPU)],TblApplications[Cluster IKS source],$F250,TblApplications[Action],"À migrer",TblApplications[Mois prov (calc)],"&lt;="&amp;$E250)-SUMIFS(TblApplications[CPU IKS libérable (vCPU)],TblApplications[Cluster IKS source],$F250,TblApplications[Action],"À décommissionner",TblApplications[Mois lib (calc)],"&lt;="&amp;$E250)))))</f>
        <v/>
      </c>
      <c r="Y250" s="19" t="str">
        <f>IF($D250&lt;&gt;1,"",IF($G250="ROKS",$S250,IF($AI250=1,0,MAX($O250,$M250-SUMIFS(TblApplications[RAM IKS libérable (Go)],TblApplications[Cluster IKS source],$F250,TblApplications[Action],"À migrer",TblApplications[Mois prov (calc)],"&lt;="&amp;$E250)-SUMIFS(TblApplications[RAM IKS libérable (Go)],TblApplications[Cluster IKS source],$F250,TblApplications[Action],"À décommissionner",TblApplications[Mois lib (calc)],"&lt;="&amp;$E250)))))</f>
        <v/>
      </c>
      <c r="Z250" s="19" t="str">
        <f t="shared" si="60"/>
        <v/>
      </c>
      <c r="AA250" s="73" t="str">
        <f t="shared" si="61"/>
        <v/>
      </c>
      <c r="AB250" s="19" t="str">
        <f t="shared" si="62"/>
        <v/>
      </c>
      <c r="AC250" s="73" t="str">
        <f t="shared" si="63"/>
        <v/>
      </c>
      <c r="AD250" s="19" t="str">
        <f t="shared" si="64"/>
        <v/>
      </c>
      <c r="AE250" s="19" t="str">
        <f t="shared" si="65"/>
        <v/>
      </c>
      <c r="AF250" s="19" t="str">
        <f>IF($D250&lt;&gt;1,"",IF(INDEX(TblClusters[Environnement],$B250)="","(vide)",INDEX(TblClusters[Environnement],$B250)))</f>
        <v/>
      </c>
      <c r="AG250" s="19" t="str">
        <f t="shared" si="66"/>
        <v/>
      </c>
      <c r="AH250" s="19" t="str">
        <f t="shared" si="67"/>
        <v/>
      </c>
      <c r="AI250" s="19" t="str">
        <f>IF($D250&lt;&gt;1,"",IF(AND($G250="IKS",ISNUMBER(INDEX(TblClusters[Fermeture retenue],$B250))),IF($E250&gt;=INDEX(TblClusters[Fermeture retenue],$B250),1,0),0))</f>
        <v/>
      </c>
    </row>
    <row r="251" spans="1:35" x14ac:dyDescent="0.2">
      <c r="A251" s="19">
        <v>246</v>
      </c>
      <c r="B251" s="19">
        <f t="shared" si="51"/>
        <v>7</v>
      </c>
      <c r="C251" s="19">
        <f t="shared" si="52"/>
        <v>30</v>
      </c>
      <c r="D251" s="19">
        <f>IF($C251&gt;p_horizon,0,IFERROR(IF(AND(INDEX(TblClusters[Cluster],$B251)&lt;&gt;"",ISNUMBER(INDEX(TblClusters[CPU initial (vCPU)],$B251)),ISNUMBER(INDEX(TblClusters[CPU min (vCPU)],$B251)),OR(INDEX(TblClusters[Plateforme],$B251)="IKS",INDEX(TblClusters[Plateforme],$B251)="ROKS")),1,0),0))</f>
        <v>0</v>
      </c>
      <c r="E251" s="72" t="str">
        <f t="shared" si="53"/>
        <v/>
      </c>
      <c r="F251" s="19" t="str">
        <f>IF($D251=1,INDEX(TblClusters[Cluster],$B251),"")</f>
        <v/>
      </c>
      <c r="G251" s="19" t="str">
        <f>IF($D251=1,INDEX(TblClusters[Plateforme],$B251),"")</f>
        <v/>
      </c>
      <c r="H251" s="19" t="str">
        <f>IF($D251=1,INDEX(TblClusters[vCPU par nœud],$B251),"")</f>
        <v/>
      </c>
      <c r="I251" s="19" t="str">
        <f>IF($D251=1,INDEX(TblClusters[RAM par nœud (Go)],$B251),"")</f>
        <v/>
      </c>
      <c r="J251" s="19" t="str">
        <f>IF($D251=1,INDEX(TblClusters[Workers min],$B251),"")</f>
        <v/>
      </c>
      <c r="K251" s="73" t="str">
        <f>IF($D251=1,INDEX(TblClusters[Tarif par nœud],$B251),"")</f>
        <v/>
      </c>
      <c r="L251" s="19" t="str">
        <f>IF($D251=1,INDEX(TblClusters[CPU initial (vCPU)],$B251),"")</f>
        <v/>
      </c>
      <c r="M251" s="19" t="str">
        <f>IF($D251=1,INDEX(TblClusters[RAM initiale (Go)],$B251),"")</f>
        <v/>
      </c>
      <c r="N251" s="19" t="str">
        <f>IF($D251=1,INDEX(TblClusters[CPU min (vCPU)],$B251),"")</f>
        <v/>
      </c>
      <c r="O251" s="19" t="str">
        <f>IF($D251=1,INDEX(TblClusters[RAM min (Go)],$B251),"")</f>
        <v/>
      </c>
      <c r="P251" s="19" t="str">
        <f>IF($D251&lt;&gt;1,"",IF($G251="ROKS",SUMIFS(TblApplications[Besoin ROKS CPU (vCPU)],TblApplications[Cluster ROKS cible],$F251,TblApplications[Action],"À migrer",TblApplications[Déjà incluse ROKS],"Non",TblApplications[Mois prov (calc)],"&lt;="&amp;$E251),SUMIFS(TblApplications[CPU IKS libérable (vCPU)],TblApplications[Cluster IKS source],$F251,TblApplications[Mois lib (calc)],"&lt;="&amp;$E251)))</f>
        <v/>
      </c>
      <c r="Q251" s="19" t="str">
        <f>IF($D251&lt;&gt;1,"",IF($G251="ROKS",SUMIFS(TblApplications[Besoin ROKS RAM (Go)],TblApplications[Cluster ROKS cible],$F251,TblApplications[Action],"À migrer",TblApplications[Déjà incluse ROKS],"Non",TblApplications[Mois prov (calc)],"&lt;="&amp;$E251),SUMIFS(TblApplications[RAM IKS libérable (Go)],TblApplications[Cluster IKS source],$F251,TblApplications[Mois lib (calc)],"&lt;="&amp;$E251)))</f>
        <v/>
      </c>
      <c r="R251" s="19" t="str">
        <f t="shared" si="54"/>
        <v/>
      </c>
      <c r="S251" s="19" t="str">
        <f t="shared" si="55"/>
        <v/>
      </c>
      <c r="T251" s="19" t="str">
        <f t="shared" si="56"/>
        <v/>
      </c>
      <c r="U251" s="19" t="str">
        <f t="shared" si="57"/>
        <v/>
      </c>
      <c r="V251" s="19" t="str">
        <f t="shared" si="58"/>
        <v/>
      </c>
      <c r="W251" s="73" t="str">
        <f t="shared" si="59"/>
        <v/>
      </c>
      <c r="X251" s="19" t="str">
        <f>IF($D251&lt;&gt;1,"",IF($G251="ROKS",$R251,IF($AI251=1,0,MAX($N251,$L251-SUMIFS(TblApplications[CPU IKS libérable (vCPU)],TblApplications[Cluster IKS source],$F251,TblApplications[Action],"À migrer",TblApplications[Mois prov (calc)],"&lt;="&amp;$E251)-SUMIFS(TblApplications[CPU IKS libérable (vCPU)],TblApplications[Cluster IKS source],$F251,TblApplications[Action],"À décommissionner",TblApplications[Mois lib (calc)],"&lt;="&amp;$E251)))))</f>
        <v/>
      </c>
      <c r="Y251" s="19" t="str">
        <f>IF($D251&lt;&gt;1,"",IF($G251="ROKS",$S251,IF($AI251=1,0,MAX($O251,$M251-SUMIFS(TblApplications[RAM IKS libérable (Go)],TblApplications[Cluster IKS source],$F251,TblApplications[Action],"À migrer",TblApplications[Mois prov (calc)],"&lt;="&amp;$E251)-SUMIFS(TblApplications[RAM IKS libérable (Go)],TblApplications[Cluster IKS source],$F251,TblApplications[Action],"À décommissionner",TblApplications[Mois lib (calc)],"&lt;="&amp;$E251)))))</f>
        <v/>
      </c>
      <c r="Z251" s="19" t="str">
        <f t="shared" si="60"/>
        <v/>
      </c>
      <c r="AA251" s="73" t="str">
        <f t="shared" si="61"/>
        <v/>
      </c>
      <c r="AB251" s="19" t="str">
        <f t="shared" si="62"/>
        <v/>
      </c>
      <c r="AC251" s="73" t="str">
        <f t="shared" si="63"/>
        <v/>
      </c>
      <c r="AD251" s="19" t="str">
        <f t="shared" si="64"/>
        <v/>
      </c>
      <c r="AE251" s="19" t="str">
        <f t="shared" si="65"/>
        <v/>
      </c>
      <c r="AF251" s="19" t="str">
        <f>IF($D251&lt;&gt;1,"",IF(INDEX(TblClusters[Environnement],$B251)="","(vide)",INDEX(TblClusters[Environnement],$B251)))</f>
        <v/>
      </c>
      <c r="AG251" s="19" t="str">
        <f t="shared" si="66"/>
        <v/>
      </c>
      <c r="AH251" s="19" t="str">
        <f t="shared" si="67"/>
        <v/>
      </c>
      <c r="AI251" s="19" t="str">
        <f>IF($D251&lt;&gt;1,"",IF(AND($G251="IKS",ISNUMBER(INDEX(TblClusters[Fermeture retenue],$B251))),IF($E251&gt;=INDEX(TblClusters[Fermeture retenue],$B251),1,0),0))</f>
        <v/>
      </c>
    </row>
    <row r="252" spans="1:35" x14ac:dyDescent="0.2">
      <c r="A252" s="19">
        <v>247</v>
      </c>
      <c r="B252" s="19">
        <f t="shared" si="51"/>
        <v>7</v>
      </c>
      <c r="C252" s="19">
        <f t="shared" si="52"/>
        <v>31</v>
      </c>
      <c r="D252" s="19">
        <f>IF($C252&gt;p_horizon,0,IFERROR(IF(AND(INDEX(TblClusters[Cluster],$B252)&lt;&gt;"",ISNUMBER(INDEX(TblClusters[CPU initial (vCPU)],$B252)),ISNUMBER(INDEX(TblClusters[CPU min (vCPU)],$B252)),OR(INDEX(TblClusters[Plateforme],$B252)="IKS",INDEX(TblClusters[Plateforme],$B252)="ROKS")),1,0),0))</f>
        <v>0</v>
      </c>
      <c r="E252" s="72" t="str">
        <f t="shared" si="53"/>
        <v/>
      </c>
      <c r="F252" s="19" t="str">
        <f>IF($D252=1,INDEX(TblClusters[Cluster],$B252),"")</f>
        <v/>
      </c>
      <c r="G252" s="19" t="str">
        <f>IF($D252=1,INDEX(TblClusters[Plateforme],$B252),"")</f>
        <v/>
      </c>
      <c r="H252" s="19" t="str">
        <f>IF($D252=1,INDEX(TblClusters[vCPU par nœud],$B252),"")</f>
        <v/>
      </c>
      <c r="I252" s="19" t="str">
        <f>IF($D252=1,INDEX(TblClusters[RAM par nœud (Go)],$B252),"")</f>
        <v/>
      </c>
      <c r="J252" s="19" t="str">
        <f>IF($D252=1,INDEX(TblClusters[Workers min],$B252),"")</f>
        <v/>
      </c>
      <c r="K252" s="73" t="str">
        <f>IF($D252=1,INDEX(TblClusters[Tarif par nœud],$B252),"")</f>
        <v/>
      </c>
      <c r="L252" s="19" t="str">
        <f>IF($D252=1,INDEX(TblClusters[CPU initial (vCPU)],$B252),"")</f>
        <v/>
      </c>
      <c r="M252" s="19" t="str">
        <f>IF($D252=1,INDEX(TblClusters[RAM initiale (Go)],$B252),"")</f>
        <v/>
      </c>
      <c r="N252" s="19" t="str">
        <f>IF($D252=1,INDEX(TblClusters[CPU min (vCPU)],$B252),"")</f>
        <v/>
      </c>
      <c r="O252" s="19" t="str">
        <f>IF($D252=1,INDEX(TblClusters[RAM min (Go)],$B252),"")</f>
        <v/>
      </c>
      <c r="P252" s="19" t="str">
        <f>IF($D252&lt;&gt;1,"",IF($G252="ROKS",SUMIFS(TblApplications[Besoin ROKS CPU (vCPU)],TblApplications[Cluster ROKS cible],$F252,TblApplications[Action],"À migrer",TblApplications[Déjà incluse ROKS],"Non",TblApplications[Mois prov (calc)],"&lt;="&amp;$E252),SUMIFS(TblApplications[CPU IKS libérable (vCPU)],TblApplications[Cluster IKS source],$F252,TblApplications[Mois lib (calc)],"&lt;="&amp;$E252)))</f>
        <v/>
      </c>
      <c r="Q252" s="19" t="str">
        <f>IF($D252&lt;&gt;1,"",IF($G252="ROKS",SUMIFS(TblApplications[Besoin ROKS RAM (Go)],TblApplications[Cluster ROKS cible],$F252,TblApplications[Action],"À migrer",TblApplications[Déjà incluse ROKS],"Non",TblApplications[Mois prov (calc)],"&lt;="&amp;$E252),SUMIFS(TblApplications[RAM IKS libérable (Go)],TblApplications[Cluster IKS source],$F252,TblApplications[Mois lib (calc)],"&lt;="&amp;$E252)))</f>
        <v/>
      </c>
      <c r="R252" s="19" t="str">
        <f t="shared" si="54"/>
        <v/>
      </c>
      <c r="S252" s="19" t="str">
        <f t="shared" si="55"/>
        <v/>
      </c>
      <c r="T252" s="19" t="str">
        <f t="shared" si="56"/>
        <v/>
      </c>
      <c r="U252" s="19" t="str">
        <f t="shared" si="57"/>
        <v/>
      </c>
      <c r="V252" s="19" t="str">
        <f t="shared" si="58"/>
        <v/>
      </c>
      <c r="W252" s="73" t="str">
        <f t="shared" si="59"/>
        <v/>
      </c>
      <c r="X252" s="19" t="str">
        <f>IF($D252&lt;&gt;1,"",IF($G252="ROKS",$R252,IF($AI252=1,0,MAX($N252,$L252-SUMIFS(TblApplications[CPU IKS libérable (vCPU)],TblApplications[Cluster IKS source],$F252,TblApplications[Action],"À migrer",TblApplications[Mois prov (calc)],"&lt;="&amp;$E252)-SUMIFS(TblApplications[CPU IKS libérable (vCPU)],TblApplications[Cluster IKS source],$F252,TblApplications[Action],"À décommissionner",TblApplications[Mois lib (calc)],"&lt;="&amp;$E252)))))</f>
        <v/>
      </c>
      <c r="Y252" s="19" t="str">
        <f>IF($D252&lt;&gt;1,"",IF($G252="ROKS",$S252,IF($AI252=1,0,MAX($O252,$M252-SUMIFS(TblApplications[RAM IKS libérable (Go)],TblApplications[Cluster IKS source],$F252,TblApplications[Action],"À migrer",TblApplications[Mois prov (calc)],"&lt;="&amp;$E252)-SUMIFS(TblApplications[RAM IKS libérable (Go)],TblApplications[Cluster IKS source],$F252,TblApplications[Action],"À décommissionner",TblApplications[Mois lib (calc)],"&lt;="&amp;$E252)))))</f>
        <v/>
      </c>
      <c r="Z252" s="19" t="str">
        <f t="shared" si="60"/>
        <v/>
      </c>
      <c r="AA252" s="73" t="str">
        <f t="shared" si="61"/>
        <v/>
      </c>
      <c r="AB252" s="19" t="str">
        <f t="shared" si="62"/>
        <v/>
      </c>
      <c r="AC252" s="73" t="str">
        <f t="shared" si="63"/>
        <v/>
      </c>
      <c r="AD252" s="19" t="str">
        <f t="shared" si="64"/>
        <v/>
      </c>
      <c r="AE252" s="19" t="str">
        <f t="shared" si="65"/>
        <v/>
      </c>
      <c r="AF252" s="19" t="str">
        <f>IF($D252&lt;&gt;1,"",IF(INDEX(TblClusters[Environnement],$B252)="","(vide)",INDEX(TblClusters[Environnement],$B252)))</f>
        <v/>
      </c>
      <c r="AG252" s="19" t="str">
        <f t="shared" si="66"/>
        <v/>
      </c>
      <c r="AH252" s="19" t="str">
        <f t="shared" si="67"/>
        <v/>
      </c>
      <c r="AI252" s="19" t="str">
        <f>IF($D252&lt;&gt;1,"",IF(AND($G252="IKS",ISNUMBER(INDEX(TblClusters[Fermeture retenue],$B252))),IF($E252&gt;=INDEX(TblClusters[Fermeture retenue],$B252),1,0),0))</f>
        <v/>
      </c>
    </row>
    <row r="253" spans="1:35" x14ac:dyDescent="0.2">
      <c r="A253" s="19">
        <v>248</v>
      </c>
      <c r="B253" s="19">
        <f t="shared" si="51"/>
        <v>7</v>
      </c>
      <c r="C253" s="19">
        <f t="shared" si="52"/>
        <v>32</v>
      </c>
      <c r="D253" s="19">
        <f>IF($C253&gt;p_horizon,0,IFERROR(IF(AND(INDEX(TblClusters[Cluster],$B253)&lt;&gt;"",ISNUMBER(INDEX(TblClusters[CPU initial (vCPU)],$B253)),ISNUMBER(INDEX(TblClusters[CPU min (vCPU)],$B253)),OR(INDEX(TblClusters[Plateforme],$B253)="IKS",INDEX(TblClusters[Plateforme],$B253)="ROKS")),1,0),0))</f>
        <v>0</v>
      </c>
      <c r="E253" s="72" t="str">
        <f t="shared" si="53"/>
        <v/>
      </c>
      <c r="F253" s="19" t="str">
        <f>IF($D253=1,INDEX(TblClusters[Cluster],$B253),"")</f>
        <v/>
      </c>
      <c r="G253" s="19" t="str">
        <f>IF($D253=1,INDEX(TblClusters[Plateforme],$B253),"")</f>
        <v/>
      </c>
      <c r="H253" s="19" t="str">
        <f>IF($D253=1,INDEX(TblClusters[vCPU par nœud],$B253),"")</f>
        <v/>
      </c>
      <c r="I253" s="19" t="str">
        <f>IF($D253=1,INDEX(TblClusters[RAM par nœud (Go)],$B253),"")</f>
        <v/>
      </c>
      <c r="J253" s="19" t="str">
        <f>IF($D253=1,INDEX(TblClusters[Workers min],$B253),"")</f>
        <v/>
      </c>
      <c r="K253" s="73" t="str">
        <f>IF($D253=1,INDEX(TblClusters[Tarif par nœud],$B253),"")</f>
        <v/>
      </c>
      <c r="L253" s="19" t="str">
        <f>IF($D253=1,INDEX(TblClusters[CPU initial (vCPU)],$B253),"")</f>
        <v/>
      </c>
      <c r="M253" s="19" t="str">
        <f>IF($D253=1,INDEX(TblClusters[RAM initiale (Go)],$B253),"")</f>
        <v/>
      </c>
      <c r="N253" s="19" t="str">
        <f>IF($D253=1,INDEX(TblClusters[CPU min (vCPU)],$B253),"")</f>
        <v/>
      </c>
      <c r="O253" s="19" t="str">
        <f>IF($D253=1,INDEX(TblClusters[RAM min (Go)],$B253),"")</f>
        <v/>
      </c>
      <c r="P253" s="19" t="str">
        <f>IF($D253&lt;&gt;1,"",IF($G253="ROKS",SUMIFS(TblApplications[Besoin ROKS CPU (vCPU)],TblApplications[Cluster ROKS cible],$F253,TblApplications[Action],"À migrer",TblApplications[Déjà incluse ROKS],"Non",TblApplications[Mois prov (calc)],"&lt;="&amp;$E253),SUMIFS(TblApplications[CPU IKS libérable (vCPU)],TblApplications[Cluster IKS source],$F253,TblApplications[Mois lib (calc)],"&lt;="&amp;$E253)))</f>
        <v/>
      </c>
      <c r="Q253" s="19" t="str">
        <f>IF($D253&lt;&gt;1,"",IF($G253="ROKS",SUMIFS(TblApplications[Besoin ROKS RAM (Go)],TblApplications[Cluster ROKS cible],$F253,TblApplications[Action],"À migrer",TblApplications[Déjà incluse ROKS],"Non",TblApplications[Mois prov (calc)],"&lt;="&amp;$E253),SUMIFS(TblApplications[RAM IKS libérable (Go)],TblApplications[Cluster IKS source],$F253,TblApplications[Mois lib (calc)],"&lt;="&amp;$E253)))</f>
        <v/>
      </c>
      <c r="R253" s="19" t="str">
        <f t="shared" si="54"/>
        <v/>
      </c>
      <c r="S253" s="19" t="str">
        <f t="shared" si="55"/>
        <v/>
      </c>
      <c r="T253" s="19" t="str">
        <f t="shared" si="56"/>
        <v/>
      </c>
      <c r="U253" s="19" t="str">
        <f t="shared" si="57"/>
        <v/>
      </c>
      <c r="V253" s="19" t="str">
        <f t="shared" si="58"/>
        <v/>
      </c>
      <c r="W253" s="73" t="str">
        <f t="shared" si="59"/>
        <v/>
      </c>
      <c r="X253" s="19" t="str">
        <f>IF($D253&lt;&gt;1,"",IF($G253="ROKS",$R253,IF($AI253=1,0,MAX($N253,$L253-SUMIFS(TblApplications[CPU IKS libérable (vCPU)],TblApplications[Cluster IKS source],$F253,TblApplications[Action],"À migrer",TblApplications[Mois prov (calc)],"&lt;="&amp;$E253)-SUMIFS(TblApplications[CPU IKS libérable (vCPU)],TblApplications[Cluster IKS source],$F253,TblApplications[Action],"À décommissionner",TblApplications[Mois lib (calc)],"&lt;="&amp;$E253)))))</f>
        <v/>
      </c>
      <c r="Y253" s="19" t="str">
        <f>IF($D253&lt;&gt;1,"",IF($G253="ROKS",$S253,IF($AI253=1,0,MAX($O253,$M253-SUMIFS(TblApplications[RAM IKS libérable (Go)],TblApplications[Cluster IKS source],$F253,TblApplications[Action],"À migrer",TblApplications[Mois prov (calc)],"&lt;="&amp;$E253)-SUMIFS(TblApplications[RAM IKS libérable (Go)],TblApplications[Cluster IKS source],$F253,TblApplications[Action],"À décommissionner",TblApplications[Mois lib (calc)],"&lt;="&amp;$E253)))))</f>
        <v/>
      </c>
      <c r="Z253" s="19" t="str">
        <f t="shared" si="60"/>
        <v/>
      </c>
      <c r="AA253" s="73" t="str">
        <f t="shared" si="61"/>
        <v/>
      </c>
      <c r="AB253" s="19" t="str">
        <f t="shared" si="62"/>
        <v/>
      </c>
      <c r="AC253" s="73" t="str">
        <f t="shared" si="63"/>
        <v/>
      </c>
      <c r="AD253" s="19" t="str">
        <f t="shared" si="64"/>
        <v/>
      </c>
      <c r="AE253" s="19" t="str">
        <f t="shared" si="65"/>
        <v/>
      </c>
      <c r="AF253" s="19" t="str">
        <f>IF($D253&lt;&gt;1,"",IF(INDEX(TblClusters[Environnement],$B253)="","(vide)",INDEX(TblClusters[Environnement],$B253)))</f>
        <v/>
      </c>
      <c r="AG253" s="19" t="str">
        <f t="shared" si="66"/>
        <v/>
      </c>
      <c r="AH253" s="19" t="str">
        <f t="shared" si="67"/>
        <v/>
      </c>
      <c r="AI253" s="19" t="str">
        <f>IF($D253&lt;&gt;1,"",IF(AND($G253="IKS",ISNUMBER(INDEX(TblClusters[Fermeture retenue],$B253))),IF($E253&gt;=INDEX(TblClusters[Fermeture retenue],$B253),1,0),0))</f>
        <v/>
      </c>
    </row>
    <row r="254" spans="1:35" x14ac:dyDescent="0.2">
      <c r="A254" s="19">
        <v>249</v>
      </c>
      <c r="B254" s="19">
        <f t="shared" si="51"/>
        <v>7</v>
      </c>
      <c r="C254" s="19">
        <f t="shared" si="52"/>
        <v>33</v>
      </c>
      <c r="D254" s="19">
        <f>IF($C254&gt;p_horizon,0,IFERROR(IF(AND(INDEX(TblClusters[Cluster],$B254)&lt;&gt;"",ISNUMBER(INDEX(TblClusters[CPU initial (vCPU)],$B254)),ISNUMBER(INDEX(TblClusters[CPU min (vCPU)],$B254)),OR(INDEX(TblClusters[Plateforme],$B254)="IKS",INDEX(TblClusters[Plateforme],$B254)="ROKS")),1,0),0))</f>
        <v>0</v>
      </c>
      <c r="E254" s="72" t="str">
        <f t="shared" si="53"/>
        <v/>
      </c>
      <c r="F254" s="19" t="str">
        <f>IF($D254=1,INDEX(TblClusters[Cluster],$B254),"")</f>
        <v/>
      </c>
      <c r="G254" s="19" t="str">
        <f>IF($D254=1,INDEX(TblClusters[Plateforme],$B254),"")</f>
        <v/>
      </c>
      <c r="H254" s="19" t="str">
        <f>IF($D254=1,INDEX(TblClusters[vCPU par nœud],$B254),"")</f>
        <v/>
      </c>
      <c r="I254" s="19" t="str">
        <f>IF($D254=1,INDEX(TblClusters[RAM par nœud (Go)],$B254),"")</f>
        <v/>
      </c>
      <c r="J254" s="19" t="str">
        <f>IF($D254=1,INDEX(TblClusters[Workers min],$B254),"")</f>
        <v/>
      </c>
      <c r="K254" s="73" t="str">
        <f>IF($D254=1,INDEX(TblClusters[Tarif par nœud],$B254),"")</f>
        <v/>
      </c>
      <c r="L254" s="19" t="str">
        <f>IF($D254=1,INDEX(TblClusters[CPU initial (vCPU)],$B254),"")</f>
        <v/>
      </c>
      <c r="M254" s="19" t="str">
        <f>IF($D254=1,INDEX(TblClusters[RAM initiale (Go)],$B254),"")</f>
        <v/>
      </c>
      <c r="N254" s="19" t="str">
        <f>IF($D254=1,INDEX(TblClusters[CPU min (vCPU)],$B254),"")</f>
        <v/>
      </c>
      <c r="O254" s="19" t="str">
        <f>IF($D254=1,INDEX(TblClusters[RAM min (Go)],$B254),"")</f>
        <v/>
      </c>
      <c r="P254" s="19" t="str">
        <f>IF($D254&lt;&gt;1,"",IF($G254="ROKS",SUMIFS(TblApplications[Besoin ROKS CPU (vCPU)],TblApplications[Cluster ROKS cible],$F254,TblApplications[Action],"À migrer",TblApplications[Déjà incluse ROKS],"Non",TblApplications[Mois prov (calc)],"&lt;="&amp;$E254),SUMIFS(TblApplications[CPU IKS libérable (vCPU)],TblApplications[Cluster IKS source],$F254,TblApplications[Mois lib (calc)],"&lt;="&amp;$E254)))</f>
        <v/>
      </c>
      <c r="Q254" s="19" t="str">
        <f>IF($D254&lt;&gt;1,"",IF($G254="ROKS",SUMIFS(TblApplications[Besoin ROKS RAM (Go)],TblApplications[Cluster ROKS cible],$F254,TblApplications[Action],"À migrer",TblApplications[Déjà incluse ROKS],"Non",TblApplications[Mois prov (calc)],"&lt;="&amp;$E254),SUMIFS(TblApplications[RAM IKS libérable (Go)],TblApplications[Cluster IKS source],$F254,TblApplications[Mois lib (calc)],"&lt;="&amp;$E254)))</f>
        <v/>
      </c>
      <c r="R254" s="19" t="str">
        <f t="shared" si="54"/>
        <v/>
      </c>
      <c r="S254" s="19" t="str">
        <f t="shared" si="55"/>
        <v/>
      </c>
      <c r="T254" s="19" t="str">
        <f t="shared" si="56"/>
        <v/>
      </c>
      <c r="U254" s="19" t="str">
        <f t="shared" si="57"/>
        <v/>
      </c>
      <c r="V254" s="19" t="str">
        <f t="shared" si="58"/>
        <v/>
      </c>
      <c r="W254" s="73" t="str">
        <f t="shared" si="59"/>
        <v/>
      </c>
      <c r="X254" s="19" t="str">
        <f>IF($D254&lt;&gt;1,"",IF($G254="ROKS",$R254,IF($AI254=1,0,MAX($N254,$L254-SUMIFS(TblApplications[CPU IKS libérable (vCPU)],TblApplications[Cluster IKS source],$F254,TblApplications[Action],"À migrer",TblApplications[Mois prov (calc)],"&lt;="&amp;$E254)-SUMIFS(TblApplications[CPU IKS libérable (vCPU)],TblApplications[Cluster IKS source],$F254,TblApplications[Action],"À décommissionner",TblApplications[Mois lib (calc)],"&lt;="&amp;$E254)))))</f>
        <v/>
      </c>
      <c r="Y254" s="19" t="str">
        <f>IF($D254&lt;&gt;1,"",IF($G254="ROKS",$S254,IF($AI254=1,0,MAX($O254,$M254-SUMIFS(TblApplications[RAM IKS libérable (Go)],TblApplications[Cluster IKS source],$F254,TblApplications[Action],"À migrer",TblApplications[Mois prov (calc)],"&lt;="&amp;$E254)-SUMIFS(TblApplications[RAM IKS libérable (Go)],TblApplications[Cluster IKS source],$F254,TblApplications[Action],"À décommissionner",TblApplications[Mois lib (calc)],"&lt;="&amp;$E254)))))</f>
        <v/>
      </c>
      <c r="Z254" s="19" t="str">
        <f t="shared" si="60"/>
        <v/>
      </c>
      <c r="AA254" s="73" t="str">
        <f t="shared" si="61"/>
        <v/>
      </c>
      <c r="AB254" s="19" t="str">
        <f t="shared" si="62"/>
        <v/>
      </c>
      <c r="AC254" s="73" t="str">
        <f t="shared" si="63"/>
        <v/>
      </c>
      <c r="AD254" s="19" t="str">
        <f t="shared" si="64"/>
        <v/>
      </c>
      <c r="AE254" s="19" t="str">
        <f t="shared" si="65"/>
        <v/>
      </c>
      <c r="AF254" s="19" t="str">
        <f>IF($D254&lt;&gt;1,"",IF(INDEX(TblClusters[Environnement],$B254)="","(vide)",INDEX(TblClusters[Environnement],$B254)))</f>
        <v/>
      </c>
      <c r="AG254" s="19" t="str">
        <f t="shared" si="66"/>
        <v/>
      </c>
      <c r="AH254" s="19" t="str">
        <f t="shared" si="67"/>
        <v/>
      </c>
      <c r="AI254" s="19" t="str">
        <f>IF($D254&lt;&gt;1,"",IF(AND($G254="IKS",ISNUMBER(INDEX(TblClusters[Fermeture retenue],$B254))),IF($E254&gt;=INDEX(TblClusters[Fermeture retenue],$B254),1,0),0))</f>
        <v/>
      </c>
    </row>
    <row r="255" spans="1:35" x14ac:dyDescent="0.2">
      <c r="A255" s="19">
        <v>250</v>
      </c>
      <c r="B255" s="19">
        <f t="shared" si="51"/>
        <v>7</v>
      </c>
      <c r="C255" s="19">
        <f t="shared" si="52"/>
        <v>34</v>
      </c>
      <c r="D255" s="19">
        <f>IF($C255&gt;p_horizon,0,IFERROR(IF(AND(INDEX(TblClusters[Cluster],$B255)&lt;&gt;"",ISNUMBER(INDEX(TblClusters[CPU initial (vCPU)],$B255)),ISNUMBER(INDEX(TblClusters[CPU min (vCPU)],$B255)),OR(INDEX(TblClusters[Plateforme],$B255)="IKS",INDEX(TblClusters[Plateforme],$B255)="ROKS")),1,0),0))</f>
        <v>0</v>
      </c>
      <c r="E255" s="72" t="str">
        <f t="shared" si="53"/>
        <v/>
      </c>
      <c r="F255" s="19" t="str">
        <f>IF($D255=1,INDEX(TblClusters[Cluster],$B255),"")</f>
        <v/>
      </c>
      <c r="G255" s="19" t="str">
        <f>IF($D255=1,INDEX(TblClusters[Plateforme],$B255),"")</f>
        <v/>
      </c>
      <c r="H255" s="19" t="str">
        <f>IF($D255=1,INDEX(TblClusters[vCPU par nœud],$B255),"")</f>
        <v/>
      </c>
      <c r="I255" s="19" t="str">
        <f>IF($D255=1,INDEX(TblClusters[RAM par nœud (Go)],$B255),"")</f>
        <v/>
      </c>
      <c r="J255" s="19" t="str">
        <f>IF($D255=1,INDEX(TblClusters[Workers min],$B255),"")</f>
        <v/>
      </c>
      <c r="K255" s="73" t="str">
        <f>IF($D255=1,INDEX(TblClusters[Tarif par nœud],$B255),"")</f>
        <v/>
      </c>
      <c r="L255" s="19" t="str">
        <f>IF($D255=1,INDEX(TblClusters[CPU initial (vCPU)],$B255),"")</f>
        <v/>
      </c>
      <c r="M255" s="19" t="str">
        <f>IF($D255=1,INDEX(TblClusters[RAM initiale (Go)],$B255),"")</f>
        <v/>
      </c>
      <c r="N255" s="19" t="str">
        <f>IF($D255=1,INDEX(TblClusters[CPU min (vCPU)],$B255),"")</f>
        <v/>
      </c>
      <c r="O255" s="19" t="str">
        <f>IF($D255=1,INDEX(TblClusters[RAM min (Go)],$B255),"")</f>
        <v/>
      </c>
      <c r="P255" s="19" t="str">
        <f>IF($D255&lt;&gt;1,"",IF($G255="ROKS",SUMIFS(TblApplications[Besoin ROKS CPU (vCPU)],TblApplications[Cluster ROKS cible],$F255,TblApplications[Action],"À migrer",TblApplications[Déjà incluse ROKS],"Non",TblApplications[Mois prov (calc)],"&lt;="&amp;$E255),SUMIFS(TblApplications[CPU IKS libérable (vCPU)],TblApplications[Cluster IKS source],$F255,TblApplications[Mois lib (calc)],"&lt;="&amp;$E255)))</f>
        <v/>
      </c>
      <c r="Q255" s="19" t="str">
        <f>IF($D255&lt;&gt;1,"",IF($G255="ROKS",SUMIFS(TblApplications[Besoin ROKS RAM (Go)],TblApplications[Cluster ROKS cible],$F255,TblApplications[Action],"À migrer",TblApplications[Déjà incluse ROKS],"Non",TblApplications[Mois prov (calc)],"&lt;="&amp;$E255),SUMIFS(TblApplications[RAM IKS libérable (Go)],TblApplications[Cluster IKS source],$F255,TblApplications[Mois lib (calc)],"&lt;="&amp;$E255)))</f>
        <v/>
      </c>
      <c r="R255" s="19" t="str">
        <f t="shared" si="54"/>
        <v/>
      </c>
      <c r="S255" s="19" t="str">
        <f t="shared" si="55"/>
        <v/>
      </c>
      <c r="T255" s="19" t="str">
        <f t="shared" si="56"/>
        <v/>
      </c>
      <c r="U255" s="19" t="str">
        <f t="shared" si="57"/>
        <v/>
      </c>
      <c r="V255" s="19" t="str">
        <f t="shared" si="58"/>
        <v/>
      </c>
      <c r="W255" s="73" t="str">
        <f t="shared" si="59"/>
        <v/>
      </c>
      <c r="X255" s="19" t="str">
        <f>IF($D255&lt;&gt;1,"",IF($G255="ROKS",$R255,IF($AI255=1,0,MAX($N255,$L255-SUMIFS(TblApplications[CPU IKS libérable (vCPU)],TblApplications[Cluster IKS source],$F255,TblApplications[Action],"À migrer",TblApplications[Mois prov (calc)],"&lt;="&amp;$E255)-SUMIFS(TblApplications[CPU IKS libérable (vCPU)],TblApplications[Cluster IKS source],$F255,TblApplications[Action],"À décommissionner",TblApplications[Mois lib (calc)],"&lt;="&amp;$E255)))))</f>
        <v/>
      </c>
      <c r="Y255" s="19" t="str">
        <f>IF($D255&lt;&gt;1,"",IF($G255="ROKS",$S255,IF($AI255=1,0,MAX($O255,$M255-SUMIFS(TblApplications[RAM IKS libérable (Go)],TblApplications[Cluster IKS source],$F255,TblApplications[Action],"À migrer",TblApplications[Mois prov (calc)],"&lt;="&amp;$E255)-SUMIFS(TblApplications[RAM IKS libérable (Go)],TblApplications[Cluster IKS source],$F255,TblApplications[Action],"À décommissionner",TblApplications[Mois lib (calc)],"&lt;="&amp;$E255)))))</f>
        <v/>
      </c>
      <c r="Z255" s="19" t="str">
        <f t="shared" si="60"/>
        <v/>
      </c>
      <c r="AA255" s="73" t="str">
        <f t="shared" si="61"/>
        <v/>
      </c>
      <c r="AB255" s="19" t="str">
        <f t="shared" si="62"/>
        <v/>
      </c>
      <c r="AC255" s="73" t="str">
        <f t="shared" si="63"/>
        <v/>
      </c>
      <c r="AD255" s="19" t="str">
        <f t="shared" si="64"/>
        <v/>
      </c>
      <c r="AE255" s="19" t="str">
        <f t="shared" si="65"/>
        <v/>
      </c>
      <c r="AF255" s="19" t="str">
        <f>IF($D255&lt;&gt;1,"",IF(INDEX(TblClusters[Environnement],$B255)="","(vide)",INDEX(TblClusters[Environnement],$B255)))</f>
        <v/>
      </c>
      <c r="AG255" s="19" t="str">
        <f t="shared" si="66"/>
        <v/>
      </c>
      <c r="AH255" s="19" t="str">
        <f t="shared" si="67"/>
        <v/>
      </c>
      <c r="AI255" s="19" t="str">
        <f>IF($D255&lt;&gt;1,"",IF(AND($G255="IKS",ISNUMBER(INDEX(TblClusters[Fermeture retenue],$B255))),IF($E255&gt;=INDEX(TblClusters[Fermeture retenue],$B255),1,0),0))</f>
        <v/>
      </c>
    </row>
    <row r="256" spans="1:35" x14ac:dyDescent="0.2">
      <c r="A256" s="19">
        <v>251</v>
      </c>
      <c r="B256" s="19">
        <f t="shared" si="51"/>
        <v>7</v>
      </c>
      <c r="C256" s="19">
        <f t="shared" si="52"/>
        <v>35</v>
      </c>
      <c r="D256" s="19">
        <f>IF($C256&gt;p_horizon,0,IFERROR(IF(AND(INDEX(TblClusters[Cluster],$B256)&lt;&gt;"",ISNUMBER(INDEX(TblClusters[CPU initial (vCPU)],$B256)),ISNUMBER(INDEX(TblClusters[CPU min (vCPU)],$B256)),OR(INDEX(TblClusters[Plateforme],$B256)="IKS",INDEX(TblClusters[Plateforme],$B256)="ROKS")),1,0),0))</f>
        <v>0</v>
      </c>
      <c r="E256" s="72" t="str">
        <f t="shared" si="53"/>
        <v/>
      </c>
      <c r="F256" s="19" t="str">
        <f>IF($D256=1,INDEX(TblClusters[Cluster],$B256),"")</f>
        <v/>
      </c>
      <c r="G256" s="19" t="str">
        <f>IF($D256=1,INDEX(TblClusters[Plateforme],$B256),"")</f>
        <v/>
      </c>
      <c r="H256" s="19" t="str">
        <f>IF($D256=1,INDEX(TblClusters[vCPU par nœud],$B256),"")</f>
        <v/>
      </c>
      <c r="I256" s="19" t="str">
        <f>IF($D256=1,INDEX(TblClusters[RAM par nœud (Go)],$B256),"")</f>
        <v/>
      </c>
      <c r="J256" s="19" t="str">
        <f>IF($D256=1,INDEX(TblClusters[Workers min],$B256),"")</f>
        <v/>
      </c>
      <c r="K256" s="73" t="str">
        <f>IF($D256=1,INDEX(TblClusters[Tarif par nœud],$B256),"")</f>
        <v/>
      </c>
      <c r="L256" s="19" t="str">
        <f>IF($D256=1,INDEX(TblClusters[CPU initial (vCPU)],$B256),"")</f>
        <v/>
      </c>
      <c r="M256" s="19" t="str">
        <f>IF($D256=1,INDEX(TblClusters[RAM initiale (Go)],$B256),"")</f>
        <v/>
      </c>
      <c r="N256" s="19" t="str">
        <f>IF($D256=1,INDEX(TblClusters[CPU min (vCPU)],$B256),"")</f>
        <v/>
      </c>
      <c r="O256" s="19" t="str">
        <f>IF($D256=1,INDEX(TblClusters[RAM min (Go)],$B256),"")</f>
        <v/>
      </c>
      <c r="P256" s="19" t="str">
        <f>IF($D256&lt;&gt;1,"",IF($G256="ROKS",SUMIFS(TblApplications[Besoin ROKS CPU (vCPU)],TblApplications[Cluster ROKS cible],$F256,TblApplications[Action],"À migrer",TblApplications[Déjà incluse ROKS],"Non",TblApplications[Mois prov (calc)],"&lt;="&amp;$E256),SUMIFS(TblApplications[CPU IKS libérable (vCPU)],TblApplications[Cluster IKS source],$F256,TblApplications[Mois lib (calc)],"&lt;="&amp;$E256)))</f>
        <v/>
      </c>
      <c r="Q256" s="19" t="str">
        <f>IF($D256&lt;&gt;1,"",IF($G256="ROKS",SUMIFS(TblApplications[Besoin ROKS RAM (Go)],TblApplications[Cluster ROKS cible],$F256,TblApplications[Action],"À migrer",TblApplications[Déjà incluse ROKS],"Non",TblApplications[Mois prov (calc)],"&lt;="&amp;$E256),SUMIFS(TblApplications[RAM IKS libérable (Go)],TblApplications[Cluster IKS source],$F256,TblApplications[Mois lib (calc)],"&lt;="&amp;$E256)))</f>
        <v/>
      </c>
      <c r="R256" s="19" t="str">
        <f t="shared" si="54"/>
        <v/>
      </c>
      <c r="S256" s="19" t="str">
        <f t="shared" si="55"/>
        <v/>
      </c>
      <c r="T256" s="19" t="str">
        <f t="shared" si="56"/>
        <v/>
      </c>
      <c r="U256" s="19" t="str">
        <f t="shared" si="57"/>
        <v/>
      </c>
      <c r="V256" s="19" t="str">
        <f t="shared" si="58"/>
        <v/>
      </c>
      <c r="W256" s="73" t="str">
        <f t="shared" si="59"/>
        <v/>
      </c>
      <c r="X256" s="19" t="str">
        <f>IF($D256&lt;&gt;1,"",IF($G256="ROKS",$R256,IF($AI256=1,0,MAX($N256,$L256-SUMIFS(TblApplications[CPU IKS libérable (vCPU)],TblApplications[Cluster IKS source],$F256,TblApplications[Action],"À migrer",TblApplications[Mois prov (calc)],"&lt;="&amp;$E256)-SUMIFS(TblApplications[CPU IKS libérable (vCPU)],TblApplications[Cluster IKS source],$F256,TblApplications[Action],"À décommissionner",TblApplications[Mois lib (calc)],"&lt;="&amp;$E256)))))</f>
        <v/>
      </c>
      <c r="Y256" s="19" t="str">
        <f>IF($D256&lt;&gt;1,"",IF($G256="ROKS",$S256,IF($AI256=1,0,MAX($O256,$M256-SUMIFS(TblApplications[RAM IKS libérable (Go)],TblApplications[Cluster IKS source],$F256,TblApplications[Action],"À migrer",TblApplications[Mois prov (calc)],"&lt;="&amp;$E256)-SUMIFS(TblApplications[RAM IKS libérable (Go)],TblApplications[Cluster IKS source],$F256,TblApplications[Action],"À décommissionner",TblApplications[Mois lib (calc)],"&lt;="&amp;$E256)))))</f>
        <v/>
      </c>
      <c r="Z256" s="19" t="str">
        <f t="shared" si="60"/>
        <v/>
      </c>
      <c r="AA256" s="73" t="str">
        <f t="shared" si="61"/>
        <v/>
      </c>
      <c r="AB256" s="19" t="str">
        <f t="shared" si="62"/>
        <v/>
      </c>
      <c r="AC256" s="73" t="str">
        <f t="shared" si="63"/>
        <v/>
      </c>
      <c r="AD256" s="19" t="str">
        <f t="shared" si="64"/>
        <v/>
      </c>
      <c r="AE256" s="19" t="str">
        <f t="shared" si="65"/>
        <v/>
      </c>
      <c r="AF256" s="19" t="str">
        <f>IF($D256&lt;&gt;1,"",IF(INDEX(TblClusters[Environnement],$B256)="","(vide)",INDEX(TblClusters[Environnement],$B256)))</f>
        <v/>
      </c>
      <c r="AG256" s="19" t="str">
        <f t="shared" si="66"/>
        <v/>
      </c>
      <c r="AH256" s="19" t="str">
        <f t="shared" si="67"/>
        <v/>
      </c>
      <c r="AI256" s="19" t="str">
        <f>IF($D256&lt;&gt;1,"",IF(AND($G256="IKS",ISNUMBER(INDEX(TblClusters[Fermeture retenue],$B256))),IF($E256&gt;=INDEX(TblClusters[Fermeture retenue],$B256),1,0),0))</f>
        <v/>
      </c>
    </row>
    <row r="257" spans="1:35" x14ac:dyDescent="0.2">
      <c r="A257" s="19">
        <v>252</v>
      </c>
      <c r="B257" s="19">
        <f t="shared" si="51"/>
        <v>7</v>
      </c>
      <c r="C257" s="19">
        <f t="shared" si="52"/>
        <v>36</v>
      </c>
      <c r="D257" s="19">
        <f>IF($C257&gt;p_horizon,0,IFERROR(IF(AND(INDEX(TblClusters[Cluster],$B257)&lt;&gt;"",ISNUMBER(INDEX(TblClusters[CPU initial (vCPU)],$B257)),ISNUMBER(INDEX(TblClusters[CPU min (vCPU)],$B257)),OR(INDEX(TblClusters[Plateforme],$B257)="IKS",INDEX(TblClusters[Plateforme],$B257)="ROKS")),1,0),0))</f>
        <v>0</v>
      </c>
      <c r="E257" s="72" t="str">
        <f t="shared" si="53"/>
        <v/>
      </c>
      <c r="F257" s="19" t="str">
        <f>IF($D257=1,INDEX(TblClusters[Cluster],$B257),"")</f>
        <v/>
      </c>
      <c r="G257" s="19" t="str">
        <f>IF($D257=1,INDEX(TblClusters[Plateforme],$B257),"")</f>
        <v/>
      </c>
      <c r="H257" s="19" t="str">
        <f>IF($D257=1,INDEX(TblClusters[vCPU par nœud],$B257),"")</f>
        <v/>
      </c>
      <c r="I257" s="19" t="str">
        <f>IF($D257=1,INDEX(TblClusters[RAM par nœud (Go)],$B257),"")</f>
        <v/>
      </c>
      <c r="J257" s="19" t="str">
        <f>IF($D257=1,INDEX(TblClusters[Workers min],$B257),"")</f>
        <v/>
      </c>
      <c r="K257" s="73" t="str">
        <f>IF($D257=1,INDEX(TblClusters[Tarif par nœud],$B257),"")</f>
        <v/>
      </c>
      <c r="L257" s="19" t="str">
        <f>IF($D257=1,INDEX(TblClusters[CPU initial (vCPU)],$B257),"")</f>
        <v/>
      </c>
      <c r="M257" s="19" t="str">
        <f>IF($D257=1,INDEX(TblClusters[RAM initiale (Go)],$B257),"")</f>
        <v/>
      </c>
      <c r="N257" s="19" t="str">
        <f>IF($D257=1,INDEX(TblClusters[CPU min (vCPU)],$B257),"")</f>
        <v/>
      </c>
      <c r="O257" s="19" t="str">
        <f>IF($D257=1,INDEX(TblClusters[RAM min (Go)],$B257),"")</f>
        <v/>
      </c>
      <c r="P257" s="19" t="str">
        <f>IF($D257&lt;&gt;1,"",IF($G257="ROKS",SUMIFS(TblApplications[Besoin ROKS CPU (vCPU)],TblApplications[Cluster ROKS cible],$F257,TblApplications[Action],"À migrer",TblApplications[Déjà incluse ROKS],"Non",TblApplications[Mois prov (calc)],"&lt;="&amp;$E257),SUMIFS(TblApplications[CPU IKS libérable (vCPU)],TblApplications[Cluster IKS source],$F257,TblApplications[Mois lib (calc)],"&lt;="&amp;$E257)))</f>
        <v/>
      </c>
      <c r="Q257" s="19" t="str">
        <f>IF($D257&lt;&gt;1,"",IF($G257="ROKS",SUMIFS(TblApplications[Besoin ROKS RAM (Go)],TblApplications[Cluster ROKS cible],$F257,TblApplications[Action],"À migrer",TblApplications[Déjà incluse ROKS],"Non",TblApplications[Mois prov (calc)],"&lt;="&amp;$E257),SUMIFS(TblApplications[RAM IKS libérable (Go)],TblApplications[Cluster IKS source],$F257,TblApplications[Mois lib (calc)],"&lt;="&amp;$E257)))</f>
        <v/>
      </c>
      <c r="R257" s="19" t="str">
        <f t="shared" si="54"/>
        <v/>
      </c>
      <c r="S257" s="19" t="str">
        <f t="shared" si="55"/>
        <v/>
      </c>
      <c r="T257" s="19" t="str">
        <f t="shared" si="56"/>
        <v/>
      </c>
      <c r="U257" s="19" t="str">
        <f t="shared" si="57"/>
        <v/>
      </c>
      <c r="V257" s="19" t="str">
        <f t="shared" si="58"/>
        <v/>
      </c>
      <c r="W257" s="73" t="str">
        <f t="shared" si="59"/>
        <v/>
      </c>
      <c r="X257" s="19" t="str">
        <f>IF($D257&lt;&gt;1,"",IF($G257="ROKS",$R257,IF($AI257=1,0,MAX($N257,$L257-SUMIFS(TblApplications[CPU IKS libérable (vCPU)],TblApplications[Cluster IKS source],$F257,TblApplications[Action],"À migrer",TblApplications[Mois prov (calc)],"&lt;="&amp;$E257)-SUMIFS(TblApplications[CPU IKS libérable (vCPU)],TblApplications[Cluster IKS source],$F257,TblApplications[Action],"À décommissionner",TblApplications[Mois lib (calc)],"&lt;="&amp;$E257)))))</f>
        <v/>
      </c>
      <c r="Y257" s="19" t="str">
        <f>IF($D257&lt;&gt;1,"",IF($G257="ROKS",$S257,IF($AI257=1,0,MAX($O257,$M257-SUMIFS(TblApplications[RAM IKS libérable (Go)],TblApplications[Cluster IKS source],$F257,TblApplications[Action],"À migrer",TblApplications[Mois prov (calc)],"&lt;="&amp;$E257)-SUMIFS(TblApplications[RAM IKS libérable (Go)],TblApplications[Cluster IKS source],$F257,TblApplications[Action],"À décommissionner",TblApplications[Mois lib (calc)],"&lt;="&amp;$E257)))))</f>
        <v/>
      </c>
      <c r="Z257" s="19" t="str">
        <f t="shared" si="60"/>
        <v/>
      </c>
      <c r="AA257" s="73" t="str">
        <f t="shared" si="61"/>
        <v/>
      </c>
      <c r="AB257" s="19" t="str">
        <f t="shared" si="62"/>
        <v/>
      </c>
      <c r="AC257" s="73" t="str">
        <f t="shared" si="63"/>
        <v/>
      </c>
      <c r="AD257" s="19" t="str">
        <f t="shared" si="64"/>
        <v/>
      </c>
      <c r="AE257" s="19" t="str">
        <f t="shared" si="65"/>
        <v/>
      </c>
      <c r="AF257" s="19" t="str">
        <f>IF($D257&lt;&gt;1,"",IF(INDEX(TblClusters[Environnement],$B257)="","(vide)",INDEX(TblClusters[Environnement],$B257)))</f>
        <v/>
      </c>
      <c r="AG257" s="19" t="str">
        <f t="shared" si="66"/>
        <v/>
      </c>
      <c r="AH257" s="19" t="str">
        <f t="shared" si="67"/>
        <v/>
      </c>
      <c r="AI257" s="19" t="str">
        <f>IF($D257&lt;&gt;1,"",IF(AND($G257="IKS",ISNUMBER(INDEX(TblClusters[Fermeture retenue],$B257))),IF($E257&gt;=INDEX(TblClusters[Fermeture retenue],$B257),1,0),0))</f>
        <v/>
      </c>
    </row>
    <row r="258" spans="1:35" x14ac:dyDescent="0.2">
      <c r="A258" s="19">
        <v>253</v>
      </c>
      <c r="B258" s="19">
        <f t="shared" si="51"/>
        <v>8</v>
      </c>
      <c r="C258" s="19">
        <f t="shared" si="52"/>
        <v>1</v>
      </c>
      <c r="D258" s="19">
        <f>IF($C258&gt;p_horizon,0,IFERROR(IF(AND(INDEX(TblClusters[Cluster],$B258)&lt;&gt;"",ISNUMBER(INDEX(TblClusters[CPU initial (vCPU)],$B258)),ISNUMBER(INDEX(TblClusters[CPU min (vCPU)],$B258)),OR(INDEX(TblClusters[Plateforme],$B258)="IKS",INDEX(TblClusters[Plateforme],$B258)="ROKS")),1,0),0))</f>
        <v>1</v>
      </c>
      <c r="E258" s="72">
        <f t="shared" si="53"/>
        <v>46296</v>
      </c>
      <c r="F258" s="19" t="str">
        <f>IF($D258=1,INDEX(TblClusters[Cluster],$B258),"")</f>
        <v>oc002i001010</v>
      </c>
      <c r="G258" s="19" t="str">
        <f>IF($D258=1,INDEX(TblClusters[Plateforme],$B258),"")</f>
        <v>ROKS</v>
      </c>
      <c r="H258" s="19">
        <f>IF($D258=1,INDEX(TblClusters[vCPU par nœud],$B258),"")</f>
        <v>8</v>
      </c>
      <c r="I258" s="19">
        <f>IF($D258=1,INDEX(TblClusters[RAM par nœud (Go)],$B258),"")</f>
        <v>40</v>
      </c>
      <c r="J258" s="19">
        <f>IF($D258=1,INDEX(TblClusters[Workers min],$B258),"")</f>
        <v>6</v>
      </c>
      <c r="K258" s="73">
        <f>IF($D258=1,INDEX(TblClusters[Tarif par nœud],$B258),"")</f>
        <v>368</v>
      </c>
      <c r="L258" s="19">
        <f>IF($D258=1,INDEX(TblClusters[CPU initial (vCPU)],$B258),"")</f>
        <v>48</v>
      </c>
      <c r="M258" s="19">
        <f>IF($D258=1,INDEX(TblClusters[RAM initiale (Go)],$B258),"")</f>
        <v>240</v>
      </c>
      <c r="N258" s="19">
        <f>IF($D258=1,INDEX(TblClusters[CPU min (vCPU)],$B258),"")</f>
        <v>48</v>
      </c>
      <c r="O258" s="19">
        <f>IF($D258=1,INDEX(TblClusters[RAM min (Go)],$B258),"")</f>
        <v>240</v>
      </c>
      <c r="P258" s="19">
        <f>IF($D258&lt;&gt;1,"",IF($G258="ROKS",SUMIFS(TblApplications[Besoin ROKS CPU (vCPU)],TblApplications[Cluster ROKS cible],$F258,TblApplications[Action],"À migrer",TblApplications[Déjà incluse ROKS],"Non",TblApplications[Mois prov (calc)],"&lt;="&amp;$E258),SUMIFS(TblApplications[CPU IKS libérable (vCPU)],TblApplications[Cluster IKS source],$F258,TblApplications[Mois lib (calc)],"&lt;="&amp;$E258)))</f>
        <v>0</v>
      </c>
      <c r="Q258" s="19">
        <f>IF($D258&lt;&gt;1,"",IF($G258="ROKS",SUMIFS(TblApplications[Besoin ROKS RAM (Go)],TblApplications[Cluster ROKS cible],$F258,TblApplications[Action],"À migrer",TblApplications[Déjà incluse ROKS],"Non",TblApplications[Mois prov (calc)],"&lt;="&amp;$E258),SUMIFS(TblApplications[RAM IKS libérable (Go)],TblApplications[Cluster IKS source],$F258,TblApplications[Mois lib (calc)],"&lt;="&amp;$E258)))</f>
        <v>0</v>
      </c>
      <c r="R258" s="19">
        <f t="shared" si="54"/>
        <v>48</v>
      </c>
      <c r="S258" s="19">
        <f t="shared" si="55"/>
        <v>240</v>
      </c>
      <c r="T258" s="19">
        <f t="shared" si="56"/>
        <v>6</v>
      </c>
      <c r="U258" s="19">
        <f t="shared" si="57"/>
        <v>48</v>
      </c>
      <c r="V258" s="19">
        <f t="shared" si="58"/>
        <v>240</v>
      </c>
      <c r="W258" s="73">
        <f t="shared" si="59"/>
        <v>2208</v>
      </c>
      <c r="X258" s="19">
        <f>IF($D258&lt;&gt;1,"",IF($G258="ROKS",$R258,IF($AI258=1,0,MAX($N258,$L258-SUMIFS(TblApplications[CPU IKS libérable (vCPU)],TblApplications[Cluster IKS source],$F258,TblApplications[Action],"À migrer",TblApplications[Mois prov (calc)],"&lt;="&amp;$E258)-SUMIFS(TblApplications[CPU IKS libérable (vCPU)],TblApplications[Cluster IKS source],$F258,TblApplications[Action],"À décommissionner",TblApplications[Mois lib (calc)],"&lt;="&amp;$E258)))))</f>
        <v>48</v>
      </c>
      <c r="Y258" s="19">
        <f>IF($D258&lt;&gt;1,"",IF($G258="ROKS",$S258,IF($AI258=1,0,MAX($O258,$M258-SUMIFS(TblApplications[RAM IKS libérable (Go)],TblApplications[Cluster IKS source],$F258,TblApplications[Action],"À migrer",TblApplications[Mois prov (calc)],"&lt;="&amp;$E258)-SUMIFS(TblApplications[RAM IKS libérable (Go)],TblApplications[Cluster IKS source],$F258,TblApplications[Action],"À décommissionner",TblApplications[Mois lib (calc)],"&lt;="&amp;$E258)))))</f>
        <v>240</v>
      </c>
      <c r="Z258" s="19">
        <f t="shared" si="60"/>
        <v>6</v>
      </c>
      <c r="AA258" s="73">
        <f t="shared" si="61"/>
        <v>2208</v>
      </c>
      <c r="AB258" s="19">
        <f t="shared" si="62"/>
        <v>6</v>
      </c>
      <c r="AC258" s="73">
        <f t="shared" si="63"/>
        <v>2208</v>
      </c>
      <c r="AD258" s="19">
        <f t="shared" si="64"/>
        <v>0</v>
      </c>
      <c r="AE258" s="19">
        <f t="shared" si="65"/>
        <v>0</v>
      </c>
      <c r="AF258" s="19" t="str">
        <f>IF($D258&lt;&gt;1,"",IF(INDEX(TblClusters[Environnement],$B258)="","(vide)",INDEX(TblClusters[Environnement],$B258)))</f>
        <v>NPRD</v>
      </c>
      <c r="AG258" s="19">
        <f t="shared" si="66"/>
        <v>72</v>
      </c>
      <c r="AH258" s="19">
        <f t="shared" si="67"/>
        <v>30.666666666666668</v>
      </c>
      <c r="AI258" s="19">
        <f>IF($D258&lt;&gt;1,"",IF(AND($G258="IKS",ISNUMBER(INDEX(TblClusters[Fermeture retenue],$B258))),IF($E258&gt;=INDEX(TblClusters[Fermeture retenue],$B258),1,0),0))</f>
        <v>0</v>
      </c>
    </row>
    <row r="259" spans="1:35" x14ac:dyDescent="0.2">
      <c r="A259" s="19">
        <v>254</v>
      </c>
      <c r="B259" s="19">
        <f t="shared" si="51"/>
        <v>8</v>
      </c>
      <c r="C259" s="19">
        <f t="shared" si="52"/>
        <v>2</v>
      </c>
      <c r="D259" s="19">
        <f>IF($C259&gt;p_horizon,0,IFERROR(IF(AND(INDEX(TblClusters[Cluster],$B259)&lt;&gt;"",ISNUMBER(INDEX(TblClusters[CPU initial (vCPU)],$B259)),ISNUMBER(INDEX(TblClusters[CPU min (vCPU)],$B259)),OR(INDEX(TblClusters[Plateforme],$B259)="IKS",INDEX(TblClusters[Plateforme],$B259)="ROKS")),1,0),0))</f>
        <v>1</v>
      </c>
      <c r="E259" s="72">
        <f t="shared" si="53"/>
        <v>46327</v>
      </c>
      <c r="F259" s="19" t="str">
        <f>IF($D259=1,INDEX(TblClusters[Cluster],$B259),"")</f>
        <v>oc002i001010</v>
      </c>
      <c r="G259" s="19" t="str">
        <f>IF($D259=1,INDEX(TblClusters[Plateforme],$B259),"")</f>
        <v>ROKS</v>
      </c>
      <c r="H259" s="19">
        <f>IF($D259=1,INDEX(TblClusters[vCPU par nœud],$B259),"")</f>
        <v>8</v>
      </c>
      <c r="I259" s="19">
        <f>IF($D259=1,INDEX(TblClusters[RAM par nœud (Go)],$B259),"")</f>
        <v>40</v>
      </c>
      <c r="J259" s="19">
        <f>IF($D259=1,INDEX(TblClusters[Workers min],$B259),"")</f>
        <v>6</v>
      </c>
      <c r="K259" s="73">
        <f>IF($D259=1,INDEX(TblClusters[Tarif par nœud],$B259),"")</f>
        <v>368</v>
      </c>
      <c r="L259" s="19">
        <f>IF($D259=1,INDEX(TblClusters[CPU initial (vCPU)],$B259),"")</f>
        <v>48</v>
      </c>
      <c r="M259" s="19">
        <f>IF($D259=1,INDEX(TblClusters[RAM initiale (Go)],$B259),"")</f>
        <v>240</v>
      </c>
      <c r="N259" s="19">
        <f>IF($D259=1,INDEX(TblClusters[CPU min (vCPU)],$B259),"")</f>
        <v>48</v>
      </c>
      <c r="O259" s="19">
        <f>IF($D259=1,INDEX(TblClusters[RAM min (Go)],$B259),"")</f>
        <v>240</v>
      </c>
      <c r="P259" s="19">
        <f>IF($D259&lt;&gt;1,"",IF($G259="ROKS",SUMIFS(TblApplications[Besoin ROKS CPU (vCPU)],TblApplications[Cluster ROKS cible],$F259,TblApplications[Action],"À migrer",TblApplications[Déjà incluse ROKS],"Non",TblApplications[Mois prov (calc)],"&lt;="&amp;$E259),SUMIFS(TblApplications[CPU IKS libérable (vCPU)],TblApplications[Cluster IKS source],$F259,TblApplications[Mois lib (calc)],"&lt;="&amp;$E259)))</f>
        <v>0</v>
      </c>
      <c r="Q259" s="19">
        <f>IF($D259&lt;&gt;1,"",IF($G259="ROKS",SUMIFS(TblApplications[Besoin ROKS RAM (Go)],TblApplications[Cluster ROKS cible],$F259,TblApplications[Action],"À migrer",TblApplications[Déjà incluse ROKS],"Non",TblApplications[Mois prov (calc)],"&lt;="&amp;$E259),SUMIFS(TblApplications[RAM IKS libérable (Go)],TblApplications[Cluster IKS source],$F259,TblApplications[Mois lib (calc)],"&lt;="&amp;$E259)))</f>
        <v>0</v>
      </c>
      <c r="R259" s="19">
        <f t="shared" si="54"/>
        <v>48</v>
      </c>
      <c r="S259" s="19">
        <f t="shared" si="55"/>
        <v>240</v>
      </c>
      <c r="T259" s="19">
        <f t="shared" si="56"/>
        <v>6</v>
      </c>
      <c r="U259" s="19">
        <f t="shared" si="57"/>
        <v>48</v>
      </c>
      <c r="V259" s="19">
        <f t="shared" si="58"/>
        <v>240</v>
      </c>
      <c r="W259" s="73">
        <f t="shared" si="59"/>
        <v>2208</v>
      </c>
      <c r="X259" s="19">
        <f>IF($D259&lt;&gt;1,"",IF($G259="ROKS",$R259,IF($AI259=1,0,MAX($N259,$L259-SUMIFS(TblApplications[CPU IKS libérable (vCPU)],TblApplications[Cluster IKS source],$F259,TblApplications[Action],"À migrer",TblApplications[Mois prov (calc)],"&lt;="&amp;$E259)-SUMIFS(TblApplications[CPU IKS libérable (vCPU)],TblApplications[Cluster IKS source],$F259,TblApplications[Action],"À décommissionner",TblApplications[Mois lib (calc)],"&lt;="&amp;$E259)))))</f>
        <v>48</v>
      </c>
      <c r="Y259" s="19">
        <f>IF($D259&lt;&gt;1,"",IF($G259="ROKS",$S259,IF($AI259=1,0,MAX($O259,$M259-SUMIFS(TblApplications[RAM IKS libérable (Go)],TblApplications[Cluster IKS source],$F259,TblApplications[Action],"À migrer",TblApplications[Mois prov (calc)],"&lt;="&amp;$E259)-SUMIFS(TblApplications[RAM IKS libérable (Go)],TblApplications[Cluster IKS source],$F259,TblApplications[Action],"À décommissionner",TblApplications[Mois lib (calc)],"&lt;="&amp;$E259)))))</f>
        <v>240</v>
      </c>
      <c r="Z259" s="19">
        <f t="shared" si="60"/>
        <v>6</v>
      </c>
      <c r="AA259" s="73">
        <f t="shared" si="61"/>
        <v>2208</v>
      </c>
      <c r="AB259" s="19">
        <f t="shared" si="62"/>
        <v>6</v>
      </c>
      <c r="AC259" s="73">
        <f t="shared" si="63"/>
        <v>2208</v>
      </c>
      <c r="AD259" s="19">
        <f t="shared" si="64"/>
        <v>0</v>
      </c>
      <c r="AE259" s="19">
        <f t="shared" si="65"/>
        <v>0</v>
      </c>
      <c r="AF259" s="19" t="str">
        <f>IF($D259&lt;&gt;1,"",IF(INDEX(TblClusters[Environnement],$B259)="","(vide)",INDEX(TblClusters[Environnement],$B259)))</f>
        <v>NPRD</v>
      </c>
      <c r="AG259" s="19">
        <f t="shared" si="66"/>
        <v>72</v>
      </c>
      <c r="AH259" s="19">
        <f t="shared" si="67"/>
        <v>30.666666666666668</v>
      </c>
      <c r="AI259" s="19">
        <f>IF($D259&lt;&gt;1,"",IF(AND($G259="IKS",ISNUMBER(INDEX(TblClusters[Fermeture retenue],$B259))),IF($E259&gt;=INDEX(TblClusters[Fermeture retenue],$B259),1,0),0))</f>
        <v>0</v>
      </c>
    </row>
    <row r="260" spans="1:35" x14ac:dyDescent="0.2">
      <c r="A260" s="19">
        <v>255</v>
      </c>
      <c r="B260" s="19">
        <f t="shared" si="51"/>
        <v>8</v>
      </c>
      <c r="C260" s="19">
        <f t="shared" si="52"/>
        <v>3</v>
      </c>
      <c r="D260" s="19">
        <f>IF($C260&gt;p_horizon,0,IFERROR(IF(AND(INDEX(TblClusters[Cluster],$B260)&lt;&gt;"",ISNUMBER(INDEX(TblClusters[CPU initial (vCPU)],$B260)),ISNUMBER(INDEX(TblClusters[CPU min (vCPU)],$B260)),OR(INDEX(TblClusters[Plateforme],$B260)="IKS",INDEX(TblClusters[Plateforme],$B260)="ROKS")),1,0),0))</f>
        <v>1</v>
      </c>
      <c r="E260" s="72">
        <f t="shared" si="53"/>
        <v>46357</v>
      </c>
      <c r="F260" s="19" t="str">
        <f>IF($D260=1,INDEX(TblClusters[Cluster],$B260),"")</f>
        <v>oc002i001010</v>
      </c>
      <c r="G260" s="19" t="str">
        <f>IF($D260=1,INDEX(TblClusters[Plateforme],$B260),"")</f>
        <v>ROKS</v>
      </c>
      <c r="H260" s="19">
        <f>IF($D260=1,INDEX(TblClusters[vCPU par nœud],$B260),"")</f>
        <v>8</v>
      </c>
      <c r="I260" s="19">
        <f>IF($D260=1,INDEX(TblClusters[RAM par nœud (Go)],$B260),"")</f>
        <v>40</v>
      </c>
      <c r="J260" s="19">
        <f>IF($D260=1,INDEX(TblClusters[Workers min],$B260),"")</f>
        <v>6</v>
      </c>
      <c r="K260" s="73">
        <f>IF($D260=1,INDEX(TblClusters[Tarif par nœud],$B260),"")</f>
        <v>368</v>
      </c>
      <c r="L260" s="19">
        <f>IF($D260=1,INDEX(TblClusters[CPU initial (vCPU)],$B260),"")</f>
        <v>48</v>
      </c>
      <c r="M260" s="19">
        <f>IF($D260=1,INDEX(TblClusters[RAM initiale (Go)],$B260),"")</f>
        <v>240</v>
      </c>
      <c r="N260" s="19">
        <f>IF($D260=1,INDEX(TblClusters[CPU min (vCPU)],$B260),"")</f>
        <v>48</v>
      </c>
      <c r="O260" s="19">
        <f>IF($D260=1,INDEX(TblClusters[RAM min (Go)],$B260),"")</f>
        <v>240</v>
      </c>
      <c r="P260" s="19">
        <f>IF($D260&lt;&gt;1,"",IF($G260="ROKS",SUMIFS(TblApplications[Besoin ROKS CPU (vCPU)],TblApplications[Cluster ROKS cible],$F260,TblApplications[Action],"À migrer",TblApplications[Déjà incluse ROKS],"Non",TblApplications[Mois prov (calc)],"&lt;="&amp;$E260),SUMIFS(TblApplications[CPU IKS libérable (vCPU)],TblApplications[Cluster IKS source],$F260,TblApplications[Mois lib (calc)],"&lt;="&amp;$E260)))</f>
        <v>0</v>
      </c>
      <c r="Q260" s="19">
        <f>IF($D260&lt;&gt;1,"",IF($G260="ROKS",SUMIFS(TblApplications[Besoin ROKS RAM (Go)],TblApplications[Cluster ROKS cible],$F260,TblApplications[Action],"À migrer",TblApplications[Déjà incluse ROKS],"Non",TblApplications[Mois prov (calc)],"&lt;="&amp;$E260),SUMIFS(TblApplications[RAM IKS libérable (Go)],TblApplications[Cluster IKS source],$F260,TblApplications[Mois lib (calc)],"&lt;="&amp;$E260)))</f>
        <v>0</v>
      </c>
      <c r="R260" s="19">
        <f t="shared" si="54"/>
        <v>48</v>
      </c>
      <c r="S260" s="19">
        <f t="shared" si="55"/>
        <v>240</v>
      </c>
      <c r="T260" s="19">
        <f t="shared" si="56"/>
        <v>6</v>
      </c>
      <c r="U260" s="19">
        <f t="shared" si="57"/>
        <v>48</v>
      </c>
      <c r="V260" s="19">
        <f t="shared" si="58"/>
        <v>240</v>
      </c>
      <c r="W260" s="73">
        <f t="shared" si="59"/>
        <v>2208</v>
      </c>
      <c r="X260" s="19">
        <f>IF($D260&lt;&gt;1,"",IF($G260="ROKS",$R260,IF($AI260=1,0,MAX($N260,$L260-SUMIFS(TblApplications[CPU IKS libérable (vCPU)],TblApplications[Cluster IKS source],$F260,TblApplications[Action],"À migrer",TblApplications[Mois prov (calc)],"&lt;="&amp;$E260)-SUMIFS(TblApplications[CPU IKS libérable (vCPU)],TblApplications[Cluster IKS source],$F260,TblApplications[Action],"À décommissionner",TblApplications[Mois lib (calc)],"&lt;="&amp;$E260)))))</f>
        <v>48</v>
      </c>
      <c r="Y260" s="19">
        <f>IF($D260&lt;&gt;1,"",IF($G260="ROKS",$S260,IF($AI260=1,0,MAX($O260,$M260-SUMIFS(TblApplications[RAM IKS libérable (Go)],TblApplications[Cluster IKS source],$F260,TblApplications[Action],"À migrer",TblApplications[Mois prov (calc)],"&lt;="&amp;$E260)-SUMIFS(TblApplications[RAM IKS libérable (Go)],TblApplications[Cluster IKS source],$F260,TblApplications[Action],"À décommissionner",TblApplications[Mois lib (calc)],"&lt;="&amp;$E260)))))</f>
        <v>240</v>
      </c>
      <c r="Z260" s="19">
        <f t="shared" si="60"/>
        <v>6</v>
      </c>
      <c r="AA260" s="73">
        <f t="shared" si="61"/>
        <v>2208</v>
      </c>
      <c r="AB260" s="19">
        <f t="shared" si="62"/>
        <v>6</v>
      </c>
      <c r="AC260" s="73">
        <f t="shared" si="63"/>
        <v>2208</v>
      </c>
      <c r="AD260" s="19">
        <f t="shared" si="64"/>
        <v>0</v>
      </c>
      <c r="AE260" s="19">
        <f t="shared" si="65"/>
        <v>0</v>
      </c>
      <c r="AF260" s="19" t="str">
        <f>IF($D260&lt;&gt;1,"",IF(INDEX(TblClusters[Environnement],$B260)="","(vide)",INDEX(TblClusters[Environnement],$B260)))</f>
        <v>NPRD</v>
      </c>
      <c r="AG260" s="19">
        <f t="shared" si="66"/>
        <v>72</v>
      </c>
      <c r="AH260" s="19">
        <f t="shared" si="67"/>
        <v>30.666666666666668</v>
      </c>
      <c r="AI260" s="19">
        <f>IF($D260&lt;&gt;1,"",IF(AND($G260="IKS",ISNUMBER(INDEX(TblClusters[Fermeture retenue],$B260))),IF($E260&gt;=INDEX(TblClusters[Fermeture retenue],$B260),1,0),0))</f>
        <v>0</v>
      </c>
    </row>
    <row r="261" spans="1:35" x14ac:dyDescent="0.2">
      <c r="A261" s="19">
        <v>256</v>
      </c>
      <c r="B261" s="19">
        <f t="shared" si="51"/>
        <v>8</v>
      </c>
      <c r="C261" s="19">
        <f t="shared" si="52"/>
        <v>4</v>
      </c>
      <c r="D261" s="19">
        <f>IF($C261&gt;p_horizon,0,IFERROR(IF(AND(INDEX(TblClusters[Cluster],$B261)&lt;&gt;"",ISNUMBER(INDEX(TblClusters[CPU initial (vCPU)],$B261)),ISNUMBER(INDEX(TblClusters[CPU min (vCPU)],$B261)),OR(INDEX(TblClusters[Plateforme],$B261)="IKS",INDEX(TblClusters[Plateforme],$B261)="ROKS")),1,0),0))</f>
        <v>1</v>
      </c>
      <c r="E261" s="72">
        <f t="shared" si="53"/>
        <v>46388</v>
      </c>
      <c r="F261" s="19" t="str">
        <f>IF($D261=1,INDEX(TblClusters[Cluster],$B261),"")</f>
        <v>oc002i001010</v>
      </c>
      <c r="G261" s="19" t="str">
        <f>IF($D261=1,INDEX(TblClusters[Plateforme],$B261),"")</f>
        <v>ROKS</v>
      </c>
      <c r="H261" s="19">
        <f>IF($D261=1,INDEX(TblClusters[vCPU par nœud],$B261),"")</f>
        <v>8</v>
      </c>
      <c r="I261" s="19">
        <f>IF($D261=1,INDEX(TblClusters[RAM par nœud (Go)],$B261),"")</f>
        <v>40</v>
      </c>
      <c r="J261" s="19">
        <f>IF($D261=1,INDEX(TblClusters[Workers min],$B261),"")</f>
        <v>6</v>
      </c>
      <c r="K261" s="73">
        <f>IF($D261=1,INDEX(TblClusters[Tarif par nœud],$B261),"")</f>
        <v>368</v>
      </c>
      <c r="L261" s="19">
        <f>IF($D261=1,INDEX(TblClusters[CPU initial (vCPU)],$B261),"")</f>
        <v>48</v>
      </c>
      <c r="M261" s="19">
        <f>IF($D261=1,INDEX(TblClusters[RAM initiale (Go)],$B261),"")</f>
        <v>240</v>
      </c>
      <c r="N261" s="19">
        <f>IF($D261=1,INDEX(TblClusters[CPU min (vCPU)],$B261),"")</f>
        <v>48</v>
      </c>
      <c r="O261" s="19">
        <f>IF($D261=1,INDEX(TblClusters[RAM min (Go)],$B261),"")</f>
        <v>240</v>
      </c>
      <c r="P261" s="19">
        <f>IF($D261&lt;&gt;1,"",IF($G261="ROKS",SUMIFS(TblApplications[Besoin ROKS CPU (vCPU)],TblApplications[Cluster ROKS cible],$F261,TblApplications[Action],"À migrer",TblApplications[Déjà incluse ROKS],"Non",TblApplications[Mois prov (calc)],"&lt;="&amp;$E261),SUMIFS(TblApplications[CPU IKS libérable (vCPU)],TblApplications[Cluster IKS source],$F261,TblApplications[Mois lib (calc)],"&lt;="&amp;$E261)))</f>
        <v>0</v>
      </c>
      <c r="Q261" s="19">
        <f>IF($D261&lt;&gt;1,"",IF($G261="ROKS",SUMIFS(TblApplications[Besoin ROKS RAM (Go)],TblApplications[Cluster ROKS cible],$F261,TblApplications[Action],"À migrer",TblApplications[Déjà incluse ROKS],"Non",TblApplications[Mois prov (calc)],"&lt;="&amp;$E261),SUMIFS(TblApplications[RAM IKS libérable (Go)],TblApplications[Cluster IKS source],$F261,TblApplications[Mois lib (calc)],"&lt;="&amp;$E261)))</f>
        <v>0</v>
      </c>
      <c r="R261" s="19">
        <f t="shared" si="54"/>
        <v>48</v>
      </c>
      <c r="S261" s="19">
        <f t="shared" si="55"/>
        <v>240</v>
      </c>
      <c r="T261" s="19">
        <f t="shared" si="56"/>
        <v>6</v>
      </c>
      <c r="U261" s="19">
        <f t="shared" si="57"/>
        <v>48</v>
      </c>
      <c r="V261" s="19">
        <f t="shared" si="58"/>
        <v>240</v>
      </c>
      <c r="W261" s="73">
        <f t="shared" si="59"/>
        <v>2208</v>
      </c>
      <c r="X261" s="19">
        <f>IF($D261&lt;&gt;1,"",IF($G261="ROKS",$R261,IF($AI261=1,0,MAX($N261,$L261-SUMIFS(TblApplications[CPU IKS libérable (vCPU)],TblApplications[Cluster IKS source],$F261,TblApplications[Action],"À migrer",TblApplications[Mois prov (calc)],"&lt;="&amp;$E261)-SUMIFS(TblApplications[CPU IKS libérable (vCPU)],TblApplications[Cluster IKS source],$F261,TblApplications[Action],"À décommissionner",TblApplications[Mois lib (calc)],"&lt;="&amp;$E261)))))</f>
        <v>48</v>
      </c>
      <c r="Y261" s="19">
        <f>IF($D261&lt;&gt;1,"",IF($G261="ROKS",$S261,IF($AI261=1,0,MAX($O261,$M261-SUMIFS(TblApplications[RAM IKS libérable (Go)],TblApplications[Cluster IKS source],$F261,TblApplications[Action],"À migrer",TblApplications[Mois prov (calc)],"&lt;="&amp;$E261)-SUMIFS(TblApplications[RAM IKS libérable (Go)],TblApplications[Cluster IKS source],$F261,TblApplications[Action],"À décommissionner",TblApplications[Mois lib (calc)],"&lt;="&amp;$E261)))))</f>
        <v>240</v>
      </c>
      <c r="Z261" s="19">
        <f t="shared" si="60"/>
        <v>6</v>
      </c>
      <c r="AA261" s="73">
        <f t="shared" si="61"/>
        <v>2208</v>
      </c>
      <c r="AB261" s="19">
        <f t="shared" si="62"/>
        <v>6</v>
      </c>
      <c r="AC261" s="73">
        <f t="shared" si="63"/>
        <v>2208</v>
      </c>
      <c r="AD261" s="19">
        <f t="shared" si="64"/>
        <v>0</v>
      </c>
      <c r="AE261" s="19">
        <f t="shared" si="65"/>
        <v>0</v>
      </c>
      <c r="AF261" s="19" t="str">
        <f>IF($D261&lt;&gt;1,"",IF(INDEX(TblClusters[Environnement],$B261)="","(vide)",INDEX(TblClusters[Environnement],$B261)))</f>
        <v>NPRD</v>
      </c>
      <c r="AG261" s="19">
        <f t="shared" si="66"/>
        <v>72</v>
      </c>
      <c r="AH261" s="19">
        <f t="shared" si="67"/>
        <v>30.666666666666668</v>
      </c>
      <c r="AI261" s="19">
        <f>IF($D261&lt;&gt;1,"",IF(AND($G261="IKS",ISNUMBER(INDEX(TblClusters[Fermeture retenue],$B261))),IF($E261&gt;=INDEX(TblClusters[Fermeture retenue],$B261),1,0),0))</f>
        <v>0</v>
      </c>
    </row>
    <row r="262" spans="1:35" x14ac:dyDescent="0.2">
      <c r="A262" s="19">
        <v>257</v>
      </c>
      <c r="B262" s="19">
        <f t="shared" ref="B262:B325" si="68">INT(($A262-1)/36)+1</f>
        <v>8</v>
      </c>
      <c r="C262" s="19">
        <f t="shared" ref="C262:C325" si="69">MOD($A262-1,36)+1</f>
        <v>5</v>
      </c>
      <c r="D262" s="19">
        <f>IF($C262&gt;p_horizon,0,IFERROR(IF(AND(INDEX(TblClusters[Cluster],$B262)&lt;&gt;"",ISNUMBER(INDEX(TblClusters[CPU initial (vCPU)],$B262)),ISNUMBER(INDEX(TblClusters[CPU min (vCPU)],$B262)),OR(INDEX(TblClusters[Plateforme],$B262)="IKS",INDEX(TblClusters[Plateforme],$B262)="ROKS")),1,0),0))</f>
        <v>1</v>
      </c>
      <c r="E262" s="72">
        <f t="shared" ref="E262:E325" si="70">IF($D262=1,EDATE(p_debut,$C262-1),"")</f>
        <v>46419</v>
      </c>
      <c r="F262" s="19" t="str">
        <f>IF($D262=1,INDEX(TblClusters[Cluster],$B262),"")</f>
        <v>oc002i001010</v>
      </c>
      <c r="G262" s="19" t="str">
        <f>IF($D262=1,INDEX(TblClusters[Plateforme],$B262),"")</f>
        <v>ROKS</v>
      </c>
      <c r="H262" s="19">
        <f>IF($D262=1,INDEX(TblClusters[vCPU par nœud],$B262),"")</f>
        <v>8</v>
      </c>
      <c r="I262" s="19">
        <f>IF($D262=1,INDEX(TblClusters[RAM par nœud (Go)],$B262),"")</f>
        <v>40</v>
      </c>
      <c r="J262" s="19">
        <f>IF($D262=1,INDEX(TblClusters[Workers min],$B262),"")</f>
        <v>6</v>
      </c>
      <c r="K262" s="73">
        <f>IF($D262=1,INDEX(TblClusters[Tarif par nœud],$B262),"")</f>
        <v>368</v>
      </c>
      <c r="L262" s="19">
        <f>IF($D262=1,INDEX(TblClusters[CPU initial (vCPU)],$B262),"")</f>
        <v>48</v>
      </c>
      <c r="M262" s="19">
        <f>IF($D262=1,INDEX(TblClusters[RAM initiale (Go)],$B262),"")</f>
        <v>240</v>
      </c>
      <c r="N262" s="19">
        <f>IF($D262=1,INDEX(TblClusters[CPU min (vCPU)],$B262),"")</f>
        <v>48</v>
      </c>
      <c r="O262" s="19">
        <f>IF($D262=1,INDEX(TblClusters[RAM min (Go)],$B262),"")</f>
        <v>240</v>
      </c>
      <c r="P262" s="19">
        <f>IF($D262&lt;&gt;1,"",IF($G262="ROKS",SUMIFS(TblApplications[Besoin ROKS CPU (vCPU)],TblApplications[Cluster ROKS cible],$F262,TblApplications[Action],"À migrer",TblApplications[Déjà incluse ROKS],"Non",TblApplications[Mois prov (calc)],"&lt;="&amp;$E262),SUMIFS(TblApplications[CPU IKS libérable (vCPU)],TblApplications[Cluster IKS source],$F262,TblApplications[Mois lib (calc)],"&lt;="&amp;$E262)))</f>
        <v>0</v>
      </c>
      <c r="Q262" s="19">
        <f>IF($D262&lt;&gt;1,"",IF($G262="ROKS",SUMIFS(TblApplications[Besoin ROKS RAM (Go)],TblApplications[Cluster ROKS cible],$F262,TblApplications[Action],"À migrer",TblApplications[Déjà incluse ROKS],"Non",TblApplications[Mois prov (calc)],"&lt;="&amp;$E262),SUMIFS(TblApplications[RAM IKS libérable (Go)],TblApplications[Cluster IKS source],$F262,TblApplications[Mois lib (calc)],"&lt;="&amp;$E262)))</f>
        <v>0</v>
      </c>
      <c r="R262" s="19">
        <f t="shared" ref="R262:R325" si="71">IF($D262&lt;&gt;1,"",IF($G262="ROKS",$L262+$P262,IF($AI262=1,0,MAX($N262,$L262-$P262))))</f>
        <v>48</v>
      </c>
      <c r="S262" s="19">
        <f t="shared" ref="S262:S325" si="72">IF($D262&lt;&gt;1,"",IF($G262="ROKS",$M262+$Q262,IF($AI262=1,0,MAX($O262,$M262-$Q262))))</f>
        <v>240</v>
      </c>
      <c r="T262" s="19">
        <f t="shared" ref="T262:T325" si="73">IF($D262&lt;&gt;1,"",IF($AI262=1,0,MAX($J262,ROUNDUP(MAX($R262/$H262,$S262/$I262),0))))</f>
        <v>6</v>
      </c>
      <c r="U262" s="19">
        <f t="shared" ref="U262:U325" si="74">IF($D262&lt;&gt;1,"",IF(p_mode="Nœud",$T262*$H262,$R262))</f>
        <v>48</v>
      </c>
      <c r="V262" s="19">
        <f t="shared" ref="V262:V325" si="75">IF($D262&lt;&gt;1,"",IF(p_mode="Nœud",$T262*$I262,$S262))</f>
        <v>240</v>
      </c>
      <c r="W262" s="73">
        <f t="shared" ref="W262:W325" si="76">IF($D262&lt;&gt;1,"",IF(p_mode="Nœud",$T262*$K262,$R262*IF($G262="IKS",p_iks_cpu,p_roks_cpu)+$S262*IF($G262="IKS",p_iks_ram,p_roks_ram))*p_facteur)</f>
        <v>2208</v>
      </c>
      <c r="X262" s="19">
        <f>IF($D262&lt;&gt;1,"",IF($G262="ROKS",$R262,IF($AI262=1,0,MAX($N262,$L262-SUMIFS(TblApplications[CPU IKS libérable (vCPU)],TblApplications[Cluster IKS source],$F262,TblApplications[Action],"À migrer",TblApplications[Mois prov (calc)],"&lt;="&amp;$E262)-SUMIFS(TblApplications[CPU IKS libérable (vCPU)],TblApplications[Cluster IKS source],$F262,TblApplications[Action],"À décommissionner",TblApplications[Mois lib (calc)],"&lt;="&amp;$E262)))))</f>
        <v>48</v>
      </c>
      <c r="Y262" s="19">
        <f>IF($D262&lt;&gt;1,"",IF($G262="ROKS",$S262,IF($AI262=1,0,MAX($O262,$M262-SUMIFS(TblApplications[RAM IKS libérable (Go)],TblApplications[Cluster IKS source],$F262,TblApplications[Action],"À migrer",TblApplications[Mois prov (calc)],"&lt;="&amp;$E262)-SUMIFS(TblApplications[RAM IKS libérable (Go)],TblApplications[Cluster IKS source],$F262,TblApplications[Action],"À décommissionner",TblApplications[Mois lib (calc)],"&lt;="&amp;$E262)))))</f>
        <v>240</v>
      </c>
      <c r="Z262" s="19">
        <f t="shared" ref="Z262:Z325" si="77">IF($D262&lt;&gt;1,"",IF($AI262=1,0,MAX($J262,ROUNDUP(MAX($X262/$H262,$Y262/$I262),0))))</f>
        <v>6</v>
      </c>
      <c r="AA262" s="73">
        <f t="shared" ref="AA262:AA325" si="78">IF($D262&lt;&gt;1,"",IF(p_mode="Nœud",$Z262*$K262,$X262*IF($G262="IKS",p_iks_cpu,p_roks_cpu)+$Y262*IF($G262="IKS",p_iks_ram,p_roks_ram))*p_facteur)</f>
        <v>2208</v>
      </c>
      <c r="AB262" s="19">
        <f t="shared" ref="AB262:AB325" si="79">IF($D262&lt;&gt;1,"",MAX($J262,ROUNDUP(MAX($L262/$H262,$M262/$I262),0)))</f>
        <v>6</v>
      </c>
      <c r="AC262" s="73">
        <f t="shared" ref="AC262:AC325" si="80">IF($D262&lt;&gt;1,"",IF(p_mode="Nœud",$AB262*$K262,$L262*IF($G262="IKS",p_iks_cpu,p_roks_cpu)+$M262*IF($G262="IKS",p_iks_ram,p_roks_ram))*p_facteur)</f>
        <v>2208</v>
      </c>
      <c r="AD262" s="19">
        <f t="shared" ref="AD262:AD325" si="81">IF($D262&lt;&gt;1,"",IF(AND($G262="IKS",$AI262&lt;&gt;1,OR($L262-$P262&lt;$N262,$M262-$Q262&lt;$O262)),1,0))</f>
        <v>0</v>
      </c>
      <c r="AE262" s="19">
        <f t="shared" ref="AE262:AE325" si="82">IF($D262&lt;&gt;1,"",IF(AND($G262="ROKS",$T262&gt;p_maxworkers),1,0))</f>
        <v>0</v>
      </c>
      <c r="AF262" s="19" t="str">
        <f>IF($D262&lt;&gt;1,"",IF(INDEX(TblClusters[Environnement],$B262)="","(vide)",INDEX(TblClusters[Environnement],$B262)))</f>
        <v>NPRD</v>
      </c>
      <c r="AG262" s="19">
        <f t="shared" ref="AG262:AG325" si="83">IF($D262&lt;&gt;1,"",$R262+p_poidsram*$S262)</f>
        <v>72</v>
      </c>
      <c r="AH262" s="19">
        <f t="shared" ref="AH262:AH325" si="84">IF($D262&lt;&gt;1,"",IFERROR($W262/$AG262,0))</f>
        <v>30.666666666666668</v>
      </c>
      <c r="AI262" s="19">
        <f>IF($D262&lt;&gt;1,"",IF(AND($G262="IKS",ISNUMBER(INDEX(TblClusters[Fermeture retenue],$B262))),IF($E262&gt;=INDEX(TblClusters[Fermeture retenue],$B262),1,0),0))</f>
        <v>0</v>
      </c>
    </row>
    <row r="263" spans="1:35" x14ac:dyDescent="0.2">
      <c r="A263" s="19">
        <v>258</v>
      </c>
      <c r="B263" s="19">
        <f t="shared" si="68"/>
        <v>8</v>
      </c>
      <c r="C263" s="19">
        <f t="shared" si="69"/>
        <v>6</v>
      </c>
      <c r="D263" s="19">
        <f>IF($C263&gt;p_horizon,0,IFERROR(IF(AND(INDEX(TblClusters[Cluster],$B263)&lt;&gt;"",ISNUMBER(INDEX(TblClusters[CPU initial (vCPU)],$B263)),ISNUMBER(INDEX(TblClusters[CPU min (vCPU)],$B263)),OR(INDEX(TblClusters[Plateforme],$B263)="IKS",INDEX(TblClusters[Plateforme],$B263)="ROKS")),1,0),0))</f>
        <v>1</v>
      </c>
      <c r="E263" s="72">
        <f t="shared" si="70"/>
        <v>46447</v>
      </c>
      <c r="F263" s="19" t="str">
        <f>IF($D263=1,INDEX(TblClusters[Cluster],$B263),"")</f>
        <v>oc002i001010</v>
      </c>
      <c r="G263" s="19" t="str">
        <f>IF($D263=1,INDEX(TblClusters[Plateforme],$B263),"")</f>
        <v>ROKS</v>
      </c>
      <c r="H263" s="19">
        <f>IF($D263=1,INDEX(TblClusters[vCPU par nœud],$B263),"")</f>
        <v>8</v>
      </c>
      <c r="I263" s="19">
        <f>IF($D263=1,INDEX(TblClusters[RAM par nœud (Go)],$B263),"")</f>
        <v>40</v>
      </c>
      <c r="J263" s="19">
        <f>IF($D263=1,INDEX(TblClusters[Workers min],$B263),"")</f>
        <v>6</v>
      </c>
      <c r="K263" s="73">
        <f>IF($D263=1,INDEX(TblClusters[Tarif par nœud],$B263),"")</f>
        <v>368</v>
      </c>
      <c r="L263" s="19">
        <f>IF($D263=1,INDEX(TblClusters[CPU initial (vCPU)],$B263),"")</f>
        <v>48</v>
      </c>
      <c r="M263" s="19">
        <f>IF($D263=1,INDEX(TblClusters[RAM initiale (Go)],$B263),"")</f>
        <v>240</v>
      </c>
      <c r="N263" s="19">
        <f>IF($D263=1,INDEX(TblClusters[CPU min (vCPU)],$B263),"")</f>
        <v>48</v>
      </c>
      <c r="O263" s="19">
        <f>IF($D263=1,INDEX(TblClusters[RAM min (Go)],$B263),"")</f>
        <v>240</v>
      </c>
      <c r="P263" s="19">
        <f>IF($D263&lt;&gt;1,"",IF($G263="ROKS",SUMIFS(TblApplications[Besoin ROKS CPU (vCPU)],TblApplications[Cluster ROKS cible],$F263,TblApplications[Action],"À migrer",TblApplications[Déjà incluse ROKS],"Non",TblApplications[Mois prov (calc)],"&lt;="&amp;$E263),SUMIFS(TblApplications[CPU IKS libérable (vCPU)],TblApplications[Cluster IKS source],$F263,TblApplications[Mois lib (calc)],"&lt;="&amp;$E263)))</f>
        <v>0</v>
      </c>
      <c r="Q263" s="19">
        <f>IF($D263&lt;&gt;1,"",IF($G263="ROKS",SUMIFS(TblApplications[Besoin ROKS RAM (Go)],TblApplications[Cluster ROKS cible],$F263,TblApplications[Action],"À migrer",TblApplications[Déjà incluse ROKS],"Non",TblApplications[Mois prov (calc)],"&lt;="&amp;$E263),SUMIFS(TblApplications[RAM IKS libérable (Go)],TblApplications[Cluster IKS source],$F263,TblApplications[Mois lib (calc)],"&lt;="&amp;$E263)))</f>
        <v>0</v>
      </c>
      <c r="R263" s="19">
        <f t="shared" si="71"/>
        <v>48</v>
      </c>
      <c r="S263" s="19">
        <f t="shared" si="72"/>
        <v>240</v>
      </c>
      <c r="T263" s="19">
        <f t="shared" si="73"/>
        <v>6</v>
      </c>
      <c r="U263" s="19">
        <f t="shared" si="74"/>
        <v>48</v>
      </c>
      <c r="V263" s="19">
        <f t="shared" si="75"/>
        <v>240</v>
      </c>
      <c r="W263" s="73">
        <f t="shared" si="76"/>
        <v>2208</v>
      </c>
      <c r="X263" s="19">
        <f>IF($D263&lt;&gt;1,"",IF($G263="ROKS",$R263,IF($AI263=1,0,MAX($N263,$L263-SUMIFS(TblApplications[CPU IKS libérable (vCPU)],TblApplications[Cluster IKS source],$F263,TblApplications[Action],"À migrer",TblApplications[Mois prov (calc)],"&lt;="&amp;$E263)-SUMIFS(TblApplications[CPU IKS libérable (vCPU)],TblApplications[Cluster IKS source],$F263,TblApplications[Action],"À décommissionner",TblApplications[Mois lib (calc)],"&lt;="&amp;$E263)))))</f>
        <v>48</v>
      </c>
      <c r="Y263" s="19">
        <f>IF($D263&lt;&gt;1,"",IF($G263="ROKS",$S263,IF($AI263=1,0,MAX($O263,$M263-SUMIFS(TblApplications[RAM IKS libérable (Go)],TblApplications[Cluster IKS source],$F263,TblApplications[Action],"À migrer",TblApplications[Mois prov (calc)],"&lt;="&amp;$E263)-SUMIFS(TblApplications[RAM IKS libérable (Go)],TblApplications[Cluster IKS source],$F263,TblApplications[Action],"À décommissionner",TblApplications[Mois lib (calc)],"&lt;="&amp;$E263)))))</f>
        <v>240</v>
      </c>
      <c r="Z263" s="19">
        <f t="shared" si="77"/>
        <v>6</v>
      </c>
      <c r="AA263" s="73">
        <f t="shared" si="78"/>
        <v>2208</v>
      </c>
      <c r="AB263" s="19">
        <f t="shared" si="79"/>
        <v>6</v>
      </c>
      <c r="AC263" s="73">
        <f t="shared" si="80"/>
        <v>2208</v>
      </c>
      <c r="AD263" s="19">
        <f t="shared" si="81"/>
        <v>0</v>
      </c>
      <c r="AE263" s="19">
        <f t="shared" si="82"/>
        <v>0</v>
      </c>
      <c r="AF263" s="19" t="str">
        <f>IF($D263&lt;&gt;1,"",IF(INDEX(TblClusters[Environnement],$B263)="","(vide)",INDEX(TblClusters[Environnement],$B263)))</f>
        <v>NPRD</v>
      </c>
      <c r="AG263" s="19">
        <f t="shared" si="83"/>
        <v>72</v>
      </c>
      <c r="AH263" s="19">
        <f t="shared" si="84"/>
        <v>30.666666666666668</v>
      </c>
      <c r="AI263" s="19">
        <f>IF($D263&lt;&gt;1,"",IF(AND($G263="IKS",ISNUMBER(INDEX(TblClusters[Fermeture retenue],$B263))),IF($E263&gt;=INDEX(TblClusters[Fermeture retenue],$B263),1,0),0))</f>
        <v>0</v>
      </c>
    </row>
    <row r="264" spans="1:35" x14ac:dyDescent="0.2">
      <c r="A264" s="19">
        <v>259</v>
      </c>
      <c r="B264" s="19">
        <f t="shared" si="68"/>
        <v>8</v>
      </c>
      <c r="C264" s="19">
        <f t="shared" si="69"/>
        <v>7</v>
      </c>
      <c r="D264" s="19">
        <f>IF($C264&gt;p_horizon,0,IFERROR(IF(AND(INDEX(TblClusters[Cluster],$B264)&lt;&gt;"",ISNUMBER(INDEX(TblClusters[CPU initial (vCPU)],$B264)),ISNUMBER(INDEX(TblClusters[CPU min (vCPU)],$B264)),OR(INDEX(TblClusters[Plateforme],$B264)="IKS",INDEX(TblClusters[Plateforme],$B264)="ROKS")),1,0),0))</f>
        <v>1</v>
      </c>
      <c r="E264" s="72">
        <f t="shared" si="70"/>
        <v>46478</v>
      </c>
      <c r="F264" s="19" t="str">
        <f>IF($D264=1,INDEX(TblClusters[Cluster],$B264),"")</f>
        <v>oc002i001010</v>
      </c>
      <c r="G264" s="19" t="str">
        <f>IF($D264=1,INDEX(TblClusters[Plateforme],$B264),"")</f>
        <v>ROKS</v>
      </c>
      <c r="H264" s="19">
        <f>IF($D264=1,INDEX(TblClusters[vCPU par nœud],$B264),"")</f>
        <v>8</v>
      </c>
      <c r="I264" s="19">
        <f>IF($D264=1,INDEX(TblClusters[RAM par nœud (Go)],$B264),"")</f>
        <v>40</v>
      </c>
      <c r="J264" s="19">
        <f>IF($D264=1,INDEX(TblClusters[Workers min],$B264),"")</f>
        <v>6</v>
      </c>
      <c r="K264" s="73">
        <f>IF($D264=1,INDEX(TblClusters[Tarif par nœud],$B264),"")</f>
        <v>368</v>
      </c>
      <c r="L264" s="19">
        <f>IF($D264=1,INDEX(TblClusters[CPU initial (vCPU)],$B264),"")</f>
        <v>48</v>
      </c>
      <c r="M264" s="19">
        <f>IF($D264=1,INDEX(TblClusters[RAM initiale (Go)],$B264),"")</f>
        <v>240</v>
      </c>
      <c r="N264" s="19">
        <f>IF($D264=1,INDEX(TblClusters[CPU min (vCPU)],$B264),"")</f>
        <v>48</v>
      </c>
      <c r="O264" s="19">
        <f>IF($D264=1,INDEX(TblClusters[RAM min (Go)],$B264),"")</f>
        <v>240</v>
      </c>
      <c r="P264" s="19">
        <f>IF($D264&lt;&gt;1,"",IF($G264="ROKS",SUMIFS(TblApplications[Besoin ROKS CPU (vCPU)],TblApplications[Cluster ROKS cible],$F264,TblApplications[Action],"À migrer",TblApplications[Déjà incluse ROKS],"Non",TblApplications[Mois prov (calc)],"&lt;="&amp;$E264),SUMIFS(TblApplications[CPU IKS libérable (vCPU)],TblApplications[Cluster IKS source],$F264,TblApplications[Mois lib (calc)],"&lt;="&amp;$E264)))</f>
        <v>0</v>
      </c>
      <c r="Q264" s="19">
        <f>IF($D264&lt;&gt;1,"",IF($G264="ROKS",SUMIFS(TblApplications[Besoin ROKS RAM (Go)],TblApplications[Cluster ROKS cible],$F264,TblApplications[Action],"À migrer",TblApplications[Déjà incluse ROKS],"Non",TblApplications[Mois prov (calc)],"&lt;="&amp;$E264),SUMIFS(TblApplications[RAM IKS libérable (Go)],TblApplications[Cluster IKS source],$F264,TblApplications[Mois lib (calc)],"&lt;="&amp;$E264)))</f>
        <v>0</v>
      </c>
      <c r="R264" s="19">
        <f t="shared" si="71"/>
        <v>48</v>
      </c>
      <c r="S264" s="19">
        <f t="shared" si="72"/>
        <v>240</v>
      </c>
      <c r="T264" s="19">
        <f t="shared" si="73"/>
        <v>6</v>
      </c>
      <c r="U264" s="19">
        <f t="shared" si="74"/>
        <v>48</v>
      </c>
      <c r="V264" s="19">
        <f t="shared" si="75"/>
        <v>240</v>
      </c>
      <c r="W264" s="73">
        <f t="shared" si="76"/>
        <v>2208</v>
      </c>
      <c r="X264" s="19">
        <f>IF($D264&lt;&gt;1,"",IF($G264="ROKS",$R264,IF($AI264=1,0,MAX($N264,$L264-SUMIFS(TblApplications[CPU IKS libérable (vCPU)],TblApplications[Cluster IKS source],$F264,TblApplications[Action],"À migrer",TblApplications[Mois prov (calc)],"&lt;="&amp;$E264)-SUMIFS(TblApplications[CPU IKS libérable (vCPU)],TblApplications[Cluster IKS source],$F264,TblApplications[Action],"À décommissionner",TblApplications[Mois lib (calc)],"&lt;="&amp;$E264)))))</f>
        <v>48</v>
      </c>
      <c r="Y264" s="19">
        <f>IF($D264&lt;&gt;1,"",IF($G264="ROKS",$S264,IF($AI264=1,0,MAX($O264,$M264-SUMIFS(TblApplications[RAM IKS libérable (Go)],TblApplications[Cluster IKS source],$F264,TblApplications[Action],"À migrer",TblApplications[Mois prov (calc)],"&lt;="&amp;$E264)-SUMIFS(TblApplications[RAM IKS libérable (Go)],TblApplications[Cluster IKS source],$F264,TblApplications[Action],"À décommissionner",TblApplications[Mois lib (calc)],"&lt;="&amp;$E264)))))</f>
        <v>240</v>
      </c>
      <c r="Z264" s="19">
        <f t="shared" si="77"/>
        <v>6</v>
      </c>
      <c r="AA264" s="73">
        <f t="shared" si="78"/>
        <v>2208</v>
      </c>
      <c r="AB264" s="19">
        <f t="shared" si="79"/>
        <v>6</v>
      </c>
      <c r="AC264" s="73">
        <f t="shared" si="80"/>
        <v>2208</v>
      </c>
      <c r="AD264" s="19">
        <f t="shared" si="81"/>
        <v>0</v>
      </c>
      <c r="AE264" s="19">
        <f t="shared" si="82"/>
        <v>0</v>
      </c>
      <c r="AF264" s="19" t="str">
        <f>IF($D264&lt;&gt;1,"",IF(INDEX(TblClusters[Environnement],$B264)="","(vide)",INDEX(TblClusters[Environnement],$B264)))</f>
        <v>NPRD</v>
      </c>
      <c r="AG264" s="19">
        <f t="shared" si="83"/>
        <v>72</v>
      </c>
      <c r="AH264" s="19">
        <f t="shared" si="84"/>
        <v>30.666666666666668</v>
      </c>
      <c r="AI264" s="19">
        <f>IF($D264&lt;&gt;1,"",IF(AND($G264="IKS",ISNUMBER(INDEX(TblClusters[Fermeture retenue],$B264))),IF($E264&gt;=INDEX(TblClusters[Fermeture retenue],$B264),1,0),0))</f>
        <v>0</v>
      </c>
    </row>
    <row r="265" spans="1:35" x14ac:dyDescent="0.2">
      <c r="A265" s="19">
        <v>260</v>
      </c>
      <c r="B265" s="19">
        <f t="shared" si="68"/>
        <v>8</v>
      </c>
      <c r="C265" s="19">
        <f t="shared" si="69"/>
        <v>8</v>
      </c>
      <c r="D265" s="19">
        <f>IF($C265&gt;p_horizon,0,IFERROR(IF(AND(INDEX(TblClusters[Cluster],$B265)&lt;&gt;"",ISNUMBER(INDEX(TblClusters[CPU initial (vCPU)],$B265)),ISNUMBER(INDEX(TblClusters[CPU min (vCPU)],$B265)),OR(INDEX(TblClusters[Plateforme],$B265)="IKS",INDEX(TblClusters[Plateforme],$B265)="ROKS")),1,0),0))</f>
        <v>1</v>
      </c>
      <c r="E265" s="72">
        <f t="shared" si="70"/>
        <v>46508</v>
      </c>
      <c r="F265" s="19" t="str">
        <f>IF($D265=1,INDEX(TblClusters[Cluster],$B265),"")</f>
        <v>oc002i001010</v>
      </c>
      <c r="G265" s="19" t="str">
        <f>IF($D265=1,INDEX(TblClusters[Plateforme],$B265),"")</f>
        <v>ROKS</v>
      </c>
      <c r="H265" s="19">
        <f>IF($D265=1,INDEX(TblClusters[vCPU par nœud],$B265),"")</f>
        <v>8</v>
      </c>
      <c r="I265" s="19">
        <f>IF($D265=1,INDEX(TblClusters[RAM par nœud (Go)],$B265),"")</f>
        <v>40</v>
      </c>
      <c r="J265" s="19">
        <f>IF($D265=1,INDEX(TblClusters[Workers min],$B265),"")</f>
        <v>6</v>
      </c>
      <c r="K265" s="73">
        <f>IF($D265=1,INDEX(TblClusters[Tarif par nœud],$B265),"")</f>
        <v>368</v>
      </c>
      <c r="L265" s="19">
        <f>IF($D265=1,INDEX(TblClusters[CPU initial (vCPU)],$B265),"")</f>
        <v>48</v>
      </c>
      <c r="M265" s="19">
        <f>IF($D265=1,INDEX(TblClusters[RAM initiale (Go)],$B265),"")</f>
        <v>240</v>
      </c>
      <c r="N265" s="19">
        <f>IF($D265=1,INDEX(TblClusters[CPU min (vCPU)],$B265),"")</f>
        <v>48</v>
      </c>
      <c r="O265" s="19">
        <f>IF($D265=1,INDEX(TblClusters[RAM min (Go)],$B265),"")</f>
        <v>240</v>
      </c>
      <c r="P265" s="19">
        <f>IF($D265&lt;&gt;1,"",IF($G265="ROKS",SUMIFS(TblApplications[Besoin ROKS CPU (vCPU)],TblApplications[Cluster ROKS cible],$F265,TblApplications[Action],"À migrer",TblApplications[Déjà incluse ROKS],"Non",TblApplications[Mois prov (calc)],"&lt;="&amp;$E265),SUMIFS(TblApplications[CPU IKS libérable (vCPU)],TblApplications[Cluster IKS source],$F265,TblApplications[Mois lib (calc)],"&lt;="&amp;$E265)))</f>
        <v>0</v>
      </c>
      <c r="Q265" s="19">
        <f>IF($D265&lt;&gt;1,"",IF($G265="ROKS",SUMIFS(TblApplications[Besoin ROKS RAM (Go)],TblApplications[Cluster ROKS cible],$F265,TblApplications[Action],"À migrer",TblApplications[Déjà incluse ROKS],"Non",TblApplications[Mois prov (calc)],"&lt;="&amp;$E265),SUMIFS(TblApplications[RAM IKS libérable (Go)],TblApplications[Cluster IKS source],$F265,TblApplications[Mois lib (calc)],"&lt;="&amp;$E265)))</f>
        <v>0</v>
      </c>
      <c r="R265" s="19">
        <f t="shared" si="71"/>
        <v>48</v>
      </c>
      <c r="S265" s="19">
        <f t="shared" si="72"/>
        <v>240</v>
      </c>
      <c r="T265" s="19">
        <f t="shared" si="73"/>
        <v>6</v>
      </c>
      <c r="U265" s="19">
        <f t="shared" si="74"/>
        <v>48</v>
      </c>
      <c r="V265" s="19">
        <f t="shared" si="75"/>
        <v>240</v>
      </c>
      <c r="W265" s="73">
        <f t="shared" si="76"/>
        <v>2208</v>
      </c>
      <c r="X265" s="19">
        <f>IF($D265&lt;&gt;1,"",IF($G265="ROKS",$R265,IF($AI265=1,0,MAX($N265,$L265-SUMIFS(TblApplications[CPU IKS libérable (vCPU)],TblApplications[Cluster IKS source],$F265,TblApplications[Action],"À migrer",TblApplications[Mois prov (calc)],"&lt;="&amp;$E265)-SUMIFS(TblApplications[CPU IKS libérable (vCPU)],TblApplications[Cluster IKS source],$F265,TblApplications[Action],"À décommissionner",TblApplications[Mois lib (calc)],"&lt;="&amp;$E265)))))</f>
        <v>48</v>
      </c>
      <c r="Y265" s="19">
        <f>IF($D265&lt;&gt;1,"",IF($G265="ROKS",$S265,IF($AI265=1,0,MAX($O265,$M265-SUMIFS(TblApplications[RAM IKS libérable (Go)],TblApplications[Cluster IKS source],$F265,TblApplications[Action],"À migrer",TblApplications[Mois prov (calc)],"&lt;="&amp;$E265)-SUMIFS(TblApplications[RAM IKS libérable (Go)],TblApplications[Cluster IKS source],$F265,TblApplications[Action],"À décommissionner",TblApplications[Mois lib (calc)],"&lt;="&amp;$E265)))))</f>
        <v>240</v>
      </c>
      <c r="Z265" s="19">
        <f t="shared" si="77"/>
        <v>6</v>
      </c>
      <c r="AA265" s="73">
        <f t="shared" si="78"/>
        <v>2208</v>
      </c>
      <c r="AB265" s="19">
        <f t="shared" si="79"/>
        <v>6</v>
      </c>
      <c r="AC265" s="73">
        <f t="shared" si="80"/>
        <v>2208</v>
      </c>
      <c r="AD265" s="19">
        <f t="shared" si="81"/>
        <v>0</v>
      </c>
      <c r="AE265" s="19">
        <f t="shared" si="82"/>
        <v>0</v>
      </c>
      <c r="AF265" s="19" t="str">
        <f>IF($D265&lt;&gt;1,"",IF(INDEX(TblClusters[Environnement],$B265)="","(vide)",INDEX(TblClusters[Environnement],$B265)))</f>
        <v>NPRD</v>
      </c>
      <c r="AG265" s="19">
        <f t="shared" si="83"/>
        <v>72</v>
      </c>
      <c r="AH265" s="19">
        <f t="shared" si="84"/>
        <v>30.666666666666668</v>
      </c>
      <c r="AI265" s="19">
        <f>IF($D265&lt;&gt;1,"",IF(AND($G265="IKS",ISNUMBER(INDEX(TblClusters[Fermeture retenue],$B265))),IF($E265&gt;=INDEX(TblClusters[Fermeture retenue],$B265),1,0),0))</f>
        <v>0</v>
      </c>
    </row>
    <row r="266" spans="1:35" x14ac:dyDescent="0.2">
      <c r="A266" s="19">
        <v>261</v>
      </c>
      <c r="B266" s="19">
        <f t="shared" si="68"/>
        <v>8</v>
      </c>
      <c r="C266" s="19">
        <f t="shared" si="69"/>
        <v>9</v>
      </c>
      <c r="D266" s="19">
        <f>IF($C266&gt;p_horizon,0,IFERROR(IF(AND(INDEX(TblClusters[Cluster],$B266)&lt;&gt;"",ISNUMBER(INDEX(TblClusters[CPU initial (vCPU)],$B266)),ISNUMBER(INDEX(TblClusters[CPU min (vCPU)],$B266)),OR(INDEX(TblClusters[Plateforme],$B266)="IKS",INDEX(TblClusters[Plateforme],$B266)="ROKS")),1,0),0))</f>
        <v>1</v>
      </c>
      <c r="E266" s="72">
        <f t="shared" si="70"/>
        <v>46539</v>
      </c>
      <c r="F266" s="19" t="str">
        <f>IF($D266=1,INDEX(TblClusters[Cluster],$B266),"")</f>
        <v>oc002i001010</v>
      </c>
      <c r="G266" s="19" t="str">
        <f>IF($D266=1,INDEX(TblClusters[Plateforme],$B266),"")</f>
        <v>ROKS</v>
      </c>
      <c r="H266" s="19">
        <f>IF($D266=1,INDEX(TblClusters[vCPU par nœud],$B266),"")</f>
        <v>8</v>
      </c>
      <c r="I266" s="19">
        <f>IF($D266=1,INDEX(TblClusters[RAM par nœud (Go)],$B266),"")</f>
        <v>40</v>
      </c>
      <c r="J266" s="19">
        <f>IF($D266=1,INDEX(TblClusters[Workers min],$B266),"")</f>
        <v>6</v>
      </c>
      <c r="K266" s="73">
        <f>IF($D266=1,INDEX(TblClusters[Tarif par nœud],$B266),"")</f>
        <v>368</v>
      </c>
      <c r="L266" s="19">
        <f>IF($D266=1,INDEX(TblClusters[CPU initial (vCPU)],$B266),"")</f>
        <v>48</v>
      </c>
      <c r="M266" s="19">
        <f>IF($D266=1,INDEX(TblClusters[RAM initiale (Go)],$B266),"")</f>
        <v>240</v>
      </c>
      <c r="N266" s="19">
        <f>IF($D266=1,INDEX(TblClusters[CPU min (vCPU)],$B266),"")</f>
        <v>48</v>
      </c>
      <c r="O266" s="19">
        <f>IF($D266=1,INDEX(TblClusters[RAM min (Go)],$B266),"")</f>
        <v>240</v>
      </c>
      <c r="P266" s="19">
        <f>IF($D266&lt;&gt;1,"",IF($G266="ROKS",SUMIFS(TblApplications[Besoin ROKS CPU (vCPU)],TblApplications[Cluster ROKS cible],$F266,TblApplications[Action],"À migrer",TblApplications[Déjà incluse ROKS],"Non",TblApplications[Mois prov (calc)],"&lt;="&amp;$E266),SUMIFS(TblApplications[CPU IKS libérable (vCPU)],TblApplications[Cluster IKS source],$F266,TblApplications[Mois lib (calc)],"&lt;="&amp;$E266)))</f>
        <v>0</v>
      </c>
      <c r="Q266" s="19">
        <f>IF($D266&lt;&gt;1,"",IF($G266="ROKS",SUMIFS(TblApplications[Besoin ROKS RAM (Go)],TblApplications[Cluster ROKS cible],$F266,TblApplications[Action],"À migrer",TblApplications[Déjà incluse ROKS],"Non",TblApplications[Mois prov (calc)],"&lt;="&amp;$E266),SUMIFS(TblApplications[RAM IKS libérable (Go)],TblApplications[Cluster IKS source],$F266,TblApplications[Mois lib (calc)],"&lt;="&amp;$E266)))</f>
        <v>0</v>
      </c>
      <c r="R266" s="19">
        <f t="shared" si="71"/>
        <v>48</v>
      </c>
      <c r="S266" s="19">
        <f t="shared" si="72"/>
        <v>240</v>
      </c>
      <c r="T266" s="19">
        <f t="shared" si="73"/>
        <v>6</v>
      </c>
      <c r="U266" s="19">
        <f t="shared" si="74"/>
        <v>48</v>
      </c>
      <c r="V266" s="19">
        <f t="shared" si="75"/>
        <v>240</v>
      </c>
      <c r="W266" s="73">
        <f t="shared" si="76"/>
        <v>2208</v>
      </c>
      <c r="X266" s="19">
        <f>IF($D266&lt;&gt;1,"",IF($G266="ROKS",$R266,IF($AI266=1,0,MAX($N266,$L266-SUMIFS(TblApplications[CPU IKS libérable (vCPU)],TblApplications[Cluster IKS source],$F266,TblApplications[Action],"À migrer",TblApplications[Mois prov (calc)],"&lt;="&amp;$E266)-SUMIFS(TblApplications[CPU IKS libérable (vCPU)],TblApplications[Cluster IKS source],$F266,TblApplications[Action],"À décommissionner",TblApplications[Mois lib (calc)],"&lt;="&amp;$E266)))))</f>
        <v>48</v>
      </c>
      <c r="Y266" s="19">
        <f>IF($D266&lt;&gt;1,"",IF($G266="ROKS",$S266,IF($AI266=1,0,MAX($O266,$M266-SUMIFS(TblApplications[RAM IKS libérable (Go)],TblApplications[Cluster IKS source],$F266,TblApplications[Action],"À migrer",TblApplications[Mois prov (calc)],"&lt;="&amp;$E266)-SUMIFS(TblApplications[RAM IKS libérable (Go)],TblApplications[Cluster IKS source],$F266,TblApplications[Action],"À décommissionner",TblApplications[Mois lib (calc)],"&lt;="&amp;$E266)))))</f>
        <v>240</v>
      </c>
      <c r="Z266" s="19">
        <f t="shared" si="77"/>
        <v>6</v>
      </c>
      <c r="AA266" s="73">
        <f t="shared" si="78"/>
        <v>2208</v>
      </c>
      <c r="AB266" s="19">
        <f t="shared" si="79"/>
        <v>6</v>
      </c>
      <c r="AC266" s="73">
        <f t="shared" si="80"/>
        <v>2208</v>
      </c>
      <c r="AD266" s="19">
        <f t="shared" si="81"/>
        <v>0</v>
      </c>
      <c r="AE266" s="19">
        <f t="shared" si="82"/>
        <v>0</v>
      </c>
      <c r="AF266" s="19" t="str">
        <f>IF($D266&lt;&gt;1,"",IF(INDEX(TblClusters[Environnement],$B266)="","(vide)",INDEX(TblClusters[Environnement],$B266)))</f>
        <v>NPRD</v>
      </c>
      <c r="AG266" s="19">
        <f t="shared" si="83"/>
        <v>72</v>
      </c>
      <c r="AH266" s="19">
        <f t="shared" si="84"/>
        <v>30.666666666666668</v>
      </c>
      <c r="AI266" s="19">
        <f>IF($D266&lt;&gt;1,"",IF(AND($G266="IKS",ISNUMBER(INDEX(TblClusters[Fermeture retenue],$B266))),IF($E266&gt;=INDEX(TblClusters[Fermeture retenue],$B266),1,0),0))</f>
        <v>0</v>
      </c>
    </row>
    <row r="267" spans="1:35" x14ac:dyDescent="0.2">
      <c r="A267" s="19">
        <v>262</v>
      </c>
      <c r="B267" s="19">
        <f t="shared" si="68"/>
        <v>8</v>
      </c>
      <c r="C267" s="19">
        <f t="shared" si="69"/>
        <v>10</v>
      </c>
      <c r="D267" s="19">
        <f>IF($C267&gt;p_horizon,0,IFERROR(IF(AND(INDEX(TblClusters[Cluster],$B267)&lt;&gt;"",ISNUMBER(INDEX(TblClusters[CPU initial (vCPU)],$B267)),ISNUMBER(INDEX(TblClusters[CPU min (vCPU)],$B267)),OR(INDEX(TblClusters[Plateforme],$B267)="IKS",INDEX(TblClusters[Plateforme],$B267)="ROKS")),1,0),0))</f>
        <v>1</v>
      </c>
      <c r="E267" s="72">
        <f t="shared" si="70"/>
        <v>46569</v>
      </c>
      <c r="F267" s="19" t="str">
        <f>IF($D267=1,INDEX(TblClusters[Cluster],$B267),"")</f>
        <v>oc002i001010</v>
      </c>
      <c r="G267" s="19" t="str">
        <f>IF($D267=1,INDEX(TblClusters[Plateforme],$B267),"")</f>
        <v>ROKS</v>
      </c>
      <c r="H267" s="19">
        <f>IF($D267=1,INDEX(TblClusters[vCPU par nœud],$B267),"")</f>
        <v>8</v>
      </c>
      <c r="I267" s="19">
        <f>IF($D267=1,INDEX(TblClusters[RAM par nœud (Go)],$B267),"")</f>
        <v>40</v>
      </c>
      <c r="J267" s="19">
        <f>IF($D267=1,INDEX(TblClusters[Workers min],$B267),"")</f>
        <v>6</v>
      </c>
      <c r="K267" s="73">
        <f>IF($D267=1,INDEX(TblClusters[Tarif par nœud],$B267),"")</f>
        <v>368</v>
      </c>
      <c r="L267" s="19">
        <f>IF($D267=1,INDEX(TblClusters[CPU initial (vCPU)],$B267),"")</f>
        <v>48</v>
      </c>
      <c r="M267" s="19">
        <f>IF($D267=1,INDEX(TblClusters[RAM initiale (Go)],$B267),"")</f>
        <v>240</v>
      </c>
      <c r="N267" s="19">
        <f>IF($D267=1,INDEX(TblClusters[CPU min (vCPU)],$B267),"")</f>
        <v>48</v>
      </c>
      <c r="O267" s="19">
        <f>IF($D267=1,INDEX(TblClusters[RAM min (Go)],$B267),"")</f>
        <v>240</v>
      </c>
      <c r="P267" s="19">
        <f>IF($D267&lt;&gt;1,"",IF($G267="ROKS",SUMIFS(TblApplications[Besoin ROKS CPU (vCPU)],TblApplications[Cluster ROKS cible],$F267,TblApplications[Action],"À migrer",TblApplications[Déjà incluse ROKS],"Non",TblApplications[Mois prov (calc)],"&lt;="&amp;$E267),SUMIFS(TblApplications[CPU IKS libérable (vCPU)],TblApplications[Cluster IKS source],$F267,TblApplications[Mois lib (calc)],"&lt;="&amp;$E267)))</f>
        <v>0</v>
      </c>
      <c r="Q267" s="19">
        <f>IF($D267&lt;&gt;1,"",IF($G267="ROKS",SUMIFS(TblApplications[Besoin ROKS RAM (Go)],TblApplications[Cluster ROKS cible],$F267,TblApplications[Action],"À migrer",TblApplications[Déjà incluse ROKS],"Non",TblApplications[Mois prov (calc)],"&lt;="&amp;$E267),SUMIFS(TblApplications[RAM IKS libérable (Go)],TblApplications[Cluster IKS source],$F267,TblApplications[Mois lib (calc)],"&lt;="&amp;$E267)))</f>
        <v>0</v>
      </c>
      <c r="R267" s="19">
        <f t="shared" si="71"/>
        <v>48</v>
      </c>
      <c r="S267" s="19">
        <f t="shared" si="72"/>
        <v>240</v>
      </c>
      <c r="T267" s="19">
        <f t="shared" si="73"/>
        <v>6</v>
      </c>
      <c r="U267" s="19">
        <f t="shared" si="74"/>
        <v>48</v>
      </c>
      <c r="V267" s="19">
        <f t="shared" si="75"/>
        <v>240</v>
      </c>
      <c r="W267" s="73">
        <f t="shared" si="76"/>
        <v>2208</v>
      </c>
      <c r="X267" s="19">
        <f>IF($D267&lt;&gt;1,"",IF($G267="ROKS",$R267,IF($AI267=1,0,MAX($N267,$L267-SUMIFS(TblApplications[CPU IKS libérable (vCPU)],TblApplications[Cluster IKS source],$F267,TblApplications[Action],"À migrer",TblApplications[Mois prov (calc)],"&lt;="&amp;$E267)-SUMIFS(TblApplications[CPU IKS libérable (vCPU)],TblApplications[Cluster IKS source],$F267,TblApplications[Action],"À décommissionner",TblApplications[Mois lib (calc)],"&lt;="&amp;$E267)))))</f>
        <v>48</v>
      </c>
      <c r="Y267" s="19">
        <f>IF($D267&lt;&gt;1,"",IF($G267="ROKS",$S267,IF($AI267=1,0,MAX($O267,$M267-SUMIFS(TblApplications[RAM IKS libérable (Go)],TblApplications[Cluster IKS source],$F267,TblApplications[Action],"À migrer",TblApplications[Mois prov (calc)],"&lt;="&amp;$E267)-SUMIFS(TblApplications[RAM IKS libérable (Go)],TblApplications[Cluster IKS source],$F267,TblApplications[Action],"À décommissionner",TblApplications[Mois lib (calc)],"&lt;="&amp;$E267)))))</f>
        <v>240</v>
      </c>
      <c r="Z267" s="19">
        <f t="shared" si="77"/>
        <v>6</v>
      </c>
      <c r="AA267" s="73">
        <f t="shared" si="78"/>
        <v>2208</v>
      </c>
      <c r="AB267" s="19">
        <f t="shared" si="79"/>
        <v>6</v>
      </c>
      <c r="AC267" s="73">
        <f t="shared" si="80"/>
        <v>2208</v>
      </c>
      <c r="AD267" s="19">
        <f t="shared" si="81"/>
        <v>0</v>
      </c>
      <c r="AE267" s="19">
        <f t="shared" si="82"/>
        <v>0</v>
      </c>
      <c r="AF267" s="19" t="str">
        <f>IF($D267&lt;&gt;1,"",IF(INDEX(TblClusters[Environnement],$B267)="","(vide)",INDEX(TblClusters[Environnement],$B267)))</f>
        <v>NPRD</v>
      </c>
      <c r="AG267" s="19">
        <f t="shared" si="83"/>
        <v>72</v>
      </c>
      <c r="AH267" s="19">
        <f t="shared" si="84"/>
        <v>30.666666666666668</v>
      </c>
      <c r="AI267" s="19">
        <f>IF($D267&lt;&gt;1,"",IF(AND($G267="IKS",ISNUMBER(INDEX(TblClusters[Fermeture retenue],$B267))),IF($E267&gt;=INDEX(TblClusters[Fermeture retenue],$B267),1,0),0))</f>
        <v>0</v>
      </c>
    </row>
    <row r="268" spans="1:35" x14ac:dyDescent="0.2">
      <c r="A268" s="19">
        <v>263</v>
      </c>
      <c r="B268" s="19">
        <f t="shared" si="68"/>
        <v>8</v>
      </c>
      <c r="C268" s="19">
        <f t="shared" si="69"/>
        <v>11</v>
      </c>
      <c r="D268" s="19">
        <f>IF($C268&gt;p_horizon,0,IFERROR(IF(AND(INDEX(TblClusters[Cluster],$B268)&lt;&gt;"",ISNUMBER(INDEX(TblClusters[CPU initial (vCPU)],$B268)),ISNUMBER(INDEX(TblClusters[CPU min (vCPU)],$B268)),OR(INDEX(TblClusters[Plateforme],$B268)="IKS",INDEX(TblClusters[Plateforme],$B268)="ROKS")),1,0),0))</f>
        <v>1</v>
      </c>
      <c r="E268" s="72">
        <f t="shared" si="70"/>
        <v>46600</v>
      </c>
      <c r="F268" s="19" t="str">
        <f>IF($D268=1,INDEX(TblClusters[Cluster],$B268),"")</f>
        <v>oc002i001010</v>
      </c>
      <c r="G268" s="19" t="str">
        <f>IF($D268=1,INDEX(TblClusters[Plateforme],$B268),"")</f>
        <v>ROKS</v>
      </c>
      <c r="H268" s="19">
        <f>IF($D268=1,INDEX(TblClusters[vCPU par nœud],$B268),"")</f>
        <v>8</v>
      </c>
      <c r="I268" s="19">
        <f>IF($D268=1,INDEX(TblClusters[RAM par nœud (Go)],$B268),"")</f>
        <v>40</v>
      </c>
      <c r="J268" s="19">
        <f>IF($D268=1,INDEX(TblClusters[Workers min],$B268),"")</f>
        <v>6</v>
      </c>
      <c r="K268" s="73">
        <f>IF($D268=1,INDEX(TblClusters[Tarif par nœud],$B268),"")</f>
        <v>368</v>
      </c>
      <c r="L268" s="19">
        <f>IF($D268=1,INDEX(TblClusters[CPU initial (vCPU)],$B268),"")</f>
        <v>48</v>
      </c>
      <c r="M268" s="19">
        <f>IF($D268=1,INDEX(TblClusters[RAM initiale (Go)],$B268),"")</f>
        <v>240</v>
      </c>
      <c r="N268" s="19">
        <f>IF($D268=1,INDEX(TblClusters[CPU min (vCPU)],$B268),"")</f>
        <v>48</v>
      </c>
      <c r="O268" s="19">
        <f>IF($D268=1,INDEX(TblClusters[RAM min (Go)],$B268),"")</f>
        <v>240</v>
      </c>
      <c r="P268" s="19">
        <f>IF($D268&lt;&gt;1,"",IF($G268="ROKS",SUMIFS(TblApplications[Besoin ROKS CPU (vCPU)],TblApplications[Cluster ROKS cible],$F268,TblApplications[Action],"À migrer",TblApplications[Déjà incluse ROKS],"Non",TblApplications[Mois prov (calc)],"&lt;="&amp;$E268),SUMIFS(TblApplications[CPU IKS libérable (vCPU)],TblApplications[Cluster IKS source],$F268,TblApplications[Mois lib (calc)],"&lt;="&amp;$E268)))</f>
        <v>0</v>
      </c>
      <c r="Q268" s="19">
        <f>IF($D268&lt;&gt;1,"",IF($G268="ROKS",SUMIFS(TblApplications[Besoin ROKS RAM (Go)],TblApplications[Cluster ROKS cible],$F268,TblApplications[Action],"À migrer",TblApplications[Déjà incluse ROKS],"Non",TblApplications[Mois prov (calc)],"&lt;="&amp;$E268),SUMIFS(TblApplications[RAM IKS libérable (Go)],TblApplications[Cluster IKS source],$F268,TblApplications[Mois lib (calc)],"&lt;="&amp;$E268)))</f>
        <v>0</v>
      </c>
      <c r="R268" s="19">
        <f t="shared" si="71"/>
        <v>48</v>
      </c>
      <c r="S268" s="19">
        <f t="shared" si="72"/>
        <v>240</v>
      </c>
      <c r="T268" s="19">
        <f t="shared" si="73"/>
        <v>6</v>
      </c>
      <c r="U268" s="19">
        <f t="shared" si="74"/>
        <v>48</v>
      </c>
      <c r="V268" s="19">
        <f t="shared" si="75"/>
        <v>240</v>
      </c>
      <c r="W268" s="73">
        <f t="shared" si="76"/>
        <v>2208</v>
      </c>
      <c r="X268" s="19">
        <f>IF($D268&lt;&gt;1,"",IF($G268="ROKS",$R268,IF($AI268=1,0,MAX($N268,$L268-SUMIFS(TblApplications[CPU IKS libérable (vCPU)],TblApplications[Cluster IKS source],$F268,TblApplications[Action],"À migrer",TblApplications[Mois prov (calc)],"&lt;="&amp;$E268)-SUMIFS(TblApplications[CPU IKS libérable (vCPU)],TblApplications[Cluster IKS source],$F268,TblApplications[Action],"À décommissionner",TblApplications[Mois lib (calc)],"&lt;="&amp;$E268)))))</f>
        <v>48</v>
      </c>
      <c r="Y268" s="19">
        <f>IF($D268&lt;&gt;1,"",IF($G268="ROKS",$S268,IF($AI268=1,0,MAX($O268,$M268-SUMIFS(TblApplications[RAM IKS libérable (Go)],TblApplications[Cluster IKS source],$F268,TblApplications[Action],"À migrer",TblApplications[Mois prov (calc)],"&lt;="&amp;$E268)-SUMIFS(TblApplications[RAM IKS libérable (Go)],TblApplications[Cluster IKS source],$F268,TblApplications[Action],"À décommissionner",TblApplications[Mois lib (calc)],"&lt;="&amp;$E268)))))</f>
        <v>240</v>
      </c>
      <c r="Z268" s="19">
        <f t="shared" si="77"/>
        <v>6</v>
      </c>
      <c r="AA268" s="73">
        <f t="shared" si="78"/>
        <v>2208</v>
      </c>
      <c r="AB268" s="19">
        <f t="shared" si="79"/>
        <v>6</v>
      </c>
      <c r="AC268" s="73">
        <f t="shared" si="80"/>
        <v>2208</v>
      </c>
      <c r="AD268" s="19">
        <f t="shared" si="81"/>
        <v>0</v>
      </c>
      <c r="AE268" s="19">
        <f t="shared" si="82"/>
        <v>0</v>
      </c>
      <c r="AF268" s="19" t="str">
        <f>IF($D268&lt;&gt;1,"",IF(INDEX(TblClusters[Environnement],$B268)="","(vide)",INDEX(TblClusters[Environnement],$B268)))</f>
        <v>NPRD</v>
      </c>
      <c r="AG268" s="19">
        <f t="shared" si="83"/>
        <v>72</v>
      </c>
      <c r="AH268" s="19">
        <f t="shared" si="84"/>
        <v>30.666666666666668</v>
      </c>
      <c r="AI268" s="19">
        <f>IF($D268&lt;&gt;1,"",IF(AND($G268="IKS",ISNUMBER(INDEX(TblClusters[Fermeture retenue],$B268))),IF($E268&gt;=INDEX(TblClusters[Fermeture retenue],$B268),1,0),0))</f>
        <v>0</v>
      </c>
    </row>
    <row r="269" spans="1:35" x14ac:dyDescent="0.2">
      <c r="A269" s="19">
        <v>264</v>
      </c>
      <c r="B269" s="19">
        <f t="shared" si="68"/>
        <v>8</v>
      </c>
      <c r="C269" s="19">
        <f t="shared" si="69"/>
        <v>12</v>
      </c>
      <c r="D269" s="19">
        <f>IF($C269&gt;p_horizon,0,IFERROR(IF(AND(INDEX(TblClusters[Cluster],$B269)&lt;&gt;"",ISNUMBER(INDEX(TblClusters[CPU initial (vCPU)],$B269)),ISNUMBER(INDEX(TblClusters[CPU min (vCPU)],$B269)),OR(INDEX(TblClusters[Plateforme],$B269)="IKS",INDEX(TblClusters[Plateforme],$B269)="ROKS")),1,0),0))</f>
        <v>1</v>
      </c>
      <c r="E269" s="72">
        <f t="shared" si="70"/>
        <v>46631</v>
      </c>
      <c r="F269" s="19" t="str">
        <f>IF($D269=1,INDEX(TblClusters[Cluster],$B269),"")</f>
        <v>oc002i001010</v>
      </c>
      <c r="G269" s="19" t="str">
        <f>IF($D269=1,INDEX(TblClusters[Plateforme],$B269),"")</f>
        <v>ROKS</v>
      </c>
      <c r="H269" s="19">
        <f>IF($D269=1,INDEX(TblClusters[vCPU par nœud],$B269),"")</f>
        <v>8</v>
      </c>
      <c r="I269" s="19">
        <f>IF($D269=1,INDEX(TblClusters[RAM par nœud (Go)],$B269),"")</f>
        <v>40</v>
      </c>
      <c r="J269" s="19">
        <f>IF($D269=1,INDEX(TblClusters[Workers min],$B269),"")</f>
        <v>6</v>
      </c>
      <c r="K269" s="73">
        <f>IF($D269=1,INDEX(TblClusters[Tarif par nœud],$B269),"")</f>
        <v>368</v>
      </c>
      <c r="L269" s="19">
        <f>IF($D269=1,INDEX(TblClusters[CPU initial (vCPU)],$B269),"")</f>
        <v>48</v>
      </c>
      <c r="M269" s="19">
        <f>IF($D269=1,INDEX(TblClusters[RAM initiale (Go)],$B269),"")</f>
        <v>240</v>
      </c>
      <c r="N269" s="19">
        <f>IF($D269=1,INDEX(TblClusters[CPU min (vCPU)],$B269),"")</f>
        <v>48</v>
      </c>
      <c r="O269" s="19">
        <f>IF($D269=1,INDEX(TblClusters[RAM min (Go)],$B269),"")</f>
        <v>240</v>
      </c>
      <c r="P269" s="19">
        <f>IF($D269&lt;&gt;1,"",IF($G269="ROKS",SUMIFS(TblApplications[Besoin ROKS CPU (vCPU)],TblApplications[Cluster ROKS cible],$F269,TblApplications[Action],"À migrer",TblApplications[Déjà incluse ROKS],"Non",TblApplications[Mois prov (calc)],"&lt;="&amp;$E269),SUMIFS(TblApplications[CPU IKS libérable (vCPU)],TblApplications[Cluster IKS source],$F269,TblApplications[Mois lib (calc)],"&lt;="&amp;$E269)))</f>
        <v>0</v>
      </c>
      <c r="Q269" s="19">
        <f>IF($D269&lt;&gt;1,"",IF($G269="ROKS",SUMIFS(TblApplications[Besoin ROKS RAM (Go)],TblApplications[Cluster ROKS cible],$F269,TblApplications[Action],"À migrer",TblApplications[Déjà incluse ROKS],"Non",TblApplications[Mois prov (calc)],"&lt;="&amp;$E269),SUMIFS(TblApplications[RAM IKS libérable (Go)],TblApplications[Cluster IKS source],$F269,TblApplications[Mois lib (calc)],"&lt;="&amp;$E269)))</f>
        <v>0</v>
      </c>
      <c r="R269" s="19">
        <f t="shared" si="71"/>
        <v>48</v>
      </c>
      <c r="S269" s="19">
        <f t="shared" si="72"/>
        <v>240</v>
      </c>
      <c r="T269" s="19">
        <f t="shared" si="73"/>
        <v>6</v>
      </c>
      <c r="U269" s="19">
        <f t="shared" si="74"/>
        <v>48</v>
      </c>
      <c r="V269" s="19">
        <f t="shared" si="75"/>
        <v>240</v>
      </c>
      <c r="W269" s="73">
        <f t="shared" si="76"/>
        <v>2208</v>
      </c>
      <c r="X269" s="19">
        <f>IF($D269&lt;&gt;1,"",IF($G269="ROKS",$R269,IF($AI269=1,0,MAX($N269,$L269-SUMIFS(TblApplications[CPU IKS libérable (vCPU)],TblApplications[Cluster IKS source],$F269,TblApplications[Action],"À migrer",TblApplications[Mois prov (calc)],"&lt;="&amp;$E269)-SUMIFS(TblApplications[CPU IKS libérable (vCPU)],TblApplications[Cluster IKS source],$F269,TblApplications[Action],"À décommissionner",TblApplications[Mois lib (calc)],"&lt;="&amp;$E269)))))</f>
        <v>48</v>
      </c>
      <c r="Y269" s="19">
        <f>IF($D269&lt;&gt;1,"",IF($G269="ROKS",$S269,IF($AI269=1,0,MAX($O269,$M269-SUMIFS(TblApplications[RAM IKS libérable (Go)],TblApplications[Cluster IKS source],$F269,TblApplications[Action],"À migrer",TblApplications[Mois prov (calc)],"&lt;="&amp;$E269)-SUMIFS(TblApplications[RAM IKS libérable (Go)],TblApplications[Cluster IKS source],$F269,TblApplications[Action],"À décommissionner",TblApplications[Mois lib (calc)],"&lt;="&amp;$E269)))))</f>
        <v>240</v>
      </c>
      <c r="Z269" s="19">
        <f t="shared" si="77"/>
        <v>6</v>
      </c>
      <c r="AA269" s="73">
        <f t="shared" si="78"/>
        <v>2208</v>
      </c>
      <c r="AB269" s="19">
        <f t="shared" si="79"/>
        <v>6</v>
      </c>
      <c r="AC269" s="73">
        <f t="shared" si="80"/>
        <v>2208</v>
      </c>
      <c r="AD269" s="19">
        <f t="shared" si="81"/>
        <v>0</v>
      </c>
      <c r="AE269" s="19">
        <f t="shared" si="82"/>
        <v>0</v>
      </c>
      <c r="AF269" s="19" t="str">
        <f>IF($D269&lt;&gt;1,"",IF(INDEX(TblClusters[Environnement],$B269)="","(vide)",INDEX(TblClusters[Environnement],$B269)))</f>
        <v>NPRD</v>
      </c>
      <c r="AG269" s="19">
        <f t="shared" si="83"/>
        <v>72</v>
      </c>
      <c r="AH269" s="19">
        <f t="shared" si="84"/>
        <v>30.666666666666668</v>
      </c>
      <c r="AI269" s="19">
        <f>IF($D269&lt;&gt;1,"",IF(AND($G269="IKS",ISNUMBER(INDEX(TblClusters[Fermeture retenue],$B269))),IF($E269&gt;=INDEX(TblClusters[Fermeture retenue],$B269),1,0),0))</f>
        <v>0</v>
      </c>
    </row>
    <row r="270" spans="1:35" x14ac:dyDescent="0.2">
      <c r="A270" s="19">
        <v>265</v>
      </c>
      <c r="B270" s="19">
        <f t="shared" si="68"/>
        <v>8</v>
      </c>
      <c r="C270" s="19">
        <f t="shared" si="69"/>
        <v>13</v>
      </c>
      <c r="D270" s="19">
        <f>IF($C270&gt;p_horizon,0,IFERROR(IF(AND(INDEX(TblClusters[Cluster],$B270)&lt;&gt;"",ISNUMBER(INDEX(TblClusters[CPU initial (vCPU)],$B270)),ISNUMBER(INDEX(TblClusters[CPU min (vCPU)],$B270)),OR(INDEX(TblClusters[Plateforme],$B270)="IKS",INDEX(TblClusters[Plateforme],$B270)="ROKS")),1,0),0))</f>
        <v>1</v>
      </c>
      <c r="E270" s="72">
        <f t="shared" si="70"/>
        <v>46661</v>
      </c>
      <c r="F270" s="19" t="str">
        <f>IF($D270=1,INDEX(TblClusters[Cluster],$B270),"")</f>
        <v>oc002i001010</v>
      </c>
      <c r="G270" s="19" t="str">
        <f>IF($D270=1,INDEX(TblClusters[Plateforme],$B270),"")</f>
        <v>ROKS</v>
      </c>
      <c r="H270" s="19">
        <f>IF($D270=1,INDEX(TblClusters[vCPU par nœud],$B270),"")</f>
        <v>8</v>
      </c>
      <c r="I270" s="19">
        <f>IF($D270=1,INDEX(TblClusters[RAM par nœud (Go)],$B270),"")</f>
        <v>40</v>
      </c>
      <c r="J270" s="19">
        <f>IF($D270=1,INDEX(TblClusters[Workers min],$B270),"")</f>
        <v>6</v>
      </c>
      <c r="K270" s="73">
        <f>IF($D270=1,INDEX(TblClusters[Tarif par nœud],$B270),"")</f>
        <v>368</v>
      </c>
      <c r="L270" s="19">
        <f>IF($D270=1,INDEX(TblClusters[CPU initial (vCPU)],$B270),"")</f>
        <v>48</v>
      </c>
      <c r="M270" s="19">
        <f>IF($D270=1,INDEX(TblClusters[RAM initiale (Go)],$B270),"")</f>
        <v>240</v>
      </c>
      <c r="N270" s="19">
        <f>IF($D270=1,INDEX(TblClusters[CPU min (vCPU)],$B270),"")</f>
        <v>48</v>
      </c>
      <c r="O270" s="19">
        <f>IF($D270=1,INDEX(TblClusters[RAM min (Go)],$B270),"")</f>
        <v>240</v>
      </c>
      <c r="P270" s="19">
        <f>IF($D270&lt;&gt;1,"",IF($G270="ROKS",SUMIFS(TblApplications[Besoin ROKS CPU (vCPU)],TblApplications[Cluster ROKS cible],$F270,TblApplications[Action],"À migrer",TblApplications[Déjà incluse ROKS],"Non",TblApplications[Mois prov (calc)],"&lt;="&amp;$E270),SUMIFS(TblApplications[CPU IKS libérable (vCPU)],TblApplications[Cluster IKS source],$F270,TblApplications[Mois lib (calc)],"&lt;="&amp;$E270)))</f>
        <v>0</v>
      </c>
      <c r="Q270" s="19">
        <f>IF($D270&lt;&gt;1,"",IF($G270="ROKS",SUMIFS(TblApplications[Besoin ROKS RAM (Go)],TblApplications[Cluster ROKS cible],$F270,TblApplications[Action],"À migrer",TblApplications[Déjà incluse ROKS],"Non",TblApplications[Mois prov (calc)],"&lt;="&amp;$E270),SUMIFS(TblApplications[RAM IKS libérable (Go)],TblApplications[Cluster IKS source],$F270,TblApplications[Mois lib (calc)],"&lt;="&amp;$E270)))</f>
        <v>0</v>
      </c>
      <c r="R270" s="19">
        <f t="shared" si="71"/>
        <v>48</v>
      </c>
      <c r="S270" s="19">
        <f t="shared" si="72"/>
        <v>240</v>
      </c>
      <c r="T270" s="19">
        <f t="shared" si="73"/>
        <v>6</v>
      </c>
      <c r="U270" s="19">
        <f t="shared" si="74"/>
        <v>48</v>
      </c>
      <c r="V270" s="19">
        <f t="shared" si="75"/>
        <v>240</v>
      </c>
      <c r="W270" s="73">
        <f t="shared" si="76"/>
        <v>2208</v>
      </c>
      <c r="X270" s="19">
        <f>IF($D270&lt;&gt;1,"",IF($G270="ROKS",$R270,IF($AI270=1,0,MAX($N270,$L270-SUMIFS(TblApplications[CPU IKS libérable (vCPU)],TblApplications[Cluster IKS source],$F270,TblApplications[Action],"À migrer",TblApplications[Mois prov (calc)],"&lt;="&amp;$E270)-SUMIFS(TblApplications[CPU IKS libérable (vCPU)],TblApplications[Cluster IKS source],$F270,TblApplications[Action],"À décommissionner",TblApplications[Mois lib (calc)],"&lt;="&amp;$E270)))))</f>
        <v>48</v>
      </c>
      <c r="Y270" s="19">
        <f>IF($D270&lt;&gt;1,"",IF($G270="ROKS",$S270,IF($AI270=1,0,MAX($O270,$M270-SUMIFS(TblApplications[RAM IKS libérable (Go)],TblApplications[Cluster IKS source],$F270,TblApplications[Action],"À migrer",TblApplications[Mois prov (calc)],"&lt;="&amp;$E270)-SUMIFS(TblApplications[RAM IKS libérable (Go)],TblApplications[Cluster IKS source],$F270,TblApplications[Action],"À décommissionner",TblApplications[Mois lib (calc)],"&lt;="&amp;$E270)))))</f>
        <v>240</v>
      </c>
      <c r="Z270" s="19">
        <f t="shared" si="77"/>
        <v>6</v>
      </c>
      <c r="AA270" s="73">
        <f t="shared" si="78"/>
        <v>2208</v>
      </c>
      <c r="AB270" s="19">
        <f t="shared" si="79"/>
        <v>6</v>
      </c>
      <c r="AC270" s="73">
        <f t="shared" si="80"/>
        <v>2208</v>
      </c>
      <c r="AD270" s="19">
        <f t="shared" si="81"/>
        <v>0</v>
      </c>
      <c r="AE270" s="19">
        <f t="shared" si="82"/>
        <v>0</v>
      </c>
      <c r="AF270" s="19" t="str">
        <f>IF($D270&lt;&gt;1,"",IF(INDEX(TblClusters[Environnement],$B270)="","(vide)",INDEX(TblClusters[Environnement],$B270)))</f>
        <v>NPRD</v>
      </c>
      <c r="AG270" s="19">
        <f t="shared" si="83"/>
        <v>72</v>
      </c>
      <c r="AH270" s="19">
        <f t="shared" si="84"/>
        <v>30.666666666666668</v>
      </c>
      <c r="AI270" s="19">
        <f>IF($D270&lt;&gt;1,"",IF(AND($G270="IKS",ISNUMBER(INDEX(TblClusters[Fermeture retenue],$B270))),IF($E270&gt;=INDEX(TblClusters[Fermeture retenue],$B270),1,0),0))</f>
        <v>0</v>
      </c>
    </row>
    <row r="271" spans="1:35" x14ac:dyDescent="0.2">
      <c r="A271" s="19">
        <v>266</v>
      </c>
      <c r="B271" s="19">
        <f t="shared" si="68"/>
        <v>8</v>
      </c>
      <c r="C271" s="19">
        <f t="shared" si="69"/>
        <v>14</v>
      </c>
      <c r="D271" s="19">
        <f>IF($C271&gt;p_horizon,0,IFERROR(IF(AND(INDEX(TblClusters[Cluster],$B271)&lt;&gt;"",ISNUMBER(INDEX(TblClusters[CPU initial (vCPU)],$B271)),ISNUMBER(INDEX(TblClusters[CPU min (vCPU)],$B271)),OR(INDEX(TblClusters[Plateforme],$B271)="IKS",INDEX(TblClusters[Plateforme],$B271)="ROKS")),1,0),0))</f>
        <v>1</v>
      </c>
      <c r="E271" s="72">
        <f t="shared" si="70"/>
        <v>46692</v>
      </c>
      <c r="F271" s="19" t="str">
        <f>IF($D271=1,INDEX(TblClusters[Cluster],$B271),"")</f>
        <v>oc002i001010</v>
      </c>
      <c r="G271" s="19" t="str">
        <f>IF($D271=1,INDEX(TblClusters[Plateforme],$B271),"")</f>
        <v>ROKS</v>
      </c>
      <c r="H271" s="19">
        <f>IF($D271=1,INDEX(TblClusters[vCPU par nœud],$B271),"")</f>
        <v>8</v>
      </c>
      <c r="I271" s="19">
        <f>IF($D271=1,INDEX(TblClusters[RAM par nœud (Go)],$B271),"")</f>
        <v>40</v>
      </c>
      <c r="J271" s="19">
        <f>IF($D271=1,INDEX(TblClusters[Workers min],$B271),"")</f>
        <v>6</v>
      </c>
      <c r="K271" s="73">
        <f>IF($D271=1,INDEX(TblClusters[Tarif par nœud],$B271),"")</f>
        <v>368</v>
      </c>
      <c r="L271" s="19">
        <f>IF($D271=1,INDEX(TblClusters[CPU initial (vCPU)],$B271),"")</f>
        <v>48</v>
      </c>
      <c r="M271" s="19">
        <f>IF($D271=1,INDEX(TblClusters[RAM initiale (Go)],$B271),"")</f>
        <v>240</v>
      </c>
      <c r="N271" s="19">
        <f>IF($D271=1,INDEX(TblClusters[CPU min (vCPU)],$B271),"")</f>
        <v>48</v>
      </c>
      <c r="O271" s="19">
        <f>IF($D271=1,INDEX(TblClusters[RAM min (Go)],$B271),"")</f>
        <v>240</v>
      </c>
      <c r="P271" s="19">
        <f>IF($D271&lt;&gt;1,"",IF($G271="ROKS",SUMIFS(TblApplications[Besoin ROKS CPU (vCPU)],TblApplications[Cluster ROKS cible],$F271,TblApplications[Action],"À migrer",TblApplications[Déjà incluse ROKS],"Non",TblApplications[Mois prov (calc)],"&lt;="&amp;$E271),SUMIFS(TblApplications[CPU IKS libérable (vCPU)],TblApplications[Cluster IKS source],$F271,TblApplications[Mois lib (calc)],"&lt;="&amp;$E271)))</f>
        <v>0</v>
      </c>
      <c r="Q271" s="19">
        <f>IF($D271&lt;&gt;1,"",IF($G271="ROKS",SUMIFS(TblApplications[Besoin ROKS RAM (Go)],TblApplications[Cluster ROKS cible],$F271,TblApplications[Action],"À migrer",TblApplications[Déjà incluse ROKS],"Non",TblApplications[Mois prov (calc)],"&lt;="&amp;$E271),SUMIFS(TblApplications[RAM IKS libérable (Go)],TblApplications[Cluster IKS source],$F271,TblApplications[Mois lib (calc)],"&lt;="&amp;$E271)))</f>
        <v>0</v>
      </c>
      <c r="R271" s="19">
        <f t="shared" si="71"/>
        <v>48</v>
      </c>
      <c r="S271" s="19">
        <f t="shared" si="72"/>
        <v>240</v>
      </c>
      <c r="T271" s="19">
        <f t="shared" si="73"/>
        <v>6</v>
      </c>
      <c r="U271" s="19">
        <f t="shared" si="74"/>
        <v>48</v>
      </c>
      <c r="V271" s="19">
        <f t="shared" si="75"/>
        <v>240</v>
      </c>
      <c r="W271" s="73">
        <f t="shared" si="76"/>
        <v>2208</v>
      </c>
      <c r="X271" s="19">
        <f>IF($D271&lt;&gt;1,"",IF($G271="ROKS",$R271,IF($AI271=1,0,MAX($N271,$L271-SUMIFS(TblApplications[CPU IKS libérable (vCPU)],TblApplications[Cluster IKS source],$F271,TblApplications[Action],"À migrer",TblApplications[Mois prov (calc)],"&lt;="&amp;$E271)-SUMIFS(TblApplications[CPU IKS libérable (vCPU)],TblApplications[Cluster IKS source],$F271,TblApplications[Action],"À décommissionner",TblApplications[Mois lib (calc)],"&lt;="&amp;$E271)))))</f>
        <v>48</v>
      </c>
      <c r="Y271" s="19">
        <f>IF($D271&lt;&gt;1,"",IF($G271="ROKS",$S271,IF($AI271=1,0,MAX($O271,$M271-SUMIFS(TblApplications[RAM IKS libérable (Go)],TblApplications[Cluster IKS source],$F271,TblApplications[Action],"À migrer",TblApplications[Mois prov (calc)],"&lt;="&amp;$E271)-SUMIFS(TblApplications[RAM IKS libérable (Go)],TblApplications[Cluster IKS source],$F271,TblApplications[Action],"À décommissionner",TblApplications[Mois lib (calc)],"&lt;="&amp;$E271)))))</f>
        <v>240</v>
      </c>
      <c r="Z271" s="19">
        <f t="shared" si="77"/>
        <v>6</v>
      </c>
      <c r="AA271" s="73">
        <f t="shared" si="78"/>
        <v>2208</v>
      </c>
      <c r="AB271" s="19">
        <f t="shared" si="79"/>
        <v>6</v>
      </c>
      <c r="AC271" s="73">
        <f t="shared" si="80"/>
        <v>2208</v>
      </c>
      <c r="AD271" s="19">
        <f t="shared" si="81"/>
        <v>0</v>
      </c>
      <c r="AE271" s="19">
        <f t="shared" si="82"/>
        <v>0</v>
      </c>
      <c r="AF271" s="19" t="str">
        <f>IF($D271&lt;&gt;1,"",IF(INDEX(TblClusters[Environnement],$B271)="","(vide)",INDEX(TblClusters[Environnement],$B271)))</f>
        <v>NPRD</v>
      </c>
      <c r="AG271" s="19">
        <f t="shared" si="83"/>
        <v>72</v>
      </c>
      <c r="AH271" s="19">
        <f t="shared" si="84"/>
        <v>30.666666666666668</v>
      </c>
      <c r="AI271" s="19">
        <f>IF($D271&lt;&gt;1,"",IF(AND($G271="IKS",ISNUMBER(INDEX(TblClusters[Fermeture retenue],$B271))),IF($E271&gt;=INDEX(TblClusters[Fermeture retenue],$B271),1,0),0))</f>
        <v>0</v>
      </c>
    </row>
    <row r="272" spans="1:35" x14ac:dyDescent="0.2">
      <c r="A272" s="19">
        <v>267</v>
      </c>
      <c r="B272" s="19">
        <f t="shared" si="68"/>
        <v>8</v>
      </c>
      <c r="C272" s="19">
        <f t="shared" si="69"/>
        <v>15</v>
      </c>
      <c r="D272" s="19">
        <f>IF($C272&gt;p_horizon,0,IFERROR(IF(AND(INDEX(TblClusters[Cluster],$B272)&lt;&gt;"",ISNUMBER(INDEX(TblClusters[CPU initial (vCPU)],$B272)),ISNUMBER(INDEX(TblClusters[CPU min (vCPU)],$B272)),OR(INDEX(TblClusters[Plateforme],$B272)="IKS",INDEX(TblClusters[Plateforme],$B272)="ROKS")),1,0),0))</f>
        <v>1</v>
      </c>
      <c r="E272" s="72">
        <f t="shared" si="70"/>
        <v>46722</v>
      </c>
      <c r="F272" s="19" t="str">
        <f>IF($D272=1,INDEX(TblClusters[Cluster],$B272),"")</f>
        <v>oc002i001010</v>
      </c>
      <c r="G272" s="19" t="str">
        <f>IF($D272=1,INDEX(TblClusters[Plateforme],$B272),"")</f>
        <v>ROKS</v>
      </c>
      <c r="H272" s="19">
        <f>IF($D272=1,INDEX(TblClusters[vCPU par nœud],$B272),"")</f>
        <v>8</v>
      </c>
      <c r="I272" s="19">
        <f>IF($D272=1,INDEX(TblClusters[RAM par nœud (Go)],$B272),"")</f>
        <v>40</v>
      </c>
      <c r="J272" s="19">
        <f>IF($D272=1,INDEX(TblClusters[Workers min],$B272),"")</f>
        <v>6</v>
      </c>
      <c r="K272" s="73">
        <f>IF($D272=1,INDEX(TblClusters[Tarif par nœud],$B272),"")</f>
        <v>368</v>
      </c>
      <c r="L272" s="19">
        <f>IF($D272=1,INDEX(TblClusters[CPU initial (vCPU)],$B272),"")</f>
        <v>48</v>
      </c>
      <c r="M272" s="19">
        <f>IF($D272=1,INDEX(TblClusters[RAM initiale (Go)],$B272),"")</f>
        <v>240</v>
      </c>
      <c r="N272" s="19">
        <f>IF($D272=1,INDEX(TblClusters[CPU min (vCPU)],$B272),"")</f>
        <v>48</v>
      </c>
      <c r="O272" s="19">
        <f>IF($D272=1,INDEX(TblClusters[RAM min (Go)],$B272),"")</f>
        <v>240</v>
      </c>
      <c r="P272" s="19">
        <f>IF($D272&lt;&gt;1,"",IF($G272="ROKS",SUMIFS(TblApplications[Besoin ROKS CPU (vCPU)],TblApplications[Cluster ROKS cible],$F272,TblApplications[Action],"À migrer",TblApplications[Déjà incluse ROKS],"Non",TblApplications[Mois prov (calc)],"&lt;="&amp;$E272),SUMIFS(TblApplications[CPU IKS libérable (vCPU)],TblApplications[Cluster IKS source],$F272,TblApplications[Mois lib (calc)],"&lt;="&amp;$E272)))</f>
        <v>0</v>
      </c>
      <c r="Q272" s="19">
        <f>IF($D272&lt;&gt;1,"",IF($G272="ROKS",SUMIFS(TblApplications[Besoin ROKS RAM (Go)],TblApplications[Cluster ROKS cible],$F272,TblApplications[Action],"À migrer",TblApplications[Déjà incluse ROKS],"Non",TblApplications[Mois prov (calc)],"&lt;="&amp;$E272),SUMIFS(TblApplications[RAM IKS libérable (Go)],TblApplications[Cluster IKS source],$F272,TblApplications[Mois lib (calc)],"&lt;="&amp;$E272)))</f>
        <v>0</v>
      </c>
      <c r="R272" s="19">
        <f t="shared" si="71"/>
        <v>48</v>
      </c>
      <c r="S272" s="19">
        <f t="shared" si="72"/>
        <v>240</v>
      </c>
      <c r="T272" s="19">
        <f t="shared" si="73"/>
        <v>6</v>
      </c>
      <c r="U272" s="19">
        <f t="shared" si="74"/>
        <v>48</v>
      </c>
      <c r="V272" s="19">
        <f t="shared" si="75"/>
        <v>240</v>
      </c>
      <c r="W272" s="73">
        <f t="shared" si="76"/>
        <v>2208</v>
      </c>
      <c r="X272" s="19">
        <f>IF($D272&lt;&gt;1,"",IF($G272="ROKS",$R272,IF($AI272=1,0,MAX($N272,$L272-SUMIFS(TblApplications[CPU IKS libérable (vCPU)],TblApplications[Cluster IKS source],$F272,TblApplications[Action],"À migrer",TblApplications[Mois prov (calc)],"&lt;="&amp;$E272)-SUMIFS(TblApplications[CPU IKS libérable (vCPU)],TblApplications[Cluster IKS source],$F272,TblApplications[Action],"À décommissionner",TblApplications[Mois lib (calc)],"&lt;="&amp;$E272)))))</f>
        <v>48</v>
      </c>
      <c r="Y272" s="19">
        <f>IF($D272&lt;&gt;1,"",IF($G272="ROKS",$S272,IF($AI272=1,0,MAX($O272,$M272-SUMIFS(TblApplications[RAM IKS libérable (Go)],TblApplications[Cluster IKS source],$F272,TblApplications[Action],"À migrer",TblApplications[Mois prov (calc)],"&lt;="&amp;$E272)-SUMIFS(TblApplications[RAM IKS libérable (Go)],TblApplications[Cluster IKS source],$F272,TblApplications[Action],"À décommissionner",TblApplications[Mois lib (calc)],"&lt;="&amp;$E272)))))</f>
        <v>240</v>
      </c>
      <c r="Z272" s="19">
        <f t="shared" si="77"/>
        <v>6</v>
      </c>
      <c r="AA272" s="73">
        <f t="shared" si="78"/>
        <v>2208</v>
      </c>
      <c r="AB272" s="19">
        <f t="shared" si="79"/>
        <v>6</v>
      </c>
      <c r="AC272" s="73">
        <f t="shared" si="80"/>
        <v>2208</v>
      </c>
      <c r="AD272" s="19">
        <f t="shared" si="81"/>
        <v>0</v>
      </c>
      <c r="AE272" s="19">
        <f t="shared" si="82"/>
        <v>0</v>
      </c>
      <c r="AF272" s="19" t="str">
        <f>IF($D272&lt;&gt;1,"",IF(INDEX(TblClusters[Environnement],$B272)="","(vide)",INDEX(TblClusters[Environnement],$B272)))</f>
        <v>NPRD</v>
      </c>
      <c r="AG272" s="19">
        <f t="shared" si="83"/>
        <v>72</v>
      </c>
      <c r="AH272" s="19">
        <f t="shared" si="84"/>
        <v>30.666666666666668</v>
      </c>
      <c r="AI272" s="19">
        <f>IF($D272&lt;&gt;1,"",IF(AND($G272="IKS",ISNUMBER(INDEX(TblClusters[Fermeture retenue],$B272))),IF($E272&gt;=INDEX(TblClusters[Fermeture retenue],$B272),1,0),0))</f>
        <v>0</v>
      </c>
    </row>
    <row r="273" spans="1:35" x14ac:dyDescent="0.2">
      <c r="A273" s="19">
        <v>268</v>
      </c>
      <c r="B273" s="19">
        <f t="shared" si="68"/>
        <v>8</v>
      </c>
      <c r="C273" s="19">
        <f t="shared" si="69"/>
        <v>16</v>
      </c>
      <c r="D273" s="19">
        <f>IF($C273&gt;p_horizon,0,IFERROR(IF(AND(INDEX(TblClusters[Cluster],$B273)&lt;&gt;"",ISNUMBER(INDEX(TblClusters[CPU initial (vCPU)],$B273)),ISNUMBER(INDEX(TblClusters[CPU min (vCPU)],$B273)),OR(INDEX(TblClusters[Plateforme],$B273)="IKS",INDEX(TblClusters[Plateforme],$B273)="ROKS")),1,0),0))</f>
        <v>1</v>
      </c>
      <c r="E273" s="72">
        <f t="shared" si="70"/>
        <v>46753</v>
      </c>
      <c r="F273" s="19" t="str">
        <f>IF($D273=1,INDEX(TblClusters[Cluster],$B273),"")</f>
        <v>oc002i001010</v>
      </c>
      <c r="G273" s="19" t="str">
        <f>IF($D273=1,INDEX(TblClusters[Plateforme],$B273),"")</f>
        <v>ROKS</v>
      </c>
      <c r="H273" s="19">
        <f>IF($D273=1,INDEX(TblClusters[vCPU par nœud],$B273),"")</f>
        <v>8</v>
      </c>
      <c r="I273" s="19">
        <f>IF($D273=1,INDEX(TblClusters[RAM par nœud (Go)],$B273),"")</f>
        <v>40</v>
      </c>
      <c r="J273" s="19">
        <f>IF($D273=1,INDEX(TblClusters[Workers min],$B273),"")</f>
        <v>6</v>
      </c>
      <c r="K273" s="73">
        <f>IF($D273=1,INDEX(TblClusters[Tarif par nœud],$B273),"")</f>
        <v>368</v>
      </c>
      <c r="L273" s="19">
        <f>IF($D273=1,INDEX(TblClusters[CPU initial (vCPU)],$B273),"")</f>
        <v>48</v>
      </c>
      <c r="M273" s="19">
        <f>IF($D273=1,INDEX(TblClusters[RAM initiale (Go)],$B273),"")</f>
        <v>240</v>
      </c>
      <c r="N273" s="19">
        <f>IF($D273=1,INDEX(TblClusters[CPU min (vCPU)],$B273),"")</f>
        <v>48</v>
      </c>
      <c r="O273" s="19">
        <f>IF($D273=1,INDEX(TblClusters[RAM min (Go)],$B273),"")</f>
        <v>240</v>
      </c>
      <c r="P273" s="19">
        <f>IF($D273&lt;&gt;1,"",IF($G273="ROKS",SUMIFS(TblApplications[Besoin ROKS CPU (vCPU)],TblApplications[Cluster ROKS cible],$F273,TblApplications[Action],"À migrer",TblApplications[Déjà incluse ROKS],"Non",TblApplications[Mois prov (calc)],"&lt;="&amp;$E273),SUMIFS(TblApplications[CPU IKS libérable (vCPU)],TblApplications[Cluster IKS source],$F273,TblApplications[Mois lib (calc)],"&lt;="&amp;$E273)))</f>
        <v>0</v>
      </c>
      <c r="Q273" s="19">
        <f>IF($D273&lt;&gt;1,"",IF($G273="ROKS",SUMIFS(TblApplications[Besoin ROKS RAM (Go)],TblApplications[Cluster ROKS cible],$F273,TblApplications[Action],"À migrer",TblApplications[Déjà incluse ROKS],"Non",TblApplications[Mois prov (calc)],"&lt;="&amp;$E273),SUMIFS(TblApplications[RAM IKS libérable (Go)],TblApplications[Cluster IKS source],$F273,TblApplications[Mois lib (calc)],"&lt;="&amp;$E273)))</f>
        <v>0</v>
      </c>
      <c r="R273" s="19">
        <f t="shared" si="71"/>
        <v>48</v>
      </c>
      <c r="S273" s="19">
        <f t="shared" si="72"/>
        <v>240</v>
      </c>
      <c r="T273" s="19">
        <f t="shared" si="73"/>
        <v>6</v>
      </c>
      <c r="U273" s="19">
        <f t="shared" si="74"/>
        <v>48</v>
      </c>
      <c r="V273" s="19">
        <f t="shared" si="75"/>
        <v>240</v>
      </c>
      <c r="W273" s="73">
        <f t="shared" si="76"/>
        <v>2208</v>
      </c>
      <c r="X273" s="19">
        <f>IF($D273&lt;&gt;1,"",IF($G273="ROKS",$R273,IF($AI273=1,0,MAX($N273,$L273-SUMIFS(TblApplications[CPU IKS libérable (vCPU)],TblApplications[Cluster IKS source],$F273,TblApplications[Action],"À migrer",TblApplications[Mois prov (calc)],"&lt;="&amp;$E273)-SUMIFS(TblApplications[CPU IKS libérable (vCPU)],TblApplications[Cluster IKS source],$F273,TblApplications[Action],"À décommissionner",TblApplications[Mois lib (calc)],"&lt;="&amp;$E273)))))</f>
        <v>48</v>
      </c>
      <c r="Y273" s="19">
        <f>IF($D273&lt;&gt;1,"",IF($G273="ROKS",$S273,IF($AI273=1,0,MAX($O273,$M273-SUMIFS(TblApplications[RAM IKS libérable (Go)],TblApplications[Cluster IKS source],$F273,TblApplications[Action],"À migrer",TblApplications[Mois prov (calc)],"&lt;="&amp;$E273)-SUMIFS(TblApplications[RAM IKS libérable (Go)],TblApplications[Cluster IKS source],$F273,TblApplications[Action],"À décommissionner",TblApplications[Mois lib (calc)],"&lt;="&amp;$E273)))))</f>
        <v>240</v>
      </c>
      <c r="Z273" s="19">
        <f t="shared" si="77"/>
        <v>6</v>
      </c>
      <c r="AA273" s="73">
        <f t="shared" si="78"/>
        <v>2208</v>
      </c>
      <c r="AB273" s="19">
        <f t="shared" si="79"/>
        <v>6</v>
      </c>
      <c r="AC273" s="73">
        <f t="shared" si="80"/>
        <v>2208</v>
      </c>
      <c r="AD273" s="19">
        <f t="shared" si="81"/>
        <v>0</v>
      </c>
      <c r="AE273" s="19">
        <f t="shared" si="82"/>
        <v>0</v>
      </c>
      <c r="AF273" s="19" t="str">
        <f>IF($D273&lt;&gt;1,"",IF(INDEX(TblClusters[Environnement],$B273)="","(vide)",INDEX(TblClusters[Environnement],$B273)))</f>
        <v>NPRD</v>
      </c>
      <c r="AG273" s="19">
        <f t="shared" si="83"/>
        <v>72</v>
      </c>
      <c r="AH273" s="19">
        <f t="shared" si="84"/>
        <v>30.666666666666668</v>
      </c>
      <c r="AI273" s="19">
        <f>IF($D273&lt;&gt;1,"",IF(AND($G273="IKS",ISNUMBER(INDEX(TblClusters[Fermeture retenue],$B273))),IF($E273&gt;=INDEX(TblClusters[Fermeture retenue],$B273),1,0),0))</f>
        <v>0</v>
      </c>
    </row>
    <row r="274" spans="1:35" x14ac:dyDescent="0.2">
      <c r="A274" s="19">
        <v>269</v>
      </c>
      <c r="B274" s="19">
        <f t="shared" si="68"/>
        <v>8</v>
      </c>
      <c r="C274" s="19">
        <f t="shared" si="69"/>
        <v>17</v>
      </c>
      <c r="D274" s="19">
        <f>IF($C274&gt;p_horizon,0,IFERROR(IF(AND(INDEX(TblClusters[Cluster],$B274)&lt;&gt;"",ISNUMBER(INDEX(TblClusters[CPU initial (vCPU)],$B274)),ISNUMBER(INDEX(TblClusters[CPU min (vCPU)],$B274)),OR(INDEX(TblClusters[Plateforme],$B274)="IKS",INDEX(TblClusters[Plateforme],$B274)="ROKS")),1,0),0))</f>
        <v>1</v>
      </c>
      <c r="E274" s="72">
        <f t="shared" si="70"/>
        <v>46784</v>
      </c>
      <c r="F274" s="19" t="str">
        <f>IF($D274=1,INDEX(TblClusters[Cluster],$B274),"")</f>
        <v>oc002i001010</v>
      </c>
      <c r="G274" s="19" t="str">
        <f>IF($D274=1,INDEX(TblClusters[Plateforme],$B274),"")</f>
        <v>ROKS</v>
      </c>
      <c r="H274" s="19">
        <f>IF($D274=1,INDEX(TblClusters[vCPU par nœud],$B274),"")</f>
        <v>8</v>
      </c>
      <c r="I274" s="19">
        <f>IF($D274=1,INDEX(TblClusters[RAM par nœud (Go)],$B274),"")</f>
        <v>40</v>
      </c>
      <c r="J274" s="19">
        <f>IF($D274=1,INDEX(TblClusters[Workers min],$B274),"")</f>
        <v>6</v>
      </c>
      <c r="K274" s="73">
        <f>IF($D274=1,INDEX(TblClusters[Tarif par nœud],$B274),"")</f>
        <v>368</v>
      </c>
      <c r="L274" s="19">
        <f>IF($D274=1,INDEX(TblClusters[CPU initial (vCPU)],$B274),"")</f>
        <v>48</v>
      </c>
      <c r="M274" s="19">
        <f>IF($D274=1,INDEX(TblClusters[RAM initiale (Go)],$B274),"")</f>
        <v>240</v>
      </c>
      <c r="N274" s="19">
        <f>IF($D274=1,INDEX(TblClusters[CPU min (vCPU)],$B274),"")</f>
        <v>48</v>
      </c>
      <c r="O274" s="19">
        <f>IF($D274=1,INDEX(TblClusters[RAM min (Go)],$B274),"")</f>
        <v>240</v>
      </c>
      <c r="P274" s="19">
        <f>IF($D274&lt;&gt;1,"",IF($G274="ROKS",SUMIFS(TblApplications[Besoin ROKS CPU (vCPU)],TblApplications[Cluster ROKS cible],$F274,TblApplications[Action],"À migrer",TblApplications[Déjà incluse ROKS],"Non",TblApplications[Mois prov (calc)],"&lt;="&amp;$E274),SUMIFS(TblApplications[CPU IKS libérable (vCPU)],TblApplications[Cluster IKS source],$F274,TblApplications[Mois lib (calc)],"&lt;="&amp;$E274)))</f>
        <v>0</v>
      </c>
      <c r="Q274" s="19">
        <f>IF($D274&lt;&gt;1,"",IF($G274="ROKS",SUMIFS(TblApplications[Besoin ROKS RAM (Go)],TblApplications[Cluster ROKS cible],$F274,TblApplications[Action],"À migrer",TblApplications[Déjà incluse ROKS],"Non",TblApplications[Mois prov (calc)],"&lt;="&amp;$E274),SUMIFS(TblApplications[RAM IKS libérable (Go)],TblApplications[Cluster IKS source],$F274,TblApplications[Mois lib (calc)],"&lt;="&amp;$E274)))</f>
        <v>0</v>
      </c>
      <c r="R274" s="19">
        <f t="shared" si="71"/>
        <v>48</v>
      </c>
      <c r="S274" s="19">
        <f t="shared" si="72"/>
        <v>240</v>
      </c>
      <c r="T274" s="19">
        <f t="shared" si="73"/>
        <v>6</v>
      </c>
      <c r="U274" s="19">
        <f t="shared" si="74"/>
        <v>48</v>
      </c>
      <c r="V274" s="19">
        <f t="shared" si="75"/>
        <v>240</v>
      </c>
      <c r="W274" s="73">
        <f t="shared" si="76"/>
        <v>2208</v>
      </c>
      <c r="X274" s="19">
        <f>IF($D274&lt;&gt;1,"",IF($G274="ROKS",$R274,IF($AI274=1,0,MAX($N274,$L274-SUMIFS(TblApplications[CPU IKS libérable (vCPU)],TblApplications[Cluster IKS source],$F274,TblApplications[Action],"À migrer",TblApplications[Mois prov (calc)],"&lt;="&amp;$E274)-SUMIFS(TblApplications[CPU IKS libérable (vCPU)],TblApplications[Cluster IKS source],$F274,TblApplications[Action],"À décommissionner",TblApplications[Mois lib (calc)],"&lt;="&amp;$E274)))))</f>
        <v>48</v>
      </c>
      <c r="Y274" s="19">
        <f>IF($D274&lt;&gt;1,"",IF($G274="ROKS",$S274,IF($AI274=1,0,MAX($O274,$M274-SUMIFS(TblApplications[RAM IKS libérable (Go)],TblApplications[Cluster IKS source],$F274,TblApplications[Action],"À migrer",TblApplications[Mois prov (calc)],"&lt;="&amp;$E274)-SUMIFS(TblApplications[RAM IKS libérable (Go)],TblApplications[Cluster IKS source],$F274,TblApplications[Action],"À décommissionner",TblApplications[Mois lib (calc)],"&lt;="&amp;$E274)))))</f>
        <v>240</v>
      </c>
      <c r="Z274" s="19">
        <f t="shared" si="77"/>
        <v>6</v>
      </c>
      <c r="AA274" s="73">
        <f t="shared" si="78"/>
        <v>2208</v>
      </c>
      <c r="AB274" s="19">
        <f t="shared" si="79"/>
        <v>6</v>
      </c>
      <c r="AC274" s="73">
        <f t="shared" si="80"/>
        <v>2208</v>
      </c>
      <c r="AD274" s="19">
        <f t="shared" si="81"/>
        <v>0</v>
      </c>
      <c r="AE274" s="19">
        <f t="shared" si="82"/>
        <v>0</v>
      </c>
      <c r="AF274" s="19" t="str">
        <f>IF($D274&lt;&gt;1,"",IF(INDEX(TblClusters[Environnement],$B274)="","(vide)",INDEX(TblClusters[Environnement],$B274)))</f>
        <v>NPRD</v>
      </c>
      <c r="AG274" s="19">
        <f t="shared" si="83"/>
        <v>72</v>
      </c>
      <c r="AH274" s="19">
        <f t="shared" si="84"/>
        <v>30.666666666666668</v>
      </c>
      <c r="AI274" s="19">
        <f>IF($D274&lt;&gt;1,"",IF(AND($G274="IKS",ISNUMBER(INDEX(TblClusters[Fermeture retenue],$B274))),IF($E274&gt;=INDEX(TblClusters[Fermeture retenue],$B274),1,0),0))</f>
        <v>0</v>
      </c>
    </row>
    <row r="275" spans="1:35" x14ac:dyDescent="0.2">
      <c r="A275" s="19">
        <v>270</v>
      </c>
      <c r="B275" s="19">
        <f t="shared" si="68"/>
        <v>8</v>
      </c>
      <c r="C275" s="19">
        <f t="shared" si="69"/>
        <v>18</v>
      </c>
      <c r="D275" s="19">
        <f>IF($C275&gt;p_horizon,0,IFERROR(IF(AND(INDEX(TblClusters[Cluster],$B275)&lt;&gt;"",ISNUMBER(INDEX(TblClusters[CPU initial (vCPU)],$B275)),ISNUMBER(INDEX(TblClusters[CPU min (vCPU)],$B275)),OR(INDEX(TblClusters[Plateforme],$B275)="IKS",INDEX(TblClusters[Plateforme],$B275)="ROKS")),1,0),0))</f>
        <v>1</v>
      </c>
      <c r="E275" s="72">
        <f t="shared" si="70"/>
        <v>46813</v>
      </c>
      <c r="F275" s="19" t="str">
        <f>IF($D275=1,INDEX(TblClusters[Cluster],$B275),"")</f>
        <v>oc002i001010</v>
      </c>
      <c r="G275" s="19" t="str">
        <f>IF($D275=1,INDEX(TblClusters[Plateforme],$B275),"")</f>
        <v>ROKS</v>
      </c>
      <c r="H275" s="19">
        <f>IF($D275=1,INDEX(TblClusters[vCPU par nœud],$B275),"")</f>
        <v>8</v>
      </c>
      <c r="I275" s="19">
        <f>IF($D275=1,INDEX(TblClusters[RAM par nœud (Go)],$B275),"")</f>
        <v>40</v>
      </c>
      <c r="J275" s="19">
        <f>IF($D275=1,INDEX(TblClusters[Workers min],$B275),"")</f>
        <v>6</v>
      </c>
      <c r="K275" s="73">
        <f>IF($D275=1,INDEX(TblClusters[Tarif par nœud],$B275),"")</f>
        <v>368</v>
      </c>
      <c r="L275" s="19">
        <f>IF($D275=1,INDEX(TblClusters[CPU initial (vCPU)],$B275),"")</f>
        <v>48</v>
      </c>
      <c r="M275" s="19">
        <f>IF($D275=1,INDEX(TblClusters[RAM initiale (Go)],$B275),"")</f>
        <v>240</v>
      </c>
      <c r="N275" s="19">
        <f>IF($D275=1,INDEX(TblClusters[CPU min (vCPU)],$B275),"")</f>
        <v>48</v>
      </c>
      <c r="O275" s="19">
        <f>IF($D275=1,INDEX(TblClusters[RAM min (Go)],$B275),"")</f>
        <v>240</v>
      </c>
      <c r="P275" s="19">
        <f>IF($D275&lt;&gt;1,"",IF($G275="ROKS",SUMIFS(TblApplications[Besoin ROKS CPU (vCPU)],TblApplications[Cluster ROKS cible],$F275,TblApplications[Action],"À migrer",TblApplications[Déjà incluse ROKS],"Non",TblApplications[Mois prov (calc)],"&lt;="&amp;$E275),SUMIFS(TblApplications[CPU IKS libérable (vCPU)],TblApplications[Cluster IKS source],$F275,TblApplications[Mois lib (calc)],"&lt;="&amp;$E275)))</f>
        <v>0</v>
      </c>
      <c r="Q275" s="19">
        <f>IF($D275&lt;&gt;1,"",IF($G275="ROKS",SUMIFS(TblApplications[Besoin ROKS RAM (Go)],TblApplications[Cluster ROKS cible],$F275,TblApplications[Action],"À migrer",TblApplications[Déjà incluse ROKS],"Non",TblApplications[Mois prov (calc)],"&lt;="&amp;$E275),SUMIFS(TblApplications[RAM IKS libérable (Go)],TblApplications[Cluster IKS source],$F275,TblApplications[Mois lib (calc)],"&lt;="&amp;$E275)))</f>
        <v>0</v>
      </c>
      <c r="R275" s="19">
        <f t="shared" si="71"/>
        <v>48</v>
      </c>
      <c r="S275" s="19">
        <f t="shared" si="72"/>
        <v>240</v>
      </c>
      <c r="T275" s="19">
        <f t="shared" si="73"/>
        <v>6</v>
      </c>
      <c r="U275" s="19">
        <f t="shared" si="74"/>
        <v>48</v>
      </c>
      <c r="V275" s="19">
        <f t="shared" si="75"/>
        <v>240</v>
      </c>
      <c r="W275" s="73">
        <f t="shared" si="76"/>
        <v>2208</v>
      </c>
      <c r="X275" s="19">
        <f>IF($D275&lt;&gt;1,"",IF($G275="ROKS",$R275,IF($AI275=1,0,MAX($N275,$L275-SUMIFS(TblApplications[CPU IKS libérable (vCPU)],TblApplications[Cluster IKS source],$F275,TblApplications[Action],"À migrer",TblApplications[Mois prov (calc)],"&lt;="&amp;$E275)-SUMIFS(TblApplications[CPU IKS libérable (vCPU)],TblApplications[Cluster IKS source],$F275,TblApplications[Action],"À décommissionner",TblApplications[Mois lib (calc)],"&lt;="&amp;$E275)))))</f>
        <v>48</v>
      </c>
      <c r="Y275" s="19">
        <f>IF($D275&lt;&gt;1,"",IF($G275="ROKS",$S275,IF($AI275=1,0,MAX($O275,$M275-SUMIFS(TblApplications[RAM IKS libérable (Go)],TblApplications[Cluster IKS source],$F275,TblApplications[Action],"À migrer",TblApplications[Mois prov (calc)],"&lt;="&amp;$E275)-SUMIFS(TblApplications[RAM IKS libérable (Go)],TblApplications[Cluster IKS source],$F275,TblApplications[Action],"À décommissionner",TblApplications[Mois lib (calc)],"&lt;="&amp;$E275)))))</f>
        <v>240</v>
      </c>
      <c r="Z275" s="19">
        <f t="shared" si="77"/>
        <v>6</v>
      </c>
      <c r="AA275" s="73">
        <f t="shared" si="78"/>
        <v>2208</v>
      </c>
      <c r="AB275" s="19">
        <f t="shared" si="79"/>
        <v>6</v>
      </c>
      <c r="AC275" s="73">
        <f t="shared" si="80"/>
        <v>2208</v>
      </c>
      <c r="AD275" s="19">
        <f t="shared" si="81"/>
        <v>0</v>
      </c>
      <c r="AE275" s="19">
        <f t="shared" si="82"/>
        <v>0</v>
      </c>
      <c r="AF275" s="19" t="str">
        <f>IF($D275&lt;&gt;1,"",IF(INDEX(TblClusters[Environnement],$B275)="","(vide)",INDEX(TblClusters[Environnement],$B275)))</f>
        <v>NPRD</v>
      </c>
      <c r="AG275" s="19">
        <f t="shared" si="83"/>
        <v>72</v>
      </c>
      <c r="AH275" s="19">
        <f t="shared" si="84"/>
        <v>30.666666666666668</v>
      </c>
      <c r="AI275" s="19">
        <f>IF($D275&lt;&gt;1,"",IF(AND($G275="IKS",ISNUMBER(INDEX(TblClusters[Fermeture retenue],$B275))),IF($E275&gt;=INDEX(TblClusters[Fermeture retenue],$B275),1,0),0))</f>
        <v>0</v>
      </c>
    </row>
    <row r="276" spans="1:35" x14ac:dyDescent="0.2">
      <c r="A276" s="19">
        <v>271</v>
      </c>
      <c r="B276" s="19">
        <f t="shared" si="68"/>
        <v>8</v>
      </c>
      <c r="C276" s="19">
        <f t="shared" si="69"/>
        <v>19</v>
      </c>
      <c r="D276" s="19">
        <f>IF($C276&gt;p_horizon,0,IFERROR(IF(AND(INDEX(TblClusters[Cluster],$B276)&lt;&gt;"",ISNUMBER(INDEX(TblClusters[CPU initial (vCPU)],$B276)),ISNUMBER(INDEX(TblClusters[CPU min (vCPU)],$B276)),OR(INDEX(TblClusters[Plateforme],$B276)="IKS",INDEX(TblClusters[Plateforme],$B276)="ROKS")),1,0),0))</f>
        <v>1</v>
      </c>
      <c r="E276" s="72">
        <f t="shared" si="70"/>
        <v>46844</v>
      </c>
      <c r="F276" s="19" t="str">
        <f>IF($D276=1,INDEX(TblClusters[Cluster],$B276),"")</f>
        <v>oc002i001010</v>
      </c>
      <c r="G276" s="19" t="str">
        <f>IF($D276=1,INDEX(TblClusters[Plateforme],$B276),"")</f>
        <v>ROKS</v>
      </c>
      <c r="H276" s="19">
        <f>IF($D276=1,INDEX(TblClusters[vCPU par nœud],$B276),"")</f>
        <v>8</v>
      </c>
      <c r="I276" s="19">
        <f>IF($D276=1,INDEX(TblClusters[RAM par nœud (Go)],$B276),"")</f>
        <v>40</v>
      </c>
      <c r="J276" s="19">
        <f>IF($D276=1,INDEX(TblClusters[Workers min],$B276),"")</f>
        <v>6</v>
      </c>
      <c r="K276" s="73">
        <f>IF($D276=1,INDEX(TblClusters[Tarif par nœud],$B276),"")</f>
        <v>368</v>
      </c>
      <c r="L276" s="19">
        <f>IF($D276=1,INDEX(TblClusters[CPU initial (vCPU)],$B276),"")</f>
        <v>48</v>
      </c>
      <c r="M276" s="19">
        <f>IF($D276=1,INDEX(TblClusters[RAM initiale (Go)],$B276),"")</f>
        <v>240</v>
      </c>
      <c r="N276" s="19">
        <f>IF($D276=1,INDEX(TblClusters[CPU min (vCPU)],$B276),"")</f>
        <v>48</v>
      </c>
      <c r="O276" s="19">
        <f>IF($D276=1,INDEX(TblClusters[RAM min (Go)],$B276),"")</f>
        <v>240</v>
      </c>
      <c r="P276" s="19">
        <f>IF($D276&lt;&gt;1,"",IF($G276="ROKS",SUMIFS(TblApplications[Besoin ROKS CPU (vCPU)],TblApplications[Cluster ROKS cible],$F276,TblApplications[Action],"À migrer",TblApplications[Déjà incluse ROKS],"Non",TblApplications[Mois prov (calc)],"&lt;="&amp;$E276),SUMIFS(TblApplications[CPU IKS libérable (vCPU)],TblApplications[Cluster IKS source],$F276,TblApplications[Mois lib (calc)],"&lt;="&amp;$E276)))</f>
        <v>0</v>
      </c>
      <c r="Q276" s="19">
        <f>IF($D276&lt;&gt;1,"",IF($G276="ROKS",SUMIFS(TblApplications[Besoin ROKS RAM (Go)],TblApplications[Cluster ROKS cible],$F276,TblApplications[Action],"À migrer",TblApplications[Déjà incluse ROKS],"Non",TblApplications[Mois prov (calc)],"&lt;="&amp;$E276),SUMIFS(TblApplications[RAM IKS libérable (Go)],TblApplications[Cluster IKS source],$F276,TblApplications[Mois lib (calc)],"&lt;="&amp;$E276)))</f>
        <v>0</v>
      </c>
      <c r="R276" s="19">
        <f t="shared" si="71"/>
        <v>48</v>
      </c>
      <c r="S276" s="19">
        <f t="shared" si="72"/>
        <v>240</v>
      </c>
      <c r="T276" s="19">
        <f t="shared" si="73"/>
        <v>6</v>
      </c>
      <c r="U276" s="19">
        <f t="shared" si="74"/>
        <v>48</v>
      </c>
      <c r="V276" s="19">
        <f t="shared" si="75"/>
        <v>240</v>
      </c>
      <c r="W276" s="73">
        <f t="shared" si="76"/>
        <v>2208</v>
      </c>
      <c r="X276" s="19">
        <f>IF($D276&lt;&gt;1,"",IF($G276="ROKS",$R276,IF($AI276=1,0,MAX($N276,$L276-SUMIFS(TblApplications[CPU IKS libérable (vCPU)],TblApplications[Cluster IKS source],$F276,TblApplications[Action],"À migrer",TblApplications[Mois prov (calc)],"&lt;="&amp;$E276)-SUMIFS(TblApplications[CPU IKS libérable (vCPU)],TblApplications[Cluster IKS source],$F276,TblApplications[Action],"À décommissionner",TblApplications[Mois lib (calc)],"&lt;="&amp;$E276)))))</f>
        <v>48</v>
      </c>
      <c r="Y276" s="19">
        <f>IF($D276&lt;&gt;1,"",IF($G276="ROKS",$S276,IF($AI276=1,0,MAX($O276,$M276-SUMIFS(TblApplications[RAM IKS libérable (Go)],TblApplications[Cluster IKS source],$F276,TblApplications[Action],"À migrer",TblApplications[Mois prov (calc)],"&lt;="&amp;$E276)-SUMIFS(TblApplications[RAM IKS libérable (Go)],TblApplications[Cluster IKS source],$F276,TblApplications[Action],"À décommissionner",TblApplications[Mois lib (calc)],"&lt;="&amp;$E276)))))</f>
        <v>240</v>
      </c>
      <c r="Z276" s="19">
        <f t="shared" si="77"/>
        <v>6</v>
      </c>
      <c r="AA276" s="73">
        <f t="shared" si="78"/>
        <v>2208</v>
      </c>
      <c r="AB276" s="19">
        <f t="shared" si="79"/>
        <v>6</v>
      </c>
      <c r="AC276" s="73">
        <f t="shared" si="80"/>
        <v>2208</v>
      </c>
      <c r="AD276" s="19">
        <f t="shared" si="81"/>
        <v>0</v>
      </c>
      <c r="AE276" s="19">
        <f t="shared" si="82"/>
        <v>0</v>
      </c>
      <c r="AF276" s="19" t="str">
        <f>IF($D276&lt;&gt;1,"",IF(INDEX(TblClusters[Environnement],$B276)="","(vide)",INDEX(TblClusters[Environnement],$B276)))</f>
        <v>NPRD</v>
      </c>
      <c r="AG276" s="19">
        <f t="shared" si="83"/>
        <v>72</v>
      </c>
      <c r="AH276" s="19">
        <f t="shared" si="84"/>
        <v>30.666666666666668</v>
      </c>
      <c r="AI276" s="19">
        <f>IF($D276&lt;&gt;1,"",IF(AND($G276="IKS",ISNUMBER(INDEX(TblClusters[Fermeture retenue],$B276))),IF($E276&gt;=INDEX(TblClusters[Fermeture retenue],$B276),1,0),0))</f>
        <v>0</v>
      </c>
    </row>
    <row r="277" spans="1:35" x14ac:dyDescent="0.2">
      <c r="A277" s="19">
        <v>272</v>
      </c>
      <c r="B277" s="19">
        <f t="shared" si="68"/>
        <v>8</v>
      </c>
      <c r="C277" s="19">
        <f t="shared" si="69"/>
        <v>20</v>
      </c>
      <c r="D277" s="19">
        <f>IF($C277&gt;p_horizon,0,IFERROR(IF(AND(INDEX(TblClusters[Cluster],$B277)&lt;&gt;"",ISNUMBER(INDEX(TblClusters[CPU initial (vCPU)],$B277)),ISNUMBER(INDEX(TblClusters[CPU min (vCPU)],$B277)),OR(INDEX(TblClusters[Plateforme],$B277)="IKS",INDEX(TblClusters[Plateforme],$B277)="ROKS")),1,0),0))</f>
        <v>1</v>
      </c>
      <c r="E277" s="72">
        <f t="shared" si="70"/>
        <v>46874</v>
      </c>
      <c r="F277" s="19" t="str">
        <f>IF($D277=1,INDEX(TblClusters[Cluster],$B277),"")</f>
        <v>oc002i001010</v>
      </c>
      <c r="G277" s="19" t="str">
        <f>IF($D277=1,INDEX(TblClusters[Plateforme],$B277),"")</f>
        <v>ROKS</v>
      </c>
      <c r="H277" s="19">
        <f>IF($D277=1,INDEX(TblClusters[vCPU par nœud],$B277),"")</f>
        <v>8</v>
      </c>
      <c r="I277" s="19">
        <f>IF($D277=1,INDEX(TblClusters[RAM par nœud (Go)],$B277),"")</f>
        <v>40</v>
      </c>
      <c r="J277" s="19">
        <f>IF($D277=1,INDEX(TblClusters[Workers min],$B277),"")</f>
        <v>6</v>
      </c>
      <c r="K277" s="73">
        <f>IF($D277=1,INDEX(TblClusters[Tarif par nœud],$B277),"")</f>
        <v>368</v>
      </c>
      <c r="L277" s="19">
        <f>IF($D277=1,INDEX(TblClusters[CPU initial (vCPU)],$B277),"")</f>
        <v>48</v>
      </c>
      <c r="M277" s="19">
        <f>IF($D277=1,INDEX(TblClusters[RAM initiale (Go)],$B277),"")</f>
        <v>240</v>
      </c>
      <c r="N277" s="19">
        <f>IF($D277=1,INDEX(TblClusters[CPU min (vCPU)],$B277),"")</f>
        <v>48</v>
      </c>
      <c r="O277" s="19">
        <f>IF($D277=1,INDEX(TblClusters[RAM min (Go)],$B277),"")</f>
        <v>240</v>
      </c>
      <c r="P277" s="19">
        <f>IF($D277&lt;&gt;1,"",IF($G277="ROKS",SUMIFS(TblApplications[Besoin ROKS CPU (vCPU)],TblApplications[Cluster ROKS cible],$F277,TblApplications[Action],"À migrer",TblApplications[Déjà incluse ROKS],"Non",TblApplications[Mois prov (calc)],"&lt;="&amp;$E277),SUMIFS(TblApplications[CPU IKS libérable (vCPU)],TblApplications[Cluster IKS source],$F277,TblApplications[Mois lib (calc)],"&lt;="&amp;$E277)))</f>
        <v>0</v>
      </c>
      <c r="Q277" s="19">
        <f>IF($D277&lt;&gt;1,"",IF($G277="ROKS",SUMIFS(TblApplications[Besoin ROKS RAM (Go)],TblApplications[Cluster ROKS cible],$F277,TblApplications[Action],"À migrer",TblApplications[Déjà incluse ROKS],"Non",TblApplications[Mois prov (calc)],"&lt;="&amp;$E277),SUMIFS(TblApplications[RAM IKS libérable (Go)],TblApplications[Cluster IKS source],$F277,TblApplications[Mois lib (calc)],"&lt;="&amp;$E277)))</f>
        <v>0</v>
      </c>
      <c r="R277" s="19">
        <f t="shared" si="71"/>
        <v>48</v>
      </c>
      <c r="S277" s="19">
        <f t="shared" si="72"/>
        <v>240</v>
      </c>
      <c r="T277" s="19">
        <f t="shared" si="73"/>
        <v>6</v>
      </c>
      <c r="U277" s="19">
        <f t="shared" si="74"/>
        <v>48</v>
      </c>
      <c r="V277" s="19">
        <f t="shared" si="75"/>
        <v>240</v>
      </c>
      <c r="W277" s="73">
        <f t="shared" si="76"/>
        <v>2208</v>
      </c>
      <c r="X277" s="19">
        <f>IF($D277&lt;&gt;1,"",IF($G277="ROKS",$R277,IF($AI277=1,0,MAX($N277,$L277-SUMIFS(TblApplications[CPU IKS libérable (vCPU)],TblApplications[Cluster IKS source],$F277,TblApplications[Action],"À migrer",TblApplications[Mois prov (calc)],"&lt;="&amp;$E277)-SUMIFS(TblApplications[CPU IKS libérable (vCPU)],TblApplications[Cluster IKS source],$F277,TblApplications[Action],"À décommissionner",TblApplications[Mois lib (calc)],"&lt;="&amp;$E277)))))</f>
        <v>48</v>
      </c>
      <c r="Y277" s="19">
        <f>IF($D277&lt;&gt;1,"",IF($G277="ROKS",$S277,IF($AI277=1,0,MAX($O277,$M277-SUMIFS(TblApplications[RAM IKS libérable (Go)],TblApplications[Cluster IKS source],$F277,TblApplications[Action],"À migrer",TblApplications[Mois prov (calc)],"&lt;="&amp;$E277)-SUMIFS(TblApplications[RAM IKS libérable (Go)],TblApplications[Cluster IKS source],$F277,TblApplications[Action],"À décommissionner",TblApplications[Mois lib (calc)],"&lt;="&amp;$E277)))))</f>
        <v>240</v>
      </c>
      <c r="Z277" s="19">
        <f t="shared" si="77"/>
        <v>6</v>
      </c>
      <c r="AA277" s="73">
        <f t="shared" si="78"/>
        <v>2208</v>
      </c>
      <c r="AB277" s="19">
        <f t="shared" si="79"/>
        <v>6</v>
      </c>
      <c r="AC277" s="73">
        <f t="shared" si="80"/>
        <v>2208</v>
      </c>
      <c r="AD277" s="19">
        <f t="shared" si="81"/>
        <v>0</v>
      </c>
      <c r="AE277" s="19">
        <f t="shared" si="82"/>
        <v>0</v>
      </c>
      <c r="AF277" s="19" t="str">
        <f>IF($D277&lt;&gt;1,"",IF(INDEX(TblClusters[Environnement],$B277)="","(vide)",INDEX(TblClusters[Environnement],$B277)))</f>
        <v>NPRD</v>
      </c>
      <c r="AG277" s="19">
        <f t="shared" si="83"/>
        <v>72</v>
      </c>
      <c r="AH277" s="19">
        <f t="shared" si="84"/>
        <v>30.666666666666668</v>
      </c>
      <c r="AI277" s="19">
        <f>IF($D277&lt;&gt;1,"",IF(AND($G277="IKS",ISNUMBER(INDEX(TblClusters[Fermeture retenue],$B277))),IF($E277&gt;=INDEX(TblClusters[Fermeture retenue],$B277),1,0),0))</f>
        <v>0</v>
      </c>
    </row>
    <row r="278" spans="1:35" x14ac:dyDescent="0.2">
      <c r="A278" s="19">
        <v>273</v>
      </c>
      <c r="B278" s="19">
        <f t="shared" si="68"/>
        <v>8</v>
      </c>
      <c r="C278" s="19">
        <f t="shared" si="69"/>
        <v>21</v>
      </c>
      <c r="D278" s="19">
        <f>IF($C278&gt;p_horizon,0,IFERROR(IF(AND(INDEX(TblClusters[Cluster],$B278)&lt;&gt;"",ISNUMBER(INDEX(TblClusters[CPU initial (vCPU)],$B278)),ISNUMBER(INDEX(TblClusters[CPU min (vCPU)],$B278)),OR(INDEX(TblClusters[Plateforme],$B278)="IKS",INDEX(TblClusters[Plateforme],$B278)="ROKS")),1,0),0))</f>
        <v>1</v>
      </c>
      <c r="E278" s="72">
        <f t="shared" si="70"/>
        <v>46905</v>
      </c>
      <c r="F278" s="19" t="str">
        <f>IF($D278=1,INDEX(TblClusters[Cluster],$B278),"")</f>
        <v>oc002i001010</v>
      </c>
      <c r="G278" s="19" t="str">
        <f>IF($D278=1,INDEX(TblClusters[Plateforme],$B278),"")</f>
        <v>ROKS</v>
      </c>
      <c r="H278" s="19">
        <f>IF($D278=1,INDEX(TblClusters[vCPU par nœud],$B278),"")</f>
        <v>8</v>
      </c>
      <c r="I278" s="19">
        <f>IF($D278=1,INDEX(TblClusters[RAM par nœud (Go)],$B278),"")</f>
        <v>40</v>
      </c>
      <c r="J278" s="19">
        <f>IF($D278=1,INDEX(TblClusters[Workers min],$B278),"")</f>
        <v>6</v>
      </c>
      <c r="K278" s="73">
        <f>IF($D278=1,INDEX(TblClusters[Tarif par nœud],$B278),"")</f>
        <v>368</v>
      </c>
      <c r="L278" s="19">
        <f>IF($D278=1,INDEX(TblClusters[CPU initial (vCPU)],$B278),"")</f>
        <v>48</v>
      </c>
      <c r="M278" s="19">
        <f>IF($D278=1,INDEX(TblClusters[RAM initiale (Go)],$B278),"")</f>
        <v>240</v>
      </c>
      <c r="N278" s="19">
        <f>IF($D278=1,INDEX(TblClusters[CPU min (vCPU)],$B278),"")</f>
        <v>48</v>
      </c>
      <c r="O278" s="19">
        <f>IF($D278=1,INDEX(TblClusters[RAM min (Go)],$B278),"")</f>
        <v>240</v>
      </c>
      <c r="P278" s="19">
        <f>IF($D278&lt;&gt;1,"",IF($G278="ROKS",SUMIFS(TblApplications[Besoin ROKS CPU (vCPU)],TblApplications[Cluster ROKS cible],$F278,TblApplications[Action],"À migrer",TblApplications[Déjà incluse ROKS],"Non",TblApplications[Mois prov (calc)],"&lt;="&amp;$E278),SUMIFS(TblApplications[CPU IKS libérable (vCPU)],TblApplications[Cluster IKS source],$F278,TblApplications[Mois lib (calc)],"&lt;="&amp;$E278)))</f>
        <v>0</v>
      </c>
      <c r="Q278" s="19">
        <f>IF($D278&lt;&gt;1,"",IF($G278="ROKS",SUMIFS(TblApplications[Besoin ROKS RAM (Go)],TblApplications[Cluster ROKS cible],$F278,TblApplications[Action],"À migrer",TblApplications[Déjà incluse ROKS],"Non",TblApplications[Mois prov (calc)],"&lt;="&amp;$E278),SUMIFS(TblApplications[RAM IKS libérable (Go)],TblApplications[Cluster IKS source],$F278,TblApplications[Mois lib (calc)],"&lt;="&amp;$E278)))</f>
        <v>0</v>
      </c>
      <c r="R278" s="19">
        <f t="shared" si="71"/>
        <v>48</v>
      </c>
      <c r="S278" s="19">
        <f t="shared" si="72"/>
        <v>240</v>
      </c>
      <c r="T278" s="19">
        <f t="shared" si="73"/>
        <v>6</v>
      </c>
      <c r="U278" s="19">
        <f t="shared" si="74"/>
        <v>48</v>
      </c>
      <c r="V278" s="19">
        <f t="shared" si="75"/>
        <v>240</v>
      </c>
      <c r="W278" s="73">
        <f t="shared" si="76"/>
        <v>2208</v>
      </c>
      <c r="X278" s="19">
        <f>IF($D278&lt;&gt;1,"",IF($G278="ROKS",$R278,IF($AI278=1,0,MAX($N278,$L278-SUMIFS(TblApplications[CPU IKS libérable (vCPU)],TblApplications[Cluster IKS source],$F278,TblApplications[Action],"À migrer",TblApplications[Mois prov (calc)],"&lt;="&amp;$E278)-SUMIFS(TblApplications[CPU IKS libérable (vCPU)],TblApplications[Cluster IKS source],$F278,TblApplications[Action],"À décommissionner",TblApplications[Mois lib (calc)],"&lt;="&amp;$E278)))))</f>
        <v>48</v>
      </c>
      <c r="Y278" s="19">
        <f>IF($D278&lt;&gt;1,"",IF($G278="ROKS",$S278,IF($AI278=1,0,MAX($O278,$M278-SUMIFS(TblApplications[RAM IKS libérable (Go)],TblApplications[Cluster IKS source],$F278,TblApplications[Action],"À migrer",TblApplications[Mois prov (calc)],"&lt;="&amp;$E278)-SUMIFS(TblApplications[RAM IKS libérable (Go)],TblApplications[Cluster IKS source],$F278,TblApplications[Action],"À décommissionner",TblApplications[Mois lib (calc)],"&lt;="&amp;$E278)))))</f>
        <v>240</v>
      </c>
      <c r="Z278" s="19">
        <f t="shared" si="77"/>
        <v>6</v>
      </c>
      <c r="AA278" s="73">
        <f t="shared" si="78"/>
        <v>2208</v>
      </c>
      <c r="AB278" s="19">
        <f t="shared" si="79"/>
        <v>6</v>
      </c>
      <c r="AC278" s="73">
        <f t="shared" si="80"/>
        <v>2208</v>
      </c>
      <c r="AD278" s="19">
        <f t="shared" si="81"/>
        <v>0</v>
      </c>
      <c r="AE278" s="19">
        <f t="shared" si="82"/>
        <v>0</v>
      </c>
      <c r="AF278" s="19" t="str">
        <f>IF($D278&lt;&gt;1,"",IF(INDEX(TblClusters[Environnement],$B278)="","(vide)",INDEX(TblClusters[Environnement],$B278)))</f>
        <v>NPRD</v>
      </c>
      <c r="AG278" s="19">
        <f t="shared" si="83"/>
        <v>72</v>
      </c>
      <c r="AH278" s="19">
        <f t="shared" si="84"/>
        <v>30.666666666666668</v>
      </c>
      <c r="AI278" s="19">
        <f>IF($D278&lt;&gt;1,"",IF(AND($G278="IKS",ISNUMBER(INDEX(TblClusters[Fermeture retenue],$B278))),IF($E278&gt;=INDEX(TblClusters[Fermeture retenue],$B278),1,0),0))</f>
        <v>0</v>
      </c>
    </row>
    <row r="279" spans="1:35" x14ac:dyDescent="0.2">
      <c r="A279" s="19">
        <v>274</v>
      </c>
      <c r="B279" s="19">
        <f t="shared" si="68"/>
        <v>8</v>
      </c>
      <c r="C279" s="19">
        <f t="shared" si="69"/>
        <v>22</v>
      </c>
      <c r="D279" s="19">
        <f>IF($C279&gt;p_horizon,0,IFERROR(IF(AND(INDEX(TblClusters[Cluster],$B279)&lt;&gt;"",ISNUMBER(INDEX(TblClusters[CPU initial (vCPU)],$B279)),ISNUMBER(INDEX(TblClusters[CPU min (vCPU)],$B279)),OR(INDEX(TblClusters[Plateforme],$B279)="IKS",INDEX(TblClusters[Plateforme],$B279)="ROKS")),1,0),0))</f>
        <v>1</v>
      </c>
      <c r="E279" s="72">
        <f t="shared" si="70"/>
        <v>46935</v>
      </c>
      <c r="F279" s="19" t="str">
        <f>IF($D279=1,INDEX(TblClusters[Cluster],$B279),"")</f>
        <v>oc002i001010</v>
      </c>
      <c r="G279" s="19" t="str">
        <f>IF($D279=1,INDEX(TblClusters[Plateforme],$B279),"")</f>
        <v>ROKS</v>
      </c>
      <c r="H279" s="19">
        <f>IF($D279=1,INDEX(TblClusters[vCPU par nœud],$B279),"")</f>
        <v>8</v>
      </c>
      <c r="I279" s="19">
        <f>IF($D279=1,INDEX(TblClusters[RAM par nœud (Go)],$B279),"")</f>
        <v>40</v>
      </c>
      <c r="J279" s="19">
        <f>IF($D279=1,INDEX(TblClusters[Workers min],$B279),"")</f>
        <v>6</v>
      </c>
      <c r="K279" s="73">
        <f>IF($D279=1,INDEX(TblClusters[Tarif par nœud],$B279),"")</f>
        <v>368</v>
      </c>
      <c r="L279" s="19">
        <f>IF($D279=1,INDEX(TblClusters[CPU initial (vCPU)],$B279),"")</f>
        <v>48</v>
      </c>
      <c r="M279" s="19">
        <f>IF($D279=1,INDEX(TblClusters[RAM initiale (Go)],$B279),"")</f>
        <v>240</v>
      </c>
      <c r="N279" s="19">
        <f>IF($D279=1,INDEX(TblClusters[CPU min (vCPU)],$B279),"")</f>
        <v>48</v>
      </c>
      <c r="O279" s="19">
        <f>IF($D279=1,INDEX(TblClusters[RAM min (Go)],$B279),"")</f>
        <v>240</v>
      </c>
      <c r="P279" s="19">
        <f>IF($D279&lt;&gt;1,"",IF($G279="ROKS",SUMIFS(TblApplications[Besoin ROKS CPU (vCPU)],TblApplications[Cluster ROKS cible],$F279,TblApplications[Action],"À migrer",TblApplications[Déjà incluse ROKS],"Non",TblApplications[Mois prov (calc)],"&lt;="&amp;$E279),SUMIFS(TblApplications[CPU IKS libérable (vCPU)],TblApplications[Cluster IKS source],$F279,TblApplications[Mois lib (calc)],"&lt;="&amp;$E279)))</f>
        <v>0</v>
      </c>
      <c r="Q279" s="19">
        <f>IF($D279&lt;&gt;1,"",IF($G279="ROKS",SUMIFS(TblApplications[Besoin ROKS RAM (Go)],TblApplications[Cluster ROKS cible],$F279,TblApplications[Action],"À migrer",TblApplications[Déjà incluse ROKS],"Non",TblApplications[Mois prov (calc)],"&lt;="&amp;$E279),SUMIFS(TblApplications[RAM IKS libérable (Go)],TblApplications[Cluster IKS source],$F279,TblApplications[Mois lib (calc)],"&lt;="&amp;$E279)))</f>
        <v>0</v>
      </c>
      <c r="R279" s="19">
        <f t="shared" si="71"/>
        <v>48</v>
      </c>
      <c r="S279" s="19">
        <f t="shared" si="72"/>
        <v>240</v>
      </c>
      <c r="T279" s="19">
        <f t="shared" si="73"/>
        <v>6</v>
      </c>
      <c r="U279" s="19">
        <f t="shared" si="74"/>
        <v>48</v>
      </c>
      <c r="V279" s="19">
        <f t="shared" si="75"/>
        <v>240</v>
      </c>
      <c r="W279" s="73">
        <f t="shared" si="76"/>
        <v>2208</v>
      </c>
      <c r="X279" s="19">
        <f>IF($D279&lt;&gt;1,"",IF($G279="ROKS",$R279,IF($AI279=1,0,MAX($N279,$L279-SUMIFS(TblApplications[CPU IKS libérable (vCPU)],TblApplications[Cluster IKS source],$F279,TblApplications[Action],"À migrer",TblApplications[Mois prov (calc)],"&lt;="&amp;$E279)-SUMIFS(TblApplications[CPU IKS libérable (vCPU)],TblApplications[Cluster IKS source],$F279,TblApplications[Action],"À décommissionner",TblApplications[Mois lib (calc)],"&lt;="&amp;$E279)))))</f>
        <v>48</v>
      </c>
      <c r="Y279" s="19">
        <f>IF($D279&lt;&gt;1,"",IF($G279="ROKS",$S279,IF($AI279=1,0,MAX($O279,$M279-SUMIFS(TblApplications[RAM IKS libérable (Go)],TblApplications[Cluster IKS source],$F279,TblApplications[Action],"À migrer",TblApplications[Mois prov (calc)],"&lt;="&amp;$E279)-SUMIFS(TblApplications[RAM IKS libérable (Go)],TblApplications[Cluster IKS source],$F279,TblApplications[Action],"À décommissionner",TblApplications[Mois lib (calc)],"&lt;="&amp;$E279)))))</f>
        <v>240</v>
      </c>
      <c r="Z279" s="19">
        <f t="shared" si="77"/>
        <v>6</v>
      </c>
      <c r="AA279" s="73">
        <f t="shared" si="78"/>
        <v>2208</v>
      </c>
      <c r="AB279" s="19">
        <f t="shared" si="79"/>
        <v>6</v>
      </c>
      <c r="AC279" s="73">
        <f t="shared" si="80"/>
        <v>2208</v>
      </c>
      <c r="AD279" s="19">
        <f t="shared" si="81"/>
        <v>0</v>
      </c>
      <c r="AE279" s="19">
        <f t="shared" si="82"/>
        <v>0</v>
      </c>
      <c r="AF279" s="19" t="str">
        <f>IF($D279&lt;&gt;1,"",IF(INDEX(TblClusters[Environnement],$B279)="","(vide)",INDEX(TblClusters[Environnement],$B279)))</f>
        <v>NPRD</v>
      </c>
      <c r="AG279" s="19">
        <f t="shared" si="83"/>
        <v>72</v>
      </c>
      <c r="AH279" s="19">
        <f t="shared" si="84"/>
        <v>30.666666666666668</v>
      </c>
      <c r="AI279" s="19">
        <f>IF($D279&lt;&gt;1,"",IF(AND($G279="IKS",ISNUMBER(INDEX(TblClusters[Fermeture retenue],$B279))),IF($E279&gt;=INDEX(TblClusters[Fermeture retenue],$B279),1,0),0))</f>
        <v>0</v>
      </c>
    </row>
    <row r="280" spans="1:35" x14ac:dyDescent="0.2">
      <c r="A280" s="19">
        <v>275</v>
      </c>
      <c r="B280" s="19">
        <f t="shared" si="68"/>
        <v>8</v>
      </c>
      <c r="C280" s="19">
        <f t="shared" si="69"/>
        <v>23</v>
      </c>
      <c r="D280" s="19">
        <f>IF($C280&gt;p_horizon,0,IFERROR(IF(AND(INDEX(TblClusters[Cluster],$B280)&lt;&gt;"",ISNUMBER(INDEX(TblClusters[CPU initial (vCPU)],$B280)),ISNUMBER(INDEX(TblClusters[CPU min (vCPU)],$B280)),OR(INDEX(TblClusters[Plateforme],$B280)="IKS",INDEX(TblClusters[Plateforme],$B280)="ROKS")),1,0),0))</f>
        <v>1</v>
      </c>
      <c r="E280" s="72">
        <f t="shared" si="70"/>
        <v>46966</v>
      </c>
      <c r="F280" s="19" t="str">
        <f>IF($D280=1,INDEX(TblClusters[Cluster],$B280),"")</f>
        <v>oc002i001010</v>
      </c>
      <c r="G280" s="19" t="str">
        <f>IF($D280=1,INDEX(TblClusters[Plateforme],$B280),"")</f>
        <v>ROKS</v>
      </c>
      <c r="H280" s="19">
        <f>IF($D280=1,INDEX(TblClusters[vCPU par nœud],$B280),"")</f>
        <v>8</v>
      </c>
      <c r="I280" s="19">
        <f>IF($D280=1,INDEX(TblClusters[RAM par nœud (Go)],$B280),"")</f>
        <v>40</v>
      </c>
      <c r="J280" s="19">
        <f>IF($D280=1,INDEX(TblClusters[Workers min],$B280),"")</f>
        <v>6</v>
      </c>
      <c r="K280" s="73">
        <f>IF($D280=1,INDEX(TblClusters[Tarif par nœud],$B280),"")</f>
        <v>368</v>
      </c>
      <c r="L280" s="19">
        <f>IF($D280=1,INDEX(TblClusters[CPU initial (vCPU)],$B280),"")</f>
        <v>48</v>
      </c>
      <c r="M280" s="19">
        <f>IF($D280=1,INDEX(TblClusters[RAM initiale (Go)],$B280),"")</f>
        <v>240</v>
      </c>
      <c r="N280" s="19">
        <f>IF($D280=1,INDEX(TblClusters[CPU min (vCPU)],$B280),"")</f>
        <v>48</v>
      </c>
      <c r="O280" s="19">
        <f>IF($D280=1,INDEX(TblClusters[RAM min (Go)],$B280),"")</f>
        <v>240</v>
      </c>
      <c r="P280" s="19">
        <f>IF($D280&lt;&gt;1,"",IF($G280="ROKS",SUMIFS(TblApplications[Besoin ROKS CPU (vCPU)],TblApplications[Cluster ROKS cible],$F280,TblApplications[Action],"À migrer",TblApplications[Déjà incluse ROKS],"Non",TblApplications[Mois prov (calc)],"&lt;="&amp;$E280),SUMIFS(TblApplications[CPU IKS libérable (vCPU)],TblApplications[Cluster IKS source],$F280,TblApplications[Mois lib (calc)],"&lt;="&amp;$E280)))</f>
        <v>0</v>
      </c>
      <c r="Q280" s="19">
        <f>IF($D280&lt;&gt;1,"",IF($G280="ROKS",SUMIFS(TblApplications[Besoin ROKS RAM (Go)],TblApplications[Cluster ROKS cible],$F280,TblApplications[Action],"À migrer",TblApplications[Déjà incluse ROKS],"Non",TblApplications[Mois prov (calc)],"&lt;="&amp;$E280),SUMIFS(TblApplications[RAM IKS libérable (Go)],TblApplications[Cluster IKS source],$F280,TblApplications[Mois lib (calc)],"&lt;="&amp;$E280)))</f>
        <v>0</v>
      </c>
      <c r="R280" s="19">
        <f t="shared" si="71"/>
        <v>48</v>
      </c>
      <c r="S280" s="19">
        <f t="shared" si="72"/>
        <v>240</v>
      </c>
      <c r="T280" s="19">
        <f t="shared" si="73"/>
        <v>6</v>
      </c>
      <c r="U280" s="19">
        <f t="shared" si="74"/>
        <v>48</v>
      </c>
      <c r="V280" s="19">
        <f t="shared" si="75"/>
        <v>240</v>
      </c>
      <c r="W280" s="73">
        <f t="shared" si="76"/>
        <v>2208</v>
      </c>
      <c r="X280" s="19">
        <f>IF($D280&lt;&gt;1,"",IF($G280="ROKS",$R280,IF($AI280=1,0,MAX($N280,$L280-SUMIFS(TblApplications[CPU IKS libérable (vCPU)],TblApplications[Cluster IKS source],$F280,TblApplications[Action],"À migrer",TblApplications[Mois prov (calc)],"&lt;="&amp;$E280)-SUMIFS(TblApplications[CPU IKS libérable (vCPU)],TblApplications[Cluster IKS source],$F280,TblApplications[Action],"À décommissionner",TblApplications[Mois lib (calc)],"&lt;="&amp;$E280)))))</f>
        <v>48</v>
      </c>
      <c r="Y280" s="19">
        <f>IF($D280&lt;&gt;1,"",IF($G280="ROKS",$S280,IF($AI280=1,0,MAX($O280,$M280-SUMIFS(TblApplications[RAM IKS libérable (Go)],TblApplications[Cluster IKS source],$F280,TblApplications[Action],"À migrer",TblApplications[Mois prov (calc)],"&lt;="&amp;$E280)-SUMIFS(TblApplications[RAM IKS libérable (Go)],TblApplications[Cluster IKS source],$F280,TblApplications[Action],"À décommissionner",TblApplications[Mois lib (calc)],"&lt;="&amp;$E280)))))</f>
        <v>240</v>
      </c>
      <c r="Z280" s="19">
        <f t="shared" si="77"/>
        <v>6</v>
      </c>
      <c r="AA280" s="73">
        <f t="shared" si="78"/>
        <v>2208</v>
      </c>
      <c r="AB280" s="19">
        <f t="shared" si="79"/>
        <v>6</v>
      </c>
      <c r="AC280" s="73">
        <f t="shared" si="80"/>
        <v>2208</v>
      </c>
      <c r="AD280" s="19">
        <f t="shared" si="81"/>
        <v>0</v>
      </c>
      <c r="AE280" s="19">
        <f t="shared" si="82"/>
        <v>0</v>
      </c>
      <c r="AF280" s="19" t="str">
        <f>IF($D280&lt;&gt;1,"",IF(INDEX(TblClusters[Environnement],$B280)="","(vide)",INDEX(TblClusters[Environnement],$B280)))</f>
        <v>NPRD</v>
      </c>
      <c r="AG280" s="19">
        <f t="shared" si="83"/>
        <v>72</v>
      </c>
      <c r="AH280" s="19">
        <f t="shared" si="84"/>
        <v>30.666666666666668</v>
      </c>
      <c r="AI280" s="19">
        <f>IF($D280&lt;&gt;1,"",IF(AND($G280="IKS",ISNUMBER(INDEX(TblClusters[Fermeture retenue],$B280))),IF($E280&gt;=INDEX(TblClusters[Fermeture retenue],$B280),1,0),0))</f>
        <v>0</v>
      </c>
    </row>
    <row r="281" spans="1:35" x14ac:dyDescent="0.2">
      <c r="A281" s="19">
        <v>276</v>
      </c>
      <c r="B281" s="19">
        <f t="shared" si="68"/>
        <v>8</v>
      </c>
      <c r="C281" s="19">
        <f t="shared" si="69"/>
        <v>24</v>
      </c>
      <c r="D281" s="19">
        <f>IF($C281&gt;p_horizon,0,IFERROR(IF(AND(INDEX(TblClusters[Cluster],$B281)&lt;&gt;"",ISNUMBER(INDEX(TblClusters[CPU initial (vCPU)],$B281)),ISNUMBER(INDEX(TblClusters[CPU min (vCPU)],$B281)),OR(INDEX(TblClusters[Plateforme],$B281)="IKS",INDEX(TblClusters[Plateforme],$B281)="ROKS")),1,0),0))</f>
        <v>1</v>
      </c>
      <c r="E281" s="72">
        <f t="shared" si="70"/>
        <v>46997</v>
      </c>
      <c r="F281" s="19" t="str">
        <f>IF($D281=1,INDEX(TblClusters[Cluster],$B281),"")</f>
        <v>oc002i001010</v>
      </c>
      <c r="G281" s="19" t="str">
        <f>IF($D281=1,INDEX(TblClusters[Plateforme],$B281),"")</f>
        <v>ROKS</v>
      </c>
      <c r="H281" s="19">
        <f>IF($D281=1,INDEX(TblClusters[vCPU par nœud],$B281),"")</f>
        <v>8</v>
      </c>
      <c r="I281" s="19">
        <f>IF($D281=1,INDEX(TblClusters[RAM par nœud (Go)],$B281),"")</f>
        <v>40</v>
      </c>
      <c r="J281" s="19">
        <f>IF($D281=1,INDEX(TblClusters[Workers min],$B281),"")</f>
        <v>6</v>
      </c>
      <c r="K281" s="73">
        <f>IF($D281=1,INDEX(TblClusters[Tarif par nœud],$B281),"")</f>
        <v>368</v>
      </c>
      <c r="L281" s="19">
        <f>IF($D281=1,INDEX(TblClusters[CPU initial (vCPU)],$B281),"")</f>
        <v>48</v>
      </c>
      <c r="M281" s="19">
        <f>IF($D281=1,INDEX(TblClusters[RAM initiale (Go)],$B281),"")</f>
        <v>240</v>
      </c>
      <c r="N281" s="19">
        <f>IF($D281=1,INDEX(TblClusters[CPU min (vCPU)],$B281),"")</f>
        <v>48</v>
      </c>
      <c r="O281" s="19">
        <f>IF($D281=1,INDEX(TblClusters[RAM min (Go)],$B281),"")</f>
        <v>240</v>
      </c>
      <c r="P281" s="19">
        <f>IF($D281&lt;&gt;1,"",IF($G281="ROKS",SUMIFS(TblApplications[Besoin ROKS CPU (vCPU)],TblApplications[Cluster ROKS cible],$F281,TblApplications[Action],"À migrer",TblApplications[Déjà incluse ROKS],"Non",TblApplications[Mois prov (calc)],"&lt;="&amp;$E281),SUMIFS(TblApplications[CPU IKS libérable (vCPU)],TblApplications[Cluster IKS source],$F281,TblApplications[Mois lib (calc)],"&lt;="&amp;$E281)))</f>
        <v>0</v>
      </c>
      <c r="Q281" s="19">
        <f>IF($D281&lt;&gt;1,"",IF($G281="ROKS",SUMIFS(TblApplications[Besoin ROKS RAM (Go)],TblApplications[Cluster ROKS cible],$F281,TblApplications[Action],"À migrer",TblApplications[Déjà incluse ROKS],"Non",TblApplications[Mois prov (calc)],"&lt;="&amp;$E281),SUMIFS(TblApplications[RAM IKS libérable (Go)],TblApplications[Cluster IKS source],$F281,TblApplications[Mois lib (calc)],"&lt;="&amp;$E281)))</f>
        <v>0</v>
      </c>
      <c r="R281" s="19">
        <f t="shared" si="71"/>
        <v>48</v>
      </c>
      <c r="S281" s="19">
        <f t="shared" si="72"/>
        <v>240</v>
      </c>
      <c r="T281" s="19">
        <f t="shared" si="73"/>
        <v>6</v>
      </c>
      <c r="U281" s="19">
        <f t="shared" si="74"/>
        <v>48</v>
      </c>
      <c r="V281" s="19">
        <f t="shared" si="75"/>
        <v>240</v>
      </c>
      <c r="W281" s="73">
        <f t="shared" si="76"/>
        <v>2208</v>
      </c>
      <c r="X281" s="19">
        <f>IF($D281&lt;&gt;1,"",IF($G281="ROKS",$R281,IF($AI281=1,0,MAX($N281,$L281-SUMIFS(TblApplications[CPU IKS libérable (vCPU)],TblApplications[Cluster IKS source],$F281,TblApplications[Action],"À migrer",TblApplications[Mois prov (calc)],"&lt;="&amp;$E281)-SUMIFS(TblApplications[CPU IKS libérable (vCPU)],TblApplications[Cluster IKS source],$F281,TblApplications[Action],"À décommissionner",TblApplications[Mois lib (calc)],"&lt;="&amp;$E281)))))</f>
        <v>48</v>
      </c>
      <c r="Y281" s="19">
        <f>IF($D281&lt;&gt;1,"",IF($G281="ROKS",$S281,IF($AI281=1,0,MAX($O281,$M281-SUMIFS(TblApplications[RAM IKS libérable (Go)],TblApplications[Cluster IKS source],$F281,TblApplications[Action],"À migrer",TblApplications[Mois prov (calc)],"&lt;="&amp;$E281)-SUMIFS(TblApplications[RAM IKS libérable (Go)],TblApplications[Cluster IKS source],$F281,TblApplications[Action],"À décommissionner",TblApplications[Mois lib (calc)],"&lt;="&amp;$E281)))))</f>
        <v>240</v>
      </c>
      <c r="Z281" s="19">
        <f t="shared" si="77"/>
        <v>6</v>
      </c>
      <c r="AA281" s="73">
        <f t="shared" si="78"/>
        <v>2208</v>
      </c>
      <c r="AB281" s="19">
        <f t="shared" si="79"/>
        <v>6</v>
      </c>
      <c r="AC281" s="73">
        <f t="shared" si="80"/>
        <v>2208</v>
      </c>
      <c r="AD281" s="19">
        <f t="shared" si="81"/>
        <v>0</v>
      </c>
      <c r="AE281" s="19">
        <f t="shared" si="82"/>
        <v>0</v>
      </c>
      <c r="AF281" s="19" t="str">
        <f>IF($D281&lt;&gt;1,"",IF(INDEX(TblClusters[Environnement],$B281)="","(vide)",INDEX(TblClusters[Environnement],$B281)))</f>
        <v>NPRD</v>
      </c>
      <c r="AG281" s="19">
        <f t="shared" si="83"/>
        <v>72</v>
      </c>
      <c r="AH281" s="19">
        <f t="shared" si="84"/>
        <v>30.666666666666668</v>
      </c>
      <c r="AI281" s="19">
        <f>IF($D281&lt;&gt;1,"",IF(AND($G281="IKS",ISNUMBER(INDEX(TblClusters[Fermeture retenue],$B281))),IF($E281&gt;=INDEX(TblClusters[Fermeture retenue],$B281),1,0),0))</f>
        <v>0</v>
      </c>
    </row>
    <row r="282" spans="1:35" x14ac:dyDescent="0.2">
      <c r="A282" s="19">
        <v>277</v>
      </c>
      <c r="B282" s="19">
        <f t="shared" si="68"/>
        <v>8</v>
      </c>
      <c r="C282" s="19">
        <f t="shared" si="69"/>
        <v>25</v>
      </c>
      <c r="D282" s="19">
        <f>IF($C282&gt;p_horizon,0,IFERROR(IF(AND(INDEX(TblClusters[Cluster],$B282)&lt;&gt;"",ISNUMBER(INDEX(TblClusters[CPU initial (vCPU)],$B282)),ISNUMBER(INDEX(TblClusters[CPU min (vCPU)],$B282)),OR(INDEX(TblClusters[Plateforme],$B282)="IKS",INDEX(TblClusters[Plateforme],$B282)="ROKS")),1,0),0))</f>
        <v>1</v>
      </c>
      <c r="E282" s="72">
        <f t="shared" si="70"/>
        <v>47027</v>
      </c>
      <c r="F282" s="19" t="str">
        <f>IF($D282=1,INDEX(TblClusters[Cluster],$B282),"")</f>
        <v>oc002i001010</v>
      </c>
      <c r="G282" s="19" t="str">
        <f>IF($D282=1,INDEX(TblClusters[Plateforme],$B282),"")</f>
        <v>ROKS</v>
      </c>
      <c r="H282" s="19">
        <f>IF($D282=1,INDEX(TblClusters[vCPU par nœud],$B282),"")</f>
        <v>8</v>
      </c>
      <c r="I282" s="19">
        <f>IF($D282=1,INDEX(TblClusters[RAM par nœud (Go)],$B282),"")</f>
        <v>40</v>
      </c>
      <c r="J282" s="19">
        <f>IF($D282=1,INDEX(TblClusters[Workers min],$B282),"")</f>
        <v>6</v>
      </c>
      <c r="K282" s="73">
        <f>IF($D282=1,INDEX(TblClusters[Tarif par nœud],$B282),"")</f>
        <v>368</v>
      </c>
      <c r="L282" s="19">
        <f>IF($D282=1,INDEX(TblClusters[CPU initial (vCPU)],$B282),"")</f>
        <v>48</v>
      </c>
      <c r="M282" s="19">
        <f>IF($D282=1,INDEX(TblClusters[RAM initiale (Go)],$B282),"")</f>
        <v>240</v>
      </c>
      <c r="N282" s="19">
        <f>IF($D282=1,INDEX(TblClusters[CPU min (vCPU)],$B282),"")</f>
        <v>48</v>
      </c>
      <c r="O282" s="19">
        <f>IF($D282=1,INDEX(TblClusters[RAM min (Go)],$B282),"")</f>
        <v>240</v>
      </c>
      <c r="P282" s="19">
        <f>IF($D282&lt;&gt;1,"",IF($G282="ROKS",SUMIFS(TblApplications[Besoin ROKS CPU (vCPU)],TblApplications[Cluster ROKS cible],$F282,TblApplications[Action],"À migrer",TblApplications[Déjà incluse ROKS],"Non",TblApplications[Mois prov (calc)],"&lt;="&amp;$E282),SUMIFS(TblApplications[CPU IKS libérable (vCPU)],TblApplications[Cluster IKS source],$F282,TblApplications[Mois lib (calc)],"&lt;="&amp;$E282)))</f>
        <v>0</v>
      </c>
      <c r="Q282" s="19">
        <f>IF($D282&lt;&gt;1,"",IF($G282="ROKS",SUMIFS(TblApplications[Besoin ROKS RAM (Go)],TblApplications[Cluster ROKS cible],$F282,TblApplications[Action],"À migrer",TblApplications[Déjà incluse ROKS],"Non",TblApplications[Mois prov (calc)],"&lt;="&amp;$E282),SUMIFS(TblApplications[RAM IKS libérable (Go)],TblApplications[Cluster IKS source],$F282,TblApplications[Mois lib (calc)],"&lt;="&amp;$E282)))</f>
        <v>0</v>
      </c>
      <c r="R282" s="19">
        <f t="shared" si="71"/>
        <v>48</v>
      </c>
      <c r="S282" s="19">
        <f t="shared" si="72"/>
        <v>240</v>
      </c>
      <c r="T282" s="19">
        <f t="shared" si="73"/>
        <v>6</v>
      </c>
      <c r="U282" s="19">
        <f t="shared" si="74"/>
        <v>48</v>
      </c>
      <c r="V282" s="19">
        <f t="shared" si="75"/>
        <v>240</v>
      </c>
      <c r="W282" s="73">
        <f t="shared" si="76"/>
        <v>2208</v>
      </c>
      <c r="X282" s="19">
        <f>IF($D282&lt;&gt;1,"",IF($G282="ROKS",$R282,IF($AI282=1,0,MAX($N282,$L282-SUMIFS(TblApplications[CPU IKS libérable (vCPU)],TblApplications[Cluster IKS source],$F282,TblApplications[Action],"À migrer",TblApplications[Mois prov (calc)],"&lt;="&amp;$E282)-SUMIFS(TblApplications[CPU IKS libérable (vCPU)],TblApplications[Cluster IKS source],$F282,TblApplications[Action],"À décommissionner",TblApplications[Mois lib (calc)],"&lt;="&amp;$E282)))))</f>
        <v>48</v>
      </c>
      <c r="Y282" s="19">
        <f>IF($D282&lt;&gt;1,"",IF($G282="ROKS",$S282,IF($AI282=1,0,MAX($O282,$M282-SUMIFS(TblApplications[RAM IKS libérable (Go)],TblApplications[Cluster IKS source],$F282,TblApplications[Action],"À migrer",TblApplications[Mois prov (calc)],"&lt;="&amp;$E282)-SUMIFS(TblApplications[RAM IKS libérable (Go)],TblApplications[Cluster IKS source],$F282,TblApplications[Action],"À décommissionner",TblApplications[Mois lib (calc)],"&lt;="&amp;$E282)))))</f>
        <v>240</v>
      </c>
      <c r="Z282" s="19">
        <f t="shared" si="77"/>
        <v>6</v>
      </c>
      <c r="AA282" s="73">
        <f t="shared" si="78"/>
        <v>2208</v>
      </c>
      <c r="AB282" s="19">
        <f t="shared" si="79"/>
        <v>6</v>
      </c>
      <c r="AC282" s="73">
        <f t="shared" si="80"/>
        <v>2208</v>
      </c>
      <c r="AD282" s="19">
        <f t="shared" si="81"/>
        <v>0</v>
      </c>
      <c r="AE282" s="19">
        <f t="shared" si="82"/>
        <v>0</v>
      </c>
      <c r="AF282" s="19" t="str">
        <f>IF($D282&lt;&gt;1,"",IF(INDEX(TblClusters[Environnement],$B282)="","(vide)",INDEX(TblClusters[Environnement],$B282)))</f>
        <v>NPRD</v>
      </c>
      <c r="AG282" s="19">
        <f t="shared" si="83"/>
        <v>72</v>
      </c>
      <c r="AH282" s="19">
        <f t="shared" si="84"/>
        <v>30.666666666666668</v>
      </c>
      <c r="AI282" s="19">
        <f>IF($D282&lt;&gt;1,"",IF(AND($G282="IKS",ISNUMBER(INDEX(TblClusters[Fermeture retenue],$B282))),IF($E282&gt;=INDEX(TblClusters[Fermeture retenue],$B282),1,0),0))</f>
        <v>0</v>
      </c>
    </row>
    <row r="283" spans="1:35" x14ac:dyDescent="0.2">
      <c r="A283" s="19">
        <v>278</v>
      </c>
      <c r="B283" s="19">
        <f t="shared" si="68"/>
        <v>8</v>
      </c>
      <c r="C283" s="19">
        <f t="shared" si="69"/>
        <v>26</v>
      </c>
      <c r="D283" s="19">
        <f>IF($C283&gt;p_horizon,0,IFERROR(IF(AND(INDEX(TblClusters[Cluster],$B283)&lt;&gt;"",ISNUMBER(INDEX(TblClusters[CPU initial (vCPU)],$B283)),ISNUMBER(INDEX(TblClusters[CPU min (vCPU)],$B283)),OR(INDEX(TblClusters[Plateforme],$B283)="IKS",INDEX(TblClusters[Plateforme],$B283)="ROKS")),1,0),0))</f>
        <v>1</v>
      </c>
      <c r="E283" s="72">
        <f t="shared" si="70"/>
        <v>47058</v>
      </c>
      <c r="F283" s="19" t="str">
        <f>IF($D283=1,INDEX(TblClusters[Cluster],$B283),"")</f>
        <v>oc002i001010</v>
      </c>
      <c r="G283" s="19" t="str">
        <f>IF($D283=1,INDEX(TblClusters[Plateforme],$B283),"")</f>
        <v>ROKS</v>
      </c>
      <c r="H283" s="19">
        <f>IF($D283=1,INDEX(TblClusters[vCPU par nœud],$B283),"")</f>
        <v>8</v>
      </c>
      <c r="I283" s="19">
        <f>IF($D283=1,INDEX(TblClusters[RAM par nœud (Go)],$B283),"")</f>
        <v>40</v>
      </c>
      <c r="J283" s="19">
        <f>IF($D283=1,INDEX(TblClusters[Workers min],$B283),"")</f>
        <v>6</v>
      </c>
      <c r="K283" s="73">
        <f>IF($D283=1,INDEX(TblClusters[Tarif par nœud],$B283),"")</f>
        <v>368</v>
      </c>
      <c r="L283" s="19">
        <f>IF($D283=1,INDEX(TblClusters[CPU initial (vCPU)],$B283),"")</f>
        <v>48</v>
      </c>
      <c r="M283" s="19">
        <f>IF($D283=1,INDEX(TblClusters[RAM initiale (Go)],$B283),"")</f>
        <v>240</v>
      </c>
      <c r="N283" s="19">
        <f>IF($D283=1,INDEX(TblClusters[CPU min (vCPU)],$B283),"")</f>
        <v>48</v>
      </c>
      <c r="O283" s="19">
        <f>IF($D283=1,INDEX(TblClusters[RAM min (Go)],$B283),"")</f>
        <v>240</v>
      </c>
      <c r="P283" s="19">
        <f>IF($D283&lt;&gt;1,"",IF($G283="ROKS",SUMIFS(TblApplications[Besoin ROKS CPU (vCPU)],TblApplications[Cluster ROKS cible],$F283,TblApplications[Action],"À migrer",TblApplications[Déjà incluse ROKS],"Non",TblApplications[Mois prov (calc)],"&lt;="&amp;$E283),SUMIFS(TblApplications[CPU IKS libérable (vCPU)],TblApplications[Cluster IKS source],$F283,TblApplications[Mois lib (calc)],"&lt;="&amp;$E283)))</f>
        <v>0</v>
      </c>
      <c r="Q283" s="19">
        <f>IF($D283&lt;&gt;1,"",IF($G283="ROKS",SUMIFS(TblApplications[Besoin ROKS RAM (Go)],TblApplications[Cluster ROKS cible],$F283,TblApplications[Action],"À migrer",TblApplications[Déjà incluse ROKS],"Non",TblApplications[Mois prov (calc)],"&lt;="&amp;$E283),SUMIFS(TblApplications[RAM IKS libérable (Go)],TblApplications[Cluster IKS source],$F283,TblApplications[Mois lib (calc)],"&lt;="&amp;$E283)))</f>
        <v>0</v>
      </c>
      <c r="R283" s="19">
        <f t="shared" si="71"/>
        <v>48</v>
      </c>
      <c r="S283" s="19">
        <f t="shared" si="72"/>
        <v>240</v>
      </c>
      <c r="T283" s="19">
        <f t="shared" si="73"/>
        <v>6</v>
      </c>
      <c r="U283" s="19">
        <f t="shared" si="74"/>
        <v>48</v>
      </c>
      <c r="V283" s="19">
        <f t="shared" si="75"/>
        <v>240</v>
      </c>
      <c r="W283" s="73">
        <f t="shared" si="76"/>
        <v>2208</v>
      </c>
      <c r="X283" s="19">
        <f>IF($D283&lt;&gt;1,"",IF($G283="ROKS",$R283,IF($AI283=1,0,MAX($N283,$L283-SUMIFS(TblApplications[CPU IKS libérable (vCPU)],TblApplications[Cluster IKS source],$F283,TblApplications[Action],"À migrer",TblApplications[Mois prov (calc)],"&lt;="&amp;$E283)-SUMIFS(TblApplications[CPU IKS libérable (vCPU)],TblApplications[Cluster IKS source],$F283,TblApplications[Action],"À décommissionner",TblApplications[Mois lib (calc)],"&lt;="&amp;$E283)))))</f>
        <v>48</v>
      </c>
      <c r="Y283" s="19">
        <f>IF($D283&lt;&gt;1,"",IF($G283="ROKS",$S283,IF($AI283=1,0,MAX($O283,$M283-SUMIFS(TblApplications[RAM IKS libérable (Go)],TblApplications[Cluster IKS source],$F283,TblApplications[Action],"À migrer",TblApplications[Mois prov (calc)],"&lt;="&amp;$E283)-SUMIFS(TblApplications[RAM IKS libérable (Go)],TblApplications[Cluster IKS source],$F283,TblApplications[Action],"À décommissionner",TblApplications[Mois lib (calc)],"&lt;="&amp;$E283)))))</f>
        <v>240</v>
      </c>
      <c r="Z283" s="19">
        <f t="shared" si="77"/>
        <v>6</v>
      </c>
      <c r="AA283" s="73">
        <f t="shared" si="78"/>
        <v>2208</v>
      </c>
      <c r="AB283" s="19">
        <f t="shared" si="79"/>
        <v>6</v>
      </c>
      <c r="AC283" s="73">
        <f t="shared" si="80"/>
        <v>2208</v>
      </c>
      <c r="AD283" s="19">
        <f t="shared" si="81"/>
        <v>0</v>
      </c>
      <c r="AE283" s="19">
        <f t="shared" si="82"/>
        <v>0</v>
      </c>
      <c r="AF283" s="19" t="str">
        <f>IF($D283&lt;&gt;1,"",IF(INDEX(TblClusters[Environnement],$B283)="","(vide)",INDEX(TblClusters[Environnement],$B283)))</f>
        <v>NPRD</v>
      </c>
      <c r="AG283" s="19">
        <f t="shared" si="83"/>
        <v>72</v>
      </c>
      <c r="AH283" s="19">
        <f t="shared" si="84"/>
        <v>30.666666666666668</v>
      </c>
      <c r="AI283" s="19">
        <f>IF($D283&lt;&gt;1,"",IF(AND($G283="IKS",ISNUMBER(INDEX(TblClusters[Fermeture retenue],$B283))),IF($E283&gt;=INDEX(TblClusters[Fermeture retenue],$B283),1,0),0))</f>
        <v>0</v>
      </c>
    </row>
    <row r="284" spans="1:35" x14ac:dyDescent="0.2">
      <c r="A284" s="19">
        <v>279</v>
      </c>
      <c r="B284" s="19">
        <f t="shared" si="68"/>
        <v>8</v>
      </c>
      <c r="C284" s="19">
        <f t="shared" si="69"/>
        <v>27</v>
      </c>
      <c r="D284" s="19">
        <f>IF($C284&gt;p_horizon,0,IFERROR(IF(AND(INDEX(TblClusters[Cluster],$B284)&lt;&gt;"",ISNUMBER(INDEX(TblClusters[CPU initial (vCPU)],$B284)),ISNUMBER(INDEX(TblClusters[CPU min (vCPU)],$B284)),OR(INDEX(TblClusters[Plateforme],$B284)="IKS",INDEX(TblClusters[Plateforme],$B284)="ROKS")),1,0),0))</f>
        <v>1</v>
      </c>
      <c r="E284" s="72">
        <f t="shared" si="70"/>
        <v>47088</v>
      </c>
      <c r="F284" s="19" t="str">
        <f>IF($D284=1,INDEX(TblClusters[Cluster],$B284),"")</f>
        <v>oc002i001010</v>
      </c>
      <c r="G284" s="19" t="str">
        <f>IF($D284=1,INDEX(TblClusters[Plateforme],$B284),"")</f>
        <v>ROKS</v>
      </c>
      <c r="H284" s="19">
        <f>IF($D284=1,INDEX(TblClusters[vCPU par nœud],$B284),"")</f>
        <v>8</v>
      </c>
      <c r="I284" s="19">
        <f>IF($D284=1,INDEX(TblClusters[RAM par nœud (Go)],$B284),"")</f>
        <v>40</v>
      </c>
      <c r="J284" s="19">
        <f>IF($D284=1,INDEX(TblClusters[Workers min],$B284),"")</f>
        <v>6</v>
      </c>
      <c r="K284" s="73">
        <f>IF($D284=1,INDEX(TblClusters[Tarif par nœud],$B284),"")</f>
        <v>368</v>
      </c>
      <c r="L284" s="19">
        <f>IF($D284=1,INDEX(TblClusters[CPU initial (vCPU)],$B284),"")</f>
        <v>48</v>
      </c>
      <c r="M284" s="19">
        <f>IF($D284=1,INDEX(TblClusters[RAM initiale (Go)],$B284),"")</f>
        <v>240</v>
      </c>
      <c r="N284" s="19">
        <f>IF($D284=1,INDEX(TblClusters[CPU min (vCPU)],$B284),"")</f>
        <v>48</v>
      </c>
      <c r="O284" s="19">
        <f>IF($D284=1,INDEX(TblClusters[RAM min (Go)],$B284),"")</f>
        <v>240</v>
      </c>
      <c r="P284" s="19">
        <f>IF($D284&lt;&gt;1,"",IF($G284="ROKS",SUMIFS(TblApplications[Besoin ROKS CPU (vCPU)],TblApplications[Cluster ROKS cible],$F284,TblApplications[Action],"À migrer",TblApplications[Déjà incluse ROKS],"Non",TblApplications[Mois prov (calc)],"&lt;="&amp;$E284),SUMIFS(TblApplications[CPU IKS libérable (vCPU)],TblApplications[Cluster IKS source],$F284,TblApplications[Mois lib (calc)],"&lt;="&amp;$E284)))</f>
        <v>0</v>
      </c>
      <c r="Q284" s="19">
        <f>IF($D284&lt;&gt;1,"",IF($G284="ROKS",SUMIFS(TblApplications[Besoin ROKS RAM (Go)],TblApplications[Cluster ROKS cible],$F284,TblApplications[Action],"À migrer",TblApplications[Déjà incluse ROKS],"Non",TblApplications[Mois prov (calc)],"&lt;="&amp;$E284),SUMIFS(TblApplications[RAM IKS libérable (Go)],TblApplications[Cluster IKS source],$F284,TblApplications[Mois lib (calc)],"&lt;="&amp;$E284)))</f>
        <v>0</v>
      </c>
      <c r="R284" s="19">
        <f t="shared" si="71"/>
        <v>48</v>
      </c>
      <c r="S284" s="19">
        <f t="shared" si="72"/>
        <v>240</v>
      </c>
      <c r="T284" s="19">
        <f t="shared" si="73"/>
        <v>6</v>
      </c>
      <c r="U284" s="19">
        <f t="shared" si="74"/>
        <v>48</v>
      </c>
      <c r="V284" s="19">
        <f t="shared" si="75"/>
        <v>240</v>
      </c>
      <c r="W284" s="73">
        <f t="shared" si="76"/>
        <v>2208</v>
      </c>
      <c r="X284" s="19">
        <f>IF($D284&lt;&gt;1,"",IF($G284="ROKS",$R284,IF($AI284=1,0,MAX($N284,$L284-SUMIFS(TblApplications[CPU IKS libérable (vCPU)],TblApplications[Cluster IKS source],$F284,TblApplications[Action],"À migrer",TblApplications[Mois prov (calc)],"&lt;="&amp;$E284)-SUMIFS(TblApplications[CPU IKS libérable (vCPU)],TblApplications[Cluster IKS source],$F284,TblApplications[Action],"À décommissionner",TblApplications[Mois lib (calc)],"&lt;="&amp;$E284)))))</f>
        <v>48</v>
      </c>
      <c r="Y284" s="19">
        <f>IF($D284&lt;&gt;1,"",IF($G284="ROKS",$S284,IF($AI284=1,0,MAX($O284,$M284-SUMIFS(TblApplications[RAM IKS libérable (Go)],TblApplications[Cluster IKS source],$F284,TblApplications[Action],"À migrer",TblApplications[Mois prov (calc)],"&lt;="&amp;$E284)-SUMIFS(TblApplications[RAM IKS libérable (Go)],TblApplications[Cluster IKS source],$F284,TblApplications[Action],"À décommissionner",TblApplications[Mois lib (calc)],"&lt;="&amp;$E284)))))</f>
        <v>240</v>
      </c>
      <c r="Z284" s="19">
        <f t="shared" si="77"/>
        <v>6</v>
      </c>
      <c r="AA284" s="73">
        <f t="shared" si="78"/>
        <v>2208</v>
      </c>
      <c r="AB284" s="19">
        <f t="shared" si="79"/>
        <v>6</v>
      </c>
      <c r="AC284" s="73">
        <f t="shared" si="80"/>
        <v>2208</v>
      </c>
      <c r="AD284" s="19">
        <f t="shared" si="81"/>
        <v>0</v>
      </c>
      <c r="AE284" s="19">
        <f t="shared" si="82"/>
        <v>0</v>
      </c>
      <c r="AF284" s="19" t="str">
        <f>IF($D284&lt;&gt;1,"",IF(INDEX(TblClusters[Environnement],$B284)="","(vide)",INDEX(TblClusters[Environnement],$B284)))</f>
        <v>NPRD</v>
      </c>
      <c r="AG284" s="19">
        <f t="shared" si="83"/>
        <v>72</v>
      </c>
      <c r="AH284" s="19">
        <f t="shared" si="84"/>
        <v>30.666666666666668</v>
      </c>
      <c r="AI284" s="19">
        <f>IF($D284&lt;&gt;1,"",IF(AND($G284="IKS",ISNUMBER(INDEX(TblClusters[Fermeture retenue],$B284))),IF($E284&gt;=INDEX(TblClusters[Fermeture retenue],$B284),1,0),0))</f>
        <v>0</v>
      </c>
    </row>
    <row r="285" spans="1:35" x14ac:dyDescent="0.2">
      <c r="A285" s="19">
        <v>280</v>
      </c>
      <c r="B285" s="19">
        <f t="shared" si="68"/>
        <v>8</v>
      </c>
      <c r="C285" s="19">
        <f t="shared" si="69"/>
        <v>28</v>
      </c>
      <c r="D285" s="19">
        <f>IF($C285&gt;p_horizon,0,IFERROR(IF(AND(INDEX(TblClusters[Cluster],$B285)&lt;&gt;"",ISNUMBER(INDEX(TblClusters[CPU initial (vCPU)],$B285)),ISNUMBER(INDEX(TblClusters[CPU min (vCPU)],$B285)),OR(INDEX(TblClusters[Plateforme],$B285)="IKS",INDEX(TblClusters[Plateforme],$B285)="ROKS")),1,0),0))</f>
        <v>1</v>
      </c>
      <c r="E285" s="72">
        <f t="shared" si="70"/>
        <v>47119</v>
      </c>
      <c r="F285" s="19" t="str">
        <f>IF($D285=1,INDEX(TblClusters[Cluster],$B285),"")</f>
        <v>oc002i001010</v>
      </c>
      <c r="G285" s="19" t="str">
        <f>IF($D285=1,INDEX(TblClusters[Plateforme],$B285),"")</f>
        <v>ROKS</v>
      </c>
      <c r="H285" s="19">
        <f>IF($D285=1,INDEX(TblClusters[vCPU par nœud],$B285),"")</f>
        <v>8</v>
      </c>
      <c r="I285" s="19">
        <f>IF($D285=1,INDEX(TblClusters[RAM par nœud (Go)],$B285),"")</f>
        <v>40</v>
      </c>
      <c r="J285" s="19">
        <f>IF($D285=1,INDEX(TblClusters[Workers min],$B285),"")</f>
        <v>6</v>
      </c>
      <c r="K285" s="73">
        <f>IF($D285=1,INDEX(TblClusters[Tarif par nœud],$B285),"")</f>
        <v>368</v>
      </c>
      <c r="L285" s="19">
        <f>IF($D285=1,INDEX(TblClusters[CPU initial (vCPU)],$B285),"")</f>
        <v>48</v>
      </c>
      <c r="M285" s="19">
        <f>IF($D285=1,INDEX(TblClusters[RAM initiale (Go)],$B285),"")</f>
        <v>240</v>
      </c>
      <c r="N285" s="19">
        <f>IF($D285=1,INDEX(TblClusters[CPU min (vCPU)],$B285),"")</f>
        <v>48</v>
      </c>
      <c r="O285" s="19">
        <f>IF($D285=1,INDEX(TblClusters[RAM min (Go)],$B285),"")</f>
        <v>240</v>
      </c>
      <c r="P285" s="19">
        <f>IF($D285&lt;&gt;1,"",IF($G285="ROKS",SUMIFS(TblApplications[Besoin ROKS CPU (vCPU)],TblApplications[Cluster ROKS cible],$F285,TblApplications[Action],"À migrer",TblApplications[Déjà incluse ROKS],"Non",TblApplications[Mois prov (calc)],"&lt;="&amp;$E285),SUMIFS(TblApplications[CPU IKS libérable (vCPU)],TblApplications[Cluster IKS source],$F285,TblApplications[Mois lib (calc)],"&lt;="&amp;$E285)))</f>
        <v>0</v>
      </c>
      <c r="Q285" s="19">
        <f>IF($D285&lt;&gt;1,"",IF($G285="ROKS",SUMIFS(TblApplications[Besoin ROKS RAM (Go)],TblApplications[Cluster ROKS cible],$F285,TblApplications[Action],"À migrer",TblApplications[Déjà incluse ROKS],"Non",TblApplications[Mois prov (calc)],"&lt;="&amp;$E285),SUMIFS(TblApplications[RAM IKS libérable (Go)],TblApplications[Cluster IKS source],$F285,TblApplications[Mois lib (calc)],"&lt;="&amp;$E285)))</f>
        <v>0</v>
      </c>
      <c r="R285" s="19">
        <f t="shared" si="71"/>
        <v>48</v>
      </c>
      <c r="S285" s="19">
        <f t="shared" si="72"/>
        <v>240</v>
      </c>
      <c r="T285" s="19">
        <f t="shared" si="73"/>
        <v>6</v>
      </c>
      <c r="U285" s="19">
        <f t="shared" si="74"/>
        <v>48</v>
      </c>
      <c r="V285" s="19">
        <f t="shared" si="75"/>
        <v>240</v>
      </c>
      <c r="W285" s="73">
        <f t="shared" si="76"/>
        <v>2208</v>
      </c>
      <c r="X285" s="19">
        <f>IF($D285&lt;&gt;1,"",IF($G285="ROKS",$R285,IF($AI285=1,0,MAX($N285,$L285-SUMIFS(TblApplications[CPU IKS libérable (vCPU)],TblApplications[Cluster IKS source],$F285,TblApplications[Action],"À migrer",TblApplications[Mois prov (calc)],"&lt;="&amp;$E285)-SUMIFS(TblApplications[CPU IKS libérable (vCPU)],TblApplications[Cluster IKS source],$F285,TblApplications[Action],"À décommissionner",TblApplications[Mois lib (calc)],"&lt;="&amp;$E285)))))</f>
        <v>48</v>
      </c>
      <c r="Y285" s="19">
        <f>IF($D285&lt;&gt;1,"",IF($G285="ROKS",$S285,IF($AI285=1,0,MAX($O285,$M285-SUMIFS(TblApplications[RAM IKS libérable (Go)],TblApplications[Cluster IKS source],$F285,TblApplications[Action],"À migrer",TblApplications[Mois prov (calc)],"&lt;="&amp;$E285)-SUMIFS(TblApplications[RAM IKS libérable (Go)],TblApplications[Cluster IKS source],$F285,TblApplications[Action],"À décommissionner",TblApplications[Mois lib (calc)],"&lt;="&amp;$E285)))))</f>
        <v>240</v>
      </c>
      <c r="Z285" s="19">
        <f t="shared" si="77"/>
        <v>6</v>
      </c>
      <c r="AA285" s="73">
        <f t="shared" si="78"/>
        <v>2208</v>
      </c>
      <c r="AB285" s="19">
        <f t="shared" si="79"/>
        <v>6</v>
      </c>
      <c r="AC285" s="73">
        <f t="shared" si="80"/>
        <v>2208</v>
      </c>
      <c r="AD285" s="19">
        <f t="shared" si="81"/>
        <v>0</v>
      </c>
      <c r="AE285" s="19">
        <f t="shared" si="82"/>
        <v>0</v>
      </c>
      <c r="AF285" s="19" t="str">
        <f>IF($D285&lt;&gt;1,"",IF(INDEX(TblClusters[Environnement],$B285)="","(vide)",INDEX(TblClusters[Environnement],$B285)))</f>
        <v>NPRD</v>
      </c>
      <c r="AG285" s="19">
        <f t="shared" si="83"/>
        <v>72</v>
      </c>
      <c r="AH285" s="19">
        <f t="shared" si="84"/>
        <v>30.666666666666668</v>
      </c>
      <c r="AI285" s="19">
        <f>IF($D285&lt;&gt;1,"",IF(AND($G285="IKS",ISNUMBER(INDEX(TblClusters[Fermeture retenue],$B285))),IF($E285&gt;=INDEX(TblClusters[Fermeture retenue],$B285),1,0),0))</f>
        <v>0</v>
      </c>
    </row>
    <row r="286" spans="1:35" x14ac:dyDescent="0.2">
      <c r="A286" s="19">
        <v>281</v>
      </c>
      <c r="B286" s="19">
        <f t="shared" si="68"/>
        <v>8</v>
      </c>
      <c r="C286" s="19">
        <f t="shared" si="69"/>
        <v>29</v>
      </c>
      <c r="D286" s="19">
        <f>IF($C286&gt;p_horizon,0,IFERROR(IF(AND(INDEX(TblClusters[Cluster],$B286)&lt;&gt;"",ISNUMBER(INDEX(TblClusters[CPU initial (vCPU)],$B286)),ISNUMBER(INDEX(TblClusters[CPU min (vCPU)],$B286)),OR(INDEX(TblClusters[Plateforme],$B286)="IKS",INDEX(TblClusters[Plateforme],$B286)="ROKS")),1,0),0))</f>
        <v>1</v>
      </c>
      <c r="E286" s="72">
        <f t="shared" si="70"/>
        <v>47150</v>
      </c>
      <c r="F286" s="19" t="str">
        <f>IF($D286=1,INDEX(TblClusters[Cluster],$B286),"")</f>
        <v>oc002i001010</v>
      </c>
      <c r="G286" s="19" t="str">
        <f>IF($D286=1,INDEX(TblClusters[Plateforme],$B286),"")</f>
        <v>ROKS</v>
      </c>
      <c r="H286" s="19">
        <f>IF($D286=1,INDEX(TblClusters[vCPU par nœud],$B286),"")</f>
        <v>8</v>
      </c>
      <c r="I286" s="19">
        <f>IF($D286=1,INDEX(TblClusters[RAM par nœud (Go)],$B286),"")</f>
        <v>40</v>
      </c>
      <c r="J286" s="19">
        <f>IF($D286=1,INDEX(TblClusters[Workers min],$B286),"")</f>
        <v>6</v>
      </c>
      <c r="K286" s="73">
        <f>IF($D286=1,INDEX(TblClusters[Tarif par nœud],$B286),"")</f>
        <v>368</v>
      </c>
      <c r="L286" s="19">
        <f>IF($D286=1,INDEX(TblClusters[CPU initial (vCPU)],$B286),"")</f>
        <v>48</v>
      </c>
      <c r="M286" s="19">
        <f>IF($D286=1,INDEX(TblClusters[RAM initiale (Go)],$B286),"")</f>
        <v>240</v>
      </c>
      <c r="N286" s="19">
        <f>IF($D286=1,INDEX(TblClusters[CPU min (vCPU)],$B286),"")</f>
        <v>48</v>
      </c>
      <c r="O286" s="19">
        <f>IF($D286=1,INDEX(TblClusters[RAM min (Go)],$B286),"")</f>
        <v>240</v>
      </c>
      <c r="P286" s="19">
        <f>IF($D286&lt;&gt;1,"",IF($G286="ROKS",SUMIFS(TblApplications[Besoin ROKS CPU (vCPU)],TblApplications[Cluster ROKS cible],$F286,TblApplications[Action],"À migrer",TblApplications[Déjà incluse ROKS],"Non",TblApplications[Mois prov (calc)],"&lt;="&amp;$E286),SUMIFS(TblApplications[CPU IKS libérable (vCPU)],TblApplications[Cluster IKS source],$F286,TblApplications[Mois lib (calc)],"&lt;="&amp;$E286)))</f>
        <v>0</v>
      </c>
      <c r="Q286" s="19">
        <f>IF($D286&lt;&gt;1,"",IF($G286="ROKS",SUMIFS(TblApplications[Besoin ROKS RAM (Go)],TblApplications[Cluster ROKS cible],$F286,TblApplications[Action],"À migrer",TblApplications[Déjà incluse ROKS],"Non",TblApplications[Mois prov (calc)],"&lt;="&amp;$E286),SUMIFS(TblApplications[RAM IKS libérable (Go)],TblApplications[Cluster IKS source],$F286,TblApplications[Mois lib (calc)],"&lt;="&amp;$E286)))</f>
        <v>0</v>
      </c>
      <c r="R286" s="19">
        <f t="shared" si="71"/>
        <v>48</v>
      </c>
      <c r="S286" s="19">
        <f t="shared" si="72"/>
        <v>240</v>
      </c>
      <c r="T286" s="19">
        <f t="shared" si="73"/>
        <v>6</v>
      </c>
      <c r="U286" s="19">
        <f t="shared" si="74"/>
        <v>48</v>
      </c>
      <c r="V286" s="19">
        <f t="shared" si="75"/>
        <v>240</v>
      </c>
      <c r="W286" s="73">
        <f t="shared" si="76"/>
        <v>2208</v>
      </c>
      <c r="X286" s="19">
        <f>IF($D286&lt;&gt;1,"",IF($G286="ROKS",$R286,IF($AI286=1,0,MAX($N286,$L286-SUMIFS(TblApplications[CPU IKS libérable (vCPU)],TblApplications[Cluster IKS source],$F286,TblApplications[Action],"À migrer",TblApplications[Mois prov (calc)],"&lt;="&amp;$E286)-SUMIFS(TblApplications[CPU IKS libérable (vCPU)],TblApplications[Cluster IKS source],$F286,TblApplications[Action],"À décommissionner",TblApplications[Mois lib (calc)],"&lt;="&amp;$E286)))))</f>
        <v>48</v>
      </c>
      <c r="Y286" s="19">
        <f>IF($D286&lt;&gt;1,"",IF($G286="ROKS",$S286,IF($AI286=1,0,MAX($O286,$M286-SUMIFS(TblApplications[RAM IKS libérable (Go)],TblApplications[Cluster IKS source],$F286,TblApplications[Action],"À migrer",TblApplications[Mois prov (calc)],"&lt;="&amp;$E286)-SUMIFS(TblApplications[RAM IKS libérable (Go)],TblApplications[Cluster IKS source],$F286,TblApplications[Action],"À décommissionner",TblApplications[Mois lib (calc)],"&lt;="&amp;$E286)))))</f>
        <v>240</v>
      </c>
      <c r="Z286" s="19">
        <f t="shared" si="77"/>
        <v>6</v>
      </c>
      <c r="AA286" s="73">
        <f t="shared" si="78"/>
        <v>2208</v>
      </c>
      <c r="AB286" s="19">
        <f t="shared" si="79"/>
        <v>6</v>
      </c>
      <c r="AC286" s="73">
        <f t="shared" si="80"/>
        <v>2208</v>
      </c>
      <c r="AD286" s="19">
        <f t="shared" si="81"/>
        <v>0</v>
      </c>
      <c r="AE286" s="19">
        <f t="shared" si="82"/>
        <v>0</v>
      </c>
      <c r="AF286" s="19" t="str">
        <f>IF($D286&lt;&gt;1,"",IF(INDEX(TblClusters[Environnement],$B286)="","(vide)",INDEX(TblClusters[Environnement],$B286)))</f>
        <v>NPRD</v>
      </c>
      <c r="AG286" s="19">
        <f t="shared" si="83"/>
        <v>72</v>
      </c>
      <c r="AH286" s="19">
        <f t="shared" si="84"/>
        <v>30.666666666666668</v>
      </c>
      <c r="AI286" s="19">
        <f>IF($D286&lt;&gt;1,"",IF(AND($G286="IKS",ISNUMBER(INDEX(TblClusters[Fermeture retenue],$B286))),IF($E286&gt;=INDEX(TblClusters[Fermeture retenue],$B286),1,0),0))</f>
        <v>0</v>
      </c>
    </row>
    <row r="287" spans="1:35" x14ac:dyDescent="0.2">
      <c r="A287" s="19">
        <v>282</v>
      </c>
      <c r="B287" s="19">
        <f t="shared" si="68"/>
        <v>8</v>
      </c>
      <c r="C287" s="19">
        <f t="shared" si="69"/>
        <v>30</v>
      </c>
      <c r="D287" s="19">
        <f>IF($C287&gt;p_horizon,0,IFERROR(IF(AND(INDEX(TblClusters[Cluster],$B287)&lt;&gt;"",ISNUMBER(INDEX(TblClusters[CPU initial (vCPU)],$B287)),ISNUMBER(INDEX(TblClusters[CPU min (vCPU)],$B287)),OR(INDEX(TblClusters[Plateforme],$B287)="IKS",INDEX(TblClusters[Plateforme],$B287)="ROKS")),1,0),0))</f>
        <v>1</v>
      </c>
      <c r="E287" s="72">
        <f t="shared" si="70"/>
        <v>47178</v>
      </c>
      <c r="F287" s="19" t="str">
        <f>IF($D287=1,INDEX(TblClusters[Cluster],$B287),"")</f>
        <v>oc002i001010</v>
      </c>
      <c r="G287" s="19" t="str">
        <f>IF($D287=1,INDEX(TblClusters[Plateforme],$B287),"")</f>
        <v>ROKS</v>
      </c>
      <c r="H287" s="19">
        <f>IF($D287=1,INDEX(TblClusters[vCPU par nœud],$B287),"")</f>
        <v>8</v>
      </c>
      <c r="I287" s="19">
        <f>IF($D287=1,INDEX(TblClusters[RAM par nœud (Go)],$B287),"")</f>
        <v>40</v>
      </c>
      <c r="J287" s="19">
        <f>IF($D287=1,INDEX(TblClusters[Workers min],$B287),"")</f>
        <v>6</v>
      </c>
      <c r="K287" s="73">
        <f>IF($D287=1,INDEX(TblClusters[Tarif par nœud],$B287),"")</f>
        <v>368</v>
      </c>
      <c r="L287" s="19">
        <f>IF($D287=1,INDEX(TblClusters[CPU initial (vCPU)],$B287),"")</f>
        <v>48</v>
      </c>
      <c r="M287" s="19">
        <f>IF($D287=1,INDEX(TblClusters[RAM initiale (Go)],$B287),"")</f>
        <v>240</v>
      </c>
      <c r="N287" s="19">
        <f>IF($D287=1,INDEX(TblClusters[CPU min (vCPU)],$B287),"")</f>
        <v>48</v>
      </c>
      <c r="O287" s="19">
        <f>IF($D287=1,INDEX(TblClusters[RAM min (Go)],$B287),"")</f>
        <v>240</v>
      </c>
      <c r="P287" s="19">
        <f>IF($D287&lt;&gt;1,"",IF($G287="ROKS",SUMIFS(TblApplications[Besoin ROKS CPU (vCPU)],TblApplications[Cluster ROKS cible],$F287,TblApplications[Action],"À migrer",TblApplications[Déjà incluse ROKS],"Non",TblApplications[Mois prov (calc)],"&lt;="&amp;$E287),SUMIFS(TblApplications[CPU IKS libérable (vCPU)],TblApplications[Cluster IKS source],$F287,TblApplications[Mois lib (calc)],"&lt;="&amp;$E287)))</f>
        <v>0</v>
      </c>
      <c r="Q287" s="19">
        <f>IF($D287&lt;&gt;1,"",IF($G287="ROKS",SUMIFS(TblApplications[Besoin ROKS RAM (Go)],TblApplications[Cluster ROKS cible],$F287,TblApplications[Action],"À migrer",TblApplications[Déjà incluse ROKS],"Non",TblApplications[Mois prov (calc)],"&lt;="&amp;$E287),SUMIFS(TblApplications[RAM IKS libérable (Go)],TblApplications[Cluster IKS source],$F287,TblApplications[Mois lib (calc)],"&lt;="&amp;$E287)))</f>
        <v>0</v>
      </c>
      <c r="R287" s="19">
        <f t="shared" si="71"/>
        <v>48</v>
      </c>
      <c r="S287" s="19">
        <f t="shared" si="72"/>
        <v>240</v>
      </c>
      <c r="T287" s="19">
        <f t="shared" si="73"/>
        <v>6</v>
      </c>
      <c r="U287" s="19">
        <f t="shared" si="74"/>
        <v>48</v>
      </c>
      <c r="V287" s="19">
        <f t="shared" si="75"/>
        <v>240</v>
      </c>
      <c r="W287" s="73">
        <f t="shared" si="76"/>
        <v>2208</v>
      </c>
      <c r="X287" s="19">
        <f>IF($D287&lt;&gt;1,"",IF($G287="ROKS",$R287,IF($AI287=1,0,MAX($N287,$L287-SUMIFS(TblApplications[CPU IKS libérable (vCPU)],TblApplications[Cluster IKS source],$F287,TblApplications[Action],"À migrer",TblApplications[Mois prov (calc)],"&lt;="&amp;$E287)-SUMIFS(TblApplications[CPU IKS libérable (vCPU)],TblApplications[Cluster IKS source],$F287,TblApplications[Action],"À décommissionner",TblApplications[Mois lib (calc)],"&lt;="&amp;$E287)))))</f>
        <v>48</v>
      </c>
      <c r="Y287" s="19">
        <f>IF($D287&lt;&gt;1,"",IF($G287="ROKS",$S287,IF($AI287=1,0,MAX($O287,$M287-SUMIFS(TblApplications[RAM IKS libérable (Go)],TblApplications[Cluster IKS source],$F287,TblApplications[Action],"À migrer",TblApplications[Mois prov (calc)],"&lt;="&amp;$E287)-SUMIFS(TblApplications[RAM IKS libérable (Go)],TblApplications[Cluster IKS source],$F287,TblApplications[Action],"À décommissionner",TblApplications[Mois lib (calc)],"&lt;="&amp;$E287)))))</f>
        <v>240</v>
      </c>
      <c r="Z287" s="19">
        <f t="shared" si="77"/>
        <v>6</v>
      </c>
      <c r="AA287" s="73">
        <f t="shared" si="78"/>
        <v>2208</v>
      </c>
      <c r="AB287" s="19">
        <f t="shared" si="79"/>
        <v>6</v>
      </c>
      <c r="AC287" s="73">
        <f t="shared" si="80"/>
        <v>2208</v>
      </c>
      <c r="AD287" s="19">
        <f t="shared" si="81"/>
        <v>0</v>
      </c>
      <c r="AE287" s="19">
        <f t="shared" si="82"/>
        <v>0</v>
      </c>
      <c r="AF287" s="19" t="str">
        <f>IF($D287&lt;&gt;1,"",IF(INDEX(TblClusters[Environnement],$B287)="","(vide)",INDEX(TblClusters[Environnement],$B287)))</f>
        <v>NPRD</v>
      </c>
      <c r="AG287" s="19">
        <f t="shared" si="83"/>
        <v>72</v>
      </c>
      <c r="AH287" s="19">
        <f t="shared" si="84"/>
        <v>30.666666666666668</v>
      </c>
      <c r="AI287" s="19">
        <f>IF($D287&lt;&gt;1,"",IF(AND($G287="IKS",ISNUMBER(INDEX(TblClusters[Fermeture retenue],$B287))),IF($E287&gt;=INDEX(TblClusters[Fermeture retenue],$B287),1,0),0))</f>
        <v>0</v>
      </c>
    </row>
    <row r="288" spans="1:35" x14ac:dyDescent="0.2">
      <c r="A288" s="19">
        <v>283</v>
      </c>
      <c r="B288" s="19">
        <f t="shared" si="68"/>
        <v>8</v>
      </c>
      <c r="C288" s="19">
        <f t="shared" si="69"/>
        <v>31</v>
      </c>
      <c r="D288" s="19">
        <f>IF($C288&gt;p_horizon,0,IFERROR(IF(AND(INDEX(TblClusters[Cluster],$B288)&lt;&gt;"",ISNUMBER(INDEX(TblClusters[CPU initial (vCPU)],$B288)),ISNUMBER(INDEX(TblClusters[CPU min (vCPU)],$B288)),OR(INDEX(TblClusters[Plateforme],$B288)="IKS",INDEX(TblClusters[Plateforme],$B288)="ROKS")),1,0),0))</f>
        <v>1</v>
      </c>
      <c r="E288" s="72">
        <f t="shared" si="70"/>
        <v>47209</v>
      </c>
      <c r="F288" s="19" t="str">
        <f>IF($D288=1,INDEX(TblClusters[Cluster],$B288),"")</f>
        <v>oc002i001010</v>
      </c>
      <c r="G288" s="19" t="str">
        <f>IF($D288=1,INDEX(TblClusters[Plateforme],$B288),"")</f>
        <v>ROKS</v>
      </c>
      <c r="H288" s="19">
        <f>IF($D288=1,INDEX(TblClusters[vCPU par nœud],$B288),"")</f>
        <v>8</v>
      </c>
      <c r="I288" s="19">
        <f>IF($D288=1,INDEX(TblClusters[RAM par nœud (Go)],$B288),"")</f>
        <v>40</v>
      </c>
      <c r="J288" s="19">
        <f>IF($D288=1,INDEX(TblClusters[Workers min],$B288),"")</f>
        <v>6</v>
      </c>
      <c r="K288" s="73">
        <f>IF($D288=1,INDEX(TblClusters[Tarif par nœud],$B288),"")</f>
        <v>368</v>
      </c>
      <c r="L288" s="19">
        <f>IF($D288=1,INDEX(TblClusters[CPU initial (vCPU)],$B288),"")</f>
        <v>48</v>
      </c>
      <c r="M288" s="19">
        <f>IF($D288=1,INDEX(TblClusters[RAM initiale (Go)],$B288),"")</f>
        <v>240</v>
      </c>
      <c r="N288" s="19">
        <f>IF($D288=1,INDEX(TblClusters[CPU min (vCPU)],$B288),"")</f>
        <v>48</v>
      </c>
      <c r="O288" s="19">
        <f>IF($D288=1,INDEX(TblClusters[RAM min (Go)],$B288),"")</f>
        <v>240</v>
      </c>
      <c r="P288" s="19">
        <f>IF($D288&lt;&gt;1,"",IF($G288="ROKS",SUMIFS(TblApplications[Besoin ROKS CPU (vCPU)],TblApplications[Cluster ROKS cible],$F288,TblApplications[Action],"À migrer",TblApplications[Déjà incluse ROKS],"Non",TblApplications[Mois prov (calc)],"&lt;="&amp;$E288),SUMIFS(TblApplications[CPU IKS libérable (vCPU)],TblApplications[Cluster IKS source],$F288,TblApplications[Mois lib (calc)],"&lt;="&amp;$E288)))</f>
        <v>0</v>
      </c>
      <c r="Q288" s="19">
        <f>IF($D288&lt;&gt;1,"",IF($G288="ROKS",SUMIFS(TblApplications[Besoin ROKS RAM (Go)],TblApplications[Cluster ROKS cible],$F288,TblApplications[Action],"À migrer",TblApplications[Déjà incluse ROKS],"Non",TblApplications[Mois prov (calc)],"&lt;="&amp;$E288),SUMIFS(TblApplications[RAM IKS libérable (Go)],TblApplications[Cluster IKS source],$F288,TblApplications[Mois lib (calc)],"&lt;="&amp;$E288)))</f>
        <v>0</v>
      </c>
      <c r="R288" s="19">
        <f t="shared" si="71"/>
        <v>48</v>
      </c>
      <c r="S288" s="19">
        <f t="shared" si="72"/>
        <v>240</v>
      </c>
      <c r="T288" s="19">
        <f t="shared" si="73"/>
        <v>6</v>
      </c>
      <c r="U288" s="19">
        <f t="shared" si="74"/>
        <v>48</v>
      </c>
      <c r="V288" s="19">
        <f t="shared" si="75"/>
        <v>240</v>
      </c>
      <c r="W288" s="73">
        <f t="shared" si="76"/>
        <v>2208</v>
      </c>
      <c r="X288" s="19">
        <f>IF($D288&lt;&gt;1,"",IF($G288="ROKS",$R288,IF($AI288=1,0,MAX($N288,$L288-SUMIFS(TblApplications[CPU IKS libérable (vCPU)],TblApplications[Cluster IKS source],$F288,TblApplications[Action],"À migrer",TblApplications[Mois prov (calc)],"&lt;="&amp;$E288)-SUMIFS(TblApplications[CPU IKS libérable (vCPU)],TblApplications[Cluster IKS source],$F288,TblApplications[Action],"À décommissionner",TblApplications[Mois lib (calc)],"&lt;="&amp;$E288)))))</f>
        <v>48</v>
      </c>
      <c r="Y288" s="19">
        <f>IF($D288&lt;&gt;1,"",IF($G288="ROKS",$S288,IF($AI288=1,0,MAX($O288,$M288-SUMIFS(TblApplications[RAM IKS libérable (Go)],TblApplications[Cluster IKS source],$F288,TblApplications[Action],"À migrer",TblApplications[Mois prov (calc)],"&lt;="&amp;$E288)-SUMIFS(TblApplications[RAM IKS libérable (Go)],TblApplications[Cluster IKS source],$F288,TblApplications[Action],"À décommissionner",TblApplications[Mois lib (calc)],"&lt;="&amp;$E288)))))</f>
        <v>240</v>
      </c>
      <c r="Z288" s="19">
        <f t="shared" si="77"/>
        <v>6</v>
      </c>
      <c r="AA288" s="73">
        <f t="shared" si="78"/>
        <v>2208</v>
      </c>
      <c r="AB288" s="19">
        <f t="shared" si="79"/>
        <v>6</v>
      </c>
      <c r="AC288" s="73">
        <f t="shared" si="80"/>
        <v>2208</v>
      </c>
      <c r="AD288" s="19">
        <f t="shared" si="81"/>
        <v>0</v>
      </c>
      <c r="AE288" s="19">
        <f t="shared" si="82"/>
        <v>0</v>
      </c>
      <c r="AF288" s="19" t="str">
        <f>IF($D288&lt;&gt;1,"",IF(INDEX(TblClusters[Environnement],$B288)="","(vide)",INDEX(TblClusters[Environnement],$B288)))</f>
        <v>NPRD</v>
      </c>
      <c r="AG288" s="19">
        <f t="shared" si="83"/>
        <v>72</v>
      </c>
      <c r="AH288" s="19">
        <f t="shared" si="84"/>
        <v>30.666666666666668</v>
      </c>
      <c r="AI288" s="19">
        <f>IF($D288&lt;&gt;1,"",IF(AND($G288="IKS",ISNUMBER(INDEX(TblClusters[Fermeture retenue],$B288))),IF($E288&gt;=INDEX(TblClusters[Fermeture retenue],$B288),1,0),0))</f>
        <v>0</v>
      </c>
    </row>
    <row r="289" spans="1:35" x14ac:dyDescent="0.2">
      <c r="A289" s="19">
        <v>284</v>
      </c>
      <c r="B289" s="19">
        <f t="shared" si="68"/>
        <v>8</v>
      </c>
      <c r="C289" s="19">
        <f t="shared" si="69"/>
        <v>32</v>
      </c>
      <c r="D289" s="19">
        <f>IF($C289&gt;p_horizon,0,IFERROR(IF(AND(INDEX(TblClusters[Cluster],$B289)&lt;&gt;"",ISNUMBER(INDEX(TblClusters[CPU initial (vCPU)],$B289)),ISNUMBER(INDEX(TblClusters[CPU min (vCPU)],$B289)),OR(INDEX(TblClusters[Plateforme],$B289)="IKS",INDEX(TblClusters[Plateforme],$B289)="ROKS")),1,0),0))</f>
        <v>1</v>
      </c>
      <c r="E289" s="72">
        <f t="shared" si="70"/>
        <v>47239</v>
      </c>
      <c r="F289" s="19" t="str">
        <f>IF($D289=1,INDEX(TblClusters[Cluster],$B289),"")</f>
        <v>oc002i001010</v>
      </c>
      <c r="G289" s="19" t="str">
        <f>IF($D289=1,INDEX(TblClusters[Plateforme],$B289),"")</f>
        <v>ROKS</v>
      </c>
      <c r="H289" s="19">
        <f>IF($D289=1,INDEX(TblClusters[vCPU par nœud],$B289),"")</f>
        <v>8</v>
      </c>
      <c r="I289" s="19">
        <f>IF($D289=1,INDEX(TblClusters[RAM par nœud (Go)],$B289),"")</f>
        <v>40</v>
      </c>
      <c r="J289" s="19">
        <f>IF($D289=1,INDEX(TblClusters[Workers min],$B289),"")</f>
        <v>6</v>
      </c>
      <c r="K289" s="73">
        <f>IF($D289=1,INDEX(TblClusters[Tarif par nœud],$B289),"")</f>
        <v>368</v>
      </c>
      <c r="L289" s="19">
        <f>IF($D289=1,INDEX(TblClusters[CPU initial (vCPU)],$B289),"")</f>
        <v>48</v>
      </c>
      <c r="M289" s="19">
        <f>IF($D289=1,INDEX(TblClusters[RAM initiale (Go)],$B289),"")</f>
        <v>240</v>
      </c>
      <c r="N289" s="19">
        <f>IF($D289=1,INDEX(TblClusters[CPU min (vCPU)],$B289),"")</f>
        <v>48</v>
      </c>
      <c r="O289" s="19">
        <f>IF($D289=1,INDEX(TblClusters[RAM min (Go)],$B289),"")</f>
        <v>240</v>
      </c>
      <c r="P289" s="19">
        <f>IF($D289&lt;&gt;1,"",IF($G289="ROKS",SUMIFS(TblApplications[Besoin ROKS CPU (vCPU)],TblApplications[Cluster ROKS cible],$F289,TblApplications[Action],"À migrer",TblApplications[Déjà incluse ROKS],"Non",TblApplications[Mois prov (calc)],"&lt;="&amp;$E289),SUMIFS(TblApplications[CPU IKS libérable (vCPU)],TblApplications[Cluster IKS source],$F289,TblApplications[Mois lib (calc)],"&lt;="&amp;$E289)))</f>
        <v>0</v>
      </c>
      <c r="Q289" s="19">
        <f>IF($D289&lt;&gt;1,"",IF($G289="ROKS",SUMIFS(TblApplications[Besoin ROKS RAM (Go)],TblApplications[Cluster ROKS cible],$F289,TblApplications[Action],"À migrer",TblApplications[Déjà incluse ROKS],"Non",TblApplications[Mois prov (calc)],"&lt;="&amp;$E289),SUMIFS(TblApplications[RAM IKS libérable (Go)],TblApplications[Cluster IKS source],$F289,TblApplications[Mois lib (calc)],"&lt;="&amp;$E289)))</f>
        <v>0</v>
      </c>
      <c r="R289" s="19">
        <f t="shared" si="71"/>
        <v>48</v>
      </c>
      <c r="S289" s="19">
        <f t="shared" si="72"/>
        <v>240</v>
      </c>
      <c r="T289" s="19">
        <f t="shared" si="73"/>
        <v>6</v>
      </c>
      <c r="U289" s="19">
        <f t="shared" si="74"/>
        <v>48</v>
      </c>
      <c r="V289" s="19">
        <f t="shared" si="75"/>
        <v>240</v>
      </c>
      <c r="W289" s="73">
        <f t="shared" si="76"/>
        <v>2208</v>
      </c>
      <c r="X289" s="19">
        <f>IF($D289&lt;&gt;1,"",IF($G289="ROKS",$R289,IF($AI289=1,0,MAX($N289,$L289-SUMIFS(TblApplications[CPU IKS libérable (vCPU)],TblApplications[Cluster IKS source],$F289,TblApplications[Action],"À migrer",TblApplications[Mois prov (calc)],"&lt;="&amp;$E289)-SUMIFS(TblApplications[CPU IKS libérable (vCPU)],TblApplications[Cluster IKS source],$F289,TblApplications[Action],"À décommissionner",TblApplications[Mois lib (calc)],"&lt;="&amp;$E289)))))</f>
        <v>48</v>
      </c>
      <c r="Y289" s="19">
        <f>IF($D289&lt;&gt;1,"",IF($G289="ROKS",$S289,IF($AI289=1,0,MAX($O289,$M289-SUMIFS(TblApplications[RAM IKS libérable (Go)],TblApplications[Cluster IKS source],$F289,TblApplications[Action],"À migrer",TblApplications[Mois prov (calc)],"&lt;="&amp;$E289)-SUMIFS(TblApplications[RAM IKS libérable (Go)],TblApplications[Cluster IKS source],$F289,TblApplications[Action],"À décommissionner",TblApplications[Mois lib (calc)],"&lt;="&amp;$E289)))))</f>
        <v>240</v>
      </c>
      <c r="Z289" s="19">
        <f t="shared" si="77"/>
        <v>6</v>
      </c>
      <c r="AA289" s="73">
        <f t="shared" si="78"/>
        <v>2208</v>
      </c>
      <c r="AB289" s="19">
        <f t="shared" si="79"/>
        <v>6</v>
      </c>
      <c r="AC289" s="73">
        <f t="shared" si="80"/>
        <v>2208</v>
      </c>
      <c r="AD289" s="19">
        <f t="shared" si="81"/>
        <v>0</v>
      </c>
      <c r="AE289" s="19">
        <f t="shared" si="82"/>
        <v>0</v>
      </c>
      <c r="AF289" s="19" t="str">
        <f>IF($D289&lt;&gt;1,"",IF(INDEX(TblClusters[Environnement],$B289)="","(vide)",INDEX(TblClusters[Environnement],$B289)))</f>
        <v>NPRD</v>
      </c>
      <c r="AG289" s="19">
        <f t="shared" si="83"/>
        <v>72</v>
      </c>
      <c r="AH289" s="19">
        <f t="shared" si="84"/>
        <v>30.666666666666668</v>
      </c>
      <c r="AI289" s="19">
        <f>IF($D289&lt;&gt;1,"",IF(AND($G289="IKS",ISNUMBER(INDEX(TblClusters[Fermeture retenue],$B289))),IF($E289&gt;=INDEX(TblClusters[Fermeture retenue],$B289),1,0),0))</f>
        <v>0</v>
      </c>
    </row>
    <row r="290" spans="1:35" x14ac:dyDescent="0.2">
      <c r="A290" s="19">
        <v>285</v>
      </c>
      <c r="B290" s="19">
        <f t="shared" si="68"/>
        <v>8</v>
      </c>
      <c r="C290" s="19">
        <f t="shared" si="69"/>
        <v>33</v>
      </c>
      <c r="D290" s="19">
        <f>IF($C290&gt;p_horizon,0,IFERROR(IF(AND(INDEX(TblClusters[Cluster],$B290)&lt;&gt;"",ISNUMBER(INDEX(TblClusters[CPU initial (vCPU)],$B290)),ISNUMBER(INDEX(TblClusters[CPU min (vCPU)],$B290)),OR(INDEX(TblClusters[Plateforme],$B290)="IKS",INDEX(TblClusters[Plateforme],$B290)="ROKS")),1,0),0))</f>
        <v>1</v>
      </c>
      <c r="E290" s="72">
        <f t="shared" si="70"/>
        <v>47270</v>
      </c>
      <c r="F290" s="19" t="str">
        <f>IF($D290=1,INDEX(TblClusters[Cluster],$B290),"")</f>
        <v>oc002i001010</v>
      </c>
      <c r="G290" s="19" t="str">
        <f>IF($D290=1,INDEX(TblClusters[Plateforme],$B290),"")</f>
        <v>ROKS</v>
      </c>
      <c r="H290" s="19">
        <f>IF($D290=1,INDEX(TblClusters[vCPU par nœud],$B290),"")</f>
        <v>8</v>
      </c>
      <c r="I290" s="19">
        <f>IF($D290=1,INDEX(TblClusters[RAM par nœud (Go)],$B290),"")</f>
        <v>40</v>
      </c>
      <c r="J290" s="19">
        <f>IF($D290=1,INDEX(TblClusters[Workers min],$B290),"")</f>
        <v>6</v>
      </c>
      <c r="K290" s="73">
        <f>IF($D290=1,INDEX(TblClusters[Tarif par nœud],$B290),"")</f>
        <v>368</v>
      </c>
      <c r="L290" s="19">
        <f>IF($D290=1,INDEX(TblClusters[CPU initial (vCPU)],$B290),"")</f>
        <v>48</v>
      </c>
      <c r="M290" s="19">
        <f>IF($D290=1,INDEX(TblClusters[RAM initiale (Go)],$B290),"")</f>
        <v>240</v>
      </c>
      <c r="N290" s="19">
        <f>IF($D290=1,INDEX(TblClusters[CPU min (vCPU)],$B290),"")</f>
        <v>48</v>
      </c>
      <c r="O290" s="19">
        <f>IF($D290=1,INDEX(TblClusters[RAM min (Go)],$B290),"")</f>
        <v>240</v>
      </c>
      <c r="P290" s="19">
        <f>IF($D290&lt;&gt;1,"",IF($G290="ROKS",SUMIFS(TblApplications[Besoin ROKS CPU (vCPU)],TblApplications[Cluster ROKS cible],$F290,TblApplications[Action],"À migrer",TblApplications[Déjà incluse ROKS],"Non",TblApplications[Mois prov (calc)],"&lt;="&amp;$E290),SUMIFS(TblApplications[CPU IKS libérable (vCPU)],TblApplications[Cluster IKS source],$F290,TblApplications[Mois lib (calc)],"&lt;="&amp;$E290)))</f>
        <v>0</v>
      </c>
      <c r="Q290" s="19">
        <f>IF($D290&lt;&gt;1,"",IF($G290="ROKS",SUMIFS(TblApplications[Besoin ROKS RAM (Go)],TblApplications[Cluster ROKS cible],$F290,TblApplications[Action],"À migrer",TblApplications[Déjà incluse ROKS],"Non",TblApplications[Mois prov (calc)],"&lt;="&amp;$E290),SUMIFS(TblApplications[RAM IKS libérable (Go)],TblApplications[Cluster IKS source],$F290,TblApplications[Mois lib (calc)],"&lt;="&amp;$E290)))</f>
        <v>0</v>
      </c>
      <c r="R290" s="19">
        <f t="shared" si="71"/>
        <v>48</v>
      </c>
      <c r="S290" s="19">
        <f t="shared" si="72"/>
        <v>240</v>
      </c>
      <c r="T290" s="19">
        <f t="shared" si="73"/>
        <v>6</v>
      </c>
      <c r="U290" s="19">
        <f t="shared" si="74"/>
        <v>48</v>
      </c>
      <c r="V290" s="19">
        <f t="shared" si="75"/>
        <v>240</v>
      </c>
      <c r="W290" s="73">
        <f t="shared" si="76"/>
        <v>2208</v>
      </c>
      <c r="X290" s="19">
        <f>IF($D290&lt;&gt;1,"",IF($G290="ROKS",$R290,IF($AI290=1,0,MAX($N290,$L290-SUMIFS(TblApplications[CPU IKS libérable (vCPU)],TblApplications[Cluster IKS source],$F290,TblApplications[Action],"À migrer",TblApplications[Mois prov (calc)],"&lt;="&amp;$E290)-SUMIFS(TblApplications[CPU IKS libérable (vCPU)],TblApplications[Cluster IKS source],$F290,TblApplications[Action],"À décommissionner",TblApplications[Mois lib (calc)],"&lt;="&amp;$E290)))))</f>
        <v>48</v>
      </c>
      <c r="Y290" s="19">
        <f>IF($D290&lt;&gt;1,"",IF($G290="ROKS",$S290,IF($AI290=1,0,MAX($O290,$M290-SUMIFS(TblApplications[RAM IKS libérable (Go)],TblApplications[Cluster IKS source],$F290,TblApplications[Action],"À migrer",TblApplications[Mois prov (calc)],"&lt;="&amp;$E290)-SUMIFS(TblApplications[RAM IKS libérable (Go)],TblApplications[Cluster IKS source],$F290,TblApplications[Action],"À décommissionner",TblApplications[Mois lib (calc)],"&lt;="&amp;$E290)))))</f>
        <v>240</v>
      </c>
      <c r="Z290" s="19">
        <f t="shared" si="77"/>
        <v>6</v>
      </c>
      <c r="AA290" s="73">
        <f t="shared" si="78"/>
        <v>2208</v>
      </c>
      <c r="AB290" s="19">
        <f t="shared" si="79"/>
        <v>6</v>
      </c>
      <c r="AC290" s="73">
        <f t="shared" si="80"/>
        <v>2208</v>
      </c>
      <c r="AD290" s="19">
        <f t="shared" si="81"/>
        <v>0</v>
      </c>
      <c r="AE290" s="19">
        <f t="shared" si="82"/>
        <v>0</v>
      </c>
      <c r="AF290" s="19" t="str">
        <f>IF($D290&lt;&gt;1,"",IF(INDEX(TblClusters[Environnement],$B290)="","(vide)",INDEX(TblClusters[Environnement],$B290)))</f>
        <v>NPRD</v>
      </c>
      <c r="AG290" s="19">
        <f t="shared" si="83"/>
        <v>72</v>
      </c>
      <c r="AH290" s="19">
        <f t="shared" si="84"/>
        <v>30.666666666666668</v>
      </c>
      <c r="AI290" s="19">
        <f>IF($D290&lt;&gt;1,"",IF(AND($G290="IKS",ISNUMBER(INDEX(TblClusters[Fermeture retenue],$B290))),IF($E290&gt;=INDEX(TblClusters[Fermeture retenue],$B290),1,0),0))</f>
        <v>0</v>
      </c>
    </row>
    <row r="291" spans="1:35" x14ac:dyDescent="0.2">
      <c r="A291" s="19">
        <v>286</v>
      </c>
      <c r="B291" s="19">
        <f t="shared" si="68"/>
        <v>8</v>
      </c>
      <c r="C291" s="19">
        <f t="shared" si="69"/>
        <v>34</v>
      </c>
      <c r="D291" s="19">
        <f>IF($C291&gt;p_horizon,0,IFERROR(IF(AND(INDEX(TblClusters[Cluster],$B291)&lt;&gt;"",ISNUMBER(INDEX(TblClusters[CPU initial (vCPU)],$B291)),ISNUMBER(INDEX(TblClusters[CPU min (vCPU)],$B291)),OR(INDEX(TblClusters[Plateforme],$B291)="IKS",INDEX(TblClusters[Plateforme],$B291)="ROKS")),1,0),0))</f>
        <v>1</v>
      </c>
      <c r="E291" s="72">
        <f t="shared" si="70"/>
        <v>47300</v>
      </c>
      <c r="F291" s="19" t="str">
        <f>IF($D291=1,INDEX(TblClusters[Cluster],$B291),"")</f>
        <v>oc002i001010</v>
      </c>
      <c r="G291" s="19" t="str">
        <f>IF($D291=1,INDEX(TblClusters[Plateforme],$B291),"")</f>
        <v>ROKS</v>
      </c>
      <c r="H291" s="19">
        <f>IF($D291=1,INDEX(TblClusters[vCPU par nœud],$B291),"")</f>
        <v>8</v>
      </c>
      <c r="I291" s="19">
        <f>IF($D291=1,INDEX(TblClusters[RAM par nœud (Go)],$B291),"")</f>
        <v>40</v>
      </c>
      <c r="J291" s="19">
        <f>IF($D291=1,INDEX(TblClusters[Workers min],$B291),"")</f>
        <v>6</v>
      </c>
      <c r="K291" s="73">
        <f>IF($D291=1,INDEX(TblClusters[Tarif par nœud],$B291),"")</f>
        <v>368</v>
      </c>
      <c r="L291" s="19">
        <f>IF($D291=1,INDEX(TblClusters[CPU initial (vCPU)],$B291),"")</f>
        <v>48</v>
      </c>
      <c r="M291" s="19">
        <f>IF($D291=1,INDEX(TblClusters[RAM initiale (Go)],$B291),"")</f>
        <v>240</v>
      </c>
      <c r="N291" s="19">
        <f>IF($D291=1,INDEX(TblClusters[CPU min (vCPU)],$B291),"")</f>
        <v>48</v>
      </c>
      <c r="O291" s="19">
        <f>IF($D291=1,INDEX(TblClusters[RAM min (Go)],$B291),"")</f>
        <v>240</v>
      </c>
      <c r="P291" s="19">
        <f>IF($D291&lt;&gt;1,"",IF($G291="ROKS",SUMIFS(TblApplications[Besoin ROKS CPU (vCPU)],TblApplications[Cluster ROKS cible],$F291,TblApplications[Action],"À migrer",TblApplications[Déjà incluse ROKS],"Non",TblApplications[Mois prov (calc)],"&lt;="&amp;$E291),SUMIFS(TblApplications[CPU IKS libérable (vCPU)],TblApplications[Cluster IKS source],$F291,TblApplications[Mois lib (calc)],"&lt;="&amp;$E291)))</f>
        <v>0</v>
      </c>
      <c r="Q291" s="19">
        <f>IF($D291&lt;&gt;1,"",IF($G291="ROKS",SUMIFS(TblApplications[Besoin ROKS RAM (Go)],TblApplications[Cluster ROKS cible],$F291,TblApplications[Action],"À migrer",TblApplications[Déjà incluse ROKS],"Non",TblApplications[Mois prov (calc)],"&lt;="&amp;$E291),SUMIFS(TblApplications[RAM IKS libérable (Go)],TblApplications[Cluster IKS source],$F291,TblApplications[Mois lib (calc)],"&lt;="&amp;$E291)))</f>
        <v>0</v>
      </c>
      <c r="R291" s="19">
        <f t="shared" si="71"/>
        <v>48</v>
      </c>
      <c r="S291" s="19">
        <f t="shared" si="72"/>
        <v>240</v>
      </c>
      <c r="T291" s="19">
        <f t="shared" si="73"/>
        <v>6</v>
      </c>
      <c r="U291" s="19">
        <f t="shared" si="74"/>
        <v>48</v>
      </c>
      <c r="V291" s="19">
        <f t="shared" si="75"/>
        <v>240</v>
      </c>
      <c r="W291" s="73">
        <f t="shared" si="76"/>
        <v>2208</v>
      </c>
      <c r="X291" s="19">
        <f>IF($D291&lt;&gt;1,"",IF($G291="ROKS",$R291,IF($AI291=1,0,MAX($N291,$L291-SUMIFS(TblApplications[CPU IKS libérable (vCPU)],TblApplications[Cluster IKS source],$F291,TblApplications[Action],"À migrer",TblApplications[Mois prov (calc)],"&lt;="&amp;$E291)-SUMIFS(TblApplications[CPU IKS libérable (vCPU)],TblApplications[Cluster IKS source],$F291,TblApplications[Action],"À décommissionner",TblApplications[Mois lib (calc)],"&lt;="&amp;$E291)))))</f>
        <v>48</v>
      </c>
      <c r="Y291" s="19">
        <f>IF($D291&lt;&gt;1,"",IF($G291="ROKS",$S291,IF($AI291=1,0,MAX($O291,$M291-SUMIFS(TblApplications[RAM IKS libérable (Go)],TblApplications[Cluster IKS source],$F291,TblApplications[Action],"À migrer",TblApplications[Mois prov (calc)],"&lt;="&amp;$E291)-SUMIFS(TblApplications[RAM IKS libérable (Go)],TblApplications[Cluster IKS source],$F291,TblApplications[Action],"À décommissionner",TblApplications[Mois lib (calc)],"&lt;="&amp;$E291)))))</f>
        <v>240</v>
      </c>
      <c r="Z291" s="19">
        <f t="shared" si="77"/>
        <v>6</v>
      </c>
      <c r="AA291" s="73">
        <f t="shared" si="78"/>
        <v>2208</v>
      </c>
      <c r="AB291" s="19">
        <f t="shared" si="79"/>
        <v>6</v>
      </c>
      <c r="AC291" s="73">
        <f t="shared" si="80"/>
        <v>2208</v>
      </c>
      <c r="AD291" s="19">
        <f t="shared" si="81"/>
        <v>0</v>
      </c>
      <c r="AE291" s="19">
        <f t="shared" si="82"/>
        <v>0</v>
      </c>
      <c r="AF291" s="19" t="str">
        <f>IF($D291&lt;&gt;1,"",IF(INDEX(TblClusters[Environnement],$B291)="","(vide)",INDEX(TblClusters[Environnement],$B291)))</f>
        <v>NPRD</v>
      </c>
      <c r="AG291" s="19">
        <f t="shared" si="83"/>
        <v>72</v>
      </c>
      <c r="AH291" s="19">
        <f t="shared" si="84"/>
        <v>30.666666666666668</v>
      </c>
      <c r="AI291" s="19">
        <f>IF($D291&lt;&gt;1,"",IF(AND($G291="IKS",ISNUMBER(INDEX(TblClusters[Fermeture retenue],$B291))),IF($E291&gt;=INDEX(TblClusters[Fermeture retenue],$B291),1,0),0))</f>
        <v>0</v>
      </c>
    </row>
    <row r="292" spans="1:35" x14ac:dyDescent="0.2">
      <c r="A292" s="19">
        <v>287</v>
      </c>
      <c r="B292" s="19">
        <f t="shared" si="68"/>
        <v>8</v>
      </c>
      <c r="C292" s="19">
        <f t="shared" si="69"/>
        <v>35</v>
      </c>
      <c r="D292" s="19">
        <f>IF($C292&gt;p_horizon,0,IFERROR(IF(AND(INDEX(TblClusters[Cluster],$B292)&lt;&gt;"",ISNUMBER(INDEX(TblClusters[CPU initial (vCPU)],$B292)),ISNUMBER(INDEX(TblClusters[CPU min (vCPU)],$B292)),OR(INDEX(TblClusters[Plateforme],$B292)="IKS",INDEX(TblClusters[Plateforme],$B292)="ROKS")),1,0),0))</f>
        <v>1</v>
      </c>
      <c r="E292" s="72">
        <f t="shared" si="70"/>
        <v>47331</v>
      </c>
      <c r="F292" s="19" t="str">
        <f>IF($D292=1,INDEX(TblClusters[Cluster],$B292),"")</f>
        <v>oc002i001010</v>
      </c>
      <c r="G292" s="19" t="str">
        <f>IF($D292=1,INDEX(TblClusters[Plateforme],$B292),"")</f>
        <v>ROKS</v>
      </c>
      <c r="H292" s="19">
        <f>IF($D292=1,INDEX(TblClusters[vCPU par nœud],$B292),"")</f>
        <v>8</v>
      </c>
      <c r="I292" s="19">
        <f>IF($D292=1,INDEX(TblClusters[RAM par nœud (Go)],$B292),"")</f>
        <v>40</v>
      </c>
      <c r="J292" s="19">
        <f>IF($D292=1,INDEX(TblClusters[Workers min],$B292),"")</f>
        <v>6</v>
      </c>
      <c r="K292" s="73">
        <f>IF($D292=1,INDEX(TblClusters[Tarif par nœud],$B292),"")</f>
        <v>368</v>
      </c>
      <c r="L292" s="19">
        <f>IF($D292=1,INDEX(TblClusters[CPU initial (vCPU)],$B292),"")</f>
        <v>48</v>
      </c>
      <c r="M292" s="19">
        <f>IF($D292=1,INDEX(TblClusters[RAM initiale (Go)],$B292),"")</f>
        <v>240</v>
      </c>
      <c r="N292" s="19">
        <f>IF($D292=1,INDEX(TblClusters[CPU min (vCPU)],$B292),"")</f>
        <v>48</v>
      </c>
      <c r="O292" s="19">
        <f>IF($D292=1,INDEX(TblClusters[RAM min (Go)],$B292),"")</f>
        <v>240</v>
      </c>
      <c r="P292" s="19">
        <f>IF($D292&lt;&gt;1,"",IF($G292="ROKS",SUMIFS(TblApplications[Besoin ROKS CPU (vCPU)],TblApplications[Cluster ROKS cible],$F292,TblApplications[Action],"À migrer",TblApplications[Déjà incluse ROKS],"Non",TblApplications[Mois prov (calc)],"&lt;="&amp;$E292),SUMIFS(TblApplications[CPU IKS libérable (vCPU)],TblApplications[Cluster IKS source],$F292,TblApplications[Mois lib (calc)],"&lt;="&amp;$E292)))</f>
        <v>0</v>
      </c>
      <c r="Q292" s="19">
        <f>IF($D292&lt;&gt;1,"",IF($G292="ROKS",SUMIFS(TblApplications[Besoin ROKS RAM (Go)],TblApplications[Cluster ROKS cible],$F292,TblApplications[Action],"À migrer",TblApplications[Déjà incluse ROKS],"Non",TblApplications[Mois prov (calc)],"&lt;="&amp;$E292),SUMIFS(TblApplications[RAM IKS libérable (Go)],TblApplications[Cluster IKS source],$F292,TblApplications[Mois lib (calc)],"&lt;="&amp;$E292)))</f>
        <v>0</v>
      </c>
      <c r="R292" s="19">
        <f t="shared" si="71"/>
        <v>48</v>
      </c>
      <c r="S292" s="19">
        <f t="shared" si="72"/>
        <v>240</v>
      </c>
      <c r="T292" s="19">
        <f t="shared" si="73"/>
        <v>6</v>
      </c>
      <c r="U292" s="19">
        <f t="shared" si="74"/>
        <v>48</v>
      </c>
      <c r="V292" s="19">
        <f t="shared" si="75"/>
        <v>240</v>
      </c>
      <c r="W292" s="73">
        <f t="shared" si="76"/>
        <v>2208</v>
      </c>
      <c r="X292" s="19">
        <f>IF($D292&lt;&gt;1,"",IF($G292="ROKS",$R292,IF($AI292=1,0,MAX($N292,$L292-SUMIFS(TblApplications[CPU IKS libérable (vCPU)],TblApplications[Cluster IKS source],$F292,TblApplications[Action],"À migrer",TblApplications[Mois prov (calc)],"&lt;="&amp;$E292)-SUMIFS(TblApplications[CPU IKS libérable (vCPU)],TblApplications[Cluster IKS source],$F292,TblApplications[Action],"À décommissionner",TblApplications[Mois lib (calc)],"&lt;="&amp;$E292)))))</f>
        <v>48</v>
      </c>
      <c r="Y292" s="19">
        <f>IF($D292&lt;&gt;1,"",IF($G292="ROKS",$S292,IF($AI292=1,0,MAX($O292,$M292-SUMIFS(TblApplications[RAM IKS libérable (Go)],TblApplications[Cluster IKS source],$F292,TblApplications[Action],"À migrer",TblApplications[Mois prov (calc)],"&lt;="&amp;$E292)-SUMIFS(TblApplications[RAM IKS libérable (Go)],TblApplications[Cluster IKS source],$F292,TblApplications[Action],"À décommissionner",TblApplications[Mois lib (calc)],"&lt;="&amp;$E292)))))</f>
        <v>240</v>
      </c>
      <c r="Z292" s="19">
        <f t="shared" si="77"/>
        <v>6</v>
      </c>
      <c r="AA292" s="73">
        <f t="shared" si="78"/>
        <v>2208</v>
      </c>
      <c r="AB292" s="19">
        <f t="shared" si="79"/>
        <v>6</v>
      </c>
      <c r="AC292" s="73">
        <f t="shared" si="80"/>
        <v>2208</v>
      </c>
      <c r="AD292" s="19">
        <f t="shared" si="81"/>
        <v>0</v>
      </c>
      <c r="AE292" s="19">
        <f t="shared" si="82"/>
        <v>0</v>
      </c>
      <c r="AF292" s="19" t="str">
        <f>IF($D292&lt;&gt;1,"",IF(INDEX(TblClusters[Environnement],$B292)="","(vide)",INDEX(TblClusters[Environnement],$B292)))</f>
        <v>NPRD</v>
      </c>
      <c r="AG292" s="19">
        <f t="shared" si="83"/>
        <v>72</v>
      </c>
      <c r="AH292" s="19">
        <f t="shared" si="84"/>
        <v>30.666666666666668</v>
      </c>
      <c r="AI292" s="19">
        <f>IF($D292&lt;&gt;1,"",IF(AND($G292="IKS",ISNUMBER(INDEX(TblClusters[Fermeture retenue],$B292))),IF($E292&gt;=INDEX(TblClusters[Fermeture retenue],$B292),1,0),0))</f>
        <v>0</v>
      </c>
    </row>
    <row r="293" spans="1:35" x14ac:dyDescent="0.2">
      <c r="A293" s="19">
        <v>288</v>
      </c>
      <c r="B293" s="19">
        <f t="shared" si="68"/>
        <v>8</v>
      </c>
      <c r="C293" s="19">
        <f t="shared" si="69"/>
        <v>36</v>
      </c>
      <c r="D293" s="19">
        <f>IF($C293&gt;p_horizon,0,IFERROR(IF(AND(INDEX(TblClusters[Cluster],$B293)&lt;&gt;"",ISNUMBER(INDEX(TblClusters[CPU initial (vCPU)],$B293)),ISNUMBER(INDEX(TblClusters[CPU min (vCPU)],$B293)),OR(INDEX(TblClusters[Plateforme],$B293)="IKS",INDEX(TblClusters[Plateforme],$B293)="ROKS")),1,0),0))</f>
        <v>1</v>
      </c>
      <c r="E293" s="72">
        <f t="shared" si="70"/>
        <v>47362</v>
      </c>
      <c r="F293" s="19" t="str">
        <f>IF($D293=1,INDEX(TblClusters[Cluster],$B293),"")</f>
        <v>oc002i001010</v>
      </c>
      <c r="G293" s="19" t="str">
        <f>IF($D293=1,INDEX(TblClusters[Plateforme],$B293),"")</f>
        <v>ROKS</v>
      </c>
      <c r="H293" s="19">
        <f>IF($D293=1,INDEX(TblClusters[vCPU par nœud],$B293),"")</f>
        <v>8</v>
      </c>
      <c r="I293" s="19">
        <f>IF($D293=1,INDEX(TblClusters[RAM par nœud (Go)],$B293),"")</f>
        <v>40</v>
      </c>
      <c r="J293" s="19">
        <f>IF($D293=1,INDEX(TblClusters[Workers min],$B293),"")</f>
        <v>6</v>
      </c>
      <c r="K293" s="73">
        <f>IF($D293=1,INDEX(TblClusters[Tarif par nœud],$B293),"")</f>
        <v>368</v>
      </c>
      <c r="L293" s="19">
        <f>IF($D293=1,INDEX(TblClusters[CPU initial (vCPU)],$B293),"")</f>
        <v>48</v>
      </c>
      <c r="M293" s="19">
        <f>IF($D293=1,INDEX(TblClusters[RAM initiale (Go)],$B293),"")</f>
        <v>240</v>
      </c>
      <c r="N293" s="19">
        <f>IF($D293=1,INDEX(TblClusters[CPU min (vCPU)],$B293),"")</f>
        <v>48</v>
      </c>
      <c r="O293" s="19">
        <f>IF($D293=1,INDEX(TblClusters[RAM min (Go)],$B293),"")</f>
        <v>240</v>
      </c>
      <c r="P293" s="19">
        <f>IF($D293&lt;&gt;1,"",IF($G293="ROKS",SUMIFS(TblApplications[Besoin ROKS CPU (vCPU)],TblApplications[Cluster ROKS cible],$F293,TblApplications[Action],"À migrer",TblApplications[Déjà incluse ROKS],"Non",TblApplications[Mois prov (calc)],"&lt;="&amp;$E293),SUMIFS(TblApplications[CPU IKS libérable (vCPU)],TblApplications[Cluster IKS source],$F293,TblApplications[Mois lib (calc)],"&lt;="&amp;$E293)))</f>
        <v>0</v>
      </c>
      <c r="Q293" s="19">
        <f>IF($D293&lt;&gt;1,"",IF($G293="ROKS",SUMIFS(TblApplications[Besoin ROKS RAM (Go)],TblApplications[Cluster ROKS cible],$F293,TblApplications[Action],"À migrer",TblApplications[Déjà incluse ROKS],"Non",TblApplications[Mois prov (calc)],"&lt;="&amp;$E293),SUMIFS(TblApplications[RAM IKS libérable (Go)],TblApplications[Cluster IKS source],$F293,TblApplications[Mois lib (calc)],"&lt;="&amp;$E293)))</f>
        <v>0</v>
      </c>
      <c r="R293" s="19">
        <f t="shared" si="71"/>
        <v>48</v>
      </c>
      <c r="S293" s="19">
        <f t="shared" si="72"/>
        <v>240</v>
      </c>
      <c r="T293" s="19">
        <f t="shared" si="73"/>
        <v>6</v>
      </c>
      <c r="U293" s="19">
        <f t="shared" si="74"/>
        <v>48</v>
      </c>
      <c r="V293" s="19">
        <f t="shared" si="75"/>
        <v>240</v>
      </c>
      <c r="W293" s="73">
        <f t="shared" si="76"/>
        <v>2208</v>
      </c>
      <c r="X293" s="19">
        <f>IF($D293&lt;&gt;1,"",IF($G293="ROKS",$R293,IF($AI293=1,0,MAX($N293,$L293-SUMIFS(TblApplications[CPU IKS libérable (vCPU)],TblApplications[Cluster IKS source],$F293,TblApplications[Action],"À migrer",TblApplications[Mois prov (calc)],"&lt;="&amp;$E293)-SUMIFS(TblApplications[CPU IKS libérable (vCPU)],TblApplications[Cluster IKS source],$F293,TblApplications[Action],"À décommissionner",TblApplications[Mois lib (calc)],"&lt;="&amp;$E293)))))</f>
        <v>48</v>
      </c>
      <c r="Y293" s="19">
        <f>IF($D293&lt;&gt;1,"",IF($G293="ROKS",$S293,IF($AI293=1,0,MAX($O293,$M293-SUMIFS(TblApplications[RAM IKS libérable (Go)],TblApplications[Cluster IKS source],$F293,TblApplications[Action],"À migrer",TblApplications[Mois prov (calc)],"&lt;="&amp;$E293)-SUMIFS(TblApplications[RAM IKS libérable (Go)],TblApplications[Cluster IKS source],$F293,TblApplications[Action],"À décommissionner",TblApplications[Mois lib (calc)],"&lt;="&amp;$E293)))))</f>
        <v>240</v>
      </c>
      <c r="Z293" s="19">
        <f t="shared" si="77"/>
        <v>6</v>
      </c>
      <c r="AA293" s="73">
        <f t="shared" si="78"/>
        <v>2208</v>
      </c>
      <c r="AB293" s="19">
        <f t="shared" si="79"/>
        <v>6</v>
      </c>
      <c r="AC293" s="73">
        <f t="shared" si="80"/>
        <v>2208</v>
      </c>
      <c r="AD293" s="19">
        <f t="shared" si="81"/>
        <v>0</v>
      </c>
      <c r="AE293" s="19">
        <f t="shared" si="82"/>
        <v>0</v>
      </c>
      <c r="AF293" s="19" t="str">
        <f>IF($D293&lt;&gt;1,"",IF(INDEX(TblClusters[Environnement],$B293)="","(vide)",INDEX(TblClusters[Environnement],$B293)))</f>
        <v>NPRD</v>
      </c>
      <c r="AG293" s="19">
        <f t="shared" si="83"/>
        <v>72</v>
      </c>
      <c r="AH293" s="19">
        <f t="shared" si="84"/>
        <v>30.666666666666668</v>
      </c>
      <c r="AI293" s="19">
        <f>IF($D293&lt;&gt;1,"",IF(AND($G293="IKS",ISNUMBER(INDEX(TblClusters[Fermeture retenue],$B293))),IF($E293&gt;=INDEX(TblClusters[Fermeture retenue],$B293),1,0),0))</f>
        <v>0</v>
      </c>
    </row>
    <row r="294" spans="1:35" x14ac:dyDescent="0.2">
      <c r="A294" s="19">
        <v>289</v>
      </c>
      <c r="B294" s="19">
        <f t="shared" si="68"/>
        <v>9</v>
      </c>
      <c r="C294" s="19">
        <f t="shared" si="69"/>
        <v>1</v>
      </c>
      <c r="D294" s="19">
        <f>IF($C294&gt;p_horizon,0,IFERROR(IF(AND(INDEX(TblClusters[Cluster],$B294)&lt;&gt;"",ISNUMBER(INDEX(TblClusters[CPU initial (vCPU)],$B294)),ISNUMBER(INDEX(TblClusters[CPU min (vCPU)],$B294)),OR(INDEX(TblClusters[Plateforme],$B294)="IKS",INDEX(TblClusters[Plateforme],$B294)="ROKS")),1,0),0))</f>
        <v>0</v>
      </c>
      <c r="E294" s="72" t="str">
        <f t="shared" si="70"/>
        <v/>
      </c>
      <c r="F294" s="19" t="str">
        <f>IF($D294=1,INDEX(TblClusters[Cluster],$B294),"")</f>
        <v/>
      </c>
      <c r="G294" s="19" t="str">
        <f>IF($D294=1,INDEX(TblClusters[Plateforme],$B294),"")</f>
        <v/>
      </c>
      <c r="H294" s="19" t="str">
        <f>IF($D294=1,INDEX(TblClusters[vCPU par nœud],$B294),"")</f>
        <v/>
      </c>
      <c r="I294" s="19" t="str">
        <f>IF($D294=1,INDEX(TblClusters[RAM par nœud (Go)],$B294),"")</f>
        <v/>
      </c>
      <c r="J294" s="19" t="str">
        <f>IF($D294=1,INDEX(TblClusters[Workers min],$B294),"")</f>
        <v/>
      </c>
      <c r="K294" s="73" t="str">
        <f>IF($D294=1,INDEX(TblClusters[Tarif par nœud],$B294),"")</f>
        <v/>
      </c>
      <c r="L294" s="19" t="str">
        <f>IF($D294=1,INDEX(TblClusters[CPU initial (vCPU)],$B294),"")</f>
        <v/>
      </c>
      <c r="M294" s="19" t="str">
        <f>IF($D294=1,INDEX(TblClusters[RAM initiale (Go)],$B294),"")</f>
        <v/>
      </c>
      <c r="N294" s="19" t="str">
        <f>IF($D294=1,INDEX(TblClusters[CPU min (vCPU)],$B294),"")</f>
        <v/>
      </c>
      <c r="O294" s="19" t="str">
        <f>IF($D294=1,INDEX(TblClusters[RAM min (Go)],$B294),"")</f>
        <v/>
      </c>
      <c r="P294" s="19" t="str">
        <f>IF($D294&lt;&gt;1,"",IF($G294="ROKS",SUMIFS(TblApplications[Besoin ROKS CPU (vCPU)],TblApplications[Cluster ROKS cible],$F294,TblApplications[Action],"À migrer",TblApplications[Déjà incluse ROKS],"Non",TblApplications[Mois prov (calc)],"&lt;="&amp;$E294),SUMIFS(TblApplications[CPU IKS libérable (vCPU)],TblApplications[Cluster IKS source],$F294,TblApplications[Mois lib (calc)],"&lt;="&amp;$E294)))</f>
        <v/>
      </c>
      <c r="Q294" s="19" t="str">
        <f>IF($D294&lt;&gt;1,"",IF($G294="ROKS",SUMIFS(TblApplications[Besoin ROKS RAM (Go)],TblApplications[Cluster ROKS cible],$F294,TblApplications[Action],"À migrer",TblApplications[Déjà incluse ROKS],"Non",TblApplications[Mois prov (calc)],"&lt;="&amp;$E294),SUMIFS(TblApplications[RAM IKS libérable (Go)],TblApplications[Cluster IKS source],$F294,TblApplications[Mois lib (calc)],"&lt;="&amp;$E294)))</f>
        <v/>
      </c>
      <c r="R294" s="19" t="str">
        <f t="shared" si="71"/>
        <v/>
      </c>
      <c r="S294" s="19" t="str">
        <f t="shared" si="72"/>
        <v/>
      </c>
      <c r="T294" s="19" t="str">
        <f t="shared" si="73"/>
        <v/>
      </c>
      <c r="U294" s="19" t="str">
        <f t="shared" si="74"/>
        <v/>
      </c>
      <c r="V294" s="19" t="str">
        <f t="shared" si="75"/>
        <v/>
      </c>
      <c r="W294" s="73" t="str">
        <f t="shared" si="76"/>
        <v/>
      </c>
      <c r="X294" s="19" t="str">
        <f>IF($D294&lt;&gt;1,"",IF($G294="ROKS",$R294,IF($AI294=1,0,MAX($N294,$L294-SUMIFS(TblApplications[CPU IKS libérable (vCPU)],TblApplications[Cluster IKS source],$F294,TblApplications[Action],"À migrer",TblApplications[Mois prov (calc)],"&lt;="&amp;$E294)-SUMIFS(TblApplications[CPU IKS libérable (vCPU)],TblApplications[Cluster IKS source],$F294,TblApplications[Action],"À décommissionner",TblApplications[Mois lib (calc)],"&lt;="&amp;$E294)))))</f>
        <v/>
      </c>
      <c r="Y294" s="19" t="str">
        <f>IF($D294&lt;&gt;1,"",IF($G294="ROKS",$S294,IF($AI294=1,0,MAX($O294,$M294-SUMIFS(TblApplications[RAM IKS libérable (Go)],TblApplications[Cluster IKS source],$F294,TblApplications[Action],"À migrer",TblApplications[Mois prov (calc)],"&lt;="&amp;$E294)-SUMIFS(TblApplications[RAM IKS libérable (Go)],TblApplications[Cluster IKS source],$F294,TblApplications[Action],"À décommissionner",TblApplications[Mois lib (calc)],"&lt;="&amp;$E294)))))</f>
        <v/>
      </c>
      <c r="Z294" s="19" t="str">
        <f t="shared" si="77"/>
        <v/>
      </c>
      <c r="AA294" s="73" t="str">
        <f t="shared" si="78"/>
        <v/>
      </c>
      <c r="AB294" s="19" t="str">
        <f t="shared" si="79"/>
        <v/>
      </c>
      <c r="AC294" s="73" t="str">
        <f t="shared" si="80"/>
        <v/>
      </c>
      <c r="AD294" s="19" t="str">
        <f t="shared" si="81"/>
        <v/>
      </c>
      <c r="AE294" s="19" t="str">
        <f t="shared" si="82"/>
        <v/>
      </c>
      <c r="AF294" s="19" t="str">
        <f>IF($D294&lt;&gt;1,"",IF(INDEX(TblClusters[Environnement],$B294)="","(vide)",INDEX(TblClusters[Environnement],$B294)))</f>
        <v/>
      </c>
      <c r="AG294" s="19" t="str">
        <f t="shared" si="83"/>
        <v/>
      </c>
      <c r="AH294" s="19" t="str">
        <f t="shared" si="84"/>
        <v/>
      </c>
      <c r="AI294" s="19" t="str">
        <f>IF($D294&lt;&gt;1,"",IF(AND($G294="IKS",ISNUMBER(INDEX(TblClusters[Fermeture retenue],$B294))),IF($E294&gt;=INDEX(TblClusters[Fermeture retenue],$B294),1,0),0))</f>
        <v/>
      </c>
    </row>
    <row r="295" spans="1:35" x14ac:dyDescent="0.2">
      <c r="A295" s="19">
        <v>290</v>
      </c>
      <c r="B295" s="19">
        <f t="shared" si="68"/>
        <v>9</v>
      </c>
      <c r="C295" s="19">
        <f t="shared" si="69"/>
        <v>2</v>
      </c>
      <c r="D295" s="19">
        <f>IF($C295&gt;p_horizon,0,IFERROR(IF(AND(INDEX(TblClusters[Cluster],$B295)&lt;&gt;"",ISNUMBER(INDEX(TblClusters[CPU initial (vCPU)],$B295)),ISNUMBER(INDEX(TblClusters[CPU min (vCPU)],$B295)),OR(INDEX(TblClusters[Plateforme],$B295)="IKS",INDEX(TblClusters[Plateforme],$B295)="ROKS")),1,0),0))</f>
        <v>0</v>
      </c>
      <c r="E295" s="72" t="str">
        <f t="shared" si="70"/>
        <v/>
      </c>
      <c r="F295" s="19" t="str">
        <f>IF($D295=1,INDEX(TblClusters[Cluster],$B295),"")</f>
        <v/>
      </c>
      <c r="G295" s="19" t="str">
        <f>IF($D295=1,INDEX(TblClusters[Plateforme],$B295),"")</f>
        <v/>
      </c>
      <c r="H295" s="19" t="str">
        <f>IF($D295=1,INDEX(TblClusters[vCPU par nœud],$B295),"")</f>
        <v/>
      </c>
      <c r="I295" s="19" t="str">
        <f>IF($D295=1,INDEX(TblClusters[RAM par nœud (Go)],$B295),"")</f>
        <v/>
      </c>
      <c r="J295" s="19" t="str">
        <f>IF($D295=1,INDEX(TblClusters[Workers min],$B295),"")</f>
        <v/>
      </c>
      <c r="K295" s="73" t="str">
        <f>IF($D295=1,INDEX(TblClusters[Tarif par nœud],$B295),"")</f>
        <v/>
      </c>
      <c r="L295" s="19" t="str">
        <f>IF($D295=1,INDEX(TblClusters[CPU initial (vCPU)],$B295),"")</f>
        <v/>
      </c>
      <c r="M295" s="19" t="str">
        <f>IF($D295=1,INDEX(TblClusters[RAM initiale (Go)],$B295),"")</f>
        <v/>
      </c>
      <c r="N295" s="19" t="str">
        <f>IF($D295=1,INDEX(TblClusters[CPU min (vCPU)],$B295),"")</f>
        <v/>
      </c>
      <c r="O295" s="19" t="str">
        <f>IF($D295=1,INDEX(TblClusters[RAM min (Go)],$B295),"")</f>
        <v/>
      </c>
      <c r="P295" s="19" t="str">
        <f>IF($D295&lt;&gt;1,"",IF($G295="ROKS",SUMIFS(TblApplications[Besoin ROKS CPU (vCPU)],TblApplications[Cluster ROKS cible],$F295,TblApplications[Action],"À migrer",TblApplications[Déjà incluse ROKS],"Non",TblApplications[Mois prov (calc)],"&lt;="&amp;$E295),SUMIFS(TblApplications[CPU IKS libérable (vCPU)],TblApplications[Cluster IKS source],$F295,TblApplications[Mois lib (calc)],"&lt;="&amp;$E295)))</f>
        <v/>
      </c>
      <c r="Q295" s="19" t="str">
        <f>IF($D295&lt;&gt;1,"",IF($G295="ROKS",SUMIFS(TblApplications[Besoin ROKS RAM (Go)],TblApplications[Cluster ROKS cible],$F295,TblApplications[Action],"À migrer",TblApplications[Déjà incluse ROKS],"Non",TblApplications[Mois prov (calc)],"&lt;="&amp;$E295),SUMIFS(TblApplications[RAM IKS libérable (Go)],TblApplications[Cluster IKS source],$F295,TblApplications[Mois lib (calc)],"&lt;="&amp;$E295)))</f>
        <v/>
      </c>
      <c r="R295" s="19" t="str">
        <f t="shared" si="71"/>
        <v/>
      </c>
      <c r="S295" s="19" t="str">
        <f t="shared" si="72"/>
        <v/>
      </c>
      <c r="T295" s="19" t="str">
        <f t="shared" si="73"/>
        <v/>
      </c>
      <c r="U295" s="19" t="str">
        <f t="shared" si="74"/>
        <v/>
      </c>
      <c r="V295" s="19" t="str">
        <f t="shared" si="75"/>
        <v/>
      </c>
      <c r="W295" s="73" t="str">
        <f t="shared" si="76"/>
        <v/>
      </c>
      <c r="X295" s="19" t="str">
        <f>IF($D295&lt;&gt;1,"",IF($G295="ROKS",$R295,IF($AI295=1,0,MAX($N295,$L295-SUMIFS(TblApplications[CPU IKS libérable (vCPU)],TblApplications[Cluster IKS source],$F295,TblApplications[Action],"À migrer",TblApplications[Mois prov (calc)],"&lt;="&amp;$E295)-SUMIFS(TblApplications[CPU IKS libérable (vCPU)],TblApplications[Cluster IKS source],$F295,TblApplications[Action],"À décommissionner",TblApplications[Mois lib (calc)],"&lt;="&amp;$E295)))))</f>
        <v/>
      </c>
      <c r="Y295" s="19" t="str">
        <f>IF($D295&lt;&gt;1,"",IF($G295="ROKS",$S295,IF($AI295=1,0,MAX($O295,$M295-SUMIFS(TblApplications[RAM IKS libérable (Go)],TblApplications[Cluster IKS source],$F295,TblApplications[Action],"À migrer",TblApplications[Mois prov (calc)],"&lt;="&amp;$E295)-SUMIFS(TblApplications[RAM IKS libérable (Go)],TblApplications[Cluster IKS source],$F295,TblApplications[Action],"À décommissionner",TblApplications[Mois lib (calc)],"&lt;="&amp;$E295)))))</f>
        <v/>
      </c>
      <c r="Z295" s="19" t="str">
        <f t="shared" si="77"/>
        <v/>
      </c>
      <c r="AA295" s="73" t="str">
        <f t="shared" si="78"/>
        <v/>
      </c>
      <c r="AB295" s="19" t="str">
        <f t="shared" si="79"/>
        <v/>
      </c>
      <c r="AC295" s="73" t="str">
        <f t="shared" si="80"/>
        <v/>
      </c>
      <c r="AD295" s="19" t="str">
        <f t="shared" si="81"/>
        <v/>
      </c>
      <c r="AE295" s="19" t="str">
        <f t="shared" si="82"/>
        <v/>
      </c>
      <c r="AF295" s="19" t="str">
        <f>IF($D295&lt;&gt;1,"",IF(INDEX(TblClusters[Environnement],$B295)="","(vide)",INDEX(TblClusters[Environnement],$B295)))</f>
        <v/>
      </c>
      <c r="AG295" s="19" t="str">
        <f t="shared" si="83"/>
        <v/>
      </c>
      <c r="AH295" s="19" t="str">
        <f t="shared" si="84"/>
        <v/>
      </c>
      <c r="AI295" s="19" t="str">
        <f>IF($D295&lt;&gt;1,"",IF(AND($G295="IKS",ISNUMBER(INDEX(TblClusters[Fermeture retenue],$B295))),IF($E295&gt;=INDEX(TblClusters[Fermeture retenue],$B295),1,0),0))</f>
        <v/>
      </c>
    </row>
    <row r="296" spans="1:35" x14ac:dyDescent="0.2">
      <c r="A296" s="19">
        <v>291</v>
      </c>
      <c r="B296" s="19">
        <f t="shared" si="68"/>
        <v>9</v>
      </c>
      <c r="C296" s="19">
        <f t="shared" si="69"/>
        <v>3</v>
      </c>
      <c r="D296" s="19">
        <f>IF($C296&gt;p_horizon,0,IFERROR(IF(AND(INDEX(TblClusters[Cluster],$B296)&lt;&gt;"",ISNUMBER(INDEX(TblClusters[CPU initial (vCPU)],$B296)),ISNUMBER(INDEX(TblClusters[CPU min (vCPU)],$B296)),OR(INDEX(TblClusters[Plateforme],$B296)="IKS",INDEX(TblClusters[Plateforme],$B296)="ROKS")),1,0),0))</f>
        <v>0</v>
      </c>
      <c r="E296" s="72" t="str">
        <f t="shared" si="70"/>
        <v/>
      </c>
      <c r="F296" s="19" t="str">
        <f>IF($D296=1,INDEX(TblClusters[Cluster],$B296),"")</f>
        <v/>
      </c>
      <c r="G296" s="19" t="str">
        <f>IF($D296=1,INDEX(TblClusters[Plateforme],$B296),"")</f>
        <v/>
      </c>
      <c r="H296" s="19" t="str">
        <f>IF($D296=1,INDEX(TblClusters[vCPU par nœud],$B296),"")</f>
        <v/>
      </c>
      <c r="I296" s="19" t="str">
        <f>IF($D296=1,INDEX(TblClusters[RAM par nœud (Go)],$B296),"")</f>
        <v/>
      </c>
      <c r="J296" s="19" t="str">
        <f>IF($D296=1,INDEX(TblClusters[Workers min],$B296),"")</f>
        <v/>
      </c>
      <c r="K296" s="73" t="str">
        <f>IF($D296=1,INDEX(TblClusters[Tarif par nœud],$B296),"")</f>
        <v/>
      </c>
      <c r="L296" s="19" t="str">
        <f>IF($D296=1,INDEX(TblClusters[CPU initial (vCPU)],$B296),"")</f>
        <v/>
      </c>
      <c r="M296" s="19" t="str">
        <f>IF($D296=1,INDEX(TblClusters[RAM initiale (Go)],$B296),"")</f>
        <v/>
      </c>
      <c r="N296" s="19" t="str">
        <f>IF($D296=1,INDEX(TblClusters[CPU min (vCPU)],$B296),"")</f>
        <v/>
      </c>
      <c r="O296" s="19" t="str">
        <f>IF($D296=1,INDEX(TblClusters[RAM min (Go)],$B296),"")</f>
        <v/>
      </c>
      <c r="P296" s="19" t="str">
        <f>IF($D296&lt;&gt;1,"",IF($G296="ROKS",SUMIFS(TblApplications[Besoin ROKS CPU (vCPU)],TblApplications[Cluster ROKS cible],$F296,TblApplications[Action],"À migrer",TblApplications[Déjà incluse ROKS],"Non",TblApplications[Mois prov (calc)],"&lt;="&amp;$E296),SUMIFS(TblApplications[CPU IKS libérable (vCPU)],TblApplications[Cluster IKS source],$F296,TblApplications[Mois lib (calc)],"&lt;="&amp;$E296)))</f>
        <v/>
      </c>
      <c r="Q296" s="19" t="str">
        <f>IF($D296&lt;&gt;1,"",IF($G296="ROKS",SUMIFS(TblApplications[Besoin ROKS RAM (Go)],TblApplications[Cluster ROKS cible],$F296,TblApplications[Action],"À migrer",TblApplications[Déjà incluse ROKS],"Non",TblApplications[Mois prov (calc)],"&lt;="&amp;$E296),SUMIFS(TblApplications[RAM IKS libérable (Go)],TblApplications[Cluster IKS source],$F296,TblApplications[Mois lib (calc)],"&lt;="&amp;$E296)))</f>
        <v/>
      </c>
      <c r="R296" s="19" t="str">
        <f t="shared" si="71"/>
        <v/>
      </c>
      <c r="S296" s="19" t="str">
        <f t="shared" si="72"/>
        <v/>
      </c>
      <c r="T296" s="19" t="str">
        <f t="shared" si="73"/>
        <v/>
      </c>
      <c r="U296" s="19" t="str">
        <f t="shared" si="74"/>
        <v/>
      </c>
      <c r="V296" s="19" t="str">
        <f t="shared" si="75"/>
        <v/>
      </c>
      <c r="W296" s="73" t="str">
        <f t="shared" si="76"/>
        <v/>
      </c>
      <c r="X296" s="19" t="str">
        <f>IF($D296&lt;&gt;1,"",IF($G296="ROKS",$R296,IF($AI296=1,0,MAX($N296,$L296-SUMIFS(TblApplications[CPU IKS libérable (vCPU)],TblApplications[Cluster IKS source],$F296,TblApplications[Action],"À migrer",TblApplications[Mois prov (calc)],"&lt;="&amp;$E296)-SUMIFS(TblApplications[CPU IKS libérable (vCPU)],TblApplications[Cluster IKS source],$F296,TblApplications[Action],"À décommissionner",TblApplications[Mois lib (calc)],"&lt;="&amp;$E296)))))</f>
        <v/>
      </c>
      <c r="Y296" s="19" t="str">
        <f>IF($D296&lt;&gt;1,"",IF($G296="ROKS",$S296,IF($AI296=1,0,MAX($O296,$M296-SUMIFS(TblApplications[RAM IKS libérable (Go)],TblApplications[Cluster IKS source],$F296,TblApplications[Action],"À migrer",TblApplications[Mois prov (calc)],"&lt;="&amp;$E296)-SUMIFS(TblApplications[RAM IKS libérable (Go)],TblApplications[Cluster IKS source],$F296,TblApplications[Action],"À décommissionner",TblApplications[Mois lib (calc)],"&lt;="&amp;$E296)))))</f>
        <v/>
      </c>
      <c r="Z296" s="19" t="str">
        <f t="shared" si="77"/>
        <v/>
      </c>
      <c r="AA296" s="73" t="str">
        <f t="shared" si="78"/>
        <v/>
      </c>
      <c r="AB296" s="19" t="str">
        <f t="shared" si="79"/>
        <v/>
      </c>
      <c r="AC296" s="73" t="str">
        <f t="shared" si="80"/>
        <v/>
      </c>
      <c r="AD296" s="19" t="str">
        <f t="shared" si="81"/>
        <v/>
      </c>
      <c r="AE296" s="19" t="str">
        <f t="shared" si="82"/>
        <v/>
      </c>
      <c r="AF296" s="19" t="str">
        <f>IF($D296&lt;&gt;1,"",IF(INDEX(TblClusters[Environnement],$B296)="","(vide)",INDEX(TblClusters[Environnement],$B296)))</f>
        <v/>
      </c>
      <c r="AG296" s="19" t="str">
        <f t="shared" si="83"/>
        <v/>
      </c>
      <c r="AH296" s="19" t="str">
        <f t="shared" si="84"/>
        <v/>
      </c>
      <c r="AI296" s="19" t="str">
        <f>IF($D296&lt;&gt;1,"",IF(AND($G296="IKS",ISNUMBER(INDEX(TblClusters[Fermeture retenue],$B296))),IF($E296&gt;=INDEX(TblClusters[Fermeture retenue],$B296),1,0),0))</f>
        <v/>
      </c>
    </row>
    <row r="297" spans="1:35" x14ac:dyDescent="0.2">
      <c r="A297" s="19">
        <v>292</v>
      </c>
      <c r="B297" s="19">
        <f t="shared" si="68"/>
        <v>9</v>
      </c>
      <c r="C297" s="19">
        <f t="shared" si="69"/>
        <v>4</v>
      </c>
      <c r="D297" s="19">
        <f>IF($C297&gt;p_horizon,0,IFERROR(IF(AND(INDEX(TblClusters[Cluster],$B297)&lt;&gt;"",ISNUMBER(INDEX(TblClusters[CPU initial (vCPU)],$B297)),ISNUMBER(INDEX(TblClusters[CPU min (vCPU)],$B297)),OR(INDEX(TblClusters[Plateforme],$B297)="IKS",INDEX(TblClusters[Plateforme],$B297)="ROKS")),1,0),0))</f>
        <v>0</v>
      </c>
      <c r="E297" s="72" t="str">
        <f t="shared" si="70"/>
        <v/>
      </c>
      <c r="F297" s="19" t="str">
        <f>IF($D297=1,INDEX(TblClusters[Cluster],$B297),"")</f>
        <v/>
      </c>
      <c r="G297" s="19" t="str">
        <f>IF($D297=1,INDEX(TblClusters[Plateforme],$B297),"")</f>
        <v/>
      </c>
      <c r="H297" s="19" t="str">
        <f>IF($D297=1,INDEX(TblClusters[vCPU par nœud],$B297),"")</f>
        <v/>
      </c>
      <c r="I297" s="19" t="str">
        <f>IF($D297=1,INDEX(TblClusters[RAM par nœud (Go)],$B297),"")</f>
        <v/>
      </c>
      <c r="J297" s="19" t="str">
        <f>IF($D297=1,INDEX(TblClusters[Workers min],$B297),"")</f>
        <v/>
      </c>
      <c r="K297" s="73" t="str">
        <f>IF($D297=1,INDEX(TblClusters[Tarif par nœud],$B297),"")</f>
        <v/>
      </c>
      <c r="L297" s="19" t="str">
        <f>IF($D297=1,INDEX(TblClusters[CPU initial (vCPU)],$B297),"")</f>
        <v/>
      </c>
      <c r="M297" s="19" t="str">
        <f>IF($D297=1,INDEX(TblClusters[RAM initiale (Go)],$B297),"")</f>
        <v/>
      </c>
      <c r="N297" s="19" t="str">
        <f>IF($D297=1,INDEX(TblClusters[CPU min (vCPU)],$B297),"")</f>
        <v/>
      </c>
      <c r="O297" s="19" t="str">
        <f>IF($D297=1,INDEX(TblClusters[RAM min (Go)],$B297),"")</f>
        <v/>
      </c>
      <c r="P297" s="19" t="str">
        <f>IF($D297&lt;&gt;1,"",IF($G297="ROKS",SUMIFS(TblApplications[Besoin ROKS CPU (vCPU)],TblApplications[Cluster ROKS cible],$F297,TblApplications[Action],"À migrer",TblApplications[Déjà incluse ROKS],"Non",TblApplications[Mois prov (calc)],"&lt;="&amp;$E297),SUMIFS(TblApplications[CPU IKS libérable (vCPU)],TblApplications[Cluster IKS source],$F297,TblApplications[Mois lib (calc)],"&lt;="&amp;$E297)))</f>
        <v/>
      </c>
      <c r="Q297" s="19" t="str">
        <f>IF($D297&lt;&gt;1,"",IF($G297="ROKS",SUMIFS(TblApplications[Besoin ROKS RAM (Go)],TblApplications[Cluster ROKS cible],$F297,TblApplications[Action],"À migrer",TblApplications[Déjà incluse ROKS],"Non",TblApplications[Mois prov (calc)],"&lt;="&amp;$E297),SUMIFS(TblApplications[RAM IKS libérable (Go)],TblApplications[Cluster IKS source],$F297,TblApplications[Mois lib (calc)],"&lt;="&amp;$E297)))</f>
        <v/>
      </c>
      <c r="R297" s="19" t="str">
        <f t="shared" si="71"/>
        <v/>
      </c>
      <c r="S297" s="19" t="str">
        <f t="shared" si="72"/>
        <v/>
      </c>
      <c r="T297" s="19" t="str">
        <f t="shared" si="73"/>
        <v/>
      </c>
      <c r="U297" s="19" t="str">
        <f t="shared" si="74"/>
        <v/>
      </c>
      <c r="V297" s="19" t="str">
        <f t="shared" si="75"/>
        <v/>
      </c>
      <c r="W297" s="73" t="str">
        <f t="shared" si="76"/>
        <v/>
      </c>
      <c r="X297" s="19" t="str">
        <f>IF($D297&lt;&gt;1,"",IF($G297="ROKS",$R297,IF($AI297=1,0,MAX($N297,$L297-SUMIFS(TblApplications[CPU IKS libérable (vCPU)],TblApplications[Cluster IKS source],$F297,TblApplications[Action],"À migrer",TblApplications[Mois prov (calc)],"&lt;="&amp;$E297)-SUMIFS(TblApplications[CPU IKS libérable (vCPU)],TblApplications[Cluster IKS source],$F297,TblApplications[Action],"À décommissionner",TblApplications[Mois lib (calc)],"&lt;="&amp;$E297)))))</f>
        <v/>
      </c>
      <c r="Y297" s="19" t="str">
        <f>IF($D297&lt;&gt;1,"",IF($G297="ROKS",$S297,IF($AI297=1,0,MAX($O297,$M297-SUMIFS(TblApplications[RAM IKS libérable (Go)],TblApplications[Cluster IKS source],$F297,TblApplications[Action],"À migrer",TblApplications[Mois prov (calc)],"&lt;="&amp;$E297)-SUMIFS(TblApplications[RAM IKS libérable (Go)],TblApplications[Cluster IKS source],$F297,TblApplications[Action],"À décommissionner",TblApplications[Mois lib (calc)],"&lt;="&amp;$E297)))))</f>
        <v/>
      </c>
      <c r="Z297" s="19" t="str">
        <f t="shared" si="77"/>
        <v/>
      </c>
      <c r="AA297" s="73" t="str">
        <f t="shared" si="78"/>
        <v/>
      </c>
      <c r="AB297" s="19" t="str">
        <f t="shared" si="79"/>
        <v/>
      </c>
      <c r="AC297" s="73" t="str">
        <f t="shared" si="80"/>
        <v/>
      </c>
      <c r="AD297" s="19" t="str">
        <f t="shared" si="81"/>
        <v/>
      </c>
      <c r="AE297" s="19" t="str">
        <f t="shared" si="82"/>
        <v/>
      </c>
      <c r="AF297" s="19" t="str">
        <f>IF($D297&lt;&gt;1,"",IF(INDEX(TblClusters[Environnement],$B297)="","(vide)",INDEX(TblClusters[Environnement],$B297)))</f>
        <v/>
      </c>
      <c r="AG297" s="19" t="str">
        <f t="shared" si="83"/>
        <v/>
      </c>
      <c r="AH297" s="19" t="str">
        <f t="shared" si="84"/>
        <v/>
      </c>
      <c r="AI297" s="19" t="str">
        <f>IF($D297&lt;&gt;1,"",IF(AND($G297="IKS",ISNUMBER(INDEX(TblClusters[Fermeture retenue],$B297))),IF($E297&gt;=INDEX(TblClusters[Fermeture retenue],$B297),1,0),0))</f>
        <v/>
      </c>
    </row>
    <row r="298" spans="1:35" x14ac:dyDescent="0.2">
      <c r="A298" s="19">
        <v>293</v>
      </c>
      <c r="B298" s="19">
        <f t="shared" si="68"/>
        <v>9</v>
      </c>
      <c r="C298" s="19">
        <f t="shared" si="69"/>
        <v>5</v>
      </c>
      <c r="D298" s="19">
        <f>IF($C298&gt;p_horizon,0,IFERROR(IF(AND(INDEX(TblClusters[Cluster],$B298)&lt;&gt;"",ISNUMBER(INDEX(TblClusters[CPU initial (vCPU)],$B298)),ISNUMBER(INDEX(TblClusters[CPU min (vCPU)],$B298)),OR(INDEX(TblClusters[Plateforme],$B298)="IKS",INDEX(TblClusters[Plateforme],$B298)="ROKS")),1,0),0))</f>
        <v>0</v>
      </c>
      <c r="E298" s="72" t="str">
        <f t="shared" si="70"/>
        <v/>
      </c>
      <c r="F298" s="19" t="str">
        <f>IF($D298=1,INDEX(TblClusters[Cluster],$B298),"")</f>
        <v/>
      </c>
      <c r="G298" s="19" t="str">
        <f>IF($D298=1,INDEX(TblClusters[Plateforme],$B298),"")</f>
        <v/>
      </c>
      <c r="H298" s="19" t="str">
        <f>IF($D298=1,INDEX(TblClusters[vCPU par nœud],$B298),"")</f>
        <v/>
      </c>
      <c r="I298" s="19" t="str">
        <f>IF($D298=1,INDEX(TblClusters[RAM par nœud (Go)],$B298),"")</f>
        <v/>
      </c>
      <c r="J298" s="19" t="str">
        <f>IF($D298=1,INDEX(TblClusters[Workers min],$B298),"")</f>
        <v/>
      </c>
      <c r="K298" s="73" t="str">
        <f>IF($D298=1,INDEX(TblClusters[Tarif par nœud],$B298),"")</f>
        <v/>
      </c>
      <c r="L298" s="19" t="str">
        <f>IF($D298=1,INDEX(TblClusters[CPU initial (vCPU)],$B298),"")</f>
        <v/>
      </c>
      <c r="M298" s="19" t="str">
        <f>IF($D298=1,INDEX(TblClusters[RAM initiale (Go)],$B298),"")</f>
        <v/>
      </c>
      <c r="N298" s="19" t="str">
        <f>IF($D298=1,INDEX(TblClusters[CPU min (vCPU)],$B298),"")</f>
        <v/>
      </c>
      <c r="O298" s="19" t="str">
        <f>IF($D298=1,INDEX(TblClusters[RAM min (Go)],$B298),"")</f>
        <v/>
      </c>
      <c r="P298" s="19" t="str">
        <f>IF($D298&lt;&gt;1,"",IF($G298="ROKS",SUMIFS(TblApplications[Besoin ROKS CPU (vCPU)],TblApplications[Cluster ROKS cible],$F298,TblApplications[Action],"À migrer",TblApplications[Déjà incluse ROKS],"Non",TblApplications[Mois prov (calc)],"&lt;="&amp;$E298),SUMIFS(TblApplications[CPU IKS libérable (vCPU)],TblApplications[Cluster IKS source],$F298,TblApplications[Mois lib (calc)],"&lt;="&amp;$E298)))</f>
        <v/>
      </c>
      <c r="Q298" s="19" t="str">
        <f>IF($D298&lt;&gt;1,"",IF($G298="ROKS",SUMIFS(TblApplications[Besoin ROKS RAM (Go)],TblApplications[Cluster ROKS cible],$F298,TblApplications[Action],"À migrer",TblApplications[Déjà incluse ROKS],"Non",TblApplications[Mois prov (calc)],"&lt;="&amp;$E298),SUMIFS(TblApplications[RAM IKS libérable (Go)],TblApplications[Cluster IKS source],$F298,TblApplications[Mois lib (calc)],"&lt;="&amp;$E298)))</f>
        <v/>
      </c>
      <c r="R298" s="19" t="str">
        <f t="shared" si="71"/>
        <v/>
      </c>
      <c r="S298" s="19" t="str">
        <f t="shared" si="72"/>
        <v/>
      </c>
      <c r="T298" s="19" t="str">
        <f t="shared" si="73"/>
        <v/>
      </c>
      <c r="U298" s="19" t="str">
        <f t="shared" si="74"/>
        <v/>
      </c>
      <c r="V298" s="19" t="str">
        <f t="shared" si="75"/>
        <v/>
      </c>
      <c r="W298" s="73" t="str">
        <f t="shared" si="76"/>
        <v/>
      </c>
      <c r="X298" s="19" t="str">
        <f>IF($D298&lt;&gt;1,"",IF($G298="ROKS",$R298,IF($AI298=1,0,MAX($N298,$L298-SUMIFS(TblApplications[CPU IKS libérable (vCPU)],TblApplications[Cluster IKS source],$F298,TblApplications[Action],"À migrer",TblApplications[Mois prov (calc)],"&lt;="&amp;$E298)-SUMIFS(TblApplications[CPU IKS libérable (vCPU)],TblApplications[Cluster IKS source],$F298,TblApplications[Action],"À décommissionner",TblApplications[Mois lib (calc)],"&lt;="&amp;$E298)))))</f>
        <v/>
      </c>
      <c r="Y298" s="19" t="str">
        <f>IF($D298&lt;&gt;1,"",IF($G298="ROKS",$S298,IF($AI298=1,0,MAX($O298,$M298-SUMIFS(TblApplications[RAM IKS libérable (Go)],TblApplications[Cluster IKS source],$F298,TblApplications[Action],"À migrer",TblApplications[Mois prov (calc)],"&lt;="&amp;$E298)-SUMIFS(TblApplications[RAM IKS libérable (Go)],TblApplications[Cluster IKS source],$F298,TblApplications[Action],"À décommissionner",TblApplications[Mois lib (calc)],"&lt;="&amp;$E298)))))</f>
        <v/>
      </c>
      <c r="Z298" s="19" t="str">
        <f t="shared" si="77"/>
        <v/>
      </c>
      <c r="AA298" s="73" t="str">
        <f t="shared" si="78"/>
        <v/>
      </c>
      <c r="AB298" s="19" t="str">
        <f t="shared" si="79"/>
        <v/>
      </c>
      <c r="AC298" s="73" t="str">
        <f t="shared" si="80"/>
        <v/>
      </c>
      <c r="AD298" s="19" t="str">
        <f t="shared" si="81"/>
        <v/>
      </c>
      <c r="AE298" s="19" t="str">
        <f t="shared" si="82"/>
        <v/>
      </c>
      <c r="AF298" s="19" t="str">
        <f>IF($D298&lt;&gt;1,"",IF(INDEX(TblClusters[Environnement],$B298)="","(vide)",INDEX(TblClusters[Environnement],$B298)))</f>
        <v/>
      </c>
      <c r="AG298" s="19" t="str">
        <f t="shared" si="83"/>
        <v/>
      </c>
      <c r="AH298" s="19" t="str">
        <f t="shared" si="84"/>
        <v/>
      </c>
      <c r="AI298" s="19" t="str">
        <f>IF($D298&lt;&gt;1,"",IF(AND($G298="IKS",ISNUMBER(INDEX(TblClusters[Fermeture retenue],$B298))),IF($E298&gt;=INDEX(TblClusters[Fermeture retenue],$B298),1,0),0))</f>
        <v/>
      </c>
    </row>
    <row r="299" spans="1:35" x14ac:dyDescent="0.2">
      <c r="A299" s="19">
        <v>294</v>
      </c>
      <c r="B299" s="19">
        <f t="shared" si="68"/>
        <v>9</v>
      </c>
      <c r="C299" s="19">
        <f t="shared" si="69"/>
        <v>6</v>
      </c>
      <c r="D299" s="19">
        <f>IF($C299&gt;p_horizon,0,IFERROR(IF(AND(INDEX(TblClusters[Cluster],$B299)&lt;&gt;"",ISNUMBER(INDEX(TblClusters[CPU initial (vCPU)],$B299)),ISNUMBER(INDEX(TblClusters[CPU min (vCPU)],$B299)),OR(INDEX(TblClusters[Plateforme],$B299)="IKS",INDEX(TblClusters[Plateforme],$B299)="ROKS")),1,0),0))</f>
        <v>0</v>
      </c>
      <c r="E299" s="72" t="str">
        <f t="shared" si="70"/>
        <v/>
      </c>
      <c r="F299" s="19" t="str">
        <f>IF($D299=1,INDEX(TblClusters[Cluster],$B299),"")</f>
        <v/>
      </c>
      <c r="G299" s="19" t="str">
        <f>IF($D299=1,INDEX(TblClusters[Plateforme],$B299),"")</f>
        <v/>
      </c>
      <c r="H299" s="19" t="str">
        <f>IF($D299=1,INDEX(TblClusters[vCPU par nœud],$B299),"")</f>
        <v/>
      </c>
      <c r="I299" s="19" t="str">
        <f>IF($D299=1,INDEX(TblClusters[RAM par nœud (Go)],$B299),"")</f>
        <v/>
      </c>
      <c r="J299" s="19" t="str">
        <f>IF($D299=1,INDEX(TblClusters[Workers min],$B299),"")</f>
        <v/>
      </c>
      <c r="K299" s="73" t="str">
        <f>IF($D299=1,INDEX(TblClusters[Tarif par nœud],$B299),"")</f>
        <v/>
      </c>
      <c r="L299" s="19" t="str">
        <f>IF($D299=1,INDEX(TblClusters[CPU initial (vCPU)],$B299),"")</f>
        <v/>
      </c>
      <c r="M299" s="19" t="str">
        <f>IF($D299=1,INDEX(TblClusters[RAM initiale (Go)],$B299),"")</f>
        <v/>
      </c>
      <c r="N299" s="19" t="str">
        <f>IF($D299=1,INDEX(TblClusters[CPU min (vCPU)],$B299),"")</f>
        <v/>
      </c>
      <c r="O299" s="19" t="str">
        <f>IF($D299=1,INDEX(TblClusters[RAM min (Go)],$B299),"")</f>
        <v/>
      </c>
      <c r="P299" s="19" t="str">
        <f>IF($D299&lt;&gt;1,"",IF($G299="ROKS",SUMIFS(TblApplications[Besoin ROKS CPU (vCPU)],TblApplications[Cluster ROKS cible],$F299,TblApplications[Action],"À migrer",TblApplications[Déjà incluse ROKS],"Non",TblApplications[Mois prov (calc)],"&lt;="&amp;$E299),SUMIFS(TblApplications[CPU IKS libérable (vCPU)],TblApplications[Cluster IKS source],$F299,TblApplications[Mois lib (calc)],"&lt;="&amp;$E299)))</f>
        <v/>
      </c>
      <c r="Q299" s="19" t="str">
        <f>IF($D299&lt;&gt;1,"",IF($G299="ROKS",SUMIFS(TblApplications[Besoin ROKS RAM (Go)],TblApplications[Cluster ROKS cible],$F299,TblApplications[Action],"À migrer",TblApplications[Déjà incluse ROKS],"Non",TblApplications[Mois prov (calc)],"&lt;="&amp;$E299),SUMIFS(TblApplications[RAM IKS libérable (Go)],TblApplications[Cluster IKS source],$F299,TblApplications[Mois lib (calc)],"&lt;="&amp;$E299)))</f>
        <v/>
      </c>
      <c r="R299" s="19" t="str">
        <f t="shared" si="71"/>
        <v/>
      </c>
      <c r="S299" s="19" t="str">
        <f t="shared" si="72"/>
        <v/>
      </c>
      <c r="T299" s="19" t="str">
        <f t="shared" si="73"/>
        <v/>
      </c>
      <c r="U299" s="19" t="str">
        <f t="shared" si="74"/>
        <v/>
      </c>
      <c r="V299" s="19" t="str">
        <f t="shared" si="75"/>
        <v/>
      </c>
      <c r="W299" s="73" t="str">
        <f t="shared" si="76"/>
        <v/>
      </c>
      <c r="X299" s="19" t="str">
        <f>IF($D299&lt;&gt;1,"",IF($G299="ROKS",$R299,IF($AI299=1,0,MAX($N299,$L299-SUMIFS(TblApplications[CPU IKS libérable (vCPU)],TblApplications[Cluster IKS source],$F299,TblApplications[Action],"À migrer",TblApplications[Mois prov (calc)],"&lt;="&amp;$E299)-SUMIFS(TblApplications[CPU IKS libérable (vCPU)],TblApplications[Cluster IKS source],$F299,TblApplications[Action],"À décommissionner",TblApplications[Mois lib (calc)],"&lt;="&amp;$E299)))))</f>
        <v/>
      </c>
      <c r="Y299" s="19" t="str">
        <f>IF($D299&lt;&gt;1,"",IF($G299="ROKS",$S299,IF($AI299=1,0,MAX($O299,$M299-SUMIFS(TblApplications[RAM IKS libérable (Go)],TblApplications[Cluster IKS source],$F299,TblApplications[Action],"À migrer",TblApplications[Mois prov (calc)],"&lt;="&amp;$E299)-SUMIFS(TblApplications[RAM IKS libérable (Go)],TblApplications[Cluster IKS source],$F299,TblApplications[Action],"À décommissionner",TblApplications[Mois lib (calc)],"&lt;="&amp;$E299)))))</f>
        <v/>
      </c>
      <c r="Z299" s="19" t="str">
        <f t="shared" si="77"/>
        <v/>
      </c>
      <c r="AA299" s="73" t="str">
        <f t="shared" si="78"/>
        <v/>
      </c>
      <c r="AB299" s="19" t="str">
        <f t="shared" si="79"/>
        <v/>
      </c>
      <c r="AC299" s="73" t="str">
        <f t="shared" si="80"/>
        <v/>
      </c>
      <c r="AD299" s="19" t="str">
        <f t="shared" si="81"/>
        <v/>
      </c>
      <c r="AE299" s="19" t="str">
        <f t="shared" si="82"/>
        <v/>
      </c>
      <c r="AF299" s="19" t="str">
        <f>IF($D299&lt;&gt;1,"",IF(INDEX(TblClusters[Environnement],$B299)="","(vide)",INDEX(TblClusters[Environnement],$B299)))</f>
        <v/>
      </c>
      <c r="AG299" s="19" t="str">
        <f t="shared" si="83"/>
        <v/>
      </c>
      <c r="AH299" s="19" t="str">
        <f t="shared" si="84"/>
        <v/>
      </c>
      <c r="AI299" s="19" t="str">
        <f>IF($D299&lt;&gt;1,"",IF(AND($G299="IKS",ISNUMBER(INDEX(TblClusters[Fermeture retenue],$B299))),IF($E299&gt;=INDEX(TblClusters[Fermeture retenue],$B299),1,0),0))</f>
        <v/>
      </c>
    </row>
    <row r="300" spans="1:35" x14ac:dyDescent="0.2">
      <c r="A300" s="19">
        <v>295</v>
      </c>
      <c r="B300" s="19">
        <f t="shared" si="68"/>
        <v>9</v>
      </c>
      <c r="C300" s="19">
        <f t="shared" si="69"/>
        <v>7</v>
      </c>
      <c r="D300" s="19">
        <f>IF($C300&gt;p_horizon,0,IFERROR(IF(AND(INDEX(TblClusters[Cluster],$B300)&lt;&gt;"",ISNUMBER(INDEX(TblClusters[CPU initial (vCPU)],$B300)),ISNUMBER(INDEX(TblClusters[CPU min (vCPU)],$B300)),OR(INDEX(TblClusters[Plateforme],$B300)="IKS",INDEX(TblClusters[Plateforme],$B300)="ROKS")),1,0),0))</f>
        <v>0</v>
      </c>
      <c r="E300" s="72" t="str">
        <f t="shared" si="70"/>
        <v/>
      </c>
      <c r="F300" s="19" t="str">
        <f>IF($D300=1,INDEX(TblClusters[Cluster],$B300),"")</f>
        <v/>
      </c>
      <c r="G300" s="19" t="str">
        <f>IF($D300=1,INDEX(TblClusters[Plateforme],$B300),"")</f>
        <v/>
      </c>
      <c r="H300" s="19" t="str">
        <f>IF($D300=1,INDEX(TblClusters[vCPU par nœud],$B300),"")</f>
        <v/>
      </c>
      <c r="I300" s="19" t="str">
        <f>IF($D300=1,INDEX(TblClusters[RAM par nœud (Go)],$B300),"")</f>
        <v/>
      </c>
      <c r="J300" s="19" t="str">
        <f>IF($D300=1,INDEX(TblClusters[Workers min],$B300),"")</f>
        <v/>
      </c>
      <c r="K300" s="73" t="str">
        <f>IF($D300=1,INDEX(TblClusters[Tarif par nœud],$B300),"")</f>
        <v/>
      </c>
      <c r="L300" s="19" t="str">
        <f>IF($D300=1,INDEX(TblClusters[CPU initial (vCPU)],$B300),"")</f>
        <v/>
      </c>
      <c r="M300" s="19" t="str">
        <f>IF($D300=1,INDEX(TblClusters[RAM initiale (Go)],$B300),"")</f>
        <v/>
      </c>
      <c r="N300" s="19" t="str">
        <f>IF($D300=1,INDEX(TblClusters[CPU min (vCPU)],$B300),"")</f>
        <v/>
      </c>
      <c r="O300" s="19" t="str">
        <f>IF($D300=1,INDEX(TblClusters[RAM min (Go)],$B300),"")</f>
        <v/>
      </c>
      <c r="P300" s="19" t="str">
        <f>IF($D300&lt;&gt;1,"",IF($G300="ROKS",SUMIFS(TblApplications[Besoin ROKS CPU (vCPU)],TblApplications[Cluster ROKS cible],$F300,TblApplications[Action],"À migrer",TblApplications[Déjà incluse ROKS],"Non",TblApplications[Mois prov (calc)],"&lt;="&amp;$E300),SUMIFS(TblApplications[CPU IKS libérable (vCPU)],TblApplications[Cluster IKS source],$F300,TblApplications[Mois lib (calc)],"&lt;="&amp;$E300)))</f>
        <v/>
      </c>
      <c r="Q300" s="19" t="str">
        <f>IF($D300&lt;&gt;1,"",IF($G300="ROKS",SUMIFS(TblApplications[Besoin ROKS RAM (Go)],TblApplications[Cluster ROKS cible],$F300,TblApplications[Action],"À migrer",TblApplications[Déjà incluse ROKS],"Non",TblApplications[Mois prov (calc)],"&lt;="&amp;$E300),SUMIFS(TblApplications[RAM IKS libérable (Go)],TblApplications[Cluster IKS source],$F300,TblApplications[Mois lib (calc)],"&lt;="&amp;$E300)))</f>
        <v/>
      </c>
      <c r="R300" s="19" t="str">
        <f t="shared" si="71"/>
        <v/>
      </c>
      <c r="S300" s="19" t="str">
        <f t="shared" si="72"/>
        <v/>
      </c>
      <c r="T300" s="19" t="str">
        <f t="shared" si="73"/>
        <v/>
      </c>
      <c r="U300" s="19" t="str">
        <f t="shared" si="74"/>
        <v/>
      </c>
      <c r="V300" s="19" t="str">
        <f t="shared" si="75"/>
        <v/>
      </c>
      <c r="W300" s="73" t="str">
        <f t="shared" si="76"/>
        <v/>
      </c>
      <c r="X300" s="19" t="str">
        <f>IF($D300&lt;&gt;1,"",IF($G300="ROKS",$R300,IF($AI300=1,0,MAX($N300,$L300-SUMIFS(TblApplications[CPU IKS libérable (vCPU)],TblApplications[Cluster IKS source],$F300,TblApplications[Action],"À migrer",TblApplications[Mois prov (calc)],"&lt;="&amp;$E300)-SUMIFS(TblApplications[CPU IKS libérable (vCPU)],TblApplications[Cluster IKS source],$F300,TblApplications[Action],"À décommissionner",TblApplications[Mois lib (calc)],"&lt;="&amp;$E300)))))</f>
        <v/>
      </c>
      <c r="Y300" s="19" t="str">
        <f>IF($D300&lt;&gt;1,"",IF($G300="ROKS",$S300,IF($AI300=1,0,MAX($O300,$M300-SUMIFS(TblApplications[RAM IKS libérable (Go)],TblApplications[Cluster IKS source],$F300,TblApplications[Action],"À migrer",TblApplications[Mois prov (calc)],"&lt;="&amp;$E300)-SUMIFS(TblApplications[RAM IKS libérable (Go)],TblApplications[Cluster IKS source],$F300,TblApplications[Action],"À décommissionner",TblApplications[Mois lib (calc)],"&lt;="&amp;$E300)))))</f>
        <v/>
      </c>
      <c r="Z300" s="19" t="str">
        <f t="shared" si="77"/>
        <v/>
      </c>
      <c r="AA300" s="73" t="str">
        <f t="shared" si="78"/>
        <v/>
      </c>
      <c r="AB300" s="19" t="str">
        <f t="shared" si="79"/>
        <v/>
      </c>
      <c r="AC300" s="73" t="str">
        <f t="shared" si="80"/>
        <v/>
      </c>
      <c r="AD300" s="19" t="str">
        <f t="shared" si="81"/>
        <v/>
      </c>
      <c r="AE300" s="19" t="str">
        <f t="shared" si="82"/>
        <v/>
      </c>
      <c r="AF300" s="19" t="str">
        <f>IF($D300&lt;&gt;1,"",IF(INDEX(TblClusters[Environnement],$B300)="","(vide)",INDEX(TblClusters[Environnement],$B300)))</f>
        <v/>
      </c>
      <c r="AG300" s="19" t="str">
        <f t="shared" si="83"/>
        <v/>
      </c>
      <c r="AH300" s="19" t="str">
        <f t="shared" si="84"/>
        <v/>
      </c>
      <c r="AI300" s="19" t="str">
        <f>IF($D300&lt;&gt;1,"",IF(AND($G300="IKS",ISNUMBER(INDEX(TblClusters[Fermeture retenue],$B300))),IF($E300&gt;=INDEX(TblClusters[Fermeture retenue],$B300),1,0),0))</f>
        <v/>
      </c>
    </row>
    <row r="301" spans="1:35" x14ac:dyDescent="0.2">
      <c r="A301" s="19">
        <v>296</v>
      </c>
      <c r="B301" s="19">
        <f t="shared" si="68"/>
        <v>9</v>
      </c>
      <c r="C301" s="19">
        <f t="shared" si="69"/>
        <v>8</v>
      </c>
      <c r="D301" s="19">
        <f>IF($C301&gt;p_horizon,0,IFERROR(IF(AND(INDEX(TblClusters[Cluster],$B301)&lt;&gt;"",ISNUMBER(INDEX(TblClusters[CPU initial (vCPU)],$B301)),ISNUMBER(INDEX(TblClusters[CPU min (vCPU)],$B301)),OR(INDEX(TblClusters[Plateforme],$B301)="IKS",INDEX(TblClusters[Plateforme],$B301)="ROKS")),1,0),0))</f>
        <v>0</v>
      </c>
      <c r="E301" s="72" t="str">
        <f t="shared" si="70"/>
        <v/>
      </c>
      <c r="F301" s="19" t="str">
        <f>IF($D301=1,INDEX(TblClusters[Cluster],$B301),"")</f>
        <v/>
      </c>
      <c r="G301" s="19" t="str">
        <f>IF($D301=1,INDEX(TblClusters[Plateforme],$B301),"")</f>
        <v/>
      </c>
      <c r="H301" s="19" t="str">
        <f>IF($D301=1,INDEX(TblClusters[vCPU par nœud],$B301),"")</f>
        <v/>
      </c>
      <c r="I301" s="19" t="str">
        <f>IF($D301=1,INDEX(TblClusters[RAM par nœud (Go)],$B301),"")</f>
        <v/>
      </c>
      <c r="J301" s="19" t="str">
        <f>IF($D301=1,INDEX(TblClusters[Workers min],$B301),"")</f>
        <v/>
      </c>
      <c r="K301" s="73" t="str">
        <f>IF($D301=1,INDEX(TblClusters[Tarif par nœud],$B301),"")</f>
        <v/>
      </c>
      <c r="L301" s="19" t="str">
        <f>IF($D301=1,INDEX(TblClusters[CPU initial (vCPU)],$B301),"")</f>
        <v/>
      </c>
      <c r="M301" s="19" t="str">
        <f>IF($D301=1,INDEX(TblClusters[RAM initiale (Go)],$B301),"")</f>
        <v/>
      </c>
      <c r="N301" s="19" t="str">
        <f>IF($D301=1,INDEX(TblClusters[CPU min (vCPU)],$B301),"")</f>
        <v/>
      </c>
      <c r="O301" s="19" t="str">
        <f>IF($D301=1,INDEX(TblClusters[RAM min (Go)],$B301),"")</f>
        <v/>
      </c>
      <c r="P301" s="19" t="str">
        <f>IF($D301&lt;&gt;1,"",IF($G301="ROKS",SUMIFS(TblApplications[Besoin ROKS CPU (vCPU)],TblApplications[Cluster ROKS cible],$F301,TblApplications[Action],"À migrer",TblApplications[Déjà incluse ROKS],"Non",TblApplications[Mois prov (calc)],"&lt;="&amp;$E301),SUMIFS(TblApplications[CPU IKS libérable (vCPU)],TblApplications[Cluster IKS source],$F301,TblApplications[Mois lib (calc)],"&lt;="&amp;$E301)))</f>
        <v/>
      </c>
      <c r="Q301" s="19" t="str">
        <f>IF($D301&lt;&gt;1,"",IF($G301="ROKS",SUMIFS(TblApplications[Besoin ROKS RAM (Go)],TblApplications[Cluster ROKS cible],$F301,TblApplications[Action],"À migrer",TblApplications[Déjà incluse ROKS],"Non",TblApplications[Mois prov (calc)],"&lt;="&amp;$E301),SUMIFS(TblApplications[RAM IKS libérable (Go)],TblApplications[Cluster IKS source],$F301,TblApplications[Mois lib (calc)],"&lt;="&amp;$E301)))</f>
        <v/>
      </c>
      <c r="R301" s="19" t="str">
        <f t="shared" si="71"/>
        <v/>
      </c>
      <c r="S301" s="19" t="str">
        <f t="shared" si="72"/>
        <v/>
      </c>
      <c r="T301" s="19" t="str">
        <f t="shared" si="73"/>
        <v/>
      </c>
      <c r="U301" s="19" t="str">
        <f t="shared" si="74"/>
        <v/>
      </c>
      <c r="V301" s="19" t="str">
        <f t="shared" si="75"/>
        <v/>
      </c>
      <c r="W301" s="73" t="str">
        <f t="shared" si="76"/>
        <v/>
      </c>
      <c r="X301" s="19" t="str">
        <f>IF($D301&lt;&gt;1,"",IF($G301="ROKS",$R301,IF($AI301=1,0,MAX($N301,$L301-SUMIFS(TblApplications[CPU IKS libérable (vCPU)],TblApplications[Cluster IKS source],$F301,TblApplications[Action],"À migrer",TblApplications[Mois prov (calc)],"&lt;="&amp;$E301)-SUMIFS(TblApplications[CPU IKS libérable (vCPU)],TblApplications[Cluster IKS source],$F301,TblApplications[Action],"À décommissionner",TblApplications[Mois lib (calc)],"&lt;="&amp;$E301)))))</f>
        <v/>
      </c>
      <c r="Y301" s="19" t="str">
        <f>IF($D301&lt;&gt;1,"",IF($G301="ROKS",$S301,IF($AI301=1,0,MAX($O301,$M301-SUMIFS(TblApplications[RAM IKS libérable (Go)],TblApplications[Cluster IKS source],$F301,TblApplications[Action],"À migrer",TblApplications[Mois prov (calc)],"&lt;="&amp;$E301)-SUMIFS(TblApplications[RAM IKS libérable (Go)],TblApplications[Cluster IKS source],$F301,TblApplications[Action],"À décommissionner",TblApplications[Mois lib (calc)],"&lt;="&amp;$E301)))))</f>
        <v/>
      </c>
      <c r="Z301" s="19" t="str">
        <f t="shared" si="77"/>
        <v/>
      </c>
      <c r="AA301" s="73" t="str">
        <f t="shared" si="78"/>
        <v/>
      </c>
      <c r="AB301" s="19" t="str">
        <f t="shared" si="79"/>
        <v/>
      </c>
      <c r="AC301" s="73" t="str">
        <f t="shared" si="80"/>
        <v/>
      </c>
      <c r="AD301" s="19" t="str">
        <f t="shared" si="81"/>
        <v/>
      </c>
      <c r="AE301" s="19" t="str">
        <f t="shared" si="82"/>
        <v/>
      </c>
      <c r="AF301" s="19" t="str">
        <f>IF($D301&lt;&gt;1,"",IF(INDEX(TblClusters[Environnement],$B301)="","(vide)",INDEX(TblClusters[Environnement],$B301)))</f>
        <v/>
      </c>
      <c r="AG301" s="19" t="str">
        <f t="shared" si="83"/>
        <v/>
      </c>
      <c r="AH301" s="19" t="str">
        <f t="shared" si="84"/>
        <v/>
      </c>
      <c r="AI301" s="19" t="str">
        <f>IF($D301&lt;&gt;1,"",IF(AND($G301="IKS",ISNUMBER(INDEX(TblClusters[Fermeture retenue],$B301))),IF($E301&gt;=INDEX(TblClusters[Fermeture retenue],$B301),1,0),0))</f>
        <v/>
      </c>
    </row>
    <row r="302" spans="1:35" x14ac:dyDescent="0.2">
      <c r="A302" s="19">
        <v>297</v>
      </c>
      <c r="B302" s="19">
        <f t="shared" si="68"/>
        <v>9</v>
      </c>
      <c r="C302" s="19">
        <f t="shared" si="69"/>
        <v>9</v>
      </c>
      <c r="D302" s="19">
        <f>IF($C302&gt;p_horizon,0,IFERROR(IF(AND(INDEX(TblClusters[Cluster],$B302)&lt;&gt;"",ISNUMBER(INDEX(TblClusters[CPU initial (vCPU)],$B302)),ISNUMBER(INDEX(TblClusters[CPU min (vCPU)],$B302)),OR(INDEX(TblClusters[Plateforme],$B302)="IKS",INDEX(TblClusters[Plateforme],$B302)="ROKS")),1,0),0))</f>
        <v>0</v>
      </c>
      <c r="E302" s="72" t="str">
        <f t="shared" si="70"/>
        <v/>
      </c>
      <c r="F302" s="19" t="str">
        <f>IF($D302=1,INDEX(TblClusters[Cluster],$B302),"")</f>
        <v/>
      </c>
      <c r="G302" s="19" t="str">
        <f>IF($D302=1,INDEX(TblClusters[Plateforme],$B302),"")</f>
        <v/>
      </c>
      <c r="H302" s="19" t="str">
        <f>IF($D302=1,INDEX(TblClusters[vCPU par nœud],$B302),"")</f>
        <v/>
      </c>
      <c r="I302" s="19" t="str">
        <f>IF($D302=1,INDEX(TblClusters[RAM par nœud (Go)],$B302),"")</f>
        <v/>
      </c>
      <c r="J302" s="19" t="str">
        <f>IF($D302=1,INDEX(TblClusters[Workers min],$B302),"")</f>
        <v/>
      </c>
      <c r="K302" s="73" t="str">
        <f>IF($D302=1,INDEX(TblClusters[Tarif par nœud],$B302),"")</f>
        <v/>
      </c>
      <c r="L302" s="19" t="str">
        <f>IF($D302=1,INDEX(TblClusters[CPU initial (vCPU)],$B302),"")</f>
        <v/>
      </c>
      <c r="M302" s="19" t="str">
        <f>IF($D302=1,INDEX(TblClusters[RAM initiale (Go)],$B302),"")</f>
        <v/>
      </c>
      <c r="N302" s="19" t="str">
        <f>IF($D302=1,INDEX(TblClusters[CPU min (vCPU)],$B302),"")</f>
        <v/>
      </c>
      <c r="O302" s="19" t="str">
        <f>IF($D302=1,INDEX(TblClusters[RAM min (Go)],$B302),"")</f>
        <v/>
      </c>
      <c r="P302" s="19" t="str">
        <f>IF($D302&lt;&gt;1,"",IF($G302="ROKS",SUMIFS(TblApplications[Besoin ROKS CPU (vCPU)],TblApplications[Cluster ROKS cible],$F302,TblApplications[Action],"À migrer",TblApplications[Déjà incluse ROKS],"Non",TblApplications[Mois prov (calc)],"&lt;="&amp;$E302),SUMIFS(TblApplications[CPU IKS libérable (vCPU)],TblApplications[Cluster IKS source],$F302,TblApplications[Mois lib (calc)],"&lt;="&amp;$E302)))</f>
        <v/>
      </c>
      <c r="Q302" s="19" t="str">
        <f>IF($D302&lt;&gt;1,"",IF($G302="ROKS",SUMIFS(TblApplications[Besoin ROKS RAM (Go)],TblApplications[Cluster ROKS cible],$F302,TblApplications[Action],"À migrer",TblApplications[Déjà incluse ROKS],"Non",TblApplications[Mois prov (calc)],"&lt;="&amp;$E302),SUMIFS(TblApplications[RAM IKS libérable (Go)],TblApplications[Cluster IKS source],$F302,TblApplications[Mois lib (calc)],"&lt;="&amp;$E302)))</f>
        <v/>
      </c>
      <c r="R302" s="19" t="str">
        <f t="shared" si="71"/>
        <v/>
      </c>
      <c r="S302" s="19" t="str">
        <f t="shared" si="72"/>
        <v/>
      </c>
      <c r="T302" s="19" t="str">
        <f t="shared" si="73"/>
        <v/>
      </c>
      <c r="U302" s="19" t="str">
        <f t="shared" si="74"/>
        <v/>
      </c>
      <c r="V302" s="19" t="str">
        <f t="shared" si="75"/>
        <v/>
      </c>
      <c r="W302" s="73" t="str">
        <f t="shared" si="76"/>
        <v/>
      </c>
      <c r="X302" s="19" t="str">
        <f>IF($D302&lt;&gt;1,"",IF($G302="ROKS",$R302,IF($AI302=1,0,MAX($N302,$L302-SUMIFS(TblApplications[CPU IKS libérable (vCPU)],TblApplications[Cluster IKS source],$F302,TblApplications[Action],"À migrer",TblApplications[Mois prov (calc)],"&lt;="&amp;$E302)-SUMIFS(TblApplications[CPU IKS libérable (vCPU)],TblApplications[Cluster IKS source],$F302,TblApplications[Action],"À décommissionner",TblApplications[Mois lib (calc)],"&lt;="&amp;$E302)))))</f>
        <v/>
      </c>
      <c r="Y302" s="19" t="str">
        <f>IF($D302&lt;&gt;1,"",IF($G302="ROKS",$S302,IF($AI302=1,0,MAX($O302,$M302-SUMIFS(TblApplications[RAM IKS libérable (Go)],TblApplications[Cluster IKS source],$F302,TblApplications[Action],"À migrer",TblApplications[Mois prov (calc)],"&lt;="&amp;$E302)-SUMIFS(TblApplications[RAM IKS libérable (Go)],TblApplications[Cluster IKS source],$F302,TblApplications[Action],"À décommissionner",TblApplications[Mois lib (calc)],"&lt;="&amp;$E302)))))</f>
        <v/>
      </c>
      <c r="Z302" s="19" t="str">
        <f t="shared" si="77"/>
        <v/>
      </c>
      <c r="AA302" s="73" t="str">
        <f t="shared" si="78"/>
        <v/>
      </c>
      <c r="AB302" s="19" t="str">
        <f t="shared" si="79"/>
        <v/>
      </c>
      <c r="AC302" s="73" t="str">
        <f t="shared" si="80"/>
        <v/>
      </c>
      <c r="AD302" s="19" t="str">
        <f t="shared" si="81"/>
        <v/>
      </c>
      <c r="AE302" s="19" t="str">
        <f t="shared" si="82"/>
        <v/>
      </c>
      <c r="AF302" s="19" t="str">
        <f>IF($D302&lt;&gt;1,"",IF(INDEX(TblClusters[Environnement],$B302)="","(vide)",INDEX(TblClusters[Environnement],$B302)))</f>
        <v/>
      </c>
      <c r="AG302" s="19" t="str">
        <f t="shared" si="83"/>
        <v/>
      </c>
      <c r="AH302" s="19" t="str">
        <f t="shared" si="84"/>
        <v/>
      </c>
      <c r="AI302" s="19" t="str">
        <f>IF($D302&lt;&gt;1,"",IF(AND($G302="IKS",ISNUMBER(INDEX(TblClusters[Fermeture retenue],$B302))),IF($E302&gt;=INDEX(TblClusters[Fermeture retenue],$B302),1,0),0))</f>
        <v/>
      </c>
    </row>
    <row r="303" spans="1:35" x14ac:dyDescent="0.2">
      <c r="A303" s="19">
        <v>298</v>
      </c>
      <c r="B303" s="19">
        <f t="shared" si="68"/>
        <v>9</v>
      </c>
      <c r="C303" s="19">
        <f t="shared" si="69"/>
        <v>10</v>
      </c>
      <c r="D303" s="19">
        <f>IF($C303&gt;p_horizon,0,IFERROR(IF(AND(INDEX(TblClusters[Cluster],$B303)&lt;&gt;"",ISNUMBER(INDEX(TblClusters[CPU initial (vCPU)],$B303)),ISNUMBER(INDEX(TblClusters[CPU min (vCPU)],$B303)),OR(INDEX(TblClusters[Plateforme],$B303)="IKS",INDEX(TblClusters[Plateforme],$B303)="ROKS")),1,0),0))</f>
        <v>0</v>
      </c>
      <c r="E303" s="72" t="str">
        <f t="shared" si="70"/>
        <v/>
      </c>
      <c r="F303" s="19" t="str">
        <f>IF($D303=1,INDEX(TblClusters[Cluster],$B303),"")</f>
        <v/>
      </c>
      <c r="G303" s="19" t="str">
        <f>IF($D303=1,INDEX(TblClusters[Plateforme],$B303),"")</f>
        <v/>
      </c>
      <c r="H303" s="19" t="str">
        <f>IF($D303=1,INDEX(TblClusters[vCPU par nœud],$B303),"")</f>
        <v/>
      </c>
      <c r="I303" s="19" t="str">
        <f>IF($D303=1,INDEX(TblClusters[RAM par nœud (Go)],$B303),"")</f>
        <v/>
      </c>
      <c r="J303" s="19" t="str">
        <f>IF($D303=1,INDEX(TblClusters[Workers min],$B303),"")</f>
        <v/>
      </c>
      <c r="K303" s="73" t="str">
        <f>IF($D303=1,INDEX(TblClusters[Tarif par nœud],$B303),"")</f>
        <v/>
      </c>
      <c r="L303" s="19" t="str">
        <f>IF($D303=1,INDEX(TblClusters[CPU initial (vCPU)],$B303),"")</f>
        <v/>
      </c>
      <c r="M303" s="19" t="str">
        <f>IF($D303=1,INDEX(TblClusters[RAM initiale (Go)],$B303),"")</f>
        <v/>
      </c>
      <c r="N303" s="19" t="str">
        <f>IF($D303=1,INDEX(TblClusters[CPU min (vCPU)],$B303),"")</f>
        <v/>
      </c>
      <c r="O303" s="19" t="str">
        <f>IF($D303=1,INDEX(TblClusters[RAM min (Go)],$B303),"")</f>
        <v/>
      </c>
      <c r="P303" s="19" t="str">
        <f>IF($D303&lt;&gt;1,"",IF($G303="ROKS",SUMIFS(TblApplications[Besoin ROKS CPU (vCPU)],TblApplications[Cluster ROKS cible],$F303,TblApplications[Action],"À migrer",TblApplications[Déjà incluse ROKS],"Non",TblApplications[Mois prov (calc)],"&lt;="&amp;$E303),SUMIFS(TblApplications[CPU IKS libérable (vCPU)],TblApplications[Cluster IKS source],$F303,TblApplications[Mois lib (calc)],"&lt;="&amp;$E303)))</f>
        <v/>
      </c>
      <c r="Q303" s="19" t="str">
        <f>IF($D303&lt;&gt;1,"",IF($G303="ROKS",SUMIFS(TblApplications[Besoin ROKS RAM (Go)],TblApplications[Cluster ROKS cible],$F303,TblApplications[Action],"À migrer",TblApplications[Déjà incluse ROKS],"Non",TblApplications[Mois prov (calc)],"&lt;="&amp;$E303),SUMIFS(TblApplications[RAM IKS libérable (Go)],TblApplications[Cluster IKS source],$F303,TblApplications[Mois lib (calc)],"&lt;="&amp;$E303)))</f>
        <v/>
      </c>
      <c r="R303" s="19" t="str">
        <f t="shared" si="71"/>
        <v/>
      </c>
      <c r="S303" s="19" t="str">
        <f t="shared" si="72"/>
        <v/>
      </c>
      <c r="T303" s="19" t="str">
        <f t="shared" si="73"/>
        <v/>
      </c>
      <c r="U303" s="19" t="str">
        <f t="shared" si="74"/>
        <v/>
      </c>
      <c r="V303" s="19" t="str">
        <f t="shared" si="75"/>
        <v/>
      </c>
      <c r="W303" s="73" t="str">
        <f t="shared" si="76"/>
        <v/>
      </c>
      <c r="X303" s="19" t="str">
        <f>IF($D303&lt;&gt;1,"",IF($G303="ROKS",$R303,IF($AI303=1,0,MAX($N303,$L303-SUMIFS(TblApplications[CPU IKS libérable (vCPU)],TblApplications[Cluster IKS source],$F303,TblApplications[Action],"À migrer",TblApplications[Mois prov (calc)],"&lt;="&amp;$E303)-SUMIFS(TblApplications[CPU IKS libérable (vCPU)],TblApplications[Cluster IKS source],$F303,TblApplications[Action],"À décommissionner",TblApplications[Mois lib (calc)],"&lt;="&amp;$E303)))))</f>
        <v/>
      </c>
      <c r="Y303" s="19" t="str">
        <f>IF($D303&lt;&gt;1,"",IF($G303="ROKS",$S303,IF($AI303=1,0,MAX($O303,$M303-SUMIFS(TblApplications[RAM IKS libérable (Go)],TblApplications[Cluster IKS source],$F303,TblApplications[Action],"À migrer",TblApplications[Mois prov (calc)],"&lt;="&amp;$E303)-SUMIFS(TblApplications[RAM IKS libérable (Go)],TblApplications[Cluster IKS source],$F303,TblApplications[Action],"À décommissionner",TblApplications[Mois lib (calc)],"&lt;="&amp;$E303)))))</f>
        <v/>
      </c>
      <c r="Z303" s="19" t="str">
        <f t="shared" si="77"/>
        <v/>
      </c>
      <c r="AA303" s="73" t="str">
        <f t="shared" si="78"/>
        <v/>
      </c>
      <c r="AB303" s="19" t="str">
        <f t="shared" si="79"/>
        <v/>
      </c>
      <c r="AC303" s="73" t="str">
        <f t="shared" si="80"/>
        <v/>
      </c>
      <c r="AD303" s="19" t="str">
        <f t="shared" si="81"/>
        <v/>
      </c>
      <c r="AE303" s="19" t="str">
        <f t="shared" si="82"/>
        <v/>
      </c>
      <c r="AF303" s="19" t="str">
        <f>IF($D303&lt;&gt;1,"",IF(INDEX(TblClusters[Environnement],$B303)="","(vide)",INDEX(TblClusters[Environnement],$B303)))</f>
        <v/>
      </c>
      <c r="AG303" s="19" t="str">
        <f t="shared" si="83"/>
        <v/>
      </c>
      <c r="AH303" s="19" t="str">
        <f t="shared" si="84"/>
        <v/>
      </c>
      <c r="AI303" s="19" t="str">
        <f>IF($D303&lt;&gt;1,"",IF(AND($G303="IKS",ISNUMBER(INDEX(TblClusters[Fermeture retenue],$B303))),IF($E303&gt;=INDEX(TblClusters[Fermeture retenue],$B303),1,0),0))</f>
        <v/>
      </c>
    </row>
    <row r="304" spans="1:35" x14ac:dyDescent="0.2">
      <c r="A304" s="19">
        <v>299</v>
      </c>
      <c r="B304" s="19">
        <f t="shared" si="68"/>
        <v>9</v>
      </c>
      <c r="C304" s="19">
        <f t="shared" si="69"/>
        <v>11</v>
      </c>
      <c r="D304" s="19">
        <f>IF($C304&gt;p_horizon,0,IFERROR(IF(AND(INDEX(TblClusters[Cluster],$B304)&lt;&gt;"",ISNUMBER(INDEX(TblClusters[CPU initial (vCPU)],$B304)),ISNUMBER(INDEX(TblClusters[CPU min (vCPU)],$B304)),OR(INDEX(TblClusters[Plateforme],$B304)="IKS",INDEX(TblClusters[Plateforme],$B304)="ROKS")),1,0),0))</f>
        <v>0</v>
      </c>
      <c r="E304" s="72" t="str">
        <f t="shared" si="70"/>
        <v/>
      </c>
      <c r="F304" s="19" t="str">
        <f>IF($D304=1,INDEX(TblClusters[Cluster],$B304),"")</f>
        <v/>
      </c>
      <c r="G304" s="19" t="str">
        <f>IF($D304=1,INDEX(TblClusters[Plateforme],$B304),"")</f>
        <v/>
      </c>
      <c r="H304" s="19" t="str">
        <f>IF($D304=1,INDEX(TblClusters[vCPU par nœud],$B304),"")</f>
        <v/>
      </c>
      <c r="I304" s="19" t="str">
        <f>IF($D304=1,INDEX(TblClusters[RAM par nœud (Go)],$B304),"")</f>
        <v/>
      </c>
      <c r="J304" s="19" t="str">
        <f>IF($D304=1,INDEX(TblClusters[Workers min],$B304),"")</f>
        <v/>
      </c>
      <c r="K304" s="73" t="str">
        <f>IF($D304=1,INDEX(TblClusters[Tarif par nœud],$B304),"")</f>
        <v/>
      </c>
      <c r="L304" s="19" t="str">
        <f>IF($D304=1,INDEX(TblClusters[CPU initial (vCPU)],$B304),"")</f>
        <v/>
      </c>
      <c r="M304" s="19" t="str">
        <f>IF($D304=1,INDEX(TblClusters[RAM initiale (Go)],$B304),"")</f>
        <v/>
      </c>
      <c r="N304" s="19" t="str">
        <f>IF($D304=1,INDEX(TblClusters[CPU min (vCPU)],$B304),"")</f>
        <v/>
      </c>
      <c r="O304" s="19" t="str">
        <f>IF($D304=1,INDEX(TblClusters[RAM min (Go)],$B304),"")</f>
        <v/>
      </c>
      <c r="P304" s="19" t="str">
        <f>IF($D304&lt;&gt;1,"",IF($G304="ROKS",SUMIFS(TblApplications[Besoin ROKS CPU (vCPU)],TblApplications[Cluster ROKS cible],$F304,TblApplications[Action],"À migrer",TblApplications[Déjà incluse ROKS],"Non",TblApplications[Mois prov (calc)],"&lt;="&amp;$E304),SUMIFS(TblApplications[CPU IKS libérable (vCPU)],TblApplications[Cluster IKS source],$F304,TblApplications[Mois lib (calc)],"&lt;="&amp;$E304)))</f>
        <v/>
      </c>
      <c r="Q304" s="19" t="str">
        <f>IF($D304&lt;&gt;1,"",IF($G304="ROKS",SUMIFS(TblApplications[Besoin ROKS RAM (Go)],TblApplications[Cluster ROKS cible],$F304,TblApplications[Action],"À migrer",TblApplications[Déjà incluse ROKS],"Non",TblApplications[Mois prov (calc)],"&lt;="&amp;$E304),SUMIFS(TblApplications[RAM IKS libérable (Go)],TblApplications[Cluster IKS source],$F304,TblApplications[Mois lib (calc)],"&lt;="&amp;$E304)))</f>
        <v/>
      </c>
      <c r="R304" s="19" t="str">
        <f t="shared" si="71"/>
        <v/>
      </c>
      <c r="S304" s="19" t="str">
        <f t="shared" si="72"/>
        <v/>
      </c>
      <c r="T304" s="19" t="str">
        <f t="shared" si="73"/>
        <v/>
      </c>
      <c r="U304" s="19" t="str">
        <f t="shared" si="74"/>
        <v/>
      </c>
      <c r="V304" s="19" t="str">
        <f t="shared" si="75"/>
        <v/>
      </c>
      <c r="W304" s="73" t="str">
        <f t="shared" si="76"/>
        <v/>
      </c>
      <c r="X304" s="19" t="str">
        <f>IF($D304&lt;&gt;1,"",IF($G304="ROKS",$R304,IF($AI304=1,0,MAX($N304,$L304-SUMIFS(TblApplications[CPU IKS libérable (vCPU)],TblApplications[Cluster IKS source],$F304,TblApplications[Action],"À migrer",TblApplications[Mois prov (calc)],"&lt;="&amp;$E304)-SUMIFS(TblApplications[CPU IKS libérable (vCPU)],TblApplications[Cluster IKS source],$F304,TblApplications[Action],"À décommissionner",TblApplications[Mois lib (calc)],"&lt;="&amp;$E304)))))</f>
        <v/>
      </c>
      <c r="Y304" s="19" t="str">
        <f>IF($D304&lt;&gt;1,"",IF($G304="ROKS",$S304,IF($AI304=1,0,MAX($O304,$M304-SUMIFS(TblApplications[RAM IKS libérable (Go)],TblApplications[Cluster IKS source],$F304,TblApplications[Action],"À migrer",TblApplications[Mois prov (calc)],"&lt;="&amp;$E304)-SUMIFS(TblApplications[RAM IKS libérable (Go)],TblApplications[Cluster IKS source],$F304,TblApplications[Action],"À décommissionner",TblApplications[Mois lib (calc)],"&lt;="&amp;$E304)))))</f>
        <v/>
      </c>
      <c r="Z304" s="19" t="str">
        <f t="shared" si="77"/>
        <v/>
      </c>
      <c r="AA304" s="73" t="str">
        <f t="shared" si="78"/>
        <v/>
      </c>
      <c r="AB304" s="19" t="str">
        <f t="shared" si="79"/>
        <v/>
      </c>
      <c r="AC304" s="73" t="str">
        <f t="shared" si="80"/>
        <v/>
      </c>
      <c r="AD304" s="19" t="str">
        <f t="shared" si="81"/>
        <v/>
      </c>
      <c r="AE304" s="19" t="str">
        <f t="shared" si="82"/>
        <v/>
      </c>
      <c r="AF304" s="19" t="str">
        <f>IF($D304&lt;&gt;1,"",IF(INDEX(TblClusters[Environnement],$B304)="","(vide)",INDEX(TblClusters[Environnement],$B304)))</f>
        <v/>
      </c>
      <c r="AG304" s="19" t="str">
        <f t="shared" si="83"/>
        <v/>
      </c>
      <c r="AH304" s="19" t="str">
        <f t="shared" si="84"/>
        <v/>
      </c>
      <c r="AI304" s="19" t="str">
        <f>IF($D304&lt;&gt;1,"",IF(AND($G304="IKS",ISNUMBER(INDEX(TblClusters[Fermeture retenue],$B304))),IF($E304&gt;=INDEX(TblClusters[Fermeture retenue],$B304),1,0),0))</f>
        <v/>
      </c>
    </row>
    <row r="305" spans="1:35" x14ac:dyDescent="0.2">
      <c r="A305" s="19">
        <v>300</v>
      </c>
      <c r="B305" s="19">
        <f t="shared" si="68"/>
        <v>9</v>
      </c>
      <c r="C305" s="19">
        <f t="shared" si="69"/>
        <v>12</v>
      </c>
      <c r="D305" s="19">
        <f>IF($C305&gt;p_horizon,0,IFERROR(IF(AND(INDEX(TblClusters[Cluster],$B305)&lt;&gt;"",ISNUMBER(INDEX(TblClusters[CPU initial (vCPU)],$B305)),ISNUMBER(INDEX(TblClusters[CPU min (vCPU)],$B305)),OR(INDEX(TblClusters[Plateforme],$B305)="IKS",INDEX(TblClusters[Plateforme],$B305)="ROKS")),1,0),0))</f>
        <v>0</v>
      </c>
      <c r="E305" s="72" t="str">
        <f t="shared" si="70"/>
        <v/>
      </c>
      <c r="F305" s="19" t="str">
        <f>IF($D305=1,INDEX(TblClusters[Cluster],$B305),"")</f>
        <v/>
      </c>
      <c r="G305" s="19" t="str">
        <f>IF($D305=1,INDEX(TblClusters[Plateforme],$B305),"")</f>
        <v/>
      </c>
      <c r="H305" s="19" t="str">
        <f>IF($D305=1,INDEX(TblClusters[vCPU par nœud],$B305),"")</f>
        <v/>
      </c>
      <c r="I305" s="19" t="str">
        <f>IF($D305=1,INDEX(TblClusters[RAM par nœud (Go)],$B305),"")</f>
        <v/>
      </c>
      <c r="J305" s="19" t="str">
        <f>IF($D305=1,INDEX(TblClusters[Workers min],$B305),"")</f>
        <v/>
      </c>
      <c r="K305" s="73" t="str">
        <f>IF($D305=1,INDEX(TblClusters[Tarif par nœud],$B305),"")</f>
        <v/>
      </c>
      <c r="L305" s="19" t="str">
        <f>IF($D305=1,INDEX(TblClusters[CPU initial (vCPU)],$B305),"")</f>
        <v/>
      </c>
      <c r="M305" s="19" t="str">
        <f>IF($D305=1,INDEX(TblClusters[RAM initiale (Go)],$B305),"")</f>
        <v/>
      </c>
      <c r="N305" s="19" t="str">
        <f>IF($D305=1,INDEX(TblClusters[CPU min (vCPU)],$B305),"")</f>
        <v/>
      </c>
      <c r="O305" s="19" t="str">
        <f>IF($D305=1,INDEX(TblClusters[RAM min (Go)],$B305),"")</f>
        <v/>
      </c>
      <c r="P305" s="19" t="str">
        <f>IF($D305&lt;&gt;1,"",IF($G305="ROKS",SUMIFS(TblApplications[Besoin ROKS CPU (vCPU)],TblApplications[Cluster ROKS cible],$F305,TblApplications[Action],"À migrer",TblApplications[Déjà incluse ROKS],"Non",TblApplications[Mois prov (calc)],"&lt;="&amp;$E305),SUMIFS(TblApplications[CPU IKS libérable (vCPU)],TblApplications[Cluster IKS source],$F305,TblApplications[Mois lib (calc)],"&lt;="&amp;$E305)))</f>
        <v/>
      </c>
      <c r="Q305" s="19" t="str">
        <f>IF($D305&lt;&gt;1,"",IF($G305="ROKS",SUMIFS(TblApplications[Besoin ROKS RAM (Go)],TblApplications[Cluster ROKS cible],$F305,TblApplications[Action],"À migrer",TblApplications[Déjà incluse ROKS],"Non",TblApplications[Mois prov (calc)],"&lt;="&amp;$E305),SUMIFS(TblApplications[RAM IKS libérable (Go)],TblApplications[Cluster IKS source],$F305,TblApplications[Mois lib (calc)],"&lt;="&amp;$E305)))</f>
        <v/>
      </c>
      <c r="R305" s="19" t="str">
        <f t="shared" si="71"/>
        <v/>
      </c>
      <c r="S305" s="19" t="str">
        <f t="shared" si="72"/>
        <v/>
      </c>
      <c r="T305" s="19" t="str">
        <f t="shared" si="73"/>
        <v/>
      </c>
      <c r="U305" s="19" t="str">
        <f t="shared" si="74"/>
        <v/>
      </c>
      <c r="V305" s="19" t="str">
        <f t="shared" si="75"/>
        <v/>
      </c>
      <c r="W305" s="73" t="str">
        <f t="shared" si="76"/>
        <v/>
      </c>
      <c r="X305" s="19" t="str">
        <f>IF($D305&lt;&gt;1,"",IF($G305="ROKS",$R305,IF($AI305=1,0,MAX($N305,$L305-SUMIFS(TblApplications[CPU IKS libérable (vCPU)],TblApplications[Cluster IKS source],$F305,TblApplications[Action],"À migrer",TblApplications[Mois prov (calc)],"&lt;="&amp;$E305)-SUMIFS(TblApplications[CPU IKS libérable (vCPU)],TblApplications[Cluster IKS source],$F305,TblApplications[Action],"À décommissionner",TblApplications[Mois lib (calc)],"&lt;="&amp;$E305)))))</f>
        <v/>
      </c>
      <c r="Y305" s="19" t="str">
        <f>IF($D305&lt;&gt;1,"",IF($G305="ROKS",$S305,IF($AI305=1,0,MAX($O305,$M305-SUMIFS(TblApplications[RAM IKS libérable (Go)],TblApplications[Cluster IKS source],$F305,TblApplications[Action],"À migrer",TblApplications[Mois prov (calc)],"&lt;="&amp;$E305)-SUMIFS(TblApplications[RAM IKS libérable (Go)],TblApplications[Cluster IKS source],$F305,TblApplications[Action],"À décommissionner",TblApplications[Mois lib (calc)],"&lt;="&amp;$E305)))))</f>
        <v/>
      </c>
      <c r="Z305" s="19" t="str">
        <f t="shared" si="77"/>
        <v/>
      </c>
      <c r="AA305" s="73" t="str">
        <f t="shared" si="78"/>
        <v/>
      </c>
      <c r="AB305" s="19" t="str">
        <f t="shared" si="79"/>
        <v/>
      </c>
      <c r="AC305" s="73" t="str">
        <f t="shared" si="80"/>
        <v/>
      </c>
      <c r="AD305" s="19" t="str">
        <f t="shared" si="81"/>
        <v/>
      </c>
      <c r="AE305" s="19" t="str">
        <f t="shared" si="82"/>
        <v/>
      </c>
      <c r="AF305" s="19" t="str">
        <f>IF($D305&lt;&gt;1,"",IF(INDEX(TblClusters[Environnement],$B305)="","(vide)",INDEX(TblClusters[Environnement],$B305)))</f>
        <v/>
      </c>
      <c r="AG305" s="19" t="str">
        <f t="shared" si="83"/>
        <v/>
      </c>
      <c r="AH305" s="19" t="str">
        <f t="shared" si="84"/>
        <v/>
      </c>
      <c r="AI305" s="19" t="str">
        <f>IF($D305&lt;&gt;1,"",IF(AND($G305="IKS",ISNUMBER(INDEX(TblClusters[Fermeture retenue],$B305))),IF($E305&gt;=INDEX(TblClusters[Fermeture retenue],$B305),1,0),0))</f>
        <v/>
      </c>
    </row>
    <row r="306" spans="1:35" x14ac:dyDescent="0.2">
      <c r="A306" s="19">
        <v>301</v>
      </c>
      <c r="B306" s="19">
        <f t="shared" si="68"/>
        <v>9</v>
      </c>
      <c r="C306" s="19">
        <f t="shared" si="69"/>
        <v>13</v>
      </c>
      <c r="D306" s="19">
        <f>IF($C306&gt;p_horizon,0,IFERROR(IF(AND(INDEX(TblClusters[Cluster],$B306)&lt;&gt;"",ISNUMBER(INDEX(TblClusters[CPU initial (vCPU)],$B306)),ISNUMBER(INDEX(TblClusters[CPU min (vCPU)],$B306)),OR(INDEX(TblClusters[Plateforme],$B306)="IKS",INDEX(TblClusters[Plateforme],$B306)="ROKS")),1,0),0))</f>
        <v>0</v>
      </c>
      <c r="E306" s="72" t="str">
        <f t="shared" si="70"/>
        <v/>
      </c>
      <c r="F306" s="19" t="str">
        <f>IF($D306=1,INDEX(TblClusters[Cluster],$B306),"")</f>
        <v/>
      </c>
      <c r="G306" s="19" t="str">
        <f>IF($D306=1,INDEX(TblClusters[Plateforme],$B306),"")</f>
        <v/>
      </c>
      <c r="H306" s="19" t="str">
        <f>IF($D306=1,INDEX(TblClusters[vCPU par nœud],$B306),"")</f>
        <v/>
      </c>
      <c r="I306" s="19" t="str">
        <f>IF($D306=1,INDEX(TblClusters[RAM par nœud (Go)],$B306),"")</f>
        <v/>
      </c>
      <c r="J306" s="19" t="str">
        <f>IF($D306=1,INDEX(TblClusters[Workers min],$B306),"")</f>
        <v/>
      </c>
      <c r="K306" s="73" t="str">
        <f>IF($D306=1,INDEX(TblClusters[Tarif par nœud],$B306),"")</f>
        <v/>
      </c>
      <c r="L306" s="19" t="str">
        <f>IF($D306=1,INDEX(TblClusters[CPU initial (vCPU)],$B306),"")</f>
        <v/>
      </c>
      <c r="M306" s="19" t="str">
        <f>IF($D306=1,INDEX(TblClusters[RAM initiale (Go)],$B306),"")</f>
        <v/>
      </c>
      <c r="N306" s="19" t="str">
        <f>IF($D306=1,INDEX(TblClusters[CPU min (vCPU)],$B306),"")</f>
        <v/>
      </c>
      <c r="O306" s="19" t="str">
        <f>IF($D306=1,INDEX(TblClusters[RAM min (Go)],$B306),"")</f>
        <v/>
      </c>
      <c r="P306" s="19" t="str">
        <f>IF($D306&lt;&gt;1,"",IF($G306="ROKS",SUMIFS(TblApplications[Besoin ROKS CPU (vCPU)],TblApplications[Cluster ROKS cible],$F306,TblApplications[Action],"À migrer",TblApplications[Déjà incluse ROKS],"Non",TblApplications[Mois prov (calc)],"&lt;="&amp;$E306),SUMIFS(TblApplications[CPU IKS libérable (vCPU)],TblApplications[Cluster IKS source],$F306,TblApplications[Mois lib (calc)],"&lt;="&amp;$E306)))</f>
        <v/>
      </c>
      <c r="Q306" s="19" t="str">
        <f>IF($D306&lt;&gt;1,"",IF($G306="ROKS",SUMIFS(TblApplications[Besoin ROKS RAM (Go)],TblApplications[Cluster ROKS cible],$F306,TblApplications[Action],"À migrer",TblApplications[Déjà incluse ROKS],"Non",TblApplications[Mois prov (calc)],"&lt;="&amp;$E306),SUMIFS(TblApplications[RAM IKS libérable (Go)],TblApplications[Cluster IKS source],$F306,TblApplications[Mois lib (calc)],"&lt;="&amp;$E306)))</f>
        <v/>
      </c>
      <c r="R306" s="19" t="str">
        <f t="shared" si="71"/>
        <v/>
      </c>
      <c r="S306" s="19" t="str">
        <f t="shared" si="72"/>
        <v/>
      </c>
      <c r="T306" s="19" t="str">
        <f t="shared" si="73"/>
        <v/>
      </c>
      <c r="U306" s="19" t="str">
        <f t="shared" si="74"/>
        <v/>
      </c>
      <c r="V306" s="19" t="str">
        <f t="shared" si="75"/>
        <v/>
      </c>
      <c r="W306" s="73" t="str">
        <f t="shared" si="76"/>
        <v/>
      </c>
      <c r="X306" s="19" t="str">
        <f>IF($D306&lt;&gt;1,"",IF($G306="ROKS",$R306,IF($AI306=1,0,MAX($N306,$L306-SUMIFS(TblApplications[CPU IKS libérable (vCPU)],TblApplications[Cluster IKS source],$F306,TblApplications[Action],"À migrer",TblApplications[Mois prov (calc)],"&lt;="&amp;$E306)-SUMIFS(TblApplications[CPU IKS libérable (vCPU)],TblApplications[Cluster IKS source],$F306,TblApplications[Action],"À décommissionner",TblApplications[Mois lib (calc)],"&lt;="&amp;$E306)))))</f>
        <v/>
      </c>
      <c r="Y306" s="19" t="str">
        <f>IF($D306&lt;&gt;1,"",IF($G306="ROKS",$S306,IF($AI306=1,0,MAX($O306,$M306-SUMIFS(TblApplications[RAM IKS libérable (Go)],TblApplications[Cluster IKS source],$F306,TblApplications[Action],"À migrer",TblApplications[Mois prov (calc)],"&lt;="&amp;$E306)-SUMIFS(TblApplications[RAM IKS libérable (Go)],TblApplications[Cluster IKS source],$F306,TblApplications[Action],"À décommissionner",TblApplications[Mois lib (calc)],"&lt;="&amp;$E306)))))</f>
        <v/>
      </c>
      <c r="Z306" s="19" t="str">
        <f t="shared" si="77"/>
        <v/>
      </c>
      <c r="AA306" s="73" t="str">
        <f t="shared" si="78"/>
        <v/>
      </c>
      <c r="AB306" s="19" t="str">
        <f t="shared" si="79"/>
        <v/>
      </c>
      <c r="AC306" s="73" t="str">
        <f t="shared" si="80"/>
        <v/>
      </c>
      <c r="AD306" s="19" t="str">
        <f t="shared" si="81"/>
        <v/>
      </c>
      <c r="AE306" s="19" t="str">
        <f t="shared" si="82"/>
        <v/>
      </c>
      <c r="AF306" s="19" t="str">
        <f>IF($D306&lt;&gt;1,"",IF(INDEX(TblClusters[Environnement],$B306)="","(vide)",INDEX(TblClusters[Environnement],$B306)))</f>
        <v/>
      </c>
      <c r="AG306" s="19" t="str">
        <f t="shared" si="83"/>
        <v/>
      </c>
      <c r="AH306" s="19" t="str">
        <f t="shared" si="84"/>
        <v/>
      </c>
      <c r="AI306" s="19" t="str">
        <f>IF($D306&lt;&gt;1,"",IF(AND($G306="IKS",ISNUMBER(INDEX(TblClusters[Fermeture retenue],$B306))),IF($E306&gt;=INDEX(TblClusters[Fermeture retenue],$B306),1,0),0))</f>
        <v/>
      </c>
    </row>
    <row r="307" spans="1:35" x14ac:dyDescent="0.2">
      <c r="A307" s="19">
        <v>302</v>
      </c>
      <c r="B307" s="19">
        <f t="shared" si="68"/>
        <v>9</v>
      </c>
      <c r="C307" s="19">
        <f t="shared" si="69"/>
        <v>14</v>
      </c>
      <c r="D307" s="19">
        <f>IF($C307&gt;p_horizon,0,IFERROR(IF(AND(INDEX(TblClusters[Cluster],$B307)&lt;&gt;"",ISNUMBER(INDEX(TblClusters[CPU initial (vCPU)],$B307)),ISNUMBER(INDEX(TblClusters[CPU min (vCPU)],$B307)),OR(INDEX(TblClusters[Plateforme],$B307)="IKS",INDEX(TblClusters[Plateforme],$B307)="ROKS")),1,0),0))</f>
        <v>0</v>
      </c>
      <c r="E307" s="72" t="str">
        <f t="shared" si="70"/>
        <v/>
      </c>
      <c r="F307" s="19" t="str">
        <f>IF($D307=1,INDEX(TblClusters[Cluster],$B307),"")</f>
        <v/>
      </c>
      <c r="G307" s="19" t="str">
        <f>IF($D307=1,INDEX(TblClusters[Plateforme],$B307),"")</f>
        <v/>
      </c>
      <c r="H307" s="19" t="str">
        <f>IF($D307=1,INDEX(TblClusters[vCPU par nœud],$B307),"")</f>
        <v/>
      </c>
      <c r="I307" s="19" t="str">
        <f>IF($D307=1,INDEX(TblClusters[RAM par nœud (Go)],$B307),"")</f>
        <v/>
      </c>
      <c r="J307" s="19" t="str">
        <f>IF($D307=1,INDEX(TblClusters[Workers min],$B307),"")</f>
        <v/>
      </c>
      <c r="K307" s="73" t="str">
        <f>IF($D307=1,INDEX(TblClusters[Tarif par nœud],$B307),"")</f>
        <v/>
      </c>
      <c r="L307" s="19" t="str">
        <f>IF($D307=1,INDEX(TblClusters[CPU initial (vCPU)],$B307),"")</f>
        <v/>
      </c>
      <c r="M307" s="19" t="str">
        <f>IF($D307=1,INDEX(TblClusters[RAM initiale (Go)],$B307),"")</f>
        <v/>
      </c>
      <c r="N307" s="19" t="str">
        <f>IF($D307=1,INDEX(TblClusters[CPU min (vCPU)],$B307),"")</f>
        <v/>
      </c>
      <c r="O307" s="19" t="str">
        <f>IF($D307=1,INDEX(TblClusters[RAM min (Go)],$B307),"")</f>
        <v/>
      </c>
      <c r="P307" s="19" t="str">
        <f>IF($D307&lt;&gt;1,"",IF($G307="ROKS",SUMIFS(TblApplications[Besoin ROKS CPU (vCPU)],TblApplications[Cluster ROKS cible],$F307,TblApplications[Action],"À migrer",TblApplications[Déjà incluse ROKS],"Non",TblApplications[Mois prov (calc)],"&lt;="&amp;$E307),SUMIFS(TblApplications[CPU IKS libérable (vCPU)],TblApplications[Cluster IKS source],$F307,TblApplications[Mois lib (calc)],"&lt;="&amp;$E307)))</f>
        <v/>
      </c>
      <c r="Q307" s="19" t="str">
        <f>IF($D307&lt;&gt;1,"",IF($G307="ROKS",SUMIFS(TblApplications[Besoin ROKS RAM (Go)],TblApplications[Cluster ROKS cible],$F307,TblApplications[Action],"À migrer",TblApplications[Déjà incluse ROKS],"Non",TblApplications[Mois prov (calc)],"&lt;="&amp;$E307),SUMIFS(TblApplications[RAM IKS libérable (Go)],TblApplications[Cluster IKS source],$F307,TblApplications[Mois lib (calc)],"&lt;="&amp;$E307)))</f>
        <v/>
      </c>
      <c r="R307" s="19" t="str">
        <f t="shared" si="71"/>
        <v/>
      </c>
      <c r="S307" s="19" t="str">
        <f t="shared" si="72"/>
        <v/>
      </c>
      <c r="T307" s="19" t="str">
        <f t="shared" si="73"/>
        <v/>
      </c>
      <c r="U307" s="19" t="str">
        <f t="shared" si="74"/>
        <v/>
      </c>
      <c r="V307" s="19" t="str">
        <f t="shared" si="75"/>
        <v/>
      </c>
      <c r="W307" s="73" t="str">
        <f t="shared" si="76"/>
        <v/>
      </c>
      <c r="X307" s="19" t="str">
        <f>IF($D307&lt;&gt;1,"",IF($G307="ROKS",$R307,IF($AI307=1,0,MAX($N307,$L307-SUMIFS(TblApplications[CPU IKS libérable (vCPU)],TblApplications[Cluster IKS source],$F307,TblApplications[Action],"À migrer",TblApplications[Mois prov (calc)],"&lt;="&amp;$E307)-SUMIFS(TblApplications[CPU IKS libérable (vCPU)],TblApplications[Cluster IKS source],$F307,TblApplications[Action],"À décommissionner",TblApplications[Mois lib (calc)],"&lt;="&amp;$E307)))))</f>
        <v/>
      </c>
      <c r="Y307" s="19" t="str">
        <f>IF($D307&lt;&gt;1,"",IF($G307="ROKS",$S307,IF($AI307=1,0,MAX($O307,$M307-SUMIFS(TblApplications[RAM IKS libérable (Go)],TblApplications[Cluster IKS source],$F307,TblApplications[Action],"À migrer",TblApplications[Mois prov (calc)],"&lt;="&amp;$E307)-SUMIFS(TblApplications[RAM IKS libérable (Go)],TblApplications[Cluster IKS source],$F307,TblApplications[Action],"À décommissionner",TblApplications[Mois lib (calc)],"&lt;="&amp;$E307)))))</f>
        <v/>
      </c>
      <c r="Z307" s="19" t="str">
        <f t="shared" si="77"/>
        <v/>
      </c>
      <c r="AA307" s="73" t="str">
        <f t="shared" si="78"/>
        <v/>
      </c>
      <c r="AB307" s="19" t="str">
        <f t="shared" si="79"/>
        <v/>
      </c>
      <c r="AC307" s="73" t="str">
        <f t="shared" si="80"/>
        <v/>
      </c>
      <c r="AD307" s="19" t="str">
        <f t="shared" si="81"/>
        <v/>
      </c>
      <c r="AE307" s="19" t="str">
        <f t="shared" si="82"/>
        <v/>
      </c>
      <c r="AF307" s="19" t="str">
        <f>IF($D307&lt;&gt;1,"",IF(INDEX(TblClusters[Environnement],$B307)="","(vide)",INDEX(TblClusters[Environnement],$B307)))</f>
        <v/>
      </c>
      <c r="AG307" s="19" t="str">
        <f t="shared" si="83"/>
        <v/>
      </c>
      <c r="AH307" s="19" t="str">
        <f t="shared" si="84"/>
        <v/>
      </c>
      <c r="AI307" s="19" t="str">
        <f>IF($D307&lt;&gt;1,"",IF(AND($G307="IKS",ISNUMBER(INDEX(TblClusters[Fermeture retenue],$B307))),IF($E307&gt;=INDEX(TblClusters[Fermeture retenue],$B307),1,0),0))</f>
        <v/>
      </c>
    </row>
    <row r="308" spans="1:35" x14ac:dyDescent="0.2">
      <c r="A308" s="19">
        <v>303</v>
      </c>
      <c r="B308" s="19">
        <f t="shared" si="68"/>
        <v>9</v>
      </c>
      <c r="C308" s="19">
        <f t="shared" si="69"/>
        <v>15</v>
      </c>
      <c r="D308" s="19">
        <f>IF($C308&gt;p_horizon,0,IFERROR(IF(AND(INDEX(TblClusters[Cluster],$B308)&lt;&gt;"",ISNUMBER(INDEX(TblClusters[CPU initial (vCPU)],$B308)),ISNUMBER(INDEX(TblClusters[CPU min (vCPU)],$B308)),OR(INDEX(TblClusters[Plateforme],$B308)="IKS",INDEX(TblClusters[Plateforme],$B308)="ROKS")),1,0),0))</f>
        <v>0</v>
      </c>
      <c r="E308" s="72" t="str">
        <f t="shared" si="70"/>
        <v/>
      </c>
      <c r="F308" s="19" t="str">
        <f>IF($D308=1,INDEX(TblClusters[Cluster],$B308),"")</f>
        <v/>
      </c>
      <c r="G308" s="19" t="str">
        <f>IF($D308=1,INDEX(TblClusters[Plateforme],$B308),"")</f>
        <v/>
      </c>
      <c r="H308" s="19" t="str">
        <f>IF($D308=1,INDEX(TblClusters[vCPU par nœud],$B308),"")</f>
        <v/>
      </c>
      <c r="I308" s="19" t="str">
        <f>IF($D308=1,INDEX(TblClusters[RAM par nœud (Go)],$B308),"")</f>
        <v/>
      </c>
      <c r="J308" s="19" t="str">
        <f>IF($D308=1,INDEX(TblClusters[Workers min],$B308),"")</f>
        <v/>
      </c>
      <c r="K308" s="73" t="str">
        <f>IF($D308=1,INDEX(TblClusters[Tarif par nœud],$B308),"")</f>
        <v/>
      </c>
      <c r="L308" s="19" t="str">
        <f>IF($D308=1,INDEX(TblClusters[CPU initial (vCPU)],$B308),"")</f>
        <v/>
      </c>
      <c r="M308" s="19" t="str">
        <f>IF($D308=1,INDEX(TblClusters[RAM initiale (Go)],$B308),"")</f>
        <v/>
      </c>
      <c r="N308" s="19" t="str">
        <f>IF($D308=1,INDEX(TblClusters[CPU min (vCPU)],$B308),"")</f>
        <v/>
      </c>
      <c r="O308" s="19" t="str">
        <f>IF($D308=1,INDEX(TblClusters[RAM min (Go)],$B308),"")</f>
        <v/>
      </c>
      <c r="P308" s="19" t="str">
        <f>IF($D308&lt;&gt;1,"",IF($G308="ROKS",SUMIFS(TblApplications[Besoin ROKS CPU (vCPU)],TblApplications[Cluster ROKS cible],$F308,TblApplications[Action],"À migrer",TblApplications[Déjà incluse ROKS],"Non",TblApplications[Mois prov (calc)],"&lt;="&amp;$E308),SUMIFS(TblApplications[CPU IKS libérable (vCPU)],TblApplications[Cluster IKS source],$F308,TblApplications[Mois lib (calc)],"&lt;="&amp;$E308)))</f>
        <v/>
      </c>
      <c r="Q308" s="19" t="str">
        <f>IF($D308&lt;&gt;1,"",IF($G308="ROKS",SUMIFS(TblApplications[Besoin ROKS RAM (Go)],TblApplications[Cluster ROKS cible],$F308,TblApplications[Action],"À migrer",TblApplications[Déjà incluse ROKS],"Non",TblApplications[Mois prov (calc)],"&lt;="&amp;$E308),SUMIFS(TblApplications[RAM IKS libérable (Go)],TblApplications[Cluster IKS source],$F308,TblApplications[Mois lib (calc)],"&lt;="&amp;$E308)))</f>
        <v/>
      </c>
      <c r="R308" s="19" t="str">
        <f t="shared" si="71"/>
        <v/>
      </c>
      <c r="S308" s="19" t="str">
        <f t="shared" si="72"/>
        <v/>
      </c>
      <c r="T308" s="19" t="str">
        <f t="shared" si="73"/>
        <v/>
      </c>
      <c r="U308" s="19" t="str">
        <f t="shared" si="74"/>
        <v/>
      </c>
      <c r="V308" s="19" t="str">
        <f t="shared" si="75"/>
        <v/>
      </c>
      <c r="W308" s="73" t="str">
        <f t="shared" si="76"/>
        <v/>
      </c>
      <c r="X308" s="19" t="str">
        <f>IF($D308&lt;&gt;1,"",IF($G308="ROKS",$R308,IF($AI308=1,0,MAX($N308,$L308-SUMIFS(TblApplications[CPU IKS libérable (vCPU)],TblApplications[Cluster IKS source],$F308,TblApplications[Action],"À migrer",TblApplications[Mois prov (calc)],"&lt;="&amp;$E308)-SUMIFS(TblApplications[CPU IKS libérable (vCPU)],TblApplications[Cluster IKS source],$F308,TblApplications[Action],"À décommissionner",TblApplications[Mois lib (calc)],"&lt;="&amp;$E308)))))</f>
        <v/>
      </c>
      <c r="Y308" s="19" t="str">
        <f>IF($D308&lt;&gt;1,"",IF($G308="ROKS",$S308,IF($AI308=1,0,MAX($O308,$M308-SUMIFS(TblApplications[RAM IKS libérable (Go)],TblApplications[Cluster IKS source],$F308,TblApplications[Action],"À migrer",TblApplications[Mois prov (calc)],"&lt;="&amp;$E308)-SUMIFS(TblApplications[RAM IKS libérable (Go)],TblApplications[Cluster IKS source],$F308,TblApplications[Action],"À décommissionner",TblApplications[Mois lib (calc)],"&lt;="&amp;$E308)))))</f>
        <v/>
      </c>
      <c r="Z308" s="19" t="str">
        <f t="shared" si="77"/>
        <v/>
      </c>
      <c r="AA308" s="73" t="str">
        <f t="shared" si="78"/>
        <v/>
      </c>
      <c r="AB308" s="19" t="str">
        <f t="shared" si="79"/>
        <v/>
      </c>
      <c r="AC308" s="73" t="str">
        <f t="shared" si="80"/>
        <v/>
      </c>
      <c r="AD308" s="19" t="str">
        <f t="shared" si="81"/>
        <v/>
      </c>
      <c r="AE308" s="19" t="str">
        <f t="shared" si="82"/>
        <v/>
      </c>
      <c r="AF308" s="19" t="str">
        <f>IF($D308&lt;&gt;1,"",IF(INDEX(TblClusters[Environnement],$B308)="","(vide)",INDEX(TblClusters[Environnement],$B308)))</f>
        <v/>
      </c>
      <c r="AG308" s="19" t="str">
        <f t="shared" si="83"/>
        <v/>
      </c>
      <c r="AH308" s="19" t="str">
        <f t="shared" si="84"/>
        <v/>
      </c>
      <c r="AI308" s="19" t="str">
        <f>IF($D308&lt;&gt;1,"",IF(AND($G308="IKS",ISNUMBER(INDEX(TblClusters[Fermeture retenue],$B308))),IF($E308&gt;=INDEX(TblClusters[Fermeture retenue],$B308),1,0),0))</f>
        <v/>
      </c>
    </row>
    <row r="309" spans="1:35" x14ac:dyDescent="0.2">
      <c r="A309" s="19">
        <v>304</v>
      </c>
      <c r="B309" s="19">
        <f t="shared" si="68"/>
        <v>9</v>
      </c>
      <c r="C309" s="19">
        <f t="shared" si="69"/>
        <v>16</v>
      </c>
      <c r="D309" s="19">
        <f>IF($C309&gt;p_horizon,0,IFERROR(IF(AND(INDEX(TblClusters[Cluster],$B309)&lt;&gt;"",ISNUMBER(INDEX(TblClusters[CPU initial (vCPU)],$B309)),ISNUMBER(INDEX(TblClusters[CPU min (vCPU)],$B309)),OR(INDEX(TblClusters[Plateforme],$B309)="IKS",INDEX(TblClusters[Plateforme],$B309)="ROKS")),1,0),0))</f>
        <v>0</v>
      </c>
      <c r="E309" s="72" t="str">
        <f t="shared" si="70"/>
        <v/>
      </c>
      <c r="F309" s="19" t="str">
        <f>IF($D309=1,INDEX(TblClusters[Cluster],$B309),"")</f>
        <v/>
      </c>
      <c r="G309" s="19" t="str">
        <f>IF($D309=1,INDEX(TblClusters[Plateforme],$B309),"")</f>
        <v/>
      </c>
      <c r="H309" s="19" t="str">
        <f>IF($D309=1,INDEX(TblClusters[vCPU par nœud],$B309),"")</f>
        <v/>
      </c>
      <c r="I309" s="19" t="str">
        <f>IF($D309=1,INDEX(TblClusters[RAM par nœud (Go)],$B309),"")</f>
        <v/>
      </c>
      <c r="J309" s="19" t="str">
        <f>IF($D309=1,INDEX(TblClusters[Workers min],$B309),"")</f>
        <v/>
      </c>
      <c r="K309" s="73" t="str">
        <f>IF($D309=1,INDEX(TblClusters[Tarif par nœud],$B309),"")</f>
        <v/>
      </c>
      <c r="L309" s="19" t="str">
        <f>IF($D309=1,INDEX(TblClusters[CPU initial (vCPU)],$B309),"")</f>
        <v/>
      </c>
      <c r="M309" s="19" t="str">
        <f>IF($D309=1,INDEX(TblClusters[RAM initiale (Go)],$B309),"")</f>
        <v/>
      </c>
      <c r="N309" s="19" t="str">
        <f>IF($D309=1,INDEX(TblClusters[CPU min (vCPU)],$B309),"")</f>
        <v/>
      </c>
      <c r="O309" s="19" t="str">
        <f>IF($D309=1,INDEX(TblClusters[RAM min (Go)],$B309),"")</f>
        <v/>
      </c>
      <c r="P309" s="19" t="str">
        <f>IF($D309&lt;&gt;1,"",IF($G309="ROKS",SUMIFS(TblApplications[Besoin ROKS CPU (vCPU)],TblApplications[Cluster ROKS cible],$F309,TblApplications[Action],"À migrer",TblApplications[Déjà incluse ROKS],"Non",TblApplications[Mois prov (calc)],"&lt;="&amp;$E309),SUMIFS(TblApplications[CPU IKS libérable (vCPU)],TblApplications[Cluster IKS source],$F309,TblApplications[Mois lib (calc)],"&lt;="&amp;$E309)))</f>
        <v/>
      </c>
      <c r="Q309" s="19" t="str">
        <f>IF($D309&lt;&gt;1,"",IF($G309="ROKS",SUMIFS(TblApplications[Besoin ROKS RAM (Go)],TblApplications[Cluster ROKS cible],$F309,TblApplications[Action],"À migrer",TblApplications[Déjà incluse ROKS],"Non",TblApplications[Mois prov (calc)],"&lt;="&amp;$E309),SUMIFS(TblApplications[RAM IKS libérable (Go)],TblApplications[Cluster IKS source],$F309,TblApplications[Mois lib (calc)],"&lt;="&amp;$E309)))</f>
        <v/>
      </c>
      <c r="R309" s="19" t="str">
        <f t="shared" si="71"/>
        <v/>
      </c>
      <c r="S309" s="19" t="str">
        <f t="shared" si="72"/>
        <v/>
      </c>
      <c r="T309" s="19" t="str">
        <f t="shared" si="73"/>
        <v/>
      </c>
      <c r="U309" s="19" t="str">
        <f t="shared" si="74"/>
        <v/>
      </c>
      <c r="V309" s="19" t="str">
        <f t="shared" si="75"/>
        <v/>
      </c>
      <c r="W309" s="73" t="str">
        <f t="shared" si="76"/>
        <v/>
      </c>
      <c r="X309" s="19" t="str">
        <f>IF($D309&lt;&gt;1,"",IF($G309="ROKS",$R309,IF($AI309=1,0,MAX($N309,$L309-SUMIFS(TblApplications[CPU IKS libérable (vCPU)],TblApplications[Cluster IKS source],$F309,TblApplications[Action],"À migrer",TblApplications[Mois prov (calc)],"&lt;="&amp;$E309)-SUMIFS(TblApplications[CPU IKS libérable (vCPU)],TblApplications[Cluster IKS source],$F309,TblApplications[Action],"À décommissionner",TblApplications[Mois lib (calc)],"&lt;="&amp;$E309)))))</f>
        <v/>
      </c>
      <c r="Y309" s="19" t="str">
        <f>IF($D309&lt;&gt;1,"",IF($G309="ROKS",$S309,IF($AI309=1,0,MAX($O309,$M309-SUMIFS(TblApplications[RAM IKS libérable (Go)],TblApplications[Cluster IKS source],$F309,TblApplications[Action],"À migrer",TblApplications[Mois prov (calc)],"&lt;="&amp;$E309)-SUMIFS(TblApplications[RAM IKS libérable (Go)],TblApplications[Cluster IKS source],$F309,TblApplications[Action],"À décommissionner",TblApplications[Mois lib (calc)],"&lt;="&amp;$E309)))))</f>
        <v/>
      </c>
      <c r="Z309" s="19" t="str">
        <f t="shared" si="77"/>
        <v/>
      </c>
      <c r="AA309" s="73" t="str">
        <f t="shared" si="78"/>
        <v/>
      </c>
      <c r="AB309" s="19" t="str">
        <f t="shared" si="79"/>
        <v/>
      </c>
      <c r="AC309" s="73" t="str">
        <f t="shared" si="80"/>
        <v/>
      </c>
      <c r="AD309" s="19" t="str">
        <f t="shared" si="81"/>
        <v/>
      </c>
      <c r="AE309" s="19" t="str">
        <f t="shared" si="82"/>
        <v/>
      </c>
      <c r="AF309" s="19" t="str">
        <f>IF($D309&lt;&gt;1,"",IF(INDEX(TblClusters[Environnement],$B309)="","(vide)",INDEX(TblClusters[Environnement],$B309)))</f>
        <v/>
      </c>
      <c r="AG309" s="19" t="str">
        <f t="shared" si="83"/>
        <v/>
      </c>
      <c r="AH309" s="19" t="str">
        <f t="shared" si="84"/>
        <v/>
      </c>
      <c r="AI309" s="19" t="str">
        <f>IF($D309&lt;&gt;1,"",IF(AND($G309="IKS",ISNUMBER(INDEX(TblClusters[Fermeture retenue],$B309))),IF($E309&gt;=INDEX(TblClusters[Fermeture retenue],$B309),1,0),0))</f>
        <v/>
      </c>
    </row>
    <row r="310" spans="1:35" x14ac:dyDescent="0.2">
      <c r="A310" s="19">
        <v>305</v>
      </c>
      <c r="B310" s="19">
        <f t="shared" si="68"/>
        <v>9</v>
      </c>
      <c r="C310" s="19">
        <f t="shared" si="69"/>
        <v>17</v>
      </c>
      <c r="D310" s="19">
        <f>IF($C310&gt;p_horizon,0,IFERROR(IF(AND(INDEX(TblClusters[Cluster],$B310)&lt;&gt;"",ISNUMBER(INDEX(TblClusters[CPU initial (vCPU)],$B310)),ISNUMBER(INDEX(TblClusters[CPU min (vCPU)],$B310)),OR(INDEX(TblClusters[Plateforme],$B310)="IKS",INDEX(TblClusters[Plateforme],$B310)="ROKS")),1,0),0))</f>
        <v>0</v>
      </c>
      <c r="E310" s="72" t="str">
        <f t="shared" si="70"/>
        <v/>
      </c>
      <c r="F310" s="19" t="str">
        <f>IF($D310=1,INDEX(TblClusters[Cluster],$B310),"")</f>
        <v/>
      </c>
      <c r="G310" s="19" t="str">
        <f>IF($D310=1,INDEX(TblClusters[Plateforme],$B310),"")</f>
        <v/>
      </c>
      <c r="H310" s="19" t="str">
        <f>IF($D310=1,INDEX(TblClusters[vCPU par nœud],$B310),"")</f>
        <v/>
      </c>
      <c r="I310" s="19" t="str">
        <f>IF($D310=1,INDEX(TblClusters[RAM par nœud (Go)],$B310),"")</f>
        <v/>
      </c>
      <c r="J310" s="19" t="str">
        <f>IF($D310=1,INDEX(TblClusters[Workers min],$B310),"")</f>
        <v/>
      </c>
      <c r="K310" s="73" t="str">
        <f>IF($D310=1,INDEX(TblClusters[Tarif par nœud],$B310),"")</f>
        <v/>
      </c>
      <c r="L310" s="19" t="str">
        <f>IF($D310=1,INDEX(TblClusters[CPU initial (vCPU)],$B310),"")</f>
        <v/>
      </c>
      <c r="M310" s="19" t="str">
        <f>IF($D310=1,INDEX(TblClusters[RAM initiale (Go)],$B310),"")</f>
        <v/>
      </c>
      <c r="N310" s="19" t="str">
        <f>IF($D310=1,INDEX(TblClusters[CPU min (vCPU)],$B310),"")</f>
        <v/>
      </c>
      <c r="O310" s="19" t="str">
        <f>IF($D310=1,INDEX(TblClusters[RAM min (Go)],$B310),"")</f>
        <v/>
      </c>
      <c r="P310" s="19" t="str">
        <f>IF($D310&lt;&gt;1,"",IF($G310="ROKS",SUMIFS(TblApplications[Besoin ROKS CPU (vCPU)],TblApplications[Cluster ROKS cible],$F310,TblApplications[Action],"À migrer",TblApplications[Déjà incluse ROKS],"Non",TblApplications[Mois prov (calc)],"&lt;="&amp;$E310),SUMIFS(TblApplications[CPU IKS libérable (vCPU)],TblApplications[Cluster IKS source],$F310,TblApplications[Mois lib (calc)],"&lt;="&amp;$E310)))</f>
        <v/>
      </c>
      <c r="Q310" s="19" t="str">
        <f>IF($D310&lt;&gt;1,"",IF($G310="ROKS",SUMIFS(TblApplications[Besoin ROKS RAM (Go)],TblApplications[Cluster ROKS cible],$F310,TblApplications[Action],"À migrer",TblApplications[Déjà incluse ROKS],"Non",TblApplications[Mois prov (calc)],"&lt;="&amp;$E310),SUMIFS(TblApplications[RAM IKS libérable (Go)],TblApplications[Cluster IKS source],$F310,TblApplications[Mois lib (calc)],"&lt;="&amp;$E310)))</f>
        <v/>
      </c>
      <c r="R310" s="19" t="str">
        <f t="shared" si="71"/>
        <v/>
      </c>
      <c r="S310" s="19" t="str">
        <f t="shared" si="72"/>
        <v/>
      </c>
      <c r="T310" s="19" t="str">
        <f t="shared" si="73"/>
        <v/>
      </c>
      <c r="U310" s="19" t="str">
        <f t="shared" si="74"/>
        <v/>
      </c>
      <c r="V310" s="19" t="str">
        <f t="shared" si="75"/>
        <v/>
      </c>
      <c r="W310" s="73" t="str">
        <f t="shared" si="76"/>
        <v/>
      </c>
      <c r="X310" s="19" t="str">
        <f>IF($D310&lt;&gt;1,"",IF($G310="ROKS",$R310,IF($AI310=1,0,MAX($N310,$L310-SUMIFS(TblApplications[CPU IKS libérable (vCPU)],TblApplications[Cluster IKS source],$F310,TblApplications[Action],"À migrer",TblApplications[Mois prov (calc)],"&lt;="&amp;$E310)-SUMIFS(TblApplications[CPU IKS libérable (vCPU)],TblApplications[Cluster IKS source],$F310,TblApplications[Action],"À décommissionner",TblApplications[Mois lib (calc)],"&lt;="&amp;$E310)))))</f>
        <v/>
      </c>
      <c r="Y310" s="19" t="str">
        <f>IF($D310&lt;&gt;1,"",IF($G310="ROKS",$S310,IF($AI310=1,0,MAX($O310,$M310-SUMIFS(TblApplications[RAM IKS libérable (Go)],TblApplications[Cluster IKS source],$F310,TblApplications[Action],"À migrer",TblApplications[Mois prov (calc)],"&lt;="&amp;$E310)-SUMIFS(TblApplications[RAM IKS libérable (Go)],TblApplications[Cluster IKS source],$F310,TblApplications[Action],"À décommissionner",TblApplications[Mois lib (calc)],"&lt;="&amp;$E310)))))</f>
        <v/>
      </c>
      <c r="Z310" s="19" t="str">
        <f t="shared" si="77"/>
        <v/>
      </c>
      <c r="AA310" s="73" t="str">
        <f t="shared" si="78"/>
        <v/>
      </c>
      <c r="AB310" s="19" t="str">
        <f t="shared" si="79"/>
        <v/>
      </c>
      <c r="AC310" s="73" t="str">
        <f t="shared" si="80"/>
        <v/>
      </c>
      <c r="AD310" s="19" t="str">
        <f t="shared" si="81"/>
        <v/>
      </c>
      <c r="AE310" s="19" t="str">
        <f t="shared" si="82"/>
        <v/>
      </c>
      <c r="AF310" s="19" t="str">
        <f>IF($D310&lt;&gt;1,"",IF(INDEX(TblClusters[Environnement],$B310)="","(vide)",INDEX(TblClusters[Environnement],$B310)))</f>
        <v/>
      </c>
      <c r="AG310" s="19" t="str">
        <f t="shared" si="83"/>
        <v/>
      </c>
      <c r="AH310" s="19" t="str">
        <f t="shared" si="84"/>
        <v/>
      </c>
      <c r="AI310" s="19" t="str">
        <f>IF($D310&lt;&gt;1,"",IF(AND($G310="IKS",ISNUMBER(INDEX(TblClusters[Fermeture retenue],$B310))),IF($E310&gt;=INDEX(TblClusters[Fermeture retenue],$B310),1,0),0))</f>
        <v/>
      </c>
    </row>
    <row r="311" spans="1:35" x14ac:dyDescent="0.2">
      <c r="A311" s="19">
        <v>306</v>
      </c>
      <c r="B311" s="19">
        <f t="shared" si="68"/>
        <v>9</v>
      </c>
      <c r="C311" s="19">
        <f t="shared" si="69"/>
        <v>18</v>
      </c>
      <c r="D311" s="19">
        <f>IF($C311&gt;p_horizon,0,IFERROR(IF(AND(INDEX(TblClusters[Cluster],$B311)&lt;&gt;"",ISNUMBER(INDEX(TblClusters[CPU initial (vCPU)],$B311)),ISNUMBER(INDEX(TblClusters[CPU min (vCPU)],$B311)),OR(INDEX(TblClusters[Plateforme],$B311)="IKS",INDEX(TblClusters[Plateforme],$B311)="ROKS")),1,0),0))</f>
        <v>0</v>
      </c>
      <c r="E311" s="72" t="str">
        <f t="shared" si="70"/>
        <v/>
      </c>
      <c r="F311" s="19" t="str">
        <f>IF($D311=1,INDEX(TblClusters[Cluster],$B311),"")</f>
        <v/>
      </c>
      <c r="G311" s="19" t="str">
        <f>IF($D311=1,INDEX(TblClusters[Plateforme],$B311),"")</f>
        <v/>
      </c>
      <c r="H311" s="19" t="str">
        <f>IF($D311=1,INDEX(TblClusters[vCPU par nœud],$B311),"")</f>
        <v/>
      </c>
      <c r="I311" s="19" t="str">
        <f>IF($D311=1,INDEX(TblClusters[RAM par nœud (Go)],$B311),"")</f>
        <v/>
      </c>
      <c r="J311" s="19" t="str">
        <f>IF($D311=1,INDEX(TblClusters[Workers min],$B311),"")</f>
        <v/>
      </c>
      <c r="K311" s="73" t="str">
        <f>IF($D311=1,INDEX(TblClusters[Tarif par nœud],$B311),"")</f>
        <v/>
      </c>
      <c r="L311" s="19" t="str">
        <f>IF($D311=1,INDEX(TblClusters[CPU initial (vCPU)],$B311),"")</f>
        <v/>
      </c>
      <c r="M311" s="19" t="str">
        <f>IF($D311=1,INDEX(TblClusters[RAM initiale (Go)],$B311),"")</f>
        <v/>
      </c>
      <c r="N311" s="19" t="str">
        <f>IF($D311=1,INDEX(TblClusters[CPU min (vCPU)],$B311),"")</f>
        <v/>
      </c>
      <c r="O311" s="19" t="str">
        <f>IF($D311=1,INDEX(TblClusters[RAM min (Go)],$B311),"")</f>
        <v/>
      </c>
      <c r="P311" s="19" t="str">
        <f>IF($D311&lt;&gt;1,"",IF($G311="ROKS",SUMIFS(TblApplications[Besoin ROKS CPU (vCPU)],TblApplications[Cluster ROKS cible],$F311,TblApplications[Action],"À migrer",TblApplications[Déjà incluse ROKS],"Non",TblApplications[Mois prov (calc)],"&lt;="&amp;$E311),SUMIFS(TblApplications[CPU IKS libérable (vCPU)],TblApplications[Cluster IKS source],$F311,TblApplications[Mois lib (calc)],"&lt;="&amp;$E311)))</f>
        <v/>
      </c>
      <c r="Q311" s="19" t="str">
        <f>IF($D311&lt;&gt;1,"",IF($G311="ROKS",SUMIFS(TblApplications[Besoin ROKS RAM (Go)],TblApplications[Cluster ROKS cible],$F311,TblApplications[Action],"À migrer",TblApplications[Déjà incluse ROKS],"Non",TblApplications[Mois prov (calc)],"&lt;="&amp;$E311),SUMIFS(TblApplications[RAM IKS libérable (Go)],TblApplications[Cluster IKS source],$F311,TblApplications[Mois lib (calc)],"&lt;="&amp;$E311)))</f>
        <v/>
      </c>
      <c r="R311" s="19" t="str">
        <f t="shared" si="71"/>
        <v/>
      </c>
      <c r="S311" s="19" t="str">
        <f t="shared" si="72"/>
        <v/>
      </c>
      <c r="T311" s="19" t="str">
        <f t="shared" si="73"/>
        <v/>
      </c>
      <c r="U311" s="19" t="str">
        <f t="shared" si="74"/>
        <v/>
      </c>
      <c r="V311" s="19" t="str">
        <f t="shared" si="75"/>
        <v/>
      </c>
      <c r="W311" s="73" t="str">
        <f t="shared" si="76"/>
        <v/>
      </c>
      <c r="X311" s="19" t="str">
        <f>IF($D311&lt;&gt;1,"",IF($G311="ROKS",$R311,IF($AI311=1,0,MAX($N311,$L311-SUMIFS(TblApplications[CPU IKS libérable (vCPU)],TblApplications[Cluster IKS source],$F311,TblApplications[Action],"À migrer",TblApplications[Mois prov (calc)],"&lt;="&amp;$E311)-SUMIFS(TblApplications[CPU IKS libérable (vCPU)],TblApplications[Cluster IKS source],$F311,TblApplications[Action],"À décommissionner",TblApplications[Mois lib (calc)],"&lt;="&amp;$E311)))))</f>
        <v/>
      </c>
      <c r="Y311" s="19" t="str">
        <f>IF($D311&lt;&gt;1,"",IF($G311="ROKS",$S311,IF($AI311=1,0,MAX($O311,$M311-SUMIFS(TblApplications[RAM IKS libérable (Go)],TblApplications[Cluster IKS source],$F311,TblApplications[Action],"À migrer",TblApplications[Mois prov (calc)],"&lt;="&amp;$E311)-SUMIFS(TblApplications[RAM IKS libérable (Go)],TblApplications[Cluster IKS source],$F311,TblApplications[Action],"À décommissionner",TblApplications[Mois lib (calc)],"&lt;="&amp;$E311)))))</f>
        <v/>
      </c>
      <c r="Z311" s="19" t="str">
        <f t="shared" si="77"/>
        <v/>
      </c>
      <c r="AA311" s="73" t="str">
        <f t="shared" si="78"/>
        <v/>
      </c>
      <c r="AB311" s="19" t="str">
        <f t="shared" si="79"/>
        <v/>
      </c>
      <c r="AC311" s="73" t="str">
        <f t="shared" si="80"/>
        <v/>
      </c>
      <c r="AD311" s="19" t="str">
        <f t="shared" si="81"/>
        <v/>
      </c>
      <c r="AE311" s="19" t="str">
        <f t="shared" si="82"/>
        <v/>
      </c>
      <c r="AF311" s="19" t="str">
        <f>IF($D311&lt;&gt;1,"",IF(INDEX(TblClusters[Environnement],$B311)="","(vide)",INDEX(TblClusters[Environnement],$B311)))</f>
        <v/>
      </c>
      <c r="AG311" s="19" t="str">
        <f t="shared" si="83"/>
        <v/>
      </c>
      <c r="AH311" s="19" t="str">
        <f t="shared" si="84"/>
        <v/>
      </c>
      <c r="AI311" s="19" t="str">
        <f>IF($D311&lt;&gt;1,"",IF(AND($G311="IKS",ISNUMBER(INDEX(TblClusters[Fermeture retenue],$B311))),IF($E311&gt;=INDEX(TblClusters[Fermeture retenue],$B311),1,0),0))</f>
        <v/>
      </c>
    </row>
    <row r="312" spans="1:35" x14ac:dyDescent="0.2">
      <c r="A312" s="19">
        <v>307</v>
      </c>
      <c r="B312" s="19">
        <f t="shared" si="68"/>
        <v>9</v>
      </c>
      <c r="C312" s="19">
        <f t="shared" si="69"/>
        <v>19</v>
      </c>
      <c r="D312" s="19">
        <f>IF($C312&gt;p_horizon,0,IFERROR(IF(AND(INDEX(TblClusters[Cluster],$B312)&lt;&gt;"",ISNUMBER(INDEX(TblClusters[CPU initial (vCPU)],$B312)),ISNUMBER(INDEX(TblClusters[CPU min (vCPU)],$B312)),OR(INDEX(TblClusters[Plateforme],$B312)="IKS",INDEX(TblClusters[Plateforme],$B312)="ROKS")),1,0),0))</f>
        <v>0</v>
      </c>
      <c r="E312" s="72" t="str">
        <f t="shared" si="70"/>
        <v/>
      </c>
      <c r="F312" s="19" t="str">
        <f>IF($D312=1,INDEX(TblClusters[Cluster],$B312),"")</f>
        <v/>
      </c>
      <c r="G312" s="19" t="str">
        <f>IF($D312=1,INDEX(TblClusters[Plateforme],$B312),"")</f>
        <v/>
      </c>
      <c r="H312" s="19" t="str">
        <f>IF($D312=1,INDEX(TblClusters[vCPU par nœud],$B312),"")</f>
        <v/>
      </c>
      <c r="I312" s="19" t="str">
        <f>IF($D312=1,INDEX(TblClusters[RAM par nœud (Go)],$B312),"")</f>
        <v/>
      </c>
      <c r="J312" s="19" t="str">
        <f>IF($D312=1,INDEX(TblClusters[Workers min],$B312),"")</f>
        <v/>
      </c>
      <c r="K312" s="73" t="str">
        <f>IF($D312=1,INDEX(TblClusters[Tarif par nœud],$B312),"")</f>
        <v/>
      </c>
      <c r="L312" s="19" t="str">
        <f>IF($D312=1,INDEX(TblClusters[CPU initial (vCPU)],$B312),"")</f>
        <v/>
      </c>
      <c r="M312" s="19" t="str">
        <f>IF($D312=1,INDEX(TblClusters[RAM initiale (Go)],$B312),"")</f>
        <v/>
      </c>
      <c r="N312" s="19" t="str">
        <f>IF($D312=1,INDEX(TblClusters[CPU min (vCPU)],$B312),"")</f>
        <v/>
      </c>
      <c r="O312" s="19" t="str">
        <f>IF($D312=1,INDEX(TblClusters[RAM min (Go)],$B312),"")</f>
        <v/>
      </c>
      <c r="P312" s="19" t="str">
        <f>IF($D312&lt;&gt;1,"",IF($G312="ROKS",SUMIFS(TblApplications[Besoin ROKS CPU (vCPU)],TblApplications[Cluster ROKS cible],$F312,TblApplications[Action],"À migrer",TblApplications[Déjà incluse ROKS],"Non",TblApplications[Mois prov (calc)],"&lt;="&amp;$E312),SUMIFS(TblApplications[CPU IKS libérable (vCPU)],TblApplications[Cluster IKS source],$F312,TblApplications[Mois lib (calc)],"&lt;="&amp;$E312)))</f>
        <v/>
      </c>
      <c r="Q312" s="19" t="str">
        <f>IF($D312&lt;&gt;1,"",IF($G312="ROKS",SUMIFS(TblApplications[Besoin ROKS RAM (Go)],TblApplications[Cluster ROKS cible],$F312,TblApplications[Action],"À migrer",TblApplications[Déjà incluse ROKS],"Non",TblApplications[Mois prov (calc)],"&lt;="&amp;$E312),SUMIFS(TblApplications[RAM IKS libérable (Go)],TblApplications[Cluster IKS source],$F312,TblApplications[Mois lib (calc)],"&lt;="&amp;$E312)))</f>
        <v/>
      </c>
      <c r="R312" s="19" t="str">
        <f t="shared" si="71"/>
        <v/>
      </c>
      <c r="S312" s="19" t="str">
        <f t="shared" si="72"/>
        <v/>
      </c>
      <c r="T312" s="19" t="str">
        <f t="shared" si="73"/>
        <v/>
      </c>
      <c r="U312" s="19" t="str">
        <f t="shared" si="74"/>
        <v/>
      </c>
      <c r="V312" s="19" t="str">
        <f t="shared" si="75"/>
        <v/>
      </c>
      <c r="W312" s="73" t="str">
        <f t="shared" si="76"/>
        <v/>
      </c>
      <c r="X312" s="19" t="str">
        <f>IF($D312&lt;&gt;1,"",IF($G312="ROKS",$R312,IF($AI312=1,0,MAX($N312,$L312-SUMIFS(TblApplications[CPU IKS libérable (vCPU)],TblApplications[Cluster IKS source],$F312,TblApplications[Action],"À migrer",TblApplications[Mois prov (calc)],"&lt;="&amp;$E312)-SUMIFS(TblApplications[CPU IKS libérable (vCPU)],TblApplications[Cluster IKS source],$F312,TblApplications[Action],"À décommissionner",TblApplications[Mois lib (calc)],"&lt;="&amp;$E312)))))</f>
        <v/>
      </c>
      <c r="Y312" s="19" t="str">
        <f>IF($D312&lt;&gt;1,"",IF($G312="ROKS",$S312,IF($AI312=1,0,MAX($O312,$M312-SUMIFS(TblApplications[RAM IKS libérable (Go)],TblApplications[Cluster IKS source],$F312,TblApplications[Action],"À migrer",TblApplications[Mois prov (calc)],"&lt;="&amp;$E312)-SUMIFS(TblApplications[RAM IKS libérable (Go)],TblApplications[Cluster IKS source],$F312,TblApplications[Action],"À décommissionner",TblApplications[Mois lib (calc)],"&lt;="&amp;$E312)))))</f>
        <v/>
      </c>
      <c r="Z312" s="19" t="str">
        <f t="shared" si="77"/>
        <v/>
      </c>
      <c r="AA312" s="73" t="str">
        <f t="shared" si="78"/>
        <v/>
      </c>
      <c r="AB312" s="19" t="str">
        <f t="shared" si="79"/>
        <v/>
      </c>
      <c r="AC312" s="73" t="str">
        <f t="shared" si="80"/>
        <v/>
      </c>
      <c r="AD312" s="19" t="str">
        <f t="shared" si="81"/>
        <v/>
      </c>
      <c r="AE312" s="19" t="str">
        <f t="shared" si="82"/>
        <v/>
      </c>
      <c r="AF312" s="19" t="str">
        <f>IF($D312&lt;&gt;1,"",IF(INDEX(TblClusters[Environnement],$B312)="","(vide)",INDEX(TblClusters[Environnement],$B312)))</f>
        <v/>
      </c>
      <c r="AG312" s="19" t="str">
        <f t="shared" si="83"/>
        <v/>
      </c>
      <c r="AH312" s="19" t="str">
        <f t="shared" si="84"/>
        <v/>
      </c>
      <c r="AI312" s="19" t="str">
        <f>IF($D312&lt;&gt;1,"",IF(AND($G312="IKS",ISNUMBER(INDEX(TblClusters[Fermeture retenue],$B312))),IF($E312&gt;=INDEX(TblClusters[Fermeture retenue],$B312),1,0),0))</f>
        <v/>
      </c>
    </row>
    <row r="313" spans="1:35" x14ac:dyDescent="0.2">
      <c r="A313" s="19">
        <v>308</v>
      </c>
      <c r="B313" s="19">
        <f t="shared" si="68"/>
        <v>9</v>
      </c>
      <c r="C313" s="19">
        <f t="shared" si="69"/>
        <v>20</v>
      </c>
      <c r="D313" s="19">
        <f>IF($C313&gt;p_horizon,0,IFERROR(IF(AND(INDEX(TblClusters[Cluster],$B313)&lt;&gt;"",ISNUMBER(INDEX(TblClusters[CPU initial (vCPU)],$B313)),ISNUMBER(INDEX(TblClusters[CPU min (vCPU)],$B313)),OR(INDEX(TblClusters[Plateforme],$B313)="IKS",INDEX(TblClusters[Plateforme],$B313)="ROKS")),1,0),0))</f>
        <v>0</v>
      </c>
      <c r="E313" s="72" t="str">
        <f t="shared" si="70"/>
        <v/>
      </c>
      <c r="F313" s="19" t="str">
        <f>IF($D313=1,INDEX(TblClusters[Cluster],$B313),"")</f>
        <v/>
      </c>
      <c r="G313" s="19" t="str">
        <f>IF($D313=1,INDEX(TblClusters[Plateforme],$B313),"")</f>
        <v/>
      </c>
      <c r="H313" s="19" t="str">
        <f>IF($D313=1,INDEX(TblClusters[vCPU par nœud],$B313),"")</f>
        <v/>
      </c>
      <c r="I313" s="19" t="str">
        <f>IF($D313=1,INDEX(TblClusters[RAM par nœud (Go)],$B313),"")</f>
        <v/>
      </c>
      <c r="J313" s="19" t="str">
        <f>IF($D313=1,INDEX(TblClusters[Workers min],$B313),"")</f>
        <v/>
      </c>
      <c r="K313" s="73" t="str">
        <f>IF($D313=1,INDEX(TblClusters[Tarif par nœud],$B313),"")</f>
        <v/>
      </c>
      <c r="L313" s="19" t="str">
        <f>IF($D313=1,INDEX(TblClusters[CPU initial (vCPU)],$B313),"")</f>
        <v/>
      </c>
      <c r="M313" s="19" t="str">
        <f>IF($D313=1,INDEX(TblClusters[RAM initiale (Go)],$B313),"")</f>
        <v/>
      </c>
      <c r="N313" s="19" t="str">
        <f>IF($D313=1,INDEX(TblClusters[CPU min (vCPU)],$B313),"")</f>
        <v/>
      </c>
      <c r="O313" s="19" t="str">
        <f>IF($D313=1,INDEX(TblClusters[RAM min (Go)],$B313),"")</f>
        <v/>
      </c>
      <c r="P313" s="19" t="str">
        <f>IF($D313&lt;&gt;1,"",IF($G313="ROKS",SUMIFS(TblApplications[Besoin ROKS CPU (vCPU)],TblApplications[Cluster ROKS cible],$F313,TblApplications[Action],"À migrer",TblApplications[Déjà incluse ROKS],"Non",TblApplications[Mois prov (calc)],"&lt;="&amp;$E313),SUMIFS(TblApplications[CPU IKS libérable (vCPU)],TblApplications[Cluster IKS source],$F313,TblApplications[Mois lib (calc)],"&lt;="&amp;$E313)))</f>
        <v/>
      </c>
      <c r="Q313" s="19" t="str">
        <f>IF($D313&lt;&gt;1,"",IF($G313="ROKS",SUMIFS(TblApplications[Besoin ROKS RAM (Go)],TblApplications[Cluster ROKS cible],$F313,TblApplications[Action],"À migrer",TblApplications[Déjà incluse ROKS],"Non",TblApplications[Mois prov (calc)],"&lt;="&amp;$E313),SUMIFS(TblApplications[RAM IKS libérable (Go)],TblApplications[Cluster IKS source],$F313,TblApplications[Mois lib (calc)],"&lt;="&amp;$E313)))</f>
        <v/>
      </c>
      <c r="R313" s="19" t="str">
        <f t="shared" si="71"/>
        <v/>
      </c>
      <c r="S313" s="19" t="str">
        <f t="shared" si="72"/>
        <v/>
      </c>
      <c r="T313" s="19" t="str">
        <f t="shared" si="73"/>
        <v/>
      </c>
      <c r="U313" s="19" t="str">
        <f t="shared" si="74"/>
        <v/>
      </c>
      <c r="V313" s="19" t="str">
        <f t="shared" si="75"/>
        <v/>
      </c>
      <c r="W313" s="73" t="str">
        <f t="shared" si="76"/>
        <v/>
      </c>
      <c r="X313" s="19" t="str">
        <f>IF($D313&lt;&gt;1,"",IF($G313="ROKS",$R313,IF($AI313=1,0,MAX($N313,$L313-SUMIFS(TblApplications[CPU IKS libérable (vCPU)],TblApplications[Cluster IKS source],$F313,TblApplications[Action],"À migrer",TblApplications[Mois prov (calc)],"&lt;="&amp;$E313)-SUMIFS(TblApplications[CPU IKS libérable (vCPU)],TblApplications[Cluster IKS source],$F313,TblApplications[Action],"À décommissionner",TblApplications[Mois lib (calc)],"&lt;="&amp;$E313)))))</f>
        <v/>
      </c>
      <c r="Y313" s="19" t="str">
        <f>IF($D313&lt;&gt;1,"",IF($G313="ROKS",$S313,IF($AI313=1,0,MAX($O313,$M313-SUMIFS(TblApplications[RAM IKS libérable (Go)],TblApplications[Cluster IKS source],$F313,TblApplications[Action],"À migrer",TblApplications[Mois prov (calc)],"&lt;="&amp;$E313)-SUMIFS(TblApplications[RAM IKS libérable (Go)],TblApplications[Cluster IKS source],$F313,TblApplications[Action],"À décommissionner",TblApplications[Mois lib (calc)],"&lt;="&amp;$E313)))))</f>
        <v/>
      </c>
      <c r="Z313" s="19" t="str">
        <f t="shared" si="77"/>
        <v/>
      </c>
      <c r="AA313" s="73" t="str">
        <f t="shared" si="78"/>
        <v/>
      </c>
      <c r="AB313" s="19" t="str">
        <f t="shared" si="79"/>
        <v/>
      </c>
      <c r="AC313" s="73" t="str">
        <f t="shared" si="80"/>
        <v/>
      </c>
      <c r="AD313" s="19" t="str">
        <f t="shared" si="81"/>
        <v/>
      </c>
      <c r="AE313" s="19" t="str">
        <f t="shared" si="82"/>
        <v/>
      </c>
      <c r="AF313" s="19" t="str">
        <f>IF($D313&lt;&gt;1,"",IF(INDEX(TblClusters[Environnement],$B313)="","(vide)",INDEX(TblClusters[Environnement],$B313)))</f>
        <v/>
      </c>
      <c r="AG313" s="19" t="str">
        <f t="shared" si="83"/>
        <v/>
      </c>
      <c r="AH313" s="19" t="str">
        <f t="shared" si="84"/>
        <v/>
      </c>
      <c r="AI313" s="19" t="str">
        <f>IF($D313&lt;&gt;1,"",IF(AND($G313="IKS",ISNUMBER(INDEX(TblClusters[Fermeture retenue],$B313))),IF($E313&gt;=INDEX(TblClusters[Fermeture retenue],$B313),1,0),0))</f>
        <v/>
      </c>
    </row>
    <row r="314" spans="1:35" x14ac:dyDescent="0.2">
      <c r="A314" s="19">
        <v>309</v>
      </c>
      <c r="B314" s="19">
        <f t="shared" si="68"/>
        <v>9</v>
      </c>
      <c r="C314" s="19">
        <f t="shared" si="69"/>
        <v>21</v>
      </c>
      <c r="D314" s="19">
        <f>IF($C314&gt;p_horizon,0,IFERROR(IF(AND(INDEX(TblClusters[Cluster],$B314)&lt;&gt;"",ISNUMBER(INDEX(TblClusters[CPU initial (vCPU)],$B314)),ISNUMBER(INDEX(TblClusters[CPU min (vCPU)],$B314)),OR(INDEX(TblClusters[Plateforme],$B314)="IKS",INDEX(TblClusters[Plateforme],$B314)="ROKS")),1,0),0))</f>
        <v>0</v>
      </c>
      <c r="E314" s="72" t="str">
        <f t="shared" si="70"/>
        <v/>
      </c>
      <c r="F314" s="19" t="str">
        <f>IF($D314=1,INDEX(TblClusters[Cluster],$B314),"")</f>
        <v/>
      </c>
      <c r="G314" s="19" t="str">
        <f>IF($D314=1,INDEX(TblClusters[Plateforme],$B314),"")</f>
        <v/>
      </c>
      <c r="H314" s="19" t="str">
        <f>IF($D314=1,INDEX(TblClusters[vCPU par nœud],$B314),"")</f>
        <v/>
      </c>
      <c r="I314" s="19" t="str">
        <f>IF($D314=1,INDEX(TblClusters[RAM par nœud (Go)],$B314),"")</f>
        <v/>
      </c>
      <c r="J314" s="19" t="str">
        <f>IF($D314=1,INDEX(TblClusters[Workers min],$B314),"")</f>
        <v/>
      </c>
      <c r="K314" s="73" t="str">
        <f>IF($D314=1,INDEX(TblClusters[Tarif par nœud],$B314),"")</f>
        <v/>
      </c>
      <c r="L314" s="19" t="str">
        <f>IF($D314=1,INDEX(TblClusters[CPU initial (vCPU)],$B314),"")</f>
        <v/>
      </c>
      <c r="M314" s="19" t="str">
        <f>IF($D314=1,INDEX(TblClusters[RAM initiale (Go)],$B314),"")</f>
        <v/>
      </c>
      <c r="N314" s="19" t="str">
        <f>IF($D314=1,INDEX(TblClusters[CPU min (vCPU)],$B314),"")</f>
        <v/>
      </c>
      <c r="O314" s="19" t="str">
        <f>IF($D314=1,INDEX(TblClusters[RAM min (Go)],$B314),"")</f>
        <v/>
      </c>
      <c r="P314" s="19" t="str">
        <f>IF($D314&lt;&gt;1,"",IF($G314="ROKS",SUMIFS(TblApplications[Besoin ROKS CPU (vCPU)],TblApplications[Cluster ROKS cible],$F314,TblApplications[Action],"À migrer",TblApplications[Déjà incluse ROKS],"Non",TblApplications[Mois prov (calc)],"&lt;="&amp;$E314),SUMIFS(TblApplications[CPU IKS libérable (vCPU)],TblApplications[Cluster IKS source],$F314,TblApplications[Mois lib (calc)],"&lt;="&amp;$E314)))</f>
        <v/>
      </c>
      <c r="Q314" s="19" t="str">
        <f>IF($D314&lt;&gt;1,"",IF($G314="ROKS",SUMIFS(TblApplications[Besoin ROKS RAM (Go)],TblApplications[Cluster ROKS cible],$F314,TblApplications[Action],"À migrer",TblApplications[Déjà incluse ROKS],"Non",TblApplications[Mois prov (calc)],"&lt;="&amp;$E314),SUMIFS(TblApplications[RAM IKS libérable (Go)],TblApplications[Cluster IKS source],$F314,TblApplications[Mois lib (calc)],"&lt;="&amp;$E314)))</f>
        <v/>
      </c>
      <c r="R314" s="19" t="str">
        <f t="shared" si="71"/>
        <v/>
      </c>
      <c r="S314" s="19" t="str">
        <f t="shared" si="72"/>
        <v/>
      </c>
      <c r="T314" s="19" t="str">
        <f t="shared" si="73"/>
        <v/>
      </c>
      <c r="U314" s="19" t="str">
        <f t="shared" si="74"/>
        <v/>
      </c>
      <c r="V314" s="19" t="str">
        <f t="shared" si="75"/>
        <v/>
      </c>
      <c r="W314" s="73" t="str">
        <f t="shared" si="76"/>
        <v/>
      </c>
      <c r="X314" s="19" t="str">
        <f>IF($D314&lt;&gt;1,"",IF($G314="ROKS",$R314,IF($AI314=1,0,MAX($N314,$L314-SUMIFS(TblApplications[CPU IKS libérable (vCPU)],TblApplications[Cluster IKS source],$F314,TblApplications[Action],"À migrer",TblApplications[Mois prov (calc)],"&lt;="&amp;$E314)-SUMIFS(TblApplications[CPU IKS libérable (vCPU)],TblApplications[Cluster IKS source],$F314,TblApplications[Action],"À décommissionner",TblApplications[Mois lib (calc)],"&lt;="&amp;$E314)))))</f>
        <v/>
      </c>
      <c r="Y314" s="19" t="str">
        <f>IF($D314&lt;&gt;1,"",IF($G314="ROKS",$S314,IF($AI314=1,0,MAX($O314,$M314-SUMIFS(TblApplications[RAM IKS libérable (Go)],TblApplications[Cluster IKS source],$F314,TblApplications[Action],"À migrer",TblApplications[Mois prov (calc)],"&lt;="&amp;$E314)-SUMIFS(TblApplications[RAM IKS libérable (Go)],TblApplications[Cluster IKS source],$F314,TblApplications[Action],"À décommissionner",TblApplications[Mois lib (calc)],"&lt;="&amp;$E314)))))</f>
        <v/>
      </c>
      <c r="Z314" s="19" t="str">
        <f t="shared" si="77"/>
        <v/>
      </c>
      <c r="AA314" s="73" t="str">
        <f t="shared" si="78"/>
        <v/>
      </c>
      <c r="AB314" s="19" t="str">
        <f t="shared" si="79"/>
        <v/>
      </c>
      <c r="AC314" s="73" t="str">
        <f t="shared" si="80"/>
        <v/>
      </c>
      <c r="AD314" s="19" t="str">
        <f t="shared" si="81"/>
        <v/>
      </c>
      <c r="AE314" s="19" t="str">
        <f t="shared" si="82"/>
        <v/>
      </c>
      <c r="AF314" s="19" t="str">
        <f>IF($D314&lt;&gt;1,"",IF(INDEX(TblClusters[Environnement],$B314)="","(vide)",INDEX(TblClusters[Environnement],$B314)))</f>
        <v/>
      </c>
      <c r="AG314" s="19" t="str">
        <f t="shared" si="83"/>
        <v/>
      </c>
      <c r="AH314" s="19" t="str">
        <f t="shared" si="84"/>
        <v/>
      </c>
      <c r="AI314" s="19" t="str">
        <f>IF($D314&lt;&gt;1,"",IF(AND($G314="IKS",ISNUMBER(INDEX(TblClusters[Fermeture retenue],$B314))),IF($E314&gt;=INDEX(TblClusters[Fermeture retenue],$B314),1,0),0))</f>
        <v/>
      </c>
    </row>
    <row r="315" spans="1:35" x14ac:dyDescent="0.2">
      <c r="A315" s="19">
        <v>310</v>
      </c>
      <c r="B315" s="19">
        <f t="shared" si="68"/>
        <v>9</v>
      </c>
      <c r="C315" s="19">
        <f t="shared" si="69"/>
        <v>22</v>
      </c>
      <c r="D315" s="19">
        <f>IF($C315&gt;p_horizon,0,IFERROR(IF(AND(INDEX(TblClusters[Cluster],$B315)&lt;&gt;"",ISNUMBER(INDEX(TblClusters[CPU initial (vCPU)],$B315)),ISNUMBER(INDEX(TblClusters[CPU min (vCPU)],$B315)),OR(INDEX(TblClusters[Plateforme],$B315)="IKS",INDEX(TblClusters[Plateforme],$B315)="ROKS")),1,0),0))</f>
        <v>0</v>
      </c>
      <c r="E315" s="72" t="str">
        <f t="shared" si="70"/>
        <v/>
      </c>
      <c r="F315" s="19" t="str">
        <f>IF($D315=1,INDEX(TblClusters[Cluster],$B315),"")</f>
        <v/>
      </c>
      <c r="G315" s="19" t="str">
        <f>IF($D315=1,INDEX(TblClusters[Plateforme],$B315),"")</f>
        <v/>
      </c>
      <c r="H315" s="19" t="str">
        <f>IF($D315=1,INDEX(TblClusters[vCPU par nœud],$B315),"")</f>
        <v/>
      </c>
      <c r="I315" s="19" t="str">
        <f>IF($D315=1,INDEX(TblClusters[RAM par nœud (Go)],$B315),"")</f>
        <v/>
      </c>
      <c r="J315" s="19" t="str">
        <f>IF($D315=1,INDEX(TblClusters[Workers min],$B315),"")</f>
        <v/>
      </c>
      <c r="K315" s="73" t="str">
        <f>IF($D315=1,INDEX(TblClusters[Tarif par nœud],$B315),"")</f>
        <v/>
      </c>
      <c r="L315" s="19" t="str">
        <f>IF($D315=1,INDEX(TblClusters[CPU initial (vCPU)],$B315),"")</f>
        <v/>
      </c>
      <c r="M315" s="19" t="str">
        <f>IF($D315=1,INDEX(TblClusters[RAM initiale (Go)],$B315),"")</f>
        <v/>
      </c>
      <c r="N315" s="19" t="str">
        <f>IF($D315=1,INDEX(TblClusters[CPU min (vCPU)],$B315),"")</f>
        <v/>
      </c>
      <c r="O315" s="19" t="str">
        <f>IF($D315=1,INDEX(TblClusters[RAM min (Go)],$B315),"")</f>
        <v/>
      </c>
      <c r="P315" s="19" t="str">
        <f>IF($D315&lt;&gt;1,"",IF($G315="ROKS",SUMIFS(TblApplications[Besoin ROKS CPU (vCPU)],TblApplications[Cluster ROKS cible],$F315,TblApplications[Action],"À migrer",TblApplications[Déjà incluse ROKS],"Non",TblApplications[Mois prov (calc)],"&lt;="&amp;$E315),SUMIFS(TblApplications[CPU IKS libérable (vCPU)],TblApplications[Cluster IKS source],$F315,TblApplications[Mois lib (calc)],"&lt;="&amp;$E315)))</f>
        <v/>
      </c>
      <c r="Q315" s="19" t="str">
        <f>IF($D315&lt;&gt;1,"",IF($G315="ROKS",SUMIFS(TblApplications[Besoin ROKS RAM (Go)],TblApplications[Cluster ROKS cible],$F315,TblApplications[Action],"À migrer",TblApplications[Déjà incluse ROKS],"Non",TblApplications[Mois prov (calc)],"&lt;="&amp;$E315),SUMIFS(TblApplications[RAM IKS libérable (Go)],TblApplications[Cluster IKS source],$F315,TblApplications[Mois lib (calc)],"&lt;="&amp;$E315)))</f>
        <v/>
      </c>
      <c r="R315" s="19" t="str">
        <f t="shared" si="71"/>
        <v/>
      </c>
      <c r="S315" s="19" t="str">
        <f t="shared" si="72"/>
        <v/>
      </c>
      <c r="T315" s="19" t="str">
        <f t="shared" si="73"/>
        <v/>
      </c>
      <c r="U315" s="19" t="str">
        <f t="shared" si="74"/>
        <v/>
      </c>
      <c r="V315" s="19" t="str">
        <f t="shared" si="75"/>
        <v/>
      </c>
      <c r="W315" s="73" t="str">
        <f t="shared" si="76"/>
        <v/>
      </c>
      <c r="X315" s="19" t="str">
        <f>IF($D315&lt;&gt;1,"",IF($G315="ROKS",$R315,IF($AI315=1,0,MAX($N315,$L315-SUMIFS(TblApplications[CPU IKS libérable (vCPU)],TblApplications[Cluster IKS source],$F315,TblApplications[Action],"À migrer",TblApplications[Mois prov (calc)],"&lt;="&amp;$E315)-SUMIFS(TblApplications[CPU IKS libérable (vCPU)],TblApplications[Cluster IKS source],$F315,TblApplications[Action],"À décommissionner",TblApplications[Mois lib (calc)],"&lt;="&amp;$E315)))))</f>
        <v/>
      </c>
      <c r="Y315" s="19" t="str">
        <f>IF($D315&lt;&gt;1,"",IF($G315="ROKS",$S315,IF($AI315=1,0,MAX($O315,$M315-SUMIFS(TblApplications[RAM IKS libérable (Go)],TblApplications[Cluster IKS source],$F315,TblApplications[Action],"À migrer",TblApplications[Mois prov (calc)],"&lt;="&amp;$E315)-SUMIFS(TblApplications[RAM IKS libérable (Go)],TblApplications[Cluster IKS source],$F315,TblApplications[Action],"À décommissionner",TblApplications[Mois lib (calc)],"&lt;="&amp;$E315)))))</f>
        <v/>
      </c>
      <c r="Z315" s="19" t="str">
        <f t="shared" si="77"/>
        <v/>
      </c>
      <c r="AA315" s="73" t="str">
        <f t="shared" si="78"/>
        <v/>
      </c>
      <c r="AB315" s="19" t="str">
        <f t="shared" si="79"/>
        <v/>
      </c>
      <c r="AC315" s="73" t="str">
        <f t="shared" si="80"/>
        <v/>
      </c>
      <c r="AD315" s="19" t="str">
        <f t="shared" si="81"/>
        <v/>
      </c>
      <c r="AE315" s="19" t="str">
        <f t="shared" si="82"/>
        <v/>
      </c>
      <c r="AF315" s="19" t="str">
        <f>IF($D315&lt;&gt;1,"",IF(INDEX(TblClusters[Environnement],$B315)="","(vide)",INDEX(TblClusters[Environnement],$B315)))</f>
        <v/>
      </c>
      <c r="AG315" s="19" t="str">
        <f t="shared" si="83"/>
        <v/>
      </c>
      <c r="AH315" s="19" t="str">
        <f t="shared" si="84"/>
        <v/>
      </c>
      <c r="AI315" s="19" t="str">
        <f>IF($D315&lt;&gt;1,"",IF(AND($G315="IKS",ISNUMBER(INDEX(TblClusters[Fermeture retenue],$B315))),IF($E315&gt;=INDEX(TblClusters[Fermeture retenue],$B315),1,0),0))</f>
        <v/>
      </c>
    </row>
    <row r="316" spans="1:35" x14ac:dyDescent="0.2">
      <c r="A316" s="19">
        <v>311</v>
      </c>
      <c r="B316" s="19">
        <f t="shared" si="68"/>
        <v>9</v>
      </c>
      <c r="C316" s="19">
        <f t="shared" si="69"/>
        <v>23</v>
      </c>
      <c r="D316" s="19">
        <f>IF($C316&gt;p_horizon,0,IFERROR(IF(AND(INDEX(TblClusters[Cluster],$B316)&lt;&gt;"",ISNUMBER(INDEX(TblClusters[CPU initial (vCPU)],$B316)),ISNUMBER(INDEX(TblClusters[CPU min (vCPU)],$B316)),OR(INDEX(TblClusters[Plateforme],$B316)="IKS",INDEX(TblClusters[Plateforme],$B316)="ROKS")),1,0),0))</f>
        <v>0</v>
      </c>
      <c r="E316" s="72" t="str">
        <f t="shared" si="70"/>
        <v/>
      </c>
      <c r="F316" s="19" t="str">
        <f>IF($D316=1,INDEX(TblClusters[Cluster],$B316),"")</f>
        <v/>
      </c>
      <c r="G316" s="19" t="str">
        <f>IF($D316=1,INDEX(TblClusters[Plateforme],$B316),"")</f>
        <v/>
      </c>
      <c r="H316" s="19" t="str">
        <f>IF($D316=1,INDEX(TblClusters[vCPU par nœud],$B316),"")</f>
        <v/>
      </c>
      <c r="I316" s="19" t="str">
        <f>IF($D316=1,INDEX(TblClusters[RAM par nœud (Go)],$B316),"")</f>
        <v/>
      </c>
      <c r="J316" s="19" t="str">
        <f>IF($D316=1,INDEX(TblClusters[Workers min],$B316),"")</f>
        <v/>
      </c>
      <c r="K316" s="73" t="str">
        <f>IF($D316=1,INDEX(TblClusters[Tarif par nœud],$B316),"")</f>
        <v/>
      </c>
      <c r="L316" s="19" t="str">
        <f>IF($D316=1,INDEX(TblClusters[CPU initial (vCPU)],$B316),"")</f>
        <v/>
      </c>
      <c r="M316" s="19" t="str">
        <f>IF($D316=1,INDEX(TblClusters[RAM initiale (Go)],$B316),"")</f>
        <v/>
      </c>
      <c r="N316" s="19" t="str">
        <f>IF($D316=1,INDEX(TblClusters[CPU min (vCPU)],$B316),"")</f>
        <v/>
      </c>
      <c r="O316" s="19" t="str">
        <f>IF($D316=1,INDEX(TblClusters[RAM min (Go)],$B316),"")</f>
        <v/>
      </c>
      <c r="P316" s="19" t="str">
        <f>IF($D316&lt;&gt;1,"",IF($G316="ROKS",SUMIFS(TblApplications[Besoin ROKS CPU (vCPU)],TblApplications[Cluster ROKS cible],$F316,TblApplications[Action],"À migrer",TblApplications[Déjà incluse ROKS],"Non",TblApplications[Mois prov (calc)],"&lt;="&amp;$E316),SUMIFS(TblApplications[CPU IKS libérable (vCPU)],TblApplications[Cluster IKS source],$F316,TblApplications[Mois lib (calc)],"&lt;="&amp;$E316)))</f>
        <v/>
      </c>
      <c r="Q316" s="19" t="str">
        <f>IF($D316&lt;&gt;1,"",IF($G316="ROKS",SUMIFS(TblApplications[Besoin ROKS RAM (Go)],TblApplications[Cluster ROKS cible],$F316,TblApplications[Action],"À migrer",TblApplications[Déjà incluse ROKS],"Non",TblApplications[Mois prov (calc)],"&lt;="&amp;$E316),SUMIFS(TblApplications[RAM IKS libérable (Go)],TblApplications[Cluster IKS source],$F316,TblApplications[Mois lib (calc)],"&lt;="&amp;$E316)))</f>
        <v/>
      </c>
      <c r="R316" s="19" t="str">
        <f t="shared" si="71"/>
        <v/>
      </c>
      <c r="S316" s="19" t="str">
        <f t="shared" si="72"/>
        <v/>
      </c>
      <c r="T316" s="19" t="str">
        <f t="shared" si="73"/>
        <v/>
      </c>
      <c r="U316" s="19" t="str">
        <f t="shared" si="74"/>
        <v/>
      </c>
      <c r="V316" s="19" t="str">
        <f t="shared" si="75"/>
        <v/>
      </c>
      <c r="W316" s="73" t="str">
        <f t="shared" si="76"/>
        <v/>
      </c>
      <c r="X316" s="19" t="str">
        <f>IF($D316&lt;&gt;1,"",IF($G316="ROKS",$R316,IF($AI316=1,0,MAX($N316,$L316-SUMIFS(TblApplications[CPU IKS libérable (vCPU)],TblApplications[Cluster IKS source],$F316,TblApplications[Action],"À migrer",TblApplications[Mois prov (calc)],"&lt;="&amp;$E316)-SUMIFS(TblApplications[CPU IKS libérable (vCPU)],TblApplications[Cluster IKS source],$F316,TblApplications[Action],"À décommissionner",TblApplications[Mois lib (calc)],"&lt;="&amp;$E316)))))</f>
        <v/>
      </c>
      <c r="Y316" s="19" t="str">
        <f>IF($D316&lt;&gt;1,"",IF($G316="ROKS",$S316,IF($AI316=1,0,MAX($O316,$M316-SUMIFS(TblApplications[RAM IKS libérable (Go)],TblApplications[Cluster IKS source],$F316,TblApplications[Action],"À migrer",TblApplications[Mois prov (calc)],"&lt;="&amp;$E316)-SUMIFS(TblApplications[RAM IKS libérable (Go)],TblApplications[Cluster IKS source],$F316,TblApplications[Action],"À décommissionner",TblApplications[Mois lib (calc)],"&lt;="&amp;$E316)))))</f>
        <v/>
      </c>
      <c r="Z316" s="19" t="str">
        <f t="shared" si="77"/>
        <v/>
      </c>
      <c r="AA316" s="73" t="str">
        <f t="shared" si="78"/>
        <v/>
      </c>
      <c r="AB316" s="19" t="str">
        <f t="shared" si="79"/>
        <v/>
      </c>
      <c r="AC316" s="73" t="str">
        <f t="shared" si="80"/>
        <v/>
      </c>
      <c r="AD316" s="19" t="str">
        <f t="shared" si="81"/>
        <v/>
      </c>
      <c r="AE316" s="19" t="str">
        <f t="shared" si="82"/>
        <v/>
      </c>
      <c r="AF316" s="19" t="str">
        <f>IF($D316&lt;&gt;1,"",IF(INDEX(TblClusters[Environnement],$B316)="","(vide)",INDEX(TblClusters[Environnement],$B316)))</f>
        <v/>
      </c>
      <c r="AG316" s="19" t="str">
        <f t="shared" si="83"/>
        <v/>
      </c>
      <c r="AH316" s="19" t="str">
        <f t="shared" si="84"/>
        <v/>
      </c>
      <c r="AI316" s="19" t="str">
        <f>IF($D316&lt;&gt;1,"",IF(AND($G316="IKS",ISNUMBER(INDEX(TblClusters[Fermeture retenue],$B316))),IF($E316&gt;=INDEX(TblClusters[Fermeture retenue],$B316),1,0),0))</f>
        <v/>
      </c>
    </row>
    <row r="317" spans="1:35" x14ac:dyDescent="0.2">
      <c r="A317" s="19">
        <v>312</v>
      </c>
      <c r="B317" s="19">
        <f t="shared" si="68"/>
        <v>9</v>
      </c>
      <c r="C317" s="19">
        <f t="shared" si="69"/>
        <v>24</v>
      </c>
      <c r="D317" s="19">
        <f>IF($C317&gt;p_horizon,0,IFERROR(IF(AND(INDEX(TblClusters[Cluster],$B317)&lt;&gt;"",ISNUMBER(INDEX(TblClusters[CPU initial (vCPU)],$B317)),ISNUMBER(INDEX(TblClusters[CPU min (vCPU)],$B317)),OR(INDEX(TblClusters[Plateforme],$B317)="IKS",INDEX(TblClusters[Plateforme],$B317)="ROKS")),1,0),0))</f>
        <v>0</v>
      </c>
      <c r="E317" s="72" t="str">
        <f t="shared" si="70"/>
        <v/>
      </c>
      <c r="F317" s="19" t="str">
        <f>IF($D317=1,INDEX(TblClusters[Cluster],$B317),"")</f>
        <v/>
      </c>
      <c r="G317" s="19" t="str">
        <f>IF($D317=1,INDEX(TblClusters[Plateforme],$B317),"")</f>
        <v/>
      </c>
      <c r="H317" s="19" t="str">
        <f>IF($D317=1,INDEX(TblClusters[vCPU par nœud],$B317),"")</f>
        <v/>
      </c>
      <c r="I317" s="19" t="str">
        <f>IF($D317=1,INDEX(TblClusters[RAM par nœud (Go)],$B317),"")</f>
        <v/>
      </c>
      <c r="J317" s="19" t="str">
        <f>IF($D317=1,INDEX(TblClusters[Workers min],$B317),"")</f>
        <v/>
      </c>
      <c r="K317" s="73" t="str">
        <f>IF($D317=1,INDEX(TblClusters[Tarif par nœud],$B317),"")</f>
        <v/>
      </c>
      <c r="L317" s="19" t="str">
        <f>IF($D317=1,INDEX(TblClusters[CPU initial (vCPU)],$B317),"")</f>
        <v/>
      </c>
      <c r="M317" s="19" t="str">
        <f>IF($D317=1,INDEX(TblClusters[RAM initiale (Go)],$B317),"")</f>
        <v/>
      </c>
      <c r="N317" s="19" t="str">
        <f>IF($D317=1,INDEX(TblClusters[CPU min (vCPU)],$B317),"")</f>
        <v/>
      </c>
      <c r="O317" s="19" t="str">
        <f>IF($D317=1,INDEX(TblClusters[RAM min (Go)],$B317),"")</f>
        <v/>
      </c>
      <c r="P317" s="19" t="str">
        <f>IF($D317&lt;&gt;1,"",IF($G317="ROKS",SUMIFS(TblApplications[Besoin ROKS CPU (vCPU)],TblApplications[Cluster ROKS cible],$F317,TblApplications[Action],"À migrer",TblApplications[Déjà incluse ROKS],"Non",TblApplications[Mois prov (calc)],"&lt;="&amp;$E317),SUMIFS(TblApplications[CPU IKS libérable (vCPU)],TblApplications[Cluster IKS source],$F317,TblApplications[Mois lib (calc)],"&lt;="&amp;$E317)))</f>
        <v/>
      </c>
      <c r="Q317" s="19" t="str">
        <f>IF($D317&lt;&gt;1,"",IF($G317="ROKS",SUMIFS(TblApplications[Besoin ROKS RAM (Go)],TblApplications[Cluster ROKS cible],$F317,TblApplications[Action],"À migrer",TblApplications[Déjà incluse ROKS],"Non",TblApplications[Mois prov (calc)],"&lt;="&amp;$E317),SUMIFS(TblApplications[RAM IKS libérable (Go)],TblApplications[Cluster IKS source],$F317,TblApplications[Mois lib (calc)],"&lt;="&amp;$E317)))</f>
        <v/>
      </c>
      <c r="R317" s="19" t="str">
        <f t="shared" si="71"/>
        <v/>
      </c>
      <c r="S317" s="19" t="str">
        <f t="shared" si="72"/>
        <v/>
      </c>
      <c r="T317" s="19" t="str">
        <f t="shared" si="73"/>
        <v/>
      </c>
      <c r="U317" s="19" t="str">
        <f t="shared" si="74"/>
        <v/>
      </c>
      <c r="V317" s="19" t="str">
        <f t="shared" si="75"/>
        <v/>
      </c>
      <c r="W317" s="73" t="str">
        <f t="shared" si="76"/>
        <v/>
      </c>
      <c r="X317" s="19" t="str">
        <f>IF($D317&lt;&gt;1,"",IF($G317="ROKS",$R317,IF($AI317=1,0,MAX($N317,$L317-SUMIFS(TblApplications[CPU IKS libérable (vCPU)],TblApplications[Cluster IKS source],$F317,TblApplications[Action],"À migrer",TblApplications[Mois prov (calc)],"&lt;="&amp;$E317)-SUMIFS(TblApplications[CPU IKS libérable (vCPU)],TblApplications[Cluster IKS source],$F317,TblApplications[Action],"À décommissionner",TblApplications[Mois lib (calc)],"&lt;="&amp;$E317)))))</f>
        <v/>
      </c>
      <c r="Y317" s="19" t="str">
        <f>IF($D317&lt;&gt;1,"",IF($G317="ROKS",$S317,IF($AI317=1,0,MAX($O317,$M317-SUMIFS(TblApplications[RAM IKS libérable (Go)],TblApplications[Cluster IKS source],$F317,TblApplications[Action],"À migrer",TblApplications[Mois prov (calc)],"&lt;="&amp;$E317)-SUMIFS(TblApplications[RAM IKS libérable (Go)],TblApplications[Cluster IKS source],$F317,TblApplications[Action],"À décommissionner",TblApplications[Mois lib (calc)],"&lt;="&amp;$E317)))))</f>
        <v/>
      </c>
      <c r="Z317" s="19" t="str">
        <f t="shared" si="77"/>
        <v/>
      </c>
      <c r="AA317" s="73" t="str">
        <f t="shared" si="78"/>
        <v/>
      </c>
      <c r="AB317" s="19" t="str">
        <f t="shared" si="79"/>
        <v/>
      </c>
      <c r="AC317" s="73" t="str">
        <f t="shared" si="80"/>
        <v/>
      </c>
      <c r="AD317" s="19" t="str">
        <f t="shared" si="81"/>
        <v/>
      </c>
      <c r="AE317" s="19" t="str">
        <f t="shared" si="82"/>
        <v/>
      </c>
      <c r="AF317" s="19" t="str">
        <f>IF($D317&lt;&gt;1,"",IF(INDEX(TblClusters[Environnement],$B317)="","(vide)",INDEX(TblClusters[Environnement],$B317)))</f>
        <v/>
      </c>
      <c r="AG317" s="19" t="str">
        <f t="shared" si="83"/>
        <v/>
      </c>
      <c r="AH317" s="19" t="str">
        <f t="shared" si="84"/>
        <v/>
      </c>
      <c r="AI317" s="19" t="str">
        <f>IF($D317&lt;&gt;1,"",IF(AND($G317="IKS",ISNUMBER(INDEX(TblClusters[Fermeture retenue],$B317))),IF($E317&gt;=INDEX(TblClusters[Fermeture retenue],$B317),1,0),0))</f>
        <v/>
      </c>
    </row>
    <row r="318" spans="1:35" x14ac:dyDescent="0.2">
      <c r="A318" s="19">
        <v>313</v>
      </c>
      <c r="B318" s="19">
        <f t="shared" si="68"/>
        <v>9</v>
      </c>
      <c r="C318" s="19">
        <f t="shared" si="69"/>
        <v>25</v>
      </c>
      <c r="D318" s="19">
        <f>IF($C318&gt;p_horizon,0,IFERROR(IF(AND(INDEX(TblClusters[Cluster],$B318)&lt;&gt;"",ISNUMBER(INDEX(TblClusters[CPU initial (vCPU)],$B318)),ISNUMBER(INDEX(TblClusters[CPU min (vCPU)],$B318)),OR(INDEX(TblClusters[Plateforme],$B318)="IKS",INDEX(TblClusters[Plateforme],$B318)="ROKS")),1,0),0))</f>
        <v>0</v>
      </c>
      <c r="E318" s="72" t="str">
        <f t="shared" si="70"/>
        <v/>
      </c>
      <c r="F318" s="19" t="str">
        <f>IF($D318=1,INDEX(TblClusters[Cluster],$B318),"")</f>
        <v/>
      </c>
      <c r="G318" s="19" t="str">
        <f>IF($D318=1,INDEX(TblClusters[Plateforme],$B318),"")</f>
        <v/>
      </c>
      <c r="H318" s="19" t="str">
        <f>IF($D318=1,INDEX(TblClusters[vCPU par nœud],$B318),"")</f>
        <v/>
      </c>
      <c r="I318" s="19" t="str">
        <f>IF($D318=1,INDEX(TblClusters[RAM par nœud (Go)],$B318),"")</f>
        <v/>
      </c>
      <c r="J318" s="19" t="str">
        <f>IF($D318=1,INDEX(TblClusters[Workers min],$B318),"")</f>
        <v/>
      </c>
      <c r="K318" s="73" t="str">
        <f>IF($D318=1,INDEX(TblClusters[Tarif par nœud],$B318),"")</f>
        <v/>
      </c>
      <c r="L318" s="19" t="str">
        <f>IF($D318=1,INDEX(TblClusters[CPU initial (vCPU)],$B318),"")</f>
        <v/>
      </c>
      <c r="M318" s="19" t="str">
        <f>IF($D318=1,INDEX(TblClusters[RAM initiale (Go)],$B318),"")</f>
        <v/>
      </c>
      <c r="N318" s="19" t="str">
        <f>IF($D318=1,INDEX(TblClusters[CPU min (vCPU)],$B318),"")</f>
        <v/>
      </c>
      <c r="O318" s="19" t="str">
        <f>IF($D318=1,INDEX(TblClusters[RAM min (Go)],$B318),"")</f>
        <v/>
      </c>
      <c r="P318" s="19" t="str">
        <f>IF($D318&lt;&gt;1,"",IF($G318="ROKS",SUMIFS(TblApplications[Besoin ROKS CPU (vCPU)],TblApplications[Cluster ROKS cible],$F318,TblApplications[Action],"À migrer",TblApplications[Déjà incluse ROKS],"Non",TblApplications[Mois prov (calc)],"&lt;="&amp;$E318),SUMIFS(TblApplications[CPU IKS libérable (vCPU)],TblApplications[Cluster IKS source],$F318,TblApplications[Mois lib (calc)],"&lt;="&amp;$E318)))</f>
        <v/>
      </c>
      <c r="Q318" s="19" t="str">
        <f>IF($D318&lt;&gt;1,"",IF($G318="ROKS",SUMIFS(TblApplications[Besoin ROKS RAM (Go)],TblApplications[Cluster ROKS cible],$F318,TblApplications[Action],"À migrer",TblApplications[Déjà incluse ROKS],"Non",TblApplications[Mois prov (calc)],"&lt;="&amp;$E318),SUMIFS(TblApplications[RAM IKS libérable (Go)],TblApplications[Cluster IKS source],$F318,TblApplications[Mois lib (calc)],"&lt;="&amp;$E318)))</f>
        <v/>
      </c>
      <c r="R318" s="19" t="str">
        <f t="shared" si="71"/>
        <v/>
      </c>
      <c r="S318" s="19" t="str">
        <f t="shared" si="72"/>
        <v/>
      </c>
      <c r="T318" s="19" t="str">
        <f t="shared" si="73"/>
        <v/>
      </c>
      <c r="U318" s="19" t="str">
        <f t="shared" si="74"/>
        <v/>
      </c>
      <c r="V318" s="19" t="str">
        <f t="shared" si="75"/>
        <v/>
      </c>
      <c r="W318" s="73" t="str">
        <f t="shared" si="76"/>
        <v/>
      </c>
      <c r="X318" s="19" t="str">
        <f>IF($D318&lt;&gt;1,"",IF($G318="ROKS",$R318,IF($AI318=1,0,MAX($N318,$L318-SUMIFS(TblApplications[CPU IKS libérable (vCPU)],TblApplications[Cluster IKS source],$F318,TblApplications[Action],"À migrer",TblApplications[Mois prov (calc)],"&lt;="&amp;$E318)-SUMIFS(TblApplications[CPU IKS libérable (vCPU)],TblApplications[Cluster IKS source],$F318,TblApplications[Action],"À décommissionner",TblApplications[Mois lib (calc)],"&lt;="&amp;$E318)))))</f>
        <v/>
      </c>
      <c r="Y318" s="19" t="str">
        <f>IF($D318&lt;&gt;1,"",IF($G318="ROKS",$S318,IF($AI318=1,0,MAX($O318,$M318-SUMIFS(TblApplications[RAM IKS libérable (Go)],TblApplications[Cluster IKS source],$F318,TblApplications[Action],"À migrer",TblApplications[Mois prov (calc)],"&lt;="&amp;$E318)-SUMIFS(TblApplications[RAM IKS libérable (Go)],TblApplications[Cluster IKS source],$F318,TblApplications[Action],"À décommissionner",TblApplications[Mois lib (calc)],"&lt;="&amp;$E318)))))</f>
        <v/>
      </c>
      <c r="Z318" s="19" t="str">
        <f t="shared" si="77"/>
        <v/>
      </c>
      <c r="AA318" s="73" t="str">
        <f t="shared" si="78"/>
        <v/>
      </c>
      <c r="AB318" s="19" t="str">
        <f t="shared" si="79"/>
        <v/>
      </c>
      <c r="AC318" s="73" t="str">
        <f t="shared" si="80"/>
        <v/>
      </c>
      <c r="AD318" s="19" t="str">
        <f t="shared" si="81"/>
        <v/>
      </c>
      <c r="AE318" s="19" t="str">
        <f t="shared" si="82"/>
        <v/>
      </c>
      <c r="AF318" s="19" t="str">
        <f>IF($D318&lt;&gt;1,"",IF(INDEX(TblClusters[Environnement],$B318)="","(vide)",INDEX(TblClusters[Environnement],$B318)))</f>
        <v/>
      </c>
      <c r="AG318" s="19" t="str">
        <f t="shared" si="83"/>
        <v/>
      </c>
      <c r="AH318" s="19" t="str">
        <f t="shared" si="84"/>
        <v/>
      </c>
      <c r="AI318" s="19" t="str">
        <f>IF($D318&lt;&gt;1,"",IF(AND($G318="IKS",ISNUMBER(INDEX(TblClusters[Fermeture retenue],$B318))),IF($E318&gt;=INDEX(TblClusters[Fermeture retenue],$B318),1,0),0))</f>
        <v/>
      </c>
    </row>
    <row r="319" spans="1:35" x14ac:dyDescent="0.2">
      <c r="A319" s="19">
        <v>314</v>
      </c>
      <c r="B319" s="19">
        <f t="shared" si="68"/>
        <v>9</v>
      </c>
      <c r="C319" s="19">
        <f t="shared" si="69"/>
        <v>26</v>
      </c>
      <c r="D319" s="19">
        <f>IF($C319&gt;p_horizon,0,IFERROR(IF(AND(INDEX(TblClusters[Cluster],$B319)&lt;&gt;"",ISNUMBER(INDEX(TblClusters[CPU initial (vCPU)],$B319)),ISNUMBER(INDEX(TblClusters[CPU min (vCPU)],$B319)),OR(INDEX(TblClusters[Plateforme],$B319)="IKS",INDEX(TblClusters[Plateforme],$B319)="ROKS")),1,0),0))</f>
        <v>0</v>
      </c>
      <c r="E319" s="72" t="str">
        <f t="shared" si="70"/>
        <v/>
      </c>
      <c r="F319" s="19" t="str">
        <f>IF($D319=1,INDEX(TblClusters[Cluster],$B319),"")</f>
        <v/>
      </c>
      <c r="G319" s="19" t="str">
        <f>IF($D319=1,INDEX(TblClusters[Plateforme],$B319),"")</f>
        <v/>
      </c>
      <c r="H319" s="19" t="str">
        <f>IF($D319=1,INDEX(TblClusters[vCPU par nœud],$B319),"")</f>
        <v/>
      </c>
      <c r="I319" s="19" t="str">
        <f>IF($D319=1,INDEX(TblClusters[RAM par nœud (Go)],$B319),"")</f>
        <v/>
      </c>
      <c r="J319" s="19" t="str">
        <f>IF($D319=1,INDEX(TblClusters[Workers min],$B319),"")</f>
        <v/>
      </c>
      <c r="K319" s="73" t="str">
        <f>IF($D319=1,INDEX(TblClusters[Tarif par nœud],$B319),"")</f>
        <v/>
      </c>
      <c r="L319" s="19" t="str">
        <f>IF($D319=1,INDEX(TblClusters[CPU initial (vCPU)],$B319),"")</f>
        <v/>
      </c>
      <c r="M319" s="19" t="str">
        <f>IF($D319=1,INDEX(TblClusters[RAM initiale (Go)],$B319),"")</f>
        <v/>
      </c>
      <c r="N319" s="19" t="str">
        <f>IF($D319=1,INDEX(TblClusters[CPU min (vCPU)],$B319),"")</f>
        <v/>
      </c>
      <c r="O319" s="19" t="str">
        <f>IF($D319=1,INDEX(TblClusters[RAM min (Go)],$B319),"")</f>
        <v/>
      </c>
      <c r="P319" s="19" t="str">
        <f>IF($D319&lt;&gt;1,"",IF($G319="ROKS",SUMIFS(TblApplications[Besoin ROKS CPU (vCPU)],TblApplications[Cluster ROKS cible],$F319,TblApplications[Action],"À migrer",TblApplications[Déjà incluse ROKS],"Non",TblApplications[Mois prov (calc)],"&lt;="&amp;$E319),SUMIFS(TblApplications[CPU IKS libérable (vCPU)],TblApplications[Cluster IKS source],$F319,TblApplications[Mois lib (calc)],"&lt;="&amp;$E319)))</f>
        <v/>
      </c>
      <c r="Q319" s="19" t="str">
        <f>IF($D319&lt;&gt;1,"",IF($G319="ROKS",SUMIFS(TblApplications[Besoin ROKS RAM (Go)],TblApplications[Cluster ROKS cible],$F319,TblApplications[Action],"À migrer",TblApplications[Déjà incluse ROKS],"Non",TblApplications[Mois prov (calc)],"&lt;="&amp;$E319),SUMIFS(TblApplications[RAM IKS libérable (Go)],TblApplications[Cluster IKS source],$F319,TblApplications[Mois lib (calc)],"&lt;="&amp;$E319)))</f>
        <v/>
      </c>
      <c r="R319" s="19" t="str">
        <f t="shared" si="71"/>
        <v/>
      </c>
      <c r="S319" s="19" t="str">
        <f t="shared" si="72"/>
        <v/>
      </c>
      <c r="T319" s="19" t="str">
        <f t="shared" si="73"/>
        <v/>
      </c>
      <c r="U319" s="19" t="str">
        <f t="shared" si="74"/>
        <v/>
      </c>
      <c r="V319" s="19" t="str">
        <f t="shared" si="75"/>
        <v/>
      </c>
      <c r="W319" s="73" t="str">
        <f t="shared" si="76"/>
        <v/>
      </c>
      <c r="X319" s="19" t="str">
        <f>IF($D319&lt;&gt;1,"",IF($G319="ROKS",$R319,IF($AI319=1,0,MAX($N319,$L319-SUMIFS(TblApplications[CPU IKS libérable (vCPU)],TblApplications[Cluster IKS source],$F319,TblApplications[Action],"À migrer",TblApplications[Mois prov (calc)],"&lt;="&amp;$E319)-SUMIFS(TblApplications[CPU IKS libérable (vCPU)],TblApplications[Cluster IKS source],$F319,TblApplications[Action],"À décommissionner",TblApplications[Mois lib (calc)],"&lt;="&amp;$E319)))))</f>
        <v/>
      </c>
      <c r="Y319" s="19" t="str">
        <f>IF($D319&lt;&gt;1,"",IF($G319="ROKS",$S319,IF($AI319=1,0,MAX($O319,$M319-SUMIFS(TblApplications[RAM IKS libérable (Go)],TblApplications[Cluster IKS source],$F319,TblApplications[Action],"À migrer",TblApplications[Mois prov (calc)],"&lt;="&amp;$E319)-SUMIFS(TblApplications[RAM IKS libérable (Go)],TblApplications[Cluster IKS source],$F319,TblApplications[Action],"À décommissionner",TblApplications[Mois lib (calc)],"&lt;="&amp;$E319)))))</f>
        <v/>
      </c>
      <c r="Z319" s="19" t="str">
        <f t="shared" si="77"/>
        <v/>
      </c>
      <c r="AA319" s="73" t="str">
        <f t="shared" si="78"/>
        <v/>
      </c>
      <c r="AB319" s="19" t="str">
        <f t="shared" si="79"/>
        <v/>
      </c>
      <c r="AC319" s="73" t="str">
        <f t="shared" si="80"/>
        <v/>
      </c>
      <c r="AD319" s="19" t="str">
        <f t="shared" si="81"/>
        <v/>
      </c>
      <c r="AE319" s="19" t="str">
        <f t="shared" si="82"/>
        <v/>
      </c>
      <c r="AF319" s="19" t="str">
        <f>IF($D319&lt;&gt;1,"",IF(INDEX(TblClusters[Environnement],$B319)="","(vide)",INDEX(TblClusters[Environnement],$B319)))</f>
        <v/>
      </c>
      <c r="AG319" s="19" t="str">
        <f t="shared" si="83"/>
        <v/>
      </c>
      <c r="AH319" s="19" t="str">
        <f t="shared" si="84"/>
        <v/>
      </c>
      <c r="AI319" s="19" t="str">
        <f>IF($D319&lt;&gt;1,"",IF(AND($G319="IKS",ISNUMBER(INDEX(TblClusters[Fermeture retenue],$B319))),IF($E319&gt;=INDEX(TblClusters[Fermeture retenue],$B319),1,0),0))</f>
        <v/>
      </c>
    </row>
    <row r="320" spans="1:35" x14ac:dyDescent="0.2">
      <c r="A320" s="19">
        <v>315</v>
      </c>
      <c r="B320" s="19">
        <f t="shared" si="68"/>
        <v>9</v>
      </c>
      <c r="C320" s="19">
        <f t="shared" si="69"/>
        <v>27</v>
      </c>
      <c r="D320" s="19">
        <f>IF($C320&gt;p_horizon,0,IFERROR(IF(AND(INDEX(TblClusters[Cluster],$B320)&lt;&gt;"",ISNUMBER(INDEX(TblClusters[CPU initial (vCPU)],$B320)),ISNUMBER(INDEX(TblClusters[CPU min (vCPU)],$B320)),OR(INDEX(TblClusters[Plateforme],$B320)="IKS",INDEX(TblClusters[Plateforme],$B320)="ROKS")),1,0),0))</f>
        <v>0</v>
      </c>
      <c r="E320" s="72" t="str">
        <f t="shared" si="70"/>
        <v/>
      </c>
      <c r="F320" s="19" t="str">
        <f>IF($D320=1,INDEX(TblClusters[Cluster],$B320),"")</f>
        <v/>
      </c>
      <c r="G320" s="19" t="str">
        <f>IF($D320=1,INDEX(TblClusters[Plateforme],$B320),"")</f>
        <v/>
      </c>
      <c r="H320" s="19" t="str">
        <f>IF($D320=1,INDEX(TblClusters[vCPU par nœud],$B320),"")</f>
        <v/>
      </c>
      <c r="I320" s="19" t="str">
        <f>IF($D320=1,INDEX(TblClusters[RAM par nœud (Go)],$B320),"")</f>
        <v/>
      </c>
      <c r="J320" s="19" t="str">
        <f>IF($D320=1,INDEX(TblClusters[Workers min],$B320),"")</f>
        <v/>
      </c>
      <c r="K320" s="73" t="str">
        <f>IF($D320=1,INDEX(TblClusters[Tarif par nœud],$B320),"")</f>
        <v/>
      </c>
      <c r="L320" s="19" t="str">
        <f>IF($D320=1,INDEX(TblClusters[CPU initial (vCPU)],$B320),"")</f>
        <v/>
      </c>
      <c r="M320" s="19" t="str">
        <f>IF($D320=1,INDEX(TblClusters[RAM initiale (Go)],$B320),"")</f>
        <v/>
      </c>
      <c r="N320" s="19" t="str">
        <f>IF($D320=1,INDEX(TblClusters[CPU min (vCPU)],$B320),"")</f>
        <v/>
      </c>
      <c r="O320" s="19" t="str">
        <f>IF($D320=1,INDEX(TblClusters[RAM min (Go)],$B320),"")</f>
        <v/>
      </c>
      <c r="P320" s="19" t="str">
        <f>IF($D320&lt;&gt;1,"",IF($G320="ROKS",SUMIFS(TblApplications[Besoin ROKS CPU (vCPU)],TblApplications[Cluster ROKS cible],$F320,TblApplications[Action],"À migrer",TblApplications[Déjà incluse ROKS],"Non",TblApplications[Mois prov (calc)],"&lt;="&amp;$E320),SUMIFS(TblApplications[CPU IKS libérable (vCPU)],TblApplications[Cluster IKS source],$F320,TblApplications[Mois lib (calc)],"&lt;="&amp;$E320)))</f>
        <v/>
      </c>
      <c r="Q320" s="19" t="str">
        <f>IF($D320&lt;&gt;1,"",IF($G320="ROKS",SUMIFS(TblApplications[Besoin ROKS RAM (Go)],TblApplications[Cluster ROKS cible],$F320,TblApplications[Action],"À migrer",TblApplications[Déjà incluse ROKS],"Non",TblApplications[Mois prov (calc)],"&lt;="&amp;$E320),SUMIFS(TblApplications[RAM IKS libérable (Go)],TblApplications[Cluster IKS source],$F320,TblApplications[Mois lib (calc)],"&lt;="&amp;$E320)))</f>
        <v/>
      </c>
      <c r="R320" s="19" t="str">
        <f t="shared" si="71"/>
        <v/>
      </c>
      <c r="S320" s="19" t="str">
        <f t="shared" si="72"/>
        <v/>
      </c>
      <c r="T320" s="19" t="str">
        <f t="shared" si="73"/>
        <v/>
      </c>
      <c r="U320" s="19" t="str">
        <f t="shared" si="74"/>
        <v/>
      </c>
      <c r="V320" s="19" t="str">
        <f t="shared" si="75"/>
        <v/>
      </c>
      <c r="W320" s="73" t="str">
        <f t="shared" si="76"/>
        <v/>
      </c>
      <c r="X320" s="19" t="str">
        <f>IF($D320&lt;&gt;1,"",IF($G320="ROKS",$R320,IF($AI320=1,0,MAX($N320,$L320-SUMIFS(TblApplications[CPU IKS libérable (vCPU)],TblApplications[Cluster IKS source],$F320,TblApplications[Action],"À migrer",TblApplications[Mois prov (calc)],"&lt;="&amp;$E320)-SUMIFS(TblApplications[CPU IKS libérable (vCPU)],TblApplications[Cluster IKS source],$F320,TblApplications[Action],"À décommissionner",TblApplications[Mois lib (calc)],"&lt;="&amp;$E320)))))</f>
        <v/>
      </c>
      <c r="Y320" s="19" t="str">
        <f>IF($D320&lt;&gt;1,"",IF($G320="ROKS",$S320,IF($AI320=1,0,MAX($O320,$M320-SUMIFS(TblApplications[RAM IKS libérable (Go)],TblApplications[Cluster IKS source],$F320,TblApplications[Action],"À migrer",TblApplications[Mois prov (calc)],"&lt;="&amp;$E320)-SUMIFS(TblApplications[RAM IKS libérable (Go)],TblApplications[Cluster IKS source],$F320,TblApplications[Action],"À décommissionner",TblApplications[Mois lib (calc)],"&lt;="&amp;$E320)))))</f>
        <v/>
      </c>
      <c r="Z320" s="19" t="str">
        <f t="shared" si="77"/>
        <v/>
      </c>
      <c r="AA320" s="73" t="str">
        <f t="shared" si="78"/>
        <v/>
      </c>
      <c r="AB320" s="19" t="str">
        <f t="shared" si="79"/>
        <v/>
      </c>
      <c r="AC320" s="73" t="str">
        <f t="shared" si="80"/>
        <v/>
      </c>
      <c r="AD320" s="19" t="str">
        <f t="shared" si="81"/>
        <v/>
      </c>
      <c r="AE320" s="19" t="str">
        <f t="shared" si="82"/>
        <v/>
      </c>
      <c r="AF320" s="19" t="str">
        <f>IF($D320&lt;&gt;1,"",IF(INDEX(TblClusters[Environnement],$B320)="","(vide)",INDEX(TblClusters[Environnement],$B320)))</f>
        <v/>
      </c>
      <c r="AG320" s="19" t="str">
        <f t="shared" si="83"/>
        <v/>
      </c>
      <c r="AH320" s="19" t="str">
        <f t="shared" si="84"/>
        <v/>
      </c>
      <c r="AI320" s="19" t="str">
        <f>IF($D320&lt;&gt;1,"",IF(AND($G320="IKS",ISNUMBER(INDEX(TblClusters[Fermeture retenue],$B320))),IF($E320&gt;=INDEX(TblClusters[Fermeture retenue],$B320),1,0),0))</f>
        <v/>
      </c>
    </row>
    <row r="321" spans="1:35" x14ac:dyDescent="0.2">
      <c r="A321" s="19">
        <v>316</v>
      </c>
      <c r="B321" s="19">
        <f t="shared" si="68"/>
        <v>9</v>
      </c>
      <c r="C321" s="19">
        <f t="shared" si="69"/>
        <v>28</v>
      </c>
      <c r="D321" s="19">
        <f>IF($C321&gt;p_horizon,0,IFERROR(IF(AND(INDEX(TblClusters[Cluster],$B321)&lt;&gt;"",ISNUMBER(INDEX(TblClusters[CPU initial (vCPU)],$B321)),ISNUMBER(INDEX(TblClusters[CPU min (vCPU)],$B321)),OR(INDEX(TblClusters[Plateforme],$B321)="IKS",INDEX(TblClusters[Plateforme],$B321)="ROKS")),1,0),0))</f>
        <v>0</v>
      </c>
      <c r="E321" s="72" t="str">
        <f t="shared" si="70"/>
        <v/>
      </c>
      <c r="F321" s="19" t="str">
        <f>IF($D321=1,INDEX(TblClusters[Cluster],$B321),"")</f>
        <v/>
      </c>
      <c r="G321" s="19" t="str">
        <f>IF($D321=1,INDEX(TblClusters[Plateforme],$B321),"")</f>
        <v/>
      </c>
      <c r="H321" s="19" t="str">
        <f>IF($D321=1,INDEX(TblClusters[vCPU par nœud],$B321),"")</f>
        <v/>
      </c>
      <c r="I321" s="19" t="str">
        <f>IF($D321=1,INDEX(TblClusters[RAM par nœud (Go)],$B321),"")</f>
        <v/>
      </c>
      <c r="J321" s="19" t="str">
        <f>IF($D321=1,INDEX(TblClusters[Workers min],$B321),"")</f>
        <v/>
      </c>
      <c r="K321" s="73" t="str">
        <f>IF($D321=1,INDEX(TblClusters[Tarif par nœud],$B321),"")</f>
        <v/>
      </c>
      <c r="L321" s="19" t="str">
        <f>IF($D321=1,INDEX(TblClusters[CPU initial (vCPU)],$B321),"")</f>
        <v/>
      </c>
      <c r="M321" s="19" t="str">
        <f>IF($D321=1,INDEX(TblClusters[RAM initiale (Go)],$B321),"")</f>
        <v/>
      </c>
      <c r="N321" s="19" t="str">
        <f>IF($D321=1,INDEX(TblClusters[CPU min (vCPU)],$B321),"")</f>
        <v/>
      </c>
      <c r="O321" s="19" t="str">
        <f>IF($D321=1,INDEX(TblClusters[RAM min (Go)],$B321),"")</f>
        <v/>
      </c>
      <c r="P321" s="19" t="str">
        <f>IF($D321&lt;&gt;1,"",IF($G321="ROKS",SUMIFS(TblApplications[Besoin ROKS CPU (vCPU)],TblApplications[Cluster ROKS cible],$F321,TblApplications[Action],"À migrer",TblApplications[Déjà incluse ROKS],"Non",TblApplications[Mois prov (calc)],"&lt;="&amp;$E321),SUMIFS(TblApplications[CPU IKS libérable (vCPU)],TblApplications[Cluster IKS source],$F321,TblApplications[Mois lib (calc)],"&lt;="&amp;$E321)))</f>
        <v/>
      </c>
      <c r="Q321" s="19" t="str">
        <f>IF($D321&lt;&gt;1,"",IF($G321="ROKS",SUMIFS(TblApplications[Besoin ROKS RAM (Go)],TblApplications[Cluster ROKS cible],$F321,TblApplications[Action],"À migrer",TblApplications[Déjà incluse ROKS],"Non",TblApplications[Mois prov (calc)],"&lt;="&amp;$E321),SUMIFS(TblApplications[RAM IKS libérable (Go)],TblApplications[Cluster IKS source],$F321,TblApplications[Mois lib (calc)],"&lt;="&amp;$E321)))</f>
        <v/>
      </c>
      <c r="R321" s="19" t="str">
        <f t="shared" si="71"/>
        <v/>
      </c>
      <c r="S321" s="19" t="str">
        <f t="shared" si="72"/>
        <v/>
      </c>
      <c r="T321" s="19" t="str">
        <f t="shared" si="73"/>
        <v/>
      </c>
      <c r="U321" s="19" t="str">
        <f t="shared" si="74"/>
        <v/>
      </c>
      <c r="V321" s="19" t="str">
        <f t="shared" si="75"/>
        <v/>
      </c>
      <c r="W321" s="73" t="str">
        <f t="shared" si="76"/>
        <v/>
      </c>
      <c r="X321" s="19" t="str">
        <f>IF($D321&lt;&gt;1,"",IF($G321="ROKS",$R321,IF($AI321=1,0,MAX($N321,$L321-SUMIFS(TblApplications[CPU IKS libérable (vCPU)],TblApplications[Cluster IKS source],$F321,TblApplications[Action],"À migrer",TblApplications[Mois prov (calc)],"&lt;="&amp;$E321)-SUMIFS(TblApplications[CPU IKS libérable (vCPU)],TblApplications[Cluster IKS source],$F321,TblApplications[Action],"À décommissionner",TblApplications[Mois lib (calc)],"&lt;="&amp;$E321)))))</f>
        <v/>
      </c>
      <c r="Y321" s="19" t="str">
        <f>IF($D321&lt;&gt;1,"",IF($G321="ROKS",$S321,IF($AI321=1,0,MAX($O321,$M321-SUMIFS(TblApplications[RAM IKS libérable (Go)],TblApplications[Cluster IKS source],$F321,TblApplications[Action],"À migrer",TblApplications[Mois prov (calc)],"&lt;="&amp;$E321)-SUMIFS(TblApplications[RAM IKS libérable (Go)],TblApplications[Cluster IKS source],$F321,TblApplications[Action],"À décommissionner",TblApplications[Mois lib (calc)],"&lt;="&amp;$E321)))))</f>
        <v/>
      </c>
      <c r="Z321" s="19" t="str">
        <f t="shared" si="77"/>
        <v/>
      </c>
      <c r="AA321" s="73" t="str">
        <f t="shared" si="78"/>
        <v/>
      </c>
      <c r="AB321" s="19" t="str">
        <f t="shared" si="79"/>
        <v/>
      </c>
      <c r="AC321" s="73" t="str">
        <f t="shared" si="80"/>
        <v/>
      </c>
      <c r="AD321" s="19" t="str">
        <f t="shared" si="81"/>
        <v/>
      </c>
      <c r="AE321" s="19" t="str">
        <f t="shared" si="82"/>
        <v/>
      </c>
      <c r="AF321" s="19" t="str">
        <f>IF($D321&lt;&gt;1,"",IF(INDEX(TblClusters[Environnement],$B321)="","(vide)",INDEX(TblClusters[Environnement],$B321)))</f>
        <v/>
      </c>
      <c r="AG321" s="19" t="str">
        <f t="shared" si="83"/>
        <v/>
      </c>
      <c r="AH321" s="19" t="str">
        <f t="shared" si="84"/>
        <v/>
      </c>
      <c r="AI321" s="19" t="str">
        <f>IF($D321&lt;&gt;1,"",IF(AND($G321="IKS",ISNUMBER(INDEX(TblClusters[Fermeture retenue],$B321))),IF($E321&gt;=INDEX(TblClusters[Fermeture retenue],$B321),1,0),0))</f>
        <v/>
      </c>
    </row>
    <row r="322" spans="1:35" x14ac:dyDescent="0.2">
      <c r="A322" s="19">
        <v>317</v>
      </c>
      <c r="B322" s="19">
        <f t="shared" si="68"/>
        <v>9</v>
      </c>
      <c r="C322" s="19">
        <f t="shared" si="69"/>
        <v>29</v>
      </c>
      <c r="D322" s="19">
        <f>IF($C322&gt;p_horizon,0,IFERROR(IF(AND(INDEX(TblClusters[Cluster],$B322)&lt;&gt;"",ISNUMBER(INDEX(TblClusters[CPU initial (vCPU)],$B322)),ISNUMBER(INDEX(TblClusters[CPU min (vCPU)],$B322)),OR(INDEX(TblClusters[Plateforme],$B322)="IKS",INDEX(TblClusters[Plateforme],$B322)="ROKS")),1,0),0))</f>
        <v>0</v>
      </c>
      <c r="E322" s="72" t="str">
        <f t="shared" si="70"/>
        <v/>
      </c>
      <c r="F322" s="19" t="str">
        <f>IF($D322=1,INDEX(TblClusters[Cluster],$B322),"")</f>
        <v/>
      </c>
      <c r="G322" s="19" t="str">
        <f>IF($D322=1,INDEX(TblClusters[Plateforme],$B322),"")</f>
        <v/>
      </c>
      <c r="H322" s="19" t="str">
        <f>IF($D322=1,INDEX(TblClusters[vCPU par nœud],$B322),"")</f>
        <v/>
      </c>
      <c r="I322" s="19" t="str">
        <f>IF($D322=1,INDEX(TblClusters[RAM par nœud (Go)],$B322),"")</f>
        <v/>
      </c>
      <c r="J322" s="19" t="str">
        <f>IF($D322=1,INDEX(TblClusters[Workers min],$B322),"")</f>
        <v/>
      </c>
      <c r="K322" s="73" t="str">
        <f>IF($D322=1,INDEX(TblClusters[Tarif par nœud],$B322),"")</f>
        <v/>
      </c>
      <c r="L322" s="19" t="str">
        <f>IF($D322=1,INDEX(TblClusters[CPU initial (vCPU)],$B322),"")</f>
        <v/>
      </c>
      <c r="M322" s="19" t="str">
        <f>IF($D322=1,INDEX(TblClusters[RAM initiale (Go)],$B322),"")</f>
        <v/>
      </c>
      <c r="N322" s="19" t="str">
        <f>IF($D322=1,INDEX(TblClusters[CPU min (vCPU)],$B322),"")</f>
        <v/>
      </c>
      <c r="O322" s="19" t="str">
        <f>IF($D322=1,INDEX(TblClusters[RAM min (Go)],$B322),"")</f>
        <v/>
      </c>
      <c r="P322" s="19" t="str">
        <f>IF($D322&lt;&gt;1,"",IF($G322="ROKS",SUMIFS(TblApplications[Besoin ROKS CPU (vCPU)],TblApplications[Cluster ROKS cible],$F322,TblApplications[Action],"À migrer",TblApplications[Déjà incluse ROKS],"Non",TblApplications[Mois prov (calc)],"&lt;="&amp;$E322),SUMIFS(TblApplications[CPU IKS libérable (vCPU)],TblApplications[Cluster IKS source],$F322,TblApplications[Mois lib (calc)],"&lt;="&amp;$E322)))</f>
        <v/>
      </c>
      <c r="Q322" s="19" t="str">
        <f>IF($D322&lt;&gt;1,"",IF($G322="ROKS",SUMIFS(TblApplications[Besoin ROKS RAM (Go)],TblApplications[Cluster ROKS cible],$F322,TblApplications[Action],"À migrer",TblApplications[Déjà incluse ROKS],"Non",TblApplications[Mois prov (calc)],"&lt;="&amp;$E322),SUMIFS(TblApplications[RAM IKS libérable (Go)],TblApplications[Cluster IKS source],$F322,TblApplications[Mois lib (calc)],"&lt;="&amp;$E322)))</f>
        <v/>
      </c>
      <c r="R322" s="19" t="str">
        <f t="shared" si="71"/>
        <v/>
      </c>
      <c r="S322" s="19" t="str">
        <f t="shared" si="72"/>
        <v/>
      </c>
      <c r="T322" s="19" t="str">
        <f t="shared" si="73"/>
        <v/>
      </c>
      <c r="U322" s="19" t="str">
        <f t="shared" si="74"/>
        <v/>
      </c>
      <c r="V322" s="19" t="str">
        <f t="shared" si="75"/>
        <v/>
      </c>
      <c r="W322" s="73" t="str">
        <f t="shared" si="76"/>
        <v/>
      </c>
      <c r="X322" s="19" t="str">
        <f>IF($D322&lt;&gt;1,"",IF($G322="ROKS",$R322,IF($AI322=1,0,MAX($N322,$L322-SUMIFS(TblApplications[CPU IKS libérable (vCPU)],TblApplications[Cluster IKS source],$F322,TblApplications[Action],"À migrer",TblApplications[Mois prov (calc)],"&lt;="&amp;$E322)-SUMIFS(TblApplications[CPU IKS libérable (vCPU)],TblApplications[Cluster IKS source],$F322,TblApplications[Action],"À décommissionner",TblApplications[Mois lib (calc)],"&lt;="&amp;$E322)))))</f>
        <v/>
      </c>
      <c r="Y322" s="19" t="str">
        <f>IF($D322&lt;&gt;1,"",IF($G322="ROKS",$S322,IF($AI322=1,0,MAX($O322,$M322-SUMIFS(TblApplications[RAM IKS libérable (Go)],TblApplications[Cluster IKS source],$F322,TblApplications[Action],"À migrer",TblApplications[Mois prov (calc)],"&lt;="&amp;$E322)-SUMIFS(TblApplications[RAM IKS libérable (Go)],TblApplications[Cluster IKS source],$F322,TblApplications[Action],"À décommissionner",TblApplications[Mois lib (calc)],"&lt;="&amp;$E322)))))</f>
        <v/>
      </c>
      <c r="Z322" s="19" t="str">
        <f t="shared" si="77"/>
        <v/>
      </c>
      <c r="AA322" s="73" t="str">
        <f t="shared" si="78"/>
        <v/>
      </c>
      <c r="AB322" s="19" t="str">
        <f t="shared" si="79"/>
        <v/>
      </c>
      <c r="AC322" s="73" t="str">
        <f t="shared" si="80"/>
        <v/>
      </c>
      <c r="AD322" s="19" t="str">
        <f t="shared" si="81"/>
        <v/>
      </c>
      <c r="AE322" s="19" t="str">
        <f t="shared" si="82"/>
        <v/>
      </c>
      <c r="AF322" s="19" t="str">
        <f>IF($D322&lt;&gt;1,"",IF(INDEX(TblClusters[Environnement],$B322)="","(vide)",INDEX(TblClusters[Environnement],$B322)))</f>
        <v/>
      </c>
      <c r="AG322" s="19" t="str">
        <f t="shared" si="83"/>
        <v/>
      </c>
      <c r="AH322" s="19" t="str">
        <f t="shared" si="84"/>
        <v/>
      </c>
      <c r="AI322" s="19" t="str">
        <f>IF($D322&lt;&gt;1,"",IF(AND($G322="IKS",ISNUMBER(INDEX(TblClusters[Fermeture retenue],$B322))),IF($E322&gt;=INDEX(TblClusters[Fermeture retenue],$B322),1,0),0))</f>
        <v/>
      </c>
    </row>
    <row r="323" spans="1:35" x14ac:dyDescent="0.2">
      <c r="A323" s="19">
        <v>318</v>
      </c>
      <c r="B323" s="19">
        <f t="shared" si="68"/>
        <v>9</v>
      </c>
      <c r="C323" s="19">
        <f t="shared" si="69"/>
        <v>30</v>
      </c>
      <c r="D323" s="19">
        <f>IF($C323&gt;p_horizon,0,IFERROR(IF(AND(INDEX(TblClusters[Cluster],$B323)&lt;&gt;"",ISNUMBER(INDEX(TblClusters[CPU initial (vCPU)],$B323)),ISNUMBER(INDEX(TblClusters[CPU min (vCPU)],$B323)),OR(INDEX(TblClusters[Plateforme],$B323)="IKS",INDEX(TblClusters[Plateforme],$B323)="ROKS")),1,0),0))</f>
        <v>0</v>
      </c>
      <c r="E323" s="72" t="str">
        <f t="shared" si="70"/>
        <v/>
      </c>
      <c r="F323" s="19" t="str">
        <f>IF($D323=1,INDEX(TblClusters[Cluster],$B323),"")</f>
        <v/>
      </c>
      <c r="G323" s="19" t="str">
        <f>IF($D323=1,INDEX(TblClusters[Plateforme],$B323),"")</f>
        <v/>
      </c>
      <c r="H323" s="19" t="str">
        <f>IF($D323=1,INDEX(TblClusters[vCPU par nœud],$B323),"")</f>
        <v/>
      </c>
      <c r="I323" s="19" t="str">
        <f>IF($D323=1,INDEX(TblClusters[RAM par nœud (Go)],$B323),"")</f>
        <v/>
      </c>
      <c r="J323" s="19" t="str">
        <f>IF($D323=1,INDEX(TblClusters[Workers min],$B323),"")</f>
        <v/>
      </c>
      <c r="K323" s="73" t="str">
        <f>IF($D323=1,INDEX(TblClusters[Tarif par nœud],$B323),"")</f>
        <v/>
      </c>
      <c r="L323" s="19" t="str">
        <f>IF($D323=1,INDEX(TblClusters[CPU initial (vCPU)],$B323),"")</f>
        <v/>
      </c>
      <c r="M323" s="19" t="str">
        <f>IF($D323=1,INDEX(TblClusters[RAM initiale (Go)],$B323),"")</f>
        <v/>
      </c>
      <c r="N323" s="19" t="str">
        <f>IF($D323=1,INDEX(TblClusters[CPU min (vCPU)],$B323),"")</f>
        <v/>
      </c>
      <c r="O323" s="19" t="str">
        <f>IF($D323=1,INDEX(TblClusters[RAM min (Go)],$B323),"")</f>
        <v/>
      </c>
      <c r="P323" s="19" t="str">
        <f>IF($D323&lt;&gt;1,"",IF($G323="ROKS",SUMIFS(TblApplications[Besoin ROKS CPU (vCPU)],TblApplications[Cluster ROKS cible],$F323,TblApplications[Action],"À migrer",TblApplications[Déjà incluse ROKS],"Non",TblApplications[Mois prov (calc)],"&lt;="&amp;$E323),SUMIFS(TblApplications[CPU IKS libérable (vCPU)],TblApplications[Cluster IKS source],$F323,TblApplications[Mois lib (calc)],"&lt;="&amp;$E323)))</f>
        <v/>
      </c>
      <c r="Q323" s="19" t="str">
        <f>IF($D323&lt;&gt;1,"",IF($G323="ROKS",SUMIFS(TblApplications[Besoin ROKS RAM (Go)],TblApplications[Cluster ROKS cible],$F323,TblApplications[Action],"À migrer",TblApplications[Déjà incluse ROKS],"Non",TblApplications[Mois prov (calc)],"&lt;="&amp;$E323),SUMIFS(TblApplications[RAM IKS libérable (Go)],TblApplications[Cluster IKS source],$F323,TblApplications[Mois lib (calc)],"&lt;="&amp;$E323)))</f>
        <v/>
      </c>
      <c r="R323" s="19" t="str">
        <f t="shared" si="71"/>
        <v/>
      </c>
      <c r="S323" s="19" t="str">
        <f t="shared" si="72"/>
        <v/>
      </c>
      <c r="T323" s="19" t="str">
        <f t="shared" si="73"/>
        <v/>
      </c>
      <c r="U323" s="19" t="str">
        <f t="shared" si="74"/>
        <v/>
      </c>
      <c r="V323" s="19" t="str">
        <f t="shared" si="75"/>
        <v/>
      </c>
      <c r="W323" s="73" t="str">
        <f t="shared" si="76"/>
        <v/>
      </c>
      <c r="X323" s="19" t="str">
        <f>IF($D323&lt;&gt;1,"",IF($G323="ROKS",$R323,IF($AI323=1,0,MAX($N323,$L323-SUMIFS(TblApplications[CPU IKS libérable (vCPU)],TblApplications[Cluster IKS source],$F323,TblApplications[Action],"À migrer",TblApplications[Mois prov (calc)],"&lt;="&amp;$E323)-SUMIFS(TblApplications[CPU IKS libérable (vCPU)],TblApplications[Cluster IKS source],$F323,TblApplications[Action],"À décommissionner",TblApplications[Mois lib (calc)],"&lt;="&amp;$E323)))))</f>
        <v/>
      </c>
      <c r="Y323" s="19" t="str">
        <f>IF($D323&lt;&gt;1,"",IF($G323="ROKS",$S323,IF($AI323=1,0,MAX($O323,$M323-SUMIFS(TblApplications[RAM IKS libérable (Go)],TblApplications[Cluster IKS source],$F323,TblApplications[Action],"À migrer",TblApplications[Mois prov (calc)],"&lt;="&amp;$E323)-SUMIFS(TblApplications[RAM IKS libérable (Go)],TblApplications[Cluster IKS source],$F323,TblApplications[Action],"À décommissionner",TblApplications[Mois lib (calc)],"&lt;="&amp;$E323)))))</f>
        <v/>
      </c>
      <c r="Z323" s="19" t="str">
        <f t="shared" si="77"/>
        <v/>
      </c>
      <c r="AA323" s="73" t="str">
        <f t="shared" si="78"/>
        <v/>
      </c>
      <c r="AB323" s="19" t="str">
        <f t="shared" si="79"/>
        <v/>
      </c>
      <c r="AC323" s="73" t="str">
        <f t="shared" si="80"/>
        <v/>
      </c>
      <c r="AD323" s="19" t="str">
        <f t="shared" si="81"/>
        <v/>
      </c>
      <c r="AE323" s="19" t="str">
        <f t="shared" si="82"/>
        <v/>
      </c>
      <c r="AF323" s="19" t="str">
        <f>IF($D323&lt;&gt;1,"",IF(INDEX(TblClusters[Environnement],$B323)="","(vide)",INDEX(TblClusters[Environnement],$B323)))</f>
        <v/>
      </c>
      <c r="AG323" s="19" t="str">
        <f t="shared" si="83"/>
        <v/>
      </c>
      <c r="AH323" s="19" t="str">
        <f t="shared" si="84"/>
        <v/>
      </c>
      <c r="AI323" s="19" t="str">
        <f>IF($D323&lt;&gt;1,"",IF(AND($G323="IKS",ISNUMBER(INDEX(TblClusters[Fermeture retenue],$B323))),IF($E323&gt;=INDEX(TblClusters[Fermeture retenue],$B323),1,0),0))</f>
        <v/>
      </c>
    </row>
    <row r="324" spans="1:35" x14ac:dyDescent="0.2">
      <c r="A324" s="19">
        <v>319</v>
      </c>
      <c r="B324" s="19">
        <f t="shared" si="68"/>
        <v>9</v>
      </c>
      <c r="C324" s="19">
        <f t="shared" si="69"/>
        <v>31</v>
      </c>
      <c r="D324" s="19">
        <f>IF($C324&gt;p_horizon,0,IFERROR(IF(AND(INDEX(TblClusters[Cluster],$B324)&lt;&gt;"",ISNUMBER(INDEX(TblClusters[CPU initial (vCPU)],$B324)),ISNUMBER(INDEX(TblClusters[CPU min (vCPU)],$B324)),OR(INDEX(TblClusters[Plateforme],$B324)="IKS",INDEX(TblClusters[Plateforme],$B324)="ROKS")),1,0),0))</f>
        <v>0</v>
      </c>
      <c r="E324" s="72" t="str">
        <f t="shared" si="70"/>
        <v/>
      </c>
      <c r="F324" s="19" t="str">
        <f>IF($D324=1,INDEX(TblClusters[Cluster],$B324),"")</f>
        <v/>
      </c>
      <c r="G324" s="19" t="str">
        <f>IF($D324=1,INDEX(TblClusters[Plateforme],$B324),"")</f>
        <v/>
      </c>
      <c r="H324" s="19" t="str">
        <f>IF($D324=1,INDEX(TblClusters[vCPU par nœud],$B324),"")</f>
        <v/>
      </c>
      <c r="I324" s="19" t="str">
        <f>IF($D324=1,INDEX(TblClusters[RAM par nœud (Go)],$B324),"")</f>
        <v/>
      </c>
      <c r="J324" s="19" t="str">
        <f>IF($D324=1,INDEX(TblClusters[Workers min],$B324),"")</f>
        <v/>
      </c>
      <c r="K324" s="73" t="str">
        <f>IF($D324=1,INDEX(TblClusters[Tarif par nœud],$B324),"")</f>
        <v/>
      </c>
      <c r="L324" s="19" t="str">
        <f>IF($D324=1,INDEX(TblClusters[CPU initial (vCPU)],$B324),"")</f>
        <v/>
      </c>
      <c r="M324" s="19" t="str">
        <f>IF($D324=1,INDEX(TblClusters[RAM initiale (Go)],$B324),"")</f>
        <v/>
      </c>
      <c r="N324" s="19" t="str">
        <f>IF($D324=1,INDEX(TblClusters[CPU min (vCPU)],$B324),"")</f>
        <v/>
      </c>
      <c r="O324" s="19" t="str">
        <f>IF($D324=1,INDEX(TblClusters[RAM min (Go)],$B324),"")</f>
        <v/>
      </c>
      <c r="P324" s="19" t="str">
        <f>IF($D324&lt;&gt;1,"",IF($G324="ROKS",SUMIFS(TblApplications[Besoin ROKS CPU (vCPU)],TblApplications[Cluster ROKS cible],$F324,TblApplications[Action],"À migrer",TblApplications[Déjà incluse ROKS],"Non",TblApplications[Mois prov (calc)],"&lt;="&amp;$E324),SUMIFS(TblApplications[CPU IKS libérable (vCPU)],TblApplications[Cluster IKS source],$F324,TblApplications[Mois lib (calc)],"&lt;="&amp;$E324)))</f>
        <v/>
      </c>
      <c r="Q324" s="19" t="str">
        <f>IF($D324&lt;&gt;1,"",IF($G324="ROKS",SUMIFS(TblApplications[Besoin ROKS RAM (Go)],TblApplications[Cluster ROKS cible],$F324,TblApplications[Action],"À migrer",TblApplications[Déjà incluse ROKS],"Non",TblApplications[Mois prov (calc)],"&lt;="&amp;$E324),SUMIFS(TblApplications[RAM IKS libérable (Go)],TblApplications[Cluster IKS source],$F324,TblApplications[Mois lib (calc)],"&lt;="&amp;$E324)))</f>
        <v/>
      </c>
      <c r="R324" s="19" t="str">
        <f t="shared" si="71"/>
        <v/>
      </c>
      <c r="S324" s="19" t="str">
        <f t="shared" si="72"/>
        <v/>
      </c>
      <c r="T324" s="19" t="str">
        <f t="shared" si="73"/>
        <v/>
      </c>
      <c r="U324" s="19" t="str">
        <f t="shared" si="74"/>
        <v/>
      </c>
      <c r="V324" s="19" t="str">
        <f t="shared" si="75"/>
        <v/>
      </c>
      <c r="W324" s="73" t="str">
        <f t="shared" si="76"/>
        <v/>
      </c>
      <c r="X324" s="19" t="str">
        <f>IF($D324&lt;&gt;1,"",IF($G324="ROKS",$R324,IF($AI324=1,0,MAX($N324,$L324-SUMIFS(TblApplications[CPU IKS libérable (vCPU)],TblApplications[Cluster IKS source],$F324,TblApplications[Action],"À migrer",TblApplications[Mois prov (calc)],"&lt;="&amp;$E324)-SUMIFS(TblApplications[CPU IKS libérable (vCPU)],TblApplications[Cluster IKS source],$F324,TblApplications[Action],"À décommissionner",TblApplications[Mois lib (calc)],"&lt;="&amp;$E324)))))</f>
        <v/>
      </c>
      <c r="Y324" s="19" t="str">
        <f>IF($D324&lt;&gt;1,"",IF($G324="ROKS",$S324,IF($AI324=1,0,MAX($O324,$M324-SUMIFS(TblApplications[RAM IKS libérable (Go)],TblApplications[Cluster IKS source],$F324,TblApplications[Action],"À migrer",TblApplications[Mois prov (calc)],"&lt;="&amp;$E324)-SUMIFS(TblApplications[RAM IKS libérable (Go)],TblApplications[Cluster IKS source],$F324,TblApplications[Action],"À décommissionner",TblApplications[Mois lib (calc)],"&lt;="&amp;$E324)))))</f>
        <v/>
      </c>
      <c r="Z324" s="19" t="str">
        <f t="shared" si="77"/>
        <v/>
      </c>
      <c r="AA324" s="73" t="str">
        <f t="shared" si="78"/>
        <v/>
      </c>
      <c r="AB324" s="19" t="str">
        <f t="shared" si="79"/>
        <v/>
      </c>
      <c r="AC324" s="73" t="str">
        <f t="shared" si="80"/>
        <v/>
      </c>
      <c r="AD324" s="19" t="str">
        <f t="shared" si="81"/>
        <v/>
      </c>
      <c r="AE324" s="19" t="str">
        <f t="shared" si="82"/>
        <v/>
      </c>
      <c r="AF324" s="19" t="str">
        <f>IF($D324&lt;&gt;1,"",IF(INDEX(TblClusters[Environnement],$B324)="","(vide)",INDEX(TblClusters[Environnement],$B324)))</f>
        <v/>
      </c>
      <c r="AG324" s="19" t="str">
        <f t="shared" si="83"/>
        <v/>
      </c>
      <c r="AH324" s="19" t="str">
        <f t="shared" si="84"/>
        <v/>
      </c>
      <c r="AI324" s="19" t="str">
        <f>IF($D324&lt;&gt;1,"",IF(AND($G324="IKS",ISNUMBER(INDEX(TblClusters[Fermeture retenue],$B324))),IF($E324&gt;=INDEX(TblClusters[Fermeture retenue],$B324),1,0),0))</f>
        <v/>
      </c>
    </row>
    <row r="325" spans="1:35" x14ac:dyDescent="0.2">
      <c r="A325" s="19">
        <v>320</v>
      </c>
      <c r="B325" s="19">
        <f t="shared" si="68"/>
        <v>9</v>
      </c>
      <c r="C325" s="19">
        <f t="shared" si="69"/>
        <v>32</v>
      </c>
      <c r="D325" s="19">
        <f>IF($C325&gt;p_horizon,0,IFERROR(IF(AND(INDEX(TblClusters[Cluster],$B325)&lt;&gt;"",ISNUMBER(INDEX(TblClusters[CPU initial (vCPU)],$B325)),ISNUMBER(INDEX(TblClusters[CPU min (vCPU)],$B325)),OR(INDEX(TblClusters[Plateforme],$B325)="IKS",INDEX(TblClusters[Plateforme],$B325)="ROKS")),1,0),0))</f>
        <v>0</v>
      </c>
      <c r="E325" s="72" t="str">
        <f t="shared" si="70"/>
        <v/>
      </c>
      <c r="F325" s="19" t="str">
        <f>IF($D325=1,INDEX(TblClusters[Cluster],$B325),"")</f>
        <v/>
      </c>
      <c r="G325" s="19" t="str">
        <f>IF($D325=1,INDEX(TblClusters[Plateforme],$B325),"")</f>
        <v/>
      </c>
      <c r="H325" s="19" t="str">
        <f>IF($D325=1,INDEX(TblClusters[vCPU par nœud],$B325),"")</f>
        <v/>
      </c>
      <c r="I325" s="19" t="str">
        <f>IF($D325=1,INDEX(TblClusters[RAM par nœud (Go)],$B325),"")</f>
        <v/>
      </c>
      <c r="J325" s="19" t="str">
        <f>IF($D325=1,INDEX(TblClusters[Workers min],$B325),"")</f>
        <v/>
      </c>
      <c r="K325" s="73" t="str">
        <f>IF($D325=1,INDEX(TblClusters[Tarif par nœud],$B325),"")</f>
        <v/>
      </c>
      <c r="L325" s="19" t="str">
        <f>IF($D325=1,INDEX(TblClusters[CPU initial (vCPU)],$B325),"")</f>
        <v/>
      </c>
      <c r="M325" s="19" t="str">
        <f>IF($D325=1,INDEX(TblClusters[RAM initiale (Go)],$B325),"")</f>
        <v/>
      </c>
      <c r="N325" s="19" t="str">
        <f>IF($D325=1,INDEX(TblClusters[CPU min (vCPU)],$B325),"")</f>
        <v/>
      </c>
      <c r="O325" s="19" t="str">
        <f>IF($D325=1,INDEX(TblClusters[RAM min (Go)],$B325),"")</f>
        <v/>
      </c>
      <c r="P325" s="19" t="str">
        <f>IF($D325&lt;&gt;1,"",IF($G325="ROKS",SUMIFS(TblApplications[Besoin ROKS CPU (vCPU)],TblApplications[Cluster ROKS cible],$F325,TblApplications[Action],"À migrer",TblApplications[Déjà incluse ROKS],"Non",TblApplications[Mois prov (calc)],"&lt;="&amp;$E325),SUMIFS(TblApplications[CPU IKS libérable (vCPU)],TblApplications[Cluster IKS source],$F325,TblApplications[Mois lib (calc)],"&lt;="&amp;$E325)))</f>
        <v/>
      </c>
      <c r="Q325" s="19" t="str">
        <f>IF($D325&lt;&gt;1,"",IF($G325="ROKS",SUMIFS(TblApplications[Besoin ROKS RAM (Go)],TblApplications[Cluster ROKS cible],$F325,TblApplications[Action],"À migrer",TblApplications[Déjà incluse ROKS],"Non",TblApplications[Mois prov (calc)],"&lt;="&amp;$E325),SUMIFS(TblApplications[RAM IKS libérable (Go)],TblApplications[Cluster IKS source],$F325,TblApplications[Mois lib (calc)],"&lt;="&amp;$E325)))</f>
        <v/>
      </c>
      <c r="R325" s="19" t="str">
        <f t="shared" si="71"/>
        <v/>
      </c>
      <c r="S325" s="19" t="str">
        <f t="shared" si="72"/>
        <v/>
      </c>
      <c r="T325" s="19" t="str">
        <f t="shared" si="73"/>
        <v/>
      </c>
      <c r="U325" s="19" t="str">
        <f t="shared" si="74"/>
        <v/>
      </c>
      <c r="V325" s="19" t="str">
        <f t="shared" si="75"/>
        <v/>
      </c>
      <c r="W325" s="73" t="str">
        <f t="shared" si="76"/>
        <v/>
      </c>
      <c r="X325" s="19" t="str">
        <f>IF($D325&lt;&gt;1,"",IF($G325="ROKS",$R325,IF($AI325=1,0,MAX($N325,$L325-SUMIFS(TblApplications[CPU IKS libérable (vCPU)],TblApplications[Cluster IKS source],$F325,TblApplications[Action],"À migrer",TblApplications[Mois prov (calc)],"&lt;="&amp;$E325)-SUMIFS(TblApplications[CPU IKS libérable (vCPU)],TblApplications[Cluster IKS source],$F325,TblApplications[Action],"À décommissionner",TblApplications[Mois lib (calc)],"&lt;="&amp;$E325)))))</f>
        <v/>
      </c>
      <c r="Y325" s="19" t="str">
        <f>IF($D325&lt;&gt;1,"",IF($G325="ROKS",$S325,IF($AI325=1,0,MAX($O325,$M325-SUMIFS(TblApplications[RAM IKS libérable (Go)],TblApplications[Cluster IKS source],$F325,TblApplications[Action],"À migrer",TblApplications[Mois prov (calc)],"&lt;="&amp;$E325)-SUMIFS(TblApplications[RAM IKS libérable (Go)],TblApplications[Cluster IKS source],$F325,TblApplications[Action],"À décommissionner",TblApplications[Mois lib (calc)],"&lt;="&amp;$E325)))))</f>
        <v/>
      </c>
      <c r="Z325" s="19" t="str">
        <f t="shared" si="77"/>
        <v/>
      </c>
      <c r="AA325" s="73" t="str">
        <f t="shared" si="78"/>
        <v/>
      </c>
      <c r="AB325" s="19" t="str">
        <f t="shared" si="79"/>
        <v/>
      </c>
      <c r="AC325" s="73" t="str">
        <f t="shared" si="80"/>
        <v/>
      </c>
      <c r="AD325" s="19" t="str">
        <f t="shared" si="81"/>
        <v/>
      </c>
      <c r="AE325" s="19" t="str">
        <f t="shared" si="82"/>
        <v/>
      </c>
      <c r="AF325" s="19" t="str">
        <f>IF($D325&lt;&gt;1,"",IF(INDEX(TblClusters[Environnement],$B325)="","(vide)",INDEX(TblClusters[Environnement],$B325)))</f>
        <v/>
      </c>
      <c r="AG325" s="19" t="str">
        <f t="shared" si="83"/>
        <v/>
      </c>
      <c r="AH325" s="19" t="str">
        <f t="shared" si="84"/>
        <v/>
      </c>
      <c r="AI325" s="19" t="str">
        <f>IF($D325&lt;&gt;1,"",IF(AND($G325="IKS",ISNUMBER(INDEX(TblClusters[Fermeture retenue],$B325))),IF($E325&gt;=INDEX(TblClusters[Fermeture retenue],$B325),1,0),0))</f>
        <v/>
      </c>
    </row>
    <row r="326" spans="1:35" x14ac:dyDescent="0.2">
      <c r="A326" s="19">
        <v>321</v>
      </c>
      <c r="B326" s="19">
        <f t="shared" ref="B326:B389" si="85">INT(($A326-1)/36)+1</f>
        <v>9</v>
      </c>
      <c r="C326" s="19">
        <f t="shared" ref="C326:C389" si="86">MOD($A326-1,36)+1</f>
        <v>33</v>
      </c>
      <c r="D326" s="19">
        <f>IF($C326&gt;p_horizon,0,IFERROR(IF(AND(INDEX(TblClusters[Cluster],$B326)&lt;&gt;"",ISNUMBER(INDEX(TblClusters[CPU initial (vCPU)],$B326)),ISNUMBER(INDEX(TblClusters[CPU min (vCPU)],$B326)),OR(INDEX(TblClusters[Plateforme],$B326)="IKS",INDEX(TblClusters[Plateforme],$B326)="ROKS")),1,0),0))</f>
        <v>0</v>
      </c>
      <c r="E326" s="72" t="str">
        <f t="shared" ref="E326:E389" si="87">IF($D326=1,EDATE(p_debut,$C326-1),"")</f>
        <v/>
      </c>
      <c r="F326" s="19" t="str">
        <f>IF($D326=1,INDEX(TblClusters[Cluster],$B326),"")</f>
        <v/>
      </c>
      <c r="G326" s="19" t="str">
        <f>IF($D326=1,INDEX(TblClusters[Plateforme],$B326),"")</f>
        <v/>
      </c>
      <c r="H326" s="19" t="str">
        <f>IF($D326=1,INDEX(TblClusters[vCPU par nœud],$B326),"")</f>
        <v/>
      </c>
      <c r="I326" s="19" t="str">
        <f>IF($D326=1,INDEX(TblClusters[RAM par nœud (Go)],$B326),"")</f>
        <v/>
      </c>
      <c r="J326" s="19" t="str">
        <f>IF($D326=1,INDEX(TblClusters[Workers min],$B326),"")</f>
        <v/>
      </c>
      <c r="K326" s="73" t="str">
        <f>IF($D326=1,INDEX(TblClusters[Tarif par nœud],$B326),"")</f>
        <v/>
      </c>
      <c r="L326" s="19" t="str">
        <f>IF($D326=1,INDEX(TblClusters[CPU initial (vCPU)],$B326),"")</f>
        <v/>
      </c>
      <c r="M326" s="19" t="str">
        <f>IF($D326=1,INDEX(TblClusters[RAM initiale (Go)],$B326),"")</f>
        <v/>
      </c>
      <c r="N326" s="19" t="str">
        <f>IF($D326=1,INDEX(TblClusters[CPU min (vCPU)],$B326),"")</f>
        <v/>
      </c>
      <c r="O326" s="19" t="str">
        <f>IF($D326=1,INDEX(TblClusters[RAM min (Go)],$B326),"")</f>
        <v/>
      </c>
      <c r="P326" s="19" t="str">
        <f>IF($D326&lt;&gt;1,"",IF($G326="ROKS",SUMIFS(TblApplications[Besoin ROKS CPU (vCPU)],TblApplications[Cluster ROKS cible],$F326,TblApplications[Action],"À migrer",TblApplications[Déjà incluse ROKS],"Non",TblApplications[Mois prov (calc)],"&lt;="&amp;$E326),SUMIFS(TblApplications[CPU IKS libérable (vCPU)],TblApplications[Cluster IKS source],$F326,TblApplications[Mois lib (calc)],"&lt;="&amp;$E326)))</f>
        <v/>
      </c>
      <c r="Q326" s="19" t="str">
        <f>IF($D326&lt;&gt;1,"",IF($G326="ROKS",SUMIFS(TblApplications[Besoin ROKS RAM (Go)],TblApplications[Cluster ROKS cible],$F326,TblApplications[Action],"À migrer",TblApplications[Déjà incluse ROKS],"Non",TblApplications[Mois prov (calc)],"&lt;="&amp;$E326),SUMIFS(TblApplications[RAM IKS libérable (Go)],TblApplications[Cluster IKS source],$F326,TblApplications[Mois lib (calc)],"&lt;="&amp;$E326)))</f>
        <v/>
      </c>
      <c r="R326" s="19" t="str">
        <f t="shared" ref="R326:R389" si="88">IF($D326&lt;&gt;1,"",IF($G326="ROKS",$L326+$P326,IF($AI326=1,0,MAX($N326,$L326-$P326))))</f>
        <v/>
      </c>
      <c r="S326" s="19" t="str">
        <f t="shared" ref="S326:S389" si="89">IF($D326&lt;&gt;1,"",IF($G326="ROKS",$M326+$Q326,IF($AI326=1,0,MAX($O326,$M326-$Q326))))</f>
        <v/>
      </c>
      <c r="T326" s="19" t="str">
        <f t="shared" ref="T326:T389" si="90">IF($D326&lt;&gt;1,"",IF($AI326=1,0,MAX($J326,ROUNDUP(MAX($R326/$H326,$S326/$I326),0))))</f>
        <v/>
      </c>
      <c r="U326" s="19" t="str">
        <f t="shared" ref="U326:U389" si="91">IF($D326&lt;&gt;1,"",IF(p_mode="Nœud",$T326*$H326,$R326))</f>
        <v/>
      </c>
      <c r="V326" s="19" t="str">
        <f t="shared" ref="V326:V389" si="92">IF($D326&lt;&gt;1,"",IF(p_mode="Nœud",$T326*$I326,$S326))</f>
        <v/>
      </c>
      <c r="W326" s="73" t="str">
        <f t="shared" ref="W326:W389" si="93">IF($D326&lt;&gt;1,"",IF(p_mode="Nœud",$T326*$K326,$R326*IF($G326="IKS",p_iks_cpu,p_roks_cpu)+$S326*IF($G326="IKS",p_iks_ram,p_roks_ram))*p_facteur)</f>
        <v/>
      </c>
      <c r="X326" s="19" t="str">
        <f>IF($D326&lt;&gt;1,"",IF($G326="ROKS",$R326,IF($AI326=1,0,MAX($N326,$L326-SUMIFS(TblApplications[CPU IKS libérable (vCPU)],TblApplications[Cluster IKS source],$F326,TblApplications[Action],"À migrer",TblApplications[Mois prov (calc)],"&lt;="&amp;$E326)-SUMIFS(TblApplications[CPU IKS libérable (vCPU)],TblApplications[Cluster IKS source],$F326,TblApplications[Action],"À décommissionner",TblApplications[Mois lib (calc)],"&lt;="&amp;$E326)))))</f>
        <v/>
      </c>
      <c r="Y326" s="19" t="str">
        <f>IF($D326&lt;&gt;1,"",IF($G326="ROKS",$S326,IF($AI326=1,0,MAX($O326,$M326-SUMIFS(TblApplications[RAM IKS libérable (Go)],TblApplications[Cluster IKS source],$F326,TblApplications[Action],"À migrer",TblApplications[Mois prov (calc)],"&lt;="&amp;$E326)-SUMIFS(TblApplications[RAM IKS libérable (Go)],TblApplications[Cluster IKS source],$F326,TblApplications[Action],"À décommissionner",TblApplications[Mois lib (calc)],"&lt;="&amp;$E326)))))</f>
        <v/>
      </c>
      <c r="Z326" s="19" t="str">
        <f t="shared" ref="Z326:Z389" si="94">IF($D326&lt;&gt;1,"",IF($AI326=1,0,MAX($J326,ROUNDUP(MAX($X326/$H326,$Y326/$I326),0))))</f>
        <v/>
      </c>
      <c r="AA326" s="73" t="str">
        <f t="shared" ref="AA326:AA389" si="95">IF($D326&lt;&gt;1,"",IF(p_mode="Nœud",$Z326*$K326,$X326*IF($G326="IKS",p_iks_cpu,p_roks_cpu)+$Y326*IF($G326="IKS",p_iks_ram,p_roks_ram))*p_facteur)</f>
        <v/>
      </c>
      <c r="AB326" s="19" t="str">
        <f t="shared" ref="AB326:AB389" si="96">IF($D326&lt;&gt;1,"",MAX($J326,ROUNDUP(MAX($L326/$H326,$M326/$I326),0)))</f>
        <v/>
      </c>
      <c r="AC326" s="73" t="str">
        <f t="shared" ref="AC326:AC389" si="97">IF($D326&lt;&gt;1,"",IF(p_mode="Nœud",$AB326*$K326,$L326*IF($G326="IKS",p_iks_cpu,p_roks_cpu)+$M326*IF($G326="IKS",p_iks_ram,p_roks_ram))*p_facteur)</f>
        <v/>
      </c>
      <c r="AD326" s="19" t="str">
        <f t="shared" ref="AD326:AD389" si="98">IF($D326&lt;&gt;1,"",IF(AND($G326="IKS",$AI326&lt;&gt;1,OR($L326-$P326&lt;$N326,$M326-$Q326&lt;$O326)),1,0))</f>
        <v/>
      </c>
      <c r="AE326" s="19" t="str">
        <f t="shared" ref="AE326:AE389" si="99">IF($D326&lt;&gt;1,"",IF(AND($G326="ROKS",$T326&gt;p_maxworkers),1,0))</f>
        <v/>
      </c>
      <c r="AF326" s="19" t="str">
        <f>IF($D326&lt;&gt;1,"",IF(INDEX(TblClusters[Environnement],$B326)="","(vide)",INDEX(TblClusters[Environnement],$B326)))</f>
        <v/>
      </c>
      <c r="AG326" s="19" t="str">
        <f t="shared" ref="AG326:AG389" si="100">IF($D326&lt;&gt;1,"",$R326+p_poidsram*$S326)</f>
        <v/>
      </c>
      <c r="AH326" s="19" t="str">
        <f t="shared" ref="AH326:AH389" si="101">IF($D326&lt;&gt;1,"",IFERROR($W326/$AG326,0))</f>
        <v/>
      </c>
      <c r="AI326" s="19" t="str">
        <f>IF($D326&lt;&gt;1,"",IF(AND($G326="IKS",ISNUMBER(INDEX(TblClusters[Fermeture retenue],$B326))),IF($E326&gt;=INDEX(TblClusters[Fermeture retenue],$B326),1,0),0))</f>
        <v/>
      </c>
    </row>
    <row r="327" spans="1:35" x14ac:dyDescent="0.2">
      <c r="A327" s="19">
        <v>322</v>
      </c>
      <c r="B327" s="19">
        <f t="shared" si="85"/>
        <v>9</v>
      </c>
      <c r="C327" s="19">
        <f t="shared" si="86"/>
        <v>34</v>
      </c>
      <c r="D327" s="19">
        <f>IF($C327&gt;p_horizon,0,IFERROR(IF(AND(INDEX(TblClusters[Cluster],$B327)&lt;&gt;"",ISNUMBER(INDEX(TblClusters[CPU initial (vCPU)],$B327)),ISNUMBER(INDEX(TblClusters[CPU min (vCPU)],$B327)),OR(INDEX(TblClusters[Plateforme],$B327)="IKS",INDEX(TblClusters[Plateforme],$B327)="ROKS")),1,0),0))</f>
        <v>0</v>
      </c>
      <c r="E327" s="72" t="str">
        <f t="shared" si="87"/>
        <v/>
      </c>
      <c r="F327" s="19" t="str">
        <f>IF($D327=1,INDEX(TblClusters[Cluster],$B327),"")</f>
        <v/>
      </c>
      <c r="G327" s="19" t="str">
        <f>IF($D327=1,INDEX(TblClusters[Plateforme],$B327),"")</f>
        <v/>
      </c>
      <c r="H327" s="19" t="str">
        <f>IF($D327=1,INDEX(TblClusters[vCPU par nœud],$B327),"")</f>
        <v/>
      </c>
      <c r="I327" s="19" t="str">
        <f>IF($D327=1,INDEX(TblClusters[RAM par nœud (Go)],$B327),"")</f>
        <v/>
      </c>
      <c r="J327" s="19" t="str">
        <f>IF($D327=1,INDEX(TblClusters[Workers min],$B327),"")</f>
        <v/>
      </c>
      <c r="K327" s="73" t="str">
        <f>IF($D327=1,INDEX(TblClusters[Tarif par nœud],$B327),"")</f>
        <v/>
      </c>
      <c r="L327" s="19" t="str">
        <f>IF($D327=1,INDEX(TblClusters[CPU initial (vCPU)],$B327),"")</f>
        <v/>
      </c>
      <c r="M327" s="19" t="str">
        <f>IF($D327=1,INDEX(TblClusters[RAM initiale (Go)],$B327),"")</f>
        <v/>
      </c>
      <c r="N327" s="19" t="str">
        <f>IF($D327=1,INDEX(TblClusters[CPU min (vCPU)],$B327),"")</f>
        <v/>
      </c>
      <c r="O327" s="19" t="str">
        <f>IF($D327=1,INDEX(TblClusters[RAM min (Go)],$B327),"")</f>
        <v/>
      </c>
      <c r="P327" s="19" t="str">
        <f>IF($D327&lt;&gt;1,"",IF($G327="ROKS",SUMIFS(TblApplications[Besoin ROKS CPU (vCPU)],TblApplications[Cluster ROKS cible],$F327,TblApplications[Action],"À migrer",TblApplications[Déjà incluse ROKS],"Non",TblApplications[Mois prov (calc)],"&lt;="&amp;$E327),SUMIFS(TblApplications[CPU IKS libérable (vCPU)],TblApplications[Cluster IKS source],$F327,TblApplications[Mois lib (calc)],"&lt;="&amp;$E327)))</f>
        <v/>
      </c>
      <c r="Q327" s="19" t="str">
        <f>IF($D327&lt;&gt;1,"",IF($G327="ROKS",SUMIFS(TblApplications[Besoin ROKS RAM (Go)],TblApplications[Cluster ROKS cible],$F327,TblApplications[Action],"À migrer",TblApplications[Déjà incluse ROKS],"Non",TblApplications[Mois prov (calc)],"&lt;="&amp;$E327),SUMIFS(TblApplications[RAM IKS libérable (Go)],TblApplications[Cluster IKS source],$F327,TblApplications[Mois lib (calc)],"&lt;="&amp;$E327)))</f>
        <v/>
      </c>
      <c r="R327" s="19" t="str">
        <f t="shared" si="88"/>
        <v/>
      </c>
      <c r="S327" s="19" t="str">
        <f t="shared" si="89"/>
        <v/>
      </c>
      <c r="T327" s="19" t="str">
        <f t="shared" si="90"/>
        <v/>
      </c>
      <c r="U327" s="19" t="str">
        <f t="shared" si="91"/>
        <v/>
      </c>
      <c r="V327" s="19" t="str">
        <f t="shared" si="92"/>
        <v/>
      </c>
      <c r="W327" s="73" t="str">
        <f t="shared" si="93"/>
        <v/>
      </c>
      <c r="X327" s="19" t="str">
        <f>IF($D327&lt;&gt;1,"",IF($G327="ROKS",$R327,IF($AI327=1,0,MAX($N327,$L327-SUMIFS(TblApplications[CPU IKS libérable (vCPU)],TblApplications[Cluster IKS source],$F327,TblApplications[Action],"À migrer",TblApplications[Mois prov (calc)],"&lt;="&amp;$E327)-SUMIFS(TblApplications[CPU IKS libérable (vCPU)],TblApplications[Cluster IKS source],$F327,TblApplications[Action],"À décommissionner",TblApplications[Mois lib (calc)],"&lt;="&amp;$E327)))))</f>
        <v/>
      </c>
      <c r="Y327" s="19" t="str">
        <f>IF($D327&lt;&gt;1,"",IF($G327="ROKS",$S327,IF($AI327=1,0,MAX($O327,$M327-SUMIFS(TblApplications[RAM IKS libérable (Go)],TblApplications[Cluster IKS source],$F327,TblApplications[Action],"À migrer",TblApplications[Mois prov (calc)],"&lt;="&amp;$E327)-SUMIFS(TblApplications[RAM IKS libérable (Go)],TblApplications[Cluster IKS source],$F327,TblApplications[Action],"À décommissionner",TblApplications[Mois lib (calc)],"&lt;="&amp;$E327)))))</f>
        <v/>
      </c>
      <c r="Z327" s="19" t="str">
        <f t="shared" si="94"/>
        <v/>
      </c>
      <c r="AA327" s="73" t="str">
        <f t="shared" si="95"/>
        <v/>
      </c>
      <c r="AB327" s="19" t="str">
        <f t="shared" si="96"/>
        <v/>
      </c>
      <c r="AC327" s="73" t="str">
        <f t="shared" si="97"/>
        <v/>
      </c>
      <c r="AD327" s="19" t="str">
        <f t="shared" si="98"/>
        <v/>
      </c>
      <c r="AE327" s="19" t="str">
        <f t="shared" si="99"/>
        <v/>
      </c>
      <c r="AF327" s="19" t="str">
        <f>IF($D327&lt;&gt;1,"",IF(INDEX(TblClusters[Environnement],$B327)="","(vide)",INDEX(TblClusters[Environnement],$B327)))</f>
        <v/>
      </c>
      <c r="AG327" s="19" t="str">
        <f t="shared" si="100"/>
        <v/>
      </c>
      <c r="AH327" s="19" t="str">
        <f t="shared" si="101"/>
        <v/>
      </c>
      <c r="AI327" s="19" t="str">
        <f>IF($D327&lt;&gt;1,"",IF(AND($G327="IKS",ISNUMBER(INDEX(TblClusters[Fermeture retenue],$B327))),IF($E327&gt;=INDEX(TblClusters[Fermeture retenue],$B327),1,0),0))</f>
        <v/>
      </c>
    </row>
    <row r="328" spans="1:35" x14ac:dyDescent="0.2">
      <c r="A328" s="19">
        <v>323</v>
      </c>
      <c r="B328" s="19">
        <f t="shared" si="85"/>
        <v>9</v>
      </c>
      <c r="C328" s="19">
        <f t="shared" si="86"/>
        <v>35</v>
      </c>
      <c r="D328" s="19">
        <f>IF($C328&gt;p_horizon,0,IFERROR(IF(AND(INDEX(TblClusters[Cluster],$B328)&lt;&gt;"",ISNUMBER(INDEX(TblClusters[CPU initial (vCPU)],$B328)),ISNUMBER(INDEX(TblClusters[CPU min (vCPU)],$B328)),OR(INDEX(TblClusters[Plateforme],$B328)="IKS",INDEX(TblClusters[Plateforme],$B328)="ROKS")),1,0),0))</f>
        <v>0</v>
      </c>
      <c r="E328" s="72" t="str">
        <f t="shared" si="87"/>
        <v/>
      </c>
      <c r="F328" s="19" t="str">
        <f>IF($D328=1,INDEX(TblClusters[Cluster],$B328),"")</f>
        <v/>
      </c>
      <c r="G328" s="19" t="str">
        <f>IF($D328=1,INDEX(TblClusters[Plateforme],$B328),"")</f>
        <v/>
      </c>
      <c r="H328" s="19" t="str">
        <f>IF($D328=1,INDEX(TblClusters[vCPU par nœud],$B328),"")</f>
        <v/>
      </c>
      <c r="I328" s="19" t="str">
        <f>IF($D328=1,INDEX(TblClusters[RAM par nœud (Go)],$B328),"")</f>
        <v/>
      </c>
      <c r="J328" s="19" t="str">
        <f>IF($D328=1,INDEX(TblClusters[Workers min],$B328),"")</f>
        <v/>
      </c>
      <c r="K328" s="73" t="str">
        <f>IF($D328=1,INDEX(TblClusters[Tarif par nœud],$B328),"")</f>
        <v/>
      </c>
      <c r="L328" s="19" t="str">
        <f>IF($D328=1,INDEX(TblClusters[CPU initial (vCPU)],$B328),"")</f>
        <v/>
      </c>
      <c r="M328" s="19" t="str">
        <f>IF($D328=1,INDEX(TblClusters[RAM initiale (Go)],$B328),"")</f>
        <v/>
      </c>
      <c r="N328" s="19" t="str">
        <f>IF($D328=1,INDEX(TblClusters[CPU min (vCPU)],$B328),"")</f>
        <v/>
      </c>
      <c r="O328" s="19" t="str">
        <f>IF($D328=1,INDEX(TblClusters[RAM min (Go)],$B328),"")</f>
        <v/>
      </c>
      <c r="P328" s="19" t="str">
        <f>IF($D328&lt;&gt;1,"",IF($G328="ROKS",SUMIFS(TblApplications[Besoin ROKS CPU (vCPU)],TblApplications[Cluster ROKS cible],$F328,TblApplications[Action],"À migrer",TblApplications[Déjà incluse ROKS],"Non",TblApplications[Mois prov (calc)],"&lt;="&amp;$E328),SUMIFS(TblApplications[CPU IKS libérable (vCPU)],TblApplications[Cluster IKS source],$F328,TblApplications[Mois lib (calc)],"&lt;="&amp;$E328)))</f>
        <v/>
      </c>
      <c r="Q328" s="19" t="str">
        <f>IF($D328&lt;&gt;1,"",IF($G328="ROKS",SUMIFS(TblApplications[Besoin ROKS RAM (Go)],TblApplications[Cluster ROKS cible],$F328,TblApplications[Action],"À migrer",TblApplications[Déjà incluse ROKS],"Non",TblApplications[Mois prov (calc)],"&lt;="&amp;$E328),SUMIFS(TblApplications[RAM IKS libérable (Go)],TblApplications[Cluster IKS source],$F328,TblApplications[Mois lib (calc)],"&lt;="&amp;$E328)))</f>
        <v/>
      </c>
      <c r="R328" s="19" t="str">
        <f t="shared" si="88"/>
        <v/>
      </c>
      <c r="S328" s="19" t="str">
        <f t="shared" si="89"/>
        <v/>
      </c>
      <c r="T328" s="19" t="str">
        <f t="shared" si="90"/>
        <v/>
      </c>
      <c r="U328" s="19" t="str">
        <f t="shared" si="91"/>
        <v/>
      </c>
      <c r="V328" s="19" t="str">
        <f t="shared" si="92"/>
        <v/>
      </c>
      <c r="W328" s="73" t="str">
        <f t="shared" si="93"/>
        <v/>
      </c>
      <c r="X328" s="19" t="str">
        <f>IF($D328&lt;&gt;1,"",IF($G328="ROKS",$R328,IF($AI328=1,0,MAX($N328,$L328-SUMIFS(TblApplications[CPU IKS libérable (vCPU)],TblApplications[Cluster IKS source],$F328,TblApplications[Action],"À migrer",TblApplications[Mois prov (calc)],"&lt;="&amp;$E328)-SUMIFS(TblApplications[CPU IKS libérable (vCPU)],TblApplications[Cluster IKS source],$F328,TblApplications[Action],"À décommissionner",TblApplications[Mois lib (calc)],"&lt;="&amp;$E328)))))</f>
        <v/>
      </c>
      <c r="Y328" s="19" t="str">
        <f>IF($D328&lt;&gt;1,"",IF($G328="ROKS",$S328,IF($AI328=1,0,MAX($O328,$M328-SUMIFS(TblApplications[RAM IKS libérable (Go)],TblApplications[Cluster IKS source],$F328,TblApplications[Action],"À migrer",TblApplications[Mois prov (calc)],"&lt;="&amp;$E328)-SUMIFS(TblApplications[RAM IKS libérable (Go)],TblApplications[Cluster IKS source],$F328,TblApplications[Action],"À décommissionner",TblApplications[Mois lib (calc)],"&lt;="&amp;$E328)))))</f>
        <v/>
      </c>
      <c r="Z328" s="19" t="str">
        <f t="shared" si="94"/>
        <v/>
      </c>
      <c r="AA328" s="73" t="str">
        <f t="shared" si="95"/>
        <v/>
      </c>
      <c r="AB328" s="19" t="str">
        <f t="shared" si="96"/>
        <v/>
      </c>
      <c r="AC328" s="73" t="str">
        <f t="shared" si="97"/>
        <v/>
      </c>
      <c r="AD328" s="19" t="str">
        <f t="shared" si="98"/>
        <v/>
      </c>
      <c r="AE328" s="19" t="str">
        <f t="shared" si="99"/>
        <v/>
      </c>
      <c r="AF328" s="19" t="str">
        <f>IF($D328&lt;&gt;1,"",IF(INDEX(TblClusters[Environnement],$B328)="","(vide)",INDEX(TblClusters[Environnement],$B328)))</f>
        <v/>
      </c>
      <c r="AG328" s="19" t="str">
        <f t="shared" si="100"/>
        <v/>
      </c>
      <c r="AH328" s="19" t="str">
        <f t="shared" si="101"/>
        <v/>
      </c>
      <c r="AI328" s="19" t="str">
        <f>IF($D328&lt;&gt;1,"",IF(AND($G328="IKS",ISNUMBER(INDEX(TblClusters[Fermeture retenue],$B328))),IF($E328&gt;=INDEX(TblClusters[Fermeture retenue],$B328),1,0),0))</f>
        <v/>
      </c>
    </row>
    <row r="329" spans="1:35" x14ac:dyDescent="0.2">
      <c r="A329" s="19">
        <v>324</v>
      </c>
      <c r="B329" s="19">
        <f t="shared" si="85"/>
        <v>9</v>
      </c>
      <c r="C329" s="19">
        <f t="shared" si="86"/>
        <v>36</v>
      </c>
      <c r="D329" s="19">
        <f>IF($C329&gt;p_horizon,0,IFERROR(IF(AND(INDEX(TblClusters[Cluster],$B329)&lt;&gt;"",ISNUMBER(INDEX(TblClusters[CPU initial (vCPU)],$B329)),ISNUMBER(INDEX(TblClusters[CPU min (vCPU)],$B329)),OR(INDEX(TblClusters[Plateforme],$B329)="IKS",INDEX(TblClusters[Plateforme],$B329)="ROKS")),1,0),0))</f>
        <v>0</v>
      </c>
      <c r="E329" s="72" t="str">
        <f t="shared" si="87"/>
        <v/>
      </c>
      <c r="F329" s="19" t="str">
        <f>IF($D329=1,INDEX(TblClusters[Cluster],$B329),"")</f>
        <v/>
      </c>
      <c r="G329" s="19" t="str">
        <f>IF($D329=1,INDEX(TblClusters[Plateforme],$B329),"")</f>
        <v/>
      </c>
      <c r="H329" s="19" t="str">
        <f>IF($D329=1,INDEX(TblClusters[vCPU par nœud],$B329),"")</f>
        <v/>
      </c>
      <c r="I329" s="19" t="str">
        <f>IF($D329=1,INDEX(TblClusters[RAM par nœud (Go)],$B329),"")</f>
        <v/>
      </c>
      <c r="J329" s="19" t="str">
        <f>IF($D329=1,INDEX(TblClusters[Workers min],$B329),"")</f>
        <v/>
      </c>
      <c r="K329" s="73" t="str">
        <f>IF($D329=1,INDEX(TblClusters[Tarif par nœud],$B329),"")</f>
        <v/>
      </c>
      <c r="L329" s="19" t="str">
        <f>IF($D329=1,INDEX(TblClusters[CPU initial (vCPU)],$B329),"")</f>
        <v/>
      </c>
      <c r="M329" s="19" t="str">
        <f>IF($D329=1,INDEX(TblClusters[RAM initiale (Go)],$B329),"")</f>
        <v/>
      </c>
      <c r="N329" s="19" t="str">
        <f>IF($D329=1,INDEX(TblClusters[CPU min (vCPU)],$B329),"")</f>
        <v/>
      </c>
      <c r="O329" s="19" t="str">
        <f>IF($D329=1,INDEX(TblClusters[RAM min (Go)],$B329),"")</f>
        <v/>
      </c>
      <c r="P329" s="19" t="str">
        <f>IF($D329&lt;&gt;1,"",IF($G329="ROKS",SUMIFS(TblApplications[Besoin ROKS CPU (vCPU)],TblApplications[Cluster ROKS cible],$F329,TblApplications[Action],"À migrer",TblApplications[Déjà incluse ROKS],"Non",TblApplications[Mois prov (calc)],"&lt;="&amp;$E329),SUMIFS(TblApplications[CPU IKS libérable (vCPU)],TblApplications[Cluster IKS source],$F329,TblApplications[Mois lib (calc)],"&lt;="&amp;$E329)))</f>
        <v/>
      </c>
      <c r="Q329" s="19" t="str">
        <f>IF($D329&lt;&gt;1,"",IF($G329="ROKS",SUMIFS(TblApplications[Besoin ROKS RAM (Go)],TblApplications[Cluster ROKS cible],$F329,TblApplications[Action],"À migrer",TblApplications[Déjà incluse ROKS],"Non",TblApplications[Mois prov (calc)],"&lt;="&amp;$E329),SUMIFS(TblApplications[RAM IKS libérable (Go)],TblApplications[Cluster IKS source],$F329,TblApplications[Mois lib (calc)],"&lt;="&amp;$E329)))</f>
        <v/>
      </c>
      <c r="R329" s="19" t="str">
        <f t="shared" si="88"/>
        <v/>
      </c>
      <c r="S329" s="19" t="str">
        <f t="shared" si="89"/>
        <v/>
      </c>
      <c r="T329" s="19" t="str">
        <f t="shared" si="90"/>
        <v/>
      </c>
      <c r="U329" s="19" t="str">
        <f t="shared" si="91"/>
        <v/>
      </c>
      <c r="V329" s="19" t="str">
        <f t="shared" si="92"/>
        <v/>
      </c>
      <c r="W329" s="73" t="str">
        <f t="shared" si="93"/>
        <v/>
      </c>
      <c r="X329" s="19" t="str">
        <f>IF($D329&lt;&gt;1,"",IF($G329="ROKS",$R329,IF($AI329=1,0,MAX($N329,$L329-SUMIFS(TblApplications[CPU IKS libérable (vCPU)],TblApplications[Cluster IKS source],$F329,TblApplications[Action],"À migrer",TblApplications[Mois prov (calc)],"&lt;="&amp;$E329)-SUMIFS(TblApplications[CPU IKS libérable (vCPU)],TblApplications[Cluster IKS source],$F329,TblApplications[Action],"À décommissionner",TblApplications[Mois lib (calc)],"&lt;="&amp;$E329)))))</f>
        <v/>
      </c>
      <c r="Y329" s="19" t="str">
        <f>IF($D329&lt;&gt;1,"",IF($G329="ROKS",$S329,IF($AI329=1,0,MAX($O329,$M329-SUMIFS(TblApplications[RAM IKS libérable (Go)],TblApplications[Cluster IKS source],$F329,TblApplications[Action],"À migrer",TblApplications[Mois prov (calc)],"&lt;="&amp;$E329)-SUMIFS(TblApplications[RAM IKS libérable (Go)],TblApplications[Cluster IKS source],$F329,TblApplications[Action],"À décommissionner",TblApplications[Mois lib (calc)],"&lt;="&amp;$E329)))))</f>
        <v/>
      </c>
      <c r="Z329" s="19" t="str">
        <f t="shared" si="94"/>
        <v/>
      </c>
      <c r="AA329" s="73" t="str">
        <f t="shared" si="95"/>
        <v/>
      </c>
      <c r="AB329" s="19" t="str">
        <f t="shared" si="96"/>
        <v/>
      </c>
      <c r="AC329" s="73" t="str">
        <f t="shared" si="97"/>
        <v/>
      </c>
      <c r="AD329" s="19" t="str">
        <f t="shared" si="98"/>
        <v/>
      </c>
      <c r="AE329" s="19" t="str">
        <f t="shared" si="99"/>
        <v/>
      </c>
      <c r="AF329" s="19" t="str">
        <f>IF($D329&lt;&gt;1,"",IF(INDEX(TblClusters[Environnement],$B329)="","(vide)",INDEX(TblClusters[Environnement],$B329)))</f>
        <v/>
      </c>
      <c r="AG329" s="19" t="str">
        <f t="shared" si="100"/>
        <v/>
      </c>
      <c r="AH329" s="19" t="str">
        <f t="shared" si="101"/>
        <v/>
      </c>
      <c r="AI329" s="19" t="str">
        <f>IF($D329&lt;&gt;1,"",IF(AND($G329="IKS",ISNUMBER(INDEX(TblClusters[Fermeture retenue],$B329))),IF($E329&gt;=INDEX(TblClusters[Fermeture retenue],$B329),1,0),0))</f>
        <v/>
      </c>
    </row>
    <row r="330" spans="1:35" x14ac:dyDescent="0.2">
      <c r="A330" s="19">
        <v>325</v>
      </c>
      <c r="B330" s="19">
        <f t="shared" si="85"/>
        <v>10</v>
      </c>
      <c r="C330" s="19">
        <f t="shared" si="86"/>
        <v>1</v>
      </c>
      <c r="D330" s="19">
        <f>IF($C330&gt;p_horizon,0,IFERROR(IF(AND(INDEX(TblClusters[Cluster],$B330)&lt;&gt;"",ISNUMBER(INDEX(TblClusters[CPU initial (vCPU)],$B330)),ISNUMBER(INDEX(TblClusters[CPU min (vCPU)],$B330)),OR(INDEX(TblClusters[Plateforme],$B330)="IKS",INDEX(TblClusters[Plateforme],$B330)="ROKS")),1,0),0))</f>
        <v>1</v>
      </c>
      <c r="E330" s="72">
        <f t="shared" si="87"/>
        <v>46296</v>
      </c>
      <c r="F330" s="19" t="str">
        <f>IF($D330=1,INDEX(TblClusters[Cluster],$B330),"")</f>
        <v>oc002i001019</v>
      </c>
      <c r="G330" s="19" t="str">
        <f>IF($D330=1,INDEX(TblClusters[Plateforme],$B330),"")</f>
        <v>ROKS</v>
      </c>
      <c r="H330" s="19">
        <f>IF($D330=1,INDEX(TblClusters[vCPU par nœud],$B330),"")</f>
        <v>8</v>
      </c>
      <c r="I330" s="19">
        <f>IF($D330=1,INDEX(TblClusters[RAM par nœud (Go)],$B330),"")</f>
        <v>40</v>
      </c>
      <c r="J330" s="19">
        <f>IF($D330=1,INDEX(TblClusters[Workers min],$B330),"")</f>
        <v>6</v>
      </c>
      <c r="K330" s="73">
        <f>IF($D330=1,INDEX(TblClusters[Tarif par nœud],$B330),"")</f>
        <v>368</v>
      </c>
      <c r="L330" s="19">
        <f>IF($D330=1,INDEX(TblClusters[CPU initial (vCPU)],$B330),"")</f>
        <v>48</v>
      </c>
      <c r="M330" s="19">
        <f>IF($D330=1,INDEX(TblClusters[RAM initiale (Go)],$B330),"")</f>
        <v>240</v>
      </c>
      <c r="N330" s="19">
        <f>IF($D330=1,INDEX(TblClusters[CPU min (vCPU)],$B330),"")</f>
        <v>48</v>
      </c>
      <c r="O330" s="19">
        <f>IF($D330=1,INDEX(TblClusters[RAM min (Go)],$B330),"")</f>
        <v>240</v>
      </c>
      <c r="P330" s="19">
        <f>IF($D330&lt;&gt;1,"",IF($G330="ROKS",SUMIFS(TblApplications[Besoin ROKS CPU (vCPU)],TblApplications[Cluster ROKS cible],$F330,TblApplications[Action],"À migrer",TblApplications[Déjà incluse ROKS],"Non",TblApplications[Mois prov (calc)],"&lt;="&amp;$E330),SUMIFS(TblApplications[CPU IKS libérable (vCPU)],TblApplications[Cluster IKS source],$F330,TblApplications[Mois lib (calc)],"&lt;="&amp;$E330)))</f>
        <v>0</v>
      </c>
      <c r="Q330" s="19">
        <f>IF($D330&lt;&gt;1,"",IF($G330="ROKS",SUMIFS(TblApplications[Besoin ROKS RAM (Go)],TblApplications[Cluster ROKS cible],$F330,TblApplications[Action],"À migrer",TblApplications[Déjà incluse ROKS],"Non",TblApplications[Mois prov (calc)],"&lt;="&amp;$E330),SUMIFS(TblApplications[RAM IKS libérable (Go)],TblApplications[Cluster IKS source],$F330,TblApplications[Mois lib (calc)],"&lt;="&amp;$E330)))</f>
        <v>0</v>
      </c>
      <c r="R330" s="19">
        <f t="shared" si="88"/>
        <v>48</v>
      </c>
      <c r="S330" s="19">
        <f t="shared" si="89"/>
        <v>240</v>
      </c>
      <c r="T330" s="19">
        <f t="shared" si="90"/>
        <v>6</v>
      </c>
      <c r="U330" s="19">
        <f t="shared" si="91"/>
        <v>48</v>
      </c>
      <c r="V330" s="19">
        <f t="shared" si="92"/>
        <v>240</v>
      </c>
      <c r="W330" s="73">
        <f t="shared" si="93"/>
        <v>2208</v>
      </c>
      <c r="X330" s="19">
        <f>IF($D330&lt;&gt;1,"",IF($G330="ROKS",$R330,IF($AI330=1,0,MAX($N330,$L330-SUMIFS(TblApplications[CPU IKS libérable (vCPU)],TblApplications[Cluster IKS source],$F330,TblApplications[Action],"À migrer",TblApplications[Mois prov (calc)],"&lt;="&amp;$E330)-SUMIFS(TblApplications[CPU IKS libérable (vCPU)],TblApplications[Cluster IKS source],$F330,TblApplications[Action],"À décommissionner",TblApplications[Mois lib (calc)],"&lt;="&amp;$E330)))))</f>
        <v>48</v>
      </c>
      <c r="Y330" s="19">
        <f>IF($D330&lt;&gt;1,"",IF($G330="ROKS",$S330,IF($AI330=1,0,MAX($O330,$M330-SUMIFS(TblApplications[RAM IKS libérable (Go)],TblApplications[Cluster IKS source],$F330,TblApplications[Action],"À migrer",TblApplications[Mois prov (calc)],"&lt;="&amp;$E330)-SUMIFS(TblApplications[RAM IKS libérable (Go)],TblApplications[Cluster IKS source],$F330,TblApplications[Action],"À décommissionner",TblApplications[Mois lib (calc)],"&lt;="&amp;$E330)))))</f>
        <v>240</v>
      </c>
      <c r="Z330" s="19">
        <f t="shared" si="94"/>
        <v>6</v>
      </c>
      <c r="AA330" s="73">
        <f t="shared" si="95"/>
        <v>2208</v>
      </c>
      <c r="AB330" s="19">
        <f t="shared" si="96"/>
        <v>6</v>
      </c>
      <c r="AC330" s="73">
        <f t="shared" si="97"/>
        <v>2208</v>
      </c>
      <c r="AD330" s="19">
        <f t="shared" si="98"/>
        <v>0</v>
      </c>
      <c r="AE330" s="19">
        <f t="shared" si="99"/>
        <v>0</v>
      </c>
      <c r="AF330" s="19" t="str">
        <f>IF($D330&lt;&gt;1,"",IF(INDEX(TblClusters[Environnement],$B330)="","(vide)",INDEX(TblClusters[Environnement],$B330)))</f>
        <v>PRD</v>
      </c>
      <c r="AG330" s="19">
        <f t="shared" si="100"/>
        <v>72</v>
      </c>
      <c r="AH330" s="19">
        <f t="shared" si="101"/>
        <v>30.666666666666668</v>
      </c>
      <c r="AI330" s="19">
        <f>IF($D330&lt;&gt;1,"",IF(AND($G330="IKS",ISNUMBER(INDEX(TblClusters[Fermeture retenue],$B330))),IF($E330&gt;=INDEX(TblClusters[Fermeture retenue],$B330),1,0),0))</f>
        <v>0</v>
      </c>
    </row>
    <row r="331" spans="1:35" x14ac:dyDescent="0.2">
      <c r="A331" s="19">
        <v>326</v>
      </c>
      <c r="B331" s="19">
        <f t="shared" si="85"/>
        <v>10</v>
      </c>
      <c r="C331" s="19">
        <f t="shared" si="86"/>
        <v>2</v>
      </c>
      <c r="D331" s="19">
        <f>IF($C331&gt;p_horizon,0,IFERROR(IF(AND(INDEX(TblClusters[Cluster],$B331)&lt;&gt;"",ISNUMBER(INDEX(TblClusters[CPU initial (vCPU)],$B331)),ISNUMBER(INDEX(TblClusters[CPU min (vCPU)],$B331)),OR(INDEX(TblClusters[Plateforme],$B331)="IKS",INDEX(TblClusters[Plateforme],$B331)="ROKS")),1,0),0))</f>
        <v>1</v>
      </c>
      <c r="E331" s="72">
        <f t="shared" si="87"/>
        <v>46327</v>
      </c>
      <c r="F331" s="19" t="str">
        <f>IF($D331=1,INDEX(TblClusters[Cluster],$B331),"")</f>
        <v>oc002i001019</v>
      </c>
      <c r="G331" s="19" t="str">
        <f>IF($D331=1,INDEX(TblClusters[Plateforme],$B331),"")</f>
        <v>ROKS</v>
      </c>
      <c r="H331" s="19">
        <f>IF($D331=1,INDEX(TblClusters[vCPU par nœud],$B331),"")</f>
        <v>8</v>
      </c>
      <c r="I331" s="19">
        <f>IF($D331=1,INDEX(TblClusters[RAM par nœud (Go)],$B331),"")</f>
        <v>40</v>
      </c>
      <c r="J331" s="19">
        <f>IF($D331=1,INDEX(TblClusters[Workers min],$B331),"")</f>
        <v>6</v>
      </c>
      <c r="K331" s="73">
        <f>IF($D331=1,INDEX(TblClusters[Tarif par nœud],$B331),"")</f>
        <v>368</v>
      </c>
      <c r="L331" s="19">
        <f>IF($D331=1,INDEX(TblClusters[CPU initial (vCPU)],$B331),"")</f>
        <v>48</v>
      </c>
      <c r="M331" s="19">
        <f>IF($D331=1,INDEX(TblClusters[RAM initiale (Go)],$B331),"")</f>
        <v>240</v>
      </c>
      <c r="N331" s="19">
        <f>IF($D331=1,INDEX(TblClusters[CPU min (vCPU)],$B331),"")</f>
        <v>48</v>
      </c>
      <c r="O331" s="19">
        <f>IF($D331=1,INDEX(TblClusters[RAM min (Go)],$B331),"")</f>
        <v>240</v>
      </c>
      <c r="P331" s="19">
        <f>IF($D331&lt;&gt;1,"",IF($G331="ROKS",SUMIFS(TblApplications[Besoin ROKS CPU (vCPU)],TblApplications[Cluster ROKS cible],$F331,TblApplications[Action],"À migrer",TblApplications[Déjà incluse ROKS],"Non",TblApplications[Mois prov (calc)],"&lt;="&amp;$E331),SUMIFS(TblApplications[CPU IKS libérable (vCPU)],TblApplications[Cluster IKS source],$F331,TblApplications[Mois lib (calc)],"&lt;="&amp;$E331)))</f>
        <v>0</v>
      </c>
      <c r="Q331" s="19">
        <f>IF($D331&lt;&gt;1,"",IF($G331="ROKS",SUMIFS(TblApplications[Besoin ROKS RAM (Go)],TblApplications[Cluster ROKS cible],$F331,TblApplications[Action],"À migrer",TblApplications[Déjà incluse ROKS],"Non",TblApplications[Mois prov (calc)],"&lt;="&amp;$E331),SUMIFS(TblApplications[RAM IKS libérable (Go)],TblApplications[Cluster IKS source],$F331,TblApplications[Mois lib (calc)],"&lt;="&amp;$E331)))</f>
        <v>0</v>
      </c>
      <c r="R331" s="19">
        <f t="shared" si="88"/>
        <v>48</v>
      </c>
      <c r="S331" s="19">
        <f t="shared" si="89"/>
        <v>240</v>
      </c>
      <c r="T331" s="19">
        <f t="shared" si="90"/>
        <v>6</v>
      </c>
      <c r="U331" s="19">
        <f t="shared" si="91"/>
        <v>48</v>
      </c>
      <c r="V331" s="19">
        <f t="shared" si="92"/>
        <v>240</v>
      </c>
      <c r="W331" s="73">
        <f t="shared" si="93"/>
        <v>2208</v>
      </c>
      <c r="X331" s="19">
        <f>IF($D331&lt;&gt;1,"",IF($G331="ROKS",$R331,IF($AI331=1,0,MAX($N331,$L331-SUMIFS(TblApplications[CPU IKS libérable (vCPU)],TblApplications[Cluster IKS source],$F331,TblApplications[Action],"À migrer",TblApplications[Mois prov (calc)],"&lt;="&amp;$E331)-SUMIFS(TblApplications[CPU IKS libérable (vCPU)],TblApplications[Cluster IKS source],$F331,TblApplications[Action],"À décommissionner",TblApplications[Mois lib (calc)],"&lt;="&amp;$E331)))))</f>
        <v>48</v>
      </c>
      <c r="Y331" s="19">
        <f>IF($D331&lt;&gt;1,"",IF($G331="ROKS",$S331,IF($AI331=1,0,MAX($O331,$M331-SUMIFS(TblApplications[RAM IKS libérable (Go)],TblApplications[Cluster IKS source],$F331,TblApplications[Action],"À migrer",TblApplications[Mois prov (calc)],"&lt;="&amp;$E331)-SUMIFS(TblApplications[RAM IKS libérable (Go)],TblApplications[Cluster IKS source],$F331,TblApplications[Action],"À décommissionner",TblApplications[Mois lib (calc)],"&lt;="&amp;$E331)))))</f>
        <v>240</v>
      </c>
      <c r="Z331" s="19">
        <f t="shared" si="94"/>
        <v>6</v>
      </c>
      <c r="AA331" s="73">
        <f t="shared" si="95"/>
        <v>2208</v>
      </c>
      <c r="AB331" s="19">
        <f t="shared" si="96"/>
        <v>6</v>
      </c>
      <c r="AC331" s="73">
        <f t="shared" si="97"/>
        <v>2208</v>
      </c>
      <c r="AD331" s="19">
        <f t="shared" si="98"/>
        <v>0</v>
      </c>
      <c r="AE331" s="19">
        <f t="shared" si="99"/>
        <v>0</v>
      </c>
      <c r="AF331" s="19" t="str">
        <f>IF($D331&lt;&gt;1,"",IF(INDEX(TblClusters[Environnement],$B331)="","(vide)",INDEX(TblClusters[Environnement],$B331)))</f>
        <v>PRD</v>
      </c>
      <c r="AG331" s="19">
        <f t="shared" si="100"/>
        <v>72</v>
      </c>
      <c r="AH331" s="19">
        <f t="shared" si="101"/>
        <v>30.666666666666668</v>
      </c>
      <c r="AI331" s="19">
        <f>IF($D331&lt;&gt;1,"",IF(AND($G331="IKS",ISNUMBER(INDEX(TblClusters[Fermeture retenue],$B331))),IF($E331&gt;=INDEX(TblClusters[Fermeture retenue],$B331),1,0),0))</f>
        <v>0</v>
      </c>
    </row>
    <row r="332" spans="1:35" x14ac:dyDescent="0.2">
      <c r="A332" s="19">
        <v>327</v>
      </c>
      <c r="B332" s="19">
        <f t="shared" si="85"/>
        <v>10</v>
      </c>
      <c r="C332" s="19">
        <f t="shared" si="86"/>
        <v>3</v>
      </c>
      <c r="D332" s="19">
        <f>IF($C332&gt;p_horizon,0,IFERROR(IF(AND(INDEX(TblClusters[Cluster],$B332)&lt;&gt;"",ISNUMBER(INDEX(TblClusters[CPU initial (vCPU)],$B332)),ISNUMBER(INDEX(TblClusters[CPU min (vCPU)],$B332)),OR(INDEX(TblClusters[Plateforme],$B332)="IKS",INDEX(TblClusters[Plateforme],$B332)="ROKS")),1,0),0))</f>
        <v>1</v>
      </c>
      <c r="E332" s="72">
        <f t="shared" si="87"/>
        <v>46357</v>
      </c>
      <c r="F332" s="19" t="str">
        <f>IF($D332=1,INDEX(TblClusters[Cluster],$B332),"")</f>
        <v>oc002i001019</v>
      </c>
      <c r="G332" s="19" t="str">
        <f>IF($D332=1,INDEX(TblClusters[Plateforme],$B332),"")</f>
        <v>ROKS</v>
      </c>
      <c r="H332" s="19">
        <f>IF($D332=1,INDEX(TblClusters[vCPU par nœud],$B332),"")</f>
        <v>8</v>
      </c>
      <c r="I332" s="19">
        <f>IF($D332=1,INDEX(TblClusters[RAM par nœud (Go)],$B332),"")</f>
        <v>40</v>
      </c>
      <c r="J332" s="19">
        <f>IF($D332=1,INDEX(TblClusters[Workers min],$B332),"")</f>
        <v>6</v>
      </c>
      <c r="K332" s="73">
        <f>IF($D332=1,INDEX(TblClusters[Tarif par nœud],$B332),"")</f>
        <v>368</v>
      </c>
      <c r="L332" s="19">
        <f>IF($D332=1,INDEX(TblClusters[CPU initial (vCPU)],$B332),"")</f>
        <v>48</v>
      </c>
      <c r="M332" s="19">
        <f>IF($D332=1,INDEX(TblClusters[RAM initiale (Go)],$B332),"")</f>
        <v>240</v>
      </c>
      <c r="N332" s="19">
        <f>IF($D332=1,INDEX(TblClusters[CPU min (vCPU)],$B332),"")</f>
        <v>48</v>
      </c>
      <c r="O332" s="19">
        <f>IF($D332=1,INDEX(TblClusters[RAM min (Go)],$B332),"")</f>
        <v>240</v>
      </c>
      <c r="P332" s="19">
        <f>IF($D332&lt;&gt;1,"",IF($G332="ROKS",SUMIFS(TblApplications[Besoin ROKS CPU (vCPU)],TblApplications[Cluster ROKS cible],$F332,TblApplications[Action],"À migrer",TblApplications[Déjà incluse ROKS],"Non",TblApplications[Mois prov (calc)],"&lt;="&amp;$E332),SUMIFS(TblApplications[CPU IKS libérable (vCPU)],TblApplications[Cluster IKS source],$F332,TblApplications[Mois lib (calc)],"&lt;="&amp;$E332)))</f>
        <v>0</v>
      </c>
      <c r="Q332" s="19">
        <f>IF($D332&lt;&gt;1,"",IF($G332="ROKS",SUMIFS(TblApplications[Besoin ROKS RAM (Go)],TblApplications[Cluster ROKS cible],$F332,TblApplications[Action],"À migrer",TblApplications[Déjà incluse ROKS],"Non",TblApplications[Mois prov (calc)],"&lt;="&amp;$E332),SUMIFS(TblApplications[RAM IKS libérable (Go)],TblApplications[Cluster IKS source],$F332,TblApplications[Mois lib (calc)],"&lt;="&amp;$E332)))</f>
        <v>0</v>
      </c>
      <c r="R332" s="19">
        <f t="shared" si="88"/>
        <v>48</v>
      </c>
      <c r="S332" s="19">
        <f t="shared" si="89"/>
        <v>240</v>
      </c>
      <c r="T332" s="19">
        <f t="shared" si="90"/>
        <v>6</v>
      </c>
      <c r="U332" s="19">
        <f t="shared" si="91"/>
        <v>48</v>
      </c>
      <c r="V332" s="19">
        <f t="shared" si="92"/>
        <v>240</v>
      </c>
      <c r="W332" s="73">
        <f t="shared" si="93"/>
        <v>2208</v>
      </c>
      <c r="X332" s="19">
        <f>IF($D332&lt;&gt;1,"",IF($G332="ROKS",$R332,IF($AI332=1,0,MAX($N332,$L332-SUMIFS(TblApplications[CPU IKS libérable (vCPU)],TblApplications[Cluster IKS source],$F332,TblApplications[Action],"À migrer",TblApplications[Mois prov (calc)],"&lt;="&amp;$E332)-SUMIFS(TblApplications[CPU IKS libérable (vCPU)],TblApplications[Cluster IKS source],$F332,TblApplications[Action],"À décommissionner",TblApplications[Mois lib (calc)],"&lt;="&amp;$E332)))))</f>
        <v>48</v>
      </c>
      <c r="Y332" s="19">
        <f>IF($D332&lt;&gt;1,"",IF($G332="ROKS",$S332,IF($AI332=1,0,MAX($O332,$M332-SUMIFS(TblApplications[RAM IKS libérable (Go)],TblApplications[Cluster IKS source],$F332,TblApplications[Action],"À migrer",TblApplications[Mois prov (calc)],"&lt;="&amp;$E332)-SUMIFS(TblApplications[RAM IKS libérable (Go)],TblApplications[Cluster IKS source],$F332,TblApplications[Action],"À décommissionner",TblApplications[Mois lib (calc)],"&lt;="&amp;$E332)))))</f>
        <v>240</v>
      </c>
      <c r="Z332" s="19">
        <f t="shared" si="94"/>
        <v>6</v>
      </c>
      <c r="AA332" s="73">
        <f t="shared" si="95"/>
        <v>2208</v>
      </c>
      <c r="AB332" s="19">
        <f t="shared" si="96"/>
        <v>6</v>
      </c>
      <c r="AC332" s="73">
        <f t="shared" si="97"/>
        <v>2208</v>
      </c>
      <c r="AD332" s="19">
        <f t="shared" si="98"/>
        <v>0</v>
      </c>
      <c r="AE332" s="19">
        <f t="shared" si="99"/>
        <v>0</v>
      </c>
      <c r="AF332" s="19" t="str">
        <f>IF($D332&lt;&gt;1,"",IF(INDEX(TblClusters[Environnement],$B332)="","(vide)",INDEX(TblClusters[Environnement],$B332)))</f>
        <v>PRD</v>
      </c>
      <c r="AG332" s="19">
        <f t="shared" si="100"/>
        <v>72</v>
      </c>
      <c r="AH332" s="19">
        <f t="shared" si="101"/>
        <v>30.666666666666668</v>
      </c>
      <c r="AI332" s="19">
        <f>IF($D332&lt;&gt;1,"",IF(AND($G332="IKS",ISNUMBER(INDEX(TblClusters[Fermeture retenue],$B332))),IF($E332&gt;=INDEX(TblClusters[Fermeture retenue],$B332),1,0),0))</f>
        <v>0</v>
      </c>
    </row>
    <row r="333" spans="1:35" x14ac:dyDescent="0.2">
      <c r="A333" s="19">
        <v>328</v>
      </c>
      <c r="B333" s="19">
        <f t="shared" si="85"/>
        <v>10</v>
      </c>
      <c r="C333" s="19">
        <f t="shared" si="86"/>
        <v>4</v>
      </c>
      <c r="D333" s="19">
        <f>IF($C333&gt;p_horizon,0,IFERROR(IF(AND(INDEX(TblClusters[Cluster],$B333)&lt;&gt;"",ISNUMBER(INDEX(TblClusters[CPU initial (vCPU)],$B333)),ISNUMBER(INDEX(TblClusters[CPU min (vCPU)],$B333)),OR(INDEX(TblClusters[Plateforme],$B333)="IKS",INDEX(TblClusters[Plateforme],$B333)="ROKS")),1,0),0))</f>
        <v>1</v>
      </c>
      <c r="E333" s="72">
        <f t="shared" si="87"/>
        <v>46388</v>
      </c>
      <c r="F333" s="19" t="str">
        <f>IF($D333=1,INDEX(TblClusters[Cluster],$B333),"")</f>
        <v>oc002i001019</v>
      </c>
      <c r="G333" s="19" t="str">
        <f>IF($D333=1,INDEX(TblClusters[Plateforme],$B333),"")</f>
        <v>ROKS</v>
      </c>
      <c r="H333" s="19">
        <f>IF($D333=1,INDEX(TblClusters[vCPU par nœud],$B333),"")</f>
        <v>8</v>
      </c>
      <c r="I333" s="19">
        <f>IF($D333=1,INDEX(TblClusters[RAM par nœud (Go)],$B333),"")</f>
        <v>40</v>
      </c>
      <c r="J333" s="19">
        <f>IF($D333=1,INDEX(TblClusters[Workers min],$B333),"")</f>
        <v>6</v>
      </c>
      <c r="K333" s="73">
        <f>IF($D333=1,INDEX(TblClusters[Tarif par nœud],$B333),"")</f>
        <v>368</v>
      </c>
      <c r="L333" s="19">
        <f>IF($D333=1,INDEX(TblClusters[CPU initial (vCPU)],$B333),"")</f>
        <v>48</v>
      </c>
      <c r="M333" s="19">
        <f>IF($D333=1,INDEX(TblClusters[RAM initiale (Go)],$B333),"")</f>
        <v>240</v>
      </c>
      <c r="N333" s="19">
        <f>IF($D333=1,INDEX(TblClusters[CPU min (vCPU)],$B333),"")</f>
        <v>48</v>
      </c>
      <c r="O333" s="19">
        <f>IF($D333=1,INDEX(TblClusters[RAM min (Go)],$B333),"")</f>
        <v>240</v>
      </c>
      <c r="P333" s="19">
        <f>IF($D333&lt;&gt;1,"",IF($G333="ROKS",SUMIFS(TblApplications[Besoin ROKS CPU (vCPU)],TblApplications[Cluster ROKS cible],$F333,TblApplications[Action],"À migrer",TblApplications[Déjà incluse ROKS],"Non",TblApplications[Mois prov (calc)],"&lt;="&amp;$E333),SUMIFS(TblApplications[CPU IKS libérable (vCPU)],TblApplications[Cluster IKS source],$F333,TblApplications[Mois lib (calc)],"&lt;="&amp;$E333)))</f>
        <v>0</v>
      </c>
      <c r="Q333" s="19">
        <f>IF($D333&lt;&gt;1,"",IF($G333="ROKS",SUMIFS(TblApplications[Besoin ROKS RAM (Go)],TblApplications[Cluster ROKS cible],$F333,TblApplications[Action],"À migrer",TblApplications[Déjà incluse ROKS],"Non",TblApplications[Mois prov (calc)],"&lt;="&amp;$E333),SUMIFS(TblApplications[RAM IKS libérable (Go)],TblApplications[Cluster IKS source],$F333,TblApplications[Mois lib (calc)],"&lt;="&amp;$E333)))</f>
        <v>0</v>
      </c>
      <c r="R333" s="19">
        <f t="shared" si="88"/>
        <v>48</v>
      </c>
      <c r="S333" s="19">
        <f t="shared" si="89"/>
        <v>240</v>
      </c>
      <c r="T333" s="19">
        <f t="shared" si="90"/>
        <v>6</v>
      </c>
      <c r="U333" s="19">
        <f t="shared" si="91"/>
        <v>48</v>
      </c>
      <c r="V333" s="19">
        <f t="shared" si="92"/>
        <v>240</v>
      </c>
      <c r="W333" s="73">
        <f t="shared" si="93"/>
        <v>2208</v>
      </c>
      <c r="X333" s="19">
        <f>IF($D333&lt;&gt;1,"",IF($G333="ROKS",$R333,IF($AI333=1,0,MAX($N333,$L333-SUMIFS(TblApplications[CPU IKS libérable (vCPU)],TblApplications[Cluster IKS source],$F333,TblApplications[Action],"À migrer",TblApplications[Mois prov (calc)],"&lt;="&amp;$E333)-SUMIFS(TblApplications[CPU IKS libérable (vCPU)],TblApplications[Cluster IKS source],$F333,TblApplications[Action],"À décommissionner",TblApplications[Mois lib (calc)],"&lt;="&amp;$E333)))))</f>
        <v>48</v>
      </c>
      <c r="Y333" s="19">
        <f>IF($D333&lt;&gt;1,"",IF($G333="ROKS",$S333,IF($AI333=1,0,MAX($O333,$M333-SUMIFS(TblApplications[RAM IKS libérable (Go)],TblApplications[Cluster IKS source],$F333,TblApplications[Action],"À migrer",TblApplications[Mois prov (calc)],"&lt;="&amp;$E333)-SUMIFS(TblApplications[RAM IKS libérable (Go)],TblApplications[Cluster IKS source],$F333,TblApplications[Action],"À décommissionner",TblApplications[Mois lib (calc)],"&lt;="&amp;$E333)))))</f>
        <v>240</v>
      </c>
      <c r="Z333" s="19">
        <f t="shared" si="94"/>
        <v>6</v>
      </c>
      <c r="AA333" s="73">
        <f t="shared" si="95"/>
        <v>2208</v>
      </c>
      <c r="AB333" s="19">
        <f t="shared" si="96"/>
        <v>6</v>
      </c>
      <c r="AC333" s="73">
        <f t="shared" si="97"/>
        <v>2208</v>
      </c>
      <c r="AD333" s="19">
        <f t="shared" si="98"/>
        <v>0</v>
      </c>
      <c r="AE333" s="19">
        <f t="shared" si="99"/>
        <v>0</v>
      </c>
      <c r="AF333" s="19" t="str">
        <f>IF($D333&lt;&gt;1,"",IF(INDEX(TblClusters[Environnement],$B333)="","(vide)",INDEX(TblClusters[Environnement],$B333)))</f>
        <v>PRD</v>
      </c>
      <c r="AG333" s="19">
        <f t="shared" si="100"/>
        <v>72</v>
      </c>
      <c r="AH333" s="19">
        <f t="shared" si="101"/>
        <v>30.666666666666668</v>
      </c>
      <c r="AI333" s="19">
        <f>IF($D333&lt;&gt;1,"",IF(AND($G333="IKS",ISNUMBER(INDEX(TblClusters[Fermeture retenue],$B333))),IF($E333&gt;=INDEX(TblClusters[Fermeture retenue],$B333),1,0),0))</f>
        <v>0</v>
      </c>
    </row>
    <row r="334" spans="1:35" x14ac:dyDescent="0.2">
      <c r="A334" s="19">
        <v>329</v>
      </c>
      <c r="B334" s="19">
        <f t="shared" si="85"/>
        <v>10</v>
      </c>
      <c r="C334" s="19">
        <f t="shared" si="86"/>
        <v>5</v>
      </c>
      <c r="D334" s="19">
        <f>IF($C334&gt;p_horizon,0,IFERROR(IF(AND(INDEX(TblClusters[Cluster],$B334)&lt;&gt;"",ISNUMBER(INDEX(TblClusters[CPU initial (vCPU)],$B334)),ISNUMBER(INDEX(TblClusters[CPU min (vCPU)],$B334)),OR(INDEX(TblClusters[Plateforme],$B334)="IKS",INDEX(TblClusters[Plateforme],$B334)="ROKS")),1,0),0))</f>
        <v>1</v>
      </c>
      <c r="E334" s="72">
        <f t="shared" si="87"/>
        <v>46419</v>
      </c>
      <c r="F334" s="19" t="str">
        <f>IF($D334=1,INDEX(TblClusters[Cluster],$B334),"")</f>
        <v>oc002i001019</v>
      </c>
      <c r="G334" s="19" t="str">
        <f>IF($D334=1,INDEX(TblClusters[Plateforme],$B334),"")</f>
        <v>ROKS</v>
      </c>
      <c r="H334" s="19">
        <f>IF($D334=1,INDEX(TblClusters[vCPU par nœud],$B334),"")</f>
        <v>8</v>
      </c>
      <c r="I334" s="19">
        <f>IF($D334=1,INDEX(TblClusters[RAM par nœud (Go)],$B334),"")</f>
        <v>40</v>
      </c>
      <c r="J334" s="19">
        <f>IF($D334=1,INDEX(TblClusters[Workers min],$B334),"")</f>
        <v>6</v>
      </c>
      <c r="K334" s="73">
        <f>IF($D334=1,INDEX(TblClusters[Tarif par nœud],$B334),"")</f>
        <v>368</v>
      </c>
      <c r="L334" s="19">
        <f>IF($D334=1,INDEX(TblClusters[CPU initial (vCPU)],$B334),"")</f>
        <v>48</v>
      </c>
      <c r="M334" s="19">
        <f>IF($D334=1,INDEX(TblClusters[RAM initiale (Go)],$B334),"")</f>
        <v>240</v>
      </c>
      <c r="N334" s="19">
        <f>IF($D334=1,INDEX(TblClusters[CPU min (vCPU)],$B334),"")</f>
        <v>48</v>
      </c>
      <c r="O334" s="19">
        <f>IF($D334=1,INDEX(TblClusters[RAM min (Go)],$B334),"")</f>
        <v>240</v>
      </c>
      <c r="P334" s="19">
        <f>IF($D334&lt;&gt;1,"",IF($G334="ROKS",SUMIFS(TblApplications[Besoin ROKS CPU (vCPU)],TblApplications[Cluster ROKS cible],$F334,TblApplications[Action],"À migrer",TblApplications[Déjà incluse ROKS],"Non",TblApplications[Mois prov (calc)],"&lt;="&amp;$E334),SUMIFS(TblApplications[CPU IKS libérable (vCPU)],TblApplications[Cluster IKS source],$F334,TblApplications[Mois lib (calc)],"&lt;="&amp;$E334)))</f>
        <v>0</v>
      </c>
      <c r="Q334" s="19">
        <f>IF($D334&lt;&gt;1,"",IF($G334="ROKS",SUMIFS(TblApplications[Besoin ROKS RAM (Go)],TblApplications[Cluster ROKS cible],$F334,TblApplications[Action],"À migrer",TblApplications[Déjà incluse ROKS],"Non",TblApplications[Mois prov (calc)],"&lt;="&amp;$E334),SUMIFS(TblApplications[RAM IKS libérable (Go)],TblApplications[Cluster IKS source],$F334,TblApplications[Mois lib (calc)],"&lt;="&amp;$E334)))</f>
        <v>0</v>
      </c>
      <c r="R334" s="19">
        <f t="shared" si="88"/>
        <v>48</v>
      </c>
      <c r="S334" s="19">
        <f t="shared" si="89"/>
        <v>240</v>
      </c>
      <c r="T334" s="19">
        <f t="shared" si="90"/>
        <v>6</v>
      </c>
      <c r="U334" s="19">
        <f t="shared" si="91"/>
        <v>48</v>
      </c>
      <c r="V334" s="19">
        <f t="shared" si="92"/>
        <v>240</v>
      </c>
      <c r="W334" s="73">
        <f t="shared" si="93"/>
        <v>2208</v>
      </c>
      <c r="X334" s="19">
        <f>IF($D334&lt;&gt;1,"",IF($G334="ROKS",$R334,IF($AI334=1,0,MAX($N334,$L334-SUMIFS(TblApplications[CPU IKS libérable (vCPU)],TblApplications[Cluster IKS source],$F334,TblApplications[Action],"À migrer",TblApplications[Mois prov (calc)],"&lt;="&amp;$E334)-SUMIFS(TblApplications[CPU IKS libérable (vCPU)],TblApplications[Cluster IKS source],$F334,TblApplications[Action],"À décommissionner",TblApplications[Mois lib (calc)],"&lt;="&amp;$E334)))))</f>
        <v>48</v>
      </c>
      <c r="Y334" s="19">
        <f>IF($D334&lt;&gt;1,"",IF($G334="ROKS",$S334,IF($AI334=1,0,MAX($O334,$M334-SUMIFS(TblApplications[RAM IKS libérable (Go)],TblApplications[Cluster IKS source],$F334,TblApplications[Action],"À migrer",TblApplications[Mois prov (calc)],"&lt;="&amp;$E334)-SUMIFS(TblApplications[RAM IKS libérable (Go)],TblApplications[Cluster IKS source],$F334,TblApplications[Action],"À décommissionner",TblApplications[Mois lib (calc)],"&lt;="&amp;$E334)))))</f>
        <v>240</v>
      </c>
      <c r="Z334" s="19">
        <f t="shared" si="94"/>
        <v>6</v>
      </c>
      <c r="AA334" s="73">
        <f t="shared" si="95"/>
        <v>2208</v>
      </c>
      <c r="AB334" s="19">
        <f t="shared" si="96"/>
        <v>6</v>
      </c>
      <c r="AC334" s="73">
        <f t="shared" si="97"/>
        <v>2208</v>
      </c>
      <c r="AD334" s="19">
        <f t="shared" si="98"/>
        <v>0</v>
      </c>
      <c r="AE334" s="19">
        <f t="shared" si="99"/>
        <v>0</v>
      </c>
      <c r="AF334" s="19" t="str">
        <f>IF($D334&lt;&gt;1,"",IF(INDEX(TblClusters[Environnement],$B334)="","(vide)",INDEX(TblClusters[Environnement],$B334)))</f>
        <v>PRD</v>
      </c>
      <c r="AG334" s="19">
        <f t="shared" si="100"/>
        <v>72</v>
      </c>
      <c r="AH334" s="19">
        <f t="shared" si="101"/>
        <v>30.666666666666668</v>
      </c>
      <c r="AI334" s="19">
        <f>IF($D334&lt;&gt;1,"",IF(AND($G334="IKS",ISNUMBER(INDEX(TblClusters[Fermeture retenue],$B334))),IF($E334&gt;=INDEX(TblClusters[Fermeture retenue],$B334),1,0),0))</f>
        <v>0</v>
      </c>
    </row>
    <row r="335" spans="1:35" x14ac:dyDescent="0.2">
      <c r="A335" s="19">
        <v>330</v>
      </c>
      <c r="B335" s="19">
        <f t="shared" si="85"/>
        <v>10</v>
      </c>
      <c r="C335" s="19">
        <f t="shared" si="86"/>
        <v>6</v>
      </c>
      <c r="D335" s="19">
        <f>IF($C335&gt;p_horizon,0,IFERROR(IF(AND(INDEX(TblClusters[Cluster],$B335)&lt;&gt;"",ISNUMBER(INDEX(TblClusters[CPU initial (vCPU)],$B335)),ISNUMBER(INDEX(TblClusters[CPU min (vCPU)],$B335)),OR(INDEX(TblClusters[Plateforme],$B335)="IKS",INDEX(TblClusters[Plateforme],$B335)="ROKS")),1,0),0))</f>
        <v>1</v>
      </c>
      <c r="E335" s="72">
        <f t="shared" si="87"/>
        <v>46447</v>
      </c>
      <c r="F335" s="19" t="str">
        <f>IF($D335=1,INDEX(TblClusters[Cluster],$B335),"")</f>
        <v>oc002i001019</v>
      </c>
      <c r="G335" s="19" t="str">
        <f>IF($D335=1,INDEX(TblClusters[Plateforme],$B335),"")</f>
        <v>ROKS</v>
      </c>
      <c r="H335" s="19">
        <f>IF($D335=1,INDEX(TblClusters[vCPU par nœud],$B335),"")</f>
        <v>8</v>
      </c>
      <c r="I335" s="19">
        <f>IF($D335=1,INDEX(TblClusters[RAM par nœud (Go)],$B335),"")</f>
        <v>40</v>
      </c>
      <c r="J335" s="19">
        <f>IF($D335=1,INDEX(TblClusters[Workers min],$B335),"")</f>
        <v>6</v>
      </c>
      <c r="K335" s="73">
        <f>IF($D335=1,INDEX(TblClusters[Tarif par nœud],$B335),"")</f>
        <v>368</v>
      </c>
      <c r="L335" s="19">
        <f>IF($D335=1,INDEX(TblClusters[CPU initial (vCPU)],$B335),"")</f>
        <v>48</v>
      </c>
      <c r="M335" s="19">
        <f>IF($D335=1,INDEX(TblClusters[RAM initiale (Go)],$B335),"")</f>
        <v>240</v>
      </c>
      <c r="N335" s="19">
        <f>IF($D335=1,INDEX(TblClusters[CPU min (vCPU)],$B335),"")</f>
        <v>48</v>
      </c>
      <c r="O335" s="19">
        <f>IF($D335=1,INDEX(TblClusters[RAM min (Go)],$B335),"")</f>
        <v>240</v>
      </c>
      <c r="P335" s="19">
        <f>IF($D335&lt;&gt;1,"",IF($G335="ROKS",SUMIFS(TblApplications[Besoin ROKS CPU (vCPU)],TblApplications[Cluster ROKS cible],$F335,TblApplications[Action],"À migrer",TblApplications[Déjà incluse ROKS],"Non",TblApplications[Mois prov (calc)],"&lt;="&amp;$E335),SUMIFS(TblApplications[CPU IKS libérable (vCPU)],TblApplications[Cluster IKS source],$F335,TblApplications[Mois lib (calc)],"&lt;="&amp;$E335)))</f>
        <v>0</v>
      </c>
      <c r="Q335" s="19">
        <f>IF($D335&lt;&gt;1,"",IF($G335="ROKS",SUMIFS(TblApplications[Besoin ROKS RAM (Go)],TblApplications[Cluster ROKS cible],$F335,TblApplications[Action],"À migrer",TblApplications[Déjà incluse ROKS],"Non",TblApplications[Mois prov (calc)],"&lt;="&amp;$E335),SUMIFS(TblApplications[RAM IKS libérable (Go)],TblApplications[Cluster IKS source],$F335,TblApplications[Mois lib (calc)],"&lt;="&amp;$E335)))</f>
        <v>0</v>
      </c>
      <c r="R335" s="19">
        <f t="shared" si="88"/>
        <v>48</v>
      </c>
      <c r="S335" s="19">
        <f t="shared" si="89"/>
        <v>240</v>
      </c>
      <c r="T335" s="19">
        <f t="shared" si="90"/>
        <v>6</v>
      </c>
      <c r="U335" s="19">
        <f t="shared" si="91"/>
        <v>48</v>
      </c>
      <c r="V335" s="19">
        <f t="shared" si="92"/>
        <v>240</v>
      </c>
      <c r="W335" s="73">
        <f t="shared" si="93"/>
        <v>2208</v>
      </c>
      <c r="X335" s="19">
        <f>IF($D335&lt;&gt;1,"",IF($G335="ROKS",$R335,IF($AI335=1,0,MAX($N335,$L335-SUMIFS(TblApplications[CPU IKS libérable (vCPU)],TblApplications[Cluster IKS source],$F335,TblApplications[Action],"À migrer",TblApplications[Mois prov (calc)],"&lt;="&amp;$E335)-SUMIFS(TblApplications[CPU IKS libérable (vCPU)],TblApplications[Cluster IKS source],$F335,TblApplications[Action],"À décommissionner",TblApplications[Mois lib (calc)],"&lt;="&amp;$E335)))))</f>
        <v>48</v>
      </c>
      <c r="Y335" s="19">
        <f>IF($D335&lt;&gt;1,"",IF($G335="ROKS",$S335,IF($AI335=1,0,MAX($O335,$M335-SUMIFS(TblApplications[RAM IKS libérable (Go)],TblApplications[Cluster IKS source],$F335,TblApplications[Action],"À migrer",TblApplications[Mois prov (calc)],"&lt;="&amp;$E335)-SUMIFS(TblApplications[RAM IKS libérable (Go)],TblApplications[Cluster IKS source],$F335,TblApplications[Action],"À décommissionner",TblApplications[Mois lib (calc)],"&lt;="&amp;$E335)))))</f>
        <v>240</v>
      </c>
      <c r="Z335" s="19">
        <f t="shared" si="94"/>
        <v>6</v>
      </c>
      <c r="AA335" s="73">
        <f t="shared" si="95"/>
        <v>2208</v>
      </c>
      <c r="AB335" s="19">
        <f t="shared" si="96"/>
        <v>6</v>
      </c>
      <c r="AC335" s="73">
        <f t="shared" si="97"/>
        <v>2208</v>
      </c>
      <c r="AD335" s="19">
        <f t="shared" si="98"/>
        <v>0</v>
      </c>
      <c r="AE335" s="19">
        <f t="shared" si="99"/>
        <v>0</v>
      </c>
      <c r="AF335" s="19" t="str">
        <f>IF($D335&lt;&gt;1,"",IF(INDEX(TblClusters[Environnement],$B335)="","(vide)",INDEX(TblClusters[Environnement],$B335)))</f>
        <v>PRD</v>
      </c>
      <c r="AG335" s="19">
        <f t="shared" si="100"/>
        <v>72</v>
      </c>
      <c r="AH335" s="19">
        <f t="shared" si="101"/>
        <v>30.666666666666668</v>
      </c>
      <c r="AI335" s="19">
        <f>IF($D335&lt;&gt;1,"",IF(AND($G335="IKS",ISNUMBER(INDEX(TblClusters[Fermeture retenue],$B335))),IF($E335&gt;=INDEX(TblClusters[Fermeture retenue],$B335),1,0),0))</f>
        <v>0</v>
      </c>
    </row>
    <row r="336" spans="1:35" x14ac:dyDescent="0.2">
      <c r="A336" s="19">
        <v>331</v>
      </c>
      <c r="B336" s="19">
        <f t="shared" si="85"/>
        <v>10</v>
      </c>
      <c r="C336" s="19">
        <f t="shared" si="86"/>
        <v>7</v>
      </c>
      <c r="D336" s="19">
        <f>IF($C336&gt;p_horizon,0,IFERROR(IF(AND(INDEX(TblClusters[Cluster],$B336)&lt;&gt;"",ISNUMBER(INDEX(TblClusters[CPU initial (vCPU)],$B336)),ISNUMBER(INDEX(TblClusters[CPU min (vCPU)],$B336)),OR(INDEX(TblClusters[Plateforme],$B336)="IKS",INDEX(TblClusters[Plateforme],$B336)="ROKS")),1,0),0))</f>
        <v>1</v>
      </c>
      <c r="E336" s="72">
        <f t="shared" si="87"/>
        <v>46478</v>
      </c>
      <c r="F336" s="19" t="str">
        <f>IF($D336=1,INDEX(TblClusters[Cluster],$B336),"")</f>
        <v>oc002i001019</v>
      </c>
      <c r="G336" s="19" t="str">
        <f>IF($D336=1,INDEX(TblClusters[Plateforme],$B336),"")</f>
        <v>ROKS</v>
      </c>
      <c r="H336" s="19">
        <f>IF($D336=1,INDEX(TblClusters[vCPU par nœud],$B336),"")</f>
        <v>8</v>
      </c>
      <c r="I336" s="19">
        <f>IF($D336=1,INDEX(TblClusters[RAM par nœud (Go)],$B336),"")</f>
        <v>40</v>
      </c>
      <c r="J336" s="19">
        <f>IF($D336=1,INDEX(TblClusters[Workers min],$B336),"")</f>
        <v>6</v>
      </c>
      <c r="K336" s="73">
        <f>IF($D336=1,INDEX(TblClusters[Tarif par nœud],$B336),"")</f>
        <v>368</v>
      </c>
      <c r="L336" s="19">
        <f>IF($D336=1,INDEX(TblClusters[CPU initial (vCPU)],$B336),"")</f>
        <v>48</v>
      </c>
      <c r="M336" s="19">
        <f>IF($D336=1,INDEX(TblClusters[RAM initiale (Go)],$B336),"")</f>
        <v>240</v>
      </c>
      <c r="N336" s="19">
        <f>IF($D336=1,INDEX(TblClusters[CPU min (vCPU)],$B336),"")</f>
        <v>48</v>
      </c>
      <c r="O336" s="19">
        <f>IF($D336=1,INDEX(TblClusters[RAM min (Go)],$B336),"")</f>
        <v>240</v>
      </c>
      <c r="P336" s="19">
        <f>IF($D336&lt;&gt;1,"",IF($G336="ROKS",SUMIFS(TblApplications[Besoin ROKS CPU (vCPU)],TblApplications[Cluster ROKS cible],$F336,TblApplications[Action],"À migrer",TblApplications[Déjà incluse ROKS],"Non",TblApplications[Mois prov (calc)],"&lt;="&amp;$E336),SUMIFS(TblApplications[CPU IKS libérable (vCPU)],TblApplications[Cluster IKS source],$F336,TblApplications[Mois lib (calc)],"&lt;="&amp;$E336)))</f>
        <v>0</v>
      </c>
      <c r="Q336" s="19">
        <f>IF($D336&lt;&gt;1,"",IF($G336="ROKS",SUMIFS(TblApplications[Besoin ROKS RAM (Go)],TblApplications[Cluster ROKS cible],$F336,TblApplications[Action],"À migrer",TblApplications[Déjà incluse ROKS],"Non",TblApplications[Mois prov (calc)],"&lt;="&amp;$E336),SUMIFS(TblApplications[RAM IKS libérable (Go)],TblApplications[Cluster IKS source],$F336,TblApplications[Mois lib (calc)],"&lt;="&amp;$E336)))</f>
        <v>0</v>
      </c>
      <c r="R336" s="19">
        <f t="shared" si="88"/>
        <v>48</v>
      </c>
      <c r="S336" s="19">
        <f t="shared" si="89"/>
        <v>240</v>
      </c>
      <c r="T336" s="19">
        <f t="shared" si="90"/>
        <v>6</v>
      </c>
      <c r="U336" s="19">
        <f t="shared" si="91"/>
        <v>48</v>
      </c>
      <c r="V336" s="19">
        <f t="shared" si="92"/>
        <v>240</v>
      </c>
      <c r="W336" s="73">
        <f t="shared" si="93"/>
        <v>2208</v>
      </c>
      <c r="X336" s="19">
        <f>IF($D336&lt;&gt;1,"",IF($G336="ROKS",$R336,IF($AI336=1,0,MAX($N336,$L336-SUMIFS(TblApplications[CPU IKS libérable (vCPU)],TblApplications[Cluster IKS source],$F336,TblApplications[Action],"À migrer",TblApplications[Mois prov (calc)],"&lt;="&amp;$E336)-SUMIFS(TblApplications[CPU IKS libérable (vCPU)],TblApplications[Cluster IKS source],$F336,TblApplications[Action],"À décommissionner",TblApplications[Mois lib (calc)],"&lt;="&amp;$E336)))))</f>
        <v>48</v>
      </c>
      <c r="Y336" s="19">
        <f>IF($D336&lt;&gt;1,"",IF($G336="ROKS",$S336,IF($AI336=1,0,MAX($O336,$M336-SUMIFS(TblApplications[RAM IKS libérable (Go)],TblApplications[Cluster IKS source],$F336,TblApplications[Action],"À migrer",TblApplications[Mois prov (calc)],"&lt;="&amp;$E336)-SUMIFS(TblApplications[RAM IKS libérable (Go)],TblApplications[Cluster IKS source],$F336,TblApplications[Action],"À décommissionner",TblApplications[Mois lib (calc)],"&lt;="&amp;$E336)))))</f>
        <v>240</v>
      </c>
      <c r="Z336" s="19">
        <f t="shared" si="94"/>
        <v>6</v>
      </c>
      <c r="AA336" s="73">
        <f t="shared" si="95"/>
        <v>2208</v>
      </c>
      <c r="AB336" s="19">
        <f t="shared" si="96"/>
        <v>6</v>
      </c>
      <c r="AC336" s="73">
        <f t="shared" si="97"/>
        <v>2208</v>
      </c>
      <c r="AD336" s="19">
        <f t="shared" si="98"/>
        <v>0</v>
      </c>
      <c r="AE336" s="19">
        <f t="shared" si="99"/>
        <v>0</v>
      </c>
      <c r="AF336" s="19" t="str">
        <f>IF($D336&lt;&gt;1,"",IF(INDEX(TblClusters[Environnement],$B336)="","(vide)",INDEX(TblClusters[Environnement],$B336)))</f>
        <v>PRD</v>
      </c>
      <c r="AG336" s="19">
        <f t="shared" si="100"/>
        <v>72</v>
      </c>
      <c r="AH336" s="19">
        <f t="shared" si="101"/>
        <v>30.666666666666668</v>
      </c>
      <c r="AI336" s="19">
        <f>IF($D336&lt;&gt;1,"",IF(AND($G336="IKS",ISNUMBER(INDEX(TblClusters[Fermeture retenue],$B336))),IF($E336&gt;=INDEX(TblClusters[Fermeture retenue],$B336),1,0),0))</f>
        <v>0</v>
      </c>
    </row>
    <row r="337" spans="1:35" x14ac:dyDescent="0.2">
      <c r="A337" s="19">
        <v>332</v>
      </c>
      <c r="B337" s="19">
        <f t="shared" si="85"/>
        <v>10</v>
      </c>
      <c r="C337" s="19">
        <f t="shared" si="86"/>
        <v>8</v>
      </c>
      <c r="D337" s="19">
        <f>IF($C337&gt;p_horizon,0,IFERROR(IF(AND(INDEX(TblClusters[Cluster],$B337)&lt;&gt;"",ISNUMBER(INDEX(TblClusters[CPU initial (vCPU)],$B337)),ISNUMBER(INDEX(TblClusters[CPU min (vCPU)],$B337)),OR(INDEX(TblClusters[Plateforme],$B337)="IKS",INDEX(TblClusters[Plateforme],$B337)="ROKS")),1,0),0))</f>
        <v>1</v>
      </c>
      <c r="E337" s="72">
        <f t="shared" si="87"/>
        <v>46508</v>
      </c>
      <c r="F337" s="19" t="str">
        <f>IF($D337=1,INDEX(TblClusters[Cluster],$B337),"")</f>
        <v>oc002i001019</v>
      </c>
      <c r="G337" s="19" t="str">
        <f>IF($D337=1,INDEX(TblClusters[Plateforme],$B337),"")</f>
        <v>ROKS</v>
      </c>
      <c r="H337" s="19">
        <f>IF($D337=1,INDEX(TblClusters[vCPU par nœud],$B337),"")</f>
        <v>8</v>
      </c>
      <c r="I337" s="19">
        <f>IF($D337=1,INDEX(TblClusters[RAM par nœud (Go)],$B337),"")</f>
        <v>40</v>
      </c>
      <c r="J337" s="19">
        <f>IF($D337=1,INDEX(TblClusters[Workers min],$B337),"")</f>
        <v>6</v>
      </c>
      <c r="K337" s="73">
        <f>IF($D337=1,INDEX(TblClusters[Tarif par nœud],$B337),"")</f>
        <v>368</v>
      </c>
      <c r="L337" s="19">
        <f>IF($D337=1,INDEX(TblClusters[CPU initial (vCPU)],$B337),"")</f>
        <v>48</v>
      </c>
      <c r="M337" s="19">
        <f>IF($D337=1,INDEX(TblClusters[RAM initiale (Go)],$B337),"")</f>
        <v>240</v>
      </c>
      <c r="N337" s="19">
        <f>IF($D337=1,INDEX(TblClusters[CPU min (vCPU)],$B337),"")</f>
        <v>48</v>
      </c>
      <c r="O337" s="19">
        <f>IF($D337=1,INDEX(TblClusters[RAM min (Go)],$B337),"")</f>
        <v>240</v>
      </c>
      <c r="P337" s="19">
        <f>IF($D337&lt;&gt;1,"",IF($G337="ROKS",SUMIFS(TblApplications[Besoin ROKS CPU (vCPU)],TblApplications[Cluster ROKS cible],$F337,TblApplications[Action],"À migrer",TblApplications[Déjà incluse ROKS],"Non",TblApplications[Mois prov (calc)],"&lt;="&amp;$E337),SUMIFS(TblApplications[CPU IKS libérable (vCPU)],TblApplications[Cluster IKS source],$F337,TblApplications[Mois lib (calc)],"&lt;="&amp;$E337)))</f>
        <v>0</v>
      </c>
      <c r="Q337" s="19">
        <f>IF($D337&lt;&gt;1,"",IF($G337="ROKS",SUMIFS(TblApplications[Besoin ROKS RAM (Go)],TblApplications[Cluster ROKS cible],$F337,TblApplications[Action],"À migrer",TblApplications[Déjà incluse ROKS],"Non",TblApplications[Mois prov (calc)],"&lt;="&amp;$E337),SUMIFS(TblApplications[RAM IKS libérable (Go)],TblApplications[Cluster IKS source],$F337,TblApplications[Mois lib (calc)],"&lt;="&amp;$E337)))</f>
        <v>0</v>
      </c>
      <c r="R337" s="19">
        <f t="shared" si="88"/>
        <v>48</v>
      </c>
      <c r="S337" s="19">
        <f t="shared" si="89"/>
        <v>240</v>
      </c>
      <c r="T337" s="19">
        <f t="shared" si="90"/>
        <v>6</v>
      </c>
      <c r="U337" s="19">
        <f t="shared" si="91"/>
        <v>48</v>
      </c>
      <c r="V337" s="19">
        <f t="shared" si="92"/>
        <v>240</v>
      </c>
      <c r="W337" s="73">
        <f t="shared" si="93"/>
        <v>2208</v>
      </c>
      <c r="X337" s="19">
        <f>IF($D337&lt;&gt;1,"",IF($G337="ROKS",$R337,IF($AI337=1,0,MAX($N337,$L337-SUMIFS(TblApplications[CPU IKS libérable (vCPU)],TblApplications[Cluster IKS source],$F337,TblApplications[Action],"À migrer",TblApplications[Mois prov (calc)],"&lt;="&amp;$E337)-SUMIFS(TblApplications[CPU IKS libérable (vCPU)],TblApplications[Cluster IKS source],$F337,TblApplications[Action],"À décommissionner",TblApplications[Mois lib (calc)],"&lt;="&amp;$E337)))))</f>
        <v>48</v>
      </c>
      <c r="Y337" s="19">
        <f>IF($D337&lt;&gt;1,"",IF($G337="ROKS",$S337,IF($AI337=1,0,MAX($O337,$M337-SUMIFS(TblApplications[RAM IKS libérable (Go)],TblApplications[Cluster IKS source],$F337,TblApplications[Action],"À migrer",TblApplications[Mois prov (calc)],"&lt;="&amp;$E337)-SUMIFS(TblApplications[RAM IKS libérable (Go)],TblApplications[Cluster IKS source],$F337,TblApplications[Action],"À décommissionner",TblApplications[Mois lib (calc)],"&lt;="&amp;$E337)))))</f>
        <v>240</v>
      </c>
      <c r="Z337" s="19">
        <f t="shared" si="94"/>
        <v>6</v>
      </c>
      <c r="AA337" s="73">
        <f t="shared" si="95"/>
        <v>2208</v>
      </c>
      <c r="AB337" s="19">
        <f t="shared" si="96"/>
        <v>6</v>
      </c>
      <c r="AC337" s="73">
        <f t="shared" si="97"/>
        <v>2208</v>
      </c>
      <c r="AD337" s="19">
        <f t="shared" si="98"/>
        <v>0</v>
      </c>
      <c r="AE337" s="19">
        <f t="shared" si="99"/>
        <v>0</v>
      </c>
      <c r="AF337" s="19" t="str">
        <f>IF($D337&lt;&gt;1,"",IF(INDEX(TblClusters[Environnement],$B337)="","(vide)",INDEX(TblClusters[Environnement],$B337)))</f>
        <v>PRD</v>
      </c>
      <c r="AG337" s="19">
        <f t="shared" si="100"/>
        <v>72</v>
      </c>
      <c r="AH337" s="19">
        <f t="shared" si="101"/>
        <v>30.666666666666668</v>
      </c>
      <c r="AI337" s="19">
        <f>IF($D337&lt;&gt;1,"",IF(AND($G337="IKS",ISNUMBER(INDEX(TblClusters[Fermeture retenue],$B337))),IF($E337&gt;=INDEX(TblClusters[Fermeture retenue],$B337),1,0),0))</f>
        <v>0</v>
      </c>
    </row>
    <row r="338" spans="1:35" x14ac:dyDescent="0.2">
      <c r="A338" s="19">
        <v>333</v>
      </c>
      <c r="B338" s="19">
        <f t="shared" si="85"/>
        <v>10</v>
      </c>
      <c r="C338" s="19">
        <f t="shared" si="86"/>
        <v>9</v>
      </c>
      <c r="D338" s="19">
        <f>IF($C338&gt;p_horizon,0,IFERROR(IF(AND(INDEX(TblClusters[Cluster],$B338)&lt;&gt;"",ISNUMBER(INDEX(TblClusters[CPU initial (vCPU)],$B338)),ISNUMBER(INDEX(TblClusters[CPU min (vCPU)],$B338)),OR(INDEX(TblClusters[Plateforme],$B338)="IKS",INDEX(TblClusters[Plateforme],$B338)="ROKS")),1,0),0))</f>
        <v>1</v>
      </c>
      <c r="E338" s="72">
        <f t="shared" si="87"/>
        <v>46539</v>
      </c>
      <c r="F338" s="19" t="str">
        <f>IF($D338=1,INDEX(TblClusters[Cluster],$B338),"")</f>
        <v>oc002i001019</v>
      </c>
      <c r="G338" s="19" t="str">
        <f>IF($D338=1,INDEX(TblClusters[Plateforme],$B338),"")</f>
        <v>ROKS</v>
      </c>
      <c r="H338" s="19">
        <f>IF($D338=1,INDEX(TblClusters[vCPU par nœud],$B338),"")</f>
        <v>8</v>
      </c>
      <c r="I338" s="19">
        <f>IF($D338=1,INDEX(TblClusters[RAM par nœud (Go)],$B338),"")</f>
        <v>40</v>
      </c>
      <c r="J338" s="19">
        <f>IF($D338=1,INDEX(TblClusters[Workers min],$B338),"")</f>
        <v>6</v>
      </c>
      <c r="K338" s="73">
        <f>IF($D338=1,INDEX(TblClusters[Tarif par nœud],$B338),"")</f>
        <v>368</v>
      </c>
      <c r="L338" s="19">
        <f>IF($D338=1,INDEX(TblClusters[CPU initial (vCPU)],$B338),"")</f>
        <v>48</v>
      </c>
      <c r="M338" s="19">
        <f>IF($D338=1,INDEX(TblClusters[RAM initiale (Go)],$B338),"")</f>
        <v>240</v>
      </c>
      <c r="N338" s="19">
        <f>IF($D338=1,INDEX(TblClusters[CPU min (vCPU)],$B338),"")</f>
        <v>48</v>
      </c>
      <c r="O338" s="19">
        <f>IF($D338=1,INDEX(TblClusters[RAM min (Go)],$B338),"")</f>
        <v>240</v>
      </c>
      <c r="P338" s="19">
        <f>IF($D338&lt;&gt;1,"",IF($G338="ROKS",SUMIFS(TblApplications[Besoin ROKS CPU (vCPU)],TblApplications[Cluster ROKS cible],$F338,TblApplications[Action],"À migrer",TblApplications[Déjà incluse ROKS],"Non",TblApplications[Mois prov (calc)],"&lt;="&amp;$E338),SUMIFS(TblApplications[CPU IKS libérable (vCPU)],TblApplications[Cluster IKS source],$F338,TblApplications[Mois lib (calc)],"&lt;="&amp;$E338)))</f>
        <v>0</v>
      </c>
      <c r="Q338" s="19">
        <f>IF($D338&lt;&gt;1,"",IF($G338="ROKS",SUMIFS(TblApplications[Besoin ROKS RAM (Go)],TblApplications[Cluster ROKS cible],$F338,TblApplications[Action],"À migrer",TblApplications[Déjà incluse ROKS],"Non",TblApplications[Mois prov (calc)],"&lt;="&amp;$E338),SUMIFS(TblApplications[RAM IKS libérable (Go)],TblApplications[Cluster IKS source],$F338,TblApplications[Mois lib (calc)],"&lt;="&amp;$E338)))</f>
        <v>0</v>
      </c>
      <c r="R338" s="19">
        <f t="shared" si="88"/>
        <v>48</v>
      </c>
      <c r="S338" s="19">
        <f t="shared" si="89"/>
        <v>240</v>
      </c>
      <c r="T338" s="19">
        <f t="shared" si="90"/>
        <v>6</v>
      </c>
      <c r="U338" s="19">
        <f t="shared" si="91"/>
        <v>48</v>
      </c>
      <c r="V338" s="19">
        <f t="shared" si="92"/>
        <v>240</v>
      </c>
      <c r="W338" s="73">
        <f t="shared" si="93"/>
        <v>2208</v>
      </c>
      <c r="X338" s="19">
        <f>IF($D338&lt;&gt;1,"",IF($G338="ROKS",$R338,IF($AI338=1,0,MAX($N338,$L338-SUMIFS(TblApplications[CPU IKS libérable (vCPU)],TblApplications[Cluster IKS source],$F338,TblApplications[Action],"À migrer",TblApplications[Mois prov (calc)],"&lt;="&amp;$E338)-SUMIFS(TblApplications[CPU IKS libérable (vCPU)],TblApplications[Cluster IKS source],$F338,TblApplications[Action],"À décommissionner",TblApplications[Mois lib (calc)],"&lt;="&amp;$E338)))))</f>
        <v>48</v>
      </c>
      <c r="Y338" s="19">
        <f>IF($D338&lt;&gt;1,"",IF($G338="ROKS",$S338,IF($AI338=1,0,MAX($O338,$M338-SUMIFS(TblApplications[RAM IKS libérable (Go)],TblApplications[Cluster IKS source],$F338,TblApplications[Action],"À migrer",TblApplications[Mois prov (calc)],"&lt;="&amp;$E338)-SUMIFS(TblApplications[RAM IKS libérable (Go)],TblApplications[Cluster IKS source],$F338,TblApplications[Action],"À décommissionner",TblApplications[Mois lib (calc)],"&lt;="&amp;$E338)))))</f>
        <v>240</v>
      </c>
      <c r="Z338" s="19">
        <f t="shared" si="94"/>
        <v>6</v>
      </c>
      <c r="AA338" s="73">
        <f t="shared" si="95"/>
        <v>2208</v>
      </c>
      <c r="AB338" s="19">
        <f t="shared" si="96"/>
        <v>6</v>
      </c>
      <c r="AC338" s="73">
        <f t="shared" si="97"/>
        <v>2208</v>
      </c>
      <c r="AD338" s="19">
        <f t="shared" si="98"/>
        <v>0</v>
      </c>
      <c r="AE338" s="19">
        <f t="shared" si="99"/>
        <v>0</v>
      </c>
      <c r="AF338" s="19" t="str">
        <f>IF($D338&lt;&gt;1,"",IF(INDEX(TblClusters[Environnement],$B338)="","(vide)",INDEX(TblClusters[Environnement],$B338)))</f>
        <v>PRD</v>
      </c>
      <c r="AG338" s="19">
        <f t="shared" si="100"/>
        <v>72</v>
      </c>
      <c r="AH338" s="19">
        <f t="shared" si="101"/>
        <v>30.666666666666668</v>
      </c>
      <c r="AI338" s="19">
        <f>IF($D338&lt;&gt;1,"",IF(AND($G338="IKS",ISNUMBER(INDEX(TblClusters[Fermeture retenue],$B338))),IF($E338&gt;=INDEX(TblClusters[Fermeture retenue],$B338),1,0),0))</f>
        <v>0</v>
      </c>
    </row>
    <row r="339" spans="1:35" x14ac:dyDescent="0.2">
      <c r="A339" s="19">
        <v>334</v>
      </c>
      <c r="B339" s="19">
        <f t="shared" si="85"/>
        <v>10</v>
      </c>
      <c r="C339" s="19">
        <f t="shared" si="86"/>
        <v>10</v>
      </c>
      <c r="D339" s="19">
        <f>IF($C339&gt;p_horizon,0,IFERROR(IF(AND(INDEX(TblClusters[Cluster],$B339)&lt;&gt;"",ISNUMBER(INDEX(TblClusters[CPU initial (vCPU)],$B339)),ISNUMBER(INDEX(TblClusters[CPU min (vCPU)],$B339)),OR(INDEX(TblClusters[Plateforme],$B339)="IKS",INDEX(TblClusters[Plateforme],$B339)="ROKS")),1,0),0))</f>
        <v>1</v>
      </c>
      <c r="E339" s="72">
        <f t="shared" si="87"/>
        <v>46569</v>
      </c>
      <c r="F339" s="19" t="str">
        <f>IF($D339=1,INDEX(TblClusters[Cluster],$B339),"")</f>
        <v>oc002i001019</v>
      </c>
      <c r="G339" s="19" t="str">
        <f>IF($D339=1,INDEX(TblClusters[Plateforme],$B339),"")</f>
        <v>ROKS</v>
      </c>
      <c r="H339" s="19">
        <f>IF($D339=1,INDEX(TblClusters[vCPU par nœud],$B339),"")</f>
        <v>8</v>
      </c>
      <c r="I339" s="19">
        <f>IF($D339=1,INDEX(TblClusters[RAM par nœud (Go)],$B339),"")</f>
        <v>40</v>
      </c>
      <c r="J339" s="19">
        <f>IF($D339=1,INDEX(TblClusters[Workers min],$B339),"")</f>
        <v>6</v>
      </c>
      <c r="K339" s="73">
        <f>IF($D339=1,INDEX(TblClusters[Tarif par nœud],$B339),"")</f>
        <v>368</v>
      </c>
      <c r="L339" s="19">
        <f>IF($D339=1,INDEX(TblClusters[CPU initial (vCPU)],$B339),"")</f>
        <v>48</v>
      </c>
      <c r="M339" s="19">
        <f>IF($D339=1,INDEX(TblClusters[RAM initiale (Go)],$B339),"")</f>
        <v>240</v>
      </c>
      <c r="N339" s="19">
        <f>IF($D339=1,INDEX(TblClusters[CPU min (vCPU)],$B339),"")</f>
        <v>48</v>
      </c>
      <c r="O339" s="19">
        <f>IF($D339=1,INDEX(TblClusters[RAM min (Go)],$B339),"")</f>
        <v>240</v>
      </c>
      <c r="P339" s="19">
        <f>IF($D339&lt;&gt;1,"",IF($G339="ROKS",SUMIFS(TblApplications[Besoin ROKS CPU (vCPU)],TblApplications[Cluster ROKS cible],$F339,TblApplications[Action],"À migrer",TblApplications[Déjà incluse ROKS],"Non",TblApplications[Mois prov (calc)],"&lt;="&amp;$E339),SUMIFS(TblApplications[CPU IKS libérable (vCPU)],TblApplications[Cluster IKS source],$F339,TblApplications[Mois lib (calc)],"&lt;="&amp;$E339)))</f>
        <v>0</v>
      </c>
      <c r="Q339" s="19">
        <f>IF($D339&lt;&gt;1,"",IF($G339="ROKS",SUMIFS(TblApplications[Besoin ROKS RAM (Go)],TblApplications[Cluster ROKS cible],$F339,TblApplications[Action],"À migrer",TblApplications[Déjà incluse ROKS],"Non",TblApplications[Mois prov (calc)],"&lt;="&amp;$E339),SUMIFS(TblApplications[RAM IKS libérable (Go)],TblApplications[Cluster IKS source],$F339,TblApplications[Mois lib (calc)],"&lt;="&amp;$E339)))</f>
        <v>0</v>
      </c>
      <c r="R339" s="19">
        <f t="shared" si="88"/>
        <v>48</v>
      </c>
      <c r="S339" s="19">
        <f t="shared" si="89"/>
        <v>240</v>
      </c>
      <c r="T339" s="19">
        <f t="shared" si="90"/>
        <v>6</v>
      </c>
      <c r="U339" s="19">
        <f t="shared" si="91"/>
        <v>48</v>
      </c>
      <c r="V339" s="19">
        <f t="shared" si="92"/>
        <v>240</v>
      </c>
      <c r="W339" s="73">
        <f t="shared" si="93"/>
        <v>2208</v>
      </c>
      <c r="X339" s="19">
        <f>IF($D339&lt;&gt;1,"",IF($G339="ROKS",$R339,IF($AI339=1,0,MAX($N339,$L339-SUMIFS(TblApplications[CPU IKS libérable (vCPU)],TblApplications[Cluster IKS source],$F339,TblApplications[Action],"À migrer",TblApplications[Mois prov (calc)],"&lt;="&amp;$E339)-SUMIFS(TblApplications[CPU IKS libérable (vCPU)],TblApplications[Cluster IKS source],$F339,TblApplications[Action],"À décommissionner",TblApplications[Mois lib (calc)],"&lt;="&amp;$E339)))))</f>
        <v>48</v>
      </c>
      <c r="Y339" s="19">
        <f>IF($D339&lt;&gt;1,"",IF($G339="ROKS",$S339,IF($AI339=1,0,MAX($O339,$M339-SUMIFS(TblApplications[RAM IKS libérable (Go)],TblApplications[Cluster IKS source],$F339,TblApplications[Action],"À migrer",TblApplications[Mois prov (calc)],"&lt;="&amp;$E339)-SUMIFS(TblApplications[RAM IKS libérable (Go)],TblApplications[Cluster IKS source],$F339,TblApplications[Action],"À décommissionner",TblApplications[Mois lib (calc)],"&lt;="&amp;$E339)))))</f>
        <v>240</v>
      </c>
      <c r="Z339" s="19">
        <f t="shared" si="94"/>
        <v>6</v>
      </c>
      <c r="AA339" s="73">
        <f t="shared" si="95"/>
        <v>2208</v>
      </c>
      <c r="AB339" s="19">
        <f t="shared" si="96"/>
        <v>6</v>
      </c>
      <c r="AC339" s="73">
        <f t="shared" si="97"/>
        <v>2208</v>
      </c>
      <c r="AD339" s="19">
        <f t="shared" si="98"/>
        <v>0</v>
      </c>
      <c r="AE339" s="19">
        <f t="shared" si="99"/>
        <v>0</v>
      </c>
      <c r="AF339" s="19" t="str">
        <f>IF($D339&lt;&gt;1,"",IF(INDEX(TblClusters[Environnement],$B339)="","(vide)",INDEX(TblClusters[Environnement],$B339)))</f>
        <v>PRD</v>
      </c>
      <c r="AG339" s="19">
        <f t="shared" si="100"/>
        <v>72</v>
      </c>
      <c r="AH339" s="19">
        <f t="shared" si="101"/>
        <v>30.666666666666668</v>
      </c>
      <c r="AI339" s="19">
        <f>IF($D339&lt;&gt;1,"",IF(AND($G339="IKS",ISNUMBER(INDEX(TblClusters[Fermeture retenue],$B339))),IF($E339&gt;=INDEX(TblClusters[Fermeture retenue],$B339),1,0),0))</f>
        <v>0</v>
      </c>
    </row>
    <row r="340" spans="1:35" x14ac:dyDescent="0.2">
      <c r="A340" s="19">
        <v>335</v>
      </c>
      <c r="B340" s="19">
        <f t="shared" si="85"/>
        <v>10</v>
      </c>
      <c r="C340" s="19">
        <f t="shared" si="86"/>
        <v>11</v>
      </c>
      <c r="D340" s="19">
        <f>IF($C340&gt;p_horizon,0,IFERROR(IF(AND(INDEX(TblClusters[Cluster],$B340)&lt;&gt;"",ISNUMBER(INDEX(TblClusters[CPU initial (vCPU)],$B340)),ISNUMBER(INDEX(TblClusters[CPU min (vCPU)],$B340)),OR(INDEX(TblClusters[Plateforme],$B340)="IKS",INDEX(TblClusters[Plateforme],$B340)="ROKS")),1,0),0))</f>
        <v>1</v>
      </c>
      <c r="E340" s="72">
        <f t="shared" si="87"/>
        <v>46600</v>
      </c>
      <c r="F340" s="19" t="str">
        <f>IF($D340=1,INDEX(TblClusters[Cluster],$B340),"")</f>
        <v>oc002i001019</v>
      </c>
      <c r="G340" s="19" t="str">
        <f>IF($D340=1,INDEX(TblClusters[Plateforme],$B340),"")</f>
        <v>ROKS</v>
      </c>
      <c r="H340" s="19">
        <f>IF($D340=1,INDEX(TblClusters[vCPU par nœud],$B340),"")</f>
        <v>8</v>
      </c>
      <c r="I340" s="19">
        <f>IF($D340=1,INDEX(TblClusters[RAM par nœud (Go)],$B340),"")</f>
        <v>40</v>
      </c>
      <c r="J340" s="19">
        <f>IF($D340=1,INDEX(TblClusters[Workers min],$B340),"")</f>
        <v>6</v>
      </c>
      <c r="K340" s="73">
        <f>IF($D340=1,INDEX(TblClusters[Tarif par nœud],$B340),"")</f>
        <v>368</v>
      </c>
      <c r="L340" s="19">
        <f>IF($D340=1,INDEX(TblClusters[CPU initial (vCPU)],$B340),"")</f>
        <v>48</v>
      </c>
      <c r="M340" s="19">
        <f>IF($D340=1,INDEX(TblClusters[RAM initiale (Go)],$B340),"")</f>
        <v>240</v>
      </c>
      <c r="N340" s="19">
        <f>IF($D340=1,INDEX(TblClusters[CPU min (vCPU)],$B340),"")</f>
        <v>48</v>
      </c>
      <c r="O340" s="19">
        <f>IF($D340=1,INDEX(TblClusters[RAM min (Go)],$B340),"")</f>
        <v>240</v>
      </c>
      <c r="P340" s="19">
        <f>IF($D340&lt;&gt;1,"",IF($G340="ROKS",SUMIFS(TblApplications[Besoin ROKS CPU (vCPU)],TblApplications[Cluster ROKS cible],$F340,TblApplications[Action],"À migrer",TblApplications[Déjà incluse ROKS],"Non",TblApplications[Mois prov (calc)],"&lt;="&amp;$E340),SUMIFS(TblApplications[CPU IKS libérable (vCPU)],TblApplications[Cluster IKS source],$F340,TblApplications[Mois lib (calc)],"&lt;="&amp;$E340)))</f>
        <v>0</v>
      </c>
      <c r="Q340" s="19">
        <f>IF($D340&lt;&gt;1,"",IF($G340="ROKS",SUMIFS(TblApplications[Besoin ROKS RAM (Go)],TblApplications[Cluster ROKS cible],$F340,TblApplications[Action],"À migrer",TblApplications[Déjà incluse ROKS],"Non",TblApplications[Mois prov (calc)],"&lt;="&amp;$E340),SUMIFS(TblApplications[RAM IKS libérable (Go)],TblApplications[Cluster IKS source],$F340,TblApplications[Mois lib (calc)],"&lt;="&amp;$E340)))</f>
        <v>0</v>
      </c>
      <c r="R340" s="19">
        <f t="shared" si="88"/>
        <v>48</v>
      </c>
      <c r="S340" s="19">
        <f t="shared" si="89"/>
        <v>240</v>
      </c>
      <c r="T340" s="19">
        <f t="shared" si="90"/>
        <v>6</v>
      </c>
      <c r="U340" s="19">
        <f t="shared" si="91"/>
        <v>48</v>
      </c>
      <c r="V340" s="19">
        <f t="shared" si="92"/>
        <v>240</v>
      </c>
      <c r="W340" s="73">
        <f t="shared" si="93"/>
        <v>2208</v>
      </c>
      <c r="X340" s="19">
        <f>IF($D340&lt;&gt;1,"",IF($G340="ROKS",$R340,IF($AI340=1,0,MAX($N340,$L340-SUMIFS(TblApplications[CPU IKS libérable (vCPU)],TblApplications[Cluster IKS source],$F340,TblApplications[Action],"À migrer",TblApplications[Mois prov (calc)],"&lt;="&amp;$E340)-SUMIFS(TblApplications[CPU IKS libérable (vCPU)],TblApplications[Cluster IKS source],$F340,TblApplications[Action],"À décommissionner",TblApplications[Mois lib (calc)],"&lt;="&amp;$E340)))))</f>
        <v>48</v>
      </c>
      <c r="Y340" s="19">
        <f>IF($D340&lt;&gt;1,"",IF($G340="ROKS",$S340,IF($AI340=1,0,MAX($O340,$M340-SUMIFS(TblApplications[RAM IKS libérable (Go)],TblApplications[Cluster IKS source],$F340,TblApplications[Action],"À migrer",TblApplications[Mois prov (calc)],"&lt;="&amp;$E340)-SUMIFS(TblApplications[RAM IKS libérable (Go)],TblApplications[Cluster IKS source],$F340,TblApplications[Action],"À décommissionner",TblApplications[Mois lib (calc)],"&lt;="&amp;$E340)))))</f>
        <v>240</v>
      </c>
      <c r="Z340" s="19">
        <f t="shared" si="94"/>
        <v>6</v>
      </c>
      <c r="AA340" s="73">
        <f t="shared" si="95"/>
        <v>2208</v>
      </c>
      <c r="AB340" s="19">
        <f t="shared" si="96"/>
        <v>6</v>
      </c>
      <c r="AC340" s="73">
        <f t="shared" si="97"/>
        <v>2208</v>
      </c>
      <c r="AD340" s="19">
        <f t="shared" si="98"/>
        <v>0</v>
      </c>
      <c r="AE340" s="19">
        <f t="shared" si="99"/>
        <v>0</v>
      </c>
      <c r="AF340" s="19" t="str">
        <f>IF($D340&lt;&gt;1,"",IF(INDEX(TblClusters[Environnement],$B340)="","(vide)",INDEX(TblClusters[Environnement],$B340)))</f>
        <v>PRD</v>
      </c>
      <c r="AG340" s="19">
        <f t="shared" si="100"/>
        <v>72</v>
      </c>
      <c r="AH340" s="19">
        <f t="shared" si="101"/>
        <v>30.666666666666668</v>
      </c>
      <c r="AI340" s="19">
        <f>IF($D340&lt;&gt;1,"",IF(AND($G340="IKS",ISNUMBER(INDEX(TblClusters[Fermeture retenue],$B340))),IF($E340&gt;=INDEX(TblClusters[Fermeture retenue],$B340),1,0),0))</f>
        <v>0</v>
      </c>
    </row>
    <row r="341" spans="1:35" x14ac:dyDescent="0.2">
      <c r="A341" s="19">
        <v>336</v>
      </c>
      <c r="B341" s="19">
        <f t="shared" si="85"/>
        <v>10</v>
      </c>
      <c r="C341" s="19">
        <f t="shared" si="86"/>
        <v>12</v>
      </c>
      <c r="D341" s="19">
        <f>IF($C341&gt;p_horizon,0,IFERROR(IF(AND(INDEX(TblClusters[Cluster],$B341)&lt;&gt;"",ISNUMBER(INDEX(TblClusters[CPU initial (vCPU)],$B341)),ISNUMBER(INDEX(TblClusters[CPU min (vCPU)],$B341)),OR(INDEX(TblClusters[Plateforme],$B341)="IKS",INDEX(TblClusters[Plateforme],$B341)="ROKS")),1,0),0))</f>
        <v>1</v>
      </c>
      <c r="E341" s="72">
        <f t="shared" si="87"/>
        <v>46631</v>
      </c>
      <c r="F341" s="19" t="str">
        <f>IF($D341=1,INDEX(TblClusters[Cluster],$B341),"")</f>
        <v>oc002i001019</v>
      </c>
      <c r="G341" s="19" t="str">
        <f>IF($D341=1,INDEX(TblClusters[Plateforme],$B341),"")</f>
        <v>ROKS</v>
      </c>
      <c r="H341" s="19">
        <f>IF($D341=1,INDEX(TblClusters[vCPU par nœud],$B341),"")</f>
        <v>8</v>
      </c>
      <c r="I341" s="19">
        <f>IF($D341=1,INDEX(TblClusters[RAM par nœud (Go)],$B341),"")</f>
        <v>40</v>
      </c>
      <c r="J341" s="19">
        <f>IF($D341=1,INDEX(TblClusters[Workers min],$B341),"")</f>
        <v>6</v>
      </c>
      <c r="K341" s="73">
        <f>IF($D341=1,INDEX(TblClusters[Tarif par nœud],$B341),"")</f>
        <v>368</v>
      </c>
      <c r="L341" s="19">
        <f>IF($D341=1,INDEX(TblClusters[CPU initial (vCPU)],$B341),"")</f>
        <v>48</v>
      </c>
      <c r="M341" s="19">
        <f>IF($D341=1,INDEX(TblClusters[RAM initiale (Go)],$B341),"")</f>
        <v>240</v>
      </c>
      <c r="N341" s="19">
        <f>IF($D341=1,INDEX(TblClusters[CPU min (vCPU)],$B341),"")</f>
        <v>48</v>
      </c>
      <c r="O341" s="19">
        <f>IF($D341=1,INDEX(TblClusters[RAM min (Go)],$B341),"")</f>
        <v>240</v>
      </c>
      <c r="P341" s="19">
        <f>IF($D341&lt;&gt;1,"",IF($G341="ROKS",SUMIFS(TblApplications[Besoin ROKS CPU (vCPU)],TblApplications[Cluster ROKS cible],$F341,TblApplications[Action],"À migrer",TblApplications[Déjà incluse ROKS],"Non",TblApplications[Mois prov (calc)],"&lt;="&amp;$E341),SUMIFS(TblApplications[CPU IKS libérable (vCPU)],TblApplications[Cluster IKS source],$F341,TblApplications[Mois lib (calc)],"&lt;="&amp;$E341)))</f>
        <v>0</v>
      </c>
      <c r="Q341" s="19">
        <f>IF($D341&lt;&gt;1,"",IF($G341="ROKS",SUMIFS(TblApplications[Besoin ROKS RAM (Go)],TblApplications[Cluster ROKS cible],$F341,TblApplications[Action],"À migrer",TblApplications[Déjà incluse ROKS],"Non",TblApplications[Mois prov (calc)],"&lt;="&amp;$E341),SUMIFS(TblApplications[RAM IKS libérable (Go)],TblApplications[Cluster IKS source],$F341,TblApplications[Mois lib (calc)],"&lt;="&amp;$E341)))</f>
        <v>0</v>
      </c>
      <c r="R341" s="19">
        <f t="shared" si="88"/>
        <v>48</v>
      </c>
      <c r="S341" s="19">
        <f t="shared" si="89"/>
        <v>240</v>
      </c>
      <c r="T341" s="19">
        <f t="shared" si="90"/>
        <v>6</v>
      </c>
      <c r="U341" s="19">
        <f t="shared" si="91"/>
        <v>48</v>
      </c>
      <c r="V341" s="19">
        <f t="shared" si="92"/>
        <v>240</v>
      </c>
      <c r="W341" s="73">
        <f t="shared" si="93"/>
        <v>2208</v>
      </c>
      <c r="X341" s="19">
        <f>IF($D341&lt;&gt;1,"",IF($G341="ROKS",$R341,IF($AI341=1,0,MAX($N341,$L341-SUMIFS(TblApplications[CPU IKS libérable (vCPU)],TblApplications[Cluster IKS source],$F341,TblApplications[Action],"À migrer",TblApplications[Mois prov (calc)],"&lt;="&amp;$E341)-SUMIFS(TblApplications[CPU IKS libérable (vCPU)],TblApplications[Cluster IKS source],$F341,TblApplications[Action],"À décommissionner",TblApplications[Mois lib (calc)],"&lt;="&amp;$E341)))))</f>
        <v>48</v>
      </c>
      <c r="Y341" s="19">
        <f>IF($D341&lt;&gt;1,"",IF($G341="ROKS",$S341,IF($AI341=1,0,MAX($O341,$M341-SUMIFS(TblApplications[RAM IKS libérable (Go)],TblApplications[Cluster IKS source],$F341,TblApplications[Action],"À migrer",TblApplications[Mois prov (calc)],"&lt;="&amp;$E341)-SUMIFS(TblApplications[RAM IKS libérable (Go)],TblApplications[Cluster IKS source],$F341,TblApplications[Action],"À décommissionner",TblApplications[Mois lib (calc)],"&lt;="&amp;$E341)))))</f>
        <v>240</v>
      </c>
      <c r="Z341" s="19">
        <f t="shared" si="94"/>
        <v>6</v>
      </c>
      <c r="AA341" s="73">
        <f t="shared" si="95"/>
        <v>2208</v>
      </c>
      <c r="AB341" s="19">
        <f t="shared" si="96"/>
        <v>6</v>
      </c>
      <c r="AC341" s="73">
        <f t="shared" si="97"/>
        <v>2208</v>
      </c>
      <c r="AD341" s="19">
        <f t="shared" si="98"/>
        <v>0</v>
      </c>
      <c r="AE341" s="19">
        <f t="shared" si="99"/>
        <v>0</v>
      </c>
      <c r="AF341" s="19" t="str">
        <f>IF($D341&lt;&gt;1,"",IF(INDEX(TblClusters[Environnement],$B341)="","(vide)",INDEX(TblClusters[Environnement],$B341)))</f>
        <v>PRD</v>
      </c>
      <c r="AG341" s="19">
        <f t="shared" si="100"/>
        <v>72</v>
      </c>
      <c r="AH341" s="19">
        <f t="shared" si="101"/>
        <v>30.666666666666668</v>
      </c>
      <c r="AI341" s="19">
        <f>IF($D341&lt;&gt;1,"",IF(AND($G341="IKS",ISNUMBER(INDEX(TblClusters[Fermeture retenue],$B341))),IF($E341&gt;=INDEX(TblClusters[Fermeture retenue],$B341),1,0),0))</f>
        <v>0</v>
      </c>
    </row>
    <row r="342" spans="1:35" x14ac:dyDescent="0.2">
      <c r="A342" s="19">
        <v>337</v>
      </c>
      <c r="B342" s="19">
        <f t="shared" si="85"/>
        <v>10</v>
      </c>
      <c r="C342" s="19">
        <f t="shared" si="86"/>
        <v>13</v>
      </c>
      <c r="D342" s="19">
        <f>IF($C342&gt;p_horizon,0,IFERROR(IF(AND(INDEX(TblClusters[Cluster],$B342)&lt;&gt;"",ISNUMBER(INDEX(TblClusters[CPU initial (vCPU)],$B342)),ISNUMBER(INDEX(TblClusters[CPU min (vCPU)],$B342)),OR(INDEX(TblClusters[Plateforme],$B342)="IKS",INDEX(TblClusters[Plateforme],$B342)="ROKS")),1,0),0))</f>
        <v>1</v>
      </c>
      <c r="E342" s="72">
        <f t="shared" si="87"/>
        <v>46661</v>
      </c>
      <c r="F342" s="19" t="str">
        <f>IF($D342=1,INDEX(TblClusters[Cluster],$B342),"")</f>
        <v>oc002i001019</v>
      </c>
      <c r="G342" s="19" t="str">
        <f>IF($D342=1,INDEX(TblClusters[Plateforme],$B342),"")</f>
        <v>ROKS</v>
      </c>
      <c r="H342" s="19">
        <f>IF($D342=1,INDEX(TblClusters[vCPU par nœud],$B342),"")</f>
        <v>8</v>
      </c>
      <c r="I342" s="19">
        <f>IF($D342=1,INDEX(TblClusters[RAM par nœud (Go)],$B342),"")</f>
        <v>40</v>
      </c>
      <c r="J342" s="19">
        <f>IF($D342=1,INDEX(TblClusters[Workers min],$B342),"")</f>
        <v>6</v>
      </c>
      <c r="K342" s="73">
        <f>IF($D342=1,INDEX(TblClusters[Tarif par nœud],$B342),"")</f>
        <v>368</v>
      </c>
      <c r="L342" s="19">
        <f>IF($D342=1,INDEX(TblClusters[CPU initial (vCPU)],$B342),"")</f>
        <v>48</v>
      </c>
      <c r="M342" s="19">
        <f>IF($D342=1,INDEX(TblClusters[RAM initiale (Go)],$B342),"")</f>
        <v>240</v>
      </c>
      <c r="N342" s="19">
        <f>IF($D342=1,INDEX(TblClusters[CPU min (vCPU)],$B342),"")</f>
        <v>48</v>
      </c>
      <c r="O342" s="19">
        <f>IF($D342=1,INDEX(TblClusters[RAM min (Go)],$B342),"")</f>
        <v>240</v>
      </c>
      <c r="P342" s="19">
        <f>IF($D342&lt;&gt;1,"",IF($G342="ROKS",SUMIFS(TblApplications[Besoin ROKS CPU (vCPU)],TblApplications[Cluster ROKS cible],$F342,TblApplications[Action],"À migrer",TblApplications[Déjà incluse ROKS],"Non",TblApplications[Mois prov (calc)],"&lt;="&amp;$E342),SUMIFS(TblApplications[CPU IKS libérable (vCPU)],TblApplications[Cluster IKS source],$F342,TblApplications[Mois lib (calc)],"&lt;="&amp;$E342)))</f>
        <v>0</v>
      </c>
      <c r="Q342" s="19">
        <f>IF($D342&lt;&gt;1,"",IF($G342="ROKS",SUMIFS(TblApplications[Besoin ROKS RAM (Go)],TblApplications[Cluster ROKS cible],$F342,TblApplications[Action],"À migrer",TblApplications[Déjà incluse ROKS],"Non",TblApplications[Mois prov (calc)],"&lt;="&amp;$E342),SUMIFS(TblApplications[RAM IKS libérable (Go)],TblApplications[Cluster IKS source],$F342,TblApplications[Mois lib (calc)],"&lt;="&amp;$E342)))</f>
        <v>0</v>
      </c>
      <c r="R342" s="19">
        <f t="shared" si="88"/>
        <v>48</v>
      </c>
      <c r="S342" s="19">
        <f t="shared" si="89"/>
        <v>240</v>
      </c>
      <c r="T342" s="19">
        <f t="shared" si="90"/>
        <v>6</v>
      </c>
      <c r="U342" s="19">
        <f t="shared" si="91"/>
        <v>48</v>
      </c>
      <c r="V342" s="19">
        <f t="shared" si="92"/>
        <v>240</v>
      </c>
      <c r="W342" s="73">
        <f t="shared" si="93"/>
        <v>2208</v>
      </c>
      <c r="X342" s="19">
        <f>IF($D342&lt;&gt;1,"",IF($G342="ROKS",$R342,IF($AI342=1,0,MAX($N342,$L342-SUMIFS(TblApplications[CPU IKS libérable (vCPU)],TblApplications[Cluster IKS source],$F342,TblApplications[Action],"À migrer",TblApplications[Mois prov (calc)],"&lt;="&amp;$E342)-SUMIFS(TblApplications[CPU IKS libérable (vCPU)],TblApplications[Cluster IKS source],$F342,TblApplications[Action],"À décommissionner",TblApplications[Mois lib (calc)],"&lt;="&amp;$E342)))))</f>
        <v>48</v>
      </c>
      <c r="Y342" s="19">
        <f>IF($D342&lt;&gt;1,"",IF($G342="ROKS",$S342,IF($AI342=1,0,MAX($O342,$M342-SUMIFS(TblApplications[RAM IKS libérable (Go)],TblApplications[Cluster IKS source],$F342,TblApplications[Action],"À migrer",TblApplications[Mois prov (calc)],"&lt;="&amp;$E342)-SUMIFS(TblApplications[RAM IKS libérable (Go)],TblApplications[Cluster IKS source],$F342,TblApplications[Action],"À décommissionner",TblApplications[Mois lib (calc)],"&lt;="&amp;$E342)))))</f>
        <v>240</v>
      </c>
      <c r="Z342" s="19">
        <f t="shared" si="94"/>
        <v>6</v>
      </c>
      <c r="AA342" s="73">
        <f t="shared" si="95"/>
        <v>2208</v>
      </c>
      <c r="AB342" s="19">
        <f t="shared" si="96"/>
        <v>6</v>
      </c>
      <c r="AC342" s="73">
        <f t="shared" si="97"/>
        <v>2208</v>
      </c>
      <c r="AD342" s="19">
        <f t="shared" si="98"/>
        <v>0</v>
      </c>
      <c r="AE342" s="19">
        <f t="shared" si="99"/>
        <v>0</v>
      </c>
      <c r="AF342" s="19" t="str">
        <f>IF($D342&lt;&gt;1,"",IF(INDEX(TblClusters[Environnement],$B342)="","(vide)",INDEX(TblClusters[Environnement],$B342)))</f>
        <v>PRD</v>
      </c>
      <c r="AG342" s="19">
        <f t="shared" si="100"/>
        <v>72</v>
      </c>
      <c r="AH342" s="19">
        <f t="shared" si="101"/>
        <v>30.666666666666668</v>
      </c>
      <c r="AI342" s="19">
        <f>IF($D342&lt;&gt;1,"",IF(AND($G342="IKS",ISNUMBER(INDEX(TblClusters[Fermeture retenue],$B342))),IF($E342&gt;=INDEX(TblClusters[Fermeture retenue],$B342),1,0),0))</f>
        <v>0</v>
      </c>
    </row>
    <row r="343" spans="1:35" x14ac:dyDescent="0.2">
      <c r="A343" s="19">
        <v>338</v>
      </c>
      <c r="B343" s="19">
        <f t="shared" si="85"/>
        <v>10</v>
      </c>
      <c r="C343" s="19">
        <f t="shared" si="86"/>
        <v>14</v>
      </c>
      <c r="D343" s="19">
        <f>IF($C343&gt;p_horizon,0,IFERROR(IF(AND(INDEX(TblClusters[Cluster],$B343)&lt;&gt;"",ISNUMBER(INDEX(TblClusters[CPU initial (vCPU)],$B343)),ISNUMBER(INDEX(TblClusters[CPU min (vCPU)],$B343)),OR(INDEX(TblClusters[Plateforme],$B343)="IKS",INDEX(TblClusters[Plateforme],$B343)="ROKS")),1,0),0))</f>
        <v>1</v>
      </c>
      <c r="E343" s="72">
        <f t="shared" si="87"/>
        <v>46692</v>
      </c>
      <c r="F343" s="19" t="str">
        <f>IF($D343=1,INDEX(TblClusters[Cluster],$B343),"")</f>
        <v>oc002i001019</v>
      </c>
      <c r="G343" s="19" t="str">
        <f>IF($D343=1,INDEX(TblClusters[Plateforme],$B343),"")</f>
        <v>ROKS</v>
      </c>
      <c r="H343" s="19">
        <f>IF($D343=1,INDEX(TblClusters[vCPU par nœud],$B343),"")</f>
        <v>8</v>
      </c>
      <c r="I343" s="19">
        <f>IF($D343=1,INDEX(TblClusters[RAM par nœud (Go)],$B343),"")</f>
        <v>40</v>
      </c>
      <c r="J343" s="19">
        <f>IF($D343=1,INDEX(TblClusters[Workers min],$B343),"")</f>
        <v>6</v>
      </c>
      <c r="K343" s="73">
        <f>IF($D343=1,INDEX(TblClusters[Tarif par nœud],$B343),"")</f>
        <v>368</v>
      </c>
      <c r="L343" s="19">
        <f>IF($D343=1,INDEX(TblClusters[CPU initial (vCPU)],$B343),"")</f>
        <v>48</v>
      </c>
      <c r="M343" s="19">
        <f>IF($D343=1,INDEX(TblClusters[RAM initiale (Go)],$B343),"")</f>
        <v>240</v>
      </c>
      <c r="N343" s="19">
        <f>IF($D343=1,INDEX(TblClusters[CPU min (vCPU)],$B343),"")</f>
        <v>48</v>
      </c>
      <c r="O343" s="19">
        <f>IF($D343=1,INDEX(TblClusters[RAM min (Go)],$B343),"")</f>
        <v>240</v>
      </c>
      <c r="P343" s="19">
        <f>IF($D343&lt;&gt;1,"",IF($G343="ROKS",SUMIFS(TblApplications[Besoin ROKS CPU (vCPU)],TblApplications[Cluster ROKS cible],$F343,TblApplications[Action],"À migrer",TblApplications[Déjà incluse ROKS],"Non",TblApplications[Mois prov (calc)],"&lt;="&amp;$E343),SUMIFS(TblApplications[CPU IKS libérable (vCPU)],TblApplications[Cluster IKS source],$F343,TblApplications[Mois lib (calc)],"&lt;="&amp;$E343)))</f>
        <v>0</v>
      </c>
      <c r="Q343" s="19">
        <f>IF($D343&lt;&gt;1,"",IF($G343="ROKS",SUMIFS(TblApplications[Besoin ROKS RAM (Go)],TblApplications[Cluster ROKS cible],$F343,TblApplications[Action],"À migrer",TblApplications[Déjà incluse ROKS],"Non",TblApplications[Mois prov (calc)],"&lt;="&amp;$E343),SUMIFS(TblApplications[RAM IKS libérable (Go)],TblApplications[Cluster IKS source],$F343,TblApplications[Mois lib (calc)],"&lt;="&amp;$E343)))</f>
        <v>0</v>
      </c>
      <c r="R343" s="19">
        <f t="shared" si="88"/>
        <v>48</v>
      </c>
      <c r="S343" s="19">
        <f t="shared" si="89"/>
        <v>240</v>
      </c>
      <c r="T343" s="19">
        <f t="shared" si="90"/>
        <v>6</v>
      </c>
      <c r="U343" s="19">
        <f t="shared" si="91"/>
        <v>48</v>
      </c>
      <c r="V343" s="19">
        <f t="shared" si="92"/>
        <v>240</v>
      </c>
      <c r="W343" s="73">
        <f t="shared" si="93"/>
        <v>2208</v>
      </c>
      <c r="X343" s="19">
        <f>IF($D343&lt;&gt;1,"",IF($G343="ROKS",$R343,IF($AI343=1,0,MAX($N343,$L343-SUMIFS(TblApplications[CPU IKS libérable (vCPU)],TblApplications[Cluster IKS source],$F343,TblApplications[Action],"À migrer",TblApplications[Mois prov (calc)],"&lt;="&amp;$E343)-SUMIFS(TblApplications[CPU IKS libérable (vCPU)],TblApplications[Cluster IKS source],$F343,TblApplications[Action],"À décommissionner",TblApplications[Mois lib (calc)],"&lt;="&amp;$E343)))))</f>
        <v>48</v>
      </c>
      <c r="Y343" s="19">
        <f>IF($D343&lt;&gt;1,"",IF($G343="ROKS",$S343,IF($AI343=1,0,MAX($O343,$M343-SUMIFS(TblApplications[RAM IKS libérable (Go)],TblApplications[Cluster IKS source],$F343,TblApplications[Action],"À migrer",TblApplications[Mois prov (calc)],"&lt;="&amp;$E343)-SUMIFS(TblApplications[RAM IKS libérable (Go)],TblApplications[Cluster IKS source],$F343,TblApplications[Action],"À décommissionner",TblApplications[Mois lib (calc)],"&lt;="&amp;$E343)))))</f>
        <v>240</v>
      </c>
      <c r="Z343" s="19">
        <f t="shared" si="94"/>
        <v>6</v>
      </c>
      <c r="AA343" s="73">
        <f t="shared" si="95"/>
        <v>2208</v>
      </c>
      <c r="AB343" s="19">
        <f t="shared" si="96"/>
        <v>6</v>
      </c>
      <c r="AC343" s="73">
        <f t="shared" si="97"/>
        <v>2208</v>
      </c>
      <c r="AD343" s="19">
        <f t="shared" si="98"/>
        <v>0</v>
      </c>
      <c r="AE343" s="19">
        <f t="shared" si="99"/>
        <v>0</v>
      </c>
      <c r="AF343" s="19" t="str">
        <f>IF($D343&lt;&gt;1,"",IF(INDEX(TblClusters[Environnement],$B343)="","(vide)",INDEX(TblClusters[Environnement],$B343)))</f>
        <v>PRD</v>
      </c>
      <c r="AG343" s="19">
        <f t="shared" si="100"/>
        <v>72</v>
      </c>
      <c r="AH343" s="19">
        <f t="shared" si="101"/>
        <v>30.666666666666668</v>
      </c>
      <c r="AI343" s="19">
        <f>IF($D343&lt;&gt;1,"",IF(AND($G343="IKS",ISNUMBER(INDEX(TblClusters[Fermeture retenue],$B343))),IF($E343&gt;=INDEX(TblClusters[Fermeture retenue],$B343),1,0),0))</f>
        <v>0</v>
      </c>
    </row>
    <row r="344" spans="1:35" x14ac:dyDescent="0.2">
      <c r="A344" s="19">
        <v>339</v>
      </c>
      <c r="B344" s="19">
        <f t="shared" si="85"/>
        <v>10</v>
      </c>
      <c r="C344" s="19">
        <f t="shared" si="86"/>
        <v>15</v>
      </c>
      <c r="D344" s="19">
        <f>IF($C344&gt;p_horizon,0,IFERROR(IF(AND(INDEX(TblClusters[Cluster],$B344)&lt;&gt;"",ISNUMBER(INDEX(TblClusters[CPU initial (vCPU)],$B344)),ISNUMBER(INDEX(TblClusters[CPU min (vCPU)],$B344)),OR(INDEX(TblClusters[Plateforme],$B344)="IKS",INDEX(TblClusters[Plateforme],$B344)="ROKS")),1,0),0))</f>
        <v>1</v>
      </c>
      <c r="E344" s="72">
        <f t="shared" si="87"/>
        <v>46722</v>
      </c>
      <c r="F344" s="19" t="str">
        <f>IF($D344=1,INDEX(TblClusters[Cluster],$B344),"")</f>
        <v>oc002i001019</v>
      </c>
      <c r="G344" s="19" t="str">
        <f>IF($D344=1,INDEX(TblClusters[Plateforme],$B344),"")</f>
        <v>ROKS</v>
      </c>
      <c r="H344" s="19">
        <f>IF($D344=1,INDEX(TblClusters[vCPU par nœud],$B344),"")</f>
        <v>8</v>
      </c>
      <c r="I344" s="19">
        <f>IF($D344=1,INDEX(TblClusters[RAM par nœud (Go)],$B344),"")</f>
        <v>40</v>
      </c>
      <c r="J344" s="19">
        <f>IF($D344=1,INDEX(TblClusters[Workers min],$B344),"")</f>
        <v>6</v>
      </c>
      <c r="K344" s="73">
        <f>IF($D344=1,INDEX(TblClusters[Tarif par nœud],$B344),"")</f>
        <v>368</v>
      </c>
      <c r="L344" s="19">
        <f>IF($D344=1,INDEX(TblClusters[CPU initial (vCPU)],$B344),"")</f>
        <v>48</v>
      </c>
      <c r="M344" s="19">
        <f>IF($D344=1,INDEX(TblClusters[RAM initiale (Go)],$B344),"")</f>
        <v>240</v>
      </c>
      <c r="N344" s="19">
        <f>IF($D344=1,INDEX(TblClusters[CPU min (vCPU)],$B344),"")</f>
        <v>48</v>
      </c>
      <c r="O344" s="19">
        <f>IF($D344=1,INDEX(TblClusters[RAM min (Go)],$B344),"")</f>
        <v>240</v>
      </c>
      <c r="P344" s="19">
        <f>IF($D344&lt;&gt;1,"",IF($G344="ROKS",SUMIFS(TblApplications[Besoin ROKS CPU (vCPU)],TblApplications[Cluster ROKS cible],$F344,TblApplications[Action],"À migrer",TblApplications[Déjà incluse ROKS],"Non",TblApplications[Mois prov (calc)],"&lt;="&amp;$E344),SUMIFS(TblApplications[CPU IKS libérable (vCPU)],TblApplications[Cluster IKS source],$F344,TblApplications[Mois lib (calc)],"&lt;="&amp;$E344)))</f>
        <v>0</v>
      </c>
      <c r="Q344" s="19">
        <f>IF($D344&lt;&gt;1,"",IF($G344="ROKS",SUMIFS(TblApplications[Besoin ROKS RAM (Go)],TblApplications[Cluster ROKS cible],$F344,TblApplications[Action],"À migrer",TblApplications[Déjà incluse ROKS],"Non",TblApplications[Mois prov (calc)],"&lt;="&amp;$E344),SUMIFS(TblApplications[RAM IKS libérable (Go)],TblApplications[Cluster IKS source],$F344,TblApplications[Mois lib (calc)],"&lt;="&amp;$E344)))</f>
        <v>0</v>
      </c>
      <c r="R344" s="19">
        <f t="shared" si="88"/>
        <v>48</v>
      </c>
      <c r="S344" s="19">
        <f t="shared" si="89"/>
        <v>240</v>
      </c>
      <c r="T344" s="19">
        <f t="shared" si="90"/>
        <v>6</v>
      </c>
      <c r="U344" s="19">
        <f t="shared" si="91"/>
        <v>48</v>
      </c>
      <c r="V344" s="19">
        <f t="shared" si="92"/>
        <v>240</v>
      </c>
      <c r="W344" s="73">
        <f t="shared" si="93"/>
        <v>2208</v>
      </c>
      <c r="X344" s="19">
        <f>IF($D344&lt;&gt;1,"",IF($G344="ROKS",$R344,IF($AI344=1,0,MAX($N344,$L344-SUMIFS(TblApplications[CPU IKS libérable (vCPU)],TblApplications[Cluster IKS source],$F344,TblApplications[Action],"À migrer",TblApplications[Mois prov (calc)],"&lt;="&amp;$E344)-SUMIFS(TblApplications[CPU IKS libérable (vCPU)],TblApplications[Cluster IKS source],$F344,TblApplications[Action],"À décommissionner",TblApplications[Mois lib (calc)],"&lt;="&amp;$E344)))))</f>
        <v>48</v>
      </c>
      <c r="Y344" s="19">
        <f>IF($D344&lt;&gt;1,"",IF($G344="ROKS",$S344,IF($AI344=1,0,MAX($O344,$M344-SUMIFS(TblApplications[RAM IKS libérable (Go)],TblApplications[Cluster IKS source],$F344,TblApplications[Action],"À migrer",TblApplications[Mois prov (calc)],"&lt;="&amp;$E344)-SUMIFS(TblApplications[RAM IKS libérable (Go)],TblApplications[Cluster IKS source],$F344,TblApplications[Action],"À décommissionner",TblApplications[Mois lib (calc)],"&lt;="&amp;$E344)))))</f>
        <v>240</v>
      </c>
      <c r="Z344" s="19">
        <f t="shared" si="94"/>
        <v>6</v>
      </c>
      <c r="AA344" s="73">
        <f t="shared" si="95"/>
        <v>2208</v>
      </c>
      <c r="AB344" s="19">
        <f t="shared" si="96"/>
        <v>6</v>
      </c>
      <c r="AC344" s="73">
        <f t="shared" si="97"/>
        <v>2208</v>
      </c>
      <c r="AD344" s="19">
        <f t="shared" si="98"/>
        <v>0</v>
      </c>
      <c r="AE344" s="19">
        <f t="shared" si="99"/>
        <v>0</v>
      </c>
      <c r="AF344" s="19" t="str">
        <f>IF($D344&lt;&gt;1,"",IF(INDEX(TblClusters[Environnement],$B344)="","(vide)",INDEX(TblClusters[Environnement],$B344)))</f>
        <v>PRD</v>
      </c>
      <c r="AG344" s="19">
        <f t="shared" si="100"/>
        <v>72</v>
      </c>
      <c r="AH344" s="19">
        <f t="shared" si="101"/>
        <v>30.666666666666668</v>
      </c>
      <c r="AI344" s="19">
        <f>IF($D344&lt;&gt;1,"",IF(AND($G344="IKS",ISNUMBER(INDEX(TblClusters[Fermeture retenue],$B344))),IF($E344&gt;=INDEX(TblClusters[Fermeture retenue],$B344),1,0),0))</f>
        <v>0</v>
      </c>
    </row>
    <row r="345" spans="1:35" x14ac:dyDescent="0.2">
      <c r="A345" s="19">
        <v>340</v>
      </c>
      <c r="B345" s="19">
        <f t="shared" si="85"/>
        <v>10</v>
      </c>
      <c r="C345" s="19">
        <f t="shared" si="86"/>
        <v>16</v>
      </c>
      <c r="D345" s="19">
        <f>IF($C345&gt;p_horizon,0,IFERROR(IF(AND(INDEX(TblClusters[Cluster],$B345)&lt;&gt;"",ISNUMBER(INDEX(TblClusters[CPU initial (vCPU)],$B345)),ISNUMBER(INDEX(TblClusters[CPU min (vCPU)],$B345)),OR(INDEX(TblClusters[Plateforme],$B345)="IKS",INDEX(TblClusters[Plateforme],$B345)="ROKS")),1,0),0))</f>
        <v>1</v>
      </c>
      <c r="E345" s="72">
        <f t="shared" si="87"/>
        <v>46753</v>
      </c>
      <c r="F345" s="19" t="str">
        <f>IF($D345=1,INDEX(TblClusters[Cluster],$B345),"")</f>
        <v>oc002i001019</v>
      </c>
      <c r="G345" s="19" t="str">
        <f>IF($D345=1,INDEX(TblClusters[Plateforme],$B345),"")</f>
        <v>ROKS</v>
      </c>
      <c r="H345" s="19">
        <f>IF($D345=1,INDEX(TblClusters[vCPU par nœud],$B345),"")</f>
        <v>8</v>
      </c>
      <c r="I345" s="19">
        <f>IF($D345=1,INDEX(TblClusters[RAM par nœud (Go)],$B345),"")</f>
        <v>40</v>
      </c>
      <c r="J345" s="19">
        <f>IF($D345=1,INDEX(TblClusters[Workers min],$B345),"")</f>
        <v>6</v>
      </c>
      <c r="K345" s="73">
        <f>IF($D345=1,INDEX(TblClusters[Tarif par nœud],$B345),"")</f>
        <v>368</v>
      </c>
      <c r="L345" s="19">
        <f>IF($D345=1,INDEX(TblClusters[CPU initial (vCPU)],$B345),"")</f>
        <v>48</v>
      </c>
      <c r="M345" s="19">
        <f>IF($D345=1,INDEX(TblClusters[RAM initiale (Go)],$B345),"")</f>
        <v>240</v>
      </c>
      <c r="N345" s="19">
        <f>IF($D345=1,INDEX(TblClusters[CPU min (vCPU)],$B345),"")</f>
        <v>48</v>
      </c>
      <c r="O345" s="19">
        <f>IF($D345=1,INDEX(TblClusters[RAM min (Go)],$B345),"")</f>
        <v>240</v>
      </c>
      <c r="P345" s="19">
        <f>IF($D345&lt;&gt;1,"",IF($G345="ROKS",SUMIFS(TblApplications[Besoin ROKS CPU (vCPU)],TblApplications[Cluster ROKS cible],$F345,TblApplications[Action],"À migrer",TblApplications[Déjà incluse ROKS],"Non",TblApplications[Mois prov (calc)],"&lt;="&amp;$E345),SUMIFS(TblApplications[CPU IKS libérable (vCPU)],TblApplications[Cluster IKS source],$F345,TblApplications[Mois lib (calc)],"&lt;="&amp;$E345)))</f>
        <v>0</v>
      </c>
      <c r="Q345" s="19">
        <f>IF($D345&lt;&gt;1,"",IF($G345="ROKS",SUMIFS(TblApplications[Besoin ROKS RAM (Go)],TblApplications[Cluster ROKS cible],$F345,TblApplications[Action],"À migrer",TblApplications[Déjà incluse ROKS],"Non",TblApplications[Mois prov (calc)],"&lt;="&amp;$E345),SUMIFS(TblApplications[RAM IKS libérable (Go)],TblApplications[Cluster IKS source],$F345,TblApplications[Mois lib (calc)],"&lt;="&amp;$E345)))</f>
        <v>0</v>
      </c>
      <c r="R345" s="19">
        <f t="shared" si="88"/>
        <v>48</v>
      </c>
      <c r="S345" s="19">
        <f t="shared" si="89"/>
        <v>240</v>
      </c>
      <c r="T345" s="19">
        <f t="shared" si="90"/>
        <v>6</v>
      </c>
      <c r="U345" s="19">
        <f t="shared" si="91"/>
        <v>48</v>
      </c>
      <c r="V345" s="19">
        <f t="shared" si="92"/>
        <v>240</v>
      </c>
      <c r="W345" s="73">
        <f t="shared" si="93"/>
        <v>2208</v>
      </c>
      <c r="X345" s="19">
        <f>IF($D345&lt;&gt;1,"",IF($G345="ROKS",$R345,IF($AI345=1,0,MAX($N345,$L345-SUMIFS(TblApplications[CPU IKS libérable (vCPU)],TblApplications[Cluster IKS source],$F345,TblApplications[Action],"À migrer",TblApplications[Mois prov (calc)],"&lt;="&amp;$E345)-SUMIFS(TblApplications[CPU IKS libérable (vCPU)],TblApplications[Cluster IKS source],$F345,TblApplications[Action],"À décommissionner",TblApplications[Mois lib (calc)],"&lt;="&amp;$E345)))))</f>
        <v>48</v>
      </c>
      <c r="Y345" s="19">
        <f>IF($D345&lt;&gt;1,"",IF($G345="ROKS",$S345,IF($AI345=1,0,MAX($O345,$M345-SUMIFS(TblApplications[RAM IKS libérable (Go)],TblApplications[Cluster IKS source],$F345,TblApplications[Action],"À migrer",TblApplications[Mois prov (calc)],"&lt;="&amp;$E345)-SUMIFS(TblApplications[RAM IKS libérable (Go)],TblApplications[Cluster IKS source],$F345,TblApplications[Action],"À décommissionner",TblApplications[Mois lib (calc)],"&lt;="&amp;$E345)))))</f>
        <v>240</v>
      </c>
      <c r="Z345" s="19">
        <f t="shared" si="94"/>
        <v>6</v>
      </c>
      <c r="AA345" s="73">
        <f t="shared" si="95"/>
        <v>2208</v>
      </c>
      <c r="AB345" s="19">
        <f t="shared" si="96"/>
        <v>6</v>
      </c>
      <c r="AC345" s="73">
        <f t="shared" si="97"/>
        <v>2208</v>
      </c>
      <c r="AD345" s="19">
        <f t="shared" si="98"/>
        <v>0</v>
      </c>
      <c r="AE345" s="19">
        <f t="shared" si="99"/>
        <v>0</v>
      </c>
      <c r="AF345" s="19" t="str">
        <f>IF($D345&lt;&gt;1,"",IF(INDEX(TblClusters[Environnement],$B345)="","(vide)",INDEX(TblClusters[Environnement],$B345)))</f>
        <v>PRD</v>
      </c>
      <c r="AG345" s="19">
        <f t="shared" si="100"/>
        <v>72</v>
      </c>
      <c r="AH345" s="19">
        <f t="shared" si="101"/>
        <v>30.666666666666668</v>
      </c>
      <c r="AI345" s="19">
        <f>IF($D345&lt;&gt;1,"",IF(AND($G345="IKS",ISNUMBER(INDEX(TblClusters[Fermeture retenue],$B345))),IF($E345&gt;=INDEX(TblClusters[Fermeture retenue],$B345),1,0),0))</f>
        <v>0</v>
      </c>
    </row>
    <row r="346" spans="1:35" x14ac:dyDescent="0.2">
      <c r="A346" s="19">
        <v>341</v>
      </c>
      <c r="B346" s="19">
        <f t="shared" si="85"/>
        <v>10</v>
      </c>
      <c r="C346" s="19">
        <f t="shared" si="86"/>
        <v>17</v>
      </c>
      <c r="D346" s="19">
        <f>IF($C346&gt;p_horizon,0,IFERROR(IF(AND(INDEX(TblClusters[Cluster],$B346)&lt;&gt;"",ISNUMBER(INDEX(TblClusters[CPU initial (vCPU)],$B346)),ISNUMBER(INDEX(TblClusters[CPU min (vCPU)],$B346)),OR(INDEX(TblClusters[Plateforme],$B346)="IKS",INDEX(TblClusters[Plateforme],$B346)="ROKS")),1,0),0))</f>
        <v>1</v>
      </c>
      <c r="E346" s="72">
        <f t="shared" si="87"/>
        <v>46784</v>
      </c>
      <c r="F346" s="19" t="str">
        <f>IF($D346=1,INDEX(TblClusters[Cluster],$B346),"")</f>
        <v>oc002i001019</v>
      </c>
      <c r="G346" s="19" t="str">
        <f>IF($D346=1,INDEX(TblClusters[Plateforme],$B346),"")</f>
        <v>ROKS</v>
      </c>
      <c r="H346" s="19">
        <f>IF($D346=1,INDEX(TblClusters[vCPU par nœud],$B346),"")</f>
        <v>8</v>
      </c>
      <c r="I346" s="19">
        <f>IF($D346=1,INDEX(TblClusters[RAM par nœud (Go)],$B346),"")</f>
        <v>40</v>
      </c>
      <c r="J346" s="19">
        <f>IF($D346=1,INDEX(TblClusters[Workers min],$B346),"")</f>
        <v>6</v>
      </c>
      <c r="K346" s="73">
        <f>IF($D346=1,INDEX(TblClusters[Tarif par nœud],$B346),"")</f>
        <v>368</v>
      </c>
      <c r="L346" s="19">
        <f>IF($D346=1,INDEX(TblClusters[CPU initial (vCPU)],$B346),"")</f>
        <v>48</v>
      </c>
      <c r="M346" s="19">
        <f>IF($D346=1,INDEX(TblClusters[RAM initiale (Go)],$B346),"")</f>
        <v>240</v>
      </c>
      <c r="N346" s="19">
        <f>IF($D346=1,INDEX(TblClusters[CPU min (vCPU)],$B346),"")</f>
        <v>48</v>
      </c>
      <c r="O346" s="19">
        <f>IF($D346=1,INDEX(TblClusters[RAM min (Go)],$B346),"")</f>
        <v>240</v>
      </c>
      <c r="P346" s="19">
        <f>IF($D346&lt;&gt;1,"",IF($G346="ROKS",SUMIFS(TblApplications[Besoin ROKS CPU (vCPU)],TblApplications[Cluster ROKS cible],$F346,TblApplications[Action],"À migrer",TblApplications[Déjà incluse ROKS],"Non",TblApplications[Mois prov (calc)],"&lt;="&amp;$E346),SUMIFS(TblApplications[CPU IKS libérable (vCPU)],TblApplications[Cluster IKS source],$F346,TblApplications[Mois lib (calc)],"&lt;="&amp;$E346)))</f>
        <v>0</v>
      </c>
      <c r="Q346" s="19">
        <f>IF($D346&lt;&gt;1,"",IF($G346="ROKS",SUMIFS(TblApplications[Besoin ROKS RAM (Go)],TblApplications[Cluster ROKS cible],$F346,TblApplications[Action],"À migrer",TblApplications[Déjà incluse ROKS],"Non",TblApplications[Mois prov (calc)],"&lt;="&amp;$E346),SUMIFS(TblApplications[RAM IKS libérable (Go)],TblApplications[Cluster IKS source],$F346,TblApplications[Mois lib (calc)],"&lt;="&amp;$E346)))</f>
        <v>0</v>
      </c>
      <c r="R346" s="19">
        <f t="shared" si="88"/>
        <v>48</v>
      </c>
      <c r="S346" s="19">
        <f t="shared" si="89"/>
        <v>240</v>
      </c>
      <c r="T346" s="19">
        <f t="shared" si="90"/>
        <v>6</v>
      </c>
      <c r="U346" s="19">
        <f t="shared" si="91"/>
        <v>48</v>
      </c>
      <c r="V346" s="19">
        <f t="shared" si="92"/>
        <v>240</v>
      </c>
      <c r="W346" s="73">
        <f t="shared" si="93"/>
        <v>2208</v>
      </c>
      <c r="X346" s="19">
        <f>IF($D346&lt;&gt;1,"",IF($G346="ROKS",$R346,IF($AI346=1,0,MAX($N346,$L346-SUMIFS(TblApplications[CPU IKS libérable (vCPU)],TblApplications[Cluster IKS source],$F346,TblApplications[Action],"À migrer",TblApplications[Mois prov (calc)],"&lt;="&amp;$E346)-SUMIFS(TblApplications[CPU IKS libérable (vCPU)],TblApplications[Cluster IKS source],$F346,TblApplications[Action],"À décommissionner",TblApplications[Mois lib (calc)],"&lt;="&amp;$E346)))))</f>
        <v>48</v>
      </c>
      <c r="Y346" s="19">
        <f>IF($D346&lt;&gt;1,"",IF($G346="ROKS",$S346,IF($AI346=1,0,MAX($O346,$M346-SUMIFS(TblApplications[RAM IKS libérable (Go)],TblApplications[Cluster IKS source],$F346,TblApplications[Action],"À migrer",TblApplications[Mois prov (calc)],"&lt;="&amp;$E346)-SUMIFS(TblApplications[RAM IKS libérable (Go)],TblApplications[Cluster IKS source],$F346,TblApplications[Action],"À décommissionner",TblApplications[Mois lib (calc)],"&lt;="&amp;$E346)))))</f>
        <v>240</v>
      </c>
      <c r="Z346" s="19">
        <f t="shared" si="94"/>
        <v>6</v>
      </c>
      <c r="AA346" s="73">
        <f t="shared" si="95"/>
        <v>2208</v>
      </c>
      <c r="AB346" s="19">
        <f t="shared" si="96"/>
        <v>6</v>
      </c>
      <c r="AC346" s="73">
        <f t="shared" si="97"/>
        <v>2208</v>
      </c>
      <c r="AD346" s="19">
        <f t="shared" si="98"/>
        <v>0</v>
      </c>
      <c r="AE346" s="19">
        <f t="shared" si="99"/>
        <v>0</v>
      </c>
      <c r="AF346" s="19" t="str">
        <f>IF($D346&lt;&gt;1,"",IF(INDEX(TblClusters[Environnement],$B346)="","(vide)",INDEX(TblClusters[Environnement],$B346)))</f>
        <v>PRD</v>
      </c>
      <c r="AG346" s="19">
        <f t="shared" si="100"/>
        <v>72</v>
      </c>
      <c r="AH346" s="19">
        <f t="shared" si="101"/>
        <v>30.666666666666668</v>
      </c>
      <c r="AI346" s="19">
        <f>IF($D346&lt;&gt;1,"",IF(AND($G346="IKS",ISNUMBER(INDEX(TblClusters[Fermeture retenue],$B346))),IF($E346&gt;=INDEX(TblClusters[Fermeture retenue],$B346),1,0),0))</f>
        <v>0</v>
      </c>
    </row>
    <row r="347" spans="1:35" x14ac:dyDescent="0.2">
      <c r="A347" s="19">
        <v>342</v>
      </c>
      <c r="B347" s="19">
        <f t="shared" si="85"/>
        <v>10</v>
      </c>
      <c r="C347" s="19">
        <f t="shared" si="86"/>
        <v>18</v>
      </c>
      <c r="D347" s="19">
        <f>IF($C347&gt;p_horizon,0,IFERROR(IF(AND(INDEX(TblClusters[Cluster],$B347)&lt;&gt;"",ISNUMBER(INDEX(TblClusters[CPU initial (vCPU)],$B347)),ISNUMBER(INDEX(TblClusters[CPU min (vCPU)],$B347)),OR(INDEX(TblClusters[Plateforme],$B347)="IKS",INDEX(TblClusters[Plateforme],$B347)="ROKS")),1,0),0))</f>
        <v>1</v>
      </c>
      <c r="E347" s="72">
        <f t="shared" si="87"/>
        <v>46813</v>
      </c>
      <c r="F347" s="19" t="str">
        <f>IF($D347=1,INDEX(TblClusters[Cluster],$B347),"")</f>
        <v>oc002i001019</v>
      </c>
      <c r="G347" s="19" t="str">
        <f>IF($D347=1,INDEX(TblClusters[Plateforme],$B347),"")</f>
        <v>ROKS</v>
      </c>
      <c r="H347" s="19">
        <f>IF($D347=1,INDEX(TblClusters[vCPU par nœud],$B347),"")</f>
        <v>8</v>
      </c>
      <c r="I347" s="19">
        <f>IF($D347=1,INDEX(TblClusters[RAM par nœud (Go)],$B347),"")</f>
        <v>40</v>
      </c>
      <c r="J347" s="19">
        <f>IF($D347=1,INDEX(TblClusters[Workers min],$B347),"")</f>
        <v>6</v>
      </c>
      <c r="K347" s="73">
        <f>IF($D347=1,INDEX(TblClusters[Tarif par nœud],$B347),"")</f>
        <v>368</v>
      </c>
      <c r="L347" s="19">
        <f>IF($D347=1,INDEX(TblClusters[CPU initial (vCPU)],$B347),"")</f>
        <v>48</v>
      </c>
      <c r="M347" s="19">
        <f>IF($D347=1,INDEX(TblClusters[RAM initiale (Go)],$B347),"")</f>
        <v>240</v>
      </c>
      <c r="N347" s="19">
        <f>IF($D347=1,INDEX(TblClusters[CPU min (vCPU)],$B347),"")</f>
        <v>48</v>
      </c>
      <c r="O347" s="19">
        <f>IF($D347=1,INDEX(TblClusters[RAM min (Go)],$B347),"")</f>
        <v>240</v>
      </c>
      <c r="P347" s="19">
        <f>IF($D347&lt;&gt;1,"",IF($G347="ROKS",SUMIFS(TblApplications[Besoin ROKS CPU (vCPU)],TblApplications[Cluster ROKS cible],$F347,TblApplications[Action],"À migrer",TblApplications[Déjà incluse ROKS],"Non",TblApplications[Mois prov (calc)],"&lt;="&amp;$E347),SUMIFS(TblApplications[CPU IKS libérable (vCPU)],TblApplications[Cluster IKS source],$F347,TblApplications[Mois lib (calc)],"&lt;="&amp;$E347)))</f>
        <v>0</v>
      </c>
      <c r="Q347" s="19">
        <f>IF($D347&lt;&gt;1,"",IF($G347="ROKS",SUMIFS(TblApplications[Besoin ROKS RAM (Go)],TblApplications[Cluster ROKS cible],$F347,TblApplications[Action],"À migrer",TblApplications[Déjà incluse ROKS],"Non",TblApplications[Mois prov (calc)],"&lt;="&amp;$E347),SUMIFS(TblApplications[RAM IKS libérable (Go)],TblApplications[Cluster IKS source],$F347,TblApplications[Mois lib (calc)],"&lt;="&amp;$E347)))</f>
        <v>0</v>
      </c>
      <c r="R347" s="19">
        <f t="shared" si="88"/>
        <v>48</v>
      </c>
      <c r="S347" s="19">
        <f t="shared" si="89"/>
        <v>240</v>
      </c>
      <c r="T347" s="19">
        <f t="shared" si="90"/>
        <v>6</v>
      </c>
      <c r="U347" s="19">
        <f t="shared" si="91"/>
        <v>48</v>
      </c>
      <c r="V347" s="19">
        <f t="shared" si="92"/>
        <v>240</v>
      </c>
      <c r="W347" s="73">
        <f t="shared" si="93"/>
        <v>2208</v>
      </c>
      <c r="X347" s="19">
        <f>IF($D347&lt;&gt;1,"",IF($G347="ROKS",$R347,IF($AI347=1,0,MAX($N347,$L347-SUMIFS(TblApplications[CPU IKS libérable (vCPU)],TblApplications[Cluster IKS source],$F347,TblApplications[Action],"À migrer",TblApplications[Mois prov (calc)],"&lt;="&amp;$E347)-SUMIFS(TblApplications[CPU IKS libérable (vCPU)],TblApplications[Cluster IKS source],$F347,TblApplications[Action],"À décommissionner",TblApplications[Mois lib (calc)],"&lt;="&amp;$E347)))))</f>
        <v>48</v>
      </c>
      <c r="Y347" s="19">
        <f>IF($D347&lt;&gt;1,"",IF($G347="ROKS",$S347,IF($AI347=1,0,MAX($O347,$M347-SUMIFS(TblApplications[RAM IKS libérable (Go)],TblApplications[Cluster IKS source],$F347,TblApplications[Action],"À migrer",TblApplications[Mois prov (calc)],"&lt;="&amp;$E347)-SUMIFS(TblApplications[RAM IKS libérable (Go)],TblApplications[Cluster IKS source],$F347,TblApplications[Action],"À décommissionner",TblApplications[Mois lib (calc)],"&lt;="&amp;$E347)))))</f>
        <v>240</v>
      </c>
      <c r="Z347" s="19">
        <f t="shared" si="94"/>
        <v>6</v>
      </c>
      <c r="AA347" s="73">
        <f t="shared" si="95"/>
        <v>2208</v>
      </c>
      <c r="AB347" s="19">
        <f t="shared" si="96"/>
        <v>6</v>
      </c>
      <c r="AC347" s="73">
        <f t="shared" si="97"/>
        <v>2208</v>
      </c>
      <c r="AD347" s="19">
        <f t="shared" si="98"/>
        <v>0</v>
      </c>
      <c r="AE347" s="19">
        <f t="shared" si="99"/>
        <v>0</v>
      </c>
      <c r="AF347" s="19" t="str">
        <f>IF($D347&lt;&gt;1,"",IF(INDEX(TblClusters[Environnement],$B347)="","(vide)",INDEX(TblClusters[Environnement],$B347)))</f>
        <v>PRD</v>
      </c>
      <c r="AG347" s="19">
        <f t="shared" si="100"/>
        <v>72</v>
      </c>
      <c r="AH347" s="19">
        <f t="shared" si="101"/>
        <v>30.666666666666668</v>
      </c>
      <c r="AI347" s="19">
        <f>IF($D347&lt;&gt;1,"",IF(AND($G347="IKS",ISNUMBER(INDEX(TblClusters[Fermeture retenue],$B347))),IF($E347&gt;=INDEX(TblClusters[Fermeture retenue],$B347),1,0),0))</f>
        <v>0</v>
      </c>
    </row>
    <row r="348" spans="1:35" x14ac:dyDescent="0.2">
      <c r="A348" s="19">
        <v>343</v>
      </c>
      <c r="B348" s="19">
        <f t="shared" si="85"/>
        <v>10</v>
      </c>
      <c r="C348" s="19">
        <f t="shared" si="86"/>
        <v>19</v>
      </c>
      <c r="D348" s="19">
        <f>IF($C348&gt;p_horizon,0,IFERROR(IF(AND(INDEX(TblClusters[Cluster],$B348)&lt;&gt;"",ISNUMBER(INDEX(TblClusters[CPU initial (vCPU)],$B348)),ISNUMBER(INDEX(TblClusters[CPU min (vCPU)],$B348)),OR(INDEX(TblClusters[Plateforme],$B348)="IKS",INDEX(TblClusters[Plateforme],$B348)="ROKS")),1,0),0))</f>
        <v>1</v>
      </c>
      <c r="E348" s="72">
        <f t="shared" si="87"/>
        <v>46844</v>
      </c>
      <c r="F348" s="19" t="str">
        <f>IF($D348=1,INDEX(TblClusters[Cluster],$B348),"")</f>
        <v>oc002i001019</v>
      </c>
      <c r="G348" s="19" t="str">
        <f>IF($D348=1,INDEX(TblClusters[Plateforme],$B348),"")</f>
        <v>ROKS</v>
      </c>
      <c r="H348" s="19">
        <f>IF($D348=1,INDEX(TblClusters[vCPU par nœud],$B348),"")</f>
        <v>8</v>
      </c>
      <c r="I348" s="19">
        <f>IF($D348=1,INDEX(TblClusters[RAM par nœud (Go)],$B348),"")</f>
        <v>40</v>
      </c>
      <c r="J348" s="19">
        <f>IF($D348=1,INDEX(TblClusters[Workers min],$B348),"")</f>
        <v>6</v>
      </c>
      <c r="K348" s="73">
        <f>IF($D348=1,INDEX(TblClusters[Tarif par nœud],$B348),"")</f>
        <v>368</v>
      </c>
      <c r="L348" s="19">
        <f>IF($D348=1,INDEX(TblClusters[CPU initial (vCPU)],$B348),"")</f>
        <v>48</v>
      </c>
      <c r="M348" s="19">
        <f>IF($D348=1,INDEX(TblClusters[RAM initiale (Go)],$B348),"")</f>
        <v>240</v>
      </c>
      <c r="N348" s="19">
        <f>IF($D348=1,INDEX(TblClusters[CPU min (vCPU)],$B348),"")</f>
        <v>48</v>
      </c>
      <c r="O348" s="19">
        <f>IF($D348=1,INDEX(TblClusters[RAM min (Go)],$B348),"")</f>
        <v>240</v>
      </c>
      <c r="P348" s="19">
        <f>IF($D348&lt;&gt;1,"",IF($G348="ROKS",SUMIFS(TblApplications[Besoin ROKS CPU (vCPU)],TblApplications[Cluster ROKS cible],$F348,TblApplications[Action],"À migrer",TblApplications[Déjà incluse ROKS],"Non",TblApplications[Mois prov (calc)],"&lt;="&amp;$E348),SUMIFS(TblApplications[CPU IKS libérable (vCPU)],TblApplications[Cluster IKS source],$F348,TblApplications[Mois lib (calc)],"&lt;="&amp;$E348)))</f>
        <v>0</v>
      </c>
      <c r="Q348" s="19">
        <f>IF($D348&lt;&gt;1,"",IF($G348="ROKS",SUMIFS(TblApplications[Besoin ROKS RAM (Go)],TblApplications[Cluster ROKS cible],$F348,TblApplications[Action],"À migrer",TblApplications[Déjà incluse ROKS],"Non",TblApplications[Mois prov (calc)],"&lt;="&amp;$E348),SUMIFS(TblApplications[RAM IKS libérable (Go)],TblApplications[Cluster IKS source],$F348,TblApplications[Mois lib (calc)],"&lt;="&amp;$E348)))</f>
        <v>0</v>
      </c>
      <c r="R348" s="19">
        <f t="shared" si="88"/>
        <v>48</v>
      </c>
      <c r="S348" s="19">
        <f t="shared" si="89"/>
        <v>240</v>
      </c>
      <c r="T348" s="19">
        <f t="shared" si="90"/>
        <v>6</v>
      </c>
      <c r="U348" s="19">
        <f t="shared" si="91"/>
        <v>48</v>
      </c>
      <c r="V348" s="19">
        <f t="shared" si="92"/>
        <v>240</v>
      </c>
      <c r="W348" s="73">
        <f t="shared" si="93"/>
        <v>2208</v>
      </c>
      <c r="X348" s="19">
        <f>IF($D348&lt;&gt;1,"",IF($G348="ROKS",$R348,IF($AI348=1,0,MAX($N348,$L348-SUMIFS(TblApplications[CPU IKS libérable (vCPU)],TblApplications[Cluster IKS source],$F348,TblApplications[Action],"À migrer",TblApplications[Mois prov (calc)],"&lt;="&amp;$E348)-SUMIFS(TblApplications[CPU IKS libérable (vCPU)],TblApplications[Cluster IKS source],$F348,TblApplications[Action],"À décommissionner",TblApplications[Mois lib (calc)],"&lt;="&amp;$E348)))))</f>
        <v>48</v>
      </c>
      <c r="Y348" s="19">
        <f>IF($D348&lt;&gt;1,"",IF($G348="ROKS",$S348,IF($AI348=1,0,MAX($O348,$M348-SUMIFS(TblApplications[RAM IKS libérable (Go)],TblApplications[Cluster IKS source],$F348,TblApplications[Action],"À migrer",TblApplications[Mois prov (calc)],"&lt;="&amp;$E348)-SUMIFS(TblApplications[RAM IKS libérable (Go)],TblApplications[Cluster IKS source],$F348,TblApplications[Action],"À décommissionner",TblApplications[Mois lib (calc)],"&lt;="&amp;$E348)))))</f>
        <v>240</v>
      </c>
      <c r="Z348" s="19">
        <f t="shared" si="94"/>
        <v>6</v>
      </c>
      <c r="AA348" s="73">
        <f t="shared" si="95"/>
        <v>2208</v>
      </c>
      <c r="AB348" s="19">
        <f t="shared" si="96"/>
        <v>6</v>
      </c>
      <c r="AC348" s="73">
        <f t="shared" si="97"/>
        <v>2208</v>
      </c>
      <c r="AD348" s="19">
        <f t="shared" si="98"/>
        <v>0</v>
      </c>
      <c r="AE348" s="19">
        <f t="shared" si="99"/>
        <v>0</v>
      </c>
      <c r="AF348" s="19" t="str">
        <f>IF($D348&lt;&gt;1,"",IF(INDEX(TblClusters[Environnement],$B348)="","(vide)",INDEX(TblClusters[Environnement],$B348)))</f>
        <v>PRD</v>
      </c>
      <c r="AG348" s="19">
        <f t="shared" si="100"/>
        <v>72</v>
      </c>
      <c r="AH348" s="19">
        <f t="shared" si="101"/>
        <v>30.666666666666668</v>
      </c>
      <c r="AI348" s="19">
        <f>IF($D348&lt;&gt;1,"",IF(AND($G348="IKS",ISNUMBER(INDEX(TblClusters[Fermeture retenue],$B348))),IF($E348&gt;=INDEX(TblClusters[Fermeture retenue],$B348),1,0),0))</f>
        <v>0</v>
      </c>
    </row>
    <row r="349" spans="1:35" x14ac:dyDescent="0.2">
      <c r="A349" s="19">
        <v>344</v>
      </c>
      <c r="B349" s="19">
        <f t="shared" si="85"/>
        <v>10</v>
      </c>
      <c r="C349" s="19">
        <f t="shared" si="86"/>
        <v>20</v>
      </c>
      <c r="D349" s="19">
        <f>IF($C349&gt;p_horizon,0,IFERROR(IF(AND(INDEX(TblClusters[Cluster],$B349)&lt;&gt;"",ISNUMBER(INDEX(TblClusters[CPU initial (vCPU)],$B349)),ISNUMBER(INDEX(TblClusters[CPU min (vCPU)],$B349)),OR(INDEX(TblClusters[Plateforme],$B349)="IKS",INDEX(TblClusters[Plateforme],$B349)="ROKS")),1,0),0))</f>
        <v>1</v>
      </c>
      <c r="E349" s="72">
        <f t="shared" si="87"/>
        <v>46874</v>
      </c>
      <c r="F349" s="19" t="str">
        <f>IF($D349=1,INDEX(TblClusters[Cluster],$B349),"")</f>
        <v>oc002i001019</v>
      </c>
      <c r="G349" s="19" t="str">
        <f>IF($D349=1,INDEX(TblClusters[Plateforme],$B349),"")</f>
        <v>ROKS</v>
      </c>
      <c r="H349" s="19">
        <f>IF($D349=1,INDEX(TblClusters[vCPU par nœud],$B349),"")</f>
        <v>8</v>
      </c>
      <c r="I349" s="19">
        <f>IF($D349=1,INDEX(TblClusters[RAM par nœud (Go)],$B349),"")</f>
        <v>40</v>
      </c>
      <c r="J349" s="19">
        <f>IF($D349=1,INDEX(TblClusters[Workers min],$B349),"")</f>
        <v>6</v>
      </c>
      <c r="K349" s="73">
        <f>IF($D349=1,INDEX(TblClusters[Tarif par nœud],$B349),"")</f>
        <v>368</v>
      </c>
      <c r="L349" s="19">
        <f>IF($D349=1,INDEX(TblClusters[CPU initial (vCPU)],$B349),"")</f>
        <v>48</v>
      </c>
      <c r="M349" s="19">
        <f>IF($D349=1,INDEX(TblClusters[RAM initiale (Go)],$B349),"")</f>
        <v>240</v>
      </c>
      <c r="N349" s="19">
        <f>IF($D349=1,INDEX(TblClusters[CPU min (vCPU)],$B349),"")</f>
        <v>48</v>
      </c>
      <c r="O349" s="19">
        <f>IF($D349=1,INDEX(TblClusters[RAM min (Go)],$B349),"")</f>
        <v>240</v>
      </c>
      <c r="P349" s="19">
        <f>IF($D349&lt;&gt;1,"",IF($G349="ROKS",SUMIFS(TblApplications[Besoin ROKS CPU (vCPU)],TblApplications[Cluster ROKS cible],$F349,TblApplications[Action],"À migrer",TblApplications[Déjà incluse ROKS],"Non",TblApplications[Mois prov (calc)],"&lt;="&amp;$E349),SUMIFS(TblApplications[CPU IKS libérable (vCPU)],TblApplications[Cluster IKS source],$F349,TblApplications[Mois lib (calc)],"&lt;="&amp;$E349)))</f>
        <v>0</v>
      </c>
      <c r="Q349" s="19">
        <f>IF($D349&lt;&gt;1,"",IF($G349="ROKS",SUMIFS(TblApplications[Besoin ROKS RAM (Go)],TblApplications[Cluster ROKS cible],$F349,TblApplications[Action],"À migrer",TblApplications[Déjà incluse ROKS],"Non",TblApplications[Mois prov (calc)],"&lt;="&amp;$E349),SUMIFS(TblApplications[RAM IKS libérable (Go)],TblApplications[Cluster IKS source],$F349,TblApplications[Mois lib (calc)],"&lt;="&amp;$E349)))</f>
        <v>0</v>
      </c>
      <c r="R349" s="19">
        <f t="shared" si="88"/>
        <v>48</v>
      </c>
      <c r="S349" s="19">
        <f t="shared" si="89"/>
        <v>240</v>
      </c>
      <c r="T349" s="19">
        <f t="shared" si="90"/>
        <v>6</v>
      </c>
      <c r="U349" s="19">
        <f t="shared" si="91"/>
        <v>48</v>
      </c>
      <c r="V349" s="19">
        <f t="shared" si="92"/>
        <v>240</v>
      </c>
      <c r="W349" s="73">
        <f t="shared" si="93"/>
        <v>2208</v>
      </c>
      <c r="X349" s="19">
        <f>IF($D349&lt;&gt;1,"",IF($G349="ROKS",$R349,IF($AI349=1,0,MAX($N349,$L349-SUMIFS(TblApplications[CPU IKS libérable (vCPU)],TblApplications[Cluster IKS source],$F349,TblApplications[Action],"À migrer",TblApplications[Mois prov (calc)],"&lt;="&amp;$E349)-SUMIFS(TblApplications[CPU IKS libérable (vCPU)],TblApplications[Cluster IKS source],$F349,TblApplications[Action],"À décommissionner",TblApplications[Mois lib (calc)],"&lt;="&amp;$E349)))))</f>
        <v>48</v>
      </c>
      <c r="Y349" s="19">
        <f>IF($D349&lt;&gt;1,"",IF($G349="ROKS",$S349,IF($AI349=1,0,MAX($O349,$M349-SUMIFS(TblApplications[RAM IKS libérable (Go)],TblApplications[Cluster IKS source],$F349,TblApplications[Action],"À migrer",TblApplications[Mois prov (calc)],"&lt;="&amp;$E349)-SUMIFS(TblApplications[RAM IKS libérable (Go)],TblApplications[Cluster IKS source],$F349,TblApplications[Action],"À décommissionner",TblApplications[Mois lib (calc)],"&lt;="&amp;$E349)))))</f>
        <v>240</v>
      </c>
      <c r="Z349" s="19">
        <f t="shared" si="94"/>
        <v>6</v>
      </c>
      <c r="AA349" s="73">
        <f t="shared" si="95"/>
        <v>2208</v>
      </c>
      <c r="AB349" s="19">
        <f t="shared" si="96"/>
        <v>6</v>
      </c>
      <c r="AC349" s="73">
        <f t="shared" si="97"/>
        <v>2208</v>
      </c>
      <c r="AD349" s="19">
        <f t="shared" si="98"/>
        <v>0</v>
      </c>
      <c r="AE349" s="19">
        <f t="shared" si="99"/>
        <v>0</v>
      </c>
      <c r="AF349" s="19" t="str">
        <f>IF($D349&lt;&gt;1,"",IF(INDEX(TblClusters[Environnement],$B349)="","(vide)",INDEX(TblClusters[Environnement],$B349)))</f>
        <v>PRD</v>
      </c>
      <c r="AG349" s="19">
        <f t="shared" si="100"/>
        <v>72</v>
      </c>
      <c r="AH349" s="19">
        <f t="shared" si="101"/>
        <v>30.666666666666668</v>
      </c>
      <c r="AI349" s="19">
        <f>IF($D349&lt;&gt;1,"",IF(AND($G349="IKS",ISNUMBER(INDEX(TblClusters[Fermeture retenue],$B349))),IF($E349&gt;=INDEX(TblClusters[Fermeture retenue],$B349),1,0),0))</f>
        <v>0</v>
      </c>
    </row>
    <row r="350" spans="1:35" x14ac:dyDescent="0.2">
      <c r="A350" s="19">
        <v>345</v>
      </c>
      <c r="B350" s="19">
        <f t="shared" si="85"/>
        <v>10</v>
      </c>
      <c r="C350" s="19">
        <f t="shared" si="86"/>
        <v>21</v>
      </c>
      <c r="D350" s="19">
        <f>IF($C350&gt;p_horizon,0,IFERROR(IF(AND(INDEX(TblClusters[Cluster],$B350)&lt;&gt;"",ISNUMBER(INDEX(TblClusters[CPU initial (vCPU)],$B350)),ISNUMBER(INDEX(TblClusters[CPU min (vCPU)],$B350)),OR(INDEX(TblClusters[Plateforme],$B350)="IKS",INDEX(TblClusters[Plateforme],$B350)="ROKS")),1,0),0))</f>
        <v>1</v>
      </c>
      <c r="E350" s="72">
        <f t="shared" si="87"/>
        <v>46905</v>
      </c>
      <c r="F350" s="19" t="str">
        <f>IF($D350=1,INDEX(TblClusters[Cluster],$B350),"")</f>
        <v>oc002i001019</v>
      </c>
      <c r="G350" s="19" t="str">
        <f>IF($D350=1,INDEX(TblClusters[Plateforme],$B350),"")</f>
        <v>ROKS</v>
      </c>
      <c r="H350" s="19">
        <f>IF($D350=1,INDEX(TblClusters[vCPU par nœud],$B350),"")</f>
        <v>8</v>
      </c>
      <c r="I350" s="19">
        <f>IF($D350=1,INDEX(TblClusters[RAM par nœud (Go)],$B350),"")</f>
        <v>40</v>
      </c>
      <c r="J350" s="19">
        <f>IF($D350=1,INDEX(TblClusters[Workers min],$B350),"")</f>
        <v>6</v>
      </c>
      <c r="K350" s="73">
        <f>IF($D350=1,INDEX(TblClusters[Tarif par nœud],$B350),"")</f>
        <v>368</v>
      </c>
      <c r="L350" s="19">
        <f>IF($D350=1,INDEX(TblClusters[CPU initial (vCPU)],$B350),"")</f>
        <v>48</v>
      </c>
      <c r="M350" s="19">
        <f>IF($D350=1,INDEX(TblClusters[RAM initiale (Go)],$B350),"")</f>
        <v>240</v>
      </c>
      <c r="N350" s="19">
        <f>IF($D350=1,INDEX(TblClusters[CPU min (vCPU)],$B350),"")</f>
        <v>48</v>
      </c>
      <c r="O350" s="19">
        <f>IF($D350=1,INDEX(TblClusters[RAM min (Go)],$B350),"")</f>
        <v>240</v>
      </c>
      <c r="P350" s="19">
        <f>IF($D350&lt;&gt;1,"",IF($G350="ROKS",SUMIFS(TblApplications[Besoin ROKS CPU (vCPU)],TblApplications[Cluster ROKS cible],$F350,TblApplications[Action],"À migrer",TblApplications[Déjà incluse ROKS],"Non",TblApplications[Mois prov (calc)],"&lt;="&amp;$E350),SUMIFS(TblApplications[CPU IKS libérable (vCPU)],TblApplications[Cluster IKS source],$F350,TblApplications[Mois lib (calc)],"&lt;="&amp;$E350)))</f>
        <v>0</v>
      </c>
      <c r="Q350" s="19">
        <f>IF($D350&lt;&gt;1,"",IF($G350="ROKS",SUMIFS(TblApplications[Besoin ROKS RAM (Go)],TblApplications[Cluster ROKS cible],$F350,TblApplications[Action],"À migrer",TblApplications[Déjà incluse ROKS],"Non",TblApplications[Mois prov (calc)],"&lt;="&amp;$E350),SUMIFS(TblApplications[RAM IKS libérable (Go)],TblApplications[Cluster IKS source],$F350,TblApplications[Mois lib (calc)],"&lt;="&amp;$E350)))</f>
        <v>0</v>
      </c>
      <c r="R350" s="19">
        <f t="shared" si="88"/>
        <v>48</v>
      </c>
      <c r="S350" s="19">
        <f t="shared" si="89"/>
        <v>240</v>
      </c>
      <c r="T350" s="19">
        <f t="shared" si="90"/>
        <v>6</v>
      </c>
      <c r="U350" s="19">
        <f t="shared" si="91"/>
        <v>48</v>
      </c>
      <c r="V350" s="19">
        <f t="shared" si="92"/>
        <v>240</v>
      </c>
      <c r="W350" s="73">
        <f t="shared" si="93"/>
        <v>2208</v>
      </c>
      <c r="X350" s="19">
        <f>IF($D350&lt;&gt;1,"",IF($G350="ROKS",$R350,IF($AI350=1,0,MAX($N350,$L350-SUMIFS(TblApplications[CPU IKS libérable (vCPU)],TblApplications[Cluster IKS source],$F350,TblApplications[Action],"À migrer",TblApplications[Mois prov (calc)],"&lt;="&amp;$E350)-SUMIFS(TblApplications[CPU IKS libérable (vCPU)],TblApplications[Cluster IKS source],$F350,TblApplications[Action],"À décommissionner",TblApplications[Mois lib (calc)],"&lt;="&amp;$E350)))))</f>
        <v>48</v>
      </c>
      <c r="Y350" s="19">
        <f>IF($D350&lt;&gt;1,"",IF($G350="ROKS",$S350,IF($AI350=1,0,MAX($O350,$M350-SUMIFS(TblApplications[RAM IKS libérable (Go)],TblApplications[Cluster IKS source],$F350,TblApplications[Action],"À migrer",TblApplications[Mois prov (calc)],"&lt;="&amp;$E350)-SUMIFS(TblApplications[RAM IKS libérable (Go)],TblApplications[Cluster IKS source],$F350,TblApplications[Action],"À décommissionner",TblApplications[Mois lib (calc)],"&lt;="&amp;$E350)))))</f>
        <v>240</v>
      </c>
      <c r="Z350" s="19">
        <f t="shared" si="94"/>
        <v>6</v>
      </c>
      <c r="AA350" s="73">
        <f t="shared" si="95"/>
        <v>2208</v>
      </c>
      <c r="AB350" s="19">
        <f t="shared" si="96"/>
        <v>6</v>
      </c>
      <c r="AC350" s="73">
        <f t="shared" si="97"/>
        <v>2208</v>
      </c>
      <c r="AD350" s="19">
        <f t="shared" si="98"/>
        <v>0</v>
      </c>
      <c r="AE350" s="19">
        <f t="shared" si="99"/>
        <v>0</v>
      </c>
      <c r="AF350" s="19" t="str">
        <f>IF($D350&lt;&gt;1,"",IF(INDEX(TblClusters[Environnement],$B350)="","(vide)",INDEX(TblClusters[Environnement],$B350)))</f>
        <v>PRD</v>
      </c>
      <c r="AG350" s="19">
        <f t="shared" si="100"/>
        <v>72</v>
      </c>
      <c r="AH350" s="19">
        <f t="shared" si="101"/>
        <v>30.666666666666668</v>
      </c>
      <c r="AI350" s="19">
        <f>IF($D350&lt;&gt;1,"",IF(AND($G350="IKS",ISNUMBER(INDEX(TblClusters[Fermeture retenue],$B350))),IF($E350&gt;=INDEX(TblClusters[Fermeture retenue],$B350),1,0),0))</f>
        <v>0</v>
      </c>
    </row>
    <row r="351" spans="1:35" x14ac:dyDescent="0.2">
      <c r="A351" s="19">
        <v>346</v>
      </c>
      <c r="B351" s="19">
        <f t="shared" si="85"/>
        <v>10</v>
      </c>
      <c r="C351" s="19">
        <f t="shared" si="86"/>
        <v>22</v>
      </c>
      <c r="D351" s="19">
        <f>IF($C351&gt;p_horizon,0,IFERROR(IF(AND(INDEX(TblClusters[Cluster],$B351)&lt;&gt;"",ISNUMBER(INDEX(TblClusters[CPU initial (vCPU)],$B351)),ISNUMBER(INDEX(TblClusters[CPU min (vCPU)],$B351)),OR(INDEX(TblClusters[Plateforme],$B351)="IKS",INDEX(TblClusters[Plateforme],$B351)="ROKS")),1,0),0))</f>
        <v>1</v>
      </c>
      <c r="E351" s="72">
        <f t="shared" si="87"/>
        <v>46935</v>
      </c>
      <c r="F351" s="19" t="str">
        <f>IF($D351=1,INDEX(TblClusters[Cluster],$B351),"")</f>
        <v>oc002i001019</v>
      </c>
      <c r="G351" s="19" t="str">
        <f>IF($D351=1,INDEX(TblClusters[Plateforme],$B351),"")</f>
        <v>ROKS</v>
      </c>
      <c r="H351" s="19">
        <f>IF($D351=1,INDEX(TblClusters[vCPU par nœud],$B351),"")</f>
        <v>8</v>
      </c>
      <c r="I351" s="19">
        <f>IF($D351=1,INDEX(TblClusters[RAM par nœud (Go)],$B351),"")</f>
        <v>40</v>
      </c>
      <c r="J351" s="19">
        <f>IF($D351=1,INDEX(TblClusters[Workers min],$B351),"")</f>
        <v>6</v>
      </c>
      <c r="K351" s="73">
        <f>IF($D351=1,INDEX(TblClusters[Tarif par nœud],$B351),"")</f>
        <v>368</v>
      </c>
      <c r="L351" s="19">
        <f>IF($D351=1,INDEX(TblClusters[CPU initial (vCPU)],$B351),"")</f>
        <v>48</v>
      </c>
      <c r="M351" s="19">
        <f>IF($D351=1,INDEX(TblClusters[RAM initiale (Go)],$B351),"")</f>
        <v>240</v>
      </c>
      <c r="N351" s="19">
        <f>IF($D351=1,INDEX(TblClusters[CPU min (vCPU)],$B351),"")</f>
        <v>48</v>
      </c>
      <c r="O351" s="19">
        <f>IF($D351=1,INDEX(TblClusters[RAM min (Go)],$B351),"")</f>
        <v>240</v>
      </c>
      <c r="P351" s="19">
        <f>IF($D351&lt;&gt;1,"",IF($G351="ROKS",SUMIFS(TblApplications[Besoin ROKS CPU (vCPU)],TblApplications[Cluster ROKS cible],$F351,TblApplications[Action],"À migrer",TblApplications[Déjà incluse ROKS],"Non",TblApplications[Mois prov (calc)],"&lt;="&amp;$E351),SUMIFS(TblApplications[CPU IKS libérable (vCPU)],TblApplications[Cluster IKS source],$F351,TblApplications[Mois lib (calc)],"&lt;="&amp;$E351)))</f>
        <v>0</v>
      </c>
      <c r="Q351" s="19">
        <f>IF($D351&lt;&gt;1,"",IF($G351="ROKS",SUMIFS(TblApplications[Besoin ROKS RAM (Go)],TblApplications[Cluster ROKS cible],$F351,TblApplications[Action],"À migrer",TblApplications[Déjà incluse ROKS],"Non",TblApplications[Mois prov (calc)],"&lt;="&amp;$E351),SUMIFS(TblApplications[RAM IKS libérable (Go)],TblApplications[Cluster IKS source],$F351,TblApplications[Mois lib (calc)],"&lt;="&amp;$E351)))</f>
        <v>0</v>
      </c>
      <c r="R351" s="19">
        <f t="shared" si="88"/>
        <v>48</v>
      </c>
      <c r="S351" s="19">
        <f t="shared" si="89"/>
        <v>240</v>
      </c>
      <c r="T351" s="19">
        <f t="shared" si="90"/>
        <v>6</v>
      </c>
      <c r="U351" s="19">
        <f t="shared" si="91"/>
        <v>48</v>
      </c>
      <c r="V351" s="19">
        <f t="shared" si="92"/>
        <v>240</v>
      </c>
      <c r="W351" s="73">
        <f t="shared" si="93"/>
        <v>2208</v>
      </c>
      <c r="X351" s="19">
        <f>IF($D351&lt;&gt;1,"",IF($G351="ROKS",$R351,IF($AI351=1,0,MAX($N351,$L351-SUMIFS(TblApplications[CPU IKS libérable (vCPU)],TblApplications[Cluster IKS source],$F351,TblApplications[Action],"À migrer",TblApplications[Mois prov (calc)],"&lt;="&amp;$E351)-SUMIFS(TblApplications[CPU IKS libérable (vCPU)],TblApplications[Cluster IKS source],$F351,TblApplications[Action],"À décommissionner",TblApplications[Mois lib (calc)],"&lt;="&amp;$E351)))))</f>
        <v>48</v>
      </c>
      <c r="Y351" s="19">
        <f>IF($D351&lt;&gt;1,"",IF($G351="ROKS",$S351,IF($AI351=1,0,MAX($O351,$M351-SUMIFS(TblApplications[RAM IKS libérable (Go)],TblApplications[Cluster IKS source],$F351,TblApplications[Action],"À migrer",TblApplications[Mois prov (calc)],"&lt;="&amp;$E351)-SUMIFS(TblApplications[RAM IKS libérable (Go)],TblApplications[Cluster IKS source],$F351,TblApplications[Action],"À décommissionner",TblApplications[Mois lib (calc)],"&lt;="&amp;$E351)))))</f>
        <v>240</v>
      </c>
      <c r="Z351" s="19">
        <f t="shared" si="94"/>
        <v>6</v>
      </c>
      <c r="AA351" s="73">
        <f t="shared" si="95"/>
        <v>2208</v>
      </c>
      <c r="AB351" s="19">
        <f t="shared" si="96"/>
        <v>6</v>
      </c>
      <c r="AC351" s="73">
        <f t="shared" si="97"/>
        <v>2208</v>
      </c>
      <c r="AD351" s="19">
        <f t="shared" si="98"/>
        <v>0</v>
      </c>
      <c r="AE351" s="19">
        <f t="shared" si="99"/>
        <v>0</v>
      </c>
      <c r="AF351" s="19" t="str">
        <f>IF($D351&lt;&gt;1,"",IF(INDEX(TblClusters[Environnement],$B351)="","(vide)",INDEX(TblClusters[Environnement],$B351)))</f>
        <v>PRD</v>
      </c>
      <c r="AG351" s="19">
        <f t="shared" si="100"/>
        <v>72</v>
      </c>
      <c r="AH351" s="19">
        <f t="shared" si="101"/>
        <v>30.666666666666668</v>
      </c>
      <c r="AI351" s="19">
        <f>IF($D351&lt;&gt;1,"",IF(AND($G351="IKS",ISNUMBER(INDEX(TblClusters[Fermeture retenue],$B351))),IF($E351&gt;=INDEX(TblClusters[Fermeture retenue],$B351),1,0),0))</f>
        <v>0</v>
      </c>
    </row>
    <row r="352" spans="1:35" x14ac:dyDescent="0.2">
      <c r="A352" s="19">
        <v>347</v>
      </c>
      <c r="B352" s="19">
        <f t="shared" si="85"/>
        <v>10</v>
      </c>
      <c r="C352" s="19">
        <f t="shared" si="86"/>
        <v>23</v>
      </c>
      <c r="D352" s="19">
        <f>IF($C352&gt;p_horizon,0,IFERROR(IF(AND(INDEX(TblClusters[Cluster],$B352)&lt;&gt;"",ISNUMBER(INDEX(TblClusters[CPU initial (vCPU)],$B352)),ISNUMBER(INDEX(TblClusters[CPU min (vCPU)],$B352)),OR(INDEX(TblClusters[Plateforme],$B352)="IKS",INDEX(TblClusters[Plateforme],$B352)="ROKS")),1,0),0))</f>
        <v>1</v>
      </c>
      <c r="E352" s="72">
        <f t="shared" si="87"/>
        <v>46966</v>
      </c>
      <c r="F352" s="19" t="str">
        <f>IF($D352=1,INDEX(TblClusters[Cluster],$B352),"")</f>
        <v>oc002i001019</v>
      </c>
      <c r="G352" s="19" t="str">
        <f>IF($D352=1,INDEX(TblClusters[Plateforme],$B352),"")</f>
        <v>ROKS</v>
      </c>
      <c r="H352" s="19">
        <f>IF($D352=1,INDEX(TblClusters[vCPU par nœud],$B352),"")</f>
        <v>8</v>
      </c>
      <c r="I352" s="19">
        <f>IF($D352=1,INDEX(TblClusters[RAM par nœud (Go)],$B352),"")</f>
        <v>40</v>
      </c>
      <c r="J352" s="19">
        <f>IF($D352=1,INDEX(TblClusters[Workers min],$B352),"")</f>
        <v>6</v>
      </c>
      <c r="K352" s="73">
        <f>IF($D352=1,INDEX(TblClusters[Tarif par nœud],$B352),"")</f>
        <v>368</v>
      </c>
      <c r="L352" s="19">
        <f>IF($D352=1,INDEX(TblClusters[CPU initial (vCPU)],$B352),"")</f>
        <v>48</v>
      </c>
      <c r="M352" s="19">
        <f>IF($D352=1,INDEX(TblClusters[RAM initiale (Go)],$B352),"")</f>
        <v>240</v>
      </c>
      <c r="N352" s="19">
        <f>IF($D352=1,INDEX(TblClusters[CPU min (vCPU)],$B352),"")</f>
        <v>48</v>
      </c>
      <c r="O352" s="19">
        <f>IF($D352=1,INDEX(TblClusters[RAM min (Go)],$B352),"")</f>
        <v>240</v>
      </c>
      <c r="P352" s="19">
        <f>IF($D352&lt;&gt;1,"",IF($G352="ROKS",SUMIFS(TblApplications[Besoin ROKS CPU (vCPU)],TblApplications[Cluster ROKS cible],$F352,TblApplications[Action],"À migrer",TblApplications[Déjà incluse ROKS],"Non",TblApplications[Mois prov (calc)],"&lt;="&amp;$E352),SUMIFS(TblApplications[CPU IKS libérable (vCPU)],TblApplications[Cluster IKS source],$F352,TblApplications[Mois lib (calc)],"&lt;="&amp;$E352)))</f>
        <v>0</v>
      </c>
      <c r="Q352" s="19">
        <f>IF($D352&lt;&gt;1,"",IF($G352="ROKS",SUMIFS(TblApplications[Besoin ROKS RAM (Go)],TblApplications[Cluster ROKS cible],$F352,TblApplications[Action],"À migrer",TblApplications[Déjà incluse ROKS],"Non",TblApplications[Mois prov (calc)],"&lt;="&amp;$E352),SUMIFS(TblApplications[RAM IKS libérable (Go)],TblApplications[Cluster IKS source],$F352,TblApplications[Mois lib (calc)],"&lt;="&amp;$E352)))</f>
        <v>0</v>
      </c>
      <c r="R352" s="19">
        <f t="shared" si="88"/>
        <v>48</v>
      </c>
      <c r="S352" s="19">
        <f t="shared" si="89"/>
        <v>240</v>
      </c>
      <c r="T352" s="19">
        <f t="shared" si="90"/>
        <v>6</v>
      </c>
      <c r="U352" s="19">
        <f t="shared" si="91"/>
        <v>48</v>
      </c>
      <c r="V352" s="19">
        <f t="shared" si="92"/>
        <v>240</v>
      </c>
      <c r="W352" s="73">
        <f t="shared" si="93"/>
        <v>2208</v>
      </c>
      <c r="X352" s="19">
        <f>IF($D352&lt;&gt;1,"",IF($G352="ROKS",$R352,IF($AI352=1,0,MAX($N352,$L352-SUMIFS(TblApplications[CPU IKS libérable (vCPU)],TblApplications[Cluster IKS source],$F352,TblApplications[Action],"À migrer",TblApplications[Mois prov (calc)],"&lt;="&amp;$E352)-SUMIFS(TblApplications[CPU IKS libérable (vCPU)],TblApplications[Cluster IKS source],$F352,TblApplications[Action],"À décommissionner",TblApplications[Mois lib (calc)],"&lt;="&amp;$E352)))))</f>
        <v>48</v>
      </c>
      <c r="Y352" s="19">
        <f>IF($D352&lt;&gt;1,"",IF($G352="ROKS",$S352,IF($AI352=1,0,MAX($O352,$M352-SUMIFS(TblApplications[RAM IKS libérable (Go)],TblApplications[Cluster IKS source],$F352,TblApplications[Action],"À migrer",TblApplications[Mois prov (calc)],"&lt;="&amp;$E352)-SUMIFS(TblApplications[RAM IKS libérable (Go)],TblApplications[Cluster IKS source],$F352,TblApplications[Action],"À décommissionner",TblApplications[Mois lib (calc)],"&lt;="&amp;$E352)))))</f>
        <v>240</v>
      </c>
      <c r="Z352" s="19">
        <f t="shared" si="94"/>
        <v>6</v>
      </c>
      <c r="AA352" s="73">
        <f t="shared" si="95"/>
        <v>2208</v>
      </c>
      <c r="AB352" s="19">
        <f t="shared" si="96"/>
        <v>6</v>
      </c>
      <c r="AC352" s="73">
        <f t="shared" si="97"/>
        <v>2208</v>
      </c>
      <c r="AD352" s="19">
        <f t="shared" si="98"/>
        <v>0</v>
      </c>
      <c r="AE352" s="19">
        <f t="shared" si="99"/>
        <v>0</v>
      </c>
      <c r="AF352" s="19" t="str">
        <f>IF($D352&lt;&gt;1,"",IF(INDEX(TblClusters[Environnement],$B352)="","(vide)",INDEX(TblClusters[Environnement],$B352)))</f>
        <v>PRD</v>
      </c>
      <c r="AG352" s="19">
        <f t="shared" si="100"/>
        <v>72</v>
      </c>
      <c r="AH352" s="19">
        <f t="shared" si="101"/>
        <v>30.666666666666668</v>
      </c>
      <c r="AI352" s="19">
        <f>IF($D352&lt;&gt;1,"",IF(AND($G352="IKS",ISNUMBER(INDEX(TblClusters[Fermeture retenue],$B352))),IF($E352&gt;=INDEX(TblClusters[Fermeture retenue],$B352),1,0),0))</f>
        <v>0</v>
      </c>
    </row>
    <row r="353" spans="1:35" x14ac:dyDescent="0.2">
      <c r="A353" s="19">
        <v>348</v>
      </c>
      <c r="B353" s="19">
        <f t="shared" si="85"/>
        <v>10</v>
      </c>
      <c r="C353" s="19">
        <f t="shared" si="86"/>
        <v>24</v>
      </c>
      <c r="D353" s="19">
        <f>IF($C353&gt;p_horizon,0,IFERROR(IF(AND(INDEX(TblClusters[Cluster],$B353)&lt;&gt;"",ISNUMBER(INDEX(TblClusters[CPU initial (vCPU)],$B353)),ISNUMBER(INDEX(TblClusters[CPU min (vCPU)],$B353)),OR(INDEX(TblClusters[Plateforme],$B353)="IKS",INDEX(TblClusters[Plateforme],$B353)="ROKS")),1,0),0))</f>
        <v>1</v>
      </c>
      <c r="E353" s="72">
        <f t="shared" si="87"/>
        <v>46997</v>
      </c>
      <c r="F353" s="19" t="str">
        <f>IF($D353=1,INDEX(TblClusters[Cluster],$B353),"")</f>
        <v>oc002i001019</v>
      </c>
      <c r="G353" s="19" t="str">
        <f>IF($D353=1,INDEX(TblClusters[Plateforme],$B353),"")</f>
        <v>ROKS</v>
      </c>
      <c r="H353" s="19">
        <f>IF($D353=1,INDEX(TblClusters[vCPU par nœud],$B353),"")</f>
        <v>8</v>
      </c>
      <c r="I353" s="19">
        <f>IF($D353=1,INDEX(TblClusters[RAM par nœud (Go)],$B353),"")</f>
        <v>40</v>
      </c>
      <c r="J353" s="19">
        <f>IF($D353=1,INDEX(TblClusters[Workers min],$B353),"")</f>
        <v>6</v>
      </c>
      <c r="K353" s="73">
        <f>IF($D353=1,INDEX(TblClusters[Tarif par nœud],$B353),"")</f>
        <v>368</v>
      </c>
      <c r="L353" s="19">
        <f>IF($D353=1,INDEX(TblClusters[CPU initial (vCPU)],$B353),"")</f>
        <v>48</v>
      </c>
      <c r="M353" s="19">
        <f>IF($D353=1,INDEX(TblClusters[RAM initiale (Go)],$B353),"")</f>
        <v>240</v>
      </c>
      <c r="N353" s="19">
        <f>IF($D353=1,INDEX(TblClusters[CPU min (vCPU)],$B353),"")</f>
        <v>48</v>
      </c>
      <c r="O353" s="19">
        <f>IF($D353=1,INDEX(TblClusters[RAM min (Go)],$B353),"")</f>
        <v>240</v>
      </c>
      <c r="P353" s="19">
        <f>IF($D353&lt;&gt;1,"",IF($G353="ROKS",SUMIFS(TblApplications[Besoin ROKS CPU (vCPU)],TblApplications[Cluster ROKS cible],$F353,TblApplications[Action],"À migrer",TblApplications[Déjà incluse ROKS],"Non",TblApplications[Mois prov (calc)],"&lt;="&amp;$E353),SUMIFS(TblApplications[CPU IKS libérable (vCPU)],TblApplications[Cluster IKS source],$F353,TblApplications[Mois lib (calc)],"&lt;="&amp;$E353)))</f>
        <v>0</v>
      </c>
      <c r="Q353" s="19">
        <f>IF($D353&lt;&gt;1,"",IF($G353="ROKS",SUMIFS(TblApplications[Besoin ROKS RAM (Go)],TblApplications[Cluster ROKS cible],$F353,TblApplications[Action],"À migrer",TblApplications[Déjà incluse ROKS],"Non",TblApplications[Mois prov (calc)],"&lt;="&amp;$E353),SUMIFS(TblApplications[RAM IKS libérable (Go)],TblApplications[Cluster IKS source],$F353,TblApplications[Mois lib (calc)],"&lt;="&amp;$E353)))</f>
        <v>0</v>
      </c>
      <c r="R353" s="19">
        <f t="shared" si="88"/>
        <v>48</v>
      </c>
      <c r="S353" s="19">
        <f t="shared" si="89"/>
        <v>240</v>
      </c>
      <c r="T353" s="19">
        <f t="shared" si="90"/>
        <v>6</v>
      </c>
      <c r="U353" s="19">
        <f t="shared" si="91"/>
        <v>48</v>
      </c>
      <c r="V353" s="19">
        <f t="shared" si="92"/>
        <v>240</v>
      </c>
      <c r="W353" s="73">
        <f t="shared" si="93"/>
        <v>2208</v>
      </c>
      <c r="X353" s="19">
        <f>IF($D353&lt;&gt;1,"",IF($G353="ROKS",$R353,IF($AI353=1,0,MAX($N353,$L353-SUMIFS(TblApplications[CPU IKS libérable (vCPU)],TblApplications[Cluster IKS source],$F353,TblApplications[Action],"À migrer",TblApplications[Mois prov (calc)],"&lt;="&amp;$E353)-SUMIFS(TblApplications[CPU IKS libérable (vCPU)],TblApplications[Cluster IKS source],$F353,TblApplications[Action],"À décommissionner",TblApplications[Mois lib (calc)],"&lt;="&amp;$E353)))))</f>
        <v>48</v>
      </c>
      <c r="Y353" s="19">
        <f>IF($D353&lt;&gt;1,"",IF($G353="ROKS",$S353,IF($AI353=1,0,MAX($O353,$M353-SUMIFS(TblApplications[RAM IKS libérable (Go)],TblApplications[Cluster IKS source],$F353,TblApplications[Action],"À migrer",TblApplications[Mois prov (calc)],"&lt;="&amp;$E353)-SUMIFS(TblApplications[RAM IKS libérable (Go)],TblApplications[Cluster IKS source],$F353,TblApplications[Action],"À décommissionner",TblApplications[Mois lib (calc)],"&lt;="&amp;$E353)))))</f>
        <v>240</v>
      </c>
      <c r="Z353" s="19">
        <f t="shared" si="94"/>
        <v>6</v>
      </c>
      <c r="AA353" s="73">
        <f t="shared" si="95"/>
        <v>2208</v>
      </c>
      <c r="AB353" s="19">
        <f t="shared" si="96"/>
        <v>6</v>
      </c>
      <c r="AC353" s="73">
        <f t="shared" si="97"/>
        <v>2208</v>
      </c>
      <c r="AD353" s="19">
        <f t="shared" si="98"/>
        <v>0</v>
      </c>
      <c r="AE353" s="19">
        <f t="shared" si="99"/>
        <v>0</v>
      </c>
      <c r="AF353" s="19" t="str">
        <f>IF($D353&lt;&gt;1,"",IF(INDEX(TblClusters[Environnement],$B353)="","(vide)",INDEX(TblClusters[Environnement],$B353)))</f>
        <v>PRD</v>
      </c>
      <c r="AG353" s="19">
        <f t="shared" si="100"/>
        <v>72</v>
      </c>
      <c r="AH353" s="19">
        <f t="shared" si="101"/>
        <v>30.666666666666668</v>
      </c>
      <c r="AI353" s="19">
        <f>IF($D353&lt;&gt;1,"",IF(AND($G353="IKS",ISNUMBER(INDEX(TblClusters[Fermeture retenue],$B353))),IF($E353&gt;=INDEX(TblClusters[Fermeture retenue],$B353),1,0),0))</f>
        <v>0</v>
      </c>
    </row>
    <row r="354" spans="1:35" x14ac:dyDescent="0.2">
      <c r="A354" s="19">
        <v>349</v>
      </c>
      <c r="B354" s="19">
        <f t="shared" si="85"/>
        <v>10</v>
      </c>
      <c r="C354" s="19">
        <f t="shared" si="86"/>
        <v>25</v>
      </c>
      <c r="D354" s="19">
        <f>IF($C354&gt;p_horizon,0,IFERROR(IF(AND(INDEX(TblClusters[Cluster],$B354)&lt;&gt;"",ISNUMBER(INDEX(TblClusters[CPU initial (vCPU)],$B354)),ISNUMBER(INDEX(TblClusters[CPU min (vCPU)],$B354)),OR(INDEX(TblClusters[Plateforme],$B354)="IKS",INDEX(TblClusters[Plateforme],$B354)="ROKS")),1,0),0))</f>
        <v>1</v>
      </c>
      <c r="E354" s="72">
        <f t="shared" si="87"/>
        <v>47027</v>
      </c>
      <c r="F354" s="19" t="str">
        <f>IF($D354=1,INDEX(TblClusters[Cluster],$B354),"")</f>
        <v>oc002i001019</v>
      </c>
      <c r="G354" s="19" t="str">
        <f>IF($D354=1,INDEX(TblClusters[Plateforme],$B354),"")</f>
        <v>ROKS</v>
      </c>
      <c r="H354" s="19">
        <f>IF($D354=1,INDEX(TblClusters[vCPU par nœud],$B354),"")</f>
        <v>8</v>
      </c>
      <c r="I354" s="19">
        <f>IF($D354=1,INDEX(TblClusters[RAM par nœud (Go)],$B354),"")</f>
        <v>40</v>
      </c>
      <c r="J354" s="19">
        <f>IF($D354=1,INDEX(TblClusters[Workers min],$B354),"")</f>
        <v>6</v>
      </c>
      <c r="K354" s="73">
        <f>IF($D354=1,INDEX(TblClusters[Tarif par nœud],$B354),"")</f>
        <v>368</v>
      </c>
      <c r="L354" s="19">
        <f>IF($D354=1,INDEX(TblClusters[CPU initial (vCPU)],$B354),"")</f>
        <v>48</v>
      </c>
      <c r="M354" s="19">
        <f>IF($D354=1,INDEX(TblClusters[RAM initiale (Go)],$B354),"")</f>
        <v>240</v>
      </c>
      <c r="N354" s="19">
        <f>IF($D354=1,INDEX(TblClusters[CPU min (vCPU)],$B354),"")</f>
        <v>48</v>
      </c>
      <c r="O354" s="19">
        <f>IF($D354=1,INDEX(TblClusters[RAM min (Go)],$B354),"")</f>
        <v>240</v>
      </c>
      <c r="P354" s="19">
        <f>IF($D354&lt;&gt;1,"",IF($G354="ROKS",SUMIFS(TblApplications[Besoin ROKS CPU (vCPU)],TblApplications[Cluster ROKS cible],$F354,TblApplications[Action],"À migrer",TblApplications[Déjà incluse ROKS],"Non",TblApplications[Mois prov (calc)],"&lt;="&amp;$E354),SUMIFS(TblApplications[CPU IKS libérable (vCPU)],TblApplications[Cluster IKS source],$F354,TblApplications[Mois lib (calc)],"&lt;="&amp;$E354)))</f>
        <v>0</v>
      </c>
      <c r="Q354" s="19">
        <f>IF($D354&lt;&gt;1,"",IF($G354="ROKS",SUMIFS(TblApplications[Besoin ROKS RAM (Go)],TblApplications[Cluster ROKS cible],$F354,TblApplications[Action],"À migrer",TblApplications[Déjà incluse ROKS],"Non",TblApplications[Mois prov (calc)],"&lt;="&amp;$E354),SUMIFS(TblApplications[RAM IKS libérable (Go)],TblApplications[Cluster IKS source],$F354,TblApplications[Mois lib (calc)],"&lt;="&amp;$E354)))</f>
        <v>0</v>
      </c>
      <c r="R354" s="19">
        <f t="shared" si="88"/>
        <v>48</v>
      </c>
      <c r="S354" s="19">
        <f t="shared" si="89"/>
        <v>240</v>
      </c>
      <c r="T354" s="19">
        <f t="shared" si="90"/>
        <v>6</v>
      </c>
      <c r="U354" s="19">
        <f t="shared" si="91"/>
        <v>48</v>
      </c>
      <c r="V354" s="19">
        <f t="shared" si="92"/>
        <v>240</v>
      </c>
      <c r="W354" s="73">
        <f t="shared" si="93"/>
        <v>2208</v>
      </c>
      <c r="X354" s="19">
        <f>IF($D354&lt;&gt;1,"",IF($G354="ROKS",$R354,IF($AI354=1,0,MAX($N354,$L354-SUMIFS(TblApplications[CPU IKS libérable (vCPU)],TblApplications[Cluster IKS source],$F354,TblApplications[Action],"À migrer",TblApplications[Mois prov (calc)],"&lt;="&amp;$E354)-SUMIFS(TblApplications[CPU IKS libérable (vCPU)],TblApplications[Cluster IKS source],$F354,TblApplications[Action],"À décommissionner",TblApplications[Mois lib (calc)],"&lt;="&amp;$E354)))))</f>
        <v>48</v>
      </c>
      <c r="Y354" s="19">
        <f>IF($D354&lt;&gt;1,"",IF($G354="ROKS",$S354,IF($AI354=1,0,MAX($O354,$M354-SUMIFS(TblApplications[RAM IKS libérable (Go)],TblApplications[Cluster IKS source],$F354,TblApplications[Action],"À migrer",TblApplications[Mois prov (calc)],"&lt;="&amp;$E354)-SUMIFS(TblApplications[RAM IKS libérable (Go)],TblApplications[Cluster IKS source],$F354,TblApplications[Action],"À décommissionner",TblApplications[Mois lib (calc)],"&lt;="&amp;$E354)))))</f>
        <v>240</v>
      </c>
      <c r="Z354" s="19">
        <f t="shared" si="94"/>
        <v>6</v>
      </c>
      <c r="AA354" s="73">
        <f t="shared" si="95"/>
        <v>2208</v>
      </c>
      <c r="AB354" s="19">
        <f t="shared" si="96"/>
        <v>6</v>
      </c>
      <c r="AC354" s="73">
        <f t="shared" si="97"/>
        <v>2208</v>
      </c>
      <c r="AD354" s="19">
        <f t="shared" si="98"/>
        <v>0</v>
      </c>
      <c r="AE354" s="19">
        <f t="shared" si="99"/>
        <v>0</v>
      </c>
      <c r="AF354" s="19" t="str">
        <f>IF($D354&lt;&gt;1,"",IF(INDEX(TblClusters[Environnement],$B354)="","(vide)",INDEX(TblClusters[Environnement],$B354)))</f>
        <v>PRD</v>
      </c>
      <c r="AG354" s="19">
        <f t="shared" si="100"/>
        <v>72</v>
      </c>
      <c r="AH354" s="19">
        <f t="shared" si="101"/>
        <v>30.666666666666668</v>
      </c>
      <c r="AI354" s="19">
        <f>IF($D354&lt;&gt;1,"",IF(AND($G354="IKS",ISNUMBER(INDEX(TblClusters[Fermeture retenue],$B354))),IF($E354&gt;=INDEX(TblClusters[Fermeture retenue],$B354),1,0),0))</f>
        <v>0</v>
      </c>
    </row>
    <row r="355" spans="1:35" x14ac:dyDescent="0.2">
      <c r="A355" s="19">
        <v>350</v>
      </c>
      <c r="B355" s="19">
        <f t="shared" si="85"/>
        <v>10</v>
      </c>
      <c r="C355" s="19">
        <f t="shared" si="86"/>
        <v>26</v>
      </c>
      <c r="D355" s="19">
        <f>IF($C355&gt;p_horizon,0,IFERROR(IF(AND(INDEX(TblClusters[Cluster],$B355)&lt;&gt;"",ISNUMBER(INDEX(TblClusters[CPU initial (vCPU)],$B355)),ISNUMBER(INDEX(TblClusters[CPU min (vCPU)],$B355)),OR(INDEX(TblClusters[Plateforme],$B355)="IKS",INDEX(TblClusters[Plateforme],$B355)="ROKS")),1,0),0))</f>
        <v>1</v>
      </c>
      <c r="E355" s="72">
        <f t="shared" si="87"/>
        <v>47058</v>
      </c>
      <c r="F355" s="19" t="str">
        <f>IF($D355=1,INDEX(TblClusters[Cluster],$B355),"")</f>
        <v>oc002i001019</v>
      </c>
      <c r="G355" s="19" t="str">
        <f>IF($D355=1,INDEX(TblClusters[Plateforme],$B355),"")</f>
        <v>ROKS</v>
      </c>
      <c r="H355" s="19">
        <f>IF($D355=1,INDEX(TblClusters[vCPU par nœud],$B355),"")</f>
        <v>8</v>
      </c>
      <c r="I355" s="19">
        <f>IF($D355=1,INDEX(TblClusters[RAM par nœud (Go)],$B355),"")</f>
        <v>40</v>
      </c>
      <c r="J355" s="19">
        <f>IF($D355=1,INDEX(TblClusters[Workers min],$B355),"")</f>
        <v>6</v>
      </c>
      <c r="K355" s="73">
        <f>IF($D355=1,INDEX(TblClusters[Tarif par nœud],$B355),"")</f>
        <v>368</v>
      </c>
      <c r="L355" s="19">
        <f>IF($D355=1,INDEX(TblClusters[CPU initial (vCPU)],$B355),"")</f>
        <v>48</v>
      </c>
      <c r="M355" s="19">
        <f>IF($D355=1,INDEX(TblClusters[RAM initiale (Go)],$B355),"")</f>
        <v>240</v>
      </c>
      <c r="N355" s="19">
        <f>IF($D355=1,INDEX(TblClusters[CPU min (vCPU)],$B355),"")</f>
        <v>48</v>
      </c>
      <c r="O355" s="19">
        <f>IF($D355=1,INDEX(TblClusters[RAM min (Go)],$B355),"")</f>
        <v>240</v>
      </c>
      <c r="P355" s="19">
        <f>IF($D355&lt;&gt;1,"",IF($G355="ROKS",SUMIFS(TblApplications[Besoin ROKS CPU (vCPU)],TblApplications[Cluster ROKS cible],$F355,TblApplications[Action],"À migrer",TblApplications[Déjà incluse ROKS],"Non",TblApplications[Mois prov (calc)],"&lt;="&amp;$E355),SUMIFS(TblApplications[CPU IKS libérable (vCPU)],TblApplications[Cluster IKS source],$F355,TblApplications[Mois lib (calc)],"&lt;="&amp;$E355)))</f>
        <v>0</v>
      </c>
      <c r="Q355" s="19">
        <f>IF($D355&lt;&gt;1,"",IF($G355="ROKS",SUMIFS(TblApplications[Besoin ROKS RAM (Go)],TblApplications[Cluster ROKS cible],$F355,TblApplications[Action],"À migrer",TblApplications[Déjà incluse ROKS],"Non",TblApplications[Mois prov (calc)],"&lt;="&amp;$E355),SUMIFS(TblApplications[RAM IKS libérable (Go)],TblApplications[Cluster IKS source],$F355,TblApplications[Mois lib (calc)],"&lt;="&amp;$E355)))</f>
        <v>0</v>
      </c>
      <c r="R355" s="19">
        <f t="shared" si="88"/>
        <v>48</v>
      </c>
      <c r="S355" s="19">
        <f t="shared" si="89"/>
        <v>240</v>
      </c>
      <c r="T355" s="19">
        <f t="shared" si="90"/>
        <v>6</v>
      </c>
      <c r="U355" s="19">
        <f t="shared" si="91"/>
        <v>48</v>
      </c>
      <c r="V355" s="19">
        <f t="shared" si="92"/>
        <v>240</v>
      </c>
      <c r="W355" s="73">
        <f t="shared" si="93"/>
        <v>2208</v>
      </c>
      <c r="X355" s="19">
        <f>IF($D355&lt;&gt;1,"",IF($G355="ROKS",$R355,IF($AI355=1,0,MAX($N355,$L355-SUMIFS(TblApplications[CPU IKS libérable (vCPU)],TblApplications[Cluster IKS source],$F355,TblApplications[Action],"À migrer",TblApplications[Mois prov (calc)],"&lt;="&amp;$E355)-SUMIFS(TblApplications[CPU IKS libérable (vCPU)],TblApplications[Cluster IKS source],$F355,TblApplications[Action],"À décommissionner",TblApplications[Mois lib (calc)],"&lt;="&amp;$E355)))))</f>
        <v>48</v>
      </c>
      <c r="Y355" s="19">
        <f>IF($D355&lt;&gt;1,"",IF($G355="ROKS",$S355,IF($AI355=1,0,MAX($O355,$M355-SUMIFS(TblApplications[RAM IKS libérable (Go)],TblApplications[Cluster IKS source],$F355,TblApplications[Action],"À migrer",TblApplications[Mois prov (calc)],"&lt;="&amp;$E355)-SUMIFS(TblApplications[RAM IKS libérable (Go)],TblApplications[Cluster IKS source],$F355,TblApplications[Action],"À décommissionner",TblApplications[Mois lib (calc)],"&lt;="&amp;$E355)))))</f>
        <v>240</v>
      </c>
      <c r="Z355" s="19">
        <f t="shared" si="94"/>
        <v>6</v>
      </c>
      <c r="AA355" s="73">
        <f t="shared" si="95"/>
        <v>2208</v>
      </c>
      <c r="AB355" s="19">
        <f t="shared" si="96"/>
        <v>6</v>
      </c>
      <c r="AC355" s="73">
        <f t="shared" si="97"/>
        <v>2208</v>
      </c>
      <c r="AD355" s="19">
        <f t="shared" si="98"/>
        <v>0</v>
      </c>
      <c r="AE355" s="19">
        <f t="shared" si="99"/>
        <v>0</v>
      </c>
      <c r="AF355" s="19" t="str">
        <f>IF($D355&lt;&gt;1,"",IF(INDEX(TblClusters[Environnement],$B355)="","(vide)",INDEX(TblClusters[Environnement],$B355)))</f>
        <v>PRD</v>
      </c>
      <c r="AG355" s="19">
        <f t="shared" si="100"/>
        <v>72</v>
      </c>
      <c r="AH355" s="19">
        <f t="shared" si="101"/>
        <v>30.666666666666668</v>
      </c>
      <c r="AI355" s="19">
        <f>IF($D355&lt;&gt;1,"",IF(AND($G355="IKS",ISNUMBER(INDEX(TblClusters[Fermeture retenue],$B355))),IF($E355&gt;=INDEX(TblClusters[Fermeture retenue],$B355),1,0),0))</f>
        <v>0</v>
      </c>
    </row>
    <row r="356" spans="1:35" x14ac:dyDescent="0.2">
      <c r="A356" s="19">
        <v>351</v>
      </c>
      <c r="B356" s="19">
        <f t="shared" si="85"/>
        <v>10</v>
      </c>
      <c r="C356" s="19">
        <f t="shared" si="86"/>
        <v>27</v>
      </c>
      <c r="D356" s="19">
        <f>IF($C356&gt;p_horizon,0,IFERROR(IF(AND(INDEX(TblClusters[Cluster],$B356)&lt;&gt;"",ISNUMBER(INDEX(TblClusters[CPU initial (vCPU)],$B356)),ISNUMBER(INDEX(TblClusters[CPU min (vCPU)],$B356)),OR(INDEX(TblClusters[Plateforme],$B356)="IKS",INDEX(TblClusters[Plateforme],$B356)="ROKS")),1,0),0))</f>
        <v>1</v>
      </c>
      <c r="E356" s="72">
        <f t="shared" si="87"/>
        <v>47088</v>
      </c>
      <c r="F356" s="19" t="str">
        <f>IF($D356=1,INDEX(TblClusters[Cluster],$B356),"")</f>
        <v>oc002i001019</v>
      </c>
      <c r="G356" s="19" t="str">
        <f>IF($D356=1,INDEX(TblClusters[Plateforme],$B356),"")</f>
        <v>ROKS</v>
      </c>
      <c r="H356" s="19">
        <f>IF($D356=1,INDEX(TblClusters[vCPU par nœud],$B356),"")</f>
        <v>8</v>
      </c>
      <c r="I356" s="19">
        <f>IF($D356=1,INDEX(TblClusters[RAM par nœud (Go)],$B356),"")</f>
        <v>40</v>
      </c>
      <c r="J356" s="19">
        <f>IF($D356=1,INDEX(TblClusters[Workers min],$B356),"")</f>
        <v>6</v>
      </c>
      <c r="K356" s="73">
        <f>IF($D356=1,INDEX(TblClusters[Tarif par nœud],$B356),"")</f>
        <v>368</v>
      </c>
      <c r="L356" s="19">
        <f>IF($D356=1,INDEX(TblClusters[CPU initial (vCPU)],$B356),"")</f>
        <v>48</v>
      </c>
      <c r="M356" s="19">
        <f>IF($D356=1,INDEX(TblClusters[RAM initiale (Go)],$B356),"")</f>
        <v>240</v>
      </c>
      <c r="N356" s="19">
        <f>IF($D356=1,INDEX(TblClusters[CPU min (vCPU)],$B356),"")</f>
        <v>48</v>
      </c>
      <c r="O356" s="19">
        <f>IF($D356=1,INDEX(TblClusters[RAM min (Go)],$B356),"")</f>
        <v>240</v>
      </c>
      <c r="P356" s="19">
        <f>IF($D356&lt;&gt;1,"",IF($G356="ROKS",SUMIFS(TblApplications[Besoin ROKS CPU (vCPU)],TblApplications[Cluster ROKS cible],$F356,TblApplications[Action],"À migrer",TblApplications[Déjà incluse ROKS],"Non",TblApplications[Mois prov (calc)],"&lt;="&amp;$E356),SUMIFS(TblApplications[CPU IKS libérable (vCPU)],TblApplications[Cluster IKS source],$F356,TblApplications[Mois lib (calc)],"&lt;="&amp;$E356)))</f>
        <v>0</v>
      </c>
      <c r="Q356" s="19">
        <f>IF($D356&lt;&gt;1,"",IF($G356="ROKS",SUMIFS(TblApplications[Besoin ROKS RAM (Go)],TblApplications[Cluster ROKS cible],$F356,TblApplications[Action],"À migrer",TblApplications[Déjà incluse ROKS],"Non",TblApplications[Mois prov (calc)],"&lt;="&amp;$E356),SUMIFS(TblApplications[RAM IKS libérable (Go)],TblApplications[Cluster IKS source],$F356,TblApplications[Mois lib (calc)],"&lt;="&amp;$E356)))</f>
        <v>0</v>
      </c>
      <c r="R356" s="19">
        <f t="shared" si="88"/>
        <v>48</v>
      </c>
      <c r="S356" s="19">
        <f t="shared" si="89"/>
        <v>240</v>
      </c>
      <c r="T356" s="19">
        <f t="shared" si="90"/>
        <v>6</v>
      </c>
      <c r="U356" s="19">
        <f t="shared" si="91"/>
        <v>48</v>
      </c>
      <c r="V356" s="19">
        <f t="shared" si="92"/>
        <v>240</v>
      </c>
      <c r="W356" s="73">
        <f t="shared" si="93"/>
        <v>2208</v>
      </c>
      <c r="X356" s="19">
        <f>IF($D356&lt;&gt;1,"",IF($G356="ROKS",$R356,IF($AI356=1,0,MAX($N356,$L356-SUMIFS(TblApplications[CPU IKS libérable (vCPU)],TblApplications[Cluster IKS source],$F356,TblApplications[Action],"À migrer",TblApplications[Mois prov (calc)],"&lt;="&amp;$E356)-SUMIFS(TblApplications[CPU IKS libérable (vCPU)],TblApplications[Cluster IKS source],$F356,TblApplications[Action],"À décommissionner",TblApplications[Mois lib (calc)],"&lt;="&amp;$E356)))))</f>
        <v>48</v>
      </c>
      <c r="Y356" s="19">
        <f>IF($D356&lt;&gt;1,"",IF($G356="ROKS",$S356,IF($AI356=1,0,MAX($O356,$M356-SUMIFS(TblApplications[RAM IKS libérable (Go)],TblApplications[Cluster IKS source],$F356,TblApplications[Action],"À migrer",TblApplications[Mois prov (calc)],"&lt;="&amp;$E356)-SUMIFS(TblApplications[RAM IKS libérable (Go)],TblApplications[Cluster IKS source],$F356,TblApplications[Action],"À décommissionner",TblApplications[Mois lib (calc)],"&lt;="&amp;$E356)))))</f>
        <v>240</v>
      </c>
      <c r="Z356" s="19">
        <f t="shared" si="94"/>
        <v>6</v>
      </c>
      <c r="AA356" s="73">
        <f t="shared" si="95"/>
        <v>2208</v>
      </c>
      <c r="AB356" s="19">
        <f t="shared" si="96"/>
        <v>6</v>
      </c>
      <c r="AC356" s="73">
        <f t="shared" si="97"/>
        <v>2208</v>
      </c>
      <c r="AD356" s="19">
        <f t="shared" si="98"/>
        <v>0</v>
      </c>
      <c r="AE356" s="19">
        <f t="shared" si="99"/>
        <v>0</v>
      </c>
      <c r="AF356" s="19" t="str">
        <f>IF($D356&lt;&gt;1,"",IF(INDEX(TblClusters[Environnement],$B356)="","(vide)",INDEX(TblClusters[Environnement],$B356)))</f>
        <v>PRD</v>
      </c>
      <c r="AG356" s="19">
        <f t="shared" si="100"/>
        <v>72</v>
      </c>
      <c r="AH356" s="19">
        <f t="shared" si="101"/>
        <v>30.666666666666668</v>
      </c>
      <c r="AI356" s="19">
        <f>IF($D356&lt;&gt;1,"",IF(AND($G356="IKS",ISNUMBER(INDEX(TblClusters[Fermeture retenue],$B356))),IF($E356&gt;=INDEX(TblClusters[Fermeture retenue],$B356),1,0),0))</f>
        <v>0</v>
      </c>
    </row>
    <row r="357" spans="1:35" x14ac:dyDescent="0.2">
      <c r="A357" s="19">
        <v>352</v>
      </c>
      <c r="B357" s="19">
        <f t="shared" si="85"/>
        <v>10</v>
      </c>
      <c r="C357" s="19">
        <f t="shared" si="86"/>
        <v>28</v>
      </c>
      <c r="D357" s="19">
        <f>IF($C357&gt;p_horizon,0,IFERROR(IF(AND(INDEX(TblClusters[Cluster],$B357)&lt;&gt;"",ISNUMBER(INDEX(TblClusters[CPU initial (vCPU)],$B357)),ISNUMBER(INDEX(TblClusters[CPU min (vCPU)],$B357)),OR(INDEX(TblClusters[Plateforme],$B357)="IKS",INDEX(TblClusters[Plateforme],$B357)="ROKS")),1,0),0))</f>
        <v>1</v>
      </c>
      <c r="E357" s="72">
        <f t="shared" si="87"/>
        <v>47119</v>
      </c>
      <c r="F357" s="19" t="str">
        <f>IF($D357=1,INDEX(TblClusters[Cluster],$B357),"")</f>
        <v>oc002i001019</v>
      </c>
      <c r="G357" s="19" t="str">
        <f>IF($D357=1,INDEX(TblClusters[Plateforme],$B357),"")</f>
        <v>ROKS</v>
      </c>
      <c r="H357" s="19">
        <f>IF($D357=1,INDEX(TblClusters[vCPU par nœud],$B357),"")</f>
        <v>8</v>
      </c>
      <c r="I357" s="19">
        <f>IF($D357=1,INDEX(TblClusters[RAM par nœud (Go)],$B357),"")</f>
        <v>40</v>
      </c>
      <c r="J357" s="19">
        <f>IF($D357=1,INDEX(TblClusters[Workers min],$B357),"")</f>
        <v>6</v>
      </c>
      <c r="K357" s="73">
        <f>IF($D357=1,INDEX(TblClusters[Tarif par nœud],$B357),"")</f>
        <v>368</v>
      </c>
      <c r="L357" s="19">
        <f>IF($D357=1,INDEX(TblClusters[CPU initial (vCPU)],$B357),"")</f>
        <v>48</v>
      </c>
      <c r="M357" s="19">
        <f>IF($D357=1,INDEX(TblClusters[RAM initiale (Go)],$B357),"")</f>
        <v>240</v>
      </c>
      <c r="N357" s="19">
        <f>IF($D357=1,INDEX(TblClusters[CPU min (vCPU)],$B357),"")</f>
        <v>48</v>
      </c>
      <c r="O357" s="19">
        <f>IF($D357=1,INDEX(TblClusters[RAM min (Go)],$B357),"")</f>
        <v>240</v>
      </c>
      <c r="P357" s="19">
        <f>IF($D357&lt;&gt;1,"",IF($G357="ROKS",SUMIFS(TblApplications[Besoin ROKS CPU (vCPU)],TblApplications[Cluster ROKS cible],$F357,TblApplications[Action],"À migrer",TblApplications[Déjà incluse ROKS],"Non",TblApplications[Mois prov (calc)],"&lt;="&amp;$E357),SUMIFS(TblApplications[CPU IKS libérable (vCPU)],TblApplications[Cluster IKS source],$F357,TblApplications[Mois lib (calc)],"&lt;="&amp;$E357)))</f>
        <v>0</v>
      </c>
      <c r="Q357" s="19">
        <f>IF($D357&lt;&gt;1,"",IF($G357="ROKS",SUMIFS(TblApplications[Besoin ROKS RAM (Go)],TblApplications[Cluster ROKS cible],$F357,TblApplications[Action],"À migrer",TblApplications[Déjà incluse ROKS],"Non",TblApplications[Mois prov (calc)],"&lt;="&amp;$E357),SUMIFS(TblApplications[RAM IKS libérable (Go)],TblApplications[Cluster IKS source],$F357,TblApplications[Mois lib (calc)],"&lt;="&amp;$E357)))</f>
        <v>0</v>
      </c>
      <c r="R357" s="19">
        <f t="shared" si="88"/>
        <v>48</v>
      </c>
      <c r="S357" s="19">
        <f t="shared" si="89"/>
        <v>240</v>
      </c>
      <c r="T357" s="19">
        <f t="shared" si="90"/>
        <v>6</v>
      </c>
      <c r="U357" s="19">
        <f t="shared" si="91"/>
        <v>48</v>
      </c>
      <c r="V357" s="19">
        <f t="shared" si="92"/>
        <v>240</v>
      </c>
      <c r="W357" s="73">
        <f t="shared" si="93"/>
        <v>2208</v>
      </c>
      <c r="X357" s="19">
        <f>IF($D357&lt;&gt;1,"",IF($G357="ROKS",$R357,IF($AI357=1,0,MAX($N357,$L357-SUMIFS(TblApplications[CPU IKS libérable (vCPU)],TblApplications[Cluster IKS source],$F357,TblApplications[Action],"À migrer",TblApplications[Mois prov (calc)],"&lt;="&amp;$E357)-SUMIFS(TblApplications[CPU IKS libérable (vCPU)],TblApplications[Cluster IKS source],$F357,TblApplications[Action],"À décommissionner",TblApplications[Mois lib (calc)],"&lt;="&amp;$E357)))))</f>
        <v>48</v>
      </c>
      <c r="Y357" s="19">
        <f>IF($D357&lt;&gt;1,"",IF($G357="ROKS",$S357,IF($AI357=1,0,MAX($O357,$M357-SUMIFS(TblApplications[RAM IKS libérable (Go)],TblApplications[Cluster IKS source],$F357,TblApplications[Action],"À migrer",TblApplications[Mois prov (calc)],"&lt;="&amp;$E357)-SUMIFS(TblApplications[RAM IKS libérable (Go)],TblApplications[Cluster IKS source],$F357,TblApplications[Action],"À décommissionner",TblApplications[Mois lib (calc)],"&lt;="&amp;$E357)))))</f>
        <v>240</v>
      </c>
      <c r="Z357" s="19">
        <f t="shared" si="94"/>
        <v>6</v>
      </c>
      <c r="AA357" s="73">
        <f t="shared" si="95"/>
        <v>2208</v>
      </c>
      <c r="AB357" s="19">
        <f t="shared" si="96"/>
        <v>6</v>
      </c>
      <c r="AC357" s="73">
        <f t="shared" si="97"/>
        <v>2208</v>
      </c>
      <c r="AD357" s="19">
        <f t="shared" si="98"/>
        <v>0</v>
      </c>
      <c r="AE357" s="19">
        <f t="shared" si="99"/>
        <v>0</v>
      </c>
      <c r="AF357" s="19" t="str">
        <f>IF($D357&lt;&gt;1,"",IF(INDEX(TblClusters[Environnement],$B357)="","(vide)",INDEX(TblClusters[Environnement],$B357)))</f>
        <v>PRD</v>
      </c>
      <c r="AG357" s="19">
        <f t="shared" si="100"/>
        <v>72</v>
      </c>
      <c r="AH357" s="19">
        <f t="shared" si="101"/>
        <v>30.666666666666668</v>
      </c>
      <c r="AI357" s="19">
        <f>IF($D357&lt;&gt;1,"",IF(AND($G357="IKS",ISNUMBER(INDEX(TblClusters[Fermeture retenue],$B357))),IF($E357&gt;=INDEX(TblClusters[Fermeture retenue],$B357),1,0),0))</f>
        <v>0</v>
      </c>
    </row>
    <row r="358" spans="1:35" x14ac:dyDescent="0.2">
      <c r="A358" s="19">
        <v>353</v>
      </c>
      <c r="B358" s="19">
        <f t="shared" si="85"/>
        <v>10</v>
      </c>
      <c r="C358" s="19">
        <f t="shared" si="86"/>
        <v>29</v>
      </c>
      <c r="D358" s="19">
        <f>IF($C358&gt;p_horizon,0,IFERROR(IF(AND(INDEX(TblClusters[Cluster],$B358)&lt;&gt;"",ISNUMBER(INDEX(TblClusters[CPU initial (vCPU)],$B358)),ISNUMBER(INDEX(TblClusters[CPU min (vCPU)],$B358)),OR(INDEX(TblClusters[Plateforme],$B358)="IKS",INDEX(TblClusters[Plateforme],$B358)="ROKS")),1,0),0))</f>
        <v>1</v>
      </c>
      <c r="E358" s="72">
        <f t="shared" si="87"/>
        <v>47150</v>
      </c>
      <c r="F358" s="19" t="str">
        <f>IF($D358=1,INDEX(TblClusters[Cluster],$B358),"")</f>
        <v>oc002i001019</v>
      </c>
      <c r="G358" s="19" t="str">
        <f>IF($D358=1,INDEX(TblClusters[Plateforme],$B358),"")</f>
        <v>ROKS</v>
      </c>
      <c r="H358" s="19">
        <f>IF($D358=1,INDEX(TblClusters[vCPU par nœud],$B358),"")</f>
        <v>8</v>
      </c>
      <c r="I358" s="19">
        <f>IF($D358=1,INDEX(TblClusters[RAM par nœud (Go)],$B358),"")</f>
        <v>40</v>
      </c>
      <c r="J358" s="19">
        <f>IF($D358=1,INDEX(TblClusters[Workers min],$B358),"")</f>
        <v>6</v>
      </c>
      <c r="K358" s="73">
        <f>IF($D358=1,INDEX(TblClusters[Tarif par nœud],$B358),"")</f>
        <v>368</v>
      </c>
      <c r="L358" s="19">
        <f>IF($D358=1,INDEX(TblClusters[CPU initial (vCPU)],$B358),"")</f>
        <v>48</v>
      </c>
      <c r="M358" s="19">
        <f>IF($D358=1,INDEX(TblClusters[RAM initiale (Go)],$B358),"")</f>
        <v>240</v>
      </c>
      <c r="N358" s="19">
        <f>IF($D358=1,INDEX(TblClusters[CPU min (vCPU)],$B358),"")</f>
        <v>48</v>
      </c>
      <c r="O358" s="19">
        <f>IF($D358=1,INDEX(TblClusters[RAM min (Go)],$B358),"")</f>
        <v>240</v>
      </c>
      <c r="P358" s="19">
        <f>IF($D358&lt;&gt;1,"",IF($G358="ROKS",SUMIFS(TblApplications[Besoin ROKS CPU (vCPU)],TblApplications[Cluster ROKS cible],$F358,TblApplications[Action],"À migrer",TblApplications[Déjà incluse ROKS],"Non",TblApplications[Mois prov (calc)],"&lt;="&amp;$E358),SUMIFS(TblApplications[CPU IKS libérable (vCPU)],TblApplications[Cluster IKS source],$F358,TblApplications[Mois lib (calc)],"&lt;="&amp;$E358)))</f>
        <v>0</v>
      </c>
      <c r="Q358" s="19">
        <f>IF($D358&lt;&gt;1,"",IF($G358="ROKS",SUMIFS(TblApplications[Besoin ROKS RAM (Go)],TblApplications[Cluster ROKS cible],$F358,TblApplications[Action],"À migrer",TblApplications[Déjà incluse ROKS],"Non",TblApplications[Mois prov (calc)],"&lt;="&amp;$E358),SUMIFS(TblApplications[RAM IKS libérable (Go)],TblApplications[Cluster IKS source],$F358,TblApplications[Mois lib (calc)],"&lt;="&amp;$E358)))</f>
        <v>0</v>
      </c>
      <c r="R358" s="19">
        <f t="shared" si="88"/>
        <v>48</v>
      </c>
      <c r="S358" s="19">
        <f t="shared" si="89"/>
        <v>240</v>
      </c>
      <c r="T358" s="19">
        <f t="shared" si="90"/>
        <v>6</v>
      </c>
      <c r="U358" s="19">
        <f t="shared" si="91"/>
        <v>48</v>
      </c>
      <c r="V358" s="19">
        <f t="shared" si="92"/>
        <v>240</v>
      </c>
      <c r="W358" s="73">
        <f t="shared" si="93"/>
        <v>2208</v>
      </c>
      <c r="X358" s="19">
        <f>IF($D358&lt;&gt;1,"",IF($G358="ROKS",$R358,IF($AI358=1,0,MAX($N358,$L358-SUMIFS(TblApplications[CPU IKS libérable (vCPU)],TblApplications[Cluster IKS source],$F358,TblApplications[Action],"À migrer",TblApplications[Mois prov (calc)],"&lt;="&amp;$E358)-SUMIFS(TblApplications[CPU IKS libérable (vCPU)],TblApplications[Cluster IKS source],$F358,TblApplications[Action],"À décommissionner",TblApplications[Mois lib (calc)],"&lt;="&amp;$E358)))))</f>
        <v>48</v>
      </c>
      <c r="Y358" s="19">
        <f>IF($D358&lt;&gt;1,"",IF($G358="ROKS",$S358,IF($AI358=1,0,MAX($O358,$M358-SUMIFS(TblApplications[RAM IKS libérable (Go)],TblApplications[Cluster IKS source],$F358,TblApplications[Action],"À migrer",TblApplications[Mois prov (calc)],"&lt;="&amp;$E358)-SUMIFS(TblApplications[RAM IKS libérable (Go)],TblApplications[Cluster IKS source],$F358,TblApplications[Action],"À décommissionner",TblApplications[Mois lib (calc)],"&lt;="&amp;$E358)))))</f>
        <v>240</v>
      </c>
      <c r="Z358" s="19">
        <f t="shared" si="94"/>
        <v>6</v>
      </c>
      <c r="AA358" s="73">
        <f t="shared" si="95"/>
        <v>2208</v>
      </c>
      <c r="AB358" s="19">
        <f t="shared" si="96"/>
        <v>6</v>
      </c>
      <c r="AC358" s="73">
        <f t="shared" si="97"/>
        <v>2208</v>
      </c>
      <c r="AD358" s="19">
        <f t="shared" si="98"/>
        <v>0</v>
      </c>
      <c r="AE358" s="19">
        <f t="shared" si="99"/>
        <v>0</v>
      </c>
      <c r="AF358" s="19" t="str">
        <f>IF($D358&lt;&gt;1,"",IF(INDEX(TblClusters[Environnement],$B358)="","(vide)",INDEX(TblClusters[Environnement],$B358)))</f>
        <v>PRD</v>
      </c>
      <c r="AG358" s="19">
        <f t="shared" si="100"/>
        <v>72</v>
      </c>
      <c r="AH358" s="19">
        <f t="shared" si="101"/>
        <v>30.666666666666668</v>
      </c>
      <c r="AI358" s="19">
        <f>IF($D358&lt;&gt;1,"",IF(AND($G358="IKS",ISNUMBER(INDEX(TblClusters[Fermeture retenue],$B358))),IF($E358&gt;=INDEX(TblClusters[Fermeture retenue],$B358),1,0),0))</f>
        <v>0</v>
      </c>
    </row>
    <row r="359" spans="1:35" x14ac:dyDescent="0.2">
      <c r="A359" s="19">
        <v>354</v>
      </c>
      <c r="B359" s="19">
        <f t="shared" si="85"/>
        <v>10</v>
      </c>
      <c r="C359" s="19">
        <f t="shared" si="86"/>
        <v>30</v>
      </c>
      <c r="D359" s="19">
        <f>IF($C359&gt;p_horizon,0,IFERROR(IF(AND(INDEX(TblClusters[Cluster],$B359)&lt;&gt;"",ISNUMBER(INDEX(TblClusters[CPU initial (vCPU)],$B359)),ISNUMBER(INDEX(TblClusters[CPU min (vCPU)],$B359)),OR(INDEX(TblClusters[Plateforme],$B359)="IKS",INDEX(TblClusters[Plateforme],$B359)="ROKS")),1,0),0))</f>
        <v>1</v>
      </c>
      <c r="E359" s="72">
        <f t="shared" si="87"/>
        <v>47178</v>
      </c>
      <c r="F359" s="19" t="str">
        <f>IF($D359=1,INDEX(TblClusters[Cluster],$B359),"")</f>
        <v>oc002i001019</v>
      </c>
      <c r="G359" s="19" t="str">
        <f>IF($D359=1,INDEX(TblClusters[Plateforme],$B359),"")</f>
        <v>ROKS</v>
      </c>
      <c r="H359" s="19">
        <f>IF($D359=1,INDEX(TblClusters[vCPU par nœud],$B359),"")</f>
        <v>8</v>
      </c>
      <c r="I359" s="19">
        <f>IF($D359=1,INDEX(TblClusters[RAM par nœud (Go)],$B359),"")</f>
        <v>40</v>
      </c>
      <c r="J359" s="19">
        <f>IF($D359=1,INDEX(TblClusters[Workers min],$B359),"")</f>
        <v>6</v>
      </c>
      <c r="K359" s="73">
        <f>IF($D359=1,INDEX(TblClusters[Tarif par nœud],$B359),"")</f>
        <v>368</v>
      </c>
      <c r="L359" s="19">
        <f>IF($D359=1,INDEX(TblClusters[CPU initial (vCPU)],$B359),"")</f>
        <v>48</v>
      </c>
      <c r="M359" s="19">
        <f>IF($D359=1,INDEX(TblClusters[RAM initiale (Go)],$B359),"")</f>
        <v>240</v>
      </c>
      <c r="N359" s="19">
        <f>IF($D359=1,INDEX(TblClusters[CPU min (vCPU)],$B359),"")</f>
        <v>48</v>
      </c>
      <c r="O359" s="19">
        <f>IF($D359=1,INDEX(TblClusters[RAM min (Go)],$B359),"")</f>
        <v>240</v>
      </c>
      <c r="P359" s="19">
        <f>IF($D359&lt;&gt;1,"",IF($G359="ROKS",SUMIFS(TblApplications[Besoin ROKS CPU (vCPU)],TblApplications[Cluster ROKS cible],$F359,TblApplications[Action],"À migrer",TblApplications[Déjà incluse ROKS],"Non",TblApplications[Mois prov (calc)],"&lt;="&amp;$E359),SUMIFS(TblApplications[CPU IKS libérable (vCPU)],TblApplications[Cluster IKS source],$F359,TblApplications[Mois lib (calc)],"&lt;="&amp;$E359)))</f>
        <v>0</v>
      </c>
      <c r="Q359" s="19">
        <f>IF($D359&lt;&gt;1,"",IF($G359="ROKS",SUMIFS(TblApplications[Besoin ROKS RAM (Go)],TblApplications[Cluster ROKS cible],$F359,TblApplications[Action],"À migrer",TblApplications[Déjà incluse ROKS],"Non",TblApplications[Mois prov (calc)],"&lt;="&amp;$E359),SUMIFS(TblApplications[RAM IKS libérable (Go)],TblApplications[Cluster IKS source],$F359,TblApplications[Mois lib (calc)],"&lt;="&amp;$E359)))</f>
        <v>0</v>
      </c>
      <c r="R359" s="19">
        <f t="shared" si="88"/>
        <v>48</v>
      </c>
      <c r="S359" s="19">
        <f t="shared" si="89"/>
        <v>240</v>
      </c>
      <c r="T359" s="19">
        <f t="shared" si="90"/>
        <v>6</v>
      </c>
      <c r="U359" s="19">
        <f t="shared" si="91"/>
        <v>48</v>
      </c>
      <c r="V359" s="19">
        <f t="shared" si="92"/>
        <v>240</v>
      </c>
      <c r="W359" s="73">
        <f t="shared" si="93"/>
        <v>2208</v>
      </c>
      <c r="X359" s="19">
        <f>IF($D359&lt;&gt;1,"",IF($G359="ROKS",$R359,IF($AI359=1,0,MAX($N359,$L359-SUMIFS(TblApplications[CPU IKS libérable (vCPU)],TblApplications[Cluster IKS source],$F359,TblApplications[Action],"À migrer",TblApplications[Mois prov (calc)],"&lt;="&amp;$E359)-SUMIFS(TblApplications[CPU IKS libérable (vCPU)],TblApplications[Cluster IKS source],$F359,TblApplications[Action],"À décommissionner",TblApplications[Mois lib (calc)],"&lt;="&amp;$E359)))))</f>
        <v>48</v>
      </c>
      <c r="Y359" s="19">
        <f>IF($D359&lt;&gt;1,"",IF($G359="ROKS",$S359,IF($AI359=1,0,MAX($O359,$M359-SUMIFS(TblApplications[RAM IKS libérable (Go)],TblApplications[Cluster IKS source],$F359,TblApplications[Action],"À migrer",TblApplications[Mois prov (calc)],"&lt;="&amp;$E359)-SUMIFS(TblApplications[RAM IKS libérable (Go)],TblApplications[Cluster IKS source],$F359,TblApplications[Action],"À décommissionner",TblApplications[Mois lib (calc)],"&lt;="&amp;$E359)))))</f>
        <v>240</v>
      </c>
      <c r="Z359" s="19">
        <f t="shared" si="94"/>
        <v>6</v>
      </c>
      <c r="AA359" s="73">
        <f t="shared" si="95"/>
        <v>2208</v>
      </c>
      <c r="AB359" s="19">
        <f t="shared" si="96"/>
        <v>6</v>
      </c>
      <c r="AC359" s="73">
        <f t="shared" si="97"/>
        <v>2208</v>
      </c>
      <c r="AD359" s="19">
        <f t="shared" si="98"/>
        <v>0</v>
      </c>
      <c r="AE359" s="19">
        <f t="shared" si="99"/>
        <v>0</v>
      </c>
      <c r="AF359" s="19" t="str">
        <f>IF($D359&lt;&gt;1,"",IF(INDEX(TblClusters[Environnement],$B359)="","(vide)",INDEX(TblClusters[Environnement],$B359)))</f>
        <v>PRD</v>
      </c>
      <c r="AG359" s="19">
        <f t="shared" si="100"/>
        <v>72</v>
      </c>
      <c r="AH359" s="19">
        <f t="shared" si="101"/>
        <v>30.666666666666668</v>
      </c>
      <c r="AI359" s="19">
        <f>IF($D359&lt;&gt;1,"",IF(AND($G359="IKS",ISNUMBER(INDEX(TblClusters[Fermeture retenue],$B359))),IF($E359&gt;=INDEX(TblClusters[Fermeture retenue],$B359),1,0),0))</f>
        <v>0</v>
      </c>
    </row>
    <row r="360" spans="1:35" x14ac:dyDescent="0.2">
      <c r="A360" s="19">
        <v>355</v>
      </c>
      <c r="B360" s="19">
        <f t="shared" si="85"/>
        <v>10</v>
      </c>
      <c r="C360" s="19">
        <f t="shared" si="86"/>
        <v>31</v>
      </c>
      <c r="D360" s="19">
        <f>IF($C360&gt;p_horizon,0,IFERROR(IF(AND(INDEX(TblClusters[Cluster],$B360)&lt;&gt;"",ISNUMBER(INDEX(TblClusters[CPU initial (vCPU)],$B360)),ISNUMBER(INDEX(TblClusters[CPU min (vCPU)],$B360)),OR(INDEX(TblClusters[Plateforme],$B360)="IKS",INDEX(TblClusters[Plateforme],$B360)="ROKS")),1,0),0))</f>
        <v>1</v>
      </c>
      <c r="E360" s="72">
        <f t="shared" si="87"/>
        <v>47209</v>
      </c>
      <c r="F360" s="19" t="str">
        <f>IF($D360=1,INDEX(TblClusters[Cluster],$B360),"")</f>
        <v>oc002i001019</v>
      </c>
      <c r="G360" s="19" t="str">
        <f>IF($D360=1,INDEX(TblClusters[Plateforme],$B360),"")</f>
        <v>ROKS</v>
      </c>
      <c r="H360" s="19">
        <f>IF($D360=1,INDEX(TblClusters[vCPU par nœud],$B360),"")</f>
        <v>8</v>
      </c>
      <c r="I360" s="19">
        <f>IF($D360=1,INDEX(TblClusters[RAM par nœud (Go)],$B360),"")</f>
        <v>40</v>
      </c>
      <c r="J360" s="19">
        <f>IF($D360=1,INDEX(TblClusters[Workers min],$B360),"")</f>
        <v>6</v>
      </c>
      <c r="K360" s="73">
        <f>IF($D360=1,INDEX(TblClusters[Tarif par nœud],$B360),"")</f>
        <v>368</v>
      </c>
      <c r="L360" s="19">
        <f>IF($D360=1,INDEX(TblClusters[CPU initial (vCPU)],$B360),"")</f>
        <v>48</v>
      </c>
      <c r="M360" s="19">
        <f>IF($D360=1,INDEX(TblClusters[RAM initiale (Go)],$B360),"")</f>
        <v>240</v>
      </c>
      <c r="N360" s="19">
        <f>IF($D360=1,INDEX(TblClusters[CPU min (vCPU)],$B360),"")</f>
        <v>48</v>
      </c>
      <c r="O360" s="19">
        <f>IF($D360=1,INDEX(TblClusters[RAM min (Go)],$B360),"")</f>
        <v>240</v>
      </c>
      <c r="P360" s="19">
        <f>IF($D360&lt;&gt;1,"",IF($G360="ROKS",SUMIFS(TblApplications[Besoin ROKS CPU (vCPU)],TblApplications[Cluster ROKS cible],$F360,TblApplications[Action],"À migrer",TblApplications[Déjà incluse ROKS],"Non",TblApplications[Mois prov (calc)],"&lt;="&amp;$E360),SUMIFS(TblApplications[CPU IKS libérable (vCPU)],TblApplications[Cluster IKS source],$F360,TblApplications[Mois lib (calc)],"&lt;="&amp;$E360)))</f>
        <v>0</v>
      </c>
      <c r="Q360" s="19">
        <f>IF($D360&lt;&gt;1,"",IF($G360="ROKS",SUMIFS(TblApplications[Besoin ROKS RAM (Go)],TblApplications[Cluster ROKS cible],$F360,TblApplications[Action],"À migrer",TblApplications[Déjà incluse ROKS],"Non",TblApplications[Mois prov (calc)],"&lt;="&amp;$E360),SUMIFS(TblApplications[RAM IKS libérable (Go)],TblApplications[Cluster IKS source],$F360,TblApplications[Mois lib (calc)],"&lt;="&amp;$E360)))</f>
        <v>0</v>
      </c>
      <c r="R360" s="19">
        <f t="shared" si="88"/>
        <v>48</v>
      </c>
      <c r="S360" s="19">
        <f t="shared" si="89"/>
        <v>240</v>
      </c>
      <c r="T360" s="19">
        <f t="shared" si="90"/>
        <v>6</v>
      </c>
      <c r="U360" s="19">
        <f t="shared" si="91"/>
        <v>48</v>
      </c>
      <c r="V360" s="19">
        <f t="shared" si="92"/>
        <v>240</v>
      </c>
      <c r="W360" s="73">
        <f t="shared" si="93"/>
        <v>2208</v>
      </c>
      <c r="X360" s="19">
        <f>IF($D360&lt;&gt;1,"",IF($G360="ROKS",$R360,IF($AI360=1,0,MAX($N360,$L360-SUMIFS(TblApplications[CPU IKS libérable (vCPU)],TblApplications[Cluster IKS source],$F360,TblApplications[Action],"À migrer",TblApplications[Mois prov (calc)],"&lt;="&amp;$E360)-SUMIFS(TblApplications[CPU IKS libérable (vCPU)],TblApplications[Cluster IKS source],$F360,TblApplications[Action],"À décommissionner",TblApplications[Mois lib (calc)],"&lt;="&amp;$E360)))))</f>
        <v>48</v>
      </c>
      <c r="Y360" s="19">
        <f>IF($D360&lt;&gt;1,"",IF($G360="ROKS",$S360,IF($AI360=1,0,MAX($O360,$M360-SUMIFS(TblApplications[RAM IKS libérable (Go)],TblApplications[Cluster IKS source],$F360,TblApplications[Action],"À migrer",TblApplications[Mois prov (calc)],"&lt;="&amp;$E360)-SUMIFS(TblApplications[RAM IKS libérable (Go)],TblApplications[Cluster IKS source],$F360,TblApplications[Action],"À décommissionner",TblApplications[Mois lib (calc)],"&lt;="&amp;$E360)))))</f>
        <v>240</v>
      </c>
      <c r="Z360" s="19">
        <f t="shared" si="94"/>
        <v>6</v>
      </c>
      <c r="AA360" s="73">
        <f t="shared" si="95"/>
        <v>2208</v>
      </c>
      <c r="AB360" s="19">
        <f t="shared" si="96"/>
        <v>6</v>
      </c>
      <c r="AC360" s="73">
        <f t="shared" si="97"/>
        <v>2208</v>
      </c>
      <c r="AD360" s="19">
        <f t="shared" si="98"/>
        <v>0</v>
      </c>
      <c r="AE360" s="19">
        <f t="shared" si="99"/>
        <v>0</v>
      </c>
      <c r="AF360" s="19" t="str">
        <f>IF($D360&lt;&gt;1,"",IF(INDEX(TblClusters[Environnement],$B360)="","(vide)",INDEX(TblClusters[Environnement],$B360)))</f>
        <v>PRD</v>
      </c>
      <c r="AG360" s="19">
        <f t="shared" si="100"/>
        <v>72</v>
      </c>
      <c r="AH360" s="19">
        <f t="shared" si="101"/>
        <v>30.666666666666668</v>
      </c>
      <c r="AI360" s="19">
        <f>IF($D360&lt;&gt;1,"",IF(AND($G360="IKS",ISNUMBER(INDEX(TblClusters[Fermeture retenue],$B360))),IF($E360&gt;=INDEX(TblClusters[Fermeture retenue],$B360),1,0),0))</f>
        <v>0</v>
      </c>
    </row>
    <row r="361" spans="1:35" x14ac:dyDescent="0.2">
      <c r="A361" s="19">
        <v>356</v>
      </c>
      <c r="B361" s="19">
        <f t="shared" si="85"/>
        <v>10</v>
      </c>
      <c r="C361" s="19">
        <f t="shared" si="86"/>
        <v>32</v>
      </c>
      <c r="D361" s="19">
        <f>IF($C361&gt;p_horizon,0,IFERROR(IF(AND(INDEX(TblClusters[Cluster],$B361)&lt;&gt;"",ISNUMBER(INDEX(TblClusters[CPU initial (vCPU)],$B361)),ISNUMBER(INDEX(TblClusters[CPU min (vCPU)],$B361)),OR(INDEX(TblClusters[Plateforme],$B361)="IKS",INDEX(TblClusters[Plateforme],$B361)="ROKS")),1,0),0))</f>
        <v>1</v>
      </c>
      <c r="E361" s="72">
        <f t="shared" si="87"/>
        <v>47239</v>
      </c>
      <c r="F361" s="19" t="str">
        <f>IF($D361=1,INDEX(TblClusters[Cluster],$B361),"")</f>
        <v>oc002i001019</v>
      </c>
      <c r="G361" s="19" t="str">
        <f>IF($D361=1,INDEX(TblClusters[Plateforme],$B361),"")</f>
        <v>ROKS</v>
      </c>
      <c r="H361" s="19">
        <f>IF($D361=1,INDEX(TblClusters[vCPU par nœud],$B361),"")</f>
        <v>8</v>
      </c>
      <c r="I361" s="19">
        <f>IF($D361=1,INDEX(TblClusters[RAM par nœud (Go)],$B361),"")</f>
        <v>40</v>
      </c>
      <c r="J361" s="19">
        <f>IF($D361=1,INDEX(TblClusters[Workers min],$B361),"")</f>
        <v>6</v>
      </c>
      <c r="K361" s="73">
        <f>IF($D361=1,INDEX(TblClusters[Tarif par nœud],$B361),"")</f>
        <v>368</v>
      </c>
      <c r="L361" s="19">
        <f>IF($D361=1,INDEX(TblClusters[CPU initial (vCPU)],$B361),"")</f>
        <v>48</v>
      </c>
      <c r="M361" s="19">
        <f>IF($D361=1,INDEX(TblClusters[RAM initiale (Go)],$B361),"")</f>
        <v>240</v>
      </c>
      <c r="N361" s="19">
        <f>IF($D361=1,INDEX(TblClusters[CPU min (vCPU)],$B361),"")</f>
        <v>48</v>
      </c>
      <c r="O361" s="19">
        <f>IF($D361=1,INDEX(TblClusters[RAM min (Go)],$B361),"")</f>
        <v>240</v>
      </c>
      <c r="P361" s="19">
        <f>IF($D361&lt;&gt;1,"",IF($G361="ROKS",SUMIFS(TblApplications[Besoin ROKS CPU (vCPU)],TblApplications[Cluster ROKS cible],$F361,TblApplications[Action],"À migrer",TblApplications[Déjà incluse ROKS],"Non",TblApplications[Mois prov (calc)],"&lt;="&amp;$E361),SUMIFS(TblApplications[CPU IKS libérable (vCPU)],TblApplications[Cluster IKS source],$F361,TblApplications[Mois lib (calc)],"&lt;="&amp;$E361)))</f>
        <v>0</v>
      </c>
      <c r="Q361" s="19">
        <f>IF($D361&lt;&gt;1,"",IF($G361="ROKS",SUMIFS(TblApplications[Besoin ROKS RAM (Go)],TblApplications[Cluster ROKS cible],$F361,TblApplications[Action],"À migrer",TblApplications[Déjà incluse ROKS],"Non",TblApplications[Mois prov (calc)],"&lt;="&amp;$E361),SUMIFS(TblApplications[RAM IKS libérable (Go)],TblApplications[Cluster IKS source],$F361,TblApplications[Mois lib (calc)],"&lt;="&amp;$E361)))</f>
        <v>0</v>
      </c>
      <c r="R361" s="19">
        <f t="shared" si="88"/>
        <v>48</v>
      </c>
      <c r="S361" s="19">
        <f t="shared" si="89"/>
        <v>240</v>
      </c>
      <c r="T361" s="19">
        <f t="shared" si="90"/>
        <v>6</v>
      </c>
      <c r="U361" s="19">
        <f t="shared" si="91"/>
        <v>48</v>
      </c>
      <c r="V361" s="19">
        <f t="shared" si="92"/>
        <v>240</v>
      </c>
      <c r="W361" s="73">
        <f t="shared" si="93"/>
        <v>2208</v>
      </c>
      <c r="X361" s="19">
        <f>IF($D361&lt;&gt;1,"",IF($G361="ROKS",$R361,IF($AI361=1,0,MAX($N361,$L361-SUMIFS(TblApplications[CPU IKS libérable (vCPU)],TblApplications[Cluster IKS source],$F361,TblApplications[Action],"À migrer",TblApplications[Mois prov (calc)],"&lt;="&amp;$E361)-SUMIFS(TblApplications[CPU IKS libérable (vCPU)],TblApplications[Cluster IKS source],$F361,TblApplications[Action],"À décommissionner",TblApplications[Mois lib (calc)],"&lt;="&amp;$E361)))))</f>
        <v>48</v>
      </c>
      <c r="Y361" s="19">
        <f>IF($D361&lt;&gt;1,"",IF($G361="ROKS",$S361,IF($AI361=1,0,MAX($O361,$M361-SUMIFS(TblApplications[RAM IKS libérable (Go)],TblApplications[Cluster IKS source],$F361,TblApplications[Action],"À migrer",TblApplications[Mois prov (calc)],"&lt;="&amp;$E361)-SUMIFS(TblApplications[RAM IKS libérable (Go)],TblApplications[Cluster IKS source],$F361,TblApplications[Action],"À décommissionner",TblApplications[Mois lib (calc)],"&lt;="&amp;$E361)))))</f>
        <v>240</v>
      </c>
      <c r="Z361" s="19">
        <f t="shared" si="94"/>
        <v>6</v>
      </c>
      <c r="AA361" s="73">
        <f t="shared" si="95"/>
        <v>2208</v>
      </c>
      <c r="AB361" s="19">
        <f t="shared" si="96"/>
        <v>6</v>
      </c>
      <c r="AC361" s="73">
        <f t="shared" si="97"/>
        <v>2208</v>
      </c>
      <c r="AD361" s="19">
        <f t="shared" si="98"/>
        <v>0</v>
      </c>
      <c r="AE361" s="19">
        <f t="shared" si="99"/>
        <v>0</v>
      </c>
      <c r="AF361" s="19" t="str">
        <f>IF($D361&lt;&gt;1,"",IF(INDEX(TblClusters[Environnement],$B361)="","(vide)",INDEX(TblClusters[Environnement],$B361)))</f>
        <v>PRD</v>
      </c>
      <c r="AG361" s="19">
        <f t="shared" si="100"/>
        <v>72</v>
      </c>
      <c r="AH361" s="19">
        <f t="shared" si="101"/>
        <v>30.666666666666668</v>
      </c>
      <c r="AI361" s="19">
        <f>IF($D361&lt;&gt;1,"",IF(AND($G361="IKS",ISNUMBER(INDEX(TblClusters[Fermeture retenue],$B361))),IF($E361&gt;=INDEX(TblClusters[Fermeture retenue],$B361),1,0),0))</f>
        <v>0</v>
      </c>
    </row>
    <row r="362" spans="1:35" x14ac:dyDescent="0.2">
      <c r="A362" s="19">
        <v>357</v>
      </c>
      <c r="B362" s="19">
        <f t="shared" si="85"/>
        <v>10</v>
      </c>
      <c r="C362" s="19">
        <f t="shared" si="86"/>
        <v>33</v>
      </c>
      <c r="D362" s="19">
        <f>IF($C362&gt;p_horizon,0,IFERROR(IF(AND(INDEX(TblClusters[Cluster],$B362)&lt;&gt;"",ISNUMBER(INDEX(TblClusters[CPU initial (vCPU)],$B362)),ISNUMBER(INDEX(TblClusters[CPU min (vCPU)],$B362)),OR(INDEX(TblClusters[Plateforme],$B362)="IKS",INDEX(TblClusters[Plateforme],$B362)="ROKS")),1,0),0))</f>
        <v>1</v>
      </c>
      <c r="E362" s="72">
        <f t="shared" si="87"/>
        <v>47270</v>
      </c>
      <c r="F362" s="19" t="str">
        <f>IF($D362=1,INDEX(TblClusters[Cluster],$B362),"")</f>
        <v>oc002i001019</v>
      </c>
      <c r="G362" s="19" t="str">
        <f>IF($D362=1,INDEX(TblClusters[Plateforme],$B362),"")</f>
        <v>ROKS</v>
      </c>
      <c r="H362" s="19">
        <f>IF($D362=1,INDEX(TblClusters[vCPU par nœud],$B362),"")</f>
        <v>8</v>
      </c>
      <c r="I362" s="19">
        <f>IF($D362=1,INDEX(TblClusters[RAM par nœud (Go)],$B362),"")</f>
        <v>40</v>
      </c>
      <c r="J362" s="19">
        <f>IF($D362=1,INDEX(TblClusters[Workers min],$B362),"")</f>
        <v>6</v>
      </c>
      <c r="K362" s="73">
        <f>IF($D362=1,INDEX(TblClusters[Tarif par nœud],$B362),"")</f>
        <v>368</v>
      </c>
      <c r="L362" s="19">
        <f>IF($D362=1,INDEX(TblClusters[CPU initial (vCPU)],$B362),"")</f>
        <v>48</v>
      </c>
      <c r="M362" s="19">
        <f>IF($D362=1,INDEX(TblClusters[RAM initiale (Go)],$B362),"")</f>
        <v>240</v>
      </c>
      <c r="N362" s="19">
        <f>IF($D362=1,INDEX(TblClusters[CPU min (vCPU)],$B362),"")</f>
        <v>48</v>
      </c>
      <c r="O362" s="19">
        <f>IF($D362=1,INDEX(TblClusters[RAM min (Go)],$B362),"")</f>
        <v>240</v>
      </c>
      <c r="P362" s="19">
        <f>IF($D362&lt;&gt;1,"",IF($G362="ROKS",SUMIFS(TblApplications[Besoin ROKS CPU (vCPU)],TblApplications[Cluster ROKS cible],$F362,TblApplications[Action],"À migrer",TblApplications[Déjà incluse ROKS],"Non",TblApplications[Mois prov (calc)],"&lt;="&amp;$E362),SUMIFS(TblApplications[CPU IKS libérable (vCPU)],TblApplications[Cluster IKS source],$F362,TblApplications[Mois lib (calc)],"&lt;="&amp;$E362)))</f>
        <v>0</v>
      </c>
      <c r="Q362" s="19">
        <f>IF($D362&lt;&gt;1,"",IF($G362="ROKS",SUMIFS(TblApplications[Besoin ROKS RAM (Go)],TblApplications[Cluster ROKS cible],$F362,TblApplications[Action],"À migrer",TblApplications[Déjà incluse ROKS],"Non",TblApplications[Mois prov (calc)],"&lt;="&amp;$E362),SUMIFS(TblApplications[RAM IKS libérable (Go)],TblApplications[Cluster IKS source],$F362,TblApplications[Mois lib (calc)],"&lt;="&amp;$E362)))</f>
        <v>0</v>
      </c>
      <c r="R362" s="19">
        <f t="shared" si="88"/>
        <v>48</v>
      </c>
      <c r="S362" s="19">
        <f t="shared" si="89"/>
        <v>240</v>
      </c>
      <c r="T362" s="19">
        <f t="shared" si="90"/>
        <v>6</v>
      </c>
      <c r="U362" s="19">
        <f t="shared" si="91"/>
        <v>48</v>
      </c>
      <c r="V362" s="19">
        <f t="shared" si="92"/>
        <v>240</v>
      </c>
      <c r="W362" s="73">
        <f t="shared" si="93"/>
        <v>2208</v>
      </c>
      <c r="X362" s="19">
        <f>IF($D362&lt;&gt;1,"",IF($G362="ROKS",$R362,IF($AI362=1,0,MAX($N362,$L362-SUMIFS(TblApplications[CPU IKS libérable (vCPU)],TblApplications[Cluster IKS source],$F362,TblApplications[Action],"À migrer",TblApplications[Mois prov (calc)],"&lt;="&amp;$E362)-SUMIFS(TblApplications[CPU IKS libérable (vCPU)],TblApplications[Cluster IKS source],$F362,TblApplications[Action],"À décommissionner",TblApplications[Mois lib (calc)],"&lt;="&amp;$E362)))))</f>
        <v>48</v>
      </c>
      <c r="Y362" s="19">
        <f>IF($D362&lt;&gt;1,"",IF($G362="ROKS",$S362,IF($AI362=1,0,MAX($O362,$M362-SUMIFS(TblApplications[RAM IKS libérable (Go)],TblApplications[Cluster IKS source],$F362,TblApplications[Action],"À migrer",TblApplications[Mois prov (calc)],"&lt;="&amp;$E362)-SUMIFS(TblApplications[RAM IKS libérable (Go)],TblApplications[Cluster IKS source],$F362,TblApplications[Action],"À décommissionner",TblApplications[Mois lib (calc)],"&lt;="&amp;$E362)))))</f>
        <v>240</v>
      </c>
      <c r="Z362" s="19">
        <f t="shared" si="94"/>
        <v>6</v>
      </c>
      <c r="AA362" s="73">
        <f t="shared" si="95"/>
        <v>2208</v>
      </c>
      <c r="AB362" s="19">
        <f t="shared" si="96"/>
        <v>6</v>
      </c>
      <c r="AC362" s="73">
        <f t="shared" si="97"/>
        <v>2208</v>
      </c>
      <c r="AD362" s="19">
        <f t="shared" si="98"/>
        <v>0</v>
      </c>
      <c r="AE362" s="19">
        <f t="shared" si="99"/>
        <v>0</v>
      </c>
      <c r="AF362" s="19" t="str">
        <f>IF($D362&lt;&gt;1,"",IF(INDEX(TblClusters[Environnement],$B362)="","(vide)",INDEX(TblClusters[Environnement],$B362)))</f>
        <v>PRD</v>
      </c>
      <c r="AG362" s="19">
        <f t="shared" si="100"/>
        <v>72</v>
      </c>
      <c r="AH362" s="19">
        <f t="shared" si="101"/>
        <v>30.666666666666668</v>
      </c>
      <c r="AI362" s="19">
        <f>IF($D362&lt;&gt;1,"",IF(AND($G362="IKS",ISNUMBER(INDEX(TblClusters[Fermeture retenue],$B362))),IF($E362&gt;=INDEX(TblClusters[Fermeture retenue],$B362),1,0),0))</f>
        <v>0</v>
      </c>
    </row>
    <row r="363" spans="1:35" x14ac:dyDescent="0.2">
      <c r="A363" s="19">
        <v>358</v>
      </c>
      <c r="B363" s="19">
        <f t="shared" si="85"/>
        <v>10</v>
      </c>
      <c r="C363" s="19">
        <f t="shared" si="86"/>
        <v>34</v>
      </c>
      <c r="D363" s="19">
        <f>IF($C363&gt;p_horizon,0,IFERROR(IF(AND(INDEX(TblClusters[Cluster],$B363)&lt;&gt;"",ISNUMBER(INDEX(TblClusters[CPU initial (vCPU)],$B363)),ISNUMBER(INDEX(TblClusters[CPU min (vCPU)],$B363)),OR(INDEX(TblClusters[Plateforme],$B363)="IKS",INDEX(TblClusters[Plateforme],$B363)="ROKS")),1,0),0))</f>
        <v>1</v>
      </c>
      <c r="E363" s="72">
        <f t="shared" si="87"/>
        <v>47300</v>
      </c>
      <c r="F363" s="19" t="str">
        <f>IF($D363=1,INDEX(TblClusters[Cluster],$B363),"")</f>
        <v>oc002i001019</v>
      </c>
      <c r="G363" s="19" t="str">
        <f>IF($D363=1,INDEX(TblClusters[Plateforme],$B363),"")</f>
        <v>ROKS</v>
      </c>
      <c r="H363" s="19">
        <f>IF($D363=1,INDEX(TblClusters[vCPU par nœud],$B363),"")</f>
        <v>8</v>
      </c>
      <c r="I363" s="19">
        <f>IF($D363=1,INDEX(TblClusters[RAM par nœud (Go)],$B363),"")</f>
        <v>40</v>
      </c>
      <c r="J363" s="19">
        <f>IF($D363=1,INDEX(TblClusters[Workers min],$B363),"")</f>
        <v>6</v>
      </c>
      <c r="K363" s="73">
        <f>IF($D363=1,INDEX(TblClusters[Tarif par nœud],$B363),"")</f>
        <v>368</v>
      </c>
      <c r="L363" s="19">
        <f>IF($D363=1,INDEX(TblClusters[CPU initial (vCPU)],$B363),"")</f>
        <v>48</v>
      </c>
      <c r="M363" s="19">
        <f>IF($D363=1,INDEX(TblClusters[RAM initiale (Go)],$B363),"")</f>
        <v>240</v>
      </c>
      <c r="N363" s="19">
        <f>IF($D363=1,INDEX(TblClusters[CPU min (vCPU)],$B363),"")</f>
        <v>48</v>
      </c>
      <c r="O363" s="19">
        <f>IF($D363=1,INDEX(TblClusters[RAM min (Go)],$B363),"")</f>
        <v>240</v>
      </c>
      <c r="P363" s="19">
        <f>IF($D363&lt;&gt;1,"",IF($G363="ROKS",SUMIFS(TblApplications[Besoin ROKS CPU (vCPU)],TblApplications[Cluster ROKS cible],$F363,TblApplications[Action],"À migrer",TblApplications[Déjà incluse ROKS],"Non",TblApplications[Mois prov (calc)],"&lt;="&amp;$E363),SUMIFS(TblApplications[CPU IKS libérable (vCPU)],TblApplications[Cluster IKS source],$F363,TblApplications[Mois lib (calc)],"&lt;="&amp;$E363)))</f>
        <v>0</v>
      </c>
      <c r="Q363" s="19">
        <f>IF($D363&lt;&gt;1,"",IF($G363="ROKS",SUMIFS(TblApplications[Besoin ROKS RAM (Go)],TblApplications[Cluster ROKS cible],$F363,TblApplications[Action],"À migrer",TblApplications[Déjà incluse ROKS],"Non",TblApplications[Mois prov (calc)],"&lt;="&amp;$E363),SUMIFS(TblApplications[RAM IKS libérable (Go)],TblApplications[Cluster IKS source],$F363,TblApplications[Mois lib (calc)],"&lt;="&amp;$E363)))</f>
        <v>0</v>
      </c>
      <c r="R363" s="19">
        <f t="shared" si="88"/>
        <v>48</v>
      </c>
      <c r="S363" s="19">
        <f t="shared" si="89"/>
        <v>240</v>
      </c>
      <c r="T363" s="19">
        <f t="shared" si="90"/>
        <v>6</v>
      </c>
      <c r="U363" s="19">
        <f t="shared" si="91"/>
        <v>48</v>
      </c>
      <c r="V363" s="19">
        <f t="shared" si="92"/>
        <v>240</v>
      </c>
      <c r="W363" s="73">
        <f t="shared" si="93"/>
        <v>2208</v>
      </c>
      <c r="X363" s="19">
        <f>IF($D363&lt;&gt;1,"",IF($G363="ROKS",$R363,IF($AI363=1,0,MAX($N363,$L363-SUMIFS(TblApplications[CPU IKS libérable (vCPU)],TblApplications[Cluster IKS source],$F363,TblApplications[Action],"À migrer",TblApplications[Mois prov (calc)],"&lt;="&amp;$E363)-SUMIFS(TblApplications[CPU IKS libérable (vCPU)],TblApplications[Cluster IKS source],$F363,TblApplications[Action],"À décommissionner",TblApplications[Mois lib (calc)],"&lt;="&amp;$E363)))))</f>
        <v>48</v>
      </c>
      <c r="Y363" s="19">
        <f>IF($D363&lt;&gt;1,"",IF($G363="ROKS",$S363,IF($AI363=1,0,MAX($O363,$M363-SUMIFS(TblApplications[RAM IKS libérable (Go)],TblApplications[Cluster IKS source],$F363,TblApplications[Action],"À migrer",TblApplications[Mois prov (calc)],"&lt;="&amp;$E363)-SUMIFS(TblApplications[RAM IKS libérable (Go)],TblApplications[Cluster IKS source],$F363,TblApplications[Action],"À décommissionner",TblApplications[Mois lib (calc)],"&lt;="&amp;$E363)))))</f>
        <v>240</v>
      </c>
      <c r="Z363" s="19">
        <f t="shared" si="94"/>
        <v>6</v>
      </c>
      <c r="AA363" s="73">
        <f t="shared" si="95"/>
        <v>2208</v>
      </c>
      <c r="AB363" s="19">
        <f t="shared" si="96"/>
        <v>6</v>
      </c>
      <c r="AC363" s="73">
        <f t="shared" si="97"/>
        <v>2208</v>
      </c>
      <c r="AD363" s="19">
        <f t="shared" si="98"/>
        <v>0</v>
      </c>
      <c r="AE363" s="19">
        <f t="shared" si="99"/>
        <v>0</v>
      </c>
      <c r="AF363" s="19" t="str">
        <f>IF($D363&lt;&gt;1,"",IF(INDEX(TblClusters[Environnement],$B363)="","(vide)",INDEX(TblClusters[Environnement],$B363)))</f>
        <v>PRD</v>
      </c>
      <c r="AG363" s="19">
        <f t="shared" si="100"/>
        <v>72</v>
      </c>
      <c r="AH363" s="19">
        <f t="shared" si="101"/>
        <v>30.666666666666668</v>
      </c>
      <c r="AI363" s="19">
        <f>IF($D363&lt;&gt;1,"",IF(AND($G363="IKS",ISNUMBER(INDEX(TblClusters[Fermeture retenue],$B363))),IF($E363&gt;=INDEX(TblClusters[Fermeture retenue],$B363),1,0),0))</f>
        <v>0</v>
      </c>
    </row>
    <row r="364" spans="1:35" x14ac:dyDescent="0.2">
      <c r="A364" s="19">
        <v>359</v>
      </c>
      <c r="B364" s="19">
        <f t="shared" si="85"/>
        <v>10</v>
      </c>
      <c r="C364" s="19">
        <f t="shared" si="86"/>
        <v>35</v>
      </c>
      <c r="D364" s="19">
        <f>IF($C364&gt;p_horizon,0,IFERROR(IF(AND(INDEX(TblClusters[Cluster],$B364)&lt;&gt;"",ISNUMBER(INDEX(TblClusters[CPU initial (vCPU)],$B364)),ISNUMBER(INDEX(TblClusters[CPU min (vCPU)],$B364)),OR(INDEX(TblClusters[Plateforme],$B364)="IKS",INDEX(TblClusters[Plateforme],$B364)="ROKS")),1,0),0))</f>
        <v>1</v>
      </c>
      <c r="E364" s="72">
        <f t="shared" si="87"/>
        <v>47331</v>
      </c>
      <c r="F364" s="19" t="str">
        <f>IF($D364=1,INDEX(TblClusters[Cluster],$B364),"")</f>
        <v>oc002i001019</v>
      </c>
      <c r="G364" s="19" t="str">
        <f>IF($D364=1,INDEX(TblClusters[Plateforme],$B364),"")</f>
        <v>ROKS</v>
      </c>
      <c r="H364" s="19">
        <f>IF($D364=1,INDEX(TblClusters[vCPU par nœud],$B364),"")</f>
        <v>8</v>
      </c>
      <c r="I364" s="19">
        <f>IF($D364=1,INDEX(TblClusters[RAM par nœud (Go)],$B364),"")</f>
        <v>40</v>
      </c>
      <c r="J364" s="19">
        <f>IF($D364=1,INDEX(TblClusters[Workers min],$B364),"")</f>
        <v>6</v>
      </c>
      <c r="K364" s="73">
        <f>IF($D364=1,INDEX(TblClusters[Tarif par nœud],$B364),"")</f>
        <v>368</v>
      </c>
      <c r="L364" s="19">
        <f>IF($D364=1,INDEX(TblClusters[CPU initial (vCPU)],$B364),"")</f>
        <v>48</v>
      </c>
      <c r="M364" s="19">
        <f>IF($D364=1,INDEX(TblClusters[RAM initiale (Go)],$B364),"")</f>
        <v>240</v>
      </c>
      <c r="N364" s="19">
        <f>IF($D364=1,INDEX(TblClusters[CPU min (vCPU)],$B364),"")</f>
        <v>48</v>
      </c>
      <c r="O364" s="19">
        <f>IF($D364=1,INDEX(TblClusters[RAM min (Go)],$B364),"")</f>
        <v>240</v>
      </c>
      <c r="P364" s="19">
        <f>IF($D364&lt;&gt;1,"",IF($G364="ROKS",SUMIFS(TblApplications[Besoin ROKS CPU (vCPU)],TblApplications[Cluster ROKS cible],$F364,TblApplications[Action],"À migrer",TblApplications[Déjà incluse ROKS],"Non",TblApplications[Mois prov (calc)],"&lt;="&amp;$E364),SUMIFS(TblApplications[CPU IKS libérable (vCPU)],TblApplications[Cluster IKS source],$F364,TblApplications[Mois lib (calc)],"&lt;="&amp;$E364)))</f>
        <v>0</v>
      </c>
      <c r="Q364" s="19">
        <f>IF($D364&lt;&gt;1,"",IF($G364="ROKS",SUMIFS(TblApplications[Besoin ROKS RAM (Go)],TblApplications[Cluster ROKS cible],$F364,TblApplications[Action],"À migrer",TblApplications[Déjà incluse ROKS],"Non",TblApplications[Mois prov (calc)],"&lt;="&amp;$E364),SUMIFS(TblApplications[RAM IKS libérable (Go)],TblApplications[Cluster IKS source],$F364,TblApplications[Mois lib (calc)],"&lt;="&amp;$E364)))</f>
        <v>0</v>
      </c>
      <c r="R364" s="19">
        <f t="shared" si="88"/>
        <v>48</v>
      </c>
      <c r="S364" s="19">
        <f t="shared" si="89"/>
        <v>240</v>
      </c>
      <c r="T364" s="19">
        <f t="shared" si="90"/>
        <v>6</v>
      </c>
      <c r="U364" s="19">
        <f t="shared" si="91"/>
        <v>48</v>
      </c>
      <c r="V364" s="19">
        <f t="shared" si="92"/>
        <v>240</v>
      </c>
      <c r="W364" s="73">
        <f t="shared" si="93"/>
        <v>2208</v>
      </c>
      <c r="X364" s="19">
        <f>IF($D364&lt;&gt;1,"",IF($G364="ROKS",$R364,IF($AI364=1,0,MAX($N364,$L364-SUMIFS(TblApplications[CPU IKS libérable (vCPU)],TblApplications[Cluster IKS source],$F364,TblApplications[Action],"À migrer",TblApplications[Mois prov (calc)],"&lt;="&amp;$E364)-SUMIFS(TblApplications[CPU IKS libérable (vCPU)],TblApplications[Cluster IKS source],$F364,TblApplications[Action],"À décommissionner",TblApplications[Mois lib (calc)],"&lt;="&amp;$E364)))))</f>
        <v>48</v>
      </c>
      <c r="Y364" s="19">
        <f>IF($D364&lt;&gt;1,"",IF($G364="ROKS",$S364,IF($AI364=1,0,MAX($O364,$M364-SUMIFS(TblApplications[RAM IKS libérable (Go)],TblApplications[Cluster IKS source],$F364,TblApplications[Action],"À migrer",TblApplications[Mois prov (calc)],"&lt;="&amp;$E364)-SUMIFS(TblApplications[RAM IKS libérable (Go)],TblApplications[Cluster IKS source],$F364,TblApplications[Action],"À décommissionner",TblApplications[Mois lib (calc)],"&lt;="&amp;$E364)))))</f>
        <v>240</v>
      </c>
      <c r="Z364" s="19">
        <f t="shared" si="94"/>
        <v>6</v>
      </c>
      <c r="AA364" s="73">
        <f t="shared" si="95"/>
        <v>2208</v>
      </c>
      <c r="AB364" s="19">
        <f t="shared" si="96"/>
        <v>6</v>
      </c>
      <c r="AC364" s="73">
        <f t="shared" si="97"/>
        <v>2208</v>
      </c>
      <c r="AD364" s="19">
        <f t="shared" si="98"/>
        <v>0</v>
      </c>
      <c r="AE364" s="19">
        <f t="shared" si="99"/>
        <v>0</v>
      </c>
      <c r="AF364" s="19" t="str">
        <f>IF($D364&lt;&gt;1,"",IF(INDEX(TblClusters[Environnement],$B364)="","(vide)",INDEX(TblClusters[Environnement],$B364)))</f>
        <v>PRD</v>
      </c>
      <c r="AG364" s="19">
        <f t="shared" si="100"/>
        <v>72</v>
      </c>
      <c r="AH364" s="19">
        <f t="shared" si="101"/>
        <v>30.666666666666668</v>
      </c>
      <c r="AI364" s="19">
        <f>IF($D364&lt;&gt;1,"",IF(AND($G364="IKS",ISNUMBER(INDEX(TblClusters[Fermeture retenue],$B364))),IF($E364&gt;=INDEX(TblClusters[Fermeture retenue],$B364),1,0),0))</f>
        <v>0</v>
      </c>
    </row>
    <row r="365" spans="1:35" x14ac:dyDescent="0.2">
      <c r="A365" s="19">
        <v>360</v>
      </c>
      <c r="B365" s="19">
        <f t="shared" si="85"/>
        <v>10</v>
      </c>
      <c r="C365" s="19">
        <f t="shared" si="86"/>
        <v>36</v>
      </c>
      <c r="D365" s="19">
        <f>IF($C365&gt;p_horizon,0,IFERROR(IF(AND(INDEX(TblClusters[Cluster],$B365)&lt;&gt;"",ISNUMBER(INDEX(TblClusters[CPU initial (vCPU)],$B365)),ISNUMBER(INDEX(TblClusters[CPU min (vCPU)],$B365)),OR(INDEX(TblClusters[Plateforme],$B365)="IKS",INDEX(TblClusters[Plateforme],$B365)="ROKS")),1,0),0))</f>
        <v>1</v>
      </c>
      <c r="E365" s="72">
        <f t="shared" si="87"/>
        <v>47362</v>
      </c>
      <c r="F365" s="19" t="str">
        <f>IF($D365=1,INDEX(TblClusters[Cluster],$B365),"")</f>
        <v>oc002i001019</v>
      </c>
      <c r="G365" s="19" t="str">
        <f>IF($D365=1,INDEX(TblClusters[Plateforme],$B365),"")</f>
        <v>ROKS</v>
      </c>
      <c r="H365" s="19">
        <f>IF($D365=1,INDEX(TblClusters[vCPU par nœud],$B365),"")</f>
        <v>8</v>
      </c>
      <c r="I365" s="19">
        <f>IF($D365=1,INDEX(TblClusters[RAM par nœud (Go)],$B365),"")</f>
        <v>40</v>
      </c>
      <c r="J365" s="19">
        <f>IF($D365=1,INDEX(TblClusters[Workers min],$B365),"")</f>
        <v>6</v>
      </c>
      <c r="K365" s="73">
        <f>IF($D365=1,INDEX(TblClusters[Tarif par nœud],$B365),"")</f>
        <v>368</v>
      </c>
      <c r="L365" s="19">
        <f>IF($D365=1,INDEX(TblClusters[CPU initial (vCPU)],$B365),"")</f>
        <v>48</v>
      </c>
      <c r="M365" s="19">
        <f>IF($D365=1,INDEX(TblClusters[RAM initiale (Go)],$B365),"")</f>
        <v>240</v>
      </c>
      <c r="N365" s="19">
        <f>IF($D365=1,INDEX(TblClusters[CPU min (vCPU)],$B365),"")</f>
        <v>48</v>
      </c>
      <c r="O365" s="19">
        <f>IF($D365=1,INDEX(TblClusters[RAM min (Go)],$B365),"")</f>
        <v>240</v>
      </c>
      <c r="P365" s="19">
        <f>IF($D365&lt;&gt;1,"",IF($G365="ROKS",SUMIFS(TblApplications[Besoin ROKS CPU (vCPU)],TblApplications[Cluster ROKS cible],$F365,TblApplications[Action],"À migrer",TblApplications[Déjà incluse ROKS],"Non",TblApplications[Mois prov (calc)],"&lt;="&amp;$E365),SUMIFS(TblApplications[CPU IKS libérable (vCPU)],TblApplications[Cluster IKS source],$F365,TblApplications[Mois lib (calc)],"&lt;="&amp;$E365)))</f>
        <v>0</v>
      </c>
      <c r="Q365" s="19">
        <f>IF($D365&lt;&gt;1,"",IF($G365="ROKS",SUMIFS(TblApplications[Besoin ROKS RAM (Go)],TblApplications[Cluster ROKS cible],$F365,TblApplications[Action],"À migrer",TblApplications[Déjà incluse ROKS],"Non",TblApplications[Mois prov (calc)],"&lt;="&amp;$E365),SUMIFS(TblApplications[RAM IKS libérable (Go)],TblApplications[Cluster IKS source],$F365,TblApplications[Mois lib (calc)],"&lt;="&amp;$E365)))</f>
        <v>0</v>
      </c>
      <c r="R365" s="19">
        <f t="shared" si="88"/>
        <v>48</v>
      </c>
      <c r="S365" s="19">
        <f t="shared" si="89"/>
        <v>240</v>
      </c>
      <c r="T365" s="19">
        <f t="shared" si="90"/>
        <v>6</v>
      </c>
      <c r="U365" s="19">
        <f t="shared" si="91"/>
        <v>48</v>
      </c>
      <c r="V365" s="19">
        <f t="shared" si="92"/>
        <v>240</v>
      </c>
      <c r="W365" s="73">
        <f t="shared" si="93"/>
        <v>2208</v>
      </c>
      <c r="X365" s="19">
        <f>IF($D365&lt;&gt;1,"",IF($G365="ROKS",$R365,IF($AI365=1,0,MAX($N365,$L365-SUMIFS(TblApplications[CPU IKS libérable (vCPU)],TblApplications[Cluster IKS source],$F365,TblApplications[Action],"À migrer",TblApplications[Mois prov (calc)],"&lt;="&amp;$E365)-SUMIFS(TblApplications[CPU IKS libérable (vCPU)],TblApplications[Cluster IKS source],$F365,TblApplications[Action],"À décommissionner",TblApplications[Mois lib (calc)],"&lt;="&amp;$E365)))))</f>
        <v>48</v>
      </c>
      <c r="Y365" s="19">
        <f>IF($D365&lt;&gt;1,"",IF($G365="ROKS",$S365,IF($AI365=1,0,MAX($O365,$M365-SUMIFS(TblApplications[RAM IKS libérable (Go)],TblApplications[Cluster IKS source],$F365,TblApplications[Action],"À migrer",TblApplications[Mois prov (calc)],"&lt;="&amp;$E365)-SUMIFS(TblApplications[RAM IKS libérable (Go)],TblApplications[Cluster IKS source],$F365,TblApplications[Action],"À décommissionner",TblApplications[Mois lib (calc)],"&lt;="&amp;$E365)))))</f>
        <v>240</v>
      </c>
      <c r="Z365" s="19">
        <f t="shared" si="94"/>
        <v>6</v>
      </c>
      <c r="AA365" s="73">
        <f t="shared" si="95"/>
        <v>2208</v>
      </c>
      <c r="AB365" s="19">
        <f t="shared" si="96"/>
        <v>6</v>
      </c>
      <c r="AC365" s="73">
        <f t="shared" si="97"/>
        <v>2208</v>
      </c>
      <c r="AD365" s="19">
        <f t="shared" si="98"/>
        <v>0</v>
      </c>
      <c r="AE365" s="19">
        <f t="shared" si="99"/>
        <v>0</v>
      </c>
      <c r="AF365" s="19" t="str">
        <f>IF($D365&lt;&gt;1,"",IF(INDEX(TblClusters[Environnement],$B365)="","(vide)",INDEX(TblClusters[Environnement],$B365)))</f>
        <v>PRD</v>
      </c>
      <c r="AG365" s="19">
        <f t="shared" si="100"/>
        <v>72</v>
      </c>
      <c r="AH365" s="19">
        <f t="shared" si="101"/>
        <v>30.666666666666668</v>
      </c>
      <c r="AI365" s="19">
        <f>IF($D365&lt;&gt;1,"",IF(AND($G365="IKS",ISNUMBER(INDEX(TblClusters[Fermeture retenue],$B365))),IF($E365&gt;=INDEX(TblClusters[Fermeture retenue],$B365),1,0),0))</f>
        <v>0</v>
      </c>
    </row>
    <row r="366" spans="1:35" x14ac:dyDescent="0.2">
      <c r="A366" s="19">
        <v>361</v>
      </c>
      <c r="B366" s="19">
        <f t="shared" si="85"/>
        <v>11</v>
      </c>
      <c r="C366" s="19">
        <f t="shared" si="86"/>
        <v>1</v>
      </c>
      <c r="D366" s="19">
        <f>IF($C366&gt;p_horizon,0,IFERROR(IF(AND(INDEX(TblClusters[Cluster],$B366)&lt;&gt;"",ISNUMBER(INDEX(TblClusters[CPU initial (vCPU)],$B366)),ISNUMBER(INDEX(TblClusters[CPU min (vCPU)],$B366)),OR(INDEX(TblClusters[Plateforme],$B366)="IKS",INDEX(TblClusters[Plateforme],$B366)="ROKS")),1,0),0))</f>
        <v>1</v>
      </c>
      <c r="E366" s="72">
        <f t="shared" si="87"/>
        <v>46296</v>
      </c>
      <c r="F366" s="19" t="str">
        <f>IF($D366=1,INDEX(TblClusters[Cluster],$B366),"")</f>
        <v>oc-EMEA-NPR</v>
      </c>
      <c r="G366" s="19" t="str">
        <f>IF($D366=1,INDEX(TblClusters[Plateforme],$B366),"")</f>
        <v>ROKS</v>
      </c>
      <c r="H366" s="19">
        <f>IF($D366=1,INDEX(TblClusters[vCPU par nœud],$B366),"")</f>
        <v>8</v>
      </c>
      <c r="I366" s="19">
        <f>IF($D366=1,INDEX(TblClusters[RAM par nœud (Go)],$B366),"")</f>
        <v>40</v>
      </c>
      <c r="J366" s="19">
        <f>IF($D366=1,INDEX(TblClusters[Workers min],$B366),"")</f>
        <v>6</v>
      </c>
      <c r="K366" s="73">
        <f>IF($D366=1,INDEX(TblClusters[Tarif par nœud],$B366),"")</f>
        <v>368</v>
      </c>
      <c r="L366" s="19">
        <f>IF($D366=1,INDEX(TblClusters[CPU initial (vCPU)],$B366),"")</f>
        <v>48</v>
      </c>
      <c r="M366" s="19">
        <f>IF($D366=1,INDEX(TblClusters[RAM initiale (Go)],$B366),"")</f>
        <v>240</v>
      </c>
      <c r="N366" s="19">
        <f>IF($D366=1,INDEX(TblClusters[CPU min (vCPU)],$B366),"")</f>
        <v>48</v>
      </c>
      <c r="O366" s="19">
        <f>IF($D366=1,INDEX(TblClusters[RAM min (Go)],$B366),"")</f>
        <v>240</v>
      </c>
      <c r="P366" s="19">
        <f>IF($D366&lt;&gt;1,"",IF($G366="ROKS",SUMIFS(TblApplications[Besoin ROKS CPU (vCPU)],TblApplications[Cluster ROKS cible],$F366,TblApplications[Action],"À migrer",TblApplications[Déjà incluse ROKS],"Non",TblApplications[Mois prov (calc)],"&lt;="&amp;$E366),SUMIFS(TblApplications[CPU IKS libérable (vCPU)],TblApplications[Cluster IKS source],$F366,TblApplications[Mois lib (calc)],"&lt;="&amp;$E366)))</f>
        <v>0</v>
      </c>
      <c r="Q366" s="19">
        <f>IF($D366&lt;&gt;1,"",IF($G366="ROKS",SUMIFS(TblApplications[Besoin ROKS RAM (Go)],TblApplications[Cluster ROKS cible],$F366,TblApplications[Action],"À migrer",TblApplications[Déjà incluse ROKS],"Non",TblApplications[Mois prov (calc)],"&lt;="&amp;$E366),SUMIFS(TblApplications[RAM IKS libérable (Go)],TblApplications[Cluster IKS source],$F366,TblApplications[Mois lib (calc)],"&lt;="&amp;$E366)))</f>
        <v>0</v>
      </c>
      <c r="R366" s="19">
        <f t="shared" si="88"/>
        <v>48</v>
      </c>
      <c r="S366" s="19">
        <f t="shared" si="89"/>
        <v>240</v>
      </c>
      <c r="T366" s="19">
        <f t="shared" si="90"/>
        <v>6</v>
      </c>
      <c r="U366" s="19">
        <f t="shared" si="91"/>
        <v>48</v>
      </c>
      <c r="V366" s="19">
        <f t="shared" si="92"/>
        <v>240</v>
      </c>
      <c r="W366" s="73">
        <f t="shared" si="93"/>
        <v>2208</v>
      </c>
      <c r="X366" s="19">
        <f>IF($D366&lt;&gt;1,"",IF($G366="ROKS",$R366,IF($AI366=1,0,MAX($N366,$L366-SUMIFS(TblApplications[CPU IKS libérable (vCPU)],TblApplications[Cluster IKS source],$F366,TblApplications[Action],"À migrer",TblApplications[Mois prov (calc)],"&lt;="&amp;$E366)-SUMIFS(TblApplications[CPU IKS libérable (vCPU)],TblApplications[Cluster IKS source],$F366,TblApplications[Action],"À décommissionner",TblApplications[Mois lib (calc)],"&lt;="&amp;$E366)))))</f>
        <v>48</v>
      </c>
      <c r="Y366" s="19">
        <f>IF($D366&lt;&gt;1,"",IF($G366="ROKS",$S366,IF($AI366=1,0,MAX($O366,$M366-SUMIFS(TblApplications[RAM IKS libérable (Go)],TblApplications[Cluster IKS source],$F366,TblApplications[Action],"À migrer",TblApplications[Mois prov (calc)],"&lt;="&amp;$E366)-SUMIFS(TblApplications[RAM IKS libérable (Go)],TblApplications[Cluster IKS source],$F366,TblApplications[Action],"À décommissionner",TblApplications[Mois lib (calc)],"&lt;="&amp;$E366)))))</f>
        <v>240</v>
      </c>
      <c r="Z366" s="19">
        <f t="shared" si="94"/>
        <v>6</v>
      </c>
      <c r="AA366" s="73">
        <f t="shared" si="95"/>
        <v>2208</v>
      </c>
      <c r="AB366" s="19">
        <f t="shared" si="96"/>
        <v>6</v>
      </c>
      <c r="AC366" s="73">
        <f t="shared" si="97"/>
        <v>2208</v>
      </c>
      <c r="AD366" s="19">
        <f t="shared" si="98"/>
        <v>0</v>
      </c>
      <c r="AE366" s="19">
        <f t="shared" si="99"/>
        <v>0</v>
      </c>
      <c r="AF366" s="19" t="str">
        <f>IF($D366&lt;&gt;1,"",IF(INDEX(TblClusters[Environnement],$B366)="","(vide)",INDEX(TblClusters[Environnement],$B366)))</f>
        <v>NPRD</v>
      </c>
      <c r="AG366" s="19">
        <f t="shared" si="100"/>
        <v>72</v>
      </c>
      <c r="AH366" s="19">
        <f t="shared" si="101"/>
        <v>30.666666666666668</v>
      </c>
      <c r="AI366" s="19">
        <f>IF($D366&lt;&gt;1,"",IF(AND($G366="IKS",ISNUMBER(INDEX(TblClusters[Fermeture retenue],$B366))),IF($E366&gt;=INDEX(TblClusters[Fermeture retenue],$B366),1,0),0))</f>
        <v>0</v>
      </c>
    </row>
    <row r="367" spans="1:35" x14ac:dyDescent="0.2">
      <c r="A367" s="19">
        <v>362</v>
      </c>
      <c r="B367" s="19">
        <f t="shared" si="85"/>
        <v>11</v>
      </c>
      <c r="C367" s="19">
        <f t="shared" si="86"/>
        <v>2</v>
      </c>
      <c r="D367" s="19">
        <f>IF($C367&gt;p_horizon,0,IFERROR(IF(AND(INDEX(TblClusters[Cluster],$B367)&lt;&gt;"",ISNUMBER(INDEX(TblClusters[CPU initial (vCPU)],$B367)),ISNUMBER(INDEX(TblClusters[CPU min (vCPU)],$B367)),OR(INDEX(TblClusters[Plateforme],$B367)="IKS",INDEX(TblClusters[Plateforme],$B367)="ROKS")),1,0),0))</f>
        <v>1</v>
      </c>
      <c r="E367" s="72">
        <f t="shared" si="87"/>
        <v>46327</v>
      </c>
      <c r="F367" s="19" t="str">
        <f>IF($D367=1,INDEX(TblClusters[Cluster],$B367),"")</f>
        <v>oc-EMEA-NPR</v>
      </c>
      <c r="G367" s="19" t="str">
        <f>IF($D367=1,INDEX(TblClusters[Plateforme],$B367),"")</f>
        <v>ROKS</v>
      </c>
      <c r="H367" s="19">
        <f>IF($D367=1,INDEX(TblClusters[vCPU par nœud],$B367),"")</f>
        <v>8</v>
      </c>
      <c r="I367" s="19">
        <f>IF($D367=1,INDEX(TblClusters[RAM par nœud (Go)],$B367),"")</f>
        <v>40</v>
      </c>
      <c r="J367" s="19">
        <f>IF($D367=1,INDEX(TblClusters[Workers min],$B367),"")</f>
        <v>6</v>
      </c>
      <c r="K367" s="73">
        <f>IF($D367=1,INDEX(TblClusters[Tarif par nœud],$B367),"")</f>
        <v>368</v>
      </c>
      <c r="L367" s="19">
        <f>IF($D367=1,INDEX(TblClusters[CPU initial (vCPU)],$B367),"")</f>
        <v>48</v>
      </c>
      <c r="M367" s="19">
        <f>IF($D367=1,INDEX(TblClusters[RAM initiale (Go)],$B367),"")</f>
        <v>240</v>
      </c>
      <c r="N367" s="19">
        <f>IF($D367=1,INDEX(TblClusters[CPU min (vCPU)],$B367),"")</f>
        <v>48</v>
      </c>
      <c r="O367" s="19">
        <f>IF($D367=1,INDEX(TblClusters[RAM min (Go)],$B367),"")</f>
        <v>240</v>
      </c>
      <c r="P367" s="19">
        <f>IF($D367&lt;&gt;1,"",IF($G367="ROKS",SUMIFS(TblApplications[Besoin ROKS CPU (vCPU)],TblApplications[Cluster ROKS cible],$F367,TblApplications[Action],"À migrer",TblApplications[Déjà incluse ROKS],"Non",TblApplications[Mois prov (calc)],"&lt;="&amp;$E367),SUMIFS(TblApplications[CPU IKS libérable (vCPU)],TblApplications[Cluster IKS source],$F367,TblApplications[Mois lib (calc)],"&lt;="&amp;$E367)))</f>
        <v>0</v>
      </c>
      <c r="Q367" s="19">
        <f>IF($D367&lt;&gt;1,"",IF($G367="ROKS",SUMIFS(TblApplications[Besoin ROKS RAM (Go)],TblApplications[Cluster ROKS cible],$F367,TblApplications[Action],"À migrer",TblApplications[Déjà incluse ROKS],"Non",TblApplications[Mois prov (calc)],"&lt;="&amp;$E367),SUMIFS(TblApplications[RAM IKS libérable (Go)],TblApplications[Cluster IKS source],$F367,TblApplications[Mois lib (calc)],"&lt;="&amp;$E367)))</f>
        <v>0</v>
      </c>
      <c r="R367" s="19">
        <f t="shared" si="88"/>
        <v>48</v>
      </c>
      <c r="S367" s="19">
        <f t="shared" si="89"/>
        <v>240</v>
      </c>
      <c r="T367" s="19">
        <f t="shared" si="90"/>
        <v>6</v>
      </c>
      <c r="U367" s="19">
        <f t="shared" si="91"/>
        <v>48</v>
      </c>
      <c r="V367" s="19">
        <f t="shared" si="92"/>
        <v>240</v>
      </c>
      <c r="W367" s="73">
        <f t="shared" si="93"/>
        <v>2208</v>
      </c>
      <c r="X367" s="19">
        <f>IF($D367&lt;&gt;1,"",IF($G367="ROKS",$R367,IF($AI367=1,0,MAX($N367,$L367-SUMIFS(TblApplications[CPU IKS libérable (vCPU)],TblApplications[Cluster IKS source],$F367,TblApplications[Action],"À migrer",TblApplications[Mois prov (calc)],"&lt;="&amp;$E367)-SUMIFS(TblApplications[CPU IKS libérable (vCPU)],TblApplications[Cluster IKS source],$F367,TblApplications[Action],"À décommissionner",TblApplications[Mois lib (calc)],"&lt;="&amp;$E367)))))</f>
        <v>48</v>
      </c>
      <c r="Y367" s="19">
        <f>IF($D367&lt;&gt;1,"",IF($G367="ROKS",$S367,IF($AI367=1,0,MAX($O367,$M367-SUMIFS(TblApplications[RAM IKS libérable (Go)],TblApplications[Cluster IKS source],$F367,TblApplications[Action],"À migrer",TblApplications[Mois prov (calc)],"&lt;="&amp;$E367)-SUMIFS(TblApplications[RAM IKS libérable (Go)],TblApplications[Cluster IKS source],$F367,TblApplications[Action],"À décommissionner",TblApplications[Mois lib (calc)],"&lt;="&amp;$E367)))))</f>
        <v>240</v>
      </c>
      <c r="Z367" s="19">
        <f t="shared" si="94"/>
        <v>6</v>
      </c>
      <c r="AA367" s="73">
        <f t="shared" si="95"/>
        <v>2208</v>
      </c>
      <c r="AB367" s="19">
        <f t="shared" si="96"/>
        <v>6</v>
      </c>
      <c r="AC367" s="73">
        <f t="shared" si="97"/>
        <v>2208</v>
      </c>
      <c r="AD367" s="19">
        <f t="shared" si="98"/>
        <v>0</v>
      </c>
      <c r="AE367" s="19">
        <f t="shared" si="99"/>
        <v>0</v>
      </c>
      <c r="AF367" s="19" t="str">
        <f>IF($D367&lt;&gt;1,"",IF(INDEX(TblClusters[Environnement],$B367)="","(vide)",INDEX(TblClusters[Environnement],$B367)))</f>
        <v>NPRD</v>
      </c>
      <c r="AG367" s="19">
        <f t="shared" si="100"/>
        <v>72</v>
      </c>
      <c r="AH367" s="19">
        <f t="shared" si="101"/>
        <v>30.666666666666668</v>
      </c>
      <c r="AI367" s="19">
        <f>IF($D367&lt;&gt;1,"",IF(AND($G367="IKS",ISNUMBER(INDEX(TblClusters[Fermeture retenue],$B367))),IF($E367&gt;=INDEX(TblClusters[Fermeture retenue],$B367),1,0),0))</f>
        <v>0</v>
      </c>
    </row>
    <row r="368" spans="1:35" x14ac:dyDescent="0.2">
      <c r="A368" s="19">
        <v>363</v>
      </c>
      <c r="B368" s="19">
        <f t="shared" si="85"/>
        <v>11</v>
      </c>
      <c r="C368" s="19">
        <f t="shared" si="86"/>
        <v>3</v>
      </c>
      <c r="D368" s="19">
        <f>IF($C368&gt;p_horizon,0,IFERROR(IF(AND(INDEX(TblClusters[Cluster],$B368)&lt;&gt;"",ISNUMBER(INDEX(TblClusters[CPU initial (vCPU)],$B368)),ISNUMBER(INDEX(TblClusters[CPU min (vCPU)],$B368)),OR(INDEX(TblClusters[Plateforme],$B368)="IKS",INDEX(TblClusters[Plateforme],$B368)="ROKS")),1,0),0))</f>
        <v>1</v>
      </c>
      <c r="E368" s="72">
        <f t="shared" si="87"/>
        <v>46357</v>
      </c>
      <c r="F368" s="19" t="str">
        <f>IF($D368=1,INDEX(TblClusters[Cluster],$B368),"")</f>
        <v>oc-EMEA-NPR</v>
      </c>
      <c r="G368" s="19" t="str">
        <f>IF($D368=1,INDEX(TblClusters[Plateforme],$B368),"")</f>
        <v>ROKS</v>
      </c>
      <c r="H368" s="19">
        <f>IF($D368=1,INDEX(TblClusters[vCPU par nœud],$B368),"")</f>
        <v>8</v>
      </c>
      <c r="I368" s="19">
        <f>IF($D368=1,INDEX(TblClusters[RAM par nœud (Go)],$B368),"")</f>
        <v>40</v>
      </c>
      <c r="J368" s="19">
        <f>IF($D368=1,INDEX(TblClusters[Workers min],$B368),"")</f>
        <v>6</v>
      </c>
      <c r="K368" s="73">
        <f>IF($D368=1,INDEX(TblClusters[Tarif par nœud],$B368),"")</f>
        <v>368</v>
      </c>
      <c r="L368" s="19">
        <f>IF($D368=1,INDEX(TblClusters[CPU initial (vCPU)],$B368),"")</f>
        <v>48</v>
      </c>
      <c r="M368" s="19">
        <f>IF($D368=1,INDEX(TblClusters[RAM initiale (Go)],$B368),"")</f>
        <v>240</v>
      </c>
      <c r="N368" s="19">
        <f>IF($D368=1,INDEX(TblClusters[CPU min (vCPU)],$B368),"")</f>
        <v>48</v>
      </c>
      <c r="O368" s="19">
        <f>IF($D368=1,INDEX(TblClusters[RAM min (Go)],$B368),"")</f>
        <v>240</v>
      </c>
      <c r="P368" s="19">
        <f>IF($D368&lt;&gt;1,"",IF($G368="ROKS",SUMIFS(TblApplications[Besoin ROKS CPU (vCPU)],TblApplications[Cluster ROKS cible],$F368,TblApplications[Action],"À migrer",TblApplications[Déjà incluse ROKS],"Non",TblApplications[Mois prov (calc)],"&lt;="&amp;$E368),SUMIFS(TblApplications[CPU IKS libérable (vCPU)],TblApplications[Cluster IKS source],$F368,TblApplications[Mois lib (calc)],"&lt;="&amp;$E368)))</f>
        <v>0</v>
      </c>
      <c r="Q368" s="19">
        <f>IF($D368&lt;&gt;1,"",IF($G368="ROKS",SUMIFS(TblApplications[Besoin ROKS RAM (Go)],TblApplications[Cluster ROKS cible],$F368,TblApplications[Action],"À migrer",TblApplications[Déjà incluse ROKS],"Non",TblApplications[Mois prov (calc)],"&lt;="&amp;$E368),SUMIFS(TblApplications[RAM IKS libérable (Go)],TblApplications[Cluster IKS source],$F368,TblApplications[Mois lib (calc)],"&lt;="&amp;$E368)))</f>
        <v>0</v>
      </c>
      <c r="R368" s="19">
        <f t="shared" si="88"/>
        <v>48</v>
      </c>
      <c r="S368" s="19">
        <f t="shared" si="89"/>
        <v>240</v>
      </c>
      <c r="T368" s="19">
        <f t="shared" si="90"/>
        <v>6</v>
      </c>
      <c r="U368" s="19">
        <f t="shared" si="91"/>
        <v>48</v>
      </c>
      <c r="V368" s="19">
        <f t="shared" si="92"/>
        <v>240</v>
      </c>
      <c r="W368" s="73">
        <f t="shared" si="93"/>
        <v>2208</v>
      </c>
      <c r="X368" s="19">
        <f>IF($D368&lt;&gt;1,"",IF($G368="ROKS",$R368,IF($AI368=1,0,MAX($N368,$L368-SUMIFS(TblApplications[CPU IKS libérable (vCPU)],TblApplications[Cluster IKS source],$F368,TblApplications[Action],"À migrer",TblApplications[Mois prov (calc)],"&lt;="&amp;$E368)-SUMIFS(TblApplications[CPU IKS libérable (vCPU)],TblApplications[Cluster IKS source],$F368,TblApplications[Action],"À décommissionner",TblApplications[Mois lib (calc)],"&lt;="&amp;$E368)))))</f>
        <v>48</v>
      </c>
      <c r="Y368" s="19">
        <f>IF($D368&lt;&gt;1,"",IF($G368="ROKS",$S368,IF($AI368=1,0,MAX($O368,$M368-SUMIFS(TblApplications[RAM IKS libérable (Go)],TblApplications[Cluster IKS source],$F368,TblApplications[Action],"À migrer",TblApplications[Mois prov (calc)],"&lt;="&amp;$E368)-SUMIFS(TblApplications[RAM IKS libérable (Go)],TblApplications[Cluster IKS source],$F368,TblApplications[Action],"À décommissionner",TblApplications[Mois lib (calc)],"&lt;="&amp;$E368)))))</f>
        <v>240</v>
      </c>
      <c r="Z368" s="19">
        <f t="shared" si="94"/>
        <v>6</v>
      </c>
      <c r="AA368" s="73">
        <f t="shared" si="95"/>
        <v>2208</v>
      </c>
      <c r="AB368" s="19">
        <f t="shared" si="96"/>
        <v>6</v>
      </c>
      <c r="AC368" s="73">
        <f t="shared" si="97"/>
        <v>2208</v>
      </c>
      <c r="AD368" s="19">
        <f t="shared" si="98"/>
        <v>0</v>
      </c>
      <c r="AE368" s="19">
        <f t="shared" si="99"/>
        <v>0</v>
      </c>
      <c r="AF368" s="19" t="str">
        <f>IF($D368&lt;&gt;1,"",IF(INDEX(TblClusters[Environnement],$B368)="","(vide)",INDEX(TblClusters[Environnement],$B368)))</f>
        <v>NPRD</v>
      </c>
      <c r="AG368" s="19">
        <f t="shared" si="100"/>
        <v>72</v>
      </c>
      <c r="AH368" s="19">
        <f t="shared" si="101"/>
        <v>30.666666666666668</v>
      </c>
      <c r="AI368" s="19">
        <f>IF($D368&lt;&gt;1,"",IF(AND($G368="IKS",ISNUMBER(INDEX(TblClusters[Fermeture retenue],$B368))),IF($E368&gt;=INDEX(TblClusters[Fermeture retenue],$B368),1,0),0))</f>
        <v>0</v>
      </c>
    </row>
    <row r="369" spans="1:35" x14ac:dyDescent="0.2">
      <c r="A369" s="19">
        <v>364</v>
      </c>
      <c r="B369" s="19">
        <f t="shared" si="85"/>
        <v>11</v>
      </c>
      <c r="C369" s="19">
        <f t="shared" si="86"/>
        <v>4</v>
      </c>
      <c r="D369" s="19">
        <f>IF($C369&gt;p_horizon,0,IFERROR(IF(AND(INDEX(TblClusters[Cluster],$B369)&lt;&gt;"",ISNUMBER(INDEX(TblClusters[CPU initial (vCPU)],$B369)),ISNUMBER(INDEX(TblClusters[CPU min (vCPU)],$B369)),OR(INDEX(TblClusters[Plateforme],$B369)="IKS",INDEX(TblClusters[Plateforme],$B369)="ROKS")),1,0),0))</f>
        <v>1</v>
      </c>
      <c r="E369" s="72">
        <f t="shared" si="87"/>
        <v>46388</v>
      </c>
      <c r="F369" s="19" t="str">
        <f>IF($D369=1,INDEX(TblClusters[Cluster],$B369),"")</f>
        <v>oc-EMEA-NPR</v>
      </c>
      <c r="G369" s="19" t="str">
        <f>IF($D369=1,INDEX(TblClusters[Plateforme],$B369),"")</f>
        <v>ROKS</v>
      </c>
      <c r="H369" s="19">
        <f>IF($D369=1,INDEX(TblClusters[vCPU par nœud],$B369),"")</f>
        <v>8</v>
      </c>
      <c r="I369" s="19">
        <f>IF($D369=1,INDEX(TblClusters[RAM par nœud (Go)],$B369),"")</f>
        <v>40</v>
      </c>
      <c r="J369" s="19">
        <f>IF($D369=1,INDEX(TblClusters[Workers min],$B369),"")</f>
        <v>6</v>
      </c>
      <c r="K369" s="73">
        <f>IF($D369=1,INDEX(TblClusters[Tarif par nœud],$B369),"")</f>
        <v>368</v>
      </c>
      <c r="L369" s="19">
        <f>IF($D369=1,INDEX(TblClusters[CPU initial (vCPU)],$B369),"")</f>
        <v>48</v>
      </c>
      <c r="M369" s="19">
        <f>IF($D369=1,INDEX(TblClusters[RAM initiale (Go)],$B369),"")</f>
        <v>240</v>
      </c>
      <c r="N369" s="19">
        <f>IF($D369=1,INDEX(TblClusters[CPU min (vCPU)],$B369),"")</f>
        <v>48</v>
      </c>
      <c r="O369" s="19">
        <f>IF($D369=1,INDEX(TblClusters[RAM min (Go)],$B369),"")</f>
        <v>240</v>
      </c>
      <c r="P369" s="19">
        <f>IF($D369&lt;&gt;1,"",IF($G369="ROKS",SUMIFS(TblApplications[Besoin ROKS CPU (vCPU)],TblApplications[Cluster ROKS cible],$F369,TblApplications[Action],"À migrer",TblApplications[Déjà incluse ROKS],"Non",TblApplications[Mois prov (calc)],"&lt;="&amp;$E369),SUMIFS(TblApplications[CPU IKS libérable (vCPU)],TblApplications[Cluster IKS source],$F369,TblApplications[Mois lib (calc)],"&lt;="&amp;$E369)))</f>
        <v>0</v>
      </c>
      <c r="Q369" s="19">
        <f>IF($D369&lt;&gt;1,"",IF($G369="ROKS",SUMIFS(TblApplications[Besoin ROKS RAM (Go)],TblApplications[Cluster ROKS cible],$F369,TblApplications[Action],"À migrer",TblApplications[Déjà incluse ROKS],"Non",TblApplications[Mois prov (calc)],"&lt;="&amp;$E369),SUMIFS(TblApplications[RAM IKS libérable (Go)],TblApplications[Cluster IKS source],$F369,TblApplications[Mois lib (calc)],"&lt;="&amp;$E369)))</f>
        <v>0</v>
      </c>
      <c r="R369" s="19">
        <f t="shared" si="88"/>
        <v>48</v>
      </c>
      <c r="S369" s="19">
        <f t="shared" si="89"/>
        <v>240</v>
      </c>
      <c r="T369" s="19">
        <f t="shared" si="90"/>
        <v>6</v>
      </c>
      <c r="U369" s="19">
        <f t="shared" si="91"/>
        <v>48</v>
      </c>
      <c r="V369" s="19">
        <f t="shared" si="92"/>
        <v>240</v>
      </c>
      <c r="W369" s="73">
        <f t="shared" si="93"/>
        <v>2208</v>
      </c>
      <c r="X369" s="19">
        <f>IF($D369&lt;&gt;1,"",IF($G369="ROKS",$R369,IF($AI369=1,0,MAX($N369,$L369-SUMIFS(TblApplications[CPU IKS libérable (vCPU)],TblApplications[Cluster IKS source],$F369,TblApplications[Action],"À migrer",TblApplications[Mois prov (calc)],"&lt;="&amp;$E369)-SUMIFS(TblApplications[CPU IKS libérable (vCPU)],TblApplications[Cluster IKS source],$F369,TblApplications[Action],"À décommissionner",TblApplications[Mois lib (calc)],"&lt;="&amp;$E369)))))</f>
        <v>48</v>
      </c>
      <c r="Y369" s="19">
        <f>IF($D369&lt;&gt;1,"",IF($G369="ROKS",$S369,IF($AI369=1,0,MAX($O369,$M369-SUMIFS(TblApplications[RAM IKS libérable (Go)],TblApplications[Cluster IKS source],$F369,TblApplications[Action],"À migrer",TblApplications[Mois prov (calc)],"&lt;="&amp;$E369)-SUMIFS(TblApplications[RAM IKS libérable (Go)],TblApplications[Cluster IKS source],$F369,TblApplications[Action],"À décommissionner",TblApplications[Mois lib (calc)],"&lt;="&amp;$E369)))))</f>
        <v>240</v>
      </c>
      <c r="Z369" s="19">
        <f t="shared" si="94"/>
        <v>6</v>
      </c>
      <c r="AA369" s="73">
        <f t="shared" si="95"/>
        <v>2208</v>
      </c>
      <c r="AB369" s="19">
        <f t="shared" si="96"/>
        <v>6</v>
      </c>
      <c r="AC369" s="73">
        <f t="shared" si="97"/>
        <v>2208</v>
      </c>
      <c r="AD369" s="19">
        <f t="shared" si="98"/>
        <v>0</v>
      </c>
      <c r="AE369" s="19">
        <f t="shared" si="99"/>
        <v>0</v>
      </c>
      <c r="AF369" s="19" t="str">
        <f>IF($D369&lt;&gt;1,"",IF(INDEX(TblClusters[Environnement],$B369)="","(vide)",INDEX(TblClusters[Environnement],$B369)))</f>
        <v>NPRD</v>
      </c>
      <c r="AG369" s="19">
        <f t="shared" si="100"/>
        <v>72</v>
      </c>
      <c r="AH369" s="19">
        <f t="shared" si="101"/>
        <v>30.666666666666668</v>
      </c>
      <c r="AI369" s="19">
        <f>IF($D369&lt;&gt;1,"",IF(AND($G369="IKS",ISNUMBER(INDEX(TblClusters[Fermeture retenue],$B369))),IF($E369&gt;=INDEX(TblClusters[Fermeture retenue],$B369),1,0),0))</f>
        <v>0</v>
      </c>
    </row>
    <row r="370" spans="1:35" x14ac:dyDescent="0.2">
      <c r="A370" s="19">
        <v>365</v>
      </c>
      <c r="B370" s="19">
        <f t="shared" si="85"/>
        <v>11</v>
      </c>
      <c r="C370" s="19">
        <f t="shared" si="86"/>
        <v>5</v>
      </c>
      <c r="D370" s="19">
        <f>IF($C370&gt;p_horizon,0,IFERROR(IF(AND(INDEX(TblClusters[Cluster],$B370)&lt;&gt;"",ISNUMBER(INDEX(TblClusters[CPU initial (vCPU)],$B370)),ISNUMBER(INDEX(TblClusters[CPU min (vCPU)],$B370)),OR(INDEX(TblClusters[Plateforme],$B370)="IKS",INDEX(TblClusters[Plateforme],$B370)="ROKS")),1,0),0))</f>
        <v>1</v>
      </c>
      <c r="E370" s="72">
        <f t="shared" si="87"/>
        <v>46419</v>
      </c>
      <c r="F370" s="19" t="str">
        <f>IF($D370=1,INDEX(TblClusters[Cluster],$B370),"")</f>
        <v>oc-EMEA-NPR</v>
      </c>
      <c r="G370" s="19" t="str">
        <f>IF($D370=1,INDEX(TblClusters[Plateforme],$B370),"")</f>
        <v>ROKS</v>
      </c>
      <c r="H370" s="19">
        <f>IF($D370=1,INDEX(TblClusters[vCPU par nœud],$B370),"")</f>
        <v>8</v>
      </c>
      <c r="I370" s="19">
        <f>IF($D370=1,INDEX(TblClusters[RAM par nœud (Go)],$B370),"")</f>
        <v>40</v>
      </c>
      <c r="J370" s="19">
        <f>IF($D370=1,INDEX(TblClusters[Workers min],$B370),"")</f>
        <v>6</v>
      </c>
      <c r="K370" s="73">
        <f>IF($D370=1,INDEX(TblClusters[Tarif par nœud],$B370),"")</f>
        <v>368</v>
      </c>
      <c r="L370" s="19">
        <f>IF($D370=1,INDEX(TblClusters[CPU initial (vCPU)],$B370),"")</f>
        <v>48</v>
      </c>
      <c r="M370" s="19">
        <f>IF($D370=1,INDEX(TblClusters[RAM initiale (Go)],$B370),"")</f>
        <v>240</v>
      </c>
      <c r="N370" s="19">
        <f>IF($D370=1,INDEX(TblClusters[CPU min (vCPU)],$B370),"")</f>
        <v>48</v>
      </c>
      <c r="O370" s="19">
        <f>IF($D370=1,INDEX(TblClusters[RAM min (Go)],$B370),"")</f>
        <v>240</v>
      </c>
      <c r="P370" s="19">
        <f>IF($D370&lt;&gt;1,"",IF($G370="ROKS",SUMIFS(TblApplications[Besoin ROKS CPU (vCPU)],TblApplications[Cluster ROKS cible],$F370,TblApplications[Action],"À migrer",TblApplications[Déjà incluse ROKS],"Non",TblApplications[Mois prov (calc)],"&lt;="&amp;$E370),SUMIFS(TblApplications[CPU IKS libérable (vCPU)],TblApplications[Cluster IKS source],$F370,TblApplications[Mois lib (calc)],"&lt;="&amp;$E370)))</f>
        <v>0</v>
      </c>
      <c r="Q370" s="19">
        <f>IF($D370&lt;&gt;1,"",IF($G370="ROKS",SUMIFS(TblApplications[Besoin ROKS RAM (Go)],TblApplications[Cluster ROKS cible],$F370,TblApplications[Action],"À migrer",TblApplications[Déjà incluse ROKS],"Non",TblApplications[Mois prov (calc)],"&lt;="&amp;$E370),SUMIFS(TblApplications[RAM IKS libérable (Go)],TblApplications[Cluster IKS source],$F370,TblApplications[Mois lib (calc)],"&lt;="&amp;$E370)))</f>
        <v>0</v>
      </c>
      <c r="R370" s="19">
        <f t="shared" si="88"/>
        <v>48</v>
      </c>
      <c r="S370" s="19">
        <f t="shared" si="89"/>
        <v>240</v>
      </c>
      <c r="T370" s="19">
        <f t="shared" si="90"/>
        <v>6</v>
      </c>
      <c r="U370" s="19">
        <f t="shared" si="91"/>
        <v>48</v>
      </c>
      <c r="V370" s="19">
        <f t="shared" si="92"/>
        <v>240</v>
      </c>
      <c r="W370" s="73">
        <f t="shared" si="93"/>
        <v>2208</v>
      </c>
      <c r="X370" s="19">
        <f>IF($D370&lt;&gt;1,"",IF($G370="ROKS",$R370,IF($AI370=1,0,MAX($N370,$L370-SUMIFS(TblApplications[CPU IKS libérable (vCPU)],TblApplications[Cluster IKS source],$F370,TblApplications[Action],"À migrer",TblApplications[Mois prov (calc)],"&lt;="&amp;$E370)-SUMIFS(TblApplications[CPU IKS libérable (vCPU)],TblApplications[Cluster IKS source],$F370,TblApplications[Action],"À décommissionner",TblApplications[Mois lib (calc)],"&lt;="&amp;$E370)))))</f>
        <v>48</v>
      </c>
      <c r="Y370" s="19">
        <f>IF($D370&lt;&gt;1,"",IF($G370="ROKS",$S370,IF($AI370=1,0,MAX($O370,$M370-SUMIFS(TblApplications[RAM IKS libérable (Go)],TblApplications[Cluster IKS source],$F370,TblApplications[Action],"À migrer",TblApplications[Mois prov (calc)],"&lt;="&amp;$E370)-SUMIFS(TblApplications[RAM IKS libérable (Go)],TblApplications[Cluster IKS source],$F370,TblApplications[Action],"À décommissionner",TblApplications[Mois lib (calc)],"&lt;="&amp;$E370)))))</f>
        <v>240</v>
      </c>
      <c r="Z370" s="19">
        <f t="shared" si="94"/>
        <v>6</v>
      </c>
      <c r="AA370" s="73">
        <f t="shared" si="95"/>
        <v>2208</v>
      </c>
      <c r="AB370" s="19">
        <f t="shared" si="96"/>
        <v>6</v>
      </c>
      <c r="AC370" s="73">
        <f t="shared" si="97"/>
        <v>2208</v>
      </c>
      <c r="AD370" s="19">
        <f t="shared" si="98"/>
        <v>0</v>
      </c>
      <c r="AE370" s="19">
        <f t="shared" si="99"/>
        <v>0</v>
      </c>
      <c r="AF370" s="19" t="str">
        <f>IF($D370&lt;&gt;1,"",IF(INDEX(TblClusters[Environnement],$B370)="","(vide)",INDEX(TblClusters[Environnement],$B370)))</f>
        <v>NPRD</v>
      </c>
      <c r="AG370" s="19">
        <f t="shared" si="100"/>
        <v>72</v>
      </c>
      <c r="AH370" s="19">
        <f t="shared" si="101"/>
        <v>30.666666666666668</v>
      </c>
      <c r="AI370" s="19">
        <f>IF($D370&lt;&gt;1,"",IF(AND($G370="IKS",ISNUMBER(INDEX(TblClusters[Fermeture retenue],$B370))),IF($E370&gt;=INDEX(TblClusters[Fermeture retenue],$B370),1,0),0))</f>
        <v>0</v>
      </c>
    </row>
    <row r="371" spans="1:35" x14ac:dyDescent="0.2">
      <c r="A371" s="19">
        <v>366</v>
      </c>
      <c r="B371" s="19">
        <f t="shared" si="85"/>
        <v>11</v>
      </c>
      <c r="C371" s="19">
        <f t="shared" si="86"/>
        <v>6</v>
      </c>
      <c r="D371" s="19">
        <f>IF($C371&gt;p_horizon,0,IFERROR(IF(AND(INDEX(TblClusters[Cluster],$B371)&lt;&gt;"",ISNUMBER(INDEX(TblClusters[CPU initial (vCPU)],$B371)),ISNUMBER(INDEX(TblClusters[CPU min (vCPU)],$B371)),OR(INDEX(TblClusters[Plateforme],$B371)="IKS",INDEX(TblClusters[Plateforme],$B371)="ROKS")),1,0),0))</f>
        <v>1</v>
      </c>
      <c r="E371" s="72">
        <f t="shared" si="87"/>
        <v>46447</v>
      </c>
      <c r="F371" s="19" t="str">
        <f>IF($D371=1,INDEX(TblClusters[Cluster],$B371),"")</f>
        <v>oc-EMEA-NPR</v>
      </c>
      <c r="G371" s="19" t="str">
        <f>IF($D371=1,INDEX(TblClusters[Plateforme],$B371),"")</f>
        <v>ROKS</v>
      </c>
      <c r="H371" s="19">
        <f>IF($D371=1,INDEX(TblClusters[vCPU par nœud],$B371),"")</f>
        <v>8</v>
      </c>
      <c r="I371" s="19">
        <f>IF($D371=1,INDEX(TblClusters[RAM par nœud (Go)],$B371),"")</f>
        <v>40</v>
      </c>
      <c r="J371" s="19">
        <f>IF($D371=1,INDEX(TblClusters[Workers min],$B371),"")</f>
        <v>6</v>
      </c>
      <c r="K371" s="73">
        <f>IF($D371=1,INDEX(TblClusters[Tarif par nœud],$B371),"")</f>
        <v>368</v>
      </c>
      <c r="L371" s="19">
        <f>IF($D371=1,INDEX(TblClusters[CPU initial (vCPU)],$B371),"")</f>
        <v>48</v>
      </c>
      <c r="M371" s="19">
        <f>IF($D371=1,INDEX(TblClusters[RAM initiale (Go)],$B371),"")</f>
        <v>240</v>
      </c>
      <c r="N371" s="19">
        <f>IF($D371=1,INDEX(TblClusters[CPU min (vCPU)],$B371),"")</f>
        <v>48</v>
      </c>
      <c r="O371" s="19">
        <f>IF($D371=1,INDEX(TblClusters[RAM min (Go)],$B371),"")</f>
        <v>240</v>
      </c>
      <c r="P371" s="19">
        <f>IF($D371&lt;&gt;1,"",IF($G371="ROKS",SUMIFS(TblApplications[Besoin ROKS CPU (vCPU)],TblApplications[Cluster ROKS cible],$F371,TblApplications[Action],"À migrer",TblApplications[Déjà incluse ROKS],"Non",TblApplications[Mois prov (calc)],"&lt;="&amp;$E371),SUMIFS(TblApplications[CPU IKS libérable (vCPU)],TblApplications[Cluster IKS source],$F371,TblApplications[Mois lib (calc)],"&lt;="&amp;$E371)))</f>
        <v>0</v>
      </c>
      <c r="Q371" s="19">
        <f>IF($D371&lt;&gt;1,"",IF($G371="ROKS",SUMIFS(TblApplications[Besoin ROKS RAM (Go)],TblApplications[Cluster ROKS cible],$F371,TblApplications[Action],"À migrer",TblApplications[Déjà incluse ROKS],"Non",TblApplications[Mois prov (calc)],"&lt;="&amp;$E371),SUMIFS(TblApplications[RAM IKS libérable (Go)],TblApplications[Cluster IKS source],$F371,TblApplications[Mois lib (calc)],"&lt;="&amp;$E371)))</f>
        <v>0</v>
      </c>
      <c r="R371" s="19">
        <f t="shared" si="88"/>
        <v>48</v>
      </c>
      <c r="S371" s="19">
        <f t="shared" si="89"/>
        <v>240</v>
      </c>
      <c r="T371" s="19">
        <f t="shared" si="90"/>
        <v>6</v>
      </c>
      <c r="U371" s="19">
        <f t="shared" si="91"/>
        <v>48</v>
      </c>
      <c r="V371" s="19">
        <f t="shared" si="92"/>
        <v>240</v>
      </c>
      <c r="W371" s="73">
        <f t="shared" si="93"/>
        <v>2208</v>
      </c>
      <c r="X371" s="19">
        <f>IF($D371&lt;&gt;1,"",IF($G371="ROKS",$R371,IF($AI371=1,0,MAX($N371,$L371-SUMIFS(TblApplications[CPU IKS libérable (vCPU)],TblApplications[Cluster IKS source],$F371,TblApplications[Action],"À migrer",TblApplications[Mois prov (calc)],"&lt;="&amp;$E371)-SUMIFS(TblApplications[CPU IKS libérable (vCPU)],TblApplications[Cluster IKS source],$F371,TblApplications[Action],"À décommissionner",TblApplications[Mois lib (calc)],"&lt;="&amp;$E371)))))</f>
        <v>48</v>
      </c>
      <c r="Y371" s="19">
        <f>IF($D371&lt;&gt;1,"",IF($G371="ROKS",$S371,IF($AI371=1,0,MAX($O371,$M371-SUMIFS(TblApplications[RAM IKS libérable (Go)],TblApplications[Cluster IKS source],$F371,TblApplications[Action],"À migrer",TblApplications[Mois prov (calc)],"&lt;="&amp;$E371)-SUMIFS(TblApplications[RAM IKS libérable (Go)],TblApplications[Cluster IKS source],$F371,TblApplications[Action],"À décommissionner",TblApplications[Mois lib (calc)],"&lt;="&amp;$E371)))))</f>
        <v>240</v>
      </c>
      <c r="Z371" s="19">
        <f t="shared" si="94"/>
        <v>6</v>
      </c>
      <c r="AA371" s="73">
        <f t="shared" si="95"/>
        <v>2208</v>
      </c>
      <c r="AB371" s="19">
        <f t="shared" si="96"/>
        <v>6</v>
      </c>
      <c r="AC371" s="73">
        <f t="shared" si="97"/>
        <v>2208</v>
      </c>
      <c r="AD371" s="19">
        <f t="shared" si="98"/>
        <v>0</v>
      </c>
      <c r="AE371" s="19">
        <f t="shared" si="99"/>
        <v>0</v>
      </c>
      <c r="AF371" s="19" t="str">
        <f>IF($D371&lt;&gt;1,"",IF(INDEX(TblClusters[Environnement],$B371)="","(vide)",INDEX(TblClusters[Environnement],$B371)))</f>
        <v>NPRD</v>
      </c>
      <c r="AG371" s="19">
        <f t="shared" si="100"/>
        <v>72</v>
      </c>
      <c r="AH371" s="19">
        <f t="shared" si="101"/>
        <v>30.666666666666668</v>
      </c>
      <c r="AI371" s="19">
        <f>IF($D371&lt;&gt;1,"",IF(AND($G371="IKS",ISNUMBER(INDEX(TblClusters[Fermeture retenue],$B371))),IF($E371&gt;=INDEX(TblClusters[Fermeture retenue],$B371),1,0),0))</f>
        <v>0</v>
      </c>
    </row>
    <row r="372" spans="1:35" x14ac:dyDescent="0.2">
      <c r="A372" s="19">
        <v>367</v>
      </c>
      <c r="B372" s="19">
        <f t="shared" si="85"/>
        <v>11</v>
      </c>
      <c r="C372" s="19">
        <f t="shared" si="86"/>
        <v>7</v>
      </c>
      <c r="D372" s="19">
        <f>IF($C372&gt;p_horizon,0,IFERROR(IF(AND(INDEX(TblClusters[Cluster],$B372)&lt;&gt;"",ISNUMBER(INDEX(TblClusters[CPU initial (vCPU)],$B372)),ISNUMBER(INDEX(TblClusters[CPU min (vCPU)],$B372)),OR(INDEX(TblClusters[Plateforme],$B372)="IKS",INDEX(TblClusters[Plateforme],$B372)="ROKS")),1,0),0))</f>
        <v>1</v>
      </c>
      <c r="E372" s="72">
        <f t="shared" si="87"/>
        <v>46478</v>
      </c>
      <c r="F372" s="19" t="str">
        <f>IF($D372=1,INDEX(TblClusters[Cluster],$B372),"")</f>
        <v>oc-EMEA-NPR</v>
      </c>
      <c r="G372" s="19" t="str">
        <f>IF($D372=1,INDEX(TblClusters[Plateforme],$B372),"")</f>
        <v>ROKS</v>
      </c>
      <c r="H372" s="19">
        <f>IF($D372=1,INDEX(TblClusters[vCPU par nœud],$B372),"")</f>
        <v>8</v>
      </c>
      <c r="I372" s="19">
        <f>IF($D372=1,INDEX(TblClusters[RAM par nœud (Go)],$B372),"")</f>
        <v>40</v>
      </c>
      <c r="J372" s="19">
        <f>IF($D372=1,INDEX(TblClusters[Workers min],$B372),"")</f>
        <v>6</v>
      </c>
      <c r="K372" s="73">
        <f>IF($D372=1,INDEX(TblClusters[Tarif par nœud],$B372),"")</f>
        <v>368</v>
      </c>
      <c r="L372" s="19">
        <f>IF($D372=1,INDEX(TblClusters[CPU initial (vCPU)],$B372),"")</f>
        <v>48</v>
      </c>
      <c r="M372" s="19">
        <f>IF($D372=1,INDEX(TblClusters[RAM initiale (Go)],$B372),"")</f>
        <v>240</v>
      </c>
      <c r="N372" s="19">
        <f>IF($D372=1,INDEX(TblClusters[CPU min (vCPU)],$B372),"")</f>
        <v>48</v>
      </c>
      <c r="O372" s="19">
        <f>IF($D372=1,INDEX(TblClusters[RAM min (Go)],$B372),"")</f>
        <v>240</v>
      </c>
      <c r="P372" s="19">
        <f>IF($D372&lt;&gt;1,"",IF($G372="ROKS",SUMIFS(TblApplications[Besoin ROKS CPU (vCPU)],TblApplications[Cluster ROKS cible],$F372,TblApplications[Action],"À migrer",TblApplications[Déjà incluse ROKS],"Non",TblApplications[Mois prov (calc)],"&lt;="&amp;$E372),SUMIFS(TblApplications[CPU IKS libérable (vCPU)],TblApplications[Cluster IKS source],$F372,TblApplications[Mois lib (calc)],"&lt;="&amp;$E372)))</f>
        <v>0</v>
      </c>
      <c r="Q372" s="19">
        <f>IF($D372&lt;&gt;1,"",IF($G372="ROKS",SUMIFS(TblApplications[Besoin ROKS RAM (Go)],TblApplications[Cluster ROKS cible],$F372,TblApplications[Action],"À migrer",TblApplications[Déjà incluse ROKS],"Non",TblApplications[Mois prov (calc)],"&lt;="&amp;$E372),SUMIFS(TblApplications[RAM IKS libérable (Go)],TblApplications[Cluster IKS source],$F372,TblApplications[Mois lib (calc)],"&lt;="&amp;$E372)))</f>
        <v>0</v>
      </c>
      <c r="R372" s="19">
        <f t="shared" si="88"/>
        <v>48</v>
      </c>
      <c r="S372" s="19">
        <f t="shared" si="89"/>
        <v>240</v>
      </c>
      <c r="T372" s="19">
        <f t="shared" si="90"/>
        <v>6</v>
      </c>
      <c r="U372" s="19">
        <f t="shared" si="91"/>
        <v>48</v>
      </c>
      <c r="V372" s="19">
        <f t="shared" si="92"/>
        <v>240</v>
      </c>
      <c r="W372" s="73">
        <f t="shared" si="93"/>
        <v>2208</v>
      </c>
      <c r="X372" s="19">
        <f>IF($D372&lt;&gt;1,"",IF($G372="ROKS",$R372,IF($AI372=1,0,MAX($N372,$L372-SUMIFS(TblApplications[CPU IKS libérable (vCPU)],TblApplications[Cluster IKS source],$F372,TblApplications[Action],"À migrer",TblApplications[Mois prov (calc)],"&lt;="&amp;$E372)-SUMIFS(TblApplications[CPU IKS libérable (vCPU)],TblApplications[Cluster IKS source],$F372,TblApplications[Action],"À décommissionner",TblApplications[Mois lib (calc)],"&lt;="&amp;$E372)))))</f>
        <v>48</v>
      </c>
      <c r="Y372" s="19">
        <f>IF($D372&lt;&gt;1,"",IF($G372="ROKS",$S372,IF($AI372=1,0,MAX($O372,$M372-SUMIFS(TblApplications[RAM IKS libérable (Go)],TblApplications[Cluster IKS source],$F372,TblApplications[Action],"À migrer",TblApplications[Mois prov (calc)],"&lt;="&amp;$E372)-SUMIFS(TblApplications[RAM IKS libérable (Go)],TblApplications[Cluster IKS source],$F372,TblApplications[Action],"À décommissionner",TblApplications[Mois lib (calc)],"&lt;="&amp;$E372)))))</f>
        <v>240</v>
      </c>
      <c r="Z372" s="19">
        <f t="shared" si="94"/>
        <v>6</v>
      </c>
      <c r="AA372" s="73">
        <f t="shared" si="95"/>
        <v>2208</v>
      </c>
      <c r="AB372" s="19">
        <f t="shared" si="96"/>
        <v>6</v>
      </c>
      <c r="AC372" s="73">
        <f t="shared" si="97"/>
        <v>2208</v>
      </c>
      <c r="AD372" s="19">
        <f t="shared" si="98"/>
        <v>0</v>
      </c>
      <c r="AE372" s="19">
        <f t="shared" si="99"/>
        <v>0</v>
      </c>
      <c r="AF372" s="19" t="str">
        <f>IF($D372&lt;&gt;1,"",IF(INDEX(TblClusters[Environnement],$B372)="","(vide)",INDEX(TblClusters[Environnement],$B372)))</f>
        <v>NPRD</v>
      </c>
      <c r="AG372" s="19">
        <f t="shared" si="100"/>
        <v>72</v>
      </c>
      <c r="AH372" s="19">
        <f t="shared" si="101"/>
        <v>30.666666666666668</v>
      </c>
      <c r="AI372" s="19">
        <f>IF($D372&lt;&gt;1,"",IF(AND($G372="IKS",ISNUMBER(INDEX(TblClusters[Fermeture retenue],$B372))),IF($E372&gt;=INDEX(TblClusters[Fermeture retenue],$B372),1,0),0))</f>
        <v>0</v>
      </c>
    </row>
    <row r="373" spans="1:35" x14ac:dyDescent="0.2">
      <c r="A373" s="19">
        <v>368</v>
      </c>
      <c r="B373" s="19">
        <f t="shared" si="85"/>
        <v>11</v>
      </c>
      <c r="C373" s="19">
        <f t="shared" si="86"/>
        <v>8</v>
      </c>
      <c r="D373" s="19">
        <f>IF($C373&gt;p_horizon,0,IFERROR(IF(AND(INDEX(TblClusters[Cluster],$B373)&lt;&gt;"",ISNUMBER(INDEX(TblClusters[CPU initial (vCPU)],$B373)),ISNUMBER(INDEX(TblClusters[CPU min (vCPU)],$B373)),OR(INDEX(TblClusters[Plateforme],$B373)="IKS",INDEX(TblClusters[Plateforme],$B373)="ROKS")),1,0),0))</f>
        <v>1</v>
      </c>
      <c r="E373" s="72">
        <f t="shared" si="87"/>
        <v>46508</v>
      </c>
      <c r="F373" s="19" t="str">
        <f>IF($D373=1,INDEX(TblClusters[Cluster],$B373),"")</f>
        <v>oc-EMEA-NPR</v>
      </c>
      <c r="G373" s="19" t="str">
        <f>IF($D373=1,INDEX(TblClusters[Plateforme],$B373),"")</f>
        <v>ROKS</v>
      </c>
      <c r="H373" s="19">
        <f>IF($D373=1,INDEX(TblClusters[vCPU par nœud],$B373),"")</f>
        <v>8</v>
      </c>
      <c r="I373" s="19">
        <f>IF($D373=1,INDEX(TblClusters[RAM par nœud (Go)],$B373),"")</f>
        <v>40</v>
      </c>
      <c r="J373" s="19">
        <f>IF($D373=1,INDEX(TblClusters[Workers min],$B373),"")</f>
        <v>6</v>
      </c>
      <c r="K373" s="73">
        <f>IF($D373=1,INDEX(TblClusters[Tarif par nœud],$B373),"")</f>
        <v>368</v>
      </c>
      <c r="L373" s="19">
        <f>IF($D373=1,INDEX(TblClusters[CPU initial (vCPU)],$B373),"")</f>
        <v>48</v>
      </c>
      <c r="M373" s="19">
        <f>IF($D373=1,INDEX(TblClusters[RAM initiale (Go)],$B373),"")</f>
        <v>240</v>
      </c>
      <c r="N373" s="19">
        <f>IF($D373=1,INDEX(TblClusters[CPU min (vCPU)],$B373),"")</f>
        <v>48</v>
      </c>
      <c r="O373" s="19">
        <f>IF($D373=1,INDEX(TblClusters[RAM min (Go)],$B373),"")</f>
        <v>240</v>
      </c>
      <c r="P373" s="19">
        <f>IF($D373&lt;&gt;1,"",IF($G373="ROKS",SUMIFS(TblApplications[Besoin ROKS CPU (vCPU)],TblApplications[Cluster ROKS cible],$F373,TblApplications[Action],"À migrer",TblApplications[Déjà incluse ROKS],"Non",TblApplications[Mois prov (calc)],"&lt;="&amp;$E373),SUMIFS(TblApplications[CPU IKS libérable (vCPU)],TblApplications[Cluster IKS source],$F373,TblApplications[Mois lib (calc)],"&lt;="&amp;$E373)))</f>
        <v>0</v>
      </c>
      <c r="Q373" s="19">
        <f>IF($D373&lt;&gt;1,"",IF($G373="ROKS",SUMIFS(TblApplications[Besoin ROKS RAM (Go)],TblApplications[Cluster ROKS cible],$F373,TblApplications[Action],"À migrer",TblApplications[Déjà incluse ROKS],"Non",TblApplications[Mois prov (calc)],"&lt;="&amp;$E373),SUMIFS(TblApplications[RAM IKS libérable (Go)],TblApplications[Cluster IKS source],$F373,TblApplications[Mois lib (calc)],"&lt;="&amp;$E373)))</f>
        <v>0</v>
      </c>
      <c r="R373" s="19">
        <f t="shared" si="88"/>
        <v>48</v>
      </c>
      <c r="S373" s="19">
        <f t="shared" si="89"/>
        <v>240</v>
      </c>
      <c r="T373" s="19">
        <f t="shared" si="90"/>
        <v>6</v>
      </c>
      <c r="U373" s="19">
        <f t="shared" si="91"/>
        <v>48</v>
      </c>
      <c r="V373" s="19">
        <f t="shared" si="92"/>
        <v>240</v>
      </c>
      <c r="W373" s="73">
        <f t="shared" si="93"/>
        <v>2208</v>
      </c>
      <c r="X373" s="19">
        <f>IF($D373&lt;&gt;1,"",IF($G373="ROKS",$R373,IF($AI373=1,0,MAX($N373,$L373-SUMIFS(TblApplications[CPU IKS libérable (vCPU)],TblApplications[Cluster IKS source],$F373,TblApplications[Action],"À migrer",TblApplications[Mois prov (calc)],"&lt;="&amp;$E373)-SUMIFS(TblApplications[CPU IKS libérable (vCPU)],TblApplications[Cluster IKS source],$F373,TblApplications[Action],"À décommissionner",TblApplications[Mois lib (calc)],"&lt;="&amp;$E373)))))</f>
        <v>48</v>
      </c>
      <c r="Y373" s="19">
        <f>IF($D373&lt;&gt;1,"",IF($G373="ROKS",$S373,IF($AI373=1,0,MAX($O373,$M373-SUMIFS(TblApplications[RAM IKS libérable (Go)],TblApplications[Cluster IKS source],$F373,TblApplications[Action],"À migrer",TblApplications[Mois prov (calc)],"&lt;="&amp;$E373)-SUMIFS(TblApplications[RAM IKS libérable (Go)],TblApplications[Cluster IKS source],$F373,TblApplications[Action],"À décommissionner",TblApplications[Mois lib (calc)],"&lt;="&amp;$E373)))))</f>
        <v>240</v>
      </c>
      <c r="Z373" s="19">
        <f t="shared" si="94"/>
        <v>6</v>
      </c>
      <c r="AA373" s="73">
        <f t="shared" si="95"/>
        <v>2208</v>
      </c>
      <c r="AB373" s="19">
        <f t="shared" si="96"/>
        <v>6</v>
      </c>
      <c r="AC373" s="73">
        <f t="shared" si="97"/>
        <v>2208</v>
      </c>
      <c r="AD373" s="19">
        <f t="shared" si="98"/>
        <v>0</v>
      </c>
      <c r="AE373" s="19">
        <f t="shared" si="99"/>
        <v>0</v>
      </c>
      <c r="AF373" s="19" t="str">
        <f>IF($D373&lt;&gt;1,"",IF(INDEX(TblClusters[Environnement],$B373)="","(vide)",INDEX(TblClusters[Environnement],$B373)))</f>
        <v>NPRD</v>
      </c>
      <c r="AG373" s="19">
        <f t="shared" si="100"/>
        <v>72</v>
      </c>
      <c r="AH373" s="19">
        <f t="shared" si="101"/>
        <v>30.666666666666668</v>
      </c>
      <c r="AI373" s="19">
        <f>IF($D373&lt;&gt;1,"",IF(AND($G373="IKS",ISNUMBER(INDEX(TblClusters[Fermeture retenue],$B373))),IF($E373&gt;=INDEX(TblClusters[Fermeture retenue],$B373),1,0),0))</f>
        <v>0</v>
      </c>
    </row>
    <row r="374" spans="1:35" x14ac:dyDescent="0.2">
      <c r="A374" s="19">
        <v>369</v>
      </c>
      <c r="B374" s="19">
        <f t="shared" si="85"/>
        <v>11</v>
      </c>
      <c r="C374" s="19">
        <f t="shared" si="86"/>
        <v>9</v>
      </c>
      <c r="D374" s="19">
        <f>IF($C374&gt;p_horizon,0,IFERROR(IF(AND(INDEX(TblClusters[Cluster],$B374)&lt;&gt;"",ISNUMBER(INDEX(TblClusters[CPU initial (vCPU)],$B374)),ISNUMBER(INDEX(TblClusters[CPU min (vCPU)],$B374)),OR(INDEX(TblClusters[Plateforme],$B374)="IKS",INDEX(TblClusters[Plateforme],$B374)="ROKS")),1,0),0))</f>
        <v>1</v>
      </c>
      <c r="E374" s="72">
        <f t="shared" si="87"/>
        <v>46539</v>
      </c>
      <c r="F374" s="19" t="str">
        <f>IF($D374=1,INDEX(TblClusters[Cluster],$B374),"")</f>
        <v>oc-EMEA-NPR</v>
      </c>
      <c r="G374" s="19" t="str">
        <f>IF($D374=1,INDEX(TblClusters[Plateforme],$B374),"")</f>
        <v>ROKS</v>
      </c>
      <c r="H374" s="19">
        <f>IF($D374=1,INDEX(TblClusters[vCPU par nœud],$B374),"")</f>
        <v>8</v>
      </c>
      <c r="I374" s="19">
        <f>IF($D374=1,INDEX(TblClusters[RAM par nœud (Go)],$B374),"")</f>
        <v>40</v>
      </c>
      <c r="J374" s="19">
        <f>IF($D374=1,INDEX(TblClusters[Workers min],$B374),"")</f>
        <v>6</v>
      </c>
      <c r="K374" s="73">
        <f>IF($D374=1,INDEX(TblClusters[Tarif par nœud],$B374),"")</f>
        <v>368</v>
      </c>
      <c r="L374" s="19">
        <f>IF($D374=1,INDEX(TblClusters[CPU initial (vCPU)],$B374),"")</f>
        <v>48</v>
      </c>
      <c r="M374" s="19">
        <f>IF($D374=1,INDEX(TblClusters[RAM initiale (Go)],$B374),"")</f>
        <v>240</v>
      </c>
      <c r="N374" s="19">
        <f>IF($D374=1,INDEX(TblClusters[CPU min (vCPU)],$B374),"")</f>
        <v>48</v>
      </c>
      <c r="O374" s="19">
        <f>IF($D374=1,INDEX(TblClusters[RAM min (Go)],$B374),"")</f>
        <v>240</v>
      </c>
      <c r="P374" s="19">
        <f>IF($D374&lt;&gt;1,"",IF($G374="ROKS",SUMIFS(TblApplications[Besoin ROKS CPU (vCPU)],TblApplications[Cluster ROKS cible],$F374,TblApplications[Action],"À migrer",TblApplications[Déjà incluse ROKS],"Non",TblApplications[Mois prov (calc)],"&lt;="&amp;$E374),SUMIFS(TblApplications[CPU IKS libérable (vCPU)],TblApplications[Cluster IKS source],$F374,TblApplications[Mois lib (calc)],"&lt;="&amp;$E374)))</f>
        <v>0</v>
      </c>
      <c r="Q374" s="19">
        <f>IF($D374&lt;&gt;1,"",IF($G374="ROKS",SUMIFS(TblApplications[Besoin ROKS RAM (Go)],TblApplications[Cluster ROKS cible],$F374,TblApplications[Action],"À migrer",TblApplications[Déjà incluse ROKS],"Non",TblApplications[Mois prov (calc)],"&lt;="&amp;$E374),SUMIFS(TblApplications[RAM IKS libérable (Go)],TblApplications[Cluster IKS source],$F374,TblApplications[Mois lib (calc)],"&lt;="&amp;$E374)))</f>
        <v>0</v>
      </c>
      <c r="R374" s="19">
        <f t="shared" si="88"/>
        <v>48</v>
      </c>
      <c r="S374" s="19">
        <f t="shared" si="89"/>
        <v>240</v>
      </c>
      <c r="T374" s="19">
        <f t="shared" si="90"/>
        <v>6</v>
      </c>
      <c r="U374" s="19">
        <f t="shared" si="91"/>
        <v>48</v>
      </c>
      <c r="V374" s="19">
        <f t="shared" si="92"/>
        <v>240</v>
      </c>
      <c r="W374" s="73">
        <f t="shared" si="93"/>
        <v>2208</v>
      </c>
      <c r="X374" s="19">
        <f>IF($D374&lt;&gt;1,"",IF($G374="ROKS",$R374,IF($AI374=1,0,MAX($N374,$L374-SUMIFS(TblApplications[CPU IKS libérable (vCPU)],TblApplications[Cluster IKS source],$F374,TblApplications[Action],"À migrer",TblApplications[Mois prov (calc)],"&lt;="&amp;$E374)-SUMIFS(TblApplications[CPU IKS libérable (vCPU)],TblApplications[Cluster IKS source],$F374,TblApplications[Action],"À décommissionner",TblApplications[Mois lib (calc)],"&lt;="&amp;$E374)))))</f>
        <v>48</v>
      </c>
      <c r="Y374" s="19">
        <f>IF($D374&lt;&gt;1,"",IF($G374="ROKS",$S374,IF($AI374=1,0,MAX($O374,$M374-SUMIFS(TblApplications[RAM IKS libérable (Go)],TblApplications[Cluster IKS source],$F374,TblApplications[Action],"À migrer",TblApplications[Mois prov (calc)],"&lt;="&amp;$E374)-SUMIFS(TblApplications[RAM IKS libérable (Go)],TblApplications[Cluster IKS source],$F374,TblApplications[Action],"À décommissionner",TblApplications[Mois lib (calc)],"&lt;="&amp;$E374)))))</f>
        <v>240</v>
      </c>
      <c r="Z374" s="19">
        <f t="shared" si="94"/>
        <v>6</v>
      </c>
      <c r="AA374" s="73">
        <f t="shared" si="95"/>
        <v>2208</v>
      </c>
      <c r="AB374" s="19">
        <f t="shared" si="96"/>
        <v>6</v>
      </c>
      <c r="AC374" s="73">
        <f t="shared" si="97"/>
        <v>2208</v>
      </c>
      <c r="AD374" s="19">
        <f t="shared" si="98"/>
        <v>0</v>
      </c>
      <c r="AE374" s="19">
        <f t="shared" si="99"/>
        <v>0</v>
      </c>
      <c r="AF374" s="19" t="str">
        <f>IF($D374&lt;&gt;1,"",IF(INDEX(TblClusters[Environnement],$B374)="","(vide)",INDEX(TblClusters[Environnement],$B374)))</f>
        <v>NPRD</v>
      </c>
      <c r="AG374" s="19">
        <f t="shared" si="100"/>
        <v>72</v>
      </c>
      <c r="AH374" s="19">
        <f t="shared" si="101"/>
        <v>30.666666666666668</v>
      </c>
      <c r="AI374" s="19">
        <f>IF($D374&lt;&gt;1,"",IF(AND($G374="IKS",ISNUMBER(INDEX(TblClusters[Fermeture retenue],$B374))),IF($E374&gt;=INDEX(TblClusters[Fermeture retenue],$B374),1,0),0))</f>
        <v>0</v>
      </c>
    </row>
    <row r="375" spans="1:35" x14ac:dyDescent="0.2">
      <c r="A375" s="19">
        <v>370</v>
      </c>
      <c r="B375" s="19">
        <f t="shared" si="85"/>
        <v>11</v>
      </c>
      <c r="C375" s="19">
        <f t="shared" si="86"/>
        <v>10</v>
      </c>
      <c r="D375" s="19">
        <f>IF($C375&gt;p_horizon,0,IFERROR(IF(AND(INDEX(TblClusters[Cluster],$B375)&lt;&gt;"",ISNUMBER(INDEX(TblClusters[CPU initial (vCPU)],$B375)),ISNUMBER(INDEX(TblClusters[CPU min (vCPU)],$B375)),OR(INDEX(TblClusters[Plateforme],$B375)="IKS",INDEX(TblClusters[Plateforme],$B375)="ROKS")),1,0),0))</f>
        <v>1</v>
      </c>
      <c r="E375" s="72">
        <f t="shared" si="87"/>
        <v>46569</v>
      </c>
      <c r="F375" s="19" t="str">
        <f>IF($D375=1,INDEX(TblClusters[Cluster],$B375),"")</f>
        <v>oc-EMEA-NPR</v>
      </c>
      <c r="G375" s="19" t="str">
        <f>IF($D375=1,INDEX(TblClusters[Plateforme],$B375),"")</f>
        <v>ROKS</v>
      </c>
      <c r="H375" s="19">
        <f>IF($D375=1,INDEX(TblClusters[vCPU par nœud],$B375),"")</f>
        <v>8</v>
      </c>
      <c r="I375" s="19">
        <f>IF($D375=1,INDEX(TblClusters[RAM par nœud (Go)],$B375),"")</f>
        <v>40</v>
      </c>
      <c r="J375" s="19">
        <f>IF($D375=1,INDEX(TblClusters[Workers min],$B375),"")</f>
        <v>6</v>
      </c>
      <c r="K375" s="73">
        <f>IF($D375=1,INDEX(TblClusters[Tarif par nœud],$B375),"")</f>
        <v>368</v>
      </c>
      <c r="L375" s="19">
        <f>IF($D375=1,INDEX(TblClusters[CPU initial (vCPU)],$B375),"")</f>
        <v>48</v>
      </c>
      <c r="M375" s="19">
        <f>IF($D375=1,INDEX(TblClusters[RAM initiale (Go)],$B375),"")</f>
        <v>240</v>
      </c>
      <c r="N375" s="19">
        <f>IF($D375=1,INDEX(TblClusters[CPU min (vCPU)],$B375),"")</f>
        <v>48</v>
      </c>
      <c r="O375" s="19">
        <f>IF($D375=1,INDEX(TblClusters[RAM min (Go)],$B375),"")</f>
        <v>240</v>
      </c>
      <c r="P375" s="19">
        <f>IF($D375&lt;&gt;1,"",IF($G375="ROKS",SUMIFS(TblApplications[Besoin ROKS CPU (vCPU)],TblApplications[Cluster ROKS cible],$F375,TblApplications[Action],"À migrer",TblApplications[Déjà incluse ROKS],"Non",TblApplications[Mois prov (calc)],"&lt;="&amp;$E375),SUMIFS(TblApplications[CPU IKS libérable (vCPU)],TblApplications[Cluster IKS source],$F375,TblApplications[Mois lib (calc)],"&lt;="&amp;$E375)))</f>
        <v>0</v>
      </c>
      <c r="Q375" s="19">
        <f>IF($D375&lt;&gt;1,"",IF($G375="ROKS",SUMIFS(TblApplications[Besoin ROKS RAM (Go)],TblApplications[Cluster ROKS cible],$F375,TblApplications[Action],"À migrer",TblApplications[Déjà incluse ROKS],"Non",TblApplications[Mois prov (calc)],"&lt;="&amp;$E375),SUMIFS(TblApplications[RAM IKS libérable (Go)],TblApplications[Cluster IKS source],$F375,TblApplications[Mois lib (calc)],"&lt;="&amp;$E375)))</f>
        <v>0</v>
      </c>
      <c r="R375" s="19">
        <f t="shared" si="88"/>
        <v>48</v>
      </c>
      <c r="S375" s="19">
        <f t="shared" si="89"/>
        <v>240</v>
      </c>
      <c r="T375" s="19">
        <f t="shared" si="90"/>
        <v>6</v>
      </c>
      <c r="U375" s="19">
        <f t="shared" si="91"/>
        <v>48</v>
      </c>
      <c r="V375" s="19">
        <f t="shared" si="92"/>
        <v>240</v>
      </c>
      <c r="W375" s="73">
        <f t="shared" si="93"/>
        <v>2208</v>
      </c>
      <c r="X375" s="19">
        <f>IF($D375&lt;&gt;1,"",IF($G375="ROKS",$R375,IF($AI375=1,0,MAX($N375,$L375-SUMIFS(TblApplications[CPU IKS libérable (vCPU)],TblApplications[Cluster IKS source],$F375,TblApplications[Action],"À migrer",TblApplications[Mois prov (calc)],"&lt;="&amp;$E375)-SUMIFS(TblApplications[CPU IKS libérable (vCPU)],TblApplications[Cluster IKS source],$F375,TblApplications[Action],"À décommissionner",TblApplications[Mois lib (calc)],"&lt;="&amp;$E375)))))</f>
        <v>48</v>
      </c>
      <c r="Y375" s="19">
        <f>IF($D375&lt;&gt;1,"",IF($G375="ROKS",$S375,IF($AI375=1,0,MAX($O375,$M375-SUMIFS(TblApplications[RAM IKS libérable (Go)],TblApplications[Cluster IKS source],$F375,TblApplications[Action],"À migrer",TblApplications[Mois prov (calc)],"&lt;="&amp;$E375)-SUMIFS(TblApplications[RAM IKS libérable (Go)],TblApplications[Cluster IKS source],$F375,TblApplications[Action],"À décommissionner",TblApplications[Mois lib (calc)],"&lt;="&amp;$E375)))))</f>
        <v>240</v>
      </c>
      <c r="Z375" s="19">
        <f t="shared" si="94"/>
        <v>6</v>
      </c>
      <c r="AA375" s="73">
        <f t="shared" si="95"/>
        <v>2208</v>
      </c>
      <c r="AB375" s="19">
        <f t="shared" si="96"/>
        <v>6</v>
      </c>
      <c r="AC375" s="73">
        <f t="shared" si="97"/>
        <v>2208</v>
      </c>
      <c r="AD375" s="19">
        <f t="shared" si="98"/>
        <v>0</v>
      </c>
      <c r="AE375" s="19">
        <f t="shared" si="99"/>
        <v>0</v>
      </c>
      <c r="AF375" s="19" t="str">
        <f>IF($D375&lt;&gt;1,"",IF(INDEX(TblClusters[Environnement],$B375)="","(vide)",INDEX(TblClusters[Environnement],$B375)))</f>
        <v>NPRD</v>
      </c>
      <c r="AG375" s="19">
        <f t="shared" si="100"/>
        <v>72</v>
      </c>
      <c r="AH375" s="19">
        <f t="shared" si="101"/>
        <v>30.666666666666668</v>
      </c>
      <c r="AI375" s="19">
        <f>IF($D375&lt;&gt;1,"",IF(AND($G375="IKS",ISNUMBER(INDEX(TblClusters[Fermeture retenue],$B375))),IF($E375&gt;=INDEX(TblClusters[Fermeture retenue],$B375),1,0),0))</f>
        <v>0</v>
      </c>
    </row>
    <row r="376" spans="1:35" x14ac:dyDescent="0.2">
      <c r="A376" s="19">
        <v>371</v>
      </c>
      <c r="B376" s="19">
        <f t="shared" si="85"/>
        <v>11</v>
      </c>
      <c r="C376" s="19">
        <f t="shared" si="86"/>
        <v>11</v>
      </c>
      <c r="D376" s="19">
        <f>IF($C376&gt;p_horizon,0,IFERROR(IF(AND(INDEX(TblClusters[Cluster],$B376)&lt;&gt;"",ISNUMBER(INDEX(TblClusters[CPU initial (vCPU)],$B376)),ISNUMBER(INDEX(TblClusters[CPU min (vCPU)],$B376)),OR(INDEX(TblClusters[Plateforme],$B376)="IKS",INDEX(TblClusters[Plateforme],$B376)="ROKS")),1,0),0))</f>
        <v>1</v>
      </c>
      <c r="E376" s="72">
        <f t="shared" si="87"/>
        <v>46600</v>
      </c>
      <c r="F376" s="19" t="str">
        <f>IF($D376=1,INDEX(TblClusters[Cluster],$B376),"")</f>
        <v>oc-EMEA-NPR</v>
      </c>
      <c r="G376" s="19" t="str">
        <f>IF($D376=1,INDEX(TblClusters[Plateforme],$B376),"")</f>
        <v>ROKS</v>
      </c>
      <c r="H376" s="19">
        <f>IF($D376=1,INDEX(TblClusters[vCPU par nœud],$B376),"")</f>
        <v>8</v>
      </c>
      <c r="I376" s="19">
        <f>IF($D376=1,INDEX(TblClusters[RAM par nœud (Go)],$B376),"")</f>
        <v>40</v>
      </c>
      <c r="J376" s="19">
        <f>IF($D376=1,INDEX(TblClusters[Workers min],$B376),"")</f>
        <v>6</v>
      </c>
      <c r="K376" s="73">
        <f>IF($D376=1,INDEX(TblClusters[Tarif par nœud],$B376),"")</f>
        <v>368</v>
      </c>
      <c r="L376" s="19">
        <f>IF($D376=1,INDEX(TblClusters[CPU initial (vCPU)],$B376),"")</f>
        <v>48</v>
      </c>
      <c r="M376" s="19">
        <f>IF($D376=1,INDEX(TblClusters[RAM initiale (Go)],$B376),"")</f>
        <v>240</v>
      </c>
      <c r="N376" s="19">
        <f>IF($D376=1,INDEX(TblClusters[CPU min (vCPU)],$B376),"")</f>
        <v>48</v>
      </c>
      <c r="O376" s="19">
        <f>IF($D376=1,INDEX(TblClusters[RAM min (Go)],$B376),"")</f>
        <v>240</v>
      </c>
      <c r="P376" s="19">
        <f>IF($D376&lt;&gt;1,"",IF($G376="ROKS",SUMIFS(TblApplications[Besoin ROKS CPU (vCPU)],TblApplications[Cluster ROKS cible],$F376,TblApplications[Action],"À migrer",TblApplications[Déjà incluse ROKS],"Non",TblApplications[Mois prov (calc)],"&lt;="&amp;$E376),SUMIFS(TblApplications[CPU IKS libérable (vCPU)],TblApplications[Cluster IKS source],$F376,TblApplications[Mois lib (calc)],"&lt;="&amp;$E376)))</f>
        <v>0</v>
      </c>
      <c r="Q376" s="19">
        <f>IF($D376&lt;&gt;1,"",IF($G376="ROKS",SUMIFS(TblApplications[Besoin ROKS RAM (Go)],TblApplications[Cluster ROKS cible],$F376,TblApplications[Action],"À migrer",TblApplications[Déjà incluse ROKS],"Non",TblApplications[Mois prov (calc)],"&lt;="&amp;$E376),SUMIFS(TblApplications[RAM IKS libérable (Go)],TblApplications[Cluster IKS source],$F376,TblApplications[Mois lib (calc)],"&lt;="&amp;$E376)))</f>
        <v>0</v>
      </c>
      <c r="R376" s="19">
        <f t="shared" si="88"/>
        <v>48</v>
      </c>
      <c r="S376" s="19">
        <f t="shared" si="89"/>
        <v>240</v>
      </c>
      <c r="T376" s="19">
        <f t="shared" si="90"/>
        <v>6</v>
      </c>
      <c r="U376" s="19">
        <f t="shared" si="91"/>
        <v>48</v>
      </c>
      <c r="V376" s="19">
        <f t="shared" si="92"/>
        <v>240</v>
      </c>
      <c r="W376" s="73">
        <f t="shared" si="93"/>
        <v>2208</v>
      </c>
      <c r="X376" s="19">
        <f>IF($D376&lt;&gt;1,"",IF($G376="ROKS",$R376,IF($AI376=1,0,MAX($N376,$L376-SUMIFS(TblApplications[CPU IKS libérable (vCPU)],TblApplications[Cluster IKS source],$F376,TblApplications[Action],"À migrer",TblApplications[Mois prov (calc)],"&lt;="&amp;$E376)-SUMIFS(TblApplications[CPU IKS libérable (vCPU)],TblApplications[Cluster IKS source],$F376,TblApplications[Action],"À décommissionner",TblApplications[Mois lib (calc)],"&lt;="&amp;$E376)))))</f>
        <v>48</v>
      </c>
      <c r="Y376" s="19">
        <f>IF($D376&lt;&gt;1,"",IF($G376="ROKS",$S376,IF($AI376=1,0,MAX($O376,$M376-SUMIFS(TblApplications[RAM IKS libérable (Go)],TblApplications[Cluster IKS source],$F376,TblApplications[Action],"À migrer",TblApplications[Mois prov (calc)],"&lt;="&amp;$E376)-SUMIFS(TblApplications[RAM IKS libérable (Go)],TblApplications[Cluster IKS source],$F376,TblApplications[Action],"À décommissionner",TblApplications[Mois lib (calc)],"&lt;="&amp;$E376)))))</f>
        <v>240</v>
      </c>
      <c r="Z376" s="19">
        <f t="shared" si="94"/>
        <v>6</v>
      </c>
      <c r="AA376" s="73">
        <f t="shared" si="95"/>
        <v>2208</v>
      </c>
      <c r="AB376" s="19">
        <f t="shared" si="96"/>
        <v>6</v>
      </c>
      <c r="AC376" s="73">
        <f t="shared" si="97"/>
        <v>2208</v>
      </c>
      <c r="AD376" s="19">
        <f t="shared" si="98"/>
        <v>0</v>
      </c>
      <c r="AE376" s="19">
        <f t="shared" si="99"/>
        <v>0</v>
      </c>
      <c r="AF376" s="19" t="str">
        <f>IF($D376&lt;&gt;1,"",IF(INDEX(TblClusters[Environnement],$B376)="","(vide)",INDEX(TblClusters[Environnement],$B376)))</f>
        <v>NPRD</v>
      </c>
      <c r="AG376" s="19">
        <f t="shared" si="100"/>
        <v>72</v>
      </c>
      <c r="AH376" s="19">
        <f t="shared" si="101"/>
        <v>30.666666666666668</v>
      </c>
      <c r="AI376" s="19">
        <f>IF($D376&lt;&gt;1,"",IF(AND($G376="IKS",ISNUMBER(INDEX(TblClusters[Fermeture retenue],$B376))),IF($E376&gt;=INDEX(TblClusters[Fermeture retenue],$B376),1,0),0))</f>
        <v>0</v>
      </c>
    </row>
    <row r="377" spans="1:35" x14ac:dyDescent="0.2">
      <c r="A377" s="19">
        <v>372</v>
      </c>
      <c r="B377" s="19">
        <f t="shared" si="85"/>
        <v>11</v>
      </c>
      <c r="C377" s="19">
        <f t="shared" si="86"/>
        <v>12</v>
      </c>
      <c r="D377" s="19">
        <f>IF($C377&gt;p_horizon,0,IFERROR(IF(AND(INDEX(TblClusters[Cluster],$B377)&lt;&gt;"",ISNUMBER(INDEX(TblClusters[CPU initial (vCPU)],$B377)),ISNUMBER(INDEX(TblClusters[CPU min (vCPU)],$B377)),OR(INDEX(TblClusters[Plateforme],$B377)="IKS",INDEX(TblClusters[Plateforme],$B377)="ROKS")),1,0),0))</f>
        <v>1</v>
      </c>
      <c r="E377" s="72">
        <f t="shared" si="87"/>
        <v>46631</v>
      </c>
      <c r="F377" s="19" t="str">
        <f>IF($D377=1,INDEX(TblClusters[Cluster],$B377),"")</f>
        <v>oc-EMEA-NPR</v>
      </c>
      <c r="G377" s="19" t="str">
        <f>IF($D377=1,INDEX(TblClusters[Plateforme],$B377),"")</f>
        <v>ROKS</v>
      </c>
      <c r="H377" s="19">
        <f>IF($D377=1,INDEX(TblClusters[vCPU par nœud],$B377),"")</f>
        <v>8</v>
      </c>
      <c r="I377" s="19">
        <f>IF($D377=1,INDEX(TblClusters[RAM par nœud (Go)],$B377),"")</f>
        <v>40</v>
      </c>
      <c r="J377" s="19">
        <f>IF($D377=1,INDEX(TblClusters[Workers min],$B377),"")</f>
        <v>6</v>
      </c>
      <c r="K377" s="73">
        <f>IF($D377=1,INDEX(TblClusters[Tarif par nœud],$B377),"")</f>
        <v>368</v>
      </c>
      <c r="L377" s="19">
        <f>IF($D377=1,INDEX(TblClusters[CPU initial (vCPU)],$B377),"")</f>
        <v>48</v>
      </c>
      <c r="M377" s="19">
        <f>IF($D377=1,INDEX(TblClusters[RAM initiale (Go)],$B377),"")</f>
        <v>240</v>
      </c>
      <c r="N377" s="19">
        <f>IF($D377=1,INDEX(TblClusters[CPU min (vCPU)],$B377),"")</f>
        <v>48</v>
      </c>
      <c r="O377" s="19">
        <f>IF($D377=1,INDEX(TblClusters[RAM min (Go)],$B377),"")</f>
        <v>240</v>
      </c>
      <c r="P377" s="19">
        <f>IF($D377&lt;&gt;1,"",IF($G377="ROKS",SUMIFS(TblApplications[Besoin ROKS CPU (vCPU)],TblApplications[Cluster ROKS cible],$F377,TblApplications[Action],"À migrer",TblApplications[Déjà incluse ROKS],"Non",TblApplications[Mois prov (calc)],"&lt;="&amp;$E377),SUMIFS(TblApplications[CPU IKS libérable (vCPU)],TblApplications[Cluster IKS source],$F377,TblApplications[Mois lib (calc)],"&lt;="&amp;$E377)))</f>
        <v>0</v>
      </c>
      <c r="Q377" s="19">
        <f>IF($D377&lt;&gt;1,"",IF($G377="ROKS",SUMIFS(TblApplications[Besoin ROKS RAM (Go)],TblApplications[Cluster ROKS cible],$F377,TblApplications[Action],"À migrer",TblApplications[Déjà incluse ROKS],"Non",TblApplications[Mois prov (calc)],"&lt;="&amp;$E377),SUMIFS(TblApplications[RAM IKS libérable (Go)],TblApplications[Cluster IKS source],$F377,TblApplications[Mois lib (calc)],"&lt;="&amp;$E377)))</f>
        <v>0</v>
      </c>
      <c r="R377" s="19">
        <f t="shared" si="88"/>
        <v>48</v>
      </c>
      <c r="S377" s="19">
        <f t="shared" si="89"/>
        <v>240</v>
      </c>
      <c r="T377" s="19">
        <f t="shared" si="90"/>
        <v>6</v>
      </c>
      <c r="U377" s="19">
        <f t="shared" si="91"/>
        <v>48</v>
      </c>
      <c r="V377" s="19">
        <f t="shared" si="92"/>
        <v>240</v>
      </c>
      <c r="W377" s="73">
        <f t="shared" si="93"/>
        <v>2208</v>
      </c>
      <c r="X377" s="19">
        <f>IF($D377&lt;&gt;1,"",IF($G377="ROKS",$R377,IF($AI377=1,0,MAX($N377,$L377-SUMIFS(TblApplications[CPU IKS libérable (vCPU)],TblApplications[Cluster IKS source],$F377,TblApplications[Action],"À migrer",TblApplications[Mois prov (calc)],"&lt;="&amp;$E377)-SUMIFS(TblApplications[CPU IKS libérable (vCPU)],TblApplications[Cluster IKS source],$F377,TblApplications[Action],"À décommissionner",TblApplications[Mois lib (calc)],"&lt;="&amp;$E377)))))</f>
        <v>48</v>
      </c>
      <c r="Y377" s="19">
        <f>IF($D377&lt;&gt;1,"",IF($G377="ROKS",$S377,IF($AI377=1,0,MAX($O377,$M377-SUMIFS(TblApplications[RAM IKS libérable (Go)],TblApplications[Cluster IKS source],$F377,TblApplications[Action],"À migrer",TblApplications[Mois prov (calc)],"&lt;="&amp;$E377)-SUMIFS(TblApplications[RAM IKS libérable (Go)],TblApplications[Cluster IKS source],$F377,TblApplications[Action],"À décommissionner",TblApplications[Mois lib (calc)],"&lt;="&amp;$E377)))))</f>
        <v>240</v>
      </c>
      <c r="Z377" s="19">
        <f t="shared" si="94"/>
        <v>6</v>
      </c>
      <c r="AA377" s="73">
        <f t="shared" si="95"/>
        <v>2208</v>
      </c>
      <c r="AB377" s="19">
        <f t="shared" si="96"/>
        <v>6</v>
      </c>
      <c r="AC377" s="73">
        <f t="shared" si="97"/>
        <v>2208</v>
      </c>
      <c r="AD377" s="19">
        <f t="shared" si="98"/>
        <v>0</v>
      </c>
      <c r="AE377" s="19">
        <f t="shared" si="99"/>
        <v>0</v>
      </c>
      <c r="AF377" s="19" t="str">
        <f>IF($D377&lt;&gt;1,"",IF(INDEX(TblClusters[Environnement],$B377)="","(vide)",INDEX(TblClusters[Environnement],$B377)))</f>
        <v>NPRD</v>
      </c>
      <c r="AG377" s="19">
        <f t="shared" si="100"/>
        <v>72</v>
      </c>
      <c r="AH377" s="19">
        <f t="shared" si="101"/>
        <v>30.666666666666668</v>
      </c>
      <c r="AI377" s="19">
        <f>IF($D377&lt;&gt;1,"",IF(AND($G377="IKS",ISNUMBER(INDEX(TblClusters[Fermeture retenue],$B377))),IF($E377&gt;=INDEX(TblClusters[Fermeture retenue],$B377),1,0),0))</f>
        <v>0</v>
      </c>
    </row>
    <row r="378" spans="1:35" x14ac:dyDescent="0.2">
      <c r="A378" s="19">
        <v>373</v>
      </c>
      <c r="B378" s="19">
        <f t="shared" si="85"/>
        <v>11</v>
      </c>
      <c r="C378" s="19">
        <f t="shared" si="86"/>
        <v>13</v>
      </c>
      <c r="D378" s="19">
        <f>IF($C378&gt;p_horizon,0,IFERROR(IF(AND(INDEX(TblClusters[Cluster],$B378)&lt;&gt;"",ISNUMBER(INDEX(TblClusters[CPU initial (vCPU)],$B378)),ISNUMBER(INDEX(TblClusters[CPU min (vCPU)],$B378)),OR(INDEX(TblClusters[Plateforme],$B378)="IKS",INDEX(TblClusters[Plateforme],$B378)="ROKS")),1,0),0))</f>
        <v>1</v>
      </c>
      <c r="E378" s="72">
        <f t="shared" si="87"/>
        <v>46661</v>
      </c>
      <c r="F378" s="19" t="str">
        <f>IF($D378=1,INDEX(TblClusters[Cluster],$B378),"")</f>
        <v>oc-EMEA-NPR</v>
      </c>
      <c r="G378" s="19" t="str">
        <f>IF($D378=1,INDEX(TblClusters[Plateforme],$B378),"")</f>
        <v>ROKS</v>
      </c>
      <c r="H378" s="19">
        <f>IF($D378=1,INDEX(TblClusters[vCPU par nœud],$B378),"")</f>
        <v>8</v>
      </c>
      <c r="I378" s="19">
        <f>IF($D378=1,INDEX(TblClusters[RAM par nœud (Go)],$B378),"")</f>
        <v>40</v>
      </c>
      <c r="J378" s="19">
        <f>IF($D378=1,INDEX(TblClusters[Workers min],$B378),"")</f>
        <v>6</v>
      </c>
      <c r="K378" s="73">
        <f>IF($D378=1,INDEX(TblClusters[Tarif par nœud],$B378),"")</f>
        <v>368</v>
      </c>
      <c r="L378" s="19">
        <f>IF($D378=1,INDEX(TblClusters[CPU initial (vCPU)],$B378),"")</f>
        <v>48</v>
      </c>
      <c r="M378" s="19">
        <f>IF($D378=1,INDEX(TblClusters[RAM initiale (Go)],$B378),"")</f>
        <v>240</v>
      </c>
      <c r="N378" s="19">
        <f>IF($D378=1,INDEX(TblClusters[CPU min (vCPU)],$B378),"")</f>
        <v>48</v>
      </c>
      <c r="O378" s="19">
        <f>IF($D378=1,INDEX(TblClusters[RAM min (Go)],$B378),"")</f>
        <v>240</v>
      </c>
      <c r="P378" s="19">
        <f>IF($D378&lt;&gt;1,"",IF($G378="ROKS",SUMIFS(TblApplications[Besoin ROKS CPU (vCPU)],TblApplications[Cluster ROKS cible],$F378,TblApplications[Action],"À migrer",TblApplications[Déjà incluse ROKS],"Non",TblApplications[Mois prov (calc)],"&lt;="&amp;$E378),SUMIFS(TblApplications[CPU IKS libérable (vCPU)],TblApplications[Cluster IKS source],$F378,TblApplications[Mois lib (calc)],"&lt;="&amp;$E378)))</f>
        <v>0</v>
      </c>
      <c r="Q378" s="19">
        <f>IF($D378&lt;&gt;1,"",IF($G378="ROKS",SUMIFS(TblApplications[Besoin ROKS RAM (Go)],TblApplications[Cluster ROKS cible],$F378,TblApplications[Action],"À migrer",TblApplications[Déjà incluse ROKS],"Non",TblApplications[Mois prov (calc)],"&lt;="&amp;$E378),SUMIFS(TblApplications[RAM IKS libérable (Go)],TblApplications[Cluster IKS source],$F378,TblApplications[Mois lib (calc)],"&lt;="&amp;$E378)))</f>
        <v>0</v>
      </c>
      <c r="R378" s="19">
        <f t="shared" si="88"/>
        <v>48</v>
      </c>
      <c r="S378" s="19">
        <f t="shared" si="89"/>
        <v>240</v>
      </c>
      <c r="T378" s="19">
        <f t="shared" si="90"/>
        <v>6</v>
      </c>
      <c r="U378" s="19">
        <f t="shared" si="91"/>
        <v>48</v>
      </c>
      <c r="V378" s="19">
        <f t="shared" si="92"/>
        <v>240</v>
      </c>
      <c r="W378" s="73">
        <f t="shared" si="93"/>
        <v>2208</v>
      </c>
      <c r="X378" s="19">
        <f>IF($D378&lt;&gt;1,"",IF($G378="ROKS",$R378,IF($AI378=1,0,MAX($N378,$L378-SUMIFS(TblApplications[CPU IKS libérable (vCPU)],TblApplications[Cluster IKS source],$F378,TblApplications[Action],"À migrer",TblApplications[Mois prov (calc)],"&lt;="&amp;$E378)-SUMIFS(TblApplications[CPU IKS libérable (vCPU)],TblApplications[Cluster IKS source],$F378,TblApplications[Action],"À décommissionner",TblApplications[Mois lib (calc)],"&lt;="&amp;$E378)))))</f>
        <v>48</v>
      </c>
      <c r="Y378" s="19">
        <f>IF($D378&lt;&gt;1,"",IF($G378="ROKS",$S378,IF($AI378=1,0,MAX($O378,$M378-SUMIFS(TblApplications[RAM IKS libérable (Go)],TblApplications[Cluster IKS source],$F378,TblApplications[Action],"À migrer",TblApplications[Mois prov (calc)],"&lt;="&amp;$E378)-SUMIFS(TblApplications[RAM IKS libérable (Go)],TblApplications[Cluster IKS source],$F378,TblApplications[Action],"À décommissionner",TblApplications[Mois lib (calc)],"&lt;="&amp;$E378)))))</f>
        <v>240</v>
      </c>
      <c r="Z378" s="19">
        <f t="shared" si="94"/>
        <v>6</v>
      </c>
      <c r="AA378" s="73">
        <f t="shared" si="95"/>
        <v>2208</v>
      </c>
      <c r="AB378" s="19">
        <f t="shared" si="96"/>
        <v>6</v>
      </c>
      <c r="AC378" s="73">
        <f t="shared" si="97"/>
        <v>2208</v>
      </c>
      <c r="AD378" s="19">
        <f t="shared" si="98"/>
        <v>0</v>
      </c>
      <c r="AE378" s="19">
        <f t="shared" si="99"/>
        <v>0</v>
      </c>
      <c r="AF378" s="19" t="str">
        <f>IF($D378&lt;&gt;1,"",IF(INDEX(TblClusters[Environnement],$B378)="","(vide)",INDEX(TblClusters[Environnement],$B378)))</f>
        <v>NPRD</v>
      </c>
      <c r="AG378" s="19">
        <f t="shared" si="100"/>
        <v>72</v>
      </c>
      <c r="AH378" s="19">
        <f t="shared" si="101"/>
        <v>30.666666666666668</v>
      </c>
      <c r="AI378" s="19">
        <f>IF($D378&lt;&gt;1,"",IF(AND($G378="IKS",ISNUMBER(INDEX(TblClusters[Fermeture retenue],$B378))),IF($E378&gt;=INDEX(TblClusters[Fermeture retenue],$B378),1,0),0))</f>
        <v>0</v>
      </c>
    </row>
    <row r="379" spans="1:35" x14ac:dyDescent="0.2">
      <c r="A379" s="19">
        <v>374</v>
      </c>
      <c r="B379" s="19">
        <f t="shared" si="85"/>
        <v>11</v>
      </c>
      <c r="C379" s="19">
        <f t="shared" si="86"/>
        <v>14</v>
      </c>
      <c r="D379" s="19">
        <f>IF($C379&gt;p_horizon,0,IFERROR(IF(AND(INDEX(TblClusters[Cluster],$B379)&lt;&gt;"",ISNUMBER(INDEX(TblClusters[CPU initial (vCPU)],$B379)),ISNUMBER(INDEX(TblClusters[CPU min (vCPU)],$B379)),OR(INDEX(TblClusters[Plateforme],$B379)="IKS",INDEX(TblClusters[Plateforme],$B379)="ROKS")),1,0),0))</f>
        <v>1</v>
      </c>
      <c r="E379" s="72">
        <f t="shared" si="87"/>
        <v>46692</v>
      </c>
      <c r="F379" s="19" t="str">
        <f>IF($D379=1,INDEX(TblClusters[Cluster],$B379),"")</f>
        <v>oc-EMEA-NPR</v>
      </c>
      <c r="G379" s="19" t="str">
        <f>IF($D379=1,INDEX(TblClusters[Plateforme],$B379),"")</f>
        <v>ROKS</v>
      </c>
      <c r="H379" s="19">
        <f>IF($D379=1,INDEX(TblClusters[vCPU par nœud],$B379),"")</f>
        <v>8</v>
      </c>
      <c r="I379" s="19">
        <f>IF($D379=1,INDEX(TblClusters[RAM par nœud (Go)],$B379),"")</f>
        <v>40</v>
      </c>
      <c r="J379" s="19">
        <f>IF($D379=1,INDEX(TblClusters[Workers min],$B379),"")</f>
        <v>6</v>
      </c>
      <c r="K379" s="73">
        <f>IF($D379=1,INDEX(TblClusters[Tarif par nœud],$B379),"")</f>
        <v>368</v>
      </c>
      <c r="L379" s="19">
        <f>IF($D379=1,INDEX(TblClusters[CPU initial (vCPU)],$B379),"")</f>
        <v>48</v>
      </c>
      <c r="M379" s="19">
        <f>IF($D379=1,INDEX(TblClusters[RAM initiale (Go)],$B379),"")</f>
        <v>240</v>
      </c>
      <c r="N379" s="19">
        <f>IF($D379=1,INDEX(TblClusters[CPU min (vCPU)],$B379),"")</f>
        <v>48</v>
      </c>
      <c r="O379" s="19">
        <f>IF($D379=1,INDEX(TblClusters[RAM min (Go)],$B379),"")</f>
        <v>240</v>
      </c>
      <c r="P379" s="19">
        <f>IF($D379&lt;&gt;1,"",IF($G379="ROKS",SUMIFS(TblApplications[Besoin ROKS CPU (vCPU)],TblApplications[Cluster ROKS cible],$F379,TblApplications[Action],"À migrer",TblApplications[Déjà incluse ROKS],"Non",TblApplications[Mois prov (calc)],"&lt;="&amp;$E379),SUMIFS(TblApplications[CPU IKS libérable (vCPU)],TblApplications[Cluster IKS source],$F379,TblApplications[Mois lib (calc)],"&lt;="&amp;$E379)))</f>
        <v>0</v>
      </c>
      <c r="Q379" s="19">
        <f>IF($D379&lt;&gt;1,"",IF($G379="ROKS",SUMIFS(TblApplications[Besoin ROKS RAM (Go)],TblApplications[Cluster ROKS cible],$F379,TblApplications[Action],"À migrer",TblApplications[Déjà incluse ROKS],"Non",TblApplications[Mois prov (calc)],"&lt;="&amp;$E379),SUMIFS(TblApplications[RAM IKS libérable (Go)],TblApplications[Cluster IKS source],$F379,TblApplications[Mois lib (calc)],"&lt;="&amp;$E379)))</f>
        <v>0</v>
      </c>
      <c r="R379" s="19">
        <f t="shared" si="88"/>
        <v>48</v>
      </c>
      <c r="S379" s="19">
        <f t="shared" si="89"/>
        <v>240</v>
      </c>
      <c r="T379" s="19">
        <f t="shared" si="90"/>
        <v>6</v>
      </c>
      <c r="U379" s="19">
        <f t="shared" si="91"/>
        <v>48</v>
      </c>
      <c r="V379" s="19">
        <f t="shared" si="92"/>
        <v>240</v>
      </c>
      <c r="W379" s="73">
        <f t="shared" si="93"/>
        <v>2208</v>
      </c>
      <c r="X379" s="19">
        <f>IF($D379&lt;&gt;1,"",IF($G379="ROKS",$R379,IF($AI379=1,0,MAX($N379,$L379-SUMIFS(TblApplications[CPU IKS libérable (vCPU)],TblApplications[Cluster IKS source],$F379,TblApplications[Action],"À migrer",TblApplications[Mois prov (calc)],"&lt;="&amp;$E379)-SUMIFS(TblApplications[CPU IKS libérable (vCPU)],TblApplications[Cluster IKS source],$F379,TblApplications[Action],"À décommissionner",TblApplications[Mois lib (calc)],"&lt;="&amp;$E379)))))</f>
        <v>48</v>
      </c>
      <c r="Y379" s="19">
        <f>IF($D379&lt;&gt;1,"",IF($G379="ROKS",$S379,IF($AI379=1,0,MAX($O379,$M379-SUMIFS(TblApplications[RAM IKS libérable (Go)],TblApplications[Cluster IKS source],$F379,TblApplications[Action],"À migrer",TblApplications[Mois prov (calc)],"&lt;="&amp;$E379)-SUMIFS(TblApplications[RAM IKS libérable (Go)],TblApplications[Cluster IKS source],$F379,TblApplications[Action],"À décommissionner",TblApplications[Mois lib (calc)],"&lt;="&amp;$E379)))))</f>
        <v>240</v>
      </c>
      <c r="Z379" s="19">
        <f t="shared" si="94"/>
        <v>6</v>
      </c>
      <c r="AA379" s="73">
        <f t="shared" si="95"/>
        <v>2208</v>
      </c>
      <c r="AB379" s="19">
        <f t="shared" si="96"/>
        <v>6</v>
      </c>
      <c r="AC379" s="73">
        <f t="shared" si="97"/>
        <v>2208</v>
      </c>
      <c r="AD379" s="19">
        <f t="shared" si="98"/>
        <v>0</v>
      </c>
      <c r="AE379" s="19">
        <f t="shared" si="99"/>
        <v>0</v>
      </c>
      <c r="AF379" s="19" t="str">
        <f>IF($D379&lt;&gt;1,"",IF(INDEX(TblClusters[Environnement],$B379)="","(vide)",INDEX(TblClusters[Environnement],$B379)))</f>
        <v>NPRD</v>
      </c>
      <c r="AG379" s="19">
        <f t="shared" si="100"/>
        <v>72</v>
      </c>
      <c r="AH379" s="19">
        <f t="shared" si="101"/>
        <v>30.666666666666668</v>
      </c>
      <c r="AI379" s="19">
        <f>IF($D379&lt;&gt;1,"",IF(AND($G379="IKS",ISNUMBER(INDEX(TblClusters[Fermeture retenue],$B379))),IF($E379&gt;=INDEX(TblClusters[Fermeture retenue],$B379),1,0),0))</f>
        <v>0</v>
      </c>
    </row>
    <row r="380" spans="1:35" x14ac:dyDescent="0.2">
      <c r="A380" s="19">
        <v>375</v>
      </c>
      <c r="B380" s="19">
        <f t="shared" si="85"/>
        <v>11</v>
      </c>
      <c r="C380" s="19">
        <f t="shared" si="86"/>
        <v>15</v>
      </c>
      <c r="D380" s="19">
        <f>IF($C380&gt;p_horizon,0,IFERROR(IF(AND(INDEX(TblClusters[Cluster],$B380)&lt;&gt;"",ISNUMBER(INDEX(TblClusters[CPU initial (vCPU)],$B380)),ISNUMBER(INDEX(TblClusters[CPU min (vCPU)],$B380)),OR(INDEX(TblClusters[Plateforme],$B380)="IKS",INDEX(TblClusters[Plateforme],$B380)="ROKS")),1,0),0))</f>
        <v>1</v>
      </c>
      <c r="E380" s="72">
        <f t="shared" si="87"/>
        <v>46722</v>
      </c>
      <c r="F380" s="19" t="str">
        <f>IF($D380=1,INDEX(TblClusters[Cluster],$B380),"")</f>
        <v>oc-EMEA-NPR</v>
      </c>
      <c r="G380" s="19" t="str">
        <f>IF($D380=1,INDEX(TblClusters[Plateforme],$B380),"")</f>
        <v>ROKS</v>
      </c>
      <c r="H380" s="19">
        <f>IF($D380=1,INDEX(TblClusters[vCPU par nœud],$B380),"")</f>
        <v>8</v>
      </c>
      <c r="I380" s="19">
        <f>IF($D380=1,INDEX(TblClusters[RAM par nœud (Go)],$B380),"")</f>
        <v>40</v>
      </c>
      <c r="J380" s="19">
        <f>IF($D380=1,INDEX(TblClusters[Workers min],$B380),"")</f>
        <v>6</v>
      </c>
      <c r="K380" s="73">
        <f>IF($D380=1,INDEX(TblClusters[Tarif par nœud],$B380),"")</f>
        <v>368</v>
      </c>
      <c r="L380" s="19">
        <f>IF($D380=1,INDEX(TblClusters[CPU initial (vCPU)],$B380),"")</f>
        <v>48</v>
      </c>
      <c r="M380" s="19">
        <f>IF($D380=1,INDEX(TblClusters[RAM initiale (Go)],$B380),"")</f>
        <v>240</v>
      </c>
      <c r="N380" s="19">
        <f>IF($D380=1,INDEX(TblClusters[CPU min (vCPU)],$B380),"")</f>
        <v>48</v>
      </c>
      <c r="O380" s="19">
        <f>IF($D380=1,INDEX(TblClusters[RAM min (Go)],$B380),"")</f>
        <v>240</v>
      </c>
      <c r="P380" s="19">
        <f>IF($D380&lt;&gt;1,"",IF($G380="ROKS",SUMIFS(TblApplications[Besoin ROKS CPU (vCPU)],TblApplications[Cluster ROKS cible],$F380,TblApplications[Action],"À migrer",TblApplications[Déjà incluse ROKS],"Non",TblApplications[Mois prov (calc)],"&lt;="&amp;$E380),SUMIFS(TblApplications[CPU IKS libérable (vCPU)],TblApplications[Cluster IKS source],$F380,TblApplications[Mois lib (calc)],"&lt;="&amp;$E380)))</f>
        <v>0</v>
      </c>
      <c r="Q380" s="19">
        <f>IF($D380&lt;&gt;1,"",IF($G380="ROKS",SUMIFS(TblApplications[Besoin ROKS RAM (Go)],TblApplications[Cluster ROKS cible],$F380,TblApplications[Action],"À migrer",TblApplications[Déjà incluse ROKS],"Non",TblApplications[Mois prov (calc)],"&lt;="&amp;$E380),SUMIFS(TblApplications[RAM IKS libérable (Go)],TblApplications[Cluster IKS source],$F380,TblApplications[Mois lib (calc)],"&lt;="&amp;$E380)))</f>
        <v>0</v>
      </c>
      <c r="R380" s="19">
        <f t="shared" si="88"/>
        <v>48</v>
      </c>
      <c r="S380" s="19">
        <f t="shared" si="89"/>
        <v>240</v>
      </c>
      <c r="T380" s="19">
        <f t="shared" si="90"/>
        <v>6</v>
      </c>
      <c r="U380" s="19">
        <f t="shared" si="91"/>
        <v>48</v>
      </c>
      <c r="V380" s="19">
        <f t="shared" si="92"/>
        <v>240</v>
      </c>
      <c r="W380" s="73">
        <f t="shared" si="93"/>
        <v>2208</v>
      </c>
      <c r="X380" s="19">
        <f>IF($D380&lt;&gt;1,"",IF($G380="ROKS",$R380,IF($AI380=1,0,MAX($N380,$L380-SUMIFS(TblApplications[CPU IKS libérable (vCPU)],TblApplications[Cluster IKS source],$F380,TblApplications[Action],"À migrer",TblApplications[Mois prov (calc)],"&lt;="&amp;$E380)-SUMIFS(TblApplications[CPU IKS libérable (vCPU)],TblApplications[Cluster IKS source],$F380,TblApplications[Action],"À décommissionner",TblApplications[Mois lib (calc)],"&lt;="&amp;$E380)))))</f>
        <v>48</v>
      </c>
      <c r="Y380" s="19">
        <f>IF($D380&lt;&gt;1,"",IF($G380="ROKS",$S380,IF($AI380=1,0,MAX($O380,$M380-SUMIFS(TblApplications[RAM IKS libérable (Go)],TblApplications[Cluster IKS source],$F380,TblApplications[Action],"À migrer",TblApplications[Mois prov (calc)],"&lt;="&amp;$E380)-SUMIFS(TblApplications[RAM IKS libérable (Go)],TblApplications[Cluster IKS source],$F380,TblApplications[Action],"À décommissionner",TblApplications[Mois lib (calc)],"&lt;="&amp;$E380)))))</f>
        <v>240</v>
      </c>
      <c r="Z380" s="19">
        <f t="shared" si="94"/>
        <v>6</v>
      </c>
      <c r="AA380" s="73">
        <f t="shared" si="95"/>
        <v>2208</v>
      </c>
      <c r="AB380" s="19">
        <f t="shared" si="96"/>
        <v>6</v>
      </c>
      <c r="AC380" s="73">
        <f t="shared" si="97"/>
        <v>2208</v>
      </c>
      <c r="AD380" s="19">
        <f t="shared" si="98"/>
        <v>0</v>
      </c>
      <c r="AE380" s="19">
        <f t="shared" si="99"/>
        <v>0</v>
      </c>
      <c r="AF380" s="19" t="str">
        <f>IF($D380&lt;&gt;1,"",IF(INDEX(TblClusters[Environnement],$B380)="","(vide)",INDEX(TblClusters[Environnement],$B380)))</f>
        <v>NPRD</v>
      </c>
      <c r="AG380" s="19">
        <f t="shared" si="100"/>
        <v>72</v>
      </c>
      <c r="AH380" s="19">
        <f t="shared" si="101"/>
        <v>30.666666666666668</v>
      </c>
      <c r="AI380" s="19">
        <f>IF($D380&lt;&gt;1,"",IF(AND($G380="IKS",ISNUMBER(INDEX(TblClusters[Fermeture retenue],$B380))),IF($E380&gt;=INDEX(TblClusters[Fermeture retenue],$B380),1,0),0))</f>
        <v>0</v>
      </c>
    </row>
    <row r="381" spans="1:35" x14ac:dyDescent="0.2">
      <c r="A381" s="19">
        <v>376</v>
      </c>
      <c r="B381" s="19">
        <f t="shared" si="85"/>
        <v>11</v>
      </c>
      <c r="C381" s="19">
        <f t="shared" si="86"/>
        <v>16</v>
      </c>
      <c r="D381" s="19">
        <f>IF($C381&gt;p_horizon,0,IFERROR(IF(AND(INDEX(TblClusters[Cluster],$B381)&lt;&gt;"",ISNUMBER(INDEX(TblClusters[CPU initial (vCPU)],$B381)),ISNUMBER(INDEX(TblClusters[CPU min (vCPU)],$B381)),OR(INDEX(TblClusters[Plateforme],$B381)="IKS",INDEX(TblClusters[Plateforme],$B381)="ROKS")),1,0),0))</f>
        <v>1</v>
      </c>
      <c r="E381" s="72">
        <f t="shared" si="87"/>
        <v>46753</v>
      </c>
      <c r="F381" s="19" t="str">
        <f>IF($D381=1,INDEX(TblClusters[Cluster],$B381),"")</f>
        <v>oc-EMEA-NPR</v>
      </c>
      <c r="G381" s="19" t="str">
        <f>IF($D381=1,INDEX(TblClusters[Plateforme],$B381),"")</f>
        <v>ROKS</v>
      </c>
      <c r="H381" s="19">
        <f>IF($D381=1,INDEX(TblClusters[vCPU par nœud],$B381),"")</f>
        <v>8</v>
      </c>
      <c r="I381" s="19">
        <f>IF($D381=1,INDEX(TblClusters[RAM par nœud (Go)],$B381),"")</f>
        <v>40</v>
      </c>
      <c r="J381" s="19">
        <f>IF($D381=1,INDEX(TblClusters[Workers min],$B381),"")</f>
        <v>6</v>
      </c>
      <c r="K381" s="73">
        <f>IF($D381=1,INDEX(TblClusters[Tarif par nœud],$B381),"")</f>
        <v>368</v>
      </c>
      <c r="L381" s="19">
        <f>IF($D381=1,INDEX(TblClusters[CPU initial (vCPU)],$B381),"")</f>
        <v>48</v>
      </c>
      <c r="M381" s="19">
        <f>IF($D381=1,INDEX(TblClusters[RAM initiale (Go)],$B381),"")</f>
        <v>240</v>
      </c>
      <c r="N381" s="19">
        <f>IF($D381=1,INDEX(TblClusters[CPU min (vCPU)],$B381),"")</f>
        <v>48</v>
      </c>
      <c r="O381" s="19">
        <f>IF($D381=1,INDEX(TblClusters[RAM min (Go)],$B381),"")</f>
        <v>240</v>
      </c>
      <c r="P381" s="19">
        <f>IF($D381&lt;&gt;1,"",IF($G381="ROKS",SUMIFS(TblApplications[Besoin ROKS CPU (vCPU)],TblApplications[Cluster ROKS cible],$F381,TblApplications[Action],"À migrer",TblApplications[Déjà incluse ROKS],"Non",TblApplications[Mois prov (calc)],"&lt;="&amp;$E381),SUMIFS(TblApplications[CPU IKS libérable (vCPU)],TblApplications[Cluster IKS source],$F381,TblApplications[Mois lib (calc)],"&lt;="&amp;$E381)))</f>
        <v>0</v>
      </c>
      <c r="Q381" s="19">
        <f>IF($D381&lt;&gt;1,"",IF($G381="ROKS",SUMIFS(TblApplications[Besoin ROKS RAM (Go)],TblApplications[Cluster ROKS cible],$F381,TblApplications[Action],"À migrer",TblApplications[Déjà incluse ROKS],"Non",TblApplications[Mois prov (calc)],"&lt;="&amp;$E381),SUMIFS(TblApplications[RAM IKS libérable (Go)],TblApplications[Cluster IKS source],$F381,TblApplications[Mois lib (calc)],"&lt;="&amp;$E381)))</f>
        <v>0</v>
      </c>
      <c r="R381" s="19">
        <f t="shared" si="88"/>
        <v>48</v>
      </c>
      <c r="S381" s="19">
        <f t="shared" si="89"/>
        <v>240</v>
      </c>
      <c r="T381" s="19">
        <f t="shared" si="90"/>
        <v>6</v>
      </c>
      <c r="U381" s="19">
        <f t="shared" si="91"/>
        <v>48</v>
      </c>
      <c r="V381" s="19">
        <f t="shared" si="92"/>
        <v>240</v>
      </c>
      <c r="W381" s="73">
        <f t="shared" si="93"/>
        <v>2208</v>
      </c>
      <c r="X381" s="19">
        <f>IF($D381&lt;&gt;1,"",IF($G381="ROKS",$R381,IF($AI381=1,0,MAX($N381,$L381-SUMIFS(TblApplications[CPU IKS libérable (vCPU)],TblApplications[Cluster IKS source],$F381,TblApplications[Action],"À migrer",TblApplications[Mois prov (calc)],"&lt;="&amp;$E381)-SUMIFS(TblApplications[CPU IKS libérable (vCPU)],TblApplications[Cluster IKS source],$F381,TblApplications[Action],"À décommissionner",TblApplications[Mois lib (calc)],"&lt;="&amp;$E381)))))</f>
        <v>48</v>
      </c>
      <c r="Y381" s="19">
        <f>IF($D381&lt;&gt;1,"",IF($G381="ROKS",$S381,IF($AI381=1,0,MAX($O381,$M381-SUMIFS(TblApplications[RAM IKS libérable (Go)],TblApplications[Cluster IKS source],$F381,TblApplications[Action],"À migrer",TblApplications[Mois prov (calc)],"&lt;="&amp;$E381)-SUMIFS(TblApplications[RAM IKS libérable (Go)],TblApplications[Cluster IKS source],$F381,TblApplications[Action],"À décommissionner",TblApplications[Mois lib (calc)],"&lt;="&amp;$E381)))))</f>
        <v>240</v>
      </c>
      <c r="Z381" s="19">
        <f t="shared" si="94"/>
        <v>6</v>
      </c>
      <c r="AA381" s="73">
        <f t="shared" si="95"/>
        <v>2208</v>
      </c>
      <c r="AB381" s="19">
        <f t="shared" si="96"/>
        <v>6</v>
      </c>
      <c r="AC381" s="73">
        <f t="shared" si="97"/>
        <v>2208</v>
      </c>
      <c r="AD381" s="19">
        <f t="shared" si="98"/>
        <v>0</v>
      </c>
      <c r="AE381" s="19">
        <f t="shared" si="99"/>
        <v>0</v>
      </c>
      <c r="AF381" s="19" t="str">
        <f>IF($D381&lt;&gt;1,"",IF(INDEX(TblClusters[Environnement],$B381)="","(vide)",INDEX(TblClusters[Environnement],$B381)))</f>
        <v>NPRD</v>
      </c>
      <c r="AG381" s="19">
        <f t="shared" si="100"/>
        <v>72</v>
      </c>
      <c r="AH381" s="19">
        <f t="shared" si="101"/>
        <v>30.666666666666668</v>
      </c>
      <c r="AI381" s="19">
        <f>IF($D381&lt;&gt;1,"",IF(AND($G381="IKS",ISNUMBER(INDEX(TblClusters[Fermeture retenue],$B381))),IF($E381&gt;=INDEX(TblClusters[Fermeture retenue],$B381),1,0),0))</f>
        <v>0</v>
      </c>
    </row>
    <row r="382" spans="1:35" x14ac:dyDescent="0.2">
      <c r="A382" s="19">
        <v>377</v>
      </c>
      <c r="B382" s="19">
        <f t="shared" si="85"/>
        <v>11</v>
      </c>
      <c r="C382" s="19">
        <f t="shared" si="86"/>
        <v>17</v>
      </c>
      <c r="D382" s="19">
        <f>IF($C382&gt;p_horizon,0,IFERROR(IF(AND(INDEX(TblClusters[Cluster],$B382)&lt;&gt;"",ISNUMBER(INDEX(TblClusters[CPU initial (vCPU)],$B382)),ISNUMBER(INDEX(TblClusters[CPU min (vCPU)],$B382)),OR(INDEX(TblClusters[Plateforme],$B382)="IKS",INDEX(TblClusters[Plateforme],$B382)="ROKS")),1,0),0))</f>
        <v>1</v>
      </c>
      <c r="E382" s="72">
        <f t="shared" si="87"/>
        <v>46784</v>
      </c>
      <c r="F382" s="19" t="str">
        <f>IF($D382=1,INDEX(TblClusters[Cluster],$B382),"")</f>
        <v>oc-EMEA-NPR</v>
      </c>
      <c r="G382" s="19" t="str">
        <f>IF($D382=1,INDEX(TblClusters[Plateforme],$B382),"")</f>
        <v>ROKS</v>
      </c>
      <c r="H382" s="19">
        <f>IF($D382=1,INDEX(TblClusters[vCPU par nœud],$B382),"")</f>
        <v>8</v>
      </c>
      <c r="I382" s="19">
        <f>IF($D382=1,INDEX(TblClusters[RAM par nœud (Go)],$B382),"")</f>
        <v>40</v>
      </c>
      <c r="J382" s="19">
        <f>IF($D382=1,INDEX(TblClusters[Workers min],$B382),"")</f>
        <v>6</v>
      </c>
      <c r="K382" s="73">
        <f>IF($D382=1,INDEX(TblClusters[Tarif par nœud],$B382),"")</f>
        <v>368</v>
      </c>
      <c r="L382" s="19">
        <f>IF($D382=1,INDEX(TblClusters[CPU initial (vCPU)],$B382),"")</f>
        <v>48</v>
      </c>
      <c r="M382" s="19">
        <f>IF($D382=1,INDEX(TblClusters[RAM initiale (Go)],$B382),"")</f>
        <v>240</v>
      </c>
      <c r="N382" s="19">
        <f>IF($D382=1,INDEX(TblClusters[CPU min (vCPU)],$B382),"")</f>
        <v>48</v>
      </c>
      <c r="O382" s="19">
        <f>IF($D382=1,INDEX(TblClusters[RAM min (Go)],$B382),"")</f>
        <v>240</v>
      </c>
      <c r="P382" s="19">
        <f>IF($D382&lt;&gt;1,"",IF($G382="ROKS",SUMIFS(TblApplications[Besoin ROKS CPU (vCPU)],TblApplications[Cluster ROKS cible],$F382,TblApplications[Action],"À migrer",TblApplications[Déjà incluse ROKS],"Non",TblApplications[Mois prov (calc)],"&lt;="&amp;$E382),SUMIFS(TblApplications[CPU IKS libérable (vCPU)],TblApplications[Cluster IKS source],$F382,TblApplications[Mois lib (calc)],"&lt;="&amp;$E382)))</f>
        <v>0</v>
      </c>
      <c r="Q382" s="19">
        <f>IF($D382&lt;&gt;1,"",IF($G382="ROKS",SUMIFS(TblApplications[Besoin ROKS RAM (Go)],TblApplications[Cluster ROKS cible],$F382,TblApplications[Action],"À migrer",TblApplications[Déjà incluse ROKS],"Non",TblApplications[Mois prov (calc)],"&lt;="&amp;$E382),SUMIFS(TblApplications[RAM IKS libérable (Go)],TblApplications[Cluster IKS source],$F382,TblApplications[Mois lib (calc)],"&lt;="&amp;$E382)))</f>
        <v>0</v>
      </c>
      <c r="R382" s="19">
        <f t="shared" si="88"/>
        <v>48</v>
      </c>
      <c r="S382" s="19">
        <f t="shared" si="89"/>
        <v>240</v>
      </c>
      <c r="T382" s="19">
        <f t="shared" si="90"/>
        <v>6</v>
      </c>
      <c r="U382" s="19">
        <f t="shared" si="91"/>
        <v>48</v>
      </c>
      <c r="V382" s="19">
        <f t="shared" si="92"/>
        <v>240</v>
      </c>
      <c r="W382" s="73">
        <f t="shared" si="93"/>
        <v>2208</v>
      </c>
      <c r="X382" s="19">
        <f>IF($D382&lt;&gt;1,"",IF($G382="ROKS",$R382,IF($AI382=1,0,MAX($N382,$L382-SUMIFS(TblApplications[CPU IKS libérable (vCPU)],TblApplications[Cluster IKS source],$F382,TblApplications[Action],"À migrer",TblApplications[Mois prov (calc)],"&lt;="&amp;$E382)-SUMIFS(TblApplications[CPU IKS libérable (vCPU)],TblApplications[Cluster IKS source],$F382,TblApplications[Action],"À décommissionner",TblApplications[Mois lib (calc)],"&lt;="&amp;$E382)))))</f>
        <v>48</v>
      </c>
      <c r="Y382" s="19">
        <f>IF($D382&lt;&gt;1,"",IF($G382="ROKS",$S382,IF($AI382=1,0,MAX($O382,$M382-SUMIFS(TblApplications[RAM IKS libérable (Go)],TblApplications[Cluster IKS source],$F382,TblApplications[Action],"À migrer",TblApplications[Mois prov (calc)],"&lt;="&amp;$E382)-SUMIFS(TblApplications[RAM IKS libérable (Go)],TblApplications[Cluster IKS source],$F382,TblApplications[Action],"À décommissionner",TblApplications[Mois lib (calc)],"&lt;="&amp;$E382)))))</f>
        <v>240</v>
      </c>
      <c r="Z382" s="19">
        <f t="shared" si="94"/>
        <v>6</v>
      </c>
      <c r="AA382" s="73">
        <f t="shared" si="95"/>
        <v>2208</v>
      </c>
      <c r="AB382" s="19">
        <f t="shared" si="96"/>
        <v>6</v>
      </c>
      <c r="AC382" s="73">
        <f t="shared" si="97"/>
        <v>2208</v>
      </c>
      <c r="AD382" s="19">
        <f t="shared" si="98"/>
        <v>0</v>
      </c>
      <c r="AE382" s="19">
        <f t="shared" si="99"/>
        <v>0</v>
      </c>
      <c r="AF382" s="19" t="str">
        <f>IF($D382&lt;&gt;1,"",IF(INDEX(TblClusters[Environnement],$B382)="","(vide)",INDEX(TblClusters[Environnement],$B382)))</f>
        <v>NPRD</v>
      </c>
      <c r="AG382" s="19">
        <f t="shared" si="100"/>
        <v>72</v>
      </c>
      <c r="AH382" s="19">
        <f t="shared" si="101"/>
        <v>30.666666666666668</v>
      </c>
      <c r="AI382" s="19">
        <f>IF($D382&lt;&gt;1,"",IF(AND($G382="IKS",ISNUMBER(INDEX(TblClusters[Fermeture retenue],$B382))),IF($E382&gt;=INDEX(TblClusters[Fermeture retenue],$B382),1,0),0))</f>
        <v>0</v>
      </c>
    </row>
    <row r="383" spans="1:35" x14ac:dyDescent="0.2">
      <c r="A383" s="19">
        <v>378</v>
      </c>
      <c r="B383" s="19">
        <f t="shared" si="85"/>
        <v>11</v>
      </c>
      <c r="C383" s="19">
        <f t="shared" si="86"/>
        <v>18</v>
      </c>
      <c r="D383" s="19">
        <f>IF($C383&gt;p_horizon,0,IFERROR(IF(AND(INDEX(TblClusters[Cluster],$B383)&lt;&gt;"",ISNUMBER(INDEX(TblClusters[CPU initial (vCPU)],$B383)),ISNUMBER(INDEX(TblClusters[CPU min (vCPU)],$B383)),OR(INDEX(TblClusters[Plateforme],$B383)="IKS",INDEX(TblClusters[Plateforme],$B383)="ROKS")),1,0),0))</f>
        <v>1</v>
      </c>
      <c r="E383" s="72">
        <f t="shared" si="87"/>
        <v>46813</v>
      </c>
      <c r="F383" s="19" t="str">
        <f>IF($D383=1,INDEX(TblClusters[Cluster],$B383),"")</f>
        <v>oc-EMEA-NPR</v>
      </c>
      <c r="G383" s="19" t="str">
        <f>IF($D383=1,INDEX(TblClusters[Plateforme],$B383),"")</f>
        <v>ROKS</v>
      </c>
      <c r="H383" s="19">
        <f>IF($D383=1,INDEX(TblClusters[vCPU par nœud],$B383),"")</f>
        <v>8</v>
      </c>
      <c r="I383" s="19">
        <f>IF($D383=1,INDEX(TblClusters[RAM par nœud (Go)],$B383),"")</f>
        <v>40</v>
      </c>
      <c r="J383" s="19">
        <f>IF($D383=1,INDEX(TblClusters[Workers min],$B383),"")</f>
        <v>6</v>
      </c>
      <c r="K383" s="73">
        <f>IF($D383=1,INDEX(TblClusters[Tarif par nœud],$B383),"")</f>
        <v>368</v>
      </c>
      <c r="L383" s="19">
        <f>IF($D383=1,INDEX(TblClusters[CPU initial (vCPU)],$B383),"")</f>
        <v>48</v>
      </c>
      <c r="M383" s="19">
        <f>IF($D383=1,INDEX(TblClusters[RAM initiale (Go)],$B383),"")</f>
        <v>240</v>
      </c>
      <c r="N383" s="19">
        <f>IF($D383=1,INDEX(TblClusters[CPU min (vCPU)],$B383),"")</f>
        <v>48</v>
      </c>
      <c r="O383" s="19">
        <f>IF($D383=1,INDEX(TblClusters[RAM min (Go)],$B383),"")</f>
        <v>240</v>
      </c>
      <c r="P383" s="19">
        <f>IF($D383&lt;&gt;1,"",IF($G383="ROKS",SUMIFS(TblApplications[Besoin ROKS CPU (vCPU)],TblApplications[Cluster ROKS cible],$F383,TblApplications[Action],"À migrer",TblApplications[Déjà incluse ROKS],"Non",TblApplications[Mois prov (calc)],"&lt;="&amp;$E383),SUMIFS(TblApplications[CPU IKS libérable (vCPU)],TblApplications[Cluster IKS source],$F383,TblApplications[Mois lib (calc)],"&lt;="&amp;$E383)))</f>
        <v>0</v>
      </c>
      <c r="Q383" s="19">
        <f>IF($D383&lt;&gt;1,"",IF($G383="ROKS",SUMIFS(TblApplications[Besoin ROKS RAM (Go)],TblApplications[Cluster ROKS cible],$F383,TblApplications[Action],"À migrer",TblApplications[Déjà incluse ROKS],"Non",TblApplications[Mois prov (calc)],"&lt;="&amp;$E383),SUMIFS(TblApplications[RAM IKS libérable (Go)],TblApplications[Cluster IKS source],$F383,TblApplications[Mois lib (calc)],"&lt;="&amp;$E383)))</f>
        <v>0</v>
      </c>
      <c r="R383" s="19">
        <f t="shared" si="88"/>
        <v>48</v>
      </c>
      <c r="S383" s="19">
        <f t="shared" si="89"/>
        <v>240</v>
      </c>
      <c r="T383" s="19">
        <f t="shared" si="90"/>
        <v>6</v>
      </c>
      <c r="U383" s="19">
        <f t="shared" si="91"/>
        <v>48</v>
      </c>
      <c r="V383" s="19">
        <f t="shared" si="92"/>
        <v>240</v>
      </c>
      <c r="W383" s="73">
        <f t="shared" si="93"/>
        <v>2208</v>
      </c>
      <c r="X383" s="19">
        <f>IF($D383&lt;&gt;1,"",IF($G383="ROKS",$R383,IF($AI383=1,0,MAX($N383,$L383-SUMIFS(TblApplications[CPU IKS libérable (vCPU)],TblApplications[Cluster IKS source],$F383,TblApplications[Action],"À migrer",TblApplications[Mois prov (calc)],"&lt;="&amp;$E383)-SUMIFS(TblApplications[CPU IKS libérable (vCPU)],TblApplications[Cluster IKS source],$F383,TblApplications[Action],"À décommissionner",TblApplications[Mois lib (calc)],"&lt;="&amp;$E383)))))</f>
        <v>48</v>
      </c>
      <c r="Y383" s="19">
        <f>IF($D383&lt;&gt;1,"",IF($G383="ROKS",$S383,IF($AI383=1,0,MAX($O383,$M383-SUMIFS(TblApplications[RAM IKS libérable (Go)],TblApplications[Cluster IKS source],$F383,TblApplications[Action],"À migrer",TblApplications[Mois prov (calc)],"&lt;="&amp;$E383)-SUMIFS(TblApplications[RAM IKS libérable (Go)],TblApplications[Cluster IKS source],$F383,TblApplications[Action],"À décommissionner",TblApplications[Mois lib (calc)],"&lt;="&amp;$E383)))))</f>
        <v>240</v>
      </c>
      <c r="Z383" s="19">
        <f t="shared" si="94"/>
        <v>6</v>
      </c>
      <c r="AA383" s="73">
        <f t="shared" si="95"/>
        <v>2208</v>
      </c>
      <c r="AB383" s="19">
        <f t="shared" si="96"/>
        <v>6</v>
      </c>
      <c r="AC383" s="73">
        <f t="shared" si="97"/>
        <v>2208</v>
      </c>
      <c r="AD383" s="19">
        <f t="shared" si="98"/>
        <v>0</v>
      </c>
      <c r="AE383" s="19">
        <f t="shared" si="99"/>
        <v>0</v>
      </c>
      <c r="AF383" s="19" t="str">
        <f>IF($D383&lt;&gt;1,"",IF(INDEX(TblClusters[Environnement],$B383)="","(vide)",INDEX(TblClusters[Environnement],$B383)))</f>
        <v>NPRD</v>
      </c>
      <c r="AG383" s="19">
        <f t="shared" si="100"/>
        <v>72</v>
      </c>
      <c r="AH383" s="19">
        <f t="shared" si="101"/>
        <v>30.666666666666668</v>
      </c>
      <c r="AI383" s="19">
        <f>IF($D383&lt;&gt;1,"",IF(AND($G383="IKS",ISNUMBER(INDEX(TblClusters[Fermeture retenue],$B383))),IF($E383&gt;=INDEX(TblClusters[Fermeture retenue],$B383),1,0),0))</f>
        <v>0</v>
      </c>
    </row>
    <row r="384" spans="1:35" x14ac:dyDescent="0.2">
      <c r="A384" s="19">
        <v>379</v>
      </c>
      <c r="B384" s="19">
        <f t="shared" si="85"/>
        <v>11</v>
      </c>
      <c r="C384" s="19">
        <f t="shared" si="86"/>
        <v>19</v>
      </c>
      <c r="D384" s="19">
        <f>IF($C384&gt;p_horizon,0,IFERROR(IF(AND(INDEX(TblClusters[Cluster],$B384)&lt;&gt;"",ISNUMBER(INDEX(TblClusters[CPU initial (vCPU)],$B384)),ISNUMBER(INDEX(TblClusters[CPU min (vCPU)],$B384)),OR(INDEX(TblClusters[Plateforme],$B384)="IKS",INDEX(TblClusters[Plateforme],$B384)="ROKS")),1,0),0))</f>
        <v>1</v>
      </c>
      <c r="E384" s="72">
        <f t="shared" si="87"/>
        <v>46844</v>
      </c>
      <c r="F384" s="19" t="str">
        <f>IF($D384=1,INDEX(TblClusters[Cluster],$B384),"")</f>
        <v>oc-EMEA-NPR</v>
      </c>
      <c r="G384" s="19" t="str">
        <f>IF($D384=1,INDEX(TblClusters[Plateforme],$B384),"")</f>
        <v>ROKS</v>
      </c>
      <c r="H384" s="19">
        <f>IF($D384=1,INDEX(TblClusters[vCPU par nœud],$B384),"")</f>
        <v>8</v>
      </c>
      <c r="I384" s="19">
        <f>IF($D384=1,INDEX(TblClusters[RAM par nœud (Go)],$B384),"")</f>
        <v>40</v>
      </c>
      <c r="J384" s="19">
        <f>IF($D384=1,INDEX(TblClusters[Workers min],$B384),"")</f>
        <v>6</v>
      </c>
      <c r="K384" s="73">
        <f>IF($D384=1,INDEX(TblClusters[Tarif par nœud],$B384),"")</f>
        <v>368</v>
      </c>
      <c r="L384" s="19">
        <f>IF($D384=1,INDEX(TblClusters[CPU initial (vCPU)],$B384),"")</f>
        <v>48</v>
      </c>
      <c r="M384" s="19">
        <f>IF($D384=1,INDEX(TblClusters[RAM initiale (Go)],$B384),"")</f>
        <v>240</v>
      </c>
      <c r="N384" s="19">
        <f>IF($D384=1,INDEX(TblClusters[CPU min (vCPU)],$B384),"")</f>
        <v>48</v>
      </c>
      <c r="O384" s="19">
        <f>IF($D384=1,INDEX(TblClusters[RAM min (Go)],$B384),"")</f>
        <v>240</v>
      </c>
      <c r="P384" s="19">
        <f>IF($D384&lt;&gt;1,"",IF($G384="ROKS",SUMIFS(TblApplications[Besoin ROKS CPU (vCPU)],TblApplications[Cluster ROKS cible],$F384,TblApplications[Action],"À migrer",TblApplications[Déjà incluse ROKS],"Non",TblApplications[Mois prov (calc)],"&lt;="&amp;$E384),SUMIFS(TblApplications[CPU IKS libérable (vCPU)],TblApplications[Cluster IKS source],$F384,TblApplications[Mois lib (calc)],"&lt;="&amp;$E384)))</f>
        <v>0</v>
      </c>
      <c r="Q384" s="19">
        <f>IF($D384&lt;&gt;1,"",IF($G384="ROKS",SUMIFS(TblApplications[Besoin ROKS RAM (Go)],TblApplications[Cluster ROKS cible],$F384,TblApplications[Action],"À migrer",TblApplications[Déjà incluse ROKS],"Non",TblApplications[Mois prov (calc)],"&lt;="&amp;$E384),SUMIFS(TblApplications[RAM IKS libérable (Go)],TblApplications[Cluster IKS source],$F384,TblApplications[Mois lib (calc)],"&lt;="&amp;$E384)))</f>
        <v>0</v>
      </c>
      <c r="R384" s="19">
        <f t="shared" si="88"/>
        <v>48</v>
      </c>
      <c r="S384" s="19">
        <f t="shared" si="89"/>
        <v>240</v>
      </c>
      <c r="T384" s="19">
        <f t="shared" si="90"/>
        <v>6</v>
      </c>
      <c r="U384" s="19">
        <f t="shared" si="91"/>
        <v>48</v>
      </c>
      <c r="V384" s="19">
        <f t="shared" si="92"/>
        <v>240</v>
      </c>
      <c r="W384" s="73">
        <f t="shared" si="93"/>
        <v>2208</v>
      </c>
      <c r="X384" s="19">
        <f>IF($D384&lt;&gt;1,"",IF($G384="ROKS",$R384,IF($AI384=1,0,MAX($N384,$L384-SUMIFS(TblApplications[CPU IKS libérable (vCPU)],TblApplications[Cluster IKS source],$F384,TblApplications[Action],"À migrer",TblApplications[Mois prov (calc)],"&lt;="&amp;$E384)-SUMIFS(TblApplications[CPU IKS libérable (vCPU)],TblApplications[Cluster IKS source],$F384,TblApplications[Action],"À décommissionner",TblApplications[Mois lib (calc)],"&lt;="&amp;$E384)))))</f>
        <v>48</v>
      </c>
      <c r="Y384" s="19">
        <f>IF($D384&lt;&gt;1,"",IF($G384="ROKS",$S384,IF($AI384=1,0,MAX($O384,$M384-SUMIFS(TblApplications[RAM IKS libérable (Go)],TblApplications[Cluster IKS source],$F384,TblApplications[Action],"À migrer",TblApplications[Mois prov (calc)],"&lt;="&amp;$E384)-SUMIFS(TblApplications[RAM IKS libérable (Go)],TblApplications[Cluster IKS source],$F384,TblApplications[Action],"À décommissionner",TblApplications[Mois lib (calc)],"&lt;="&amp;$E384)))))</f>
        <v>240</v>
      </c>
      <c r="Z384" s="19">
        <f t="shared" si="94"/>
        <v>6</v>
      </c>
      <c r="AA384" s="73">
        <f t="shared" si="95"/>
        <v>2208</v>
      </c>
      <c r="AB384" s="19">
        <f t="shared" si="96"/>
        <v>6</v>
      </c>
      <c r="AC384" s="73">
        <f t="shared" si="97"/>
        <v>2208</v>
      </c>
      <c r="AD384" s="19">
        <f t="shared" si="98"/>
        <v>0</v>
      </c>
      <c r="AE384" s="19">
        <f t="shared" si="99"/>
        <v>0</v>
      </c>
      <c r="AF384" s="19" t="str">
        <f>IF($D384&lt;&gt;1,"",IF(INDEX(TblClusters[Environnement],$B384)="","(vide)",INDEX(TblClusters[Environnement],$B384)))</f>
        <v>NPRD</v>
      </c>
      <c r="AG384" s="19">
        <f t="shared" si="100"/>
        <v>72</v>
      </c>
      <c r="AH384" s="19">
        <f t="shared" si="101"/>
        <v>30.666666666666668</v>
      </c>
      <c r="AI384" s="19">
        <f>IF($D384&lt;&gt;1,"",IF(AND($G384="IKS",ISNUMBER(INDEX(TblClusters[Fermeture retenue],$B384))),IF($E384&gt;=INDEX(TblClusters[Fermeture retenue],$B384),1,0),0))</f>
        <v>0</v>
      </c>
    </row>
    <row r="385" spans="1:35" x14ac:dyDescent="0.2">
      <c r="A385" s="19">
        <v>380</v>
      </c>
      <c r="B385" s="19">
        <f t="shared" si="85"/>
        <v>11</v>
      </c>
      <c r="C385" s="19">
        <f t="shared" si="86"/>
        <v>20</v>
      </c>
      <c r="D385" s="19">
        <f>IF($C385&gt;p_horizon,0,IFERROR(IF(AND(INDEX(TblClusters[Cluster],$B385)&lt;&gt;"",ISNUMBER(INDEX(TblClusters[CPU initial (vCPU)],$B385)),ISNUMBER(INDEX(TblClusters[CPU min (vCPU)],$B385)),OR(INDEX(TblClusters[Plateforme],$B385)="IKS",INDEX(TblClusters[Plateforme],$B385)="ROKS")),1,0),0))</f>
        <v>1</v>
      </c>
      <c r="E385" s="72">
        <f t="shared" si="87"/>
        <v>46874</v>
      </c>
      <c r="F385" s="19" t="str">
        <f>IF($D385=1,INDEX(TblClusters[Cluster],$B385),"")</f>
        <v>oc-EMEA-NPR</v>
      </c>
      <c r="G385" s="19" t="str">
        <f>IF($D385=1,INDEX(TblClusters[Plateforme],$B385),"")</f>
        <v>ROKS</v>
      </c>
      <c r="H385" s="19">
        <f>IF($D385=1,INDEX(TblClusters[vCPU par nœud],$B385),"")</f>
        <v>8</v>
      </c>
      <c r="I385" s="19">
        <f>IF($D385=1,INDEX(TblClusters[RAM par nœud (Go)],$B385),"")</f>
        <v>40</v>
      </c>
      <c r="J385" s="19">
        <f>IF($D385=1,INDEX(TblClusters[Workers min],$B385),"")</f>
        <v>6</v>
      </c>
      <c r="K385" s="73">
        <f>IF($D385=1,INDEX(TblClusters[Tarif par nœud],$B385),"")</f>
        <v>368</v>
      </c>
      <c r="L385" s="19">
        <f>IF($D385=1,INDEX(TblClusters[CPU initial (vCPU)],$B385),"")</f>
        <v>48</v>
      </c>
      <c r="M385" s="19">
        <f>IF($D385=1,INDEX(TblClusters[RAM initiale (Go)],$B385),"")</f>
        <v>240</v>
      </c>
      <c r="N385" s="19">
        <f>IF($D385=1,INDEX(TblClusters[CPU min (vCPU)],$B385),"")</f>
        <v>48</v>
      </c>
      <c r="O385" s="19">
        <f>IF($D385=1,INDEX(TblClusters[RAM min (Go)],$B385),"")</f>
        <v>240</v>
      </c>
      <c r="P385" s="19">
        <f>IF($D385&lt;&gt;1,"",IF($G385="ROKS",SUMIFS(TblApplications[Besoin ROKS CPU (vCPU)],TblApplications[Cluster ROKS cible],$F385,TblApplications[Action],"À migrer",TblApplications[Déjà incluse ROKS],"Non",TblApplications[Mois prov (calc)],"&lt;="&amp;$E385),SUMIFS(TblApplications[CPU IKS libérable (vCPU)],TblApplications[Cluster IKS source],$F385,TblApplications[Mois lib (calc)],"&lt;="&amp;$E385)))</f>
        <v>0</v>
      </c>
      <c r="Q385" s="19">
        <f>IF($D385&lt;&gt;1,"",IF($G385="ROKS",SUMIFS(TblApplications[Besoin ROKS RAM (Go)],TblApplications[Cluster ROKS cible],$F385,TblApplications[Action],"À migrer",TblApplications[Déjà incluse ROKS],"Non",TblApplications[Mois prov (calc)],"&lt;="&amp;$E385),SUMIFS(TblApplications[RAM IKS libérable (Go)],TblApplications[Cluster IKS source],$F385,TblApplications[Mois lib (calc)],"&lt;="&amp;$E385)))</f>
        <v>0</v>
      </c>
      <c r="R385" s="19">
        <f t="shared" si="88"/>
        <v>48</v>
      </c>
      <c r="S385" s="19">
        <f t="shared" si="89"/>
        <v>240</v>
      </c>
      <c r="T385" s="19">
        <f t="shared" si="90"/>
        <v>6</v>
      </c>
      <c r="U385" s="19">
        <f t="shared" si="91"/>
        <v>48</v>
      </c>
      <c r="V385" s="19">
        <f t="shared" si="92"/>
        <v>240</v>
      </c>
      <c r="W385" s="73">
        <f t="shared" si="93"/>
        <v>2208</v>
      </c>
      <c r="X385" s="19">
        <f>IF($D385&lt;&gt;1,"",IF($G385="ROKS",$R385,IF($AI385=1,0,MAX($N385,$L385-SUMIFS(TblApplications[CPU IKS libérable (vCPU)],TblApplications[Cluster IKS source],$F385,TblApplications[Action],"À migrer",TblApplications[Mois prov (calc)],"&lt;="&amp;$E385)-SUMIFS(TblApplications[CPU IKS libérable (vCPU)],TblApplications[Cluster IKS source],$F385,TblApplications[Action],"À décommissionner",TblApplications[Mois lib (calc)],"&lt;="&amp;$E385)))))</f>
        <v>48</v>
      </c>
      <c r="Y385" s="19">
        <f>IF($D385&lt;&gt;1,"",IF($G385="ROKS",$S385,IF($AI385=1,0,MAX($O385,$M385-SUMIFS(TblApplications[RAM IKS libérable (Go)],TblApplications[Cluster IKS source],$F385,TblApplications[Action],"À migrer",TblApplications[Mois prov (calc)],"&lt;="&amp;$E385)-SUMIFS(TblApplications[RAM IKS libérable (Go)],TblApplications[Cluster IKS source],$F385,TblApplications[Action],"À décommissionner",TblApplications[Mois lib (calc)],"&lt;="&amp;$E385)))))</f>
        <v>240</v>
      </c>
      <c r="Z385" s="19">
        <f t="shared" si="94"/>
        <v>6</v>
      </c>
      <c r="AA385" s="73">
        <f t="shared" si="95"/>
        <v>2208</v>
      </c>
      <c r="AB385" s="19">
        <f t="shared" si="96"/>
        <v>6</v>
      </c>
      <c r="AC385" s="73">
        <f t="shared" si="97"/>
        <v>2208</v>
      </c>
      <c r="AD385" s="19">
        <f t="shared" si="98"/>
        <v>0</v>
      </c>
      <c r="AE385" s="19">
        <f t="shared" si="99"/>
        <v>0</v>
      </c>
      <c r="AF385" s="19" t="str">
        <f>IF($D385&lt;&gt;1,"",IF(INDEX(TblClusters[Environnement],$B385)="","(vide)",INDEX(TblClusters[Environnement],$B385)))</f>
        <v>NPRD</v>
      </c>
      <c r="AG385" s="19">
        <f t="shared" si="100"/>
        <v>72</v>
      </c>
      <c r="AH385" s="19">
        <f t="shared" si="101"/>
        <v>30.666666666666668</v>
      </c>
      <c r="AI385" s="19">
        <f>IF($D385&lt;&gt;1,"",IF(AND($G385="IKS",ISNUMBER(INDEX(TblClusters[Fermeture retenue],$B385))),IF($E385&gt;=INDEX(TblClusters[Fermeture retenue],$B385),1,0),0))</f>
        <v>0</v>
      </c>
    </row>
    <row r="386" spans="1:35" x14ac:dyDescent="0.2">
      <c r="A386" s="19">
        <v>381</v>
      </c>
      <c r="B386" s="19">
        <f t="shared" si="85"/>
        <v>11</v>
      </c>
      <c r="C386" s="19">
        <f t="shared" si="86"/>
        <v>21</v>
      </c>
      <c r="D386" s="19">
        <f>IF($C386&gt;p_horizon,0,IFERROR(IF(AND(INDEX(TblClusters[Cluster],$B386)&lt;&gt;"",ISNUMBER(INDEX(TblClusters[CPU initial (vCPU)],$B386)),ISNUMBER(INDEX(TblClusters[CPU min (vCPU)],$B386)),OR(INDEX(TblClusters[Plateforme],$B386)="IKS",INDEX(TblClusters[Plateforme],$B386)="ROKS")),1,0),0))</f>
        <v>1</v>
      </c>
      <c r="E386" s="72">
        <f t="shared" si="87"/>
        <v>46905</v>
      </c>
      <c r="F386" s="19" t="str">
        <f>IF($D386=1,INDEX(TblClusters[Cluster],$B386),"")</f>
        <v>oc-EMEA-NPR</v>
      </c>
      <c r="G386" s="19" t="str">
        <f>IF($D386=1,INDEX(TblClusters[Plateforme],$B386),"")</f>
        <v>ROKS</v>
      </c>
      <c r="H386" s="19">
        <f>IF($D386=1,INDEX(TblClusters[vCPU par nœud],$B386),"")</f>
        <v>8</v>
      </c>
      <c r="I386" s="19">
        <f>IF($D386=1,INDEX(TblClusters[RAM par nœud (Go)],$B386),"")</f>
        <v>40</v>
      </c>
      <c r="J386" s="19">
        <f>IF($D386=1,INDEX(TblClusters[Workers min],$B386),"")</f>
        <v>6</v>
      </c>
      <c r="K386" s="73">
        <f>IF($D386=1,INDEX(TblClusters[Tarif par nœud],$B386),"")</f>
        <v>368</v>
      </c>
      <c r="L386" s="19">
        <f>IF($D386=1,INDEX(TblClusters[CPU initial (vCPU)],$B386),"")</f>
        <v>48</v>
      </c>
      <c r="M386" s="19">
        <f>IF($D386=1,INDEX(TblClusters[RAM initiale (Go)],$B386),"")</f>
        <v>240</v>
      </c>
      <c r="N386" s="19">
        <f>IF($D386=1,INDEX(TblClusters[CPU min (vCPU)],$B386),"")</f>
        <v>48</v>
      </c>
      <c r="O386" s="19">
        <f>IF($D386=1,INDEX(TblClusters[RAM min (Go)],$B386),"")</f>
        <v>240</v>
      </c>
      <c r="P386" s="19">
        <f>IF($D386&lt;&gt;1,"",IF($G386="ROKS",SUMIFS(TblApplications[Besoin ROKS CPU (vCPU)],TblApplications[Cluster ROKS cible],$F386,TblApplications[Action],"À migrer",TblApplications[Déjà incluse ROKS],"Non",TblApplications[Mois prov (calc)],"&lt;="&amp;$E386),SUMIFS(TblApplications[CPU IKS libérable (vCPU)],TblApplications[Cluster IKS source],$F386,TblApplications[Mois lib (calc)],"&lt;="&amp;$E386)))</f>
        <v>0</v>
      </c>
      <c r="Q386" s="19">
        <f>IF($D386&lt;&gt;1,"",IF($G386="ROKS",SUMIFS(TblApplications[Besoin ROKS RAM (Go)],TblApplications[Cluster ROKS cible],$F386,TblApplications[Action],"À migrer",TblApplications[Déjà incluse ROKS],"Non",TblApplications[Mois prov (calc)],"&lt;="&amp;$E386),SUMIFS(TblApplications[RAM IKS libérable (Go)],TblApplications[Cluster IKS source],$F386,TblApplications[Mois lib (calc)],"&lt;="&amp;$E386)))</f>
        <v>0</v>
      </c>
      <c r="R386" s="19">
        <f t="shared" si="88"/>
        <v>48</v>
      </c>
      <c r="S386" s="19">
        <f t="shared" si="89"/>
        <v>240</v>
      </c>
      <c r="T386" s="19">
        <f t="shared" si="90"/>
        <v>6</v>
      </c>
      <c r="U386" s="19">
        <f t="shared" si="91"/>
        <v>48</v>
      </c>
      <c r="V386" s="19">
        <f t="shared" si="92"/>
        <v>240</v>
      </c>
      <c r="W386" s="73">
        <f t="shared" si="93"/>
        <v>2208</v>
      </c>
      <c r="X386" s="19">
        <f>IF($D386&lt;&gt;1,"",IF($G386="ROKS",$R386,IF($AI386=1,0,MAX($N386,$L386-SUMIFS(TblApplications[CPU IKS libérable (vCPU)],TblApplications[Cluster IKS source],$F386,TblApplications[Action],"À migrer",TblApplications[Mois prov (calc)],"&lt;="&amp;$E386)-SUMIFS(TblApplications[CPU IKS libérable (vCPU)],TblApplications[Cluster IKS source],$F386,TblApplications[Action],"À décommissionner",TblApplications[Mois lib (calc)],"&lt;="&amp;$E386)))))</f>
        <v>48</v>
      </c>
      <c r="Y386" s="19">
        <f>IF($D386&lt;&gt;1,"",IF($G386="ROKS",$S386,IF($AI386=1,0,MAX($O386,$M386-SUMIFS(TblApplications[RAM IKS libérable (Go)],TblApplications[Cluster IKS source],$F386,TblApplications[Action],"À migrer",TblApplications[Mois prov (calc)],"&lt;="&amp;$E386)-SUMIFS(TblApplications[RAM IKS libérable (Go)],TblApplications[Cluster IKS source],$F386,TblApplications[Action],"À décommissionner",TblApplications[Mois lib (calc)],"&lt;="&amp;$E386)))))</f>
        <v>240</v>
      </c>
      <c r="Z386" s="19">
        <f t="shared" si="94"/>
        <v>6</v>
      </c>
      <c r="AA386" s="73">
        <f t="shared" si="95"/>
        <v>2208</v>
      </c>
      <c r="AB386" s="19">
        <f t="shared" si="96"/>
        <v>6</v>
      </c>
      <c r="AC386" s="73">
        <f t="shared" si="97"/>
        <v>2208</v>
      </c>
      <c r="AD386" s="19">
        <f t="shared" si="98"/>
        <v>0</v>
      </c>
      <c r="AE386" s="19">
        <f t="shared" si="99"/>
        <v>0</v>
      </c>
      <c r="AF386" s="19" t="str">
        <f>IF($D386&lt;&gt;1,"",IF(INDEX(TblClusters[Environnement],$B386)="","(vide)",INDEX(TblClusters[Environnement],$B386)))</f>
        <v>NPRD</v>
      </c>
      <c r="AG386" s="19">
        <f t="shared" si="100"/>
        <v>72</v>
      </c>
      <c r="AH386" s="19">
        <f t="shared" si="101"/>
        <v>30.666666666666668</v>
      </c>
      <c r="AI386" s="19">
        <f>IF($D386&lt;&gt;1,"",IF(AND($G386="IKS",ISNUMBER(INDEX(TblClusters[Fermeture retenue],$B386))),IF($E386&gt;=INDEX(TblClusters[Fermeture retenue],$B386),1,0),0))</f>
        <v>0</v>
      </c>
    </row>
    <row r="387" spans="1:35" x14ac:dyDescent="0.2">
      <c r="A387" s="19">
        <v>382</v>
      </c>
      <c r="B387" s="19">
        <f t="shared" si="85"/>
        <v>11</v>
      </c>
      <c r="C387" s="19">
        <f t="shared" si="86"/>
        <v>22</v>
      </c>
      <c r="D387" s="19">
        <f>IF($C387&gt;p_horizon,0,IFERROR(IF(AND(INDEX(TblClusters[Cluster],$B387)&lt;&gt;"",ISNUMBER(INDEX(TblClusters[CPU initial (vCPU)],$B387)),ISNUMBER(INDEX(TblClusters[CPU min (vCPU)],$B387)),OR(INDEX(TblClusters[Plateforme],$B387)="IKS",INDEX(TblClusters[Plateforme],$B387)="ROKS")),1,0),0))</f>
        <v>1</v>
      </c>
      <c r="E387" s="72">
        <f t="shared" si="87"/>
        <v>46935</v>
      </c>
      <c r="F387" s="19" t="str">
        <f>IF($D387=1,INDEX(TblClusters[Cluster],$B387),"")</f>
        <v>oc-EMEA-NPR</v>
      </c>
      <c r="G387" s="19" t="str">
        <f>IF($D387=1,INDEX(TblClusters[Plateforme],$B387),"")</f>
        <v>ROKS</v>
      </c>
      <c r="H387" s="19">
        <f>IF($D387=1,INDEX(TblClusters[vCPU par nœud],$B387),"")</f>
        <v>8</v>
      </c>
      <c r="I387" s="19">
        <f>IF($D387=1,INDEX(TblClusters[RAM par nœud (Go)],$B387),"")</f>
        <v>40</v>
      </c>
      <c r="J387" s="19">
        <f>IF($D387=1,INDEX(TblClusters[Workers min],$B387),"")</f>
        <v>6</v>
      </c>
      <c r="K387" s="73">
        <f>IF($D387=1,INDEX(TblClusters[Tarif par nœud],$B387),"")</f>
        <v>368</v>
      </c>
      <c r="L387" s="19">
        <f>IF($D387=1,INDEX(TblClusters[CPU initial (vCPU)],$B387),"")</f>
        <v>48</v>
      </c>
      <c r="M387" s="19">
        <f>IF($D387=1,INDEX(TblClusters[RAM initiale (Go)],$B387),"")</f>
        <v>240</v>
      </c>
      <c r="N387" s="19">
        <f>IF($D387=1,INDEX(TblClusters[CPU min (vCPU)],$B387),"")</f>
        <v>48</v>
      </c>
      <c r="O387" s="19">
        <f>IF($D387=1,INDEX(TblClusters[RAM min (Go)],$B387),"")</f>
        <v>240</v>
      </c>
      <c r="P387" s="19">
        <f>IF($D387&lt;&gt;1,"",IF($G387="ROKS",SUMIFS(TblApplications[Besoin ROKS CPU (vCPU)],TblApplications[Cluster ROKS cible],$F387,TblApplications[Action],"À migrer",TblApplications[Déjà incluse ROKS],"Non",TblApplications[Mois prov (calc)],"&lt;="&amp;$E387),SUMIFS(TblApplications[CPU IKS libérable (vCPU)],TblApplications[Cluster IKS source],$F387,TblApplications[Mois lib (calc)],"&lt;="&amp;$E387)))</f>
        <v>0</v>
      </c>
      <c r="Q387" s="19">
        <f>IF($D387&lt;&gt;1,"",IF($G387="ROKS",SUMIFS(TblApplications[Besoin ROKS RAM (Go)],TblApplications[Cluster ROKS cible],$F387,TblApplications[Action],"À migrer",TblApplications[Déjà incluse ROKS],"Non",TblApplications[Mois prov (calc)],"&lt;="&amp;$E387),SUMIFS(TblApplications[RAM IKS libérable (Go)],TblApplications[Cluster IKS source],$F387,TblApplications[Mois lib (calc)],"&lt;="&amp;$E387)))</f>
        <v>0</v>
      </c>
      <c r="R387" s="19">
        <f t="shared" si="88"/>
        <v>48</v>
      </c>
      <c r="S387" s="19">
        <f t="shared" si="89"/>
        <v>240</v>
      </c>
      <c r="T387" s="19">
        <f t="shared" si="90"/>
        <v>6</v>
      </c>
      <c r="U387" s="19">
        <f t="shared" si="91"/>
        <v>48</v>
      </c>
      <c r="V387" s="19">
        <f t="shared" si="92"/>
        <v>240</v>
      </c>
      <c r="W387" s="73">
        <f t="shared" si="93"/>
        <v>2208</v>
      </c>
      <c r="X387" s="19">
        <f>IF($D387&lt;&gt;1,"",IF($G387="ROKS",$R387,IF($AI387=1,0,MAX($N387,$L387-SUMIFS(TblApplications[CPU IKS libérable (vCPU)],TblApplications[Cluster IKS source],$F387,TblApplications[Action],"À migrer",TblApplications[Mois prov (calc)],"&lt;="&amp;$E387)-SUMIFS(TblApplications[CPU IKS libérable (vCPU)],TblApplications[Cluster IKS source],$F387,TblApplications[Action],"À décommissionner",TblApplications[Mois lib (calc)],"&lt;="&amp;$E387)))))</f>
        <v>48</v>
      </c>
      <c r="Y387" s="19">
        <f>IF($D387&lt;&gt;1,"",IF($G387="ROKS",$S387,IF($AI387=1,0,MAX($O387,$M387-SUMIFS(TblApplications[RAM IKS libérable (Go)],TblApplications[Cluster IKS source],$F387,TblApplications[Action],"À migrer",TblApplications[Mois prov (calc)],"&lt;="&amp;$E387)-SUMIFS(TblApplications[RAM IKS libérable (Go)],TblApplications[Cluster IKS source],$F387,TblApplications[Action],"À décommissionner",TblApplications[Mois lib (calc)],"&lt;="&amp;$E387)))))</f>
        <v>240</v>
      </c>
      <c r="Z387" s="19">
        <f t="shared" si="94"/>
        <v>6</v>
      </c>
      <c r="AA387" s="73">
        <f t="shared" si="95"/>
        <v>2208</v>
      </c>
      <c r="AB387" s="19">
        <f t="shared" si="96"/>
        <v>6</v>
      </c>
      <c r="AC387" s="73">
        <f t="shared" si="97"/>
        <v>2208</v>
      </c>
      <c r="AD387" s="19">
        <f t="shared" si="98"/>
        <v>0</v>
      </c>
      <c r="AE387" s="19">
        <f t="shared" si="99"/>
        <v>0</v>
      </c>
      <c r="AF387" s="19" t="str">
        <f>IF($D387&lt;&gt;1,"",IF(INDEX(TblClusters[Environnement],$B387)="","(vide)",INDEX(TblClusters[Environnement],$B387)))</f>
        <v>NPRD</v>
      </c>
      <c r="AG387" s="19">
        <f t="shared" si="100"/>
        <v>72</v>
      </c>
      <c r="AH387" s="19">
        <f t="shared" si="101"/>
        <v>30.666666666666668</v>
      </c>
      <c r="AI387" s="19">
        <f>IF($D387&lt;&gt;1,"",IF(AND($G387="IKS",ISNUMBER(INDEX(TblClusters[Fermeture retenue],$B387))),IF($E387&gt;=INDEX(TblClusters[Fermeture retenue],$B387),1,0),0))</f>
        <v>0</v>
      </c>
    </row>
    <row r="388" spans="1:35" x14ac:dyDescent="0.2">
      <c r="A388" s="19">
        <v>383</v>
      </c>
      <c r="B388" s="19">
        <f t="shared" si="85"/>
        <v>11</v>
      </c>
      <c r="C388" s="19">
        <f t="shared" si="86"/>
        <v>23</v>
      </c>
      <c r="D388" s="19">
        <f>IF($C388&gt;p_horizon,0,IFERROR(IF(AND(INDEX(TblClusters[Cluster],$B388)&lt;&gt;"",ISNUMBER(INDEX(TblClusters[CPU initial (vCPU)],$B388)),ISNUMBER(INDEX(TblClusters[CPU min (vCPU)],$B388)),OR(INDEX(TblClusters[Plateforme],$B388)="IKS",INDEX(TblClusters[Plateforme],$B388)="ROKS")),1,0),0))</f>
        <v>1</v>
      </c>
      <c r="E388" s="72">
        <f t="shared" si="87"/>
        <v>46966</v>
      </c>
      <c r="F388" s="19" t="str">
        <f>IF($D388=1,INDEX(TblClusters[Cluster],$B388),"")</f>
        <v>oc-EMEA-NPR</v>
      </c>
      <c r="G388" s="19" t="str">
        <f>IF($D388=1,INDEX(TblClusters[Plateforme],$B388),"")</f>
        <v>ROKS</v>
      </c>
      <c r="H388" s="19">
        <f>IF($D388=1,INDEX(TblClusters[vCPU par nœud],$B388),"")</f>
        <v>8</v>
      </c>
      <c r="I388" s="19">
        <f>IF($D388=1,INDEX(TblClusters[RAM par nœud (Go)],$B388),"")</f>
        <v>40</v>
      </c>
      <c r="J388" s="19">
        <f>IF($D388=1,INDEX(TblClusters[Workers min],$B388),"")</f>
        <v>6</v>
      </c>
      <c r="K388" s="73">
        <f>IF($D388=1,INDEX(TblClusters[Tarif par nœud],$B388),"")</f>
        <v>368</v>
      </c>
      <c r="L388" s="19">
        <f>IF($D388=1,INDEX(TblClusters[CPU initial (vCPU)],$B388),"")</f>
        <v>48</v>
      </c>
      <c r="M388" s="19">
        <f>IF($D388=1,INDEX(TblClusters[RAM initiale (Go)],$B388),"")</f>
        <v>240</v>
      </c>
      <c r="N388" s="19">
        <f>IF($D388=1,INDEX(TblClusters[CPU min (vCPU)],$B388),"")</f>
        <v>48</v>
      </c>
      <c r="O388" s="19">
        <f>IF($D388=1,INDEX(TblClusters[RAM min (Go)],$B388),"")</f>
        <v>240</v>
      </c>
      <c r="P388" s="19">
        <f>IF($D388&lt;&gt;1,"",IF($G388="ROKS",SUMIFS(TblApplications[Besoin ROKS CPU (vCPU)],TblApplications[Cluster ROKS cible],$F388,TblApplications[Action],"À migrer",TblApplications[Déjà incluse ROKS],"Non",TblApplications[Mois prov (calc)],"&lt;="&amp;$E388),SUMIFS(TblApplications[CPU IKS libérable (vCPU)],TblApplications[Cluster IKS source],$F388,TblApplications[Mois lib (calc)],"&lt;="&amp;$E388)))</f>
        <v>0</v>
      </c>
      <c r="Q388" s="19">
        <f>IF($D388&lt;&gt;1,"",IF($G388="ROKS",SUMIFS(TblApplications[Besoin ROKS RAM (Go)],TblApplications[Cluster ROKS cible],$F388,TblApplications[Action],"À migrer",TblApplications[Déjà incluse ROKS],"Non",TblApplications[Mois prov (calc)],"&lt;="&amp;$E388),SUMIFS(TblApplications[RAM IKS libérable (Go)],TblApplications[Cluster IKS source],$F388,TblApplications[Mois lib (calc)],"&lt;="&amp;$E388)))</f>
        <v>0</v>
      </c>
      <c r="R388" s="19">
        <f t="shared" si="88"/>
        <v>48</v>
      </c>
      <c r="S388" s="19">
        <f t="shared" si="89"/>
        <v>240</v>
      </c>
      <c r="T388" s="19">
        <f t="shared" si="90"/>
        <v>6</v>
      </c>
      <c r="U388" s="19">
        <f t="shared" si="91"/>
        <v>48</v>
      </c>
      <c r="V388" s="19">
        <f t="shared" si="92"/>
        <v>240</v>
      </c>
      <c r="W388" s="73">
        <f t="shared" si="93"/>
        <v>2208</v>
      </c>
      <c r="X388" s="19">
        <f>IF($D388&lt;&gt;1,"",IF($G388="ROKS",$R388,IF($AI388=1,0,MAX($N388,$L388-SUMIFS(TblApplications[CPU IKS libérable (vCPU)],TblApplications[Cluster IKS source],$F388,TblApplications[Action],"À migrer",TblApplications[Mois prov (calc)],"&lt;="&amp;$E388)-SUMIFS(TblApplications[CPU IKS libérable (vCPU)],TblApplications[Cluster IKS source],$F388,TblApplications[Action],"À décommissionner",TblApplications[Mois lib (calc)],"&lt;="&amp;$E388)))))</f>
        <v>48</v>
      </c>
      <c r="Y388" s="19">
        <f>IF($D388&lt;&gt;1,"",IF($G388="ROKS",$S388,IF($AI388=1,0,MAX($O388,$M388-SUMIFS(TblApplications[RAM IKS libérable (Go)],TblApplications[Cluster IKS source],$F388,TblApplications[Action],"À migrer",TblApplications[Mois prov (calc)],"&lt;="&amp;$E388)-SUMIFS(TblApplications[RAM IKS libérable (Go)],TblApplications[Cluster IKS source],$F388,TblApplications[Action],"À décommissionner",TblApplications[Mois lib (calc)],"&lt;="&amp;$E388)))))</f>
        <v>240</v>
      </c>
      <c r="Z388" s="19">
        <f t="shared" si="94"/>
        <v>6</v>
      </c>
      <c r="AA388" s="73">
        <f t="shared" si="95"/>
        <v>2208</v>
      </c>
      <c r="AB388" s="19">
        <f t="shared" si="96"/>
        <v>6</v>
      </c>
      <c r="AC388" s="73">
        <f t="shared" si="97"/>
        <v>2208</v>
      </c>
      <c r="AD388" s="19">
        <f t="shared" si="98"/>
        <v>0</v>
      </c>
      <c r="AE388" s="19">
        <f t="shared" si="99"/>
        <v>0</v>
      </c>
      <c r="AF388" s="19" t="str">
        <f>IF($D388&lt;&gt;1,"",IF(INDEX(TblClusters[Environnement],$B388)="","(vide)",INDEX(TblClusters[Environnement],$B388)))</f>
        <v>NPRD</v>
      </c>
      <c r="AG388" s="19">
        <f t="shared" si="100"/>
        <v>72</v>
      </c>
      <c r="AH388" s="19">
        <f t="shared" si="101"/>
        <v>30.666666666666668</v>
      </c>
      <c r="AI388" s="19">
        <f>IF($D388&lt;&gt;1,"",IF(AND($G388="IKS",ISNUMBER(INDEX(TblClusters[Fermeture retenue],$B388))),IF($E388&gt;=INDEX(TblClusters[Fermeture retenue],$B388),1,0),0))</f>
        <v>0</v>
      </c>
    </row>
    <row r="389" spans="1:35" x14ac:dyDescent="0.2">
      <c r="A389" s="19">
        <v>384</v>
      </c>
      <c r="B389" s="19">
        <f t="shared" si="85"/>
        <v>11</v>
      </c>
      <c r="C389" s="19">
        <f t="shared" si="86"/>
        <v>24</v>
      </c>
      <c r="D389" s="19">
        <f>IF($C389&gt;p_horizon,0,IFERROR(IF(AND(INDEX(TblClusters[Cluster],$B389)&lt;&gt;"",ISNUMBER(INDEX(TblClusters[CPU initial (vCPU)],$B389)),ISNUMBER(INDEX(TblClusters[CPU min (vCPU)],$B389)),OR(INDEX(TblClusters[Plateforme],$B389)="IKS",INDEX(TblClusters[Plateforme],$B389)="ROKS")),1,0),0))</f>
        <v>1</v>
      </c>
      <c r="E389" s="72">
        <f t="shared" si="87"/>
        <v>46997</v>
      </c>
      <c r="F389" s="19" t="str">
        <f>IF($D389=1,INDEX(TblClusters[Cluster],$B389),"")</f>
        <v>oc-EMEA-NPR</v>
      </c>
      <c r="G389" s="19" t="str">
        <f>IF($D389=1,INDEX(TblClusters[Plateforme],$B389),"")</f>
        <v>ROKS</v>
      </c>
      <c r="H389" s="19">
        <f>IF($D389=1,INDEX(TblClusters[vCPU par nœud],$B389),"")</f>
        <v>8</v>
      </c>
      <c r="I389" s="19">
        <f>IF($D389=1,INDEX(TblClusters[RAM par nœud (Go)],$B389),"")</f>
        <v>40</v>
      </c>
      <c r="J389" s="19">
        <f>IF($D389=1,INDEX(TblClusters[Workers min],$B389),"")</f>
        <v>6</v>
      </c>
      <c r="K389" s="73">
        <f>IF($D389=1,INDEX(TblClusters[Tarif par nœud],$B389),"")</f>
        <v>368</v>
      </c>
      <c r="L389" s="19">
        <f>IF($D389=1,INDEX(TblClusters[CPU initial (vCPU)],$B389),"")</f>
        <v>48</v>
      </c>
      <c r="M389" s="19">
        <f>IF($D389=1,INDEX(TblClusters[RAM initiale (Go)],$B389),"")</f>
        <v>240</v>
      </c>
      <c r="N389" s="19">
        <f>IF($D389=1,INDEX(TblClusters[CPU min (vCPU)],$B389),"")</f>
        <v>48</v>
      </c>
      <c r="O389" s="19">
        <f>IF($D389=1,INDEX(TblClusters[RAM min (Go)],$B389),"")</f>
        <v>240</v>
      </c>
      <c r="P389" s="19">
        <f>IF($D389&lt;&gt;1,"",IF($G389="ROKS",SUMIFS(TblApplications[Besoin ROKS CPU (vCPU)],TblApplications[Cluster ROKS cible],$F389,TblApplications[Action],"À migrer",TblApplications[Déjà incluse ROKS],"Non",TblApplications[Mois prov (calc)],"&lt;="&amp;$E389),SUMIFS(TblApplications[CPU IKS libérable (vCPU)],TblApplications[Cluster IKS source],$F389,TblApplications[Mois lib (calc)],"&lt;="&amp;$E389)))</f>
        <v>0</v>
      </c>
      <c r="Q389" s="19">
        <f>IF($D389&lt;&gt;1,"",IF($G389="ROKS",SUMIFS(TblApplications[Besoin ROKS RAM (Go)],TblApplications[Cluster ROKS cible],$F389,TblApplications[Action],"À migrer",TblApplications[Déjà incluse ROKS],"Non",TblApplications[Mois prov (calc)],"&lt;="&amp;$E389),SUMIFS(TblApplications[RAM IKS libérable (Go)],TblApplications[Cluster IKS source],$F389,TblApplications[Mois lib (calc)],"&lt;="&amp;$E389)))</f>
        <v>0</v>
      </c>
      <c r="R389" s="19">
        <f t="shared" si="88"/>
        <v>48</v>
      </c>
      <c r="S389" s="19">
        <f t="shared" si="89"/>
        <v>240</v>
      </c>
      <c r="T389" s="19">
        <f t="shared" si="90"/>
        <v>6</v>
      </c>
      <c r="U389" s="19">
        <f t="shared" si="91"/>
        <v>48</v>
      </c>
      <c r="V389" s="19">
        <f t="shared" si="92"/>
        <v>240</v>
      </c>
      <c r="W389" s="73">
        <f t="shared" si="93"/>
        <v>2208</v>
      </c>
      <c r="X389" s="19">
        <f>IF($D389&lt;&gt;1,"",IF($G389="ROKS",$R389,IF($AI389=1,0,MAX($N389,$L389-SUMIFS(TblApplications[CPU IKS libérable (vCPU)],TblApplications[Cluster IKS source],$F389,TblApplications[Action],"À migrer",TblApplications[Mois prov (calc)],"&lt;="&amp;$E389)-SUMIFS(TblApplications[CPU IKS libérable (vCPU)],TblApplications[Cluster IKS source],$F389,TblApplications[Action],"À décommissionner",TblApplications[Mois lib (calc)],"&lt;="&amp;$E389)))))</f>
        <v>48</v>
      </c>
      <c r="Y389" s="19">
        <f>IF($D389&lt;&gt;1,"",IF($G389="ROKS",$S389,IF($AI389=1,0,MAX($O389,$M389-SUMIFS(TblApplications[RAM IKS libérable (Go)],TblApplications[Cluster IKS source],$F389,TblApplications[Action],"À migrer",TblApplications[Mois prov (calc)],"&lt;="&amp;$E389)-SUMIFS(TblApplications[RAM IKS libérable (Go)],TblApplications[Cluster IKS source],$F389,TblApplications[Action],"À décommissionner",TblApplications[Mois lib (calc)],"&lt;="&amp;$E389)))))</f>
        <v>240</v>
      </c>
      <c r="Z389" s="19">
        <f t="shared" si="94"/>
        <v>6</v>
      </c>
      <c r="AA389" s="73">
        <f t="shared" si="95"/>
        <v>2208</v>
      </c>
      <c r="AB389" s="19">
        <f t="shared" si="96"/>
        <v>6</v>
      </c>
      <c r="AC389" s="73">
        <f t="shared" si="97"/>
        <v>2208</v>
      </c>
      <c r="AD389" s="19">
        <f t="shared" si="98"/>
        <v>0</v>
      </c>
      <c r="AE389" s="19">
        <f t="shared" si="99"/>
        <v>0</v>
      </c>
      <c r="AF389" s="19" t="str">
        <f>IF($D389&lt;&gt;1,"",IF(INDEX(TblClusters[Environnement],$B389)="","(vide)",INDEX(TblClusters[Environnement],$B389)))</f>
        <v>NPRD</v>
      </c>
      <c r="AG389" s="19">
        <f t="shared" si="100"/>
        <v>72</v>
      </c>
      <c r="AH389" s="19">
        <f t="shared" si="101"/>
        <v>30.666666666666668</v>
      </c>
      <c r="AI389" s="19">
        <f>IF($D389&lt;&gt;1,"",IF(AND($G389="IKS",ISNUMBER(INDEX(TblClusters[Fermeture retenue],$B389))),IF($E389&gt;=INDEX(TblClusters[Fermeture retenue],$B389),1,0),0))</f>
        <v>0</v>
      </c>
    </row>
    <row r="390" spans="1:35" x14ac:dyDescent="0.2">
      <c r="A390" s="19">
        <v>385</v>
      </c>
      <c r="B390" s="19">
        <f t="shared" ref="B390:B453" si="102">INT(($A390-1)/36)+1</f>
        <v>11</v>
      </c>
      <c r="C390" s="19">
        <f t="shared" ref="C390:C453" si="103">MOD($A390-1,36)+1</f>
        <v>25</v>
      </c>
      <c r="D390" s="19">
        <f>IF($C390&gt;p_horizon,0,IFERROR(IF(AND(INDEX(TblClusters[Cluster],$B390)&lt;&gt;"",ISNUMBER(INDEX(TblClusters[CPU initial (vCPU)],$B390)),ISNUMBER(INDEX(TblClusters[CPU min (vCPU)],$B390)),OR(INDEX(TblClusters[Plateforme],$B390)="IKS",INDEX(TblClusters[Plateforme],$B390)="ROKS")),1,0),0))</f>
        <v>1</v>
      </c>
      <c r="E390" s="72">
        <f t="shared" ref="E390:E453" si="104">IF($D390=1,EDATE(p_debut,$C390-1),"")</f>
        <v>47027</v>
      </c>
      <c r="F390" s="19" t="str">
        <f>IF($D390=1,INDEX(TblClusters[Cluster],$B390),"")</f>
        <v>oc-EMEA-NPR</v>
      </c>
      <c r="G390" s="19" t="str">
        <f>IF($D390=1,INDEX(TblClusters[Plateforme],$B390),"")</f>
        <v>ROKS</v>
      </c>
      <c r="H390" s="19">
        <f>IF($D390=1,INDEX(TblClusters[vCPU par nœud],$B390),"")</f>
        <v>8</v>
      </c>
      <c r="I390" s="19">
        <f>IF($D390=1,INDEX(TblClusters[RAM par nœud (Go)],$B390),"")</f>
        <v>40</v>
      </c>
      <c r="J390" s="19">
        <f>IF($D390=1,INDEX(TblClusters[Workers min],$B390),"")</f>
        <v>6</v>
      </c>
      <c r="K390" s="73">
        <f>IF($D390=1,INDEX(TblClusters[Tarif par nœud],$B390),"")</f>
        <v>368</v>
      </c>
      <c r="L390" s="19">
        <f>IF($D390=1,INDEX(TblClusters[CPU initial (vCPU)],$B390),"")</f>
        <v>48</v>
      </c>
      <c r="M390" s="19">
        <f>IF($D390=1,INDEX(TblClusters[RAM initiale (Go)],$B390),"")</f>
        <v>240</v>
      </c>
      <c r="N390" s="19">
        <f>IF($D390=1,INDEX(TblClusters[CPU min (vCPU)],$B390),"")</f>
        <v>48</v>
      </c>
      <c r="O390" s="19">
        <f>IF($D390=1,INDEX(TblClusters[RAM min (Go)],$B390),"")</f>
        <v>240</v>
      </c>
      <c r="P390" s="19">
        <f>IF($D390&lt;&gt;1,"",IF($G390="ROKS",SUMIFS(TblApplications[Besoin ROKS CPU (vCPU)],TblApplications[Cluster ROKS cible],$F390,TblApplications[Action],"À migrer",TblApplications[Déjà incluse ROKS],"Non",TblApplications[Mois prov (calc)],"&lt;="&amp;$E390),SUMIFS(TblApplications[CPU IKS libérable (vCPU)],TblApplications[Cluster IKS source],$F390,TblApplications[Mois lib (calc)],"&lt;="&amp;$E390)))</f>
        <v>0</v>
      </c>
      <c r="Q390" s="19">
        <f>IF($D390&lt;&gt;1,"",IF($G390="ROKS",SUMIFS(TblApplications[Besoin ROKS RAM (Go)],TblApplications[Cluster ROKS cible],$F390,TblApplications[Action],"À migrer",TblApplications[Déjà incluse ROKS],"Non",TblApplications[Mois prov (calc)],"&lt;="&amp;$E390),SUMIFS(TblApplications[RAM IKS libérable (Go)],TblApplications[Cluster IKS source],$F390,TblApplications[Mois lib (calc)],"&lt;="&amp;$E390)))</f>
        <v>0</v>
      </c>
      <c r="R390" s="19">
        <f t="shared" ref="R390:R453" si="105">IF($D390&lt;&gt;1,"",IF($G390="ROKS",$L390+$P390,IF($AI390=1,0,MAX($N390,$L390-$P390))))</f>
        <v>48</v>
      </c>
      <c r="S390" s="19">
        <f t="shared" ref="S390:S453" si="106">IF($D390&lt;&gt;1,"",IF($G390="ROKS",$M390+$Q390,IF($AI390=1,0,MAX($O390,$M390-$Q390))))</f>
        <v>240</v>
      </c>
      <c r="T390" s="19">
        <f t="shared" ref="T390:T453" si="107">IF($D390&lt;&gt;1,"",IF($AI390=1,0,MAX($J390,ROUNDUP(MAX($R390/$H390,$S390/$I390),0))))</f>
        <v>6</v>
      </c>
      <c r="U390" s="19">
        <f t="shared" ref="U390:U453" si="108">IF($D390&lt;&gt;1,"",IF(p_mode="Nœud",$T390*$H390,$R390))</f>
        <v>48</v>
      </c>
      <c r="V390" s="19">
        <f t="shared" ref="V390:V453" si="109">IF($D390&lt;&gt;1,"",IF(p_mode="Nœud",$T390*$I390,$S390))</f>
        <v>240</v>
      </c>
      <c r="W390" s="73">
        <f t="shared" ref="W390:W453" si="110">IF($D390&lt;&gt;1,"",IF(p_mode="Nœud",$T390*$K390,$R390*IF($G390="IKS",p_iks_cpu,p_roks_cpu)+$S390*IF($G390="IKS",p_iks_ram,p_roks_ram))*p_facteur)</f>
        <v>2208</v>
      </c>
      <c r="X390" s="19">
        <f>IF($D390&lt;&gt;1,"",IF($G390="ROKS",$R390,IF($AI390=1,0,MAX($N390,$L390-SUMIFS(TblApplications[CPU IKS libérable (vCPU)],TblApplications[Cluster IKS source],$F390,TblApplications[Action],"À migrer",TblApplications[Mois prov (calc)],"&lt;="&amp;$E390)-SUMIFS(TblApplications[CPU IKS libérable (vCPU)],TblApplications[Cluster IKS source],$F390,TblApplications[Action],"À décommissionner",TblApplications[Mois lib (calc)],"&lt;="&amp;$E390)))))</f>
        <v>48</v>
      </c>
      <c r="Y390" s="19">
        <f>IF($D390&lt;&gt;1,"",IF($G390="ROKS",$S390,IF($AI390=1,0,MAX($O390,$M390-SUMIFS(TblApplications[RAM IKS libérable (Go)],TblApplications[Cluster IKS source],$F390,TblApplications[Action],"À migrer",TblApplications[Mois prov (calc)],"&lt;="&amp;$E390)-SUMIFS(TblApplications[RAM IKS libérable (Go)],TblApplications[Cluster IKS source],$F390,TblApplications[Action],"À décommissionner",TblApplications[Mois lib (calc)],"&lt;="&amp;$E390)))))</f>
        <v>240</v>
      </c>
      <c r="Z390" s="19">
        <f t="shared" ref="Z390:Z453" si="111">IF($D390&lt;&gt;1,"",IF($AI390=1,0,MAX($J390,ROUNDUP(MAX($X390/$H390,$Y390/$I390),0))))</f>
        <v>6</v>
      </c>
      <c r="AA390" s="73">
        <f t="shared" ref="AA390:AA453" si="112">IF($D390&lt;&gt;1,"",IF(p_mode="Nœud",$Z390*$K390,$X390*IF($G390="IKS",p_iks_cpu,p_roks_cpu)+$Y390*IF($G390="IKS",p_iks_ram,p_roks_ram))*p_facteur)</f>
        <v>2208</v>
      </c>
      <c r="AB390" s="19">
        <f t="shared" ref="AB390:AB453" si="113">IF($D390&lt;&gt;1,"",MAX($J390,ROUNDUP(MAX($L390/$H390,$M390/$I390),0)))</f>
        <v>6</v>
      </c>
      <c r="AC390" s="73">
        <f t="shared" ref="AC390:AC453" si="114">IF($D390&lt;&gt;1,"",IF(p_mode="Nœud",$AB390*$K390,$L390*IF($G390="IKS",p_iks_cpu,p_roks_cpu)+$M390*IF($G390="IKS",p_iks_ram,p_roks_ram))*p_facteur)</f>
        <v>2208</v>
      </c>
      <c r="AD390" s="19">
        <f t="shared" ref="AD390:AD453" si="115">IF($D390&lt;&gt;1,"",IF(AND($G390="IKS",$AI390&lt;&gt;1,OR($L390-$P390&lt;$N390,$M390-$Q390&lt;$O390)),1,0))</f>
        <v>0</v>
      </c>
      <c r="AE390" s="19">
        <f t="shared" ref="AE390:AE453" si="116">IF($D390&lt;&gt;1,"",IF(AND($G390="ROKS",$T390&gt;p_maxworkers),1,0))</f>
        <v>0</v>
      </c>
      <c r="AF390" s="19" t="str">
        <f>IF($D390&lt;&gt;1,"",IF(INDEX(TblClusters[Environnement],$B390)="","(vide)",INDEX(TblClusters[Environnement],$B390)))</f>
        <v>NPRD</v>
      </c>
      <c r="AG390" s="19">
        <f t="shared" ref="AG390:AG453" si="117">IF($D390&lt;&gt;1,"",$R390+p_poidsram*$S390)</f>
        <v>72</v>
      </c>
      <c r="AH390" s="19">
        <f t="shared" ref="AH390:AH453" si="118">IF($D390&lt;&gt;1,"",IFERROR($W390/$AG390,0))</f>
        <v>30.666666666666668</v>
      </c>
      <c r="AI390" s="19">
        <f>IF($D390&lt;&gt;1,"",IF(AND($G390="IKS",ISNUMBER(INDEX(TblClusters[Fermeture retenue],$B390))),IF($E390&gt;=INDEX(TblClusters[Fermeture retenue],$B390),1,0),0))</f>
        <v>0</v>
      </c>
    </row>
    <row r="391" spans="1:35" x14ac:dyDescent="0.2">
      <c r="A391" s="19">
        <v>386</v>
      </c>
      <c r="B391" s="19">
        <f t="shared" si="102"/>
        <v>11</v>
      </c>
      <c r="C391" s="19">
        <f t="shared" si="103"/>
        <v>26</v>
      </c>
      <c r="D391" s="19">
        <f>IF($C391&gt;p_horizon,0,IFERROR(IF(AND(INDEX(TblClusters[Cluster],$B391)&lt;&gt;"",ISNUMBER(INDEX(TblClusters[CPU initial (vCPU)],$B391)),ISNUMBER(INDEX(TblClusters[CPU min (vCPU)],$B391)),OR(INDEX(TblClusters[Plateforme],$B391)="IKS",INDEX(TblClusters[Plateforme],$B391)="ROKS")),1,0),0))</f>
        <v>1</v>
      </c>
      <c r="E391" s="72">
        <f t="shared" si="104"/>
        <v>47058</v>
      </c>
      <c r="F391" s="19" t="str">
        <f>IF($D391=1,INDEX(TblClusters[Cluster],$B391),"")</f>
        <v>oc-EMEA-NPR</v>
      </c>
      <c r="G391" s="19" t="str">
        <f>IF($D391=1,INDEX(TblClusters[Plateforme],$B391),"")</f>
        <v>ROKS</v>
      </c>
      <c r="H391" s="19">
        <f>IF($D391=1,INDEX(TblClusters[vCPU par nœud],$B391),"")</f>
        <v>8</v>
      </c>
      <c r="I391" s="19">
        <f>IF($D391=1,INDEX(TblClusters[RAM par nœud (Go)],$B391),"")</f>
        <v>40</v>
      </c>
      <c r="J391" s="19">
        <f>IF($D391=1,INDEX(TblClusters[Workers min],$B391),"")</f>
        <v>6</v>
      </c>
      <c r="K391" s="73">
        <f>IF($D391=1,INDEX(TblClusters[Tarif par nœud],$B391),"")</f>
        <v>368</v>
      </c>
      <c r="L391" s="19">
        <f>IF($D391=1,INDEX(TblClusters[CPU initial (vCPU)],$B391),"")</f>
        <v>48</v>
      </c>
      <c r="M391" s="19">
        <f>IF($D391=1,INDEX(TblClusters[RAM initiale (Go)],$B391),"")</f>
        <v>240</v>
      </c>
      <c r="N391" s="19">
        <f>IF($D391=1,INDEX(TblClusters[CPU min (vCPU)],$B391),"")</f>
        <v>48</v>
      </c>
      <c r="O391" s="19">
        <f>IF($D391=1,INDEX(TblClusters[RAM min (Go)],$B391),"")</f>
        <v>240</v>
      </c>
      <c r="P391" s="19">
        <f>IF($D391&lt;&gt;1,"",IF($G391="ROKS",SUMIFS(TblApplications[Besoin ROKS CPU (vCPU)],TblApplications[Cluster ROKS cible],$F391,TblApplications[Action],"À migrer",TblApplications[Déjà incluse ROKS],"Non",TblApplications[Mois prov (calc)],"&lt;="&amp;$E391),SUMIFS(TblApplications[CPU IKS libérable (vCPU)],TblApplications[Cluster IKS source],$F391,TblApplications[Mois lib (calc)],"&lt;="&amp;$E391)))</f>
        <v>0</v>
      </c>
      <c r="Q391" s="19">
        <f>IF($D391&lt;&gt;1,"",IF($G391="ROKS",SUMIFS(TblApplications[Besoin ROKS RAM (Go)],TblApplications[Cluster ROKS cible],$F391,TblApplications[Action],"À migrer",TblApplications[Déjà incluse ROKS],"Non",TblApplications[Mois prov (calc)],"&lt;="&amp;$E391),SUMIFS(TblApplications[RAM IKS libérable (Go)],TblApplications[Cluster IKS source],$F391,TblApplications[Mois lib (calc)],"&lt;="&amp;$E391)))</f>
        <v>0</v>
      </c>
      <c r="R391" s="19">
        <f t="shared" si="105"/>
        <v>48</v>
      </c>
      <c r="S391" s="19">
        <f t="shared" si="106"/>
        <v>240</v>
      </c>
      <c r="T391" s="19">
        <f t="shared" si="107"/>
        <v>6</v>
      </c>
      <c r="U391" s="19">
        <f t="shared" si="108"/>
        <v>48</v>
      </c>
      <c r="V391" s="19">
        <f t="shared" si="109"/>
        <v>240</v>
      </c>
      <c r="W391" s="73">
        <f t="shared" si="110"/>
        <v>2208</v>
      </c>
      <c r="X391" s="19">
        <f>IF($D391&lt;&gt;1,"",IF($G391="ROKS",$R391,IF($AI391=1,0,MAX($N391,$L391-SUMIFS(TblApplications[CPU IKS libérable (vCPU)],TblApplications[Cluster IKS source],$F391,TblApplications[Action],"À migrer",TblApplications[Mois prov (calc)],"&lt;="&amp;$E391)-SUMIFS(TblApplications[CPU IKS libérable (vCPU)],TblApplications[Cluster IKS source],$F391,TblApplications[Action],"À décommissionner",TblApplications[Mois lib (calc)],"&lt;="&amp;$E391)))))</f>
        <v>48</v>
      </c>
      <c r="Y391" s="19">
        <f>IF($D391&lt;&gt;1,"",IF($G391="ROKS",$S391,IF($AI391=1,0,MAX($O391,$M391-SUMIFS(TblApplications[RAM IKS libérable (Go)],TblApplications[Cluster IKS source],$F391,TblApplications[Action],"À migrer",TblApplications[Mois prov (calc)],"&lt;="&amp;$E391)-SUMIFS(TblApplications[RAM IKS libérable (Go)],TblApplications[Cluster IKS source],$F391,TblApplications[Action],"À décommissionner",TblApplications[Mois lib (calc)],"&lt;="&amp;$E391)))))</f>
        <v>240</v>
      </c>
      <c r="Z391" s="19">
        <f t="shared" si="111"/>
        <v>6</v>
      </c>
      <c r="AA391" s="73">
        <f t="shared" si="112"/>
        <v>2208</v>
      </c>
      <c r="AB391" s="19">
        <f t="shared" si="113"/>
        <v>6</v>
      </c>
      <c r="AC391" s="73">
        <f t="shared" si="114"/>
        <v>2208</v>
      </c>
      <c r="AD391" s="19">
        <f t="shared" si="115"/>
        <v>0</v>
      </c>
      <c r="AE391" s="19">
        <f t="shared" si="116"/>
        <v>0</v>
      </c>
      <c r="AF391" s="19" t="str">
        <f>IF($D391&lt;&gt;1,"",IF(INDEX(TblClusters[Environnement],$B391)="","(vide)",INDEX(TblClusters[Environnement],$B391)))</f>
        <v>NPRD</v>
      </c>
      <c r="AG391" s="19">
        <f t="shared" si="117"/>
        <v>72</v>
      </c>
      <c r="AH391" s="19">
        <f t="shared" si="118"/>
        <v>30.666666666666668</v>
      </c>
      <c r="AI391" s="19">
        <f>IF($D391&lt;&gt;1,"",IF(AND($G391="IKS",ISNUMBER(INDEX(TblClusters[Fermeture retenue],$B391))),IF($E391&gt;=INDEX(TblClusters[Fermeture retenue],$B391),1,0),0))</f>
        <v>0</v>
      </c>
    </row>
    <row r="392" spans="1:35" x14ac:dyDescent="0.2">
      <c r="A392" s="19">
        <v>387</v>
      </c>
      <c r="B392" s="19">
        <f t="shared" si="102"/>
        <v>11</v>
      </c>
      <c r="C392" s="19">
        <f t="shared" si="103"/>
        <v>27</v>
      </c>
      <c r="D392" s="19">
        <f>IF($C392&gt;p_horizon,0,IFERROR(IF(AND(INDEX(TblClusters[Cluster],$B392)&lt;&gt;"",ISNUMBER(INDEX(TblClusters[CPU initial (vCPU)],$B392)),ISNUMBER(INDEX(TblClusters[CPU min (vCPU)],$B392)),OR(INDEX(TblClusters[Plateforme],$B392)="IKS",INDEX(TblClusters[Plateforme],$B392)="ROKS")),1,0),0))</f>
        <v>1</v>
      </c>
      <c r="E392" s="72">
        <f t="shared" si="104"/>
        <v>47088</v>
      </c>
      <c r="F392" s="19" t="str">
        <f>IF($D392=1,INDEX(TblClusters[Cluster],$B392),"")</f>
        <v>oc-EMEA-NPR</v>
      </c>
      <c r="G392" s="19" t="str">
        <f>IF($D392=1,INDEX(TblClusters[Plateforme],$B392),"")</f>
        <v>ROKS</v>
      </c>
      <c r="H392" s="19">
        <f>IF($D392=1,INDEX(TblClusters[vCPU par nœud],$B392),"")</f>
        <v>8</v>
      </c>
      <c r="I392" s="19">
        <f>IF($D392=1,INDEX(TblClusters[RAM par nœud (Go)],$B392),"")</f>
        <v>40</v>
      </c>
      <c r="J392" s="19">
        <f>IF($D392=1,INDEX(TblClusters[Workers min],$B392),"")</f>
        <v>6</v>
      </c>
      <c r="K392" s="73">
        <f>IF($D392=1,INDEX(TblClusters[Tarif par nœud],$B392),"")</f>
        <v>368</v>
      </c>
      <c r="L392" s="19">
        <f>IF($D392=1,INDEX(TblClusters[CPU initial (vCPU)],$B392),"")</f>
        <v>48</v>
      </c>
      <c r="M392" s="19">
        <f>IF($D392=1,INDEX(TblClusters[RAM initiale (Go)],$B392),"")</f>
        <v>240</v>
      </c>
      <c r="N392" s="19">
        <f>IF($D392=1,INDEX(TblClusters[CPU min (vCPU)],$B392),"")</f>
        <v>48</v>
      </c>
      <c r="O392" s="19">
        <f>IF($D392=1,INDEX(TblClusters[RAM min (Go)],$B392),"")</f>
        <v>240</v>
      </c>
      <c r="P392" s="19">
        <f>IF($D392&lt;&gt;1,"",IF($G392="ROKS",SUMIFS(TblApplications[Besoin ROKS CPU (vCPU)],TblApplications[Cluster ROKS cible],$F392,TblApplications[Action],"À migrer",TblApplications[Déjà incluse ROKS],"Non",TblApplications[Mois prov (calc)],"&lt;="&amp;$E392),SUMIFS(TblApplications[CPU IKS libérable (vCPU)],TblApplications[Cluster IKS source],$F392,TblApplications[Mois lib (calc)],"&lt;="&amp;$E392)))</f>
        <v>0</v>
      </c>
      <c r="Q392" s="19">
        <f>IF($D392&lt;&gt;1,"",IF($G392="ROKS",SUMIFS(TblApplications[Besoin ROKS RAM (Go)],TblApplications[Cluster ROKS cible],$F392,TblApplications[Action],"À migrer",TblApplications[Déjà incluse ROKS],"Non",TblApplications[Mois prov (calc)],"&lt;="&amp;$E392),SUMIFS(TblApplications[RAM IKS libérable (Go)],TblApplications[Cluster IKS source],$F392,TblApplications[Mois lib (calc)],"&lt;="&amp;$E392)))</f>
        <v>0</v>
      </c>
      <c r="R392" s="19">
        <f t="shared" si="105"/>
        <v>48</v>
      </c>
      <c r="S392" s="19">
        <f t="shared" si="106"/>
        <v>240</v>
      </c>
      <c r="T392" s="19">
        <f t="shared" si="107"/>
        <v>6</v>
      </c>
      <c r="U392" s="19">
        <f t="shared" si="108"/>
        <v>48</v>
      </c>
      <c r="V392" s="19">
        <f t="shared" si="109"/>
        <v>240</v>
      </c>
      <c r="W392" s="73">
        <f t="shared" si="110"/>
        <v>2208</v>
      </c>
      <c r="X392" s="19">
        <f>IF($D392&lt;&gt;1,"",IF($G392="ROKS",$R392,IF($AI392=1,0,MAX($N392,$L392-SUMIFS(TblApplications[CPU IKS libérable (vCPU)],TblApplications[Cluster IKS source],$F392,TblApplications[Action],"À migrer",TblApplications[Mois prov (calc)],"&lt;="&amp;$E392)-SUMIFS(TblApplications[CPU IKS libérable (vCPU)],TblApplications[Cluster IKS source],$F392,TblApplications[Action],"À décommissionner",TblApplications[Mois lib (calc)],"&lt;="&amp;$E392)))))</f>
        <v>48</v>
      </c>
      <c r="Y392" s="19">
        <f>IF($D392&lt;&gt;1,"",IF($G392="ROKS",$S392,IF($AI392=1,0,MAX($O392,$M392-SUMIFS(TblApplications[RAM IKS libérable (Go)],TblApplications[Cluster IKS source],$F392,TblApplications[Action],"À migrer",TblApplications[Mois prov (calc)],"&lt;="&amp;$E392)-SUMIFS(TblApplications[RAM IKS libérable (Go)],TblApplications[Cluster IKS source],$F392,TblApplications[Action],"À décommissionner",TblApplications[Mois lib (calc)],"&lt;="&amp;$E392)))))</f>
        <v>240</v>
      </c>
      <c r="Z392" s="19">
        <f t="shared" si="111"/>
        <v>6</v>
      </c>
      <c r="AA392" s="73">
        <f t="shared" si="112"/>
        <v>2208</v>
      </c>
      <c r="AB392" s="19">
        <f t="shared" si="113"/>
        <v>6</v>
      </c>
      <c r="AC392" s="73">
        <f t="shared" si="114"/>
        <v>2208</v>
      </c>
      <c r="AD392" s="19">
        <f t="shared" si="115"/>
        <v>0</v>
      </c>
      <c r="AE392" s="19">
        <f t="shared" si="116"/>
        <v>0</v>
      </c>
      <c r="AF392" s="19" t="str">
        <f>IF($D392&lt;&gt;1,"",IF(INDEX(TblClusters[Environnement],$B392)="","(vide)",INDEX(TblClusters[Environnement],$B392)))</f>
        <v>NPRD</v>
      </c>
      <c r="AG392" s="19">
        <f t="shared" si="117"/>
        <v>72</v>
      </c>
      <c r="AH392" s="19">
        <f t="shared" si="118"/>
        <v>30.666666666666668</v>
      </c>
      <c r="AI392" s="19">
        <f>IF($D392&lt;&gt;1,"",IF(AND($G392="IKS",ISNUMBER(INDEX(TblClusters[Fermeture retenue],$B392))),IF($E392&gt;=INDEX(TblClusters[Fermeture retenue],$B392),1,0),0))</f>
        <v>0</v>
      </c>
    </row>
    <row r="393" spans="1:35" x14ac:dyDescent="0.2">
      <c r="A393" s="19">
        <v>388</v>
      </c>
      <c r="B393" s="19">
        <f t="shared" si="102"/>
        <v>11</v>
      </c>
      <c r="C393" s="19">
        <f t="shared" si="103"/>
        <v>28</v>
      </c>
      <c r="D393" s="19">
        <f>IF($C393&gt;p_horizon,0,IFERROR(IF(AND(INDEX(TblClusters[Cluster],$B393)&lt;&gt;"",ISNUMBER(INDEX(TblClusters[CPU initial (vCPU)],$B393)),ISNUMBER(INDEX(TblClusters[CPU min (vCPU)],$B393)),OR(INDEX(TblClusters[Plateforme],$B393)="IKS",INDEX(TblClusters[Plateforme],$B393)="ROKS")),1,0),0))</f>
        <v>1</v>
      </c>
      <c r="E393" s="72">
        <f t="shared" si="104"/>
        <v>47119</v>
      </c>
      <c r="F393" s="19" t="str">
        <f>IF($D393=1,INDEX(TblClusters[Cluster],$B393),"")</f>
        <v>oc-EMEA-NPR</v>
      </c>
      <c r="G393" s="19" t="str">
        <f>IF($D393=1,INDEX(TblClusters[Plateforme],$B393),"")</f>
        <v>ROKS</v>
      </c>
      <c r="H393" s="19">
        <f>IF($D393=1,INDEX(TblClusters[vCPU par nœud],$B393),"")</f>
        <v>8</v>
      </c>
      <c r="I393" s="19">
        <f>IF($D393=1,INDEX(TblClusters[RAM par nœud (Go)],$B393),"")</f>
        <v>40</v>
      </c>
      <c r="J393" s="19">
        <f>IF($D393=1,INDEX(TblClusters[Workers min],$B393),"")</f>
        <v>6</v>
      </c>
      <c r="K393" s="73">
        <f>IF($D393=1,INDEX(TblClusters[Tarif par nœud],$B393),"")</f>
        <v>368</v>
      </c>
      <c r="L393" s="19">
        <f>IF($D393=1,INDEX(TblClusters[CPU initial (vCPU)],$B393),"")</f>
        <v>48</v>
      </c>
      <c r="M393" s="19">
        <f>IF($D393=1,INDEX(TblClusters[RAM initiale (Go)],$B393),"")</f>
        <v>240</v>
      </c>
      <c r="N393" s="19">
        <f>IF($D393=1,INDEX(TblClusters[CPU min (vCPU)],$B393),"")</f>
        <v>48</v>
      </c>
      <c r="O393" s="19">
        <f>IF($D393=1,INDEX(TblClusters[RAM min (Go)],$B393),"")</f>
        <v>240</v>
      </c>
      <c r="P393" s="19">
        <f>IF($D393&lt;&gt;1,"",IF($G393="ROKS",SUMIFS(TblApplications[Besoin ROKS CPU (vCPU)],TblApplications[Cluster ROKS cible],$F393,TblApplications[Action],"À migrer",TblApplications[Déjà incluse ROKS],"Non",TblApplications[Mois prov (calc)],"&lt;="&amp;$E393),SUMIFS(TblApplications[CPU IKS libérable (vCPU)],TblApplications[Cluster IKS source],$F393,TblApplications[Mois lib (calc)],"&lt;="&amp;$E393)))</f>
        <v>0</v>
      </c>
      <c r="Q393" s="19">
        <f>IF($D393&lt;&gt;1,"",IF($G393="ROKS",SUMIFS(TblApplications[Besoin ROKS RAM (Go)],TblApplications[Cluster ROKS cible],$F393,TblApplications[Action],"À migrer",TblApplications[Déjà incluse ROKS],"Non",TblApplications[Mois prov (calc)],"&lt;="&amp;$E393),SUMIFS(TblApplications[RAM IKS libérable (Go)],TblApplications[Cluster IKS source],$F393,TblApplications[Mois lib (calc)],"&lt;="&amp;$E393)))</f>
        <v>0</v>
      </c>
      <c r="R393" s="19">
        <f t="shared" si="105"/>
        <v>48</v>
      </c>
      <c r="S393" s="19">
        <f t="shared" si="106"/>
        <v>240</v>
      </c>
      <c r="T393" s="19">
        <f t="shared" si="107"/>
        <v>6</v>
      </c>
      <c r="U393" s="19">
        <f t="shared" si="108"/>
        <v>48</v>
      </c>
      <c r="V393" s="19">
        <f t="shared" si="109"/>
        <v>240</v>
      </c>
      <c r="W393" s="73">
        <f t="shared" si="110"/>
        <v>2208</v>
      </c>
      <c r="X393" s="19">
        <f>IF($D393&lt;&gt;1,"",IF($G393="ROKS",$R393,IF($AI393=1,0,MAX($N393,$L393-SUMIFS(TblApplications[CPU IKS libérable (vCPU)],TblApplications[Cluster IKS source],$F393,TblApplications[Action],"À migrer",TblApplications[Mois prov (calc)],"&lt;="&amp;$E393)-SUMIFS(TblApplications[CPU IKS libérable (vCPU)],TblApplications[Cluster IKS source],$F393,TblApplications[Action],"À décommissionner",TblApplications[Mois lib (calc)],"&lt;="&amp;$E393)))))</f>
        <v>48</v>
      </c>
      <c r="Y393" s="19">
        <f>IF($D393&lt;&gt;1,"",IF($G393="ROKS",$S393,IF($AI393=1,0,MAX($O393,$M393-SUMIFS(TblApplications[RAM IKS libérable (Go)],TblApplications[Cluster IKS source],$F393,TblApplications[Action],"À migrer",TblApplications[Mois prov (calc)],"&lt;="&amp;$E393)-SUMIFS(TblApplications[RAM IKS libérable (Go)],TblApplications[Cluster IKS source],$F393,TblApplications[Action],"À décommissionner",TblApplications[Mois lib (calc)],"&lt;="&amp;$E393)))))</f>
        <v>240</v>
      </c>
      <c r="Z393" s="19">
        <f t="shared" si="111"/>
        <v>6</v>
      </c>
      <c r="AA393" s="73">
        <f t="shared" si="112"/>
        <v>2208</v>
      </c>
      <c r="AB393" s="19">
        <f t="shared" si="113"/>
        <v>6</v>
      </c>
      <c r="AC393" s="73">
        <f t="shared" si="114"/>
        <v>2208</v>
      </c>
      <c r="AD393" s="19">
        <f t="shared" si="115"/>
        <v>0</v>
      </c>
      <c r="AE393" s="19">
        <f t="shared" si="116"/>
        <v>0</v>
      </c>
      <c r="AF393" s="19" t="str">
        <f>IF($D393&lt;&gt;1,"",IF(INDEX(TblClusters[Environnement],$B393)="","(vide)",INDEX(TblClusters[Environnement],$B393)))</f>
        <v>NPRD</v>
      </c>
      <c r="AG393" s="19">
        <f t="shared" si="117"/>
        <v>72</v>
      </c>
      <c r="AH393" s="19">
        <f t="shared" si="118"/>
        <v>30.666666666666668</v>
      </c>
      <c r="AI393" s="19">
        <f>IF($D393&lt;&gt;1,"",IF(AND($G393="IKS",ISNUMBER(INDEX(TblClusters[Fermeture retenue],$B393))),IF($E393&gt;=INDEX(TblClusters[Fermeture retenue],$B393),1,0),0))</f>
        <v>0</v>
      </c>
    </row>
    <row r="394" spans="1:35" x14ac:dyDescent="0.2">
      <c r="A394" s="19">
        <v>389</v>
      </c>
      <c r="B394" s="19">
        <f t="shared" si="102"/>
        <v>11</v>
      </c>
      <c r="C394" s="19">
        <f t="shared" si="103"/>
        <v>29</v>
      </c>
      <c r="D394" s="19">
        <f>IF($C394&gt;p_horizon,0,IFERROR(IF(AND(INDEX(TblClusters[Cluster],$B394)&lt;&gt;"",ISNUMBER(INDEX(TblClusters[CPU initial (vCPU)],$B394)),ISNUMBER(INDEX(TblClusters[CPU min (vCPU)],$B394)),OR(INDEX(TblClusters[Plateforme],$B394)="IKS",INDEX(TblClusters[Plateforme],$B394)="ROKS")),1,0),0))</f>
        <v>1</v>
      </c>
      <c r="E394" s="72">
        <f t="shared" si="104"/>
        <v>47150</v>
      </c>
      <c r="F394" s="19" t="str">
        <f>IF($D394=1,INDEX(TblClusters[Cluster],$B394),"")</f>
        <v>oc-EMEA-NPR</v>
      </c>
      <c r="G394" s="19" t="str">
        <f>IF($D394=1,INDEX(TblClusters[Plateforme],$B394),"")</f>
        <v>ROKS</v>
      </c>
      <c r="H394" s="19">
        <f>IF($D394=1,INDEX(TblClusters[vCPU par nœud],$B394),"")</f>
        <v>8</v>
      </c>
      <c r="I394" s="19">
        <f>IF($D394=1,INDEX(TblClusters[RAM par nœud (Go)],$B394),"")</f>
        <v>40</v>
      </c>
      <c r="J394" s="19">
        <f>IF($D394=1,INDEX(TblClusters[Workers min],$B394),"")</f>
        <v>6</v>
      </c>
      <c r="K394" s="73">
        <f>IF($D394=1,INDEX(TblClusters[Tarif par nœud],$B394),"")</f>
        <v>368</v>
      </c>
      <c r="L394" s="19">
        <f>IF($D394=1,INDEX(TblClusters[CPU initial (vCPU)],$B394),"")</f>
        <v>48</v>
      </c>
      <c r="M394" s="19">
        <f>IF($D394=1,INDEX(TblClusters[RAM initiale (Go)],$B394),"")</f>
        <v>240</v>
      </c>
      <c r="N394" s="19">
        <f>IF($D394=1,INDEX(TblClusters[CPU min (vCPU)],$B394),"")</f>
        <v>48</v>
      </c>
      <c r="O394" s="19">
        <f>IF($D394=1,INDEX(TblClusters[RAM min (Go)],$B394),"")</f>
        <v>240</v>
      </c>
      <c r="P394" s="19">
        <f>IF($D394&lt;&gt;1,"",IF($G394="ROKS",SUMIFS(TblApplications[Besoin ROKS CPU (vCPU)],TblApplications[Cluster ROKS cible],$F394,TblApplications[Action],"À migrer",TblApplications[Déjà incluse ROKS],"Non",TblApplications[Mois prov (calc)],"&lt;="&amp;$E394),SUMIFS(TblApplications[CPU IKS libérable (vCPU)],TblApplications[Cluster IKS source],$F394,TblApplications[Mois lib (calc)],"&lt;="&amp;$E394)))</f>
        <v>0</v>
      </c>
      <c r="Q394" s="19">
        <f>IF($D394&lt;&gt;1,"",IF($G394="ROKS",SUMIFS(TblApplications[Besoin ROKS RAM (Go)],TblApplications[Cluster ROKS cible],$F394,TblApplications[Action],"À migrer",TblApplications[Déjà incluse ROKS],"Non",TblApplications[Mois prov (calc)],"&lt;="&amp;$E394),SUMIFS(TblApplications[RAM IKS libérable (Go)],TblApplications[Cluster IKS source],$F394,TblApplications[Mois lib (calc)],"&lt;="&amp;$E394)))</f>
        <v>0</v>
      </c>
      <c r="R394" s="19">
        <f t="shared" si="105"/>
        <v>48</v>
      </c>
      <c r="S394" s="19">
        <f t="shared" si="106"/>
        <v>240</v>
      </c>
      <c r="T394" s="19">
        <f t="shared" si="107"/>
        <v>6</v>
      </c>
      <c r="U394" s="19">
        <f t="shared" si="108"/>
        <v>48</v>
      </c>
      <c r="V394" s="19">
        <f t="shared" si="109"/>
        <v>240</v>
      </c>
      <c r="W394" s="73">
        <f t="shared" si="110"/>
        <v>2208</v>
      </c>
      <c r="X394" s="19">
        <f>IF($D394&lt;&gt;1,"",IF($G394="ROKS",$R394,IF($AI394=1,0,MAX($N394,$L394-SUMIFS(TblApplications[CPU IKS libérable (vCPU)],TblApplications[Cluster IKS source],$F394,TblApplications[Action],"À migrer",TblApplications[Mois prov (calc)],"&lt;="&amp;$E394)-SUMIFS(TblApplications[CPU IKS libérable (vCPU)],TblApplications[Cluster IKS source],$F394,TblApplications[Action],"À décommissionner",TblApplications[Mois lib (calc)],"&lt;="&amp;$E394)))))</f>
        <v>48</v>
      </c>
      <c r="Y394" s="19">
        <f>IF($D394&lt;&gt;1,"",IF($G394="ROKS",$S394,IF($AI394=1,0,MAX($O394,$M394-SUMIFS(TblApplications[RAM IKS libérable (Go)],TblApplications[Cluster IKS source],$F394,TblApplications[Action],"À migrer",TblApplications[Mois prov (calc)],"&lt;="&amp;$E394)-SUMIFS(TblApplications[RAM IKS libérable (Go)],TblApplications[Cluster IKS source],$F394,TblApplications[Action],"À décommissionner",TblApplications[Mois lib (calc)],"&lt;="&amp;$E394)))))</f>
        <v>240</v>
      </c>
      <c r="Z394" s="19">
        <f t="shared" si="111"/>
        <v>6</v>
      </c>
      <c r="AA394" s="73">
        <f t="shared" si="112"/>
        <v>2208</v>
      </c>
      <c r="AB394" s="19">
        <f t="shared" si="113"/>
        <v>6</v>
      </c>
      <c r="AC394" s="73">
        <f t="shared" si="114"/>
        <v>2208</v>
      </c>
      <c r="AD394" s="19">
        <f t="shared" si="115"/>
        <v>0</v>
      </c>
      <c r="AE394" s="19">
        <f t="shared" si="116"/>
        <v>0</v>
      </c>
      <c r="AF394" s="19" t="str">
        <f>IF($D394&lt;&gt;1,"",IF(INDEX(TblClusters[Environnement],$B394)="","(vide)",INDEX(TblClusters[Environnement],$B394)))</f>
        <v>NPRD</v>
      </c>
      <c r="AG394" s="19">
        <f t="shared" si="117"/>
        <v>72</v>
      </c>
      <c r="AH394" s="19">
        <f t="shared" si="118"/>
        <v>30.666666666666668</v>
      </c>
      <c r="AI394" s="19">
        <f>IF($D394&lt;&gt;1,"",IF(AND($G394="IKS",ISNUMBER(INDEX(TblClusters[Fermeture retenue],$B394))),IF($E394&gt;=INDEX(TblClusters[Fermeture retenue],$B394),1,0),0))</f>
        <v>0</v>
      </c>
    </row>
    <row r="395" spans="1:35" x14ac:dyDescent="0.2">
      <c r="A395" s="19">
        <v>390</v>
      </c>
      <c r="B395" s="19">
        <f t="shared" si="102"/>
        <v>11</v>
      </c>
      <c r="C395" s="19">
        <f t="shared" si="103"/>
        <v>30</v>
      </c>
      <c r="D395" s="19">
        <f>IF($C395&gt;p_horizon,0,IFERROR(IF(AND(INDEX(TblClusters[Cluster],$B395)&lt;&gt;"",ISNUMBER(INDEX(TblClusters[CPU initial (vCPU)],$B395)),ISNUMBER(INDEX(TblClusters[CPU min (vCPU)],$B395)),OR(INDEX(TblClusters[Plateforme],$B395)="IKS",INDEX(TblClusters[Plateforme],$B395)="ROKS")),1,0),0))</f>
        <v>1</v>
      </c>
      <c r="E395" s="72">
        <f t="shared" si="104"/>
        <v>47178</v>
      </c>
      <c r="F395" s="19" t="str">
        <f>IF($D395=1,INDEX(TblClusters[Cluster],$B395),"")</f>
        <v>oc-EMEA-NPR</v>
      </c>
      <c r="G395" s="19" t="str">
        <f>IF($D395=1,INDEX(TblClusters[Plateforme],$B395),"")</f>
        <v>ROKS</v>
      </c>
      <c r="H395" s="19">
        <f>IF($D395=1,INDEX(TblClusters[vCPU par nœud],$B395),"")</f>
        <v>8</v>
      </c>
      <c r="I395" s="19">
        <f>IF($D395=1,INDEX(TblClusters[RAM par nœud (Go)],$B395),"")</f>
        <v>40</v>
      </c>
      <c r="J395" s="19">
        <f>IF($D395=1,INDEX(TblClusters[Workers min],$B395),"")</f>
        <v>6</v>
      </c>
      <c r="K395" s="73">
        <f>IF($D395=1,INDEX(TblClusters[Tarif par nœud],$B395),"")</f>
        <v>368</v>
      </c>
      <c r="L395" s="19">
        <f>IF($D395=1,INDEX(TblClusters[CPU initial (vCPU)],$B395),"")</f>
        <v>48</v>
      </c>
      <c r="M395" s="19">
        <f>IF($D395=1,INDEX(TblClusters[RAM initiale (Go)],$B395),"")</f>
        <v>240</v>
      </c>
      <c r="N395" s="19">
        <f>IF($D395=1,INDEX(TblClusters[CPU min (vCPU)],$B395),"")</f>
        <v>48</v>
      </c>
      <c r="O395" s="19">
        <f>IF($D395=1,INDEX(TblClusters[RAM min (Go)],$B395),"")</f>
        <v>240</v>
      </c>
      <c r="P395" s="19">
        <f>IF($D395&lt;&gt;1,"",IF($G395="ROKS",SUMIFS(TblApplications[Besoin ROKS CPU (vCPU)],TblApplications[Cluster ROKS cible],$F395,TblApplications[Action],"À migrer",TblApplications[Déjà incluse ROKS],"Non",TblApplications[Mois prov (calc)],"&lt;="&amp;$E395),SUMIFS(TblApplications[CPU IKS libérable (vCPU)],TblApplications[Cluster IKS source],$F395,TblApplications[Mois lib (calc)],"&lt;="&amp;$E395)))</f>
        <v>0</v>
      </c>
      <c r="Q395" s="19">
        <f>IF($D395&lt;&gt;1,"",IF($G395="ROKS",SUMIFS(TblApplications[Besoin ROKS RAM (Go)],TblApplications[Cluster ROKS cible],$F395,TblApplications[Action],"À migrer",TblApplications[Déjà incluse ROKS],"Non",TblApplications[Mois prov (calc)],"&lt;="&amp;$E395),SUMIFS(TblApplications[RAM IKS libérable (Go)],TblApplications[Cluster IKS source],$F395,TblApplications[Mois lib (calc)],"&lt;="&amp;$E395)))</f>
        <v>0</v>
      </c>
      <c r="R395" s="19">
        <f t="shared" si="105"/>
        <v>48</v>
      </c>
      <c r="S395" s="19">
        <f t="shared" si="106"/>
        <v>240</v>
      </c>
      <c r="T395" s="19">
        <f t="shared" si="107"/>
        <v>6</v>
      </c>
      <c r="U395" s="19">
        <f t="shared" si="108"/>
        <v>48</v>
      </c>
      <c r="V395" s="19">
        <f t="shared" si="109"/>
        <v>240</v>
      </c>
      <c r="W395" s="73">
        <f t="shared" si="110"/>
        <v>2208</v>
      </c>
      <c r="X395" s="19">
        <f>IF($D395&lt;&gt;1,"",IF($G395="ROKS",$R395,IF($AI395=1,0,MAX($N395,$L395-SUMIFS(TblApplications[CPU IKS libérable (vCPU)],TblApplications[Cluster IKS source],$F395,TblApplications[Action],"À migrer",TblApplications[Mois prov (calc)],"&lt;="&amp;$E395)-SUMIFS(TblApplications[CPU IKS libérable (vCPU)],TblApplications[Cluster IKS source],$F395,TblApplications[Action],"À décommissionner",TblApplications[Mois lib (calc)],"&lt;="&amp;$E395)))))</f>
        <v>48</v>
      </c>
      <c r="Y395" s="19">
        <f>IF($D395&lt;&gt;1,"",IF($G395="ROKS",$S395,IF($AI395=1,0,MAX($O395,$M395-SUMIFS(TblApplications[RAM IKS libérable (Go)],TblApplications[Cluster IKS source],$F395,TblApplications[Action],"À migrer",TblApplications[Mois prov (calc)],"&lt;="&amp;$E395)-SUMIFS(TblApplications[RAM IKS libérable (Go)],TblApplications[Cluster IKS source],$F395,TblApplications[Action],"À décommissionner",TblApplications[Mois lib (calc)],"&lt;="&amp;$E395)))))</f>
        <v>240</v>
      </c>
      <c r="Z395" s="19">
        <f t="shared" si="111"/>
        <v>6</v>
      </c>
      <c r="AA395" s="73">
        <f t="shared" si="112"/>
        <v>2208</v>
      </c>
      <c r="AB395" s="19">
        <f t="shared" si="113"/>
        <v>6</v>
      </c>
      <c r="AC395" s="73">
        <f t="shared" si="114"/>
        <v>2208</v>
      </c>
      <c r="AD395" s="19">
        <f t="shared" si="115"/>
        <v>0</v>
      </c>
      <c r="AE395" s="19">
        <f t="shared" si="116"/>
        <v>0</v>
      </c>
      <c r="AF395" s="19" t="str">
        <f>IF($D395&lt;&gt;1,"",IF(INDEX(TblClusters[Environnement],$B395)="","(vide)",INDEX(TblClusters[Environnement],$B395)))</f>
        <v>NPRD</v>
      </c>
      <c r="AG395" s="19">
        <f t="shared" si="117"/>
        <v>72</v>
      </c>
      <c r="AH395" s="19">
        <f t="shared" si="118"/>
        <v>30.666666666666668</v>
      </c>
      <c r="AI395" s="19">
        <f>IF($D395&lt;&gt;1,"",IF(AND($G395="IKS",ISNUMBER(INDEX(TblClusters[Fermeture retenue],$B395))),IF($E395&gt;=INDEX(TblClusters[Fermeture retenue],$B395),1,0),0))</f>
        <v>0</v>
      </c>
    </row>
    <row r="396" spans="1:35" x14ac:dyDescent="0.2">
      <c r="A396" s="19">
        <v>391</v>
      </c>
      <c r="B396" s="19">
        <f t="shared" si="102"/>
        <v>11</v>
      </c>
      <c r="C396" s="19">
        <f t="shared" si="103"/>
        <v>31</v>
      </c>
      <c r="D396" s="19">
        <f>IF($C396&gt;p_horizon,0,IFERROR(IF(AND(INDEX(TblClusters[Cluster],$B396)&lt;&gt;"",ISNUMBER(INDEX(TblClusters[CPU initial (vCPU)],$B396)),ISNUMBER(INDEX(TblClusters[CPU min (vCPU)],$B396)),OR(INDEX(TblClusters[Plateforme],$B396)="IKS",INDEX(TblClusters[Plateforme],$B396)="ROKS")),1,0),0))</f>
        <v>1</v>
      </c>
      <c r="E396" s="72">
        <f t="shared" si="104"/>
        <v>47209</v>
      </c>
      <c r="F396" s="19" t="str">
        <f>IF($D396=1,INDEX(TblClusters[Cluster],$B396),"")</f>
        <v>oc-EMEA-NPR</v>
      </c>
      <c r="G396" s="19" t="str">
        <f>IF($D396=1,INDEX(TblClusters[Plateforme],$B396),"")</f>
        <v>ROKS</v>
      </c>
      <c r="H396" s="19">
        <f>IF($D396=1,INDEX(TblClusters[vCPU par nœud],$B396),"")</f>
        <v>8</v>
      </c>
      <c r="I396" s="19">
        <f>IF($D396=1,INDEX(TblClusters[RAM par nœud (Go)],$B396),"")</f>
        <v>40</v>
      </c>
      <c r="J396" s="19">
        <f>IF($D396=1,INDEX(TblClusters[Workers min],$B396),"")</f>
        <v>6</v>
      </c>
      <c r="K396" s="73">
        <f>IF($D396=1,INDEX(TblClusters[Tarif par nœud],$B396),"")</f>
        <v>368</v>
      </c>
      <c r="L396" s="19">
        <f>IF($D396=1,INDEX(TblClusters[CPU initial (vCPU)],$B396),"")</f>
        <v>48</v>
      </c>
      <c r="M396" s="19">
        <f>IF($D396=1,INDEX(TblClusters[RAM initiale (Go)],$B396),"")</f>
        <v>240</v>
      </c>
      <c r="N396" s="19">
        <f>IF($D396=1,INDEX(TblClusters[CPU min (vCPU)],$B396),"")</f>
        <v>48</v>
      </c>
      <c r="O396" s="19">
        <f>IF($D396=1,INDEX(TblClusters[RAM min (Go)],$B396),"")</f>
        <v>240</v>
      </c>
      <c r="P396" s="19">
        <f>IF($D396&lt;&gt;1,"",IF($G396="ROKS",SUMIFS(TblApplications[Besoin ROKS CPU (vCPU)],TblApplications[Cluster ROKS cible],$F396,TblApplications[Action],"À migrer",TblApplications[Déjà incluse ROKS],"Non",TblApplications[Mois prov (calc)],"&lt;="&amp;$E396),SUMIFS(TblApplications[CPU IKS libérable (vCPU)],TblApplications[Cluster IKS source],$F396,TblApplications[Mois lib (calc)],"&lt;="&amp;$E396)))</f>
        <v>0</v>
      </c>
      <c r="Q396" s="19">
        <f>IF($D396&lt;&gt;1,"",IF($G396="ROKS",SUMIFS(TblApplications[Besoin ROKS RAM (Go)],TblApplications[Cluster ROKS cible],$F396,TblApplications[Action],"À migrer",TblApplications[Déjà incluse ROKS],"Non",TblApplications[Mois prov (calc)],"&lt;="&amp;$E396),SUMIFS(TblApplications[RAM IKS libérable (Go)],TblApplications[Cluster IKS source],$F396,TblApplications[Mois lib (calc)],"&lt;="&amp;$E396)))</f>
        <v>0</v>
      </c>
      <c r="R396" s="19">
        <f t="shared" si="105"/>
        <v>48</v>
      </c>
      <c r="S396" s="19">
        <f t="shared" si="106"/>
        <v>240</v>
      </c>
      <c r="T396" s="19">
        <f t="shared" si="107"/>
        <v>6</v>
      </c>
      <c r="U396" s="19">
        <f t="shared" si="108"/>
        <v>48</v>
      </c>
      <c r="V396" s="19">
        <f t="shared" si="109"/>
        <v>240</v>
      </c>
      <c r="W396" s="73">
        <f t="shared" si="110"/>
        <v>2208</v>
      </c>
      <c r="X396" s="19">
        <f>IF($D396&lt;&gt;1,"",IF($G396="ROKS",$R396,IF($AI396=1,0,MAX($N396,$L396-SUMIFS(TblApplications[CPU IKS libérable (vCPU)],TblApplications[Cluster IKS source],$F396,TblApplications[Action],"À migrer",TblApplications[Mois prov (calc)],"&lt;="&amp;$E396)-SUMIFS(TblApplications[CPU IKS libérable (vCPU)],TblApplications[Cluster IKS source],$F396,TblApplications[Action],"À décommissionner",TblApplications[Mois lib (calc)],"&lt;="&amp;$E396)))))</f>
        <v>48</v>
      </c>
      <c r="Y396" s="19">
        <f>IF($D396&lt;&gt;1,"",IF($G396="ROKS",$S396,IF($AI396=1,0,MAX($O396,$M396-SUMIFS(TblApplications[RAM IKS libérable (Go)],TblApplications[Cluster IKS source],$F396,TblApplications[Action],"À migrer",TblApplications[Mois prov (calc)],"&lt;="&amp;$E396)-SUMIFS(TblApplications[RAM IKS libérable (Go)],TblApplications[Cluster IKS source],$F396,TblApplications[Action],"À décommissionner",TblApplications[Mois lib (calc)],"&lt;="&amp;$E396)))))</f>
        <v>240</v>
      </c>
      <c r="Z396" s="19">
        <f t="shared" si="111"/>
        <v>6</v>
      </c>
      <c r="AA396" s="73">
        <f t="shared" si="112"/>
        <v>2208</v>
      </c>
      <c r="AB396" s="19">
        <f t="shared" si="113"/>
        <v>6</v>
      </c>
      <c r="AC396" s="73">
        <f t="shared" si="114"/>
        <v>2208</v>
      </c>
      <c r="AD396" s="19">
        <f t="shared" si="115"/>
        <v>0</v>
      </c>
      <c r="AE396" s="19">
        <f t="shared" si="116"/>
        <v>0</v>
      </c>
      <c r="AF396" s="19" t="str">
        <f>IF($D396&lt;&gt;1,"",IF(INDEX(TblClusters[Environnement],$B396)="","(vide)",INDEX(TblClusters[Environnement],$B396)))</f>
        <v>NPRD</v>
      </c>
      <c r="AG396" s="19">
        <f t="shared" si="117"/>
        <v>72</v>
      </c>
      <c r="AH396" s="19">
        <f t="shared" si="118"/>
        <v>30.666666666666668</v>
      </c>
      <c r="AI396" s="19">
        <f>IF($D396&lt;&gt;1,"",IF(AND($G396="IKS",ISNUMBER(INDEX(TblClusters[Fermeture retenue],$B396))),IF($E396&gt;=INDEX(TblClusters[Fermeture retenue],$B396),1,0),0))</f>
        <v>0</v>
      </c>
    </row>
    <row r="397" spans="1:35" x14ac:dyDescent="0.2">
      <c r="A397" s="19">
        <v>392</v>
      </c>
      <c r="B397" s="19">
        <f t="shared" si="102"/>
        <v>11</v>
      </c>
      <c r="C397" s="19">
        <f t="shared" si="103"/>
        <v>32</v>
      </c>
      <c r="D397" s="19">
        <f>IF($C397&gt;p_horizon,0,IFERROR(IF(AND(INDEX(TblClusters[Cluster],$B397)&lt;&gt;"",ISNUMBER(INDEX(TblClusters[CPU initial (vCPU)],$B397)),ISNUMBER(INDEX(TblClusters[CPU min (vCPU)],$B397)),OR(INDEX(TblClusters[Plateforme],$B397)="IKS",INDEX(TblClusters[Plateforme],$B397)="ROKS")),1,0),0))</f>
        <v>1</v>
      </c>
      <c r="E397" s="72">
        <f t="shared" si="104"/>
        <v>47239</v>
      </c>
      <c r="F397" s="19" t="str">
        <f>IF($D397=1,INDEX(TblClusters[Cluster],$B397),"")</f>
        <v>oc-EMEA-NPR</v>
      </c>
      <c r="G397" s="19" t="str">
        <f>IF($D397=1,INDEX(TblClusters[Plateforme],$B397),"")</f>
        <v>ROKS</v>
      </c>
      <c r="H397" s="19">
        <f>IF($D397=1,INDEX(TblClusters[vCPU par nœud],$B397),"")</f>
        <v>8</v>
      </c>
      <c r="I397" s="19">
        <f>IF($D397=1,INDEX(TblClusters[RAM par nœud (Go)],$B397),"")</f>
        <v>40</v>
      </c>
      <c r="J397" s="19">
        <f>IF($D397=1,INDEX(TblClusters[Workers min],$B397),"")</f>
        <v>6</v>
      </c>
      <c r="K397" s="73">
        <f>IF($D397=1,INDEX(TblClusters[Tarif par nœud],$B397),"")</f>
        <v>368</v>
      </c>
      <c r="L397" s="19">
        <f>IF($D397=1,INDEX(TblClusters[CPU initial (vCPU)],$B397),"")</f>
        <v>48</v>
      </c>
      <c r="M397" s="19">
        <f>IF($D397=1,INDEX(TblClusters[RAM initiale (Go)],$B397),"")</f>
        <v>240</v>
      </c>
      <c r="N397" s="19">
        <f>IF($D397=1,INDEX(TblClusters[CPU min (vCPU)],$B397),"")</f>
        <v>48</v>
      </c>
      <c r="O397" s="19">
        <f>IF($D397=1,INDEX(TblClusters[RAM min (Go)],$B397),"")</f>
        <v>240</v>
      </c>
      <c r="P397" s="19">
        <f>IF($D397&lt;&gt;1,"",IF($G397="ROKS",SUMIFS(TblApplications[Besoin ROKS CPU (vCPU)],TblApplications[Cluster ROKS cible],$F397,TblApplications[Action],"À migrer",TblApplications[Déjà incluse ROKS],"Non",TblApplications[Mois prov (calc)],"&lt;="&amp;$E397),SUMIFS(TblApplications[CPU IKS libérable (vCPU)],TblApplications[Cluster IKS source],$F397,TblApplications[Mois lib (calc)],"&lt;="&amp;$E397)))</f>
        <v>0</v>
      </c>
      <c r="Q397" s="19">
        <f>IF($D397&lt;&gt;1,"",IF($G397="ROKS",SUMIFS(TblApplications[Besoin ROKS RAM (Go)],TblApplications[Cluster ROKS cible],$F397,TblApplications[Action],"À migrer",TblApplications[Déjà incluse ROKS],"Non",TblApplications[Mois prov (calc)],"&lt;="&amp;$E397),SUMIFS(TblApplications[RAM IKS libérable (Go)],TblApplications[Cluster IKS source],$F397,TblApplications[Mois lib (calc)],"&lt;="&amp;$E397)))</f>
        <v>0</v>
      </c>
      <c r="R397" s="19">
        <f t="shared" si="105"/>
        <v>48</v>
      </c>
      <c r="S397" s="19">
        <f t="shared" si="106"/>
        <v>240</v>
      </c>
      <c r="T397" s="19">
        <f t="shared" si="107"/>
        <v>6</v>
      </c>
      <c r="U397" s="19">
        <f t="shared" si="108"/>
        <v>48</v>
      </c>
      <c r="V397" s="19">
        <f t="shared" si="109"/>
        <v>240</v>
      </c>
      <c r="W397" s="73">
        <f t="shared" si="110"/>
        <v>2208</v>
      </c>
      <c r="X397" s="19">
        <f>IF($D397&lt;&gt;1,"",IF($G397="ROKS",$R397,IF($AI397=1,0,MAX($N397,$L397-SUMIFS(TblApplications[CPU IKS libérable (vCPU)],TblApplications[Cluster IKS source],$F397,TblApplications[Action],"À migrer",TblApplications[Mois prov (calc)],"&lt;="&amp;$E397)-SUMIFS(TblApplications[CPU IKS libérable (vCPU)],TblApplications[Cluster IKS source],$F397,TblApplications[Action],"À décommissionner",TblApplications[Mois lib (calc)],"&lt;="&amp;$E397)))))</f>
        <v>48</v>
      </c>
      <c r="Y397" s="19">
        <f>IF($D397&lt;&gt;1,"",IF($G397="ROKS",$S397,IF($AI397=1,0,MAX($O397,$M397-SUMIFS(TblApplications[RAM IKS libérable (Go)],TblApplications[Cluster IKS source],$F397,TblApplications[Action],"À migrer",TblApplications[Mois prov (calc)],"&lt;="&amp;$E397)-SUMIFS(TblApplications[RAM IKS libérable (Go)],TblApplications[Cluster IKS source],$F397,TblApplications[Action],"À décommissionner",TblApplications[Mois lib (calc)],"&lt;="&amp;$E397)))))</f>
        <v>240</v>
      </c>
      <c r="Z397" s="19">
        <f t="shared" si="111"/>
        <v>6</v>
      </c>
      <c r="AA397" s="73">
        <f t="shared" si="112"/>
        <v>2208</v>
      </c>
      <c r="AB397" s="19">
        <f t="shared" si="113"/>
        <v>6</v>
      </c>
      <c r="AC397" s="73">
        <f t="shared" si="114"/>
        <v>2208</v>
      </c>
      <c r="AD397" s="19">
        <f t="shared" si="115"/>
        <v>0</v>
      </c>
      <c r="AE397" s="19">
        <f t="shared" si="116"/>
        <v>0</v>
      </c>
      <c r="AF397" s="19" t="str">
        <f>IF($D397&lt;&gt;1,"",IF(INDEX(TblClusters[Environnement],$B397)="","(vide)",INDEX(TblClusters[Environnement],$B397)))</f>
        <v>NPRD</v>
      </c>
      <c r="AG397" s="19">
        <f t="shared" si="117"/>
        <v>72</v>
      </c>
      <c r="AH397" s="19">
        <f t="shared" si="118"/>
        <v>30.666666666666668</v>
      </c>
      <c r="AI397" s="19">
        <f>IF($D397&lt;&gt;1,"",IF(AND($G397="IKS",ISNUMBER(INDEX(TblClusters[Fermeture retenue],$B397))),IF($E397&gt;=INDEX(TblClusters[Fermeture retenue],$B397),1,0),0))</f>
        <v>0</v>
      </c>
    </row>
    <row r="398" spans="1:35" x14ac:dyDescent="0.2">
      <c r="A398" s="19">
        <v>393</v>
      </c>
      <c r="B398" s="19">
        <f t="shared" si="102"/>
        <v>11</v>
      </c>
      <c r="C398" s="19">
        <f t="shared" si="103"/>
        <v>33</v>
      </c>
      <c r="D398" s="19">
        <f>IF($C398&gt;p_horizon,0,IFERROR(IF(AND(INDEX(TblClusters[Cluster],$B398)&lt;&gt;"",ISNUMBER(INDEX(TblClusters[CPU initial (vCPU)],$B398)),ISNUMBER(INDEX(TblClusters[CPU min (vCPU)],$B398)),OR(INDEX(TblClusters[Plateforme],$B398)="IKS",INDEX(TblClusters[Plateforme],$B398)="ROKS")),1,0),0))</f>
        <v>1</v>
      </c>
      <c r="E398" s="72">
        <f t="shared" si="104"/>
        <v>47270</v>
      </c>
      <c r="F398" s="19" t="str">
        <f>IF($D398=1,INDEX(TblClusters[Cluster],$B398),"")</f>
        <v>oc-EMEA-NPR</v>
      </c>
      <c r="G398" s="19" t="str">
        <f>IF($D398=1,INDEX(TblClusters[Plateforme],$B398),"")</f>
        <v>ROKS</v>
      </c>
      <c r="H398" s="19">
        <f>IF($D398=1,INDEX(TblClusters[vCPU par nœud],$B398),"")</f>
        <v>8</v>
      </c>
      <c r="I398" s="19">
        <f>IF($D398=1,INDEX(TblClusters[RAM par nœud (Go)],$B398),"")</f>
        <v>40</v>
      </c>
      <c r="J398" s="19">
        <f>IF($D398=1,INDEX(TblClusters[Workers min],$B398),"")</f>
        <v>6</v>
      </c>
      <c r="K398" s="73">
        <f>IF($D398=1,INDEX(TblClusters[Tarif par nœud],$B398),"")</f>
        <v>368</v>
      </c>
      <c r="L398" s="19">
        <f>IF($D398=1,INDEX(TblClusters[CPU initial (vCPU)],$B398),"")</f>
        <v>48</v>
      </c>
      <c r="M398" s="19">
        <f>IF($D398=1,INDEX(TblClusters[RAM initiale (Go)],$B398),"")</f>
        <v>240</v>
      </c>
      <c r="N398" s="19">
        <f>IF($D398=1,INDEX(TblClusters[CPU min (vCPU)],$B398),"")</f>
        <v>48</v>
      </c>
      <c r="O398" s="19">
        <f>IF($D398=1,INDEX(TblClusters[RAM min (Go)],$B398),"")</f>
        <v>240</v>
      </c>
      <c r="P398" s="19">
        <f>IF($D398&lt;&gt;1,"",IF($G398="ROKS",SUMIFS(TblApplications[Besoin ROKS CPU (vCPU)],TblApplications[Cluster ROKS cible],$F398,TblApplications[Action],"À migrer",TblApplications[Déjà incluse ROKS],"Non",TblApplications[Mois prov (calc)],"&lt;="&amp;$E398),SUMIFS(TblApplications[CPU IKS libérable (vCPU)],TblApplications[Cluster IKS source],$F398,TblApplications[Mois lib (calc)],"&lt;="&amp;$E398)))</f>
        <v>0</v>
      </c>
      <c r="Q398" s="19">
        <f>IF($D398&lt;&gt;1,"",IF($G398="ROKS",SUMIFS(TblApplications[Besoin ROKS RAM (Go)],TblApplications[Cluster ROKS cible],$F398,TblApplications[Action],"À migrer",TblApplications[Déjà incluse ROKS],"Non",TblApplications[Mois prov (calc)],"&lt;="&amp;$E398),SUMIFS(TblApplications[RAM IKS libérable (Go)],TblApplications[Cluster IKS source],$F398,TblApplications[Mois lib (calc)],"&lt;="&amp;$E398)))</f>
        <v>0</v>
      </c>
      <c r="R398" s="19">
        <f t="shared" si="105"/>
        <v>48</v>
      </c>
      <c r="S398" s="19">
        <f t="shared" si="106"/>
        <v>240</v>
      </c>
      <c r="T398" s="19">
        <f t="shared" si="107"/>
        <v>6</v>
      </c>
      <c r="U398" s="19">
        <f t="shared" si="108"/>
        <v>48</v>
      </c>
      <c r="V398" s="19">
        <f t="shared" si="109"/>
        <v>240</v>
      </c>
      <c r="W398" s="73">
        <f t="shared" si="110"/>
        <v>2208</v>
      </c>
      <c r="X398" s="19">
        <f>IF($D398&lt;&gt;1,"",IF($G398="ROKS",$R398,IF($AI398=1,0,MAX($N398,$L398-SUMIFS(TblApplications[CPU IKS libérable (vCPU)],TblApplications[Cluster IKS source],$F398,TblApplications[Action],"À migrer",TblApplications[Mois prov (calc)],"&lt;="&amp;$E398)-SUMIFS(TblApplications[CPU IKS libérable (vCPU)],TblApplications[Cluster IKS source],$F398,TblApplications[Action],"À décommissionner",TblApplications[Mois lib (calc)],"&lt;="&amp;$E398)))))</f>
        <v>48</v>
      </c>
      <c r="Y398" s="19">
        <f>IF($D398&lt;&gt;1,"",IF($G398="ROKS",$S398,IF($AI398=1,0,MAX($O398,$M398-SUMIFS(TblApplications[RAM IKS libérable (Go)],TblApplications[Cluster IKS source],$F398,TblApplications[Action],"À migrer",TblApplications[Mois prov (calc)],"&lt;="&amp;$E398)-SUMIFS(TblApplications[RAM IKS libérable (Go)],TblApplications[Cluster IKS source],$F398,TblApplications[Action],"À décommissionner",TblApplications[Mois lib (calc)],"&lt;="&amp;$E398)))))</f>
        <v>240</v>
      </c>
      <c r="Z398" s="19">
        <f t="shared" si="111"/>
        <v>6</v>
      </c>
      <c r="AA398" s="73">
        <f t="shared" si="112"/>
        <v>2208</v>
      </c>
      <c r="AB398" s="19">
        <f t="shared" si="113"/>
        <v>6</v>
      </c>
      <c r="AC398" s="73">
        <f t="shared" si="114"/>
        <v>2208</v>
      </c>
      <c r="AD398" s="19">
        <f t="shared" si="115"/>
        <v>0</v>
      </c>
      <c r="AE398" s="19">
        <f t="shared" si="116"/>
        <v>0</v>
      </c>
      <c r="AF398" s="19" t="str">
        <f>IF($D398&lt;&gt;1,"",IF(INDEX(TblClusters[Environnement],$B398)="","(vide)",INDEX(TblClusters[Environnement],$B398)))</f>
        <v>NPRD</v>
      </c>
      <c r="AG398" s="19">
        <f t="shared" si="117"/>
        <v>72</v>
      </c>
      <c r="AH398" s="19">
        <f t="shared" si="118"/>
        <v>30.666666666666668</v>
      </c>
      <c r="AI398" s="19">
        <f>IF($D398&lt;&gt;1,"",IF(AND($G398="IKS",ISNUMBER(INDEX(TblClusters[Fermeture retenue],$B398))),IF($E398&gt;=INDEX(TblClusters[Fermeture retenue],$B398),1,0),0))</f>
        <v>0</v>
      </c>
    </row>
    <row r="399" spans="1:35" x14ac:dyDescent="0.2">
      <c r="A399" s="19">
        <v>394</v>
      </c>
      <c r="B399" s="19">
        <f t="shared" si="102"/>
        <v>11</v>
      </c>
      <c r="C399" s="19">
        <f t="shared" si="103"/>
        <v>34</v>
      </c>
      <c r="D399" s="19">
        <f>IF($C399&gt;p_horizon,0,IFERROR(IF(AND(INDEX(TblClusters[Cluster],$B399)&lt;&gt;"",ISNUMBER(INDEX(TblClusters[CPU initial (vCPU)],$B399)),ISNUMBER(INDEX(TblClusters[CPU min (vCPU)],$B399)),OR(INDEX(TblClusters[Plateforme],$B399)="IKS",INDEX(TblClusters[Plateforme],$B399)="ROKS")),1,0),0))</f>
        <v>1</v>
      </c>
      <c r="E399" s="72">
        <f t="shared" si="104"/>
        <v>47300</v>
      </c>
      <c r="F399" s="19" t="str">
        <f>IF($D399=1,INDEX(TblClusters[Cluster],$B399),"")</f>
        <v>oc-EMEA-NPR</v>
      </c>
      <c r="G399" s="19" t="str">
        <f>IF($D399=1,INDEX(TblClusters[Plateforme],$B399),"")</f>
        <v>ROKS</v>
      </c>
      <c r="H399" s="19">
        <f>IF($D399=1,INDEX(TblClusters[vCPU par nœud],$B399),"")</f>
        <v>8</v>
      </c>
      <c r="I399" s="19">
        <f>IF($D399=1,INDEX(TblClusters[RAM par nœud (Go)],$B399),"")</f>
        <v>40</v>
      </c>
      <c r="J399" s="19">
        <f>IF($D399=1,INDEX(TblClusters[Workers min],$B399),"")</f>
        <v>6</v>
      </c>
      <c r="K399" s="73">
        <f>IF($D399=1,INDEX(TblClusters[Tarif par nœud],$B399),"")</f>
        <v>368</v>
      </c>
      <c r="L399" s="19">
        <f>IF($D399=1,INDEX(TblClusters[CPU initial (vCPU)],$B399),"")</f>
        <v>48</v>
      </c>
      <c r="M399" s="19">
        <f>IF($D399=1,INDEX(TblClusters[RAM initiale (Go)],$B399),"")</f>
        <v>240</v>
      </c>
      <c r="N399" s="19">
        <f>IF($D399=1,INDEX(TblClusters[CPU min (vCPU)],$B399),"")</f>
        <v>48</v>
      </c>
      <c r="O399" s="19">
        <f>IF($D399=1,INDEX(TblClusters[RAM min (Go)],$B399),"")</f>
        <v>240</v>
      </c>
      <c r="P399" s="19">
        <f>IF($D399&lt;&gt;1,"",IF($G399="ROKS",SUMIFS(TblApplications[Besoin ROKS CPU (vCPU)],TblApplications[Cluster ROKS cible],$F399,TblApplications[Action],"À migrer",TblApplications[Déjà incluse ROKS],"Non",TblApplications[Mois prov (calc)],"&lt;="&amp;$E399),SUMIFS(TblApplications[CPU IKS libérable (vCPU)],TblApplications[Cluster IKS source],$F399,TblApplications[Mois lib (calc)],"&lt;="&amp;$E399)))</f>
        <v>0</v>
      </c>
      <c r="Q399" s="19">
        <f>IF($D399&lt;&gt;1,"",IF($G399="ROKS",SUMIFS(TblApplications[Besoin ROKS RAM (Go)],TblApplications[Cluster ROKS cible],$F399,TblApplications[Action],"À migrer",TblApplications[Déjà incluse ROKS],"Non",TblApplications[Mois prov (calc)],"&lt;="&amp;$E399),SUMIFS(TblApplications[RAM IKS libérable (Go)],TblApplications[Cluster IKS source],$F399,TblApplications[Mois lib (calc)],"&lt;="&amp;$E399)))</f>
        <v>0</v>
      </c>
      <c r="R399" s="19">
        <f t="shared" si="105"/>
        <v>48</v>
      </c>
      <c r="S399" s="19">
        <f t="shared" si="106"/>
        <v>240</v>
      </c>
      <c r="T399" s="19">
        <f t="shared" si="107"/>
        <v>6</v>
      </c>
      <c r="U399" s="19">
        <f t="shared" si="108"/>
        <v>48</v>
      </c>
      <c r="V399" s="19">
        <f t="shared" si="109"/>
        <v>240</v>
      </c>
      <c r="W399" s="73">
        <f t="shared" si="110"/>
        <v>2208</v>
      </c>
      <c r="X399" s="19">
        <f>IF($D399&lt;&gt;1,"",IF($G399="ROKS",$R399,IF($AI399=1,0,MAX($N399,$L399-SUMIFS(TblApplications[CPU IKS libérable (vCPU)],TblApplications[Cluster IKS source],$F399,TblApplications[Action],"À migrer",TblApplications[Mois prov (calc)],"&lt;="&amp;$E399)-SUMIFS(TblApplications[CPU IKS libérable (vCPU)],TblApplications[Cluster IKS source],$F399,TblApplications[Action],"À décommissionner",TblApplications[Mois lib (calc)],"&lt;="&amp;$E399)))))</f>
        <v>48</v>
      </c>
      <c r="Y399" s="19">
        <f>IF($D399&lt;&gt;1,"",IF($G399="ROKS",$S399,IF($AI399=1,0,MAX($O399,$M399-SUMIFS(TblApplications[RAM IKS libérable (Go)],TblApplications[Cluster IKS source],$F399,TblApplications[Action],"À migrer",TblApplications[Mois prov (calc)],"&lt;="&amp;$E399)-SUMIFS(TblApplications[RAM IKS libérable (Go)],TblApplications[Cluster IKS source],$F399,TblApplications[Action],"À décommissionner",TblApplications[Mois lib (calc)],"&lt;="&amp;$E399)))))</f>
        <v>240</v>
      </c>
      <c r="Z399" s="19">
        <f t="shared" si="111"/>
        <v>6</v>
      </c>
      <c r="AA399" s="73">
        <f t="shared" si="112"/>
        <v>2208</v>
      </c>
      <c r="AB399" s="19">
        <f t="shared" si="113"/>
        <v>6</v>
      </c>
      <c r="AC399" s="73">
        <f t="shared" si="114"/>
        <v>2208</v>
      </c>
      <c r="AD399" s="19">
        <f t="shared" si="115"/>
        <v>0</v>
      </c>
      <c r="AE399" s="19">
        <f t="shared" si="116"/>
        <v>0</v>
      </c>
      <c r="AF399" s="19" t="str">
        <f>IF($D399&lt;&gt;1,"",IF(INDEX(TblClusters[Environnement],$B399)="","(vide)",INDEX(TblClusters[Environnement],$B399)))</f>
        <v>NPRD</v>
      </c>
      <c r="AG399" s="19">
        <f t="shared" si="117"/>
        <v>72</v>
      </c>
      <c r="AH399" s="19">
        <f t="shared" si="118"/>
        <v>30.666666666666668</v>
      </c>
      <c r="AI399" s="19">
        <f>IF($D399&lt;&gt;1,"",IF(AND($G399="IKS",ISNUMBER(INDEX(TblClusters[Fermeture retenue],$B399))),IF($E399&gt;=INDEX(TblClusters[Fermeture retenue],$B399),1,0),0))</f>
        <v>0</v>
      </c>
    </row>
    <row r="400" spans="1:35" x14ac:dyDescent="0.2">
      <c r="A400" s="19">
        <v>395</v>
      </c>
      <c r="B400" s="19">
        <f t="shared" si="102"/>
        <v>11</v>
      </c>
      <c r="C400" s="19">
        <f t="shared" si="103"/>
        <v>35</v>
      </c>
      <c r="D400" s="19">
        <f>IF($C400&gt;p_horizon,0,IFERROR(IF(AND(INDEX(TblClusters[Cluster],$B400)&lt;&gt;"",ISNUMBER(INDEX(TblClusters[CPU initial (vCPU)],$B400)),ISNUMBER(INDEX(TblClusters[CPU min (vCPU)],$B400)),OR(INDEX(TblClusters[Plateforme],$B400)="IKS",INDEX(TblClusters[Plateforme],$B400)="ROKS")),1,0),0))</f>
        <v>1</v>
      </c>
      <c r="E400" s="72">
        <f t="shared" si="104"/>
        <v>47331</v>
      </c>
      <c r="F400" s="19" t="str">
        <f>IF($D400=1,INDEX(TblClusters[Cluster],$B400),"")</f>
        <v>oc-EMEA-NPR</v>
      </c>
      <c r="G400" s="19" t="str">
        <f>IF($D400=1,INDEX(TblClusters[Plateforme],$B400),"")</f>
        <v>ROKS</v>
      </c>
      <c r="H400" s="19">
        <f>IF($D400=1,INDEX(TblClusters[vCPU par nœud],$B400),"")</f>
        <v>8</v>
      </c>
      <c r="I400" s="19">
        <f>IF($D400=1,INDEX(TblClusters[RAM par nœud (Go)],$B400),"")</f>
        <v>40</v>
      </c>
      <c r="J400" s="19">
        <f>IF($D400=1,INDEX(TblClusters[Workers min],$B400),"")</f>
        <v>6</v>
      </c>
      <c r="K400" s="73">
        <f>IF($D400=1,INDEX(TblClusters[Tarif par nœud],$B400),"")</f>
        <v>368</v>
      </c>
      <c r="L400" s="19">
        <f>IF($D400=1,INDEX(TblClusters[CPU initial (vCPU)],$B400),"")</f>
        <v>48</v>
      </c>
      <c r="M400" s="19">
        <f>IF($D400=1,INDEX(TblClusters[RAM initiale (Go)],$B400),"")</f>
        <v>240</v>
      </c>
      <c r="N400" s="19">
        <f>IF($D400=1,INDEX(TblClusters[CPU min (vCPU)],$B400),"")</f>
        <v>48</v>
      </c>
      <c r="O400" s="19">
        <f>IF($D400=1,INDEX(TblClusters[RAM min (Go)],$B400),"")</f>
        <v>240</v>
      </c>
      <c r="P400" s="19">
        <f>IF($D400&lt;&gt;1,"",IF($G400="ROKS",SUMIFS(TblApplications[Besoin ROKS CPU (vCPU)],TblApplications[Cluster ROKS cible],$F400,TblApplications[Action],"À migrer",TblApplications[Déjà incluse ROKS],"Non",TblApplications[Mois prov (calc)],"&lt;="&amp;$E400),SUMIFS(TblApplications[CPU IKS libérable (vCPU)],TblApplications[Cluster IKS source],$F400,TblApplications[Mois lib (calc)],"&lt;="&amp;$E400)))</f>
        <v>0</v>
      </c>
      <c r="Q400" s="19">
        <f>IF($D400&lt;&gt;1,"",IF($G400="ROKS",SUMIFS(TblApplications[Besoin ROKS RAM (Go)],TblApplications[Cluster ROKS cible],$F400,TblApplications[Action],"À migrer",TblApplications[Déjà incluse ROKS],"Non",TblApplications[Mois prov (calc)],"&lt;="&amp;$E400),SUMIFS(TblApplications[RAM IKS libérable (Go)],TblApplications[Cluster IKS source],$F400,TblApplications[Mois lib (calc)],"&lt;="&amp;$E400)))</f>
        <v>0</v>
      </c>
      <c r="R400" s="19">
        <f t="shared" si="105"/>
        <v>48</v>
      </c>
      <c r="S400" s="19">
        <f t="shared" si="106"/>
        <v>240</v>
      </c>
      <c r="T400" s="19">
        <f t="shared" si="107"/>
        <v>6</v>
      </c>
      <c r="U400" s="19">
        <f t="shared" si="108"/>
        <v>48</v>
      </c>
      <c r="V400" s="19">
        <f t="shared" si="109"/>
        <v>240</v>
      </c>
      <c r="W400" s="73">
        <f t="shared" si="110"/>
        <v>2208</v>
      </c>
      <c r="X400" s="19">
        <f>IF($D400&lt;&gt;1,"",IF($G400="ROKS",$R400,IF($AI400=1,0,MAX($N400,$L400-SUMIFS(TblApplications[CPU IKS libérable (vCPU)],TblApplications[Cluster IKS source],$F400,TblApplications[Action],"À migrer",TblApplications[Mois prov (calc)],"&lt;="&amp;$E400)-SUMIFS(TblApplications[CPU IKS libérable (vCPU)],TblApplications[Cluster IKS source],$F400,TblApplications[Action],"À décommissionner",TblApplications[Mois lib (calc)],"&lt;="&amp;$E400)))))</f>
        <v>48</v>
      </c>
      <c r="Y400" s="19">
        <f>IF($D400&lt;&gt;1,"",IF($G400="ROKS",$S400,IF($AI400=1,0,MAX($O400,$M400-SUMIFS(TblApplications[RAM IKS libérable (Go)],TblApplications[Cluster IKS source],$F400,TblApplications[Action],"À migrer",TblApplications[Mois prov (calc)],"&lt;="&amp;$E400)-SUMIFS(TblApplications[RAM IKS libérable (Go)],TblApplications[Cluster IKS source],$F400,TblApplications[Action],"À décommissionner",TblApplications[Mois lib (calc)],"&lt;="&amp;$E400)))))</f>
        <v>240</v>
      </c>
      <c r="Z400" s="19">
        <f t="shared" si="111"/>
        <v>6</v>
      </c>
      <c r="AA400" s="73">
        <f t="shared" si="112"/>
        <v>2208</v>
      </c>
      <c r="AB400" s="19">
        <f t="shared" si="113"/>
        <v>6</v>
      </c>
      <c r="AC400" s="73">
        <f t="shared" si="114"/>
        <v>2208</v>
      </c>
      <c r="AD400" s="19">
        <f t="shared" si="115"/>
        <v>0</v>
      </c>
      <c r="AE400" s="19">
        <f t="shared" si="116"/>
        <v>0</v>
      </c>
      <c r="AF400" s="19" t="str">
        <f>IF($D400&lt;&gt;1,"",IF(INDEX(TblClusters[Environnement],$B400)="","(vide)",INDEX(TblClusters[Environnement],$B400)))</f>
        <v>NPRD</v>
      </c>
      <c r="AG400" s="19">
        <f t="shared" si="117"/>
        <v>72</v>
      </c>
      <c r="AH400" s="19">
        <f t="shared" si="118"/>
        <v>30.666666666666668</v>
      </c>
      <c r="AI400" s="19">
        <f>IF($D400&lt;&gt;1,"",IF(AND($G400="IKS",ISNUMBER(INDEX(TblClusters[Fermeture retenue],$B400))),IF($E400&gt;=INDEX(TblClusters[Fermeture retenue],$B400),1,0),0))</f>
        <v>0</v>
      </c>
    </row>
    <row r="401" spans="1:35" x14ac:dyDescent="0.2">
      <c r="A401" s="19">
        <v>396</v>
      </c>
      <c r="B401" s="19">
        <f t="shared" si="102"/>
        <v>11</v>
      </c>
      <c r="C401" s="19">
        <f t="shared" si="103"/>
        <v>36</v>
      </c>
      <c r="D401" s="19">
        <f>IF($C401&gt;p_horizon,0,IFERROR(IF(AND(INDEX(TblClusters[Cluster],$B401)&lt;&gt;"",ISNUMBER(INDEX(TblClusters[CPU initial (vCPU)],$B401)),ISNUMBER(INDEX(TblClusters[CPU min (vCPU)],$B401)),OR(INDEX(TblClusters[Plateforme],$B401)="IKS",INDEX(TblClusters[Plateforme],$B401)="ROKS")),1,0),0))</f>
        <v>1</v>
      </c>
      <c r="E401" s="72">
        <f t="shared" si="104"/>
        <v>47362</v>
      </c>
      <c r="F401" s="19" t="str">
        <f>IF($D401=1,INDEX(TblClusters[Cluster],$B401),"")</f>
        <v>oc-EMEA-NPR</v>
      </c>
      <c r="G401" s="19" t="str">
        <f>IF($D401=1,INDEX(TblClusters[Plateforme],$B401),"")</f>
        <v>ROKS</v>
      </c>
      <c r="H401" s="19">
        <f>IF($D401=1,INDEX(TblClusters[vCPU par nœud],$B401),"")</f>
        <v>8</v>
      </c>
      <c r="I401" s="19">
        <f>IF($D401=1,INDEX(TblClusters[RAM par nœud (Go)],$B401),"")</f>
        <v>40</v>
      </c>
      <c r="J401" s="19">
        <f>IF($D401=1,INDEX(TblClusters[Workers min],$B401),"")</f>
        <v>6</v>
      </c>
      <c r="K401" s="73">
        <f>IF($D401=1,INDEX(TblClusters[Tarif par nœud],$B401),"")</f>
        <v>368</v>
      </c>
      <c r="L401" s="19">
        <f>IF($D401=1,INDEX(TblClusters[CPU initial (vCPU)],$B401),"")</f>
        <v>48</v>
      </c>
      <c r="M401" s="19">
        <f>IF($D401=1,INDEX(TblClusters[RAM initiale (Go)],$B401),"")</f>
        <v>240</v>
      </c>
      <c r="N401" s="19">
        <f>IF($D401=1,INDEX(TblClusters[CPU min (vCPU)],$B401),"")</f>
        <v>48</v>
      </c>
      <c r="O401" s="19">
        <f>IF($D401=1,INDEX(TblClusters[RAM min (Go)],$B401),"")</f>
        <v>240</v>
      </c>
      <c r="P401" s="19">
        <f>IF($D401&lt;&gt;1,"",IF($G401="ROKS",SUMIFS(TblApplications[Besoin ROKS CPU (vCPU)],TblApplications[Cluster ROKS cible],$F401,TblApplications[Action],"À migrer",TblApplications[Déjà incluse ROKS],"Non",TblApplications[Mois prov (calc)],"&lt;="&amp;$E401),SUMIFS(TblApplications[CPU IKS libérable (vCPU)],TblApplications[Cluster IKS source],$F401,TblApplications[Mois lib (calc)],"&lt;="&amp;$E401)))</f>
        <v>0</v>
      </c>
      <c r="Q401" s="19">
        <f>IF($D401&lt;&gt;1,"",IF($G401="ROKS",SUMIFS(TblApplications[Besoin ROKS RAM (Go)],TblApplications[Cluster ROKS cible],$F401,TblApplications[Action],"À migrer",TblApplications[Déjà incluse ROKS],"Non",TblApplications[Mois prov (calc)],"&lt;="&amp;$E401),SUMIFS(TblApplications[RAM IKS libérable (Go)],TblApplications[Cluster IKS source],$F401,TblApplications[Mois lib (calc)],"&lt;="&amp;$E401)))</f>
        <v>0</v>
      </c>
      <c r="R401" s="19">
        <f t="shared" si="105"/>
        <v>48</v>
      </c>
      <c r="S401" s="19">
        <f t="shared" si="106"/>
        <v>240</v>
      </c>
      <c r="T401" s="19">
        <f t="shared" si="107"/>
        <v>6</v>
      </c>
      <c r="U401" s="19">
        <f t="shared" si="108"/>
        <v>48</v>
      </c>
      <c r="V401" s="19">
        <f t="shared" si="109"/>
        <v>240</v>
      </c>
      <c r="W401" s="73">
        <f t="shared" si="110"/>
        <v>2208</v>
      </c>
      <c r="X401" s="19">
        <f>IF($D401&lt;&gt;1,"",IF($G401="ROKS",$R401,IF($AI401=1,0,MAX($N401,$L401-SUMIFS(TblApplications[CPU IKS libérable (vCPU)],TblApplications[Cluster IKS source],$F401,TblApplications[Action],"À migrer",TblApplications[Mois prov (calc)],"&lt;="&amp;$E401)-SUMIFS(TblApplications[CPU IKS libérable (vCPU)],TblApplications[Cluster IKS source],$F401,TblApplications[Action],"À décommissionner",TblApplications[Mois lib (calc)],"&lt;="&amp;$E401)))))</f>
        <v>48</v>
      </c>
      <c r="Y401" s="19">
        <f>IF($D401&lt;&gt;1,"",IF($G401="ROKS",$S401,IF($AI401=1,0,MAX($O401,$M401-SUMIFS(TblApplications[RAM IKS libérable (Go)],TblApplications[Cluster IKS source],$F401,TblApplications[Action],"À migrer",TblApplications[Mois prov (calc)],"&lt;="&amp;$E401)-SUMIFS(TblApplications[RAM IKS libérable (Go)],TblApplications[Cluster IKS source],$F401,TblApplications[Action],"À décommissionner",TblApplications[Mois lib (calc)],"&lt;="&amp;$E401)))))</f>
        <v>240</v>
      </c>
      <c r="Z401" s="19">
        <f t="shared" si="111"/>
        <v>6</v>
      </c>
      <c r="AA401" s="73">
        <f t="shared" si="112"/>
        <v>2208</v>
      </c>
      <c r="AB401" s="19">
        <f t="shared" si="113"/>
        <v>6</v>
      </c>
      <c r="AC401" s="73">
        <f t="shared" si="114"/>
        <v>2208</v>
      </c>
      <c r="AD401" s="19">
        <f t="shared" si="115"/>
        <v>0</v>
      </c>
      <c r="AE401" s="19">
        <f t="shared" si="116"/>
        <v>0</v>
      </c>
      <c r="AF401" s="19" t="str">
        <f>IF($D401&lt;&gt;1,"",IF(INDEX(TblClusters[Environnement],$B401)="","(vide)",INDEX(TblClusters[Environnement],$B401)))</f>
        <v>NPRD</v>
      </c>
      <c r="AG401" s="19">
        <f t="shared" si="117"/>
        <v>72</v>
      </c>
      <c r="AH401" s="19">
        <f t="shared" si="118"/>
        <v>30.666666666666668</v>
      </c>
      <c r="AI401" s="19">
        <f>IF($D401&lt;&gt;1,"",IF(AND($G401="IKS",ISNUMBER(INDEX(TblClusters[Fermeture retenue],$B401))),IF($E401&gt;=INDEX(TblClusters[Fermeture retenue],$B401),1,0),0))</f>
        <v>0</v>
      </c>
    </row>
    <row r="402" spans="1:35" x14ac:dyDescent="0.2">
      <c r="A402" s="19">
        <v>397</v>
      </c>
      <c r="B402" s="19">
        <f t="shared" si="102"/>
        <v>12</v>
      </c>
      <c r="C402" s="19">
        <f t="shared" si="103"/>
        <v>1</v>
      </c>
      <c r="D402" s="19">
        <f>IF($C402&gt;p_horizon,0,IFERROR(IF(AND(INDEX(TblClusters[Cluster],$B402)&lt;&gt;"",ISNUMBER(INDEX(TblClusters[CPU initial (vCPU)],$B402)),ISNUMBER(INDEX(TblClusters[CPU min (vCPU)],$B402)),OR(INDEX(TblClusters[Plateforme],$B402)="IKS",INDEX(TblClusters[Plateforme],$B402)="ROKS")),1,0),0))</f>
        <v>1</v>
      </c>
      <c r="E402" s="72">
        <f t="shared" si="104"/>
        <v>46296</v>
      </c>
      <c r="F402" s="19" t="str">
        <f>IF($D402=1,INDEX(TblClusters[Cluster],$B402),"")</f>
        <v>oc-EMEA-NOS-PRD</v>
      </c>
      <c r="G402" s="19" t="str">
        <f>IF($D402=1,INDEX(TblClusters[Plateforme],$B402),"")</f>
        <v>ROKS</v>
      </c>
      <c r="H402" s="19">
        <f>IF($D402=1,INDEX(TblClusters[vCPU par nœud],$B402),"")</f>
        <v>8</v>
      </c>
      <c r="I402" s="19">
        <f>IF($D402=1,INDEX(TblClusters[RAM par nœud (Go)],$B402),"")</f>
        <v>40</v>
      </c>
      <c r="J402" s="19">
        <f>IF($D402=1,INDEX(TblClusters[Workers min],$B402),"")</f>
        <v>6</v>
      </c>
      <c r="K402" s="73">
        <f>IF($D402=1,INDEX(TblClusters[Tarif par nœud],$B402),"")</f>
        <v>368</v>
      </c>
      <c r="L402" s="19">
        <f>IF($D402=1,INDEX(TblClusters[CPU initial (vCPU)],$B402),"")</f>
        <v>48</v>
      </c>
      <c r="M402" s="19">
        <f>IF($D402=1,INDEX(TblClusters[RAM initiale (Go)],$B402),"")</f>
        <v>240</v>
      </c>
      <c r="N402" s="19">
        <f>IF($D402=1,INDEX(TblClusters[CPU min (vCPU)],$B402),"")</f>
        <v>48</v>
      </c>
      <c r="O402" s="19">
        <f>IF($D402=1,INDEX(TblClusters[RAM min (Go)],$B402),"")</f>
        <v>240</v>
      </c>
      <c r="P402" s="19">
        <f>IF($D402&lt;&gt;1,"",IF($G402="ROKS",SUMIFS(TblApplications[Besoin ROKS CPU (vCPU)],TblApplications[Cluster ROKS cible],$F402,TblApplications[Action],"À migrer",TblApplications[Déjà incluse ROKS],"Non",TblApplications[Mois prov (calc)],"&lt;="&amp;$E402),SUMIFS(TblApplications[CPU IKS libérable (vCPU)],TblApplications[Cluster IKS source],$F402,TblApplications[Mois lib (calc)],"&lt;="&amp;$E402)))</f>
        <v>0</v>
      </c>
      <c r="Q402" s="19">
        <f>IF($D402&lt;&gt;1,"",IF($G402="ROKS",SUMIFS(TblApplications[Besoin ROKS RAM (Go)],TblApplications[Cluster ROKS cible],$F402,TblApplications[Action],"À migrer",TblApplications[Déjà incluse ROKS],"Non",TblApplications[Mois prov (calc)],"&lt;="&amp;$E402),SUMIFS(TblApplications[RAM IKS libérable (Go)],TblApplications[Cluster IKS source],$F402,TblApplications[Mois lib (calc)],"&lt;="&amp;$E402)))</f>
        <v>0</v>
      </c>
      <c r="R402" s="19">
        <f t="shared" si="105"/>
        <v>48</v>
      </c>
      <c r="S402" s="19">
        <f t="shared" si="106"/>
        <v>240</v>
      </c>
      <c r="T402" s="19">
        <f t="shared" si="107"/>
        <v>6</v>
      </c>
      <c r="U402" s="19">
        <f t="shared" si="108"/>
        <v>48</v>
      </c>
      <c r="V402" s="19">
        <f t="shared" si="109"/>
        <v>240</v>
      </c>
      <c r="W402" s="73">
        <f t="shared" si="110"/>
        <v>2208</v>
      </c>
      <c r="X402" s="19">
        <f>IF($D402&lt;&gt;1,"",IF($G402="ROKS",$R402,IF($AI402=1,0,MAX($N402,$L402-SUMIFS(TblApplications[CPU IKS libérable (vCPU)],TblApplications[Cluster IKS source],$F402,TblApplications[Action],"À migrer",TblApplications[Mois prov (calc)],"&lt;="&amp;$E402)-SUMIFS(TblApplications[CPU IKS libérable (vCPU)],TblApplications[Cluster IKS source],$F402,TblApplications[Action],"À décommissionner",TblApplications[Mois lib (calc)],"&lt;="&amp;$E402)))))</f>
        <v>48</v>
      </c>
      <c r="Y402" s="19">
        <f>IF($D402&lt;&gt;1,"",IF($G402="ROKS",$S402,IF($AI402=1,0,MAX($O402,$M402-SUMIFS(TblApplications[RAM IKS libérable (Go)],TblApplications[Cluster IKS source],$F402,TblApplications[Action],"À migrer",TblApplications[Mois prov (calc)],"&lt;="&amp;$E402)-SUMIFS(TblApplications[RAM IKS libérable (Go)],TblApplications[Cluster IKS source],$F402,TblApplications[Action],"À décommissionner",TblApplications[Mois lib (calc)],"&lt;="&amp;$E402)))))</f>
        <v>240</v>
      </c>
      <c r="Z402" s="19">
        <f t="shared" si="111"/>
        <v>6</v>
      </c>
      <c r="AA402" s="73">
        <f t="shared" si="112"/>
        <v>2208</v>
      </c>
      <c r="AB402" s="19">
        <f t="shared" si="113"/>
        <v>6</v>
      </c>
      <c r="AC402" s="73">
        <f t="shared" si="114"/>
        <v>2208</v>
      </c>
      <c r="AD402" s="19">
        <f t="shared" si="115"/>
        <v>0</v>
      </c>
      <c r="AE402" s="19">
        <f t="shared" si="116"/>
        <v>0</v>
      </c>
      <c r="AF402" s="19" t="str">
        <f>IF($D402&lt;&gt;1,"",IF(INDEX(TblClusters[Environnement],$B402)="","(vide)",INDEX(TblClusters[Environnement],$B402)))</f>
        <v>PRD</v>
      </c>
      <c r="AG402" s="19">
        <f t="shared" si="117"/>
        <v>72</v>
      </c>
      <c r="AH402" s="19">
        <f t="shared" si="118"/>
        <v>30.666666666666668</v>
      </c>
      <c r="AI402" s="19">
        <f>IF($D402&lt;&gt;1,"",IF(AND($G402="IKS",ISNUMBER(INDEX(TblClusters[Fermeture retenue],$B402))),IF($E402&gt;=INDEX(TblClusters[Fermeture retenue],$B402),1,0),0))</f>
        <v>0</v>
      </c>
    </row>
    <row r="403" spans="1:35" x14ac:dyDescent="0.2">
      <c r="A403" s="19">
        <v>398</v>
      </c>
      <c r="B403" s="19">
        <f t="shared" si="102"/>
        <v>12</v>
      </c>
      <c r="C403" s="19">
        <f t="shared" si="103"/>
        <v>2</v>
      </c>
      <c r="D403" s="19">
        <f>IF($C403&gt;p_horizon,0,IFERROR(IF(AND(INDEX(TblClusters[Cluster],$B403)&lt;&gt;"",ISNUMBER(INDEX(TblClusters[CPU initial (vCPU)],$B403)),ISNUMBER(INDEX(TblClusters[CPU min (vCPU)],$B403)),OR(INDEX(TblClusters[Plateforme],$B403)="IKS",INDEX(TblClusters[Plateforme],$B403)="ROKS")),1,0),0))</f>
        <v>1</v>
      </c>
      <c r="E403" s="72">
        <f t="shared" si="104"/>
        <v>46327</v>
      </c>
      <c r="F403" s="19" t="str">
        <f>IF($D403=1,INDEX(TblClusters[Cluster],$B403),"")</f>
        <v>oc-EMEA-NOS-PRD</v>
      </c>
      <c r="G403" s="19" t="str">
        <f>IF($D403=1,INDEX(TblClusters[Plateforme],$B403),"")</f>
        <v>ROKS</v>
      </c>
      <c r="H403" s="19">
        <f>IF($D403=1,INDEX(TblClusters[vCPU par nœud],$B403),"")</f>
        <v>8</v>
      </c>
      <c r="I403" s="19">
        <f>IF($D403=1,INDEX(TblClusters[RAM par nœud (Go)],$B403),"")</f>
        <v>40</v>
      </c>
      <c r="J403" s="19">
        <f>IF($D403=1,INDEX(TblClusters[Workers min],$B403),"")</f>
        <v>6</v>
      </c>
      <c r="K403" s="73">
        <f>IF($D403=1,INDEX(TblClusters[Tarif par nœud],$B403),"")</f>
        <v>368</v>
      </c>
      <c r="L403" s="19">
        <f>IF($D403=1,INDEX(TblClusters[CPU initial (vCPU)],$B403),"")</f>
        <v>48</v>
      </c>
      <c r="M403" s="19">
        <f>IF($D403=1,INDEX(TblClusters[RAM initiale (Go)],$B403),"")</f>
        <v>240</v>
      </c>
      <c r="N403" s="19">
        <f>IF($D403=1,INDEX(TblClusters[CPU min (vCPU)],$B403),"")</f>
        <v>48</v>
      </c>
      <c r="O403" s="19">
        <f>IF($D403=1,INDEX(TblClusters[RAM min (Go)],$B403),"")</f>
        <v>240</v>
      </c>
      <c r="P403" s="19">
        <f>IF($D403&lt;&gt;1,"",IF($G403="ROKS",SUMIFS(TblApplications[Besoin ROKS CPU (vCPU)],TblApplications[Cluster ROKS cible],$F403,TblApplications[Action],"À migrer",TblApplications[Déjà incluse ROKS],"Non",TblApplications[Mois prov (calc)],"&lt;="&amp;$E403),SUMIFS(TblApplications[CPU IKS libérable (vCPU)],TblApplications[Cluster IKS source],$F403,TblApplications[Mois lib (calc)],"&lt;="&amp;$E403)))</f>
        <v>0</v>
      </c>
      <c r="Q403" s="19">
        <f>IF($D403&lt;&gt;1,"",IF($G403="ROKS",SUMIFS(TblApplications[Besoin ROKS RAM (Go)],TblApplications[Cluster ROKS cible],$F403,TblApplications[Action],"À migrer",TblApplications[Déjà incluse ROKS],"Non",TblApplications[Mois prov (calc)],"&lt;="&amp;$E403),SUMIFS(TblApplications[RAM IKS libérable (Go)],TblApplications[Cluster IKS source],$F403,TblApplications[Mois lib (calc)],"&lt;="&amp;$E403)))</f>
        <v>0</v>
      </c>
      <c r="R403" s="19">
        <f t="shared" si="105"/>
        <v>48</v>
      </c>
      <c r="S403" s="19">
        <f t="shared" si="106"/>
        <v>240</v>
      </c>
      <c r="T403" s="19">
        <f t="shared" si="107"/>
        <v>6</v>
      </c>
      <c r="U403" s="19">
        <f t="shared" si="108"/>
        <v>48</v>
      </c>
      <c r="V403" s="19">
        <f t="shared" si="109"/>
        <v>240</v>
      </c>
      <c r="W403" s="73">
        <f t="shared" si="110"/>
        <v>2208</v>
      </c>
      <c r="X403" s="19">
        <f>IF($D403&lt;&gt;1,"",IF($G403="ROKS",$R403,IF($AI403=1,0,MAX($N403,$L403-SUMIFS(TblApplications[CPU IKS libérable (vCPU)],TblApplications[Cluster IKS source],$F403,TblApplications[Action],"À migrer",TblApplications[Mois prov (calc)],"&lt;="&amp;$E403)-SUMIFS(TblApplications[CPU IKS libérable (vCPU)],TblApplications[Cluster IKS source],$F403,TblApplications[Action],"À décommissionner",TblApplications[Mois lib (calc)],"&lt;="&amp;$E403)))))</f>
        <v>48</v>
      </c>
      <c r="Y403" s="19">
        <f>IF($D403&lt;&gt;1,"",IF($G403="ROKS",$S403,IF($AI403=1,0,MAX($O403,$M403-SUMIFS(TblApplications[RAM IKS libérable (Go)],TblApplications[Cluster IKS source],$F403,TblApplications[Action],"À migrer",TblApplications[Mois prov (calc)],"&lt;="&amp;$E403)-SUMIFS(TblApplications[RAM IKS libérable (Go)],TblApplications[Cluster IKS source],$F403,TblApplications[Action],"À décommissionner",TblApplications[Mois lib (calc)],"&lt;="&amp;$E403)))))</f>
        <v>240</v>
      </c>
      <c r="Z403" s="19">
        <f t="shared" si="111"/>
        <v>6</v>
      </c>
      <c r="AA403" s="73">
        <f t="shared" si="112"/>
        <v>2208</v>
      </c>
      <c r="AB403" s="19">
        <f t="shared" si="113"/>
        <v>6</v>
      </c>
      <c r="AC403" s="73">
        <f t="shared" si="114"/>
        <v>2208</v>
      </c>
      <c r="AD403" s="19">
        <f t="shared" si="115"/>
        <v>0</v>
      </c>
      <c r="AE403" s="19">
        <f t="shared" si="116"/>
        <v>0</v>
      </c>
      <c r="AF403" s="19" t="str">
        <f>IF($D403&lt;&gt;1,"",IF(INDEX(TblClusters[Environnement],$B403)="","(vide)",INDEX(TblClusters[Environnement],$B403)))</f>
        <v>PRD</v>
      </c>
      <c r="AG403" s="19">
        <f t="shared" si="117"/>
        <v>72</v>
      </c>
      <c r="AH403" s="19">
        <f t="shared" si="118"/>
        <v>30.666666666666668</v>
      </c>
      <c r="AI403" s="19">
        <f>IF($D403&lt;&gt;1,"",IF(AND($G403="IKS",ISNUMBER(INDEX(TblClusters[Fermeture retenue],$B403))),IF($E403&gt;=INDEX(TblClusters[Fermeture retenue],$B403),1,0),0))</f>
        <v>0</v>
      </c>
    </row>
    <row r="404" spans="1:35" x14ac:dyDescent="0.2">
      <c r="A404" s="19">
        <v>399</v>
      </c>
      <c r="B404" s="19">
        <f t="shared" si="102"/>
        <v>12</v>
      </c>
      <c r="C404" s="19">
        <f t="shared" si="103"/>
        <v>3</v>
      </c>
      <c r="D404" s="19">
        <f>IF($C404&gt;p_horizon,0,IFERROR(IF(AND(INDEX(TblClusters[Cluster],$B404)&lt;&gt;"",ISNUMBER(INDEX(TblClusters[CPU initial (vCPU)],$B404)),ISNUMBER(INDEX(TblClusters[CPU min (vCPU)],$B404)),OR(INDEX(TblClusters[Plateforme],$B404)="IKS",INDEX(TblClusters[Plateforme],$B404)="ROKS")),1,0),0))</f>
        <v>1</v>
      </c>
      <c r="E404" s="72">
        <f t="shared" si="104"/>
        <v>46357</v>
      </c>
      <c r="F404" s="19" t="str">
        <f>IF($D404=1,INDEX(TblClusters[Cluster],$B404),"")</f>
        <v>oc-EMEA-NOS-PRD</v>
      </c>
      <c r="G404" s="19" t="str">
        <f>IF($D404=1,INDEX(TblClusters[Plateforme],$B404),"")</f>
        <v>ROKS</v>
      </c>
      <c r="H404" s="19">
        <f>IF($D404=1,INDEX(TblClusters[vCPU par nœud],$B404),"")</f>
        <v>8</v>
      </c>
      <c r="I404" s="19">
        <f>IF($D404=1,INDEX(TblClusters[RAM par nœud (Go)],$B404),"")</f>
        <v>40</v>
      </c>
      <c r="J404" s="19">
        <f>IF($D404=1,INDEX(TblClusters[Workers min],$B404),"")</f>
        <v>6</v>
      </c>
      <c r="K404" s="73">
        <f>IF($D404=1,INDEX(TblClusters[Tarif par nœud],$B404),"")</f>
        <v>368</v>
      </c>
      <c r="L404" s="19">
        <f>IF($D404=1,INDEX(TblClusters[CPU initial (vCPU)],$B404),"")</f>
        <v>48</v>
      </c>
      <c r="M404" s="19">
        <f>IF($D404=1,INDEX(TblClusters[RAM initiale (Go)],$B404),"")</f>
        <v>240</v>
      </c>
      <c r="N404" s="19">
        <f>IF($D404=1,INDEX(TblClusters[CPU min (vCPU)],$B404),"")</f>
        <v>48</v>
      </c>
      <c r="O404" s="19">
        <f>IF($D404=1,INDEX(TblClusters[RAM min (Go)],$B404),"")</f>
        <v>240</v>
      </c>
      <c r="P404" s="19">
        <f>IF($D404&lt;&gt;1,"",IF($G404="ROKS",SUMIFS(TblApplications[Besoin ROKS CPU (vCPU)],TblApplications[Cluster ROKS cible],$F404,TblApplications[Action],"À migrer",TblApplications[Déjà incluse ROKS],"Non",TblApplications[Mois prov (calc)],"&lt;="&amp;$E404),SUMIFS(TblApplications[CPU IKS libérable (vCPU)],TblApplications[Cluster IKS source],$F404,TblApplications[Mois lib (calc)],"&lt;="&amp;$E404)))</f>
        <v>0</v>
      </c>
      <c r="Q404" s="19">
        <f>IF($D404&lt;&gt;1,"",IF($G404="ROKS",SUMIFS(TblApplications[Besoin ROKS RAM (Go)],TblApplications[Cluster ROKS cible],$F404,TblApplications[Action],"À migrer",TblApplications[Déjà incluse ROKS],"Non",TblApplications[Mois prov (calc)],"&lt;="&amp;$E404),SUMIFS(TblApplications[RAM IKS libérable (Go)],TblApplications[Cluster IKS source],$F404,TblApplications[Mois lib (calc)],"&lt;="&amp;$E404)))</f>
        <v>0</v>
      </c>
      <c r="R404" s="19">
        <f t="shared" si="105"/>
        <v>48</v>
      </c>
      <c r="S404" s="19">
        <f t="shared" si="106"/>
        <v>240</v>
      </c>
      <c r="T404" s="19">
        <f t="shared" si="107"/>
        <v>6</v>
      </c>
      <c r="U404" s="19">
        <f t="shared" si="108"/>
        <v>48</v>
      </c>
      <c r="V404" s="19">
        <f t="shared" si="109"/>
        <v>240</v>
      </c>
      <c r="W404" s="73">
        <f t="shared" si="110"/>
        <v>2208</v>
      </c>
      <c r="X404" s="19">
        <f>IF($D404&lt;&gt;1,"",IF($G404="ROKS",$R404,IF($AI404=1,0,MAX($N404,$L404-SUMIFS(TblApplications[CPU IKS libérable (vCPU)],TblApplications[Cluster IKS source],$F404,TblApplications[Action],"À migrer",TblApplications[Mois prov (calc)],"&lt;="&amp;$E404)-SUMIFS(TblApplications[CPU IKS libérable (vCPU)],TblApplications[Cluster IKS source],$F404,TblApplications[Action],"À décommissionner",TblApplications[Mois lib (calc)],"&lt;="&amp;$E404)))))</f>
        <v>48</v>
      </c>
      <c r="Y404" s="19">
        <f>IF($D404&lt;&gt;1,"",IF($G404="ROKS",$S404,IF($AI404=1,0,MAX($O404,$M404-SUMIFS(TblApplications[RAM IKS libérable (Go)],TblApplications[Cluster IKS source],$F404,TblApplications[Action],"À migrer",TblApplications[Mois prov (calc)],"&lt;="&amp;$E404)-SUMIFS(TblApplications[RAM IKS libérable (Go)],TblApplications[Cluster IKS source],$F404,TblApplications[Action],"À décommissionner",TblApplications[Mois lib (calc)],"&lt;="&amp;$E404)))))</f>
        <v>240</v>
      </c>
      <c r="Z404" s="19">
        <f t="shared" si="111"/>
        <v>6</v>
      </c>
      <c r="AA404" s="73">
        <f t="shared" si="112"/>
        <v>2208</v>
      </c>
      <c r="AB404" s="19">
        <f t="shared" si="113"/>
        <v>6</v>
      </c>
      <c r="AC404" s="73">
        <f t="shared" si="114"/>
        <v>2208</v>
      </c>
      <c r="AD404" s="19">
        <f t="shared" si="115"/>
        <v>0</v>
      </c>
      <c r="AE404" s="19">
        <f t="shared" si="116"/>
        <v>0</v>
      </c>
      <c r="AF404" s="19" t="str">
        <f>IF($D404&lt;&gt;1,"",IF(INDEX(TblClusters[Environnement],$B404)="","(vide)",INDEX(TblClusters[Environnement],$B404)))</f>
        <v>PRD</v>
      </c>
      <c r="AG404" s="19">
        <f t="shared" si="117"/>
        <v>72</v>
      </c>
      <c r="AH404" s="19">
        <f t="shared" si="118"/>
        <v>30.666666666666668</v>
      </c>
      <c r="AI404" s="19">
        <f>IF($D404&lt;&gt;1,"",IF(AND($G404="IKS",ISNUMBER(INDEX(TblClusters[Fermeture retenue],$B404))),IF($E404&gt;=INDEX(TblClusters[Fermeture retenue],$B404),1,0),0))</f>
        <v>0</v>
      </c>
    </row>
    <row r="405" spans="1:35" x14ac:dyDescent="0.2">
      <c r="A405" s="19">
        <v>400</v>
      </c>
      <c r="B405" s="19">
        <f t="shared" si="102"/>
        <v>12</v>
      </c>
      <c r="C405" s="19">
        <f t="shared" si="103"/>
        <v>4</v>
      </c>
      <c r="D405" s="19">
        <f>IF($C405&gt;p_horizon,0,IFERROR(IF(AND(INDEX(TblClusters[Cluster],$B405)&lt;&gt;"",ISNUMBER(INDEX(TblClusters[CPU initial (vCPU)],$B405)),ISNUMBER(INDEX(TblClusters[CPU min (vCPU)],$B405)),OR(INDEX(TblClusters[Plateforme],$B405)="IKS",INDEX(TblClusters[Plateforme],$B405)="ROKS")),1,0),0))</f>
        <v>1</v>
      </c>
      <c r="E405" s="72">
        <f t="shared" si="104"/>
        <v>46388</v>
      </c>
      <c r="F405" s="19" t="str">
        <f>IF($D405=1,INDEX(TblClusters[Cluster],$B405),"")</f>
        <v>oc-EMEA-NOS-PRD</v>
      </c>
      <c r="G405" s="19" t="str">
        <f>IF($D405=1,INDEX(TblClusters[Plateforme],$B405),"")</f>
        <v>ROKS</v>
      </c>
      <c r="H405" s="19">
        <f>IF($D405=1,INDEX(TblClusters[vCPU par nœud],$B405),"")</f>
        <v>8</v>
      </c>
      <c r="I405" s="19">
        <f>IF($D405=1,INDEX(TblClusters[RAM par nœud (Go)],$B405),"")</f>
        <v>40</v>
      </c>
      <c r="J405" s="19">
        <f>IF($D405=1,INDEX(TblClusters[Workers min],$B405),"")</f>
        <v>6</v>
      </c>
      <c r="K405" s="73">
        <f>IF($D405=1,INDEX(TblClusters[Tarif par nœud],$B405),"")</f>
        <v>368</v>
      </c>
      <c r="L405" s="19">
        <f>IF($D405=1,INDEX(TblClusters[CPU initial (vCPU)],$B405),"")</f>
        <v>48</v>
      </c>
      <c r="M405" s="19">
        <f>IF($D405=1,INDEX(TblClusters[RAM initiale (Go)],$B405),"")</f>
        <v>240</v>
      </c>
      <c r="N405" s="19">
        <f>IF($D405=1,INDEX(TblClusters[CPU min (vCPU)],$B405),"")</f>
        <v>48</v>
      </c>
      <c r="O405" s="19">
        <f>IF($D405=1,INDEX(TblClusters[RAM min (Go)],$B405),"")</f>
        <v>240</v>
      </c>
      <c r="P405" s="19">
        <f>IF($D405&lt;&gt;1,"",IF($G405="ROKS",SUMIFS(TblApplications[Besoin ROKS CPU (vCPU)],TblApplications[Cluster ROKS cible],$F405,TblApplications[Action],"À migrer",TblApplications[Déjà incluse ROKS],"Non",TblApplications[Mois prov (calc)],"&lt;="&amp;$E405),SUMIFS(TblApplications[CPU IKS libérable (vCPU)],TblApplications[Cluster IKS source],$F405,TblApplications[Mois lib (calc)],"&lt;="&amp;$E405)))</f>
        <v>0</v>
      </c>
      <c r="Q405" s="19">
        <f>IF($D405&lt;&gt;1,"",IF($G405="ROKS",SUMIFS(TblApplications[Besoin ROKS RAM (Go)],TblApplications[Cluster ROKS cible],$F405,TblApplications[Action],"À migrer",TblApplications[Déjà incluse ROKS],"Non",TblApplications[Mois prov (calc)],"&lt;="&amp;$E405),SUMIFS(TblApplications[RAM IKS libérable (Go)],TblApplications[Cluster IKS source],$F405,TblApplications[Mois lib (calc)],"&lt;="&amp;$E405)))</f>
        <v>0</v>
      </c>
      <c r="R405" s="19">
        <f t="shared" si="105"/>
        <v>48</v>
      </c>
      <c r="S405" s="19">
        <f t="shared" si="106"/>
        <v>240</v>
      </c>
      <c r="T405" s="19">
        <f t="shared" si="107"/>
        <v>6</v>
      </c>
      <c r="U405" s="19">
        <f t="shared" si="108"/>
        <v>48</v>
      </c>
      <c r="V405" s="19">
        <f t="shared" si="109"/>
        <v>240</v>
      </c>
      <c r="W405" s="73">
        <f t="shared" si="110"/>
        <v>2208</v>
      </c>
      <c r="X405" s="19">
        <f>IF($D405&lt;&gt;1,"",IF($G405="ROKS",$R405,IF($AI405=1,0,MAX($N405,$L405-SUMIFS(TblApplications[CPU IKS libérable (vCPU)],TblApplications[Cluster IKS source],$F405,TblApplications[Action],"À migrer",TblApplications[Mois prov (calc)],"&lt;="&amp;$E405)-SUMIFS(TblApplications[CPU IKS libérable (vCPU)],TblApplications[Cluster IKS source],$F405,TblApplications[Action],"À décommissionner",TblApplications[Mois lib (calc)],"&lt;="&amp;$E405)))))</f>
        <v>48</v>
      </c>
      <c r="Y405" s="19">
        <f>IF($D405&lt;&gt;1,"",IF($G405="ROKS",$S405,IF($AI405=1,0,MAX($O405,$M405-SUMIFS(TblApplications[RAM IKS libérable (Go)],TblApplications[Cluster IKS source],$F405,TblApplications[Action],"À migrer",TblApplications[Mois prov (calc)],"&lt;="&amp;$E405)-SUMIFS(TblApplications[RAM IKS libérable (Go)],TblApplications[Cluster IKS source],$F405,TblApplications[Action],"À décommissionner",TblApplications[Mois lib (calc)],"&lt;="&amp;$E405)))))</f>
        <v>240</v>
      </c>
      <c r="Z405" s="19">
        <f t="shared" si="111"/>
        <v>6</v>
      </c>
      <c r="AA405" s="73">
        <f t="shared" si="112"/>
        <v>2208</v>
      </c>
      <c r="AB405" s="19">
        <f t="shared" si="113"/>
        <v>6</v>
      </c>
      <c r="AC405" s="73">
        <f t="shared" si="114"/>
        <v>2208</v>
      </c>
      <c r="AD405" s="19">
        <f t="shared" si="115"/>
        <v>0</v>
      </c>
      <c r="AE405" s="19">
        <f t="shared" si="116"/>
        <v>0</v>
      </c>
      <c r="AF405" s="19" t="str">
        <f>IF($D405&lt;&gt;1,"",IF(INDEX(TblClusters[Environnement],$B405)="","(vide)",INDEX(TblClusters[Environnement],$B405)))</f>
        <v>PRD</v>
      </c>
      <c r="AG405" s="19">
        <f t="shared" si="117"/>
        <v>72</v>
      </c>
      <c r="AH405" s="19">
        <f t="shared" si="118"/>
        <v>30.666666666666668</v>
      </c>
      <c r="AI405" s="19">
        <f>IF($D405&lt;&gt;1,"",IF(AND($G405="IKS",ISNUMBER(INDEX(TblClusters[Fermeture retenue],$B405))),IF($E405&gt;=INDEX(TblClusters[Fermeture retenue],$B405),1,0),0))</f>
        <v>0</v>
      </c>
    </row>
    <row r="406" spans="1:35" x14ac:dyDescent="0.2">
      <c r="A406" s="19">
        <v>401</v>
      </c>
      <c r="B406" s="19">
        <f t="shared" si="102"/>
        <v>12</v>
      </c>
      <c r="C406" s="19">
        <f t="shared" si="103"/>
        <v>5</v>
      </c>
      <c r="D406" s="19">
        <f>IF($C406&gt;p_horizon,0,IFERROR(IF(AND(INDEX(TblClusters[Cluster],$B406)&lt;&gt;"",ISNUMBER(INDEX(TblClusters[CPU initial (vCPU)],$B406)),ISNUMBER(INDEX(TblClusters[CPU min (vCPU)],$B406)),OR(INDEX(TblClusters[Plateforme],$B406)="IKS",INDEX(TblClusters[Plateforme],$B406)="ROKS")),1,0),0))</f>
        <v>1</v>
      </c>
      <c r="E406" s="72">
        <f t="shared" si="104"/>
        <v>46419</v>
      </c>
      <c r="F406" s="19" t="str">
        <f>IF($D406=1,INDEX(TblClusters[Cluster],$B406),"")</f>
        <v>oc-EMEA-NOS-PRD</v>
      </c>
      <c r="G406" s="19" t="str">
        <f>IF($D406=1,INDEX(TblClusters[Plateforme],$B406),"")</f>
        <v>ROKS</v>
      </c>
      <c r="H406" s="19">
        <f>IF($D406=1,INDEX(TblClusters[vCPU par nœud],$B406),"")</f>
        <v>8</v>
      </c>
      <c r="I406" s="19">
        <f>IF($D406=1,INDEX(TblClusters[RAM par nœud (Go)],$B406),"")</f>
        <v>40</v>
      </c>
      <c r="J406" s="19">
        <f>IF($D406=1,INDEX(TblClusters[Workers min],$B406),"")</f>
        <v>6</v>
      </c>
      <c r="K406" s="73">
        <f>IF($D406=1,INDEX(TblClusters[Tarif par nœud],$B406),"")</f>
        <v>368</v>
      </c>
      <c r="L406" s="19">
        <f>IF($D406=1,INDEX(TblClusters[CPU initial (vCPU)],$B406),"")</f>
        <v>48</v>
      </c>
      <c r="M406" s="19">
        <f>IF($D406=1,INDEX(TblClusters[RAM initiale (Go)],$B406),"")</f>
        <v>240</v>
      </c>
      <c r="N406" s="19">
        <f>IF($D406=1,INDEX(TblClusters[CPU min (vCPU)],$B406),"")</f>
        <v>48</v>
      </c>
      <c r="O406" s="19">
        <f>IF($D406=1,INDEX(TblClusters[RAM min (Go)],$B406),"")</f>
        <v>240</v>
      </c>
      <c r="P406" s="19">
        <f>IF($D406&lt;&gt;1,"",IF($G406="ROKS",SUMIFS(TblApplications[Besoin ROKS CPU (vCPU)],TblApplications[Cluster ROKS cible],$F406,TblApplications[Action],"À migrer",TblApplications[Déjà incluse ROKS],"Non",TblApplications[Mois prov (calc)],"&lt;="&amp;$E406),SUMIFS(TblApplications[CPU IKS libérable (vCPU)],TblApplications[Cluster IKS source],$F406,TblApplications[Mois lib (calc)],"&lt;="&amp;$E406)))</f>
        <v>0</v>
      </c>
      <c r="Q406" s="19">
        <f>IF($D406&lt;&gt;1,"",IF($G406="ROKS",SUMIFS(TblApplications[Besoin ROKS RAM (Go)],TblApplications[Cluster ROKS cible],$F406,TblApplications[Action],"À migrer",TblApplications[Déjà incluse ROKS],"Non",TblApplications[Mois prov (calc)],"&lt;="&amp;$E406),SUMIFS(TblApplications[RAM IKS libérable (Go)],TblApplications[Cluster IKS source],$F406,TblApplications[Mois lib (calc)],"&lt;="&amp;$E406)))</f>
        <v>0</v>
      </c>
      <c r="R406" s="19">
        <f t="shared" si="105"/>
        <v>48</v>
      </c>
      <c r="S406" s="19">
        <f t="shared" si="106"/>
        <v>240</v>
      </c>
      <c r="T406" s="19">
        <f t="shared" si="107"/>
        <v>6</v>
      </c>
      <c r="U406" s="19">
        <f t="shared" si="108"/>
        <v>48</v>
      </c>
      <c r="V406" s="19">
        <f t="shared" si="109"/>
        <v>240</v>
      </c>
      <c r="W406" s="73">
        <f t="shared" si="110"/>
        <v>2208</v>
      </c>
      <c r="X406" s="19">
        <f>IF($D406&lt;&gt;1,"",IF($G406="ROKS",$R406,IF($AI406=1,0,MAX($N406,$L406-SUMIFS(TblApplications[CPU IKS libérable (vCPU)],TblApplications[Cluster IKS source],$F406,TblApplications[Action],"À migrer",TblApplications[Mois prov (calc)],"&lt;="&amp;$E406)-SUMIFS(TblApplications[CPU IKS libérable (vCPU)],TblApplications[Cluster IKS source],$F406,TblApplications[Action],"À décommissionner",TblApplications[Mois lib (calc)],"&lt;="&amp;$E406)))))</f>
        <v>48</v>
      </c>
      <c r="Y406" s="19">
        <f>IF($D406&lt;&gt;1,"",IF($G406="ROKS",$S406,IF($AI406=1,0,MAX($O406,$M406-SUMIFS(TblApplications[RAM IKS libérable (Go)],TblApplications[Cluster IKS source],$F406,TblApplications[Action],"À migrer",TblApplications[Mois prov (calc)],"&lt;="&amp;$E406)-SUMIFS(TblApplications[RAM IKS libérable (Go)],TblApplications[Cluster IKS source],$F406,TblApplications[Action],"À décommissionner",TblApplications[Mois lib (calc)],"&lt;="&amp;$E406)))))</f>
        <v>240</v>
      </c>
      <c r="Z406" s="19">
        <f t="shared" si="111"/>
        <v>6</v>
      </c>
      <c r="AA406" s="73">
        <f t="shared" si="112"/>
        <v>2208</v>
      </c>
      <c r="AB406" s="19">
        <f t="shared" si="113"/>
        <v>6</v>
      </c>
      <c r="AC406" s="73">
        <f t="shared" si="114"/>
        <v>2208</v>
      </c>
      <c r="AD406" s="19">
        <f t="shared" si="115"/>
        <v>0</v>
      </c>
      <c r="AE406" s="19">
        <f t="shared" si="116"/>
        <v>0</v>
      </c>
      <c r="AF406" s="19" t="str">
        <f>IF($D406&lt;&gt;1,"",IF(INDEX(TblClusters[Environnement],$B406)="","(vide)",INDEX(TblClusters[Environnement],$B406)))</f>
        <v>PRD</v>
      </c>
      <c r="AG406" s="19">
        <f t="shared" si="117"/>
        <v>72</v>
      </c>
      <c r="AH406" s="19">
        <f t="shared" si="118"/>
        <v>30.666666666666668</v>
      </c>
      <c r="AI406" s="19">
        <f>IF($D406&lt;&gt;1,"",IF(AND($G406="IKS",ISNUMBER(INDEX(TblClusters[Fermeture retenue],$B406))),IF($E406&gt;=INDEX(TblClusters[Fermeture retenue],$B406),1,0),0))</f>
        <v>0</v>
      </c>
    </row>
    <row r="407" spans="1:35" x14ac:dyDescent="0.2">
      <c r="A407" s="19">
        <v>402</v>
      </c>
      <c r="B407" s="19">
        <f t="shared" si="102"/>
        <v>12</v>
      </c>
      <c r="C407" s="19">
        <f t="shared" si="103"/>
        <v>6</v>
      </c>
      <c r="D407" s="19">
        <f>IF($C407&gt;p_horizon,0,IFERROR(IF(AND(INDEX(TblClusters[Cluster],$B407)&lt;&gt;"",ISNUMBER(INDEX(TblClusters[CPU initial (vCPU)],$B407)),ISNUMBER(INDEX(TblClusters[CPU min (vCPU)],$B407)),OR(INDEX(TblClusters[Plateforme],$B407)="IKS",INDEX(TblClusters[Plateforme],$B407)="ROKS")),1,0),0))</f>
        <v>1</v>
      </c>
      <c r="E407" s="72">
        <f t="shared" si="104"/>
        <v>46447</v>
      </c>
      <c r="F407" s="19" t="str">
        <f>IF($D407=1,INDEX(TblClusters[Cluster],$B407),"")</f>
        <v>oc-EMEA-NOS-PRD</v>
      </c>
      <c r="G407" s="19" t="str">
        <f>IF($D407=1,INDEX(TblClusters[Plateforme],$B407),"")</f>
        <v>ROKS</v>
      </c>
      <c r="H407" s="19">
        <f>IF($D407=1,INDEX(TblClusters[vCPU par nœud],$B407),"")</f>
        <v>8</v>
      </c>
      <c r="I407" s="19">
        <f>IF($D407=1,INDEX(TblClusters[RAM par nœud (Go)],$B407),"")</f>
        <v>40</v>
      </c>
      <c r="J407" s="19">
        <f>IF($D407=1,INDEX(TblClusters[Workers min],$B407),"")</f>
        <v>6</v>
      </c>
      <c r="K407" s="73">
        <f>IF($D407=1,INDEX(TblClusters[Tarif par nœud],$B407),"")</f>
        <v>368</v>
      </c>
      <c r="L407" s="19">
        <f>IF($D407=1,INDEX(TblClusters[CPU initial (vCPU)],$B407),"")</f>
        <v>48</v>
      </c>
      <c r="M407" s="19">
        <f>IF($D407=1,INDEX(TblClusters[RAM initiale (Go)],$B407),"")</f>
        <v>240</v>
      </c>
      <c r="N407" s="19">
        <f>IF($D407=1,INDEX(TblClusters[CPU min (vCPU)],$B407),"")</f>
        <v>48</v>
      </c>
      <c r="O407" s="19">
        <f>IF($D407=1,INDEX(TblClusters[RAM min (Go)],$B407),"")</f>
        <v>240</v>
      </c>
      <c r="P407" s="19">
        <f>IF($D407&lt;&gt;1,"",IF($G407="ROKS",SUMIFS(TblApplications[Besoin ROKS CPU (vCPU)],TblApplications[Cluster ROKS cible],$F407,TblApplications[Action],"À migrer",TblApplications[Déjà incluse ROKS],"Non",TblApplications[Mois prov (calc)],"&lt;="&amp;$E407),SUMIFS(TblApplications[CPU IKS libérable (vCPU)],TblApplications[Cluster IKS source],$F407,TblApplications[Mois lib (calc)],"&lt;="&amp;$E407)))</f>
        <v>0</v>
      </c>
      <c r="Q407" s="19">
        <f>IF($D407&lt;&gt;1,"",IF($G407="ROKS",SUMIFS(TblApplications[Besoin ROKS RAM (Go)],TblApplications[Cluster ROKS cible],$F407,TblApplications[Action],"À migrer",TblApplications[Déjà incluse ROKS],"Non",TblApplications[Mois prov (calc)],"&lt;="&amp;$E407),SUMIFS(TblApplications[RAM IKS libérable (Go)],TblApplications[Cluster IKS source],$F407,TblApplications[Mois lib (calc)],"&lt;="&amp;$E407)))</f>
        <v>0</v>
      </c>
      <c r="R407" s="19">
        <f t="shared" si="105"/>
        <v>48</v>
      </c>
      <c r="S407" s="19">
        <f t="shared" si="106"/>
        <v>240</v>
      </c>
      <c r="T407" s="19">
        <f t="shared" si="107"/>
        <v>6</v>
      </c>
      <c r="U407" s="19">
        <f t="shared" si="108"/>
        <v>48</v>
      </c>
      <c r="V407" s="19">
        <f t="shared" si="109"/>
        <v>240</v>
      </c>
      <c r="W407" s="73">
        <f t="shared" si="110"/>
        <v>2208</v>
      </c>
      <c r="X407" s="19">
        <f>IF($D407&lt;&gt;1,"",IF($G407="ROKS",$R407,IF($AI407=1,0,MAX($N407,$L407-SUMIFS(TblApplications[CPU IKS libérable (vCPU)],TblApplications[Cluster IKS source],$F407,TblApplications[Action],"À migrer",TblApplications[Mois prov (calc)],"&lt;="&amp;$E407)-SUMIFS(TblApplications[CPU IKS libérable (vCPU)],TblApplications[Cluster IKS source],$F407,TblApplications[Action],"À décommissionner",TblApplications[Mois lib (calc)],"&lt;="&amp;$E407)))))</f>
        <v>48</v>
      </c>
      <c r="Y407" s="19">
        <f>IF($D407&lt;&gt;1,"",IF($G407="ROKS",$S407,IF($AI407=1,0,MAX($O407,$M407-SUMIFS(TblApplications[RAM IKS libérable (Go)],TblApplications[Cluster IKS source],$F407,TblApplications[Action],"À migrer",TblApplications[Mois prov (calc)],"&lt;="&amp;$E407)-SUMIFS(TblApplications[RAM IKS libérable (Go)],TblApplications[Cluster IKS source],$F407,TblApplications[Action],"À décommissionner",TblApplications[Mois lib (calc)],"&lt;="&amp;$E407)))))</f>
        <v>240</v>
      </c>
      <c r="Z407" s="19">
        <f t="shared" si="111"/>
        <v>6</v>
      </c>
      <c r="AA407" s="73">
        <f t="shared" si="112"/>
        <v>2208</v>
      </c>
      <c r="AB407" s="19">
        <f t="shared" si="113"/>
        <v>6</v>
      </c>
      <c r="AC407" s="73">
        <f t="shared" si="114"/>
        <v>2208</v>
      </c>
      <c r="AD407" s="19">
        <f t="shared" si="115"/>
        <v>0</v>
      </c>
      <c r="AE407" s="19">
        <f t="shared" si="116"/>
        <v>0</v>
      </c>
      <c r="AF407" s="19" t="str">
        <f>IF($D407&lt;&gt;1,"",IF(INDEX(TblClusters[Environnement],$B407)="","(vide)",INDEX(TblClusters[Environnement],$B407)))</f>
        <v>PRD</v>
      </c>
      <c r="AG407" s="19">
        <f t="shared" si="117"/>
        <v>72</v>
      </c>
      <c r="AH407" s="19">
        <f t="shared" si="118"/>
        <v>30.666666666666668</v>
      </c>
      <c r="AI407" s="19">
        <f>IF($D407&lt;&gt;1,"",IF(AND($G407="IKS",ISNUMBER(INDEX(TblClusters[Fermeture retenue],$B407))),IF($E407&gt;=INDEX(TblClusters[Fermeture retenue],$B407),1,0),0))</f>
        <v>0</v>
      </c>
    </row>
    <row r="408" spans="1:35" x14ac:dyDescent="0.2">
      <c r="A408" s="19">
        <v>403</v>
      </c>
      <c r="B408" s="19">
        <f t="shared" si="102"/>
        <v>12</v>
      </c>
      <c r="C408" s="19">
        <f t="shared" si="103"/>
        <v>7</v>
      </c>
      <c r="D408" s="19">
        <f>IF($C408&gt;p_horizon,0,IFERROR(IF(AND(INDEX(TblClusters[Cluster],$B408)&lt;&gt;"",ISNUMBER(INDEX(TblClusters[CPU initial (vCPU)],$B408)),ISNUMBER(INDEX(TblClusters[CPU min (vCPU)],$B408)),OR(INDEX(TblClusters[Plateforme],$B408)="IKS",INDEX(TblClusters[Plateforme],$B408)="ROKS")),1,0),0))</f>
        <v>1</v>
      </c>
      <c r="E408" s="72">
        <f t="shared" si="104"/>
        <v>46478</v>
      </c>
      <c r="F408" s="19" t="str">
        <f>IF($D408=1,INDEX(TblClusters[Cluster],$B408),"")</f>
        <v>oc-EMEA-NOS-PRD</v>
      </c>
      <c r="G408" s="19" t="str">
        <f>IF($D408=1,INDEX(TblClusters[Plateforme],$B408),"")</f>
        <v>ROKS</v>
      </c>
      <c r="H408" s="19">
        <f>IF($D408=1,INDEX(TblClusters[vCPU par nœud],$B408),"")</f>
        <v>8</v>
      </c>
      <c r="I408" s="19">
        <f>IF($D408=1,INDEX(TblClusters[RAM par nœud (Go)],$B408),"")</f>
        <v>40</v>
      </c>
      <c r="J408" s="19">
        <f>IF($D408=1,INDEX(TblClusters[Workers min],$B408),"")</f>
        <v>6</v>
      </c>
      <c r="K408" s="73">
        <f>IF($D408=1,INDEX(TblClusters[Tarif par nœud],$B408),"")</f>
        <v>368</v>
      </c>
      <c r="L408" s="19">
        <f>IF($D408=1,INDEX(TblClusters[CPU initial (vCPU)],$B408),"")</f>
        <v>48</v>
      </c>
      <c r="M408" s="19">
        <f>IF($D408=1,INDEX(TblClusters[RAM initiale (Go)],$B408),"")</f>
        <v>240</v>
      </c>
      <c r="N408" s="19">
        <f>IF($D408=1,INDEX(TblClusters[CPU min (vCPU)],$B408),"")</f>
        <v>48</v>
      </c>
      <c r="O408" s="19">
        <f>IF($D408=1,INDEX(TblClusters[RAM min (Go)],$B408),"")</f>
        <v>240</v>
      </c>
      <c r="P408" s="19">
        <f>IF($D408&lt;&gt;1,"",IF($G408="ROKS",SUMIFS(TblApplications[Besoin ROKS CPU (vCPU)],TblApplications[Cluster ROKS cible],$F408,TblApplications[Action],"À migrer",TblApplications[Déjà incluse ROKS],"Non",TblApplications[Mois prov (calc)],"&lt;="&amp;$E408),SUMIFS(TblApplications[CPU IKS libérable (vCPU)],TblApplications[Cluster IKS source],$F408,TblApplications[Mois lib (calc)],"&lt;="&amp;$E408)))</f>
        <v>0</v>
      </c>
      <c r="Q408" s="19">
        <f>IF($D408&lt;&gt;1,"",IF($G408="ROKS",SUMIFS(TblApplications[Besoin ROKS RAM (Go)],TblApplications[Cluster ROKS cible],$F408,TblApplications[Action],"À migrer",TblApplications[Déjà incluse ROKS],"Non",TblApplications[Mois prov (calc)],"&lt;="&amp;$E408),SUMIFS(TblApplications[RAM IKS libérable (Go)],TblApplications[Cluster IKS source],$F408,TblApplications[Mois lib (calc)],"&lt;="&amp;$E408)))</f>
        <v>0</v>
      </c>
      <c r="R408" s="19">
        <f t="shared" si="105"/>
        <v>48</v>
      </c>
      <c r="S408" s="19">
        <f t="shared" si="106"/>
        <v>240</v>
      </c>
      <c r="T408" s="19">
        <f t="shared" si="107"/>
        <v>6</v>
      </c>
      <c r="U408" s="19">
        <f t="shared" si="108"/>
        <v>48</v>
      </c>
      <c r="V408" s="19">
        <f t="shared" si="109"/>
        <v>240</v>
      </c>
      <c r="W408" s="73">
        <f t="shared" si="110"/>
        <v>2208</v>
      </c>
      <c r="X408" s="19">
        <f>IF($D408&lt;&gt;1,"",IF($G408="ROKS",$R408,IF($AI408=1,0,MAX($N408,$L408-SUMIFS(TblApplications[CPU IKS libérable (vCPU)],TblApplications[Cluster IKS source],$F408,TblApplications[Action],"À migrer",TblApplications[Mois prov (calc)],"&lt;="&amp;$E408)-SUMIFS(TblApplications[CPU IKS libérable (vCPU)],TblApplications[Cluster IKS source],$F408,TblApplications[Action],"À décommissionner",TblApplications[Mois lib (calc)],"&lt;="&amp;$E408)))))</f>
        <v>48</v>
      </c>
      <c r="Y408" s="19">
        <f>IF($D408&lt;&gt;1,"",IF($G408="ROKS",$S408,IF($AI408=1,0,MAX($O408,$M408-SUMIFS(TblApplications[RAM IKS libérable (Go)],TblApplications[Cluster IKS source],$F408,TblApplications[Action],"À migrer",TblApplications[Mois prov (calc)],"&lt;="&amp;$E408)-SUMIFS(TblApplications[RAM IKS libérable (Go)],TblApplications[Cluster IKS source],$F408,TblApplications[Action],"À décommissionner",TblApplications[Mois lib (calc)],"&lt;="&amp;$E408)))))</f>
        <v>240</v>
      </c>
      <c r="Z408" s="19">
        <f t="shared" si="111"/>
        <v>6</v>
      </c>
      <c r="AA408" s="73">
        <f t="shared" si="112"/>
        <v>2208</v>
      </c>
      <c r="AB408" s="19">
        <f t="shared" si="113"/>
        <v>6</v>
      </c>
      <c r="AC408" s="73">
        <f t="shared" si="114"/>
        <v>2208</v>
      </c>
      <c r="AD408" s="19">
        <f t="shared" si="115"/>
        <v>0</v>
      </c>
      <c r="AE408" s="19">
        <f t="shared" si="116"/>
        <v>0</v>
      </c>
      <c r="AF408" s="19" t="str">
        <f>IF($D408&lt;&gt;1,"",IF(INDEX(TblClusters[Environnement],$B408)="","(vide)",INDEX(TblClusters[Environnement],$B408)))</f>
        <v>PRD</v>
      </c>
      <c r="AG408" s="19">
        <f t="shared" si="117"/>
        <v>72</v>
      </c>
      <c r="AH408" s="19">
        <f t="shared" si="118"/>
        <v>30.666666666666668</v>
      </c>
      <c r="AI408" s="19">
        <f>IF($D408&lt;&gt;1,"",IF(AND($G408="IKS",ISNUMBER(INDEX(TblClusters[Fermeture retenue],$B408))),IF($E408&gt;=INDEX(TblClusters[Fermeture retenue],$B408),1,0),0))</f>
        <v>0</v>
      </c>
    </row>
    <row r="409" spans="1:35" x14ac:dyDescent="0.2">
      <c r="A409" s="19">
        <v>404</v>
      </c>
      <c r="B409" s="19">
        <f t="shared" si="102"/>
        <v>12</v>
      </c>
      <c r="C409" s="19">
        <f t="shared" si="103"/>
        <v>8</v>
      </c>
      <c r="D409" s="19">
        <f>IF($C409&gt;p_horizon,0,IFERROR(IF(AND(INDEX(TblClusters[Cluster],$B409)&lt;&gt;"",ISNUMBER(INDEX(TblClusters[CPU initial (vCPU)],$B409)),ISNUMBER(INDEX(TblClusters[CPU min (vCPU)],$B409)),OR(INDEX(TblClusters[Plateforme],$B409)="IKS",INDEX(TblClusters[Plateforme],$B409)="ROKS")),1,0),0))</f>
        <v>1</v>
      </c>
      <c r="E409" s="72">
        <f t="shared" si="104"/>
        <v>46508</v>
      </c>
      <c r="F409" s="19" t="str">
        <f>IF($D409=1,INDEX(TblClusters[Cluster],$B409),"")</f>
        <v>oc-EMEA-NOS-PRD</v>
      </c>
      <c r="G409" s="19" t="str">
        <f>IF($D409=1,INDEX(TblClusters[Plateforme],$B409),"")</f>
        <v>ROKS</v>
      </c>
      <c r="H409" s="19">
        <f>IF($D409=1,INDEX(TblClusters[vCPU par nœud],$B409),"")</f>
        <v>8</v>
      </c>
      <c r="I409" s="19">
        <f>IF($D409=1,INDEX(TblClusters[RAM par nœud (Go)],$B409),"")</f>
        <v>40</v>
      </c>
      <c r="J409" s="19">
        <f>IF($D409=1,INDEX(TblClusters[Workers min],$B409),"")</f>
        <v>6</v>
      </c>
      <c r="K409" s="73">
        <f>IF($D409=1,INDEX(TblClusters[Tarif par nœud],$B409),"")</f>
        <v>368</v>
      </c>
      <c r="L409" s="19">
        <f>IF($D409=1,INDEX(TblClusters[CPU initial (vCPU)],$B409),"")</f>
        <v>48</v>
      </c>
      <c r="M409" s="19">
        <f>IF($D409=1,INDEX(TblClusters[RAM initiale (Go)],$B409),"")</f>
        <v>240</v>
      </c>
      <c r="N409" s="19">
        <f>IF($D409=1,INDEX(TblClusters[CPU min (vCPU)],$B409),"")</f>
        <v>48</v>
      </c>
      <c r="O409" s="19">
        <f>IF($D409=1,INDEX(TblClusters[RAM min (Go)],$B409),"")</f>
        <v>240</v>
      </c>
      <c r="P409" s="19">
        <f>IF($D409&lt;&gt;1,"",IF($G409="ROKS",SUMIFS(TblApplications[Besoin ROKS CPU (vCPU)],TblApplications[Cluster ROKS cible],$F409,TblApplications[Action],"À migrer",TblApplications[Déjà incluse ROKS],"Non",TblApplications[Mois prov (calc)],"&lt;="&amp;$E409),SUMIFS(TblApplications[CPU IKS libérable (vCPU)],TblApplications[Cluster IKS source],$F409,TblApplications[Mois lib (calc)],"&lt;="&amp;$E409)))</f>
        <v>0</v>
      </c>
      <c r="Q409" s="19">
        <f>IF($D409&lt;&gt;1,"",IF($G409="ROKS",SUMIFS(TblApplications[Besoin ROKS RAM (Go)],TblApplications[Cluster ROKS cible],$F409,TblApplications[Action],"À migrer",TblApplications[Déjà incluse ROKS],"Non",TblApplications[Mois prov (calc)],"&lt;="&amp;$E409),SUMIFS(TblApplications[RAM IKS libérable (Go)],TblApplications[Cluster IKS source],$F409,TblApplications[Mois lib (calc)],"&lt;="&amp;$E409)))</f>
        <v>0</v>
      </c>
      <c r="R409" s="19">
        <f t="shared" si="105"/>
        <v>48</v>
      </c>
      <c r="S409" s="19">
        <f t="shared" si="106"/>
        <v>240</v>
      </c>
      <c r="T409" s="19">
        <f t="shared" si="107"/>
        <v>6</v>
      </c>
      <c r="U409" s="19">
        <f t="shared" si="108"/>
        <v>48</v>
      </c>
      <c r="V409" s="19">
        <f t="shared" si="109"/>
        <v>240</v>
      </c>
      <c r="W409" s="73">
        <f t="shared" si="110"/>
        <v>2208</v>
      </c>
      <c r="X409" s="19">
        <f>IF($D409&lt;&gt;1,"",IF($G409="ROKS",$R409,IF($AI409=1,0,MAX($N409,$L409-SUMIFS(TblApplications[CPU IKS libérable (vCPU)],TblApplications[Cluster IKS source],$F409,TblApplications[Action],"À migrer",TblApplications[Mois prov (calc)],"&lt;="&amp;$E409)-SUMIFS(TblApplications[CPU IKS libérable (vCPU)],TblApplications[Cluster IKS source],$F409,TblApplications[Action],"À décommissionner",TblApplications[Mois lib (calc)],"&lt;="&amp;$E409)))))</f>
        <v>48</v>
      </c>
      <c r="Y409" s="19">
        <f>IF($D409&lt;&gt;1,"",IF($G409="ROKS",$S409,IF($AI409=1,0,MAX($O409,$M409-SUMIFS(TblApplications[RAM IKS libérable (Go)],TblApplications[Cluster IKS source],$F409,TblApplications[Action],"À migrer",TblApplications[Mois prov (calc)],"&lt;="&amp;$E409)-SUMIFS(TblApplications[RAM IKS libérable (Go)],TblApplications[Cluster IKS source],$F409,TblApplications[Action],"À décommissionner",TblApplications[Mois lib (calc)],"&lt;="&amp;$E409)))))</f>
        <v>240</v>
      </c>
      <c r="Z409" s="19">
        <f t="shared" si="111"/>
        <v>6</v>
      </c>
      <c r="AA409" s="73">
        <f t="shared" si="112"/>
        <v>2208</v>
      </c>
      <c r="AB409" s="19">
        <f t="shared" si="113"/>
        <v>6</v>
      </c>
      <c r="AC409" s="73">
        <f t="shared" si="114"/>
        <v>2208</v>
      </c>
      <c r="AD409" s="19">
        <f t="shared" si="115"/>
        <v>0</v>
      </c>
      <c r="AE409" s="19">
        <f t="shared" si="116"/>
        <v>0</v>
      </c>
      <c r="AF409" s="19" t="str">
        <f>IF($D409&lt;&gt;1,"",IF(INDEX(TblClusters[Environnement],$B409)="","(vide)",INDEX(TblClusters[Environnement],$B409)))</f>
        <v>PRD</v>
      </c>
      <c r="AG409" s="19">
        <f t="shared" si="117"/>
        <v>72</v>
      </c>
      <c r="AH409" s="19">
        <f t="shared" si="118"/>
        <v>30.666666666666668</v>
      </c>
      <c r="AI409" s="19">
        <f>IF($D409&lt;&gt;1,"",IF(AND($G409="IKS",ISNUMBER(INDEX(TblClusters[Fermeture retenue],$B409))),IF($E409&gt;=INDEX(TblClusters[Fermeture retenue],$B409),1,0),0))</f>
        <v>0</v>
      </c>
    </row>
    <row r="410" spans="1:35" x14ac:dyDescent="0.2">
      <c r="A410" s="19">
        <v>405</v>
      </c>
      <c r="B410" s="19">
        <f t="shared" si="102"/>
        <v>12</v>
      </c>
      <c r="C410" s="19">
        <f t="shared" si="103"/>
        <v>9</v>
      </c>
      <c r="D410" s="19">
        <f>IF($C410&gt;p_horizon,0,IFERROR(IF(AND(INDEX(TblClusters[Cluster],$B410)&lt;&gt;"",ISNUMBER(INDEX(TblClusters[CPU initial (vCPU)],$B410)),ISNUMBER(INDEX(TblClusters[CPU min (vCPU)],$B410)),OR(INDEX(TblClusters[Plateforme],$B410)="IKS",INDEX(TblClusters[Plateforme],$B410)="ROKS")),1,0),0))</f>
        <v>1</v>
      </c>
      <c r="E410" s="72">
        <f t="shared" si="104"/>
        <v>46539</v>
      </c>
      <c r="F410" s="19" t="str">
        <f>IF($D410=1,INDEX(TblClusters[Cluster],$B410),"")</f>
        <v>oc-EMEA-NOS-PRD</v>
      </c>
      <c r="G410" s="19" t="str">
        <f>IF($D410=1,INDEX(TblClusters[Plateforme],$B410),"")</f>
        <v>ROKS</v>
      </c>
      <c r="H410" s="19">
        <f>IF($D410=1,INDEX(TblClusters[vCPU par nœud],$B410),"")</f>
        <v>8</v>
      </c>
      <c r="I410" s="19">
        <f>IF($D410=1,INDEX(TblClusters[RAM par nœud (Go)],$B410),"")</f>
        <v>40</v>
      </c>
      <c r="J410" s="19">
        <f>IF($D410=1,INDEX(TblClusters[Workers min],$B410),"")</f>
        <v>6</v>
      </c>
      <c r="K410" s="73">
        <f>IF($D410=1,INDEX(TblClusters[Tarif par nœud],$B410),"")</f>
        <v>368</v>
      </c>
      <c r="L410" s="19">
        <f>IF($D410=1,INDEX(TblClusters[CPU initial (vCPU)],$B410),"")</f>
        <v>48</v>
      </c>
      <c r="M410" s="19">
        <f>IF($D410=1,INDEX(TblClusters[RAM initiale (Go)],$B410),"")</f>
        <v>240</v>
      </c>
      <c r="N410" s="19">
        <f>IF($D410=1,INDEX(TblClusters[CPU min (vCPU)],$B410),"")</f>
        <v>48</v>
      </c>
      <c r="O410" s="19">
        <f>IF($D410=1,INDEX(TblClusters[RAM min (Go)],$B410),"")</f>
        <v>240</v>
      </c>
      <c r="P410" s="19">
        <f>IF($D410&lt;&gt;1,"",IF($G410="ROKS",SUMIFS(TblApplications[Besoin ROKS CPU (vCPU)],TblApplications[Cluster ROKS cible],$F410,TblApplications[Action],"À migrer",TblApplications[Déjà incluse ROKS],"Non",TblApplications[Mois prov (calc)],"&lt;="&amp;$E410),SUMIFS(TblApplications[CPU IKS libérable (vCPU)],TblApplications[Cluster IKS source],$F410,TblApplications[Mois lib (calc)],"&lt;="&amp;$E410)))</f>
        <v>0</v>
      </c>
      <c r="Q410" s="19">
        <f>IF($D410&lt;&gt;1,"",IF($G410="ROKS",SUMIFS(TblApplications[Besoin ROKS RAM (Go)],TblApplications[Cluster ROKS cible],$F410,TblApplications[Action],"À migrer",TblApplications[Déjà incluse ROKS],"Non",TblApplications[Mois prov (calc)],"&lt;="&amp;$E410),SUMIFS(TblApplications[RAM IKS libérable (Go)],TblApplications[Cluster IKS source],$F410,TblApplications[Mois lib (calc)],"&lt;="&amp;$E410)))</f>
        <v>0</v>
      </c>
      <c r="R410" s="19">
        <f t="shared" si="105"/>
        <v>48</v>
      </c>
      <c r="S410" s="19">
        <f t="shared" si="106"/>
        <v>240</v>
      </c>
      <c r="T410" s="19">
        <f t="shared" si="107"/>
        <v>6</v>
      </c>
      <c r="U410" s="19">
        <f t="shared" si="108"/>
        <v>48</v>
      </c>
      <c r="V410" s="19">
        <f t="shared" si="109"/>
        <v>240</v>
      </c>
      <c r="W410" s="73">
        <f t="shared" si="110"/>
        <v>2208</v>
      </c>
      <c r="X410" s="19">
        <f>IF($D410&lt;&gt;1,"",IF($G410="ROKS",$R410,IF($AI410=1,0,MAX($N410,$L410-SUMIFS(TblApplications[CPU IKS libérable (vCPU)],TblApplications[Cluster IKS source],$F410,TblApplications[Action],"À migrer",TblApplications[Mois prov (calc)],"&lt;="&amp;$E410)-SUMIFS(TblApplications[CPU IKS libérable (vCPU)],TblApplications[Cluster IKS source],$F410,TblApplications[Action],"À décommissionner",TblApplications[Mois lib (calc)],"&lt;="&amp;$E410)))))</f>
        <v>48</v>
      </c>
      <c r="Y410" s="19">
        <f>IF($D410&lt;&gt;1,"",IF($G410="ROKS",$S410,IF($AI410=1,0,MAX($O410,$M410-SUMIFS(TblApplications[RAM IKS libérable (Go)],TblApplications[Cluster IKS source],$F410,TblApplications[Action],"À migrer",TblApplications[Mois prov (calc)],"&lt;="&amp;$E410)-SUMIFS(TblApplications[RAM IKS libérable (Go)],TblApplications[Cluster IKS source],$F410,TblApplications[Action],"À décommissionner",TblApplications[Mois lib (calc)],"&lt;="&amp;$E410)))))</f>
        <v>240</v>
      </c>
      <c r="Z410" s="19">
        <f t="shared" si="111"/>
        <v>6</v>
      </c>
      <c r="AA410" s="73">
        <f t="shared" si="112"/>
        <v>2208</v>
      </c>
      <c r="AB410" s="19">
        <f t="shared" si="113"/>
        <v>6</v>
      </c>
      <c r="AC410" s="73">
        <f t="shared" si="114"/>
        <v>2208</v>
      </c>
      <c r="AD410" s="19">
        <f t="shared" si="115"/>
        <v>0</v>
      </c>
      <c r="AE410" s="19">
        <f t="shared" si="116"/>
        <v>0</v>
      </c>
      <c r="AF410" s="19" t="str">
        <f>IF($D410&lt;&gt;1,"",IF(INDEX(TblClusters[Environnement],$B410)="","(vide)",INDEX(TblClusters[Environnement],$B410)))</f>
        <v>PRD</v>
      </c>
      <c r="AG410" s="19">
        <f t="shared" si="117"/>
        <v>72</v>
      </c>
      <c r="AH410" s="19">
        <f t="shared" si="118"/>
        <v>30.666666666666668</v>
      </c>
      <c r="AI410" s="19">
        <f>IF($D410&lt;&gt;1,"",IF(AND($G410="IKS",ISNUMBER(INDEX(TblClusters[Fermeture retenue],$B410))),IF($E410&gt;=INDEX(TblClusters[Fermeture retenue],$B410),1,0),0))</f>
        <v>0</v>
      </c>
    </row>
    <row r="411" spans="1:35" x14ac:dyDescent="0.2">
      <c r="A411" s="19">
        <v>406</v>
      </c>
      <c r="B411" s="19">
        <f t="shared" si="102"/>
        <v>12</v>
      </c>
      <c r="C411" s="19">
        <f t="shared" si="103"/>
        <v>10</v>
      </c>
      <c r="D411" s="19">
        <f>IF($C411&gt;p_horizon,0,IFERROR(IF(AND(INDEX(TblClusters[Cluster],$B411)&lt;&gt;"",ISNUMBER(INDEX(TblClusters[CPU initial (vCPU)],$B411)),ISNUMBER(INDEX(TblClusters[CPU min (vCPU)],$B411)),OR(INDEX(TblClusters[Plateforme],$B411)="IKS",INDEX(TblClusters[Plateforme],$B411)="ROKS")),1,0),0))</f>
        <v>1</v>
      </c>
      <c r="E411" s="72">
        <f t="shared" si="104"/>
        <v>46569</v>
      </c>
      <c r="F411" s="19" t="str">
        <f>IF($D411=1,INDEX(TblClusters[Cluster],$B411),"")</f>
        <v>oc-EMEA-NOS-PRD</v>
      </c>
      <c r="G411" s="19" t="str">
        <f>IF($D411=1,INDEX(TblClusters[Plateforme],$B411),"")</f>
        <v>ROKS</v>
      </c>
      <c r="H411" s="19">
        <f>IF($D411=1,INDEX(TblClusters[vCPU par nœud],$B411),"")</f>
        <v>8</v>
      </c>
      <c r="I411" s="19">
        <f>IF($D411=1,INDEX(TblClusters[RAM par nœud (Go)],$B411),"")</f>
        <v>40</v>
      </c>
      <c r="J411" s="19">
        <f>IF($D411=1,INDEX(TblClusters[Workers min],$B411),"")</f>
        <v>6</v>
      </c>
      <c r="K411" s="73">
        <f>IF($D411=1,INDEX(TblClusters[Tarif par nœud],$B411),"")</f>
        <v>368</v>
      </c>
      <c r="L411" s="19">
        <f>IF($D411=1,INDEX(TblClusters[CPU initial (vCPU)],$B411),"")</f>
        <v>48</v>
      </c>
      <c r="M411" s="19">
        <f>IF($D411=1,INDEX(TblClusters[RAM initiale (Go)],$B411),"")</f>
        <v>240</v>
      </c>
      <c r="N411" s="19">
        <f>IF($D411=1,INDEX(TblClusters[CPU min (vCPU)],$B411),"")</f>
        <v>48</v>
      </c>
      <c r="O411" s="19">
        <f>IF($D411=1,INDEX(TblClusters[RAM min (Go)],$B411),"")</f>
        <v>240</v>
      </c>
      <c r="P411" s="19">
        <f>IF($D411&lt;&gt;1,"",IF($G411="ROKS",SUMIFS(TblApplications[Besoin ROKS CPU (vCPU)],TblApplications[Cluster ROKS cible],$F411,TblApplications[Action],"À migrer",TblApplications[Déjà incluse ROKS],"Non",TblApplications[Mois prov (calc)],"&lt;="&amp;$E411),SUMIFS(TblApplications[CPU IKS libérable (vCPU)],TblApplications[Cluster IKS source],$F411,TblApplications[Mois lib (calc)],"&lt;="&amp;$E411)))</f>
        <v>0</v>
      </c>
      <c r="Q411" s="19">
        <f>IF($D411&lt;&gt;1,"",IF($G411="ROKS",SUMIFS(TblApplications[Besoin ROKS RAM (Go)],TblApplications[Cluster ROKS cible],$F411,TblApplications[Action],"À migrer",TblApplications[Déjà incluse ROKS],"Non",TblApplications[Mois prov (calc)],"&lt;="&amp;$E411),SUMIFS(TblApplications[RAM IKS libérable (Go)],TblApplications[Cluster IKS source],$F411,TblApplications[Mois lib (calc)],"&lt;="&amp;$E411)))</f>
        <v>0</v>
      </c>
      <c r="R411" s="19">
        <f t="shared" si="105"/>
        <v>48</v>
      </c>
      <c r="S411" s="19">
        <f t="shared" si="106"/>
        <v>240</v>
      </c>
      <c r="T411" s="19">
        <f t="shared" si="107"/>
        <v>6</v>
      </c>
      <c r="U411" s="19">
        <f t="shared" si="108"/>
        <v>48</v>
      </c>
      <c r="V411" s="19">
        <f t="shared" si="109"/>
        <v>240</v>
      </c>
      <c r="W411" s="73">
        <f t="shared" si="110"/>
        <v>2208</v>
      </c>
      <c r="X411" s="19">
        <f>IF($D411&lt;&gt;1,"",IF($G411="ROKS",$R411,IF($AI411=1,0,MAX($N411,$L411-SUMIFS(TblApplications[CPU IKS libérable (vCPU)],TblApplications[Cluster IKS source],$F411,TblApplications[Action],"À migrer",TblApplications[Mois prov (calc)],"&lt;="&amp;$E411)-SUMIFS(TblApplications[CPU IKS libérable (vCPU)],TblApplications[Cluster IKS source],$F411,TblApplications[Action],"À décommissionner",TblApplications[Mois lib (calc)],"&lt;="&amp;$E411)))))</f>
        <v>48</v>
      </c>
      <c r="Y411" s="19">
        <f>IF($D411&lt;&gt;1,"",IF($G411="ROKS",$S411,IF($AI411=1,0,MAX($O411,$M411-SUMIFS(TblApplications[RAM IKS libérable (Go)],TblApplications[Cluster IKS source],$F411,TblApplications[Action],"À migrer",TblApplications[Mois prov (calc)],"&lt;="&amp;$E411)-SUMIFS(TblApplications[RAM IKS libérable (Go)],TblApplications[Cluster IKS source],$F411,TblApplications[Action],"À décommissionner",TblApplications[Mois lib (calc)],"&lt;="&amp;$E411)))))</f>
        <v>240</v>
      </c>
      <c r="Z411" s="19">
        <f t="shared" si="111"/>
        <v>6</v>
      </c>
      <c r="AA411" s="73">
        <f t="shared" si="112"/>
        <v>2208</v>
      </c>
      <c r="AB411" s="19">
        <f t="shared" si="113"/>
        <v>6</v>
      </c>
      <c r="AC411" s="73">
        <f t="shared" si="114"/>
        <v>2208</v>
      </c>
      <c r="AD411" s="19">
        <f t="shared" si="115"/>
        <v>0</v>
      </c>
      <c r="AE411" s="19">
        <f t="shared" si="116"/>
        <v>0</v>
      </c>
      <c r="AF411" s="19" t="str">
        <f>IF($D411&lt;&gt;1,"",IF(INDEX(TblClusters[Environnement],$B411)="","(vide)",INDEX(TblClusters[Environnement],$B411)))</f>
        <v>PRD</v>
      </c>
      <c r="AG411" s="19">
        <f t="shared" si="117"/>
        <v>72</v>
      </c>
      <c r="AH411" s="19">
        <f t="shared" si="118"/>
        <v>30.666666666666668</v>
      </c>
      <c r="AI411" s="19">
        <f>IF($D411&lt;&gt;1,"",IF(AND($G411="IKS",ISNUMBER(INDEX(TblClusters[Fermeture retenue],$B411))),IF($E411&gt;=INDEX(TblClusters[Fermeture retenue],$B411),1,0),0))</f>
        <v>0</v>
      </c>
    </row>
    <row r="412" spans="1:35" x14ac:dyDescent="0.2">
      <c r="A412" s="19">
        <v>407</v>
      </c>
      <c r="B412" s="19">
        <f t="shared" si="102"/>
        <v>12</v>
      </c>
      <c r="C412" s="19">
        <f t="shared" si="103"/>
        <v>11</v>
      </c>
      <c r="D412" s="19">
        <f>IF($C412&gt;p_horizon,0,IFERROR(IF(AND(INDEX(TblClusters[Cluster],$B412)&lt;&gt;"",ISNUMBER(INDEX(TblClusters[CPU initial (vCPU)],$B412)),ISNUMBER(INDEX(TblClusters[CPU min (vCPU)],$B412)),OR(INDEX(TblClusters[Plateforme],$B412)="IKS",INDEX(TblClusters[Plateforme],$B412)="ROKS")),1,0),0))</f>
        <v>1</v>
      </c>
      <c r="E412" s="72">
        <f t="shared" si="104"/>
        <v>46600</v>
      </c>
      <c r="F412" s="19" t="str">
        <f>IF($D412=1,INDEX(TblClusters[Cluster],$B412),"")</f>
        <v>oc-EMEA-NOS-PRD</v>
      </c>
      <c r="G412" s="19" t="str">
        <f>IF($D412=1,INDEX(TblClusters[Plateforme],$B412),"")</f>
        <v>ROKS</v>
      </c>
      <c r="H412" s="19">
        <f>IF($D412=1,INDEX(TblClusters[vCPU par nœud],$B412),"")</f>
        <v>8</v>
      </c>
      <c r="I412" s="19">
        <f>IF($D412=1,INDEX(TblClusters[RAM par nœud (Go)],$B412),"")</f>
        <v>40</v>
      </c>
      <c r="J412" s="19">
        <f>IF($D412=1,INDEX(TblClusters[Workers min],$B412),"")</f>
        <v>6</v>
      </c>
      <c r="K412" s="73">
        <f>IF($D412=1,INDEX(TblClusters[Tarif par nœud],$B412),"")</f>
        <v>368</v>
      </c>
      <c r="L412" s="19">
        <f>IF($D412=1,INDEX(TblClusters[CPU initial (vCPU)],$B412),"")</f>
        <v>48</v>
      </c>
      <c r="M412" s="19">
        <f>IF($D412=1,INDEX(TblClusters[RAM initiale (Go)],$B412),"")</f>
        <v>240</v>
      </c>
      <c r="N412" s="19">
        <f>IF($D412=1,INDEX(TblClusters[CPU min (vCPU)],$B412),"")</f>
        <v>48</v>
      </c>
      <c r="O412" s="19">
        <f>IF($D412=1,INDEX(TblClusters[RAM min (Go)],$B412),"")</f>
        <v>240</v>
      </c>
      <c r="P412" s="19">
        <f>IF($D412&lt;&gt;1,"",IF($G412="ROKS",SUMIFS(TblApplications[Besoin ROKS CPU (vCPU)],TblApplications[Cluster ROKS cible],$F412,TblApplications[Action],"À migrer",TblApplications[Déjà incluse ROKS],"Non",TblApplications[Mois prov (calc)],"&lt;="&amp;$E412),SUMIFS(TblApplications[CPU IKS libérable (vCPU)],TblApplications[Cluster IKS source],$F412,TblApplications[Mois lib (calc)],"&lt;="&amp;$E412)))</f>
        <v>0</v>
      </c>
      <c r="Q412" s="19">
        <f>IF($D412&lt;&gt;1,"",IF($G412="ROKS",SUMIFS(TblApplications[Besoin ROKS RAM (Go)],TblApplications[Cluster ROKS cible],$F412,TblApplications[Action],"À migrer",TblApplications[Déjà incluse ROKS],"Non",TblApplications[Mois prov (calc)],"&lt;="&amp;$E412),SUMIFS(TblApplications[RAM IKS libérable (Go)],TblApplications[Cluster IKS source],$F412,TblApplications[Mois lib (calc)],"&lt;="&amp;$E412)))</f>
        <v>0</v>
      </c>
      <c r="R412" s="19">
        <f t="shared" si="105"/>
        <v>48</v>
      </c>
      <c r="S412" s="19">
        <f t="shared" si="106"/>
        <v>240</v>
      </c>
      <c r="T412" s="19">
        <f t="shared" si="107"/>
        <v>6</v>
      </c>
      <c r="U412" s="19">
        <f t="shared" si="108"/>
        <v>48</v>
      </c>
      <c r="V412" s="19">
        <f t="shared" si="109"/>
        <v>240</v>
      </c>
      <c r="W412" s="73">
        <f t="shared" si="110"/>
        <v>2208</v>
      </c>
      <c r="X412" s="19">
        <f>IF($D412&lt;&gt;1,"",IF($G412="ROKS",$R412,IF($AI412=1,0,MAX($N412,$L412-SUMIFS(TblApplications[CPU IKS libérable (vCPU)],TblApplications[Cluster IKS source],$F412,TblApplications[Action],"À migrer",TblApplications[Mois prov (calc)],"&lt;="&amp;$E412)-SUMIFS(TblApplications[CPU IKS libérable (vCPU)],TblApplications[Cluster IKS source],$F412,TblApplications[Action],"À décommissionner",TblApplications[Mois lib (calc)],"&lt;="&amp;$E412)))))</f>
        <v>48</v>
      </c>
      <c r="Y412" s="19">
        <f>IF($D412&lt;&gt;1,"",IF($G412="ROKS",$S412,IF($AI412=1,0,MAX($O412,$M412-SUMIFS(TblApplications[RAM IKS libérable (Go)],TblApplications[Cluster IKS source],$F412,TblApplications[Action],"À migrer",TblApplications[Mois prov (calc)],"&lt;="&amp;$E412)-SUMIFS(TblApplications[RAM IKS libérable (Go)],TblApplications[Cluster IKS source],$F412,TblApplications[Action],"À décommissionner",TblApplications[Mois lib (calc)],"&lt;="&amp;$E412)))))</f>
        <v>240</v>
      </c>
      <c r="Z412" s="19">
        <f t="shared" si="111"/>
        <v>6</v>
      </c>
      <c r="AA412" s="73">
        <f t="shared" si="112"/>
        <v>2208</v>
      </c>
      <c r="AB412" s="19">
        <f t="shared" si="113"/>
        <v>6</v>
      </c>
      <c r="AC412" s="73">
        <f t="shared" si="114"/>
        <v>2208</v>
      </c>
      <c r="AD412" s="19">
        <f t="shared" si="115"/>
        <v>0</v>
      </c>
      <c r="AE412" s="19">
        <f t="shared" si="116"/>
        <v>0</v>
      </c>
      <c r="AF412" s="19" t="str">
        <f>IF($D412&lt;&gt;1,"",IF(INDEX(TblClusters[Environnement],$B412)="","(vide)",INDEX(TblClusters[Environnement],$B412)))</f>
        <v>PRD</v>
      </c>
      <c r="AG412" s="19">
        <f t="shared" si="117"/>
        <v>72</v>
      </c>
      <c r="AH412" s="19">
        <f t="shared" si="118"/>
        <v>30.666666666666668</v>
      </c>
      <c r="AI412" s="19">
        <f>IF($D412&lt;&gt;1,"",IF(AND($G412="IKS",ISNUMBER(INDEX(TblClusters[Fermeture retenue],$B412))),IF($E412&gt;=INDEX(TblClusters[Fermeture retenue],$B412),1,0),0))</f>
        <v>0</v>
      </c>
    </row>
    <row r="413" spans="1:35" x14ac:dyDescent="0.2">
      <c r="A413" s="19">
        <v>408</v>
      </c>
      <c r="B413" s="19">
        <f t="shared" si="102"/>
        <v>12</v>
      </c>
      <c r="C413" s="19">
        <f t="shared" si="103"/>
        <v>12</v>
      </c>
      <c r="D413" s="19">
        <f>IF($C413&gt;p_horizon,0,IFERROR(IF(AND(INDEX(TblClusters[Cluster],$B413)&lt;&gt;"",ISNUMBER(INDEX(TblClusters[CPU initial (vCPU)],$B413)),ISNUMBER(INDEX(TblClusters[CPU min (vCPU)],$B413)),OR(INDEX(TblClusters[Plateforme],$B413)="IKS",INDEX(TblClusters[Plateforme],$B413)="ROKS")),1,0),0))</f>
        <v>1</v>
      </c>
      <c r="E413" s="72">
        <f t="shared" si="104"/>
        <v>46631</v>
      </c>
      <c r="F413" s="19" t="str">
        <f>IF($D413=1,INDEX(TblClusters[Cluster],$B413),"")</f>
        <v>oc-EMEA-NOS-PRD</v>
      </c>
      <c r="G413" s="19" t="str">
        <f>IF($D413=1,INDEX(TblClusters[Plateforme],$B413),"")</f>
        <v>ROKS</v>
      </c>
      <c r="H413" s="19">
        <f>IF($D413=1,INDEX(TblClusters[vCPU par nœud],$B413),"")</f>
        <v>8</v>
      </c>
      <c r="I413" s="19">
        <f>IF($D413=1,INDEX(TblClusters[RAM par nœud (Go)],$B413),"")</f>
        <v>40</v>
      </c>
      <c r="J413" s="19">
        <f>IF($D413=1,INDEX(TblClusters[Workers min],$B413),"")</f>
        <v>6</v>
      </c>
      <c r="K413" s="73">
        <f>IF($D413=1,INDEX(TblClusters[Tarif par nœud],$B413),"")</f>
        <v>368</v>
      </c>
      <c r="L413" s="19">
        <f>IF($D413=1,INDEX(TblClusters[CPU initial (vCPU)],$B413),"")</f>
        <v>48</v>
      </c>
      <c r="M413" s="19">
        <f>IF($D413=1,INDEX(TblClusters[RAM initiale (Go)],$B413),"")</f>
        <v>240</v>
      </c>
      <c r="N413" s="19">
        <f>IF($D413=1,INDEX(TblClusters[CPU min (vCPU)],$B413),"")</f>
        <v>48</v>
      </c>
      <c r="O413" s="19">
        <f>IF($D413=1,INDEX(TblClusters[RAM min (Go)],$B413),"")</f>
        <v>240</v>
      </c>
      <c r="P413" s="19">
        <f>IF($D413&lt;&gt;1,"",IF($G413="ROKS",SUMIFS(TblApplications[Besoin ROKS CPU (vCPU)],TblApplications[Cluster ROKS cible],$F413,TblApplications[Action],"À migrer",TblApplications[Déjà incluse ROKS],"Non",TblApplications[Mois prov (calc)],"&lt;="&amp;$E413),SUMIFS(TblApplications[CPU IKS libérable (vCPU)],TblApplications[Cluster IKS source],$F413,TblApplications[Mois lib (calc)],"&lt;="&amp;$E413)))</f>
        <v>0</v>
      </c>
      <c r="Q413" s="19">
        <f>IF($D413&lt;&gt;1,"",IF($G413="ROKS",SUMIFS(TblApplications[Besoin ROKS RAM (Go)],TblApplications[Cluster ROKS cible],$F413,TblApplications[Action],"À migrer",TblApplications[Déjà incluse ROKS],"Non",TblApplications[Mois prov (calc)],"&lt;="&amp;$E413),SUMIFS(TblApplications[RAM IKS libérable (Go)],TblApplications[Cluster IKS source],$F413,TblApplications[Mois lib (calc)],"&lt;="&amp;$E413)))</f>
        <v>0</v>
      </c>
      <c r="R413" s="19">
        <f t="shared" si="105"/>
        <v>48</v>
      </c>
      <c r="S413" s="19">
        <f t="shared" si="106"/>
        <v>240</v>
      </c>
      <c r="T413" s="19">
        <f t="shared" si="107"/>
        <v>6</v>
      </c>
      <c r="U413" s="19">
        <f t="shared" si="108"/>
        <v>48</v>
      </c>
      <c r="V413" s="19">
        <f t="shared" si="109"/>
        <v>240</v>
      </c>
      <c r="W413" s="73">
        <f t="shared" si="110"/>
        <v>2208</v>
      </c>
      <c r="X413" s="19">
        <f>IF($D413&lt;&gt;1,"",IF($G413="ROKS",$R413,IF($AI413=1,0,MAX($N413,$L413-SUMIFS(TblApplications[CPU IKS libérable (vCPU)],TblApplications[Cluster IKS source],$F413,TblApplications[Action],"À migrer",TblApplications[Mois prov (calc)],"&lt;="&amp;$E413)-SUMIFS(TblApplications[CPU IKS libérable (vCPU)],TblApplications[Cluster IKS source],$F413,TblApplications[Action],"À décommissionner",TblApplications[Mois lib (calc)],"&lt;="&amp;$E413)))))</f>
        <v>48</v>
      </c>
      <c r="Y413" s="19">
        <f>IF($D413&lt;&gt;1,"",IF($G413="ROKS",$S413,IF($AI413=1,0,MAX($O413,$M413-SUMIFS(TblApplications[RAM IKS libérable (Go)],TblApplications[Cluster IKS source],$F413,TblApplications[Action],"À migrer",TblApplications[Mois prov (calc)],"&lt;="&amp;$E413)-SUMIFS(TblApplications[RAM IKS libérable (Go)],TblApplications[Cluster IKS source],$F413,TblApplications[Action],"À décommissionner",TblApplications[Mois lib (calc)],"&lt;="&amp;$E413)))))</f>
        <v>240</v>
      </c>
      <c r="Z413" s="19">
        <f t="shared" si="111"/>
        <v>6</v>
      </c>
      <c r="AA413" s="73">
        <f t="shared" si="112"/>
        <v>2208</v>
      </c>
      <c r="AB413" s="19">
        <f t="shared" si="113"/>
        <v>6</v>
      </c>
      <c r="AC413" s="73">
        <f t="shared" si="114"/>
        <v>2208</v>
      </c>
      <c r="AD413" s="19">
        <f t="shared" si="115"/>
        <v>0</v>
      </c>
      <c r="AE413" s="19">
        <f t="shared" si="116"/>
        <v>0</v>
      </c>
      <c r="AF413" s="19" t="str">
        <f>IF($D413&lt;&gt;1,"",IF(INDEX(TblClusters[Environnement],$B413)="","(vide)",INDEX(TblClusters[Environnement],$B413)))</f>
        <v>PRD</v>
      </c>
      <c r="AG413" s="19">
        <f t="shared" si="117"/>
        <v>72</v>
      </c>
      <c r="AH413" s="19">
        <f t="shared" si="118"/>
        <v>30.666666666666668</v>
      </c>
      <c r="AI413" s="19">
        <f>IF($D413&lt;&gt;1,"",IF(AND($G413="IKS",ISNUMBER(INDEX(TblClusters[Fermeture retenue],$B413))),IF($E413&gt;=INDEX(TblClusters[Fermeture retenue],$B413),1,0),0))</f>
        <v>0</v>
      </c>
    </row>
    <row r="414" spans="1:35" x14ac:dyDescent="0.2">
      <c r="A414" s="19">
        <v>409</v>
      </c>
      <c r="B414" s="19">
        <f t="shared" si="102"/>
        <v>12</v>
      </c>
      <c r="C414" s="19">
        <f t="shared" si="103"/>
        <v>13</v>
      </c>
      <c r="D414" s="19">
        <f>IF($C414&gt;p_horizon,0,IFERROR(IF(AND(INDEX(TblClusters[Cluster],$B414)&lt;&gt;"",ISNUMBER(INDEX(TblClusters[CPU initial (vCPU)],$B414)),ISNUMBER(INDEX(TblClusters[CPU min (vCPU)],$B414)),OR(INDEX(TblClusters[Plateforme],$B414)="IKS",INDEX(TblClusters[Plateforme],$B414)="ROKS")),1,0),0))</f>
        <v>1</v>
      </c>
      <c r="E414" s="72">
        <f t="shared" si="104"/>
        <v>46661</v>
      </c>
      <c r="F414" s="19" t="str">
        <f>IF($D414=1,INDEX(TblClusters[Cluster],$B414),"")</f>
        <v>oc-EMEA-NOS-PRD</v>
      </c>
      <c r="G414" s="19" t="str">
        <f>IF($D414=1,INDEX(TblClusters[Plateforme],$B414),"")</f>
        <v>ROKS</v>
      </c>
      <c r="H414" s="19">
        <f>IF($D414=1,INDEX(TblClusters[vCPU par nœud],$B414),"")</f>
        <v>8</v>
      </c>
      <c r="I414" s="19">
        <f>IF($D414=1,INDEX(TblClusters[RAM par nœud (Go)],$B414),"")</f>
        <v>40</v>
      </c>
      <c r="J414" s="19">
        <f>IF($D414=1,INDEX(TblClusters[Workers min],$B414),"")</f>
        <v>6</v>
      </c>
      <c r="K414" s="73">
        <f>IF($D414=1,INDEX(TblClusters[Tarif par nœud],$B414),"")</f>
        <v>368</v>
      </c>
      <c r="L414" s="19">
        <f>IF($D414=1,INDEX(TblClusters[CPU initial (vCPU)],$B414),"")</f>
        <v>48</v>
      </c>
      <c r="M414" s="19">
        <f>IF($D414=1,INDEX(TblClusters[RAM initiale (Go)],$B414),"")</f>
        <v>240</v>
      </c>
      <c r="N414" s="19">
        <f>IF($D414=1,INDEX(TblClusters[CPU min (vCPU)],$B414),"")</f>
        <v>48</v>
      </c>
      <c r="O414" s="19">
        <f>IF($D414=1,INDEX(TblClusters[RAM min (Go)],$B414),"")</f>
        <v>240</v>
      </c>
      <c r="P414" s="19">
        <f>IF($D414&lt;&gt;1,"",IF($G414="ROKS",SUMIFS(TblApplications[Besoin ROKS CPU (vCPU)],TblApplications[Cluster ROKS cible],$F414,TblApplications[Action],"À migrer",TblApplications[Déjà incluse ROKS],"Non",TblApplications[Mois prov (calc)],"&lt;="&amp;$E414),SUMIFS(TblApplications[CPU IKS libérable (vCPU)],TblApplications[Cluster IKS source],$F414,TblApplications[Mois lib (calc)],"&lt;="&amp;$E414)))</f>
        <v>0</v>
      </c>
      <c r="Q414" s="19">
        <f>IF($D414&lt;&gt;1,"",IF($G414="ROKS",SUMIFS(TblApplications[Besoin ROKS RAM (Go)],TblApplications[Cluster ROKS cible],$F414,TblApplications[Action],"À migrer",TblApplications[Déjà incluse ROKS],"Non",TblApplications[Mois prov (calc)],"&lt;="&amp;$E414),SUMIFS(TblApplications[RAM IKS libérable (Go)],TblApplications[Cluster IKS source],$F414,TblApplications[Mois lib (calc)],"&lt;="&amp;$E414)))</f>
        <v>0</v>
      </c>
      <c r="R414" s="19">
        <f t="shared" si="105"/>
        <v>48</v>
      </c>
      <c r="S414" s="19">
        <f t="shared" si="106"/>
        <v>240</v>
      </c>
      <c r="T414" s="19">
        <f t="shared" si="107"/>
        <v>6</v>
      </c>
      <c r="U414" s="19">
        <f t="shared" si="108"/>
        <v>48</v>
      </c>
      <c r="V414" s="19">
        <f t="shared" si="109"/>
        <v>240</v>
      </c>
      <c r="W414" s="73">
        <f t="shared" si="110"/>
        <v>2208</v>
      </c>
      <c r="X414" s="19">
        <f>IF($D414&lt;&gt;1,"",IF($G414="ROKS",$R414,IF($AI414=1,0,MAX($N414,$L414-SUMIFS(TblApplications[CPU IKS libérable (vCPU)],TblApplications[Cluster IKS source],$F414,TblApplications[Action],"À migrer",TblApplications[Mois prov (calc)],"&lt;="&amp;$E414)-SUMIFS(TblApplications[CPU IKS libérable (vCPU)],TblApplications[Cluster IKS source],$F414,TblApplications[Action],"À décommissionner",TblApplications[Mois lib (calc)],"&lt;="&amp;$E414)))))</f>
        <v>48</v>
      </c>
      <c r="Y414" s="19">
        <f>IF($D414&lt;&gt;1,"",IF($G414="ROKS",$S414,IF($AI414=1,0,MAX($O414,$M414-SUMIFS(TblApplications[RAM IKS libérable (Go)],TblApplications[Cluster IKS source],$F414,TblApplications[Action],"À migrer",TblApplications[Mois prov (calc)],"&lt;="&amp;$E414)-SUMIFS(TblApplications[RAM IKS libérable (Go)],TblApplications[Cluster IKS source],$F414,TblApplications[Action],"À décommissionner",TblApplications[Mois lib (calc)],"&lt;="&amp;$E414)))))</f>
        <v>240</v>
      </c>
      <c r="Z414" s="19">
        <f t="shared" si="111"/>
        <v>6</v>
      </c>
      <c r="AA414" s="73">
        <f t="shared" si="112"/>
        <v>2208</v>
      </c>
      <c r="AB414" s="19">
        <f t="shared" si="113"/>
        <v>6</v>
      </c>
      <c r="AC414" s="73">
        <f t="shared" si="114"/>
        <v>2208</v>
      </c>
      <c r="AD414" s="19">
        <f t="shared" si="115"/>
        <v>0</v>
      </c>
      <c r="AE414" s="19">
        <f t="shared" si="116"/>
        <v>0</v>
      </c>
      <c r="AF414" s="19" t="str">
        <f>IF($D414&lt;&gt;1,"",IF(INDEX(TblClusters[Environnement],$B414)="","(vide)",INDEX(TblClusters[Environnement],$B414)))</f>
        <v>PRD</v>
      </c>
      <c r="AG414" s="19">
        <f t="shared" si="117"/>
        <v>72</v>
      </c>
      <c r="AH414" s="19">
        <f t="shared" si="118"/>
        <v>30.666666666666668</v>
      </c>
      <c r="AI414" s="19">
        <f>IF($D414&lt;&gt;1,"",IF(AND($G414="IKS",ISNUMBER(INDEX(TblClusters[Fermeture retenue],$B414))),IF($E414&gt;=INDEX(TblClusters[Fermeture retenue],$B414),1,0),0))</f>
        <v>0</v>
      </c>
    </row>
    <row r="415" spans="1:35" x14ac:dyDescent="0.2">
      <c r="A415" s="19">
        <v>410</v>
      </c>
      <c r="B415" s="19">
        <f t="shared" si="102"/>
        <v>12</v>
      </c>
      <c r="C415" s="19">
        <f t="shared" si="103"/>
        <v>14</v>
      </c>
      <c r="D415" s="19">
        <f>IF($C415&gt;p_horizon,0,IFERROR(IF(AND(INDEX(TblClusters[Cluster],$B415)&lt;&gt;"",ISNUMBER(INDEX(TblClusters[CPU initial (vCPU)],$B415)),ISNUMBER(INDEX(TblClusters[CPU min (vCPU)],$B415)),OR(INDEX(TblClusters[Plateforme],$B415)="IKS",INDEX(TblClusters[Plateforme],$B415)="ROKS")),1,0),0))</f>
        <v>1</v>
      </c>
      <c r="E415" s="72">
        <f t="shared" si="104"/>
        <v>46692</v>
      </c>
      <c r="F415" s="19" t="str">
        <f>IF($D415=1,INDEX(TblClusters[Cluster],$B415),"")</f>
        <v>oc-EMEA-NOS-PRD</v>
      </c>
      <c r="G415" s="19" t="str">
        <f>IF($D415=1,INDEX(TblClusters[Plateforme],$B415),"")</f>
        <v>ROKS</v>
      </c>
      <c r="H415" s="19">
        <f>IF($D415=1,INDEX(TblClusters[vCPU par nœud],$B415),"")</f>
        <v>8</v>
      </c>
      <c r="I415" s="19">
        <f>IF($D415=1,INDEX(TblClusters[RAM par nœud (Go)],$B415),"")</f>
        <v>40</v>
      </c>
      <c r="J415" s="19">
        <f>IF($D415=1,INDEX(TblClusters[Workers min],$B415),"")</f>
        <v>6</v>
      </c>
      <c r="K415" s="73">
        <f>IF($D415=1,INDEX(TblClusters[Tarif par nœud],$B415),"")</f>
        <v>368</v>
      </c>
      <c r="L415" s="19">
        <f>IF($D415=1,INDEX(TblClusters[CPU initial (vCPU)],$B415),"")</f>
        <v>48</v>
      </c>
      <c r="M415" s="19">
        <f>IF($D415=1,INDEX(TblClusters[RAM initiale (Go)],$B415),"")</f>
        <v>240</v>
      </c>
      <c r="N415" s="19">
        <f>IF($D415=1,INDEX(TblClusters[CPU min (vCPU)],$B415),"")</f>
        <v>48</v>
      </c>
      <c r="O415" s="19">
        <f>IF($D415=1,INDEX(TblClusters[RAM min (Go)],$B415),"")</f>
        <v>240</v>
      </c>
      <c r="P415" s="19">
        <f>IF($D415&lt;&gt;1,"",IF($G415="ROKS",SUMIFS(TblApplications[Besoin ROKS CPU (vCPU)],TblApplications[Cluster ROKS cible],$F415,TblApplications[Action],"À migrer",TblApplications[Déjà incluse ROKS],"Non",TblApplications[Mois prov (calc)],"&lt;="&amp;$E415),SUMIFS(TblApplications[CPU IKS libérable (vCPU)],TblApplications[Cluster IKS source],$F415,TblApplications[Mois lib (calc)],"&lt;="&amp;$E415)))</f>
        <v>0</v>
      </c>
      <c r="Q415" s="19">
        <f>IF($D415&lt;&gt;1,"",IF($G415="ROKS",SUMIFS(TblApplications[Besoin ROKS RAM (Go)],TblApplications[Cluster ROKS cible],$F415,TblApplications[Action],"À migrer",TblApplications[Déjà incluse ROKS],"Non",TblApplications[Mois prov (calc)],"&lt;="&amp;$E415),SUMIFS(TblApplications[RAM IKS libérable (Go)],TblApplications[Cluster IKS source],$F415,TblApplications[Mois lib (calc)],"&lt;="&amp;$E415)))</f>
        <v>0</v>
      </c>
      <c r="R415" s="19">
        <f t="shared" si="105"/>
        <v>48</v>
      </c>
      <c r="S415" s="19">
        <f t="shared" si="106"/>
        <v>240</v>
      </c>
      <c r="T415" s="19">
        <f t="shared" si="107"/>
        <v>6</v>
      </c>
      <c r="U415" s="19">
        <f t="shared" si="108"/>
        <v>48</v>
      </c>
      <c r="V415" s="19">
        <f t="shared" si="109"/>
        <v>240</v>
      </c>
      <c r="W415" s="73">
        <f t="shared" si="110"/>
        <v>2208</v>
      </c>
      <c r="X415" s="19">
        <f>IF($D415&lt;&gt;1,"",IF($G415="ROKS",$R415,IF($AI415=1,0,MAX($N415,$L415-SUMIFS(TblApplications[CPU IKS libérable (vCPU)],TblApplications[Cluster IKS source],$F415,TblApplications[Action],"À migrer",TblApplications[Mois prov (calc)],"&lt;="&amp;$E415)-SUMIFS(TblApplications[CPU IKS libérable (vCPU)],TblApplications[Cluster IKS source],$F415,TblApplications[Action],"À décommissionner",TblApplications[Mois lib (calc)],"&lt;="&amp;$E415)))))</f>
        <v>48</v>
      </c>
      <c r="Y415" s="19">
        <f>IF($D415&lt;&gt;1,"",IF($G415="ROKS",$S415,IF($AI415=1,0,MAX($O415,$M415-SUMIFS(TblApplications[RAM IKS libérable (Go)],TblApplications[Cluster IKS source],$F415,TblApplications[Action],"À migrer",TblApplications[Mois prov (calc)],"&lt;="&amp;$E415)-SUMIFS(TblApplications[RAM IKS libérable (Go)],TblApplications[Cluster IKS source],$F415,TblApplications[Action],"À décommissionner",TblApplications[Mois lib (calc)],"&lt;="&amp;$E415)))))</f>
        <v>240</v>
      </c>
      <c r="Z415" s="19">
        <f t="shared" si="111"/>
        <v>6</v>
      </c>
      <c r="AA415" s="73">
        <f t="shared" si="112"/>
        <v>2208</v>
      </c>
      <c r="AB415" s="19">
        <f t="shared" si="113"/>
        <v>6</v>
      </c>
      <c r="AC415" s="73">
        <f t="shared" si="114"/>
        <v>2208</v>
      </c>
      <c r="AD415" s="19">
        <f t="shared" si="115"/>
        <v>0</v>
      </c>
      <c r="AE415" s="19">
        <f t="shared" si="116"/>
        <v>0</v>
      </c>
      <c r="AF415" s="19" t="str">
        <f>IF($D415&lt;&gt;1,"",IF(INDEX(TblClusters[Environnement],$B415)="","(vide)",INDEX(TblClusters[Environnement],$B415)))</f>
        <v>PRD</v>
      </c>
      <c r="AG415" s="19">
        <f t="shared" si="117"/>
        <v>72</v>
      </c>
      <c r="AH415" s="19">
        <f t="shared" si="118"/>
        <v>30.666666666666668</v>
      </c>
      <c r="AI415" s="19">
        <f>IF($D415&lt;&gt;1,"",IF(AND($G415="IKS",ISNUMBER(INDEX(TblClusters[Fermeture retenue],$B415))),IF($E415&gt;=INDEX(TblClusters[Fermeture retenue],$B415),1,0),0))</f>
        <v>0</v>
      </c>
    </row>
    <row r="416" spans="1:35" x14ac:dyDescent="0.2">
      <c r="A416" s="19">
        <v>411</v>
      </c>
      <c r="B416" s="19">
        <f t="shared" si="102"/>
        <v>12</v>
      </c>
      <c r="C416" s="19">
        <f t="shared" si="103"/>
        <v>15</v>
      </c>
      <c r="D416" s="19">
        <f>IF($C416&gt;p_horizon,0,IFERROR(IF(AND(INDEX(TblClusters[Cluster],$B416)&lt;&gt;"",ISNUMBER(INDEX(TblClusters[CPU initial (vCPU)],$B416)),ISNUMBER(INDEX(TblClusters[CPU min (vCPU)],$B416)),OR(INDEX(TblClusters[Plateforme],$B416)="IKS",INDEX(TblClusters[Plateforme],$B416)="ROKS")),1,0),0))</f>
        <v>1</v>
      </c>
      <c r="E416" s="72">
        <f t="shared" si="104"/>
        <v>46722</v>
      </c>
      <c r="F416" s="19" t="str">
        <f>IF($D416=1,INDEX(TblClusters[Cluster],$B416),"")</f>
        <v>oc-EMEA-NOS-PRD</v>
      </c>
      <c r="G416" s="19" t="str">
        <f>IF($D416=1,INDEX(TblClusters[Plateforme],$B416),"")</f>
        <v>ROKS</v>
      </c>
      <c r="H416" s="19">
        <f>IF($D416=1,INDEX(TblClusters[vCPU par nœud],$B416),"")</f>
        <v>8</v>
      </c>
      <c r="I416" s="19">
        <f>IF($D416=1,INDEX(TblClusters[RAM par nœud (Go)],$B416),"")</f>
        <v>40</v>
      </c>
      <c r="J416" s="19">
        <f>IF($D416=1,INDEX(TblClusters[Workers min],$B416),"")</f>
        <v>6</v>
      </c>
      <c r="K416" s="73">
        <f>IF($D416=1,INDEX(TblClusters[Tarif par nœud],$B416),"")</f>
        <v>368</v>
      </c>
      <c r="L416" s="19">
        <f>IF($D416=1,INDEX(TblClusters[CPU initial (vCPU)],$B416),"")</f>
        <v>48</v>
      </c>
      <c r="M416" s="19">
        <f>IF($D416=1,INDEX(TblClusters[RAM initiale (Go)],$B416),"")</f>
        <v>240</v>
      </c>
      <c r="N416" s="19">
        <f>IF($D416=1,INDEX(TblClusters[CPU min (vCPU)],$B416),"")</f>
        <v>48</v>
      </c>
      <c r="O416" s="19">
        <f>IF($D416=1,INDEX(TblClusters[RAM min (Go)],$B416),"")</f>
        <v>240</v>
      </c>
      <c r="P416" s="19">
        <f>IF($D416&lt;&gt;1,"",IF($G416="ROKS",SUMIFS(TblApplications[Besoin ROKS CPU (vCPU)],TblApplications[Cluster ROKS cible],$F416,TblApplications[Action],"À migrer",TblApplications[Déjà incluse ROKS],"Non",TblApplications[Mois prov (calc)],"&lt;="&amp;$E416),SUMIFS(TblApplications[CPU IKS libérable (vCPU)],TblApplications[Cluster IKS source],$F416,TblApplications[Mois lib (calc)],"&lt;="&amp;$E416)))</f>
        <v>0</v>
      </c>
      <c r="Q416" s="19">
        <f>IF($D416&lt;&gt;1,"",IF($G416="ROKS",SUMIFS(TblApplications[Besoin ROKS RAM (Go)],TblApplications[Cluster ROKS cible],$F416,TblApplications[Action],"À migrer",TblApplications[Déjà incluse ROKS],"Non",TblApplications[Mois prov (calc)],"&lt;="&amp;$E416),SUMIFS(TblApplications[RAM IKS libérable (Go)],TblApplications[Cluster IKS source],$F416,TblApplications[Mois lib (calc)],"&lt;="&amp;$E416)))</f>
        <v>0</v>
      </c>
      <c r="R416" s="19">
        <f t="shared" si="105"/>
        <v>48</v>
      </c>
      <c r="S416" s="19">
        <f t="shared" si="106"/>
        <v>240</v>
      </c>
      <c r="T416" s="19">
        <f t="shared" si="107"/>
        <v>6</v>
      </c>
      <c r="U416" s="19">
        <f t="shared" si="108"/>
        <v>48</v>
      </c>
      <c r="V416" s="19">
        <f t="shared" si="109"/>
        <v>240</v>
      </c>
      <c r="W416" s="73">
        <f t="shared" si="110"/>
        <v>2208</v>
      </c>
      <c r="X416" s="19">
        <f>IF($D416&lt;&gt;1,"",IF($G416="ROKS",$R416,IF($AI416=1,0,MAX($N416,$L416-SUMIFS(TblApplications[CPU IKS libérable (vCPU)],TblApplications[Cluster IKS source],$F416,TblApplications[Action],"À migrer",TblApplications[Mois prov (calc)],"&lt;="&amp;$E416)-SUMIFS(TblApplications[CPU IKS libérable (vCPU)],TblApplications[Cluster IKS source],$F416,TblApplications[Action],"À décommissionner",TblApplications[Mois lib (calc)],"&lt;="&amp;$E416)))))</f>
        <v>48</v>
      </c>
      <c r="Y416" s="19">
        <f>IF($D416&lt;&gt;1,"",IF($G416="ROKS",$S416,IF($AI416=1,0,MAX($O416,$M416-SUMIFS(TblApplications[RAM IKS libérable (Go)],TblApplications[Cluster IKS source],$F416,TblApplications[Action],"À migrer",TblApplications[Mois prov (calc)],"&lt;="&amp;$E416)-SUMIFS(TblApplications[RAM IKS libérable (Go)],TblApplications[Cluster IKS source],$F416,TblApplications[Action],"À décommissionner",TblApplications[Mois lib (calc)],"&lt;="&amp;$E416)))))</f>
        <v>240</v>
      </c>
      <c r="Z416" s="19">
        <f t="shared" si="111"/>
        <v>6</v>
      </c>
      <c r="AA416" s="73">
        <f t="shared" si="112"/>
        <v>2208</v>
      </c>
      <c r="AB416" s="19">
        <f t="shared" si="113"/>
        <v>6</v>
      </c>
      <c r="AC416" s="73">
        <f t="shared" si="114"/>
        <v>2208</v>
      </c>
      <c r="AD416" s="19">
        <f t="shared" si="115"/>
        <v>0</v>
      </c>
      <c r="AE416" s="19">
        <f t="shared" si="116"/>
        <v>0</v>
      </c>
      <c r="AF416" s="19" t="str">
        <f>IF($D416&lt;&gt;1,"",IF(INDEX(TblClusters[Environnement],$B416)="","(vide)",INDEX(TblClusters[Environnement],$B416)))</f>
        <v>PRD</v>
      </c>
      <c r="AG416" s="19">
        <f t="shared" si="117"/>
        <v>72</v>
      </c>
      <c r="AH416" s="19">
        <f t="shared" si="118"/>
        <v>30.666666666666668</v>
      </c>
      <c r="AI416" s="19">
        <f>IF($D416&lt;&gt;1,"",IF(AND($G416="IKS",ISNUMBER(INDEX(TblClusters[Fermeture retenue],$B416))),IF($E416&gt;=INDEX(TblClusters[Fermeture retenue],$B416),1,0),0))</f>
        <v>0</v>
      </c>
    </row>
    <row r="417" spans="1:35" x14ac:dyDescent="0.2">
      <c r="A417" s="19">
        <v>412</v>
      </c>
      <c r="B417" s="19">
        <f t="shared" si="102"/>
        <v>12</v>
      </c>
      <c r="C417" s="19">
        <f t="shared" si="103"/>
        <v>16</v>
      </c>
      <c r="D417" s="19">
        <f>IF($C417&gt;p_horizon,0,IFERROR(IF(AND(INDEX(TblClusters[Cluster],$B417)&lt;&gt;"",ISNUMBER(INDEX(TblClusters[CPU initial (vCPU)],$B417)),ISNUMBER(INDEX(TblClusters[CPU min (vCPU)],$B417)),OR(INDEX(TblClusters[Plateforme],$B417)="IKS",INDEX(TblClusters[Plateforme],$B417)="ROKS")),1,0),0))</f>
        <v>1</v>
      </c>
      <c r="E417" s="72">
        <f t="shared" si="104"/>
        <v>46753</v>
      </c>
      <c r="F417" s="19" t="str">
        <f>IF($D417=1,INDEX(TblClusters[Cluster],$B417),"")</f>
        <v>oc-EMEA-NOS-PRD</v>
      </c>
      <c r="G417" s="19" t="str">
        <f>IF($D417=1,INDEX(TblClusters[Plateforme],$B417),"")</f>
        <v>ROKS</v>
      </c>
      <c r="H417" s="19">
        <f>IF($D417=1,INDEX(TblClusters[vCPU par nœud],$B417),"")</f>
        <v>8</v>
      </c>
      <c r="I417" s="19">
        <f>IF($D417=1,INDEX(TblClusters[RAM par nœud (Go)],$B417),"")</f>
        <v>40</v>
      </c>
      <c r="J417" s="19">
        <f>IF($D417=1,INDEX(TblClusters[Workers min],$B417),"")</f>
        <v>6</v>
      </c>
      <c r="K417" s="73">
        <f>IF($D417=1,INDEX(TblClusters[Tarif par nœud],$B417),"")</f>
        <v>368</v>
      </c>
      <c r="L417" s="19">
        <f>IF($D417=1,INDEX(TblClusters[CPU initial (vCPU)],$B417),"")</f>
        <v>48</v>
      </c>
      <c r="M417" s="19">
        <f>IF($D417=1,INDEX(TblClusters[RAM initiale (Go)],$B417),"")</f>
        <v>240</v>
      </c>
      <c r="N417" s="19">
        <f>IF($D417=1,INDEX(TblClusters[CPU min (vCPU)],$B417),"")</f>
        <v>48</v>
      </c>
      <c r="O417" s="19">
        <f>IF($D417=1,INDEX(TblClusters[RAM min (Go)],$B417),"")</f>
        <v>240</v>
      </c>
      <c r="P417" s="19">
        <f>IF($D417&lt;&gt;1,"",IF($G417="ROKS",SUMIFS(TblApplications[Besoin ROKS CPU (vCPU)],TblApplications[Cluster ROKS cible],$F417,TblApplications[Action],"À migrer",TblApplications[Déjà incluse ROKS],"Non",TblApplications[Mois prov (calc)],"&lt;="&amp;$E417),SUMIFS(TblApplications[CPU IKS libérable (vCPU)],TblApplications[Cluster IKS source],$F417,TblApplications[Mois lib (calc)],"&lt;="&amp;$E417)))</f>
        <v>0</v>
      </c>
      <c r="Q417" s="19">
        <f>IF($D417&lt;&gt;1,"",IF($G417="ROKS",SUMIFS(TblApplications[Besoin ROKS RAM (Go)],TblApplications[Cluster ROKS cible],$F417,TblApplications[Action],"À migrer",TblApplications[Déjà incluse ROKS],"Non",TblApplications[Mois prov (calc)],"&lt;="&amp;$E417),SUMIFS(TblApplications[RAM IKS libérable (Go)],TblApplications[Cluster IKS source],$F417,TblApplications[Mois lib (calc)],"&lt;="&amp;$E417)))</f>
        <v>0</v>
      </c>
      <c r="R417" s="19">
        <f t="shared" si="105"/>
        <v>48</v>
      </c>
      <c r="S417" s="19">
        <f t="shared" si="106"/>
        <v>240</v>
      </c>
      <c r="T417" s="19">
        <f t="shared" si="107"/>
        <v>6</v>
      </c>
      <c r="U417" s="19">
        <f t="shared" si="108"/>
        <v>48</v>
      </c>
      <c r="V417" s="19">
        <f t="shared" si="109"/>
        <v>240</v>
      </c>
      <c r="W417" s="73">
        <f t="shared" si="110"/>
        <v>2208</v>
      </c>
      <c r="X417" s="19">
        <f>IF($D417&lt;&gt;1,"",IF($G417="ROKS",$R417,IF($AI417=1,0,MAX($N417,$L417-SUMIFS(TblApplications[CPU IKS libérable (vCPU)],TblApplications[Cluster IKS source],$F417,TblApplications[Action],"À migrer",TblApplications[Mois prov (calc)],"&lt;="&amp;$E417)-SUMIFS(TblApplications[CPU IKS libérable (vCPU)],TblApplications[Cluster IKS source],$F417,TblApplications[Action],"À décommissionner",TblApplications[Mois lib (calc)],"&lt;="&amp;$E417)))))</f>
        <v>48</v>
      </c>
      <c r="Y417" s="19">
        <f>IF($D417&lt;&gt;1,"",IF($G417="ROKS",$S417,IF($AI417=1,0,MAX($O417,$M417-SUMIFS(TblApplications[RAM IKS libérable (Go)],TblApplications[Cluster IKS source],$F417,TblApplications[Action],"À migrer",TblApplications[Mois prov (calc)],"&lt;="&amp;$E417)-SUMIFS(TblApplications[RAM IKS libérable (Go)],TblApplications[Cluster IKS source],$F417,TblApplications[Action],"À décommissionner",TblApplications[Mois lib (calc)],"&lt;="&amp;$E417)))))</f>
        <v>240</v>
      </c>
      <c r="Z417" s="19">
        <f t="shared" si="111"/>
        <v>6</v>
      </c>
      <c r="AA417" s="73">
        <f t="shared" si="112"/>
        <v>2208</v>
      </c>
      <c r="AB417" s="19">
        <f t="shared" si="113"/>
        <v>6</v>
      </c>
      <c r="AC417" s="73">
        <f t="shared" si="114"/>
        <v>2208</v>
      </c>
      <c r="AD417" s="19">
        <f t="shared" si="115"/>
        <v>0</v>
      </c>
      <c r="AE417" s="19">
        <f t="shared" si="116"/>
        <v>0</v>
      </c>
      <c r="AF417" s="19" t="str">
        <f>IF($D417&lt;&gt;1,"",IF(INDEX(TblClusters[Environnement],$B417)="","(vide)",INDEX(TblClusters[Environnement],$B417)))</f>
        <v>PRD</v>
      </c>
      <c r="AG417" s="19">
        <f t="shared" si="117"/>
        <v>72</v>
      </c>
      <c r="AH417" s="19">
        <f t="shared" si="118"/>
        <v>30.666666666666668</v>
      </c>
      <c r="AI417" s="19">
        <f>IF($D417&lt;&gt;1,"",IF(AND($G417="IKS",ISNUMBER(INDEX(TblClusters[Fermeture retenue],$B417))),IF($E417&gt;=INDEX(TblClusters[Fermeture retenue],$B417),1,0),0))</f>
        <v>0</v>
      </c>
    </row>
    <row r="418" spans="1:35" x14ac:dyDescent="0.2">
      <c r="A418" s="19">
        <v>413</v>
      </c>
      <c r="B418" s="19">
        <f t="shared" si="102"/>
        <v>12</v>
      </c>
      <c r="C418" s="19">
        <f t="shared" si="103"/>
        <v>17</v>
      </c>
      <c r="D418" s="19">
        <f>IF($C418&gt;p_horizon,0,IFERROR(IF(AND(INDEX(TblClusters[Cluster],$B418)&lt;&gt;"",ISNUMBER(INDEX(TblClusters[CPU initial (vCPU)],$B418)),ISNUMBER(INDEX(TblClusters[CPU min (vCPU)],$B418)),OR(INDEX(TblClusters[Plateforme],$B418)="IKS",INDEX(TblClusters[Plateforme],$B418)="ROKS")),1,0),0))</f>
        <v>1</v>
      </c>
      <c r="E418" s="72">
        <f t="shared" si="104"/>
        <v>46784</v>
      </c>
      <c r="F418" s="19" t="str">
        <f>IF($D418=1,INDEX(TblClusters[Cluster],$B418),"")</f>
        <v>oc-EMEA-NOS-PRD</v>
      </c>
      <c r="G418" s="19" t="str">
        <f>IF($D418=1,INDEX(TblClusters[Plateforme],$B418),"")</f>
        <v>ROKS</v>
      </c>
      <c r="H418" s="19">
        <f>IF($D418=1,INDEX(TblClusters[vCPU par nœud],$B418),"")</f>
        <v>8</v>
      </c>
      <c r="I418" s="19">
        <f>IF($D418=1,INDEX(TblClusters[RAM par nœud (Go)],$B418),"")</f>
        <v>40</v>
      </c>
      <c r="J418" s="19">
        <f>IF($D418=1,INDEX(TblClusters[Workers min],$B418),"")</f>
        <v>6</v>
      </c>
      <c r="K418" s="73">
        <f>IF($D418=1,INDEX(TblClusters[Tarif par nœud],$B418),"")</f>
        <v>368</v>
      </c>
      <c r="L418" s="19">
        <f>IF($D418=1,INDEX(TblClusters[CPU initial (vCPU)],$B418),"")</f>
        <v>48</v>
      </c>
      <c r="M418" s="19">
        <f>IF($D418=1,INDEX(TblClusters[RAM initiale (Go)],$B418),"")</f>
        <v>240</v>
      </c>
      <c r="N418" s="19">
        <f>IF($D418=1,INDEX(TblClusters[CPU min (vCPU)],$B418),"")</f>
        <v>48</v>
      </c>
      <c r="O418" s="19">
        <f>IF($D418=1,INDEX(TblClusters[RAM min (Go)],$B418),"")</f>
        <v>240</v>
      </c>
      <c r="P418" s="19">
        <f>IF($D418&lt;&gt;1,"",IF($G418="ROKS",SUMIFS(TblApplications[Besoin ROKS CPU (vCPU)],TblApplications[Cluster ROKS cible],$F418,TblApplications[Action],"À migrer",TblApplications[Déjà incluse ROKS],"Non",TblApplications[Mois prov (calc)],"&lt;="&amp;$E418),SUMIFS(TblApplications[CPU IKS libérable (vCPU)],TblApplications[Cluster IKS source],$F418,TblApplications[Mois lib (calc)],"&lt;="&amp;$E418)))</f>
        <v>0</v>
      </c>
      <c r="Q418" s="19">
        <f>IF($D418&lt;&gt;1,"",IF($G418="ROKS",SUMIFS(TblApplications[Besoin ROKS RAM (Go)],TblApplications[Cluster ROKS cible],$F418,TblApplications[Action],"À migrer",TblApplications[Déjà incluse ROKS],"Non",TblApplications[Mois prov (calc)],"&lt;="&amp;$E418),SUMIFS(TblApplications[RAM IKS libérable (Go)],TblApplications[Cluster IKS source],$F418,TblApplications[Mois lib (calc)],"&lt;="&amp;$E418)))</f>
        <v>0</v>
      </c>
      <c r="R418" s="19">
        <f t="shared" si="105"/>
        <v>48</v>
      </c>
      <c r="S418" s="19">
        <f t="shared" si="106"/>
        <v>240</v>
      </c>
      <c r="T418" s="19">
        <f t="shared" si="107"/>
        <v>6</v>
      </c>
      <c r="U418" s="19">
        <f t="shared" si="108"/>
        <v>48</v>
      </c>
      <c r="V418" s="19">
        <f t="shared" si="109"/>
        <v>240</v>
      </c>
      <c r="W418" s="73">
        <f t="shared" si="110"/>
        <v>2208</v>
      </c>
      <c r="X418" s="19">
        <f>IF($D418&lt;&gt;1,"",IF($G418="ROKS",$R418,IF($AI418=1,0,MAX($N418,$L418-SUMIFS(TblApplications[CPU IKS libérable (vCPU)],TblApplications[Cluster IKS source],$F418,TblApplications[Action],"À migrer",TblApplications[Mois prov (calc)],"&lt;="&amp;$E418)-SUMIFS(TblApplications[CPU IKS libérable (vCPU)],TblApplications[Cluster IKS source],$F418,TblApplications[Action],"À décommissionner",TblApplications[Mois lib (calc)],"&lt;="&amp;$E418)))))</f>
        <v>48</v>
      </c>
      <c r="Y418" s="19">
        <f>IF($D418&lt;&gt;1,"",IF($G418="ROKS",$S418,IF($AI418=1,0,MAX($O418,$M418-SUMIFS(TblApplications[RAM IKS libérable (Go)],TblApplications[Cluster IKS source],$F418,TblApplications[Action],"À migrer",TblApplications[Mois prov (calc)],"&lt;="&amp;$E418)-SUMIFS(TblApplications[RAM IKS libérable (Go)],TblApplications[Cluster IKS source],$F418,TblApplications[Action],"À décommissionner",TblApplications[Mois lib (calc)],"&lt;="&amp;$E418)))))</f>
        <v>240</v>
      </c>
      <c r="Z418" s="19">
        <f t="shared" si="111"/>
        <v>6</v>
      </c>
      <c r="AA418" s="73">
        <f t="shared" si="112"/>
        <v>2208</v>
      </c>
      <c r="AB418" s="19">
        <f t="shared" si="113"/>
        <v>6</v>
      </c>
      <c r="AC418" s="73">
        <f t="shared" si="114"/>
        <v>2208</v>
      </c>
      <c r="AD418" s="19">
        <f t="shared" si="115"/>
        <v>0</v>
      </c>
      <c r="AE418" s="19">
        <f t="shared" si="116"/>
        <v>0</v>
      </c>
      <c r="AF418" s="19" t="str">
        <f>IF($D418&lt;&gt;1,"",IF(INDEX(TblClusters[Environnement],$B418)="","(vide)",INDEX(TblClusters[Environnement],$B418)))</f>
        <v>PRD</v>
      </c>
      <c r="AG418" s="19">
        <f t="shared" si="117"/>
        <v>72</v>
      </c>
      <c r="AH418" s="19">
        <f t="shared" si="118"/>
        <v>30.666666666666668</v>
      </c>
      <c r="AI418" s="19">
        <f>IF($D418&lt;&gt;1,"",IF(AND($G418="IKS",ISNUMBER(INDEX(TblClusters[Fermeture retenue],$B418))),IF($E418&gt;=INDEX(TblClusters[Fermeture retenue],$B418),1,0),0))</f>
        <v>0</v>
      </c>
    </row>
    <row r="419" spans="1:35" x14ac:dyDescent="0.2">
      <c r="A419" s="19">
        <v>414</v>
      </c>
      <c r="B419" s="19">
        <f t="shared" si="102"/>
        <v>12</v>
      </c>
      <c r="C419" s="19">
        <f t="shared" si="103"/>
        <v>18</v>
      </c>
      <c r="D419" s="19">
        <f>IF($C419&gt;p_horizon,0,IFERROR(IF(AND(INDEX(TblClusters[Cluster],$B419)&lt;&gt;"",ISNUMBER(INDEX(TblClusters[CPU initial (vCPU)],$B419)),ISNUMBER(INDEX(TblClusters[CPU min (vCPU)],$B419)),OR(INDEX(TblClusters[Plateforme],$B419)="IKS",INDEX(TblClusters[Plateforme],$B419)="ROKS")),1,0),0))</f>
        <v>1</v>
      </c>
      <c r="E419" s="72">
        <f t="shared" si="104"/>
        <v>46813</v>
      </c>
      <c r="F419" s="19" t="str">
        <f>IF($D419=1,INDEX(TblClusters[Cluster],$B419),"")</f>
        <v>oc-EMEA-NOS-PRD</v>
      </c>
      <c r="G419" s="19" t="str">
        <f>IF($D419=1,INDEX(TblClusters[Plateforme],$B419),"")</f>
        <v>ROKS</v>
      </c>
      <c r="H419" s="19">
        <f>IF($D419=1,INDEX(TblClusters[vCPU par nœud],$B419),"")</f>
        <v>8</v>
      </c>
      <c r="I419" s="19">
        <f>IF($D419=1,INDEX(TblClusters[RAM par nœud (Go)],$B419),"")</f>
        <v>40</v>
      </c>
      <c r="J419" s="19">
        <f>IF($D419=1,INDEX(TblClusters[Workers min],$B419),"")</f>
        <v>6</v>
      </c>
      <c r="K419" s="73">
        <f>IF($D419=1,INDEX(TblClusters[Tarif par nœud],$B419),"")</f>
        <v>368</v>
      </c>
      <c r="L419" s="19">
        <f>IF($D419=1,INDEX(TblClusters[CPU initial (vCPU)],$B419),"")</f>
        <v>48</v>
      </c>
      <c r="M419" s="19">
        <f>IF($D419=1,INDEX(TblClusters[RAM initiale (Go)],$B419),"")</f>
        <v>240</v>
      </c>
      <c r="N419" s="19">
        <f>IF($D419=1,INDEX(TblClusters[CPU min (vCPU)],$B419),"")</f>
        <v>48</v>
      </c>
      <c r="O419" s="19">
        <f>IF($D419=1,INDEX(TblClusters[RAM min (Go)],$B419),"")</f>
        <v>240</v>
      </c>
      <c r="P419" s="19">
        <f>IF($D419&lt;&gt;1,"",IF($G419="ROKS",SUMIFS(TblApplications[Besoin ROKS CPU (vCPU)],TblApplications[Cluster ROKS cible],$F419,TblApplications[Action],"À migrer",TblApplications[Déjà incluse ROKS],"Non",TblApplications[Mois prov (calc)],"&lt;="&amp;$E419),SUMIFS(TblApplications[CPU IKS libérable (vCPU)],TblApplications[Cluster IKS source],$F419,TblApplications[Mois lib (calc)],"&lt;="&amp;$E419)))</f>
        <v>0</v>
      </c>
      <c r="Q419" s="19">
        <f>IF($D419&lt;&gt;1,"",IF($G419="ROKS",SUMIFS(TblApplications[Besoin ROKS RAM (Go)],TblApplications[Cluster ROKS cible],$F419,TblApplications[Action],"À migrer",TblApplications[Déjà incluse ROKS],"Non",TblApplications[Mois prov (calc)],"&lt;="&amp;$E419),SUMIFS(TblApplications[RAM IKS libérable (Go)],TblApplications[Cluster IKS source],$F419,TblApplications[Mois lib (calc)],"&lt;="&amp;$E419)))</f>
        <v>0</v>
      </c>
      <c r="R419" s="19">
        <f t="shared" si="105"/>
        <v>48</v>
      </c>
      <c r="S419" s="19">
        <f t="shared" si="106"/>
        <v>240</v>
      </c>
      <c r="T419" s="19">
        <f t="shared" si="107"/>
        <v>6</v>
      </c>
      <c r="U419" s="19">
        <f t="shared" si="108"/>
        <v>48</v>
      </c>
      <c r="V419" s="19">
        <f t="shared" si="109"/>
        <v>240</v>
      </c>
      <c r="W419" s="73">
        <f t="shared" si="110"/>
        <v>2208</v>
      </c>
      <c r="X419" s="19">
        <f>IF($D419&lt;&gt;1,"",IF($G419="ROKS",$R419,IF($AI419=1,0,MAX($N419,$L419-SUMIFS(TblApplications[CPU IKS libérable (vCPU)],TblApplications[Cluster IKS source],$F419,TblApplications[Action],"À migrer",TblApplications[Mois prov (calc)],"&lt;="&amp;$E419)-SUMIFS(TblApplications[CPU IKS libérable (vCPU)],TblApplications[Cluster IKS source],$F419,TblApplications[Action],"À décommissionner",TblApplications[Mois lib (calc)],"&lt;="&amp;$E419)))))</f>
        <v>48</v>
      </c>
      <c r="Y419" s="19">
        <f>IF($D419&lt;&gt;1,"",IF($G419="ROKS",$S419,IF($AI419=1,0,MAX($O419,$M419-SUMIFS(TblApplications[RAM IKS libérable (Go)],TblApplications[Cluster IKS source],$F419,TblApplications[Action],"À migrer",TblApplications[Mois prov (calc)],"&lt;="&amp;$E419)-SUMIFS(TblApplications[RAM IKS libérable (Go)],TblApplications[Cluster IKS source],$F419,TblApplications[Action],"À décommissionner",TblApplications[Mois lib (calc)],"&lt;="&amp;$E419)))))</f>
        <v>240</v>
      </c>
      <c r="Z419" s="19">
        <f t="shared" si="111"/>
        <v>6</v>
      </c>
      <c r="AA419" s="73">
        <f t="shared" si="112"/>
        <v>2208</v>
      </c>
      <c r="AB419" s="19">
        <f t="shared" si="113"/>
        <v>6</v>
      </c>
      <c r="AC419" s="73">
        <f t="shared" si="114"/>
        <v>2208</v>
      </c>
      <c r="AD419" s="19">
        <f t="shared" si="115"/>
        <v>0</v>
      </c>
      <c r="AE419" s="19">
        <f t="shared" si="116"/>
        <v>0</v>
      </c>
      <c r="AF419" s="19" t="str">
        <f>IF($D419&lt;&gt;1,"",IF(INDEX(TblClusters[Environnement],$B419)="","(vide)",INDEX(TblClusters[Environnement],$B419)))</f>
        <v>PRD</v>
      </c>
      <c r="AG419" s="19">
        <f t="shared" si="117"/>
        <v>72</v>
      </c>
      <c r="AH419" s="19">
        <f t="shared" si="118"/>
        <v>30.666666666666668</v>
      </c>
      <c r="AI419" s="19">
        <f>IF($D419&lt;&gt;1,"",IF(AND($G419="IKS",ISNUMBER(INDEX(TblClusters[Fermeture retenue],$B419))),IF($E419&gt;=INDEX(TblClusters[Fermeture retenue],$B419),1,0),0))</f>
        <v>0</v>
      </c>
    </row>
    <row r="420" spans="1:35" x14ac:dyDescent="0.2">
      <c r="A420" s="19">
        <v>415</v>
      </c>
      <c r="B420" s="19">
        <f t="shared" si="102"/>
        <v>12</v>
      </c>
      <c r="C420" s="19">
        <f t="shared" si="103"/>
        <v>19</v>
      </c>
      <c r="D420" s="19">
        <f>IF($C420&gt;p_horizon,0,IFERROR(IF(AND(INDEX(TblClusters[Cluster],$B420)&lt;&gt;"",ISNUMBER(INDEX(TblClusters[CPU initial (vCPU)],$B420)),ISNUMBER(INDEX(TblClusters[CPU min (vCPU)],$B420)),OR(INDEX(TblClusters[Plateforme],$B420)="IKS",INDEX(TblClusters[Plateforme],$B420)="ROKS")),1,0),0))</f>
        <v>1</v>
      </c>
      <c r="E420" s="72">
        <f t="shared" si="104"/>
        <v>46844</v>
      </c>
      <c r="F420" s="19" t="str">
        <f>IF($D420=1,INDEX(TblClusters[Cluster],$B420),"")</f>
        <v>oc-EMEA-NOS-PRD</v>
      </c>
      <c r="G420" s="19" t="str">
        <f>IF($D420=1,INDEX(TblClusters[Plateforme],$B420),"")</f>
        <v>ROKS</v>
      </c>
      <c r="H420" s="19">
        <f>IF($D420=1,INDEX(TblClusters[vCPU par nœud],$B420),"")</f>
        <v>8</v>
      </c>
      <c r="I420" s="19">
        <f>IF($D420=1,INDEX(TblClusters[RAM par nœud (Go)],$B420),"")</f>
        <v>40</v>
      </c>
      <c r="J420" s="19">
        <f>IF($D420=1,INDEX(TblClusters[Workers min],$B420),"")</f>
        <v>6</v>
      </c>
      <c r="K420" s="73">
        <f>IF($D420=1,INDEX(TblClusters[Tarif par nœud],$B420),"")</f>
        <v>368</v>
      </c>
      <c r="L420" s="19">
        <f>IF($D420=1,INDEX(TblClusters[CPU initial (vCPU)],$B420),"")</f>
        <v>48</v>
      </c>
      <c r="M420" s="19">
        <f>IF($D420=1,INDEX(TblClusters[RAM initiale (Go)],$B420),"")</f>
        <v>240</v>
      </c>
      <c r="N420" s="19">
        <f>IF($D420=1,INDEX(TblClusters[CPU min (vCPU)],$B420),"")</f>
        <v>48</v>
      </c>
      <c r="O420" s="19">
        <f>IF($D420=1,INDEX(TblClusters[RAM min (Go)],$B420),"")</f>
        <v>240</v>
      </c>
      <c r="P420" s="19">
        <f>IF($D420&lt;&gt;1,"",IF($G420="ROKS",SUMIFS(TblApplications[Besoin ROKS CPU (vCPU)],TblApplications[Cluster ROKS cible],$F420,TblApplications[Action],"À migrer",TblApplications[Déjà incluse ROKS],"Non",TblApplications[Mois prov (calc)],"&lt;="&amp;$E420),SUMIFS(TblApplications[CPU IKS libérable (vCPU)],TblApplications[Cluster IKS source],$F420,TblApplications[Mois lib (calc)],"&lt;="&amp;$E420)))</f>
        <v>0</v>
      </c>
      <c r="Q420" s="19">
        <f>IF($D420&lt;&gt;1,"",IF($G420="ROKS",SUMIFS(TblApplications[Besoin ROKS RAM (Go)],TblApplications[Cluster ROKS cible],$F420,TblApplications[Action],"À migrer",TblApplications[Déjà incluse ROKS],"Non",TblApplications[Mois prov (calc)],"&lt;="&amp;$E420),SUMIFS(TblApplications[RAM IKS libérable (Go)],TblApplications[Cluster IKS source],$F420,TblApplications[Mois lib (calc)],"&lt;="&amp;$E420)))</f>
        <v>0</v>
      </c>
      <c r="R420" s="19">
        <f t="shared" si="105"/>
        <v>48</v>
      </c>
      <c r="S420" s="19">
        <f t="shared" si="106"/>
        <v>240</v>
      </c>
      <c r="T420" s="19">
        <f t="shared" si="107"/>
        <v>6</v>
      </c>
      <c r="U420" s="19">
        <f t="shared" si="108"/>
        <v>48</v>
      </c>
      <c r="V420" s="19">
        <f t="shared" si="109"/>
        <v>240</v>
      </c>
      <c r="W420" s="73">
        <f t="shared" si="110"/>
        <v>2208</v>
      </c>
      <c r="X420" s="19">
        <f>IF($D420&lt;&gt;1,"",IF($G420="ROKS",$R420,IF($AI420=1,0,MAX($N420,$L420-SUMIFS(TblApplications[CPU IKS libérable (vCPU)],TblApplications[Cluster IKS source],$F420,TblApplications[Action],"À migrer",TblApplications[Mois prov (calc)],"&lt;="&amp;$E420)-SUMIFS(TblApplications[CPU IKS libérable (vCPU)],TblApplications[Cluster IKS source],$F420,TblApplications[Action],"À décommissionner",TblApplications[Mois lib (calc)],"&lt;="&amp;$E420)))))</f>
        <v>48</v>
      </c>
      <c r="Y420" s="19">
        <f>IF($D420&lt;&gt;1,"",IF($G420="ROKS",$S420,IF($AI420=1,0,MAX($O420,$M420-SUMIFS(TblApplications[RAM IKS libérable (Go)],TblApplications[Cluster IKS source],$F420,TblApplications[Action],"À migrer",TblApplications[Mois prov (calc)],"&lt;="&amp;$E420)-SUMIFS(TblApplications[RAM IKS libérable (Go)],TblApplications[Cluster IKS source],$F420,TblApplications[Action],"À décommissionner",TblApplications[Mois lib (calc)],"&lt;="&amp;$E420)))))</f>
        <v>240</v>
      </c>
      <c r="Z420" s="19">
        <f t="shared" si="111"/>
        <v>6</v>
      </c>
      <c r="AA420" s="73">
        <f t="shared" si="112"/>
        <v>2208</v>
      </c>
      <c r="AB420" s="19">
        <f t="shared" si="113"/>
        <v>6</v>
      </c>
      <c r="AC420" s="73">
        <f t="shared" si="114"/>
        <v>2208</v>
      </c>
      <c r="AD420" s="19">
        <f t="shared" si="115"/>
        <v>0</v>
      </c>
      <c r="AE420" s="19">
        <f t="shared" si="116"/>
        <v>0</v>
      </c>
      <c r="AF420" s="19" t="str">
        <f>IF($D420&lt;&gt;1,"",IF(INDEX(TblClusters[Environnement],$B420)="","(vide)",INDEX(TblClusters[Environnement],$B420)))</f>
        <v>PRD</v>
      </c>
      <c r="AG420" s="19">
        <f t="shared" si="117"/>
        <v>72</v>
      </c>
      <c r="AH420" s="19">
        <f t="shared" si="118"/>
        <v>30.666666666666668</v>
      </c>
      <c r="AI420" s="19">
        <f>IF($D420&lt;&gt;1,"",IF(AND($G420="IKS",ISNUMBER(INDEX(TblClusters[Fermeture retenue],$B420))),IF($E420&gt;=INDEX(TblClusters[Fermeture retenue],$B420),1,0),0))</f>
        <v>0</v>
      </c>
    </row>
    <row r="421" spans="1:35" x14ac:dyDescent="0.2">
      <c r="A421" s="19">
        <v>416</v>
      </c>
      <c r="B421" s="19">
        <f t="shared" si="102"/>
        <v>12</v>
      </c>
      <c r="C421" s="19">
        <f t="shared" si="103"/>
        <v>20</v>
      </c>
      <c r="D421" s="19">
        <f>IF($C421&gt;p_horizon,0,IFERROR(IF(AND(INDEX(TblClusters[Cluster],$B421)&lt;&gt;"",ISNUMBER(INDEX(TblClusters[CPU initial (vCPU)],$B421)),ISNUMBER(INDEX(TblClusters[CPU min (vCPU)],$B421)),OR(INDEX(TblClusters[Plateforme],$B421)="IKS",INDEX(TblClusters[Plateforme],$B421)="ROKS")),1,0),0))</f>
        <v>1</v>
      </c>
      <c r="E421" s="72">
        <f t="shared" si="104"/>
        <v>46874</v>
      </c>
      <c r="F421" s="19" t="str">
        <f>IF($D421=1,INDEX(TblClusters[Cluster],$B421),"")</f>
        <v>oc-EMEA-NOS-PRD</v>
      </c>
      <c r="G421" s="19" t="str">
        <f>IF($D421=1,INDEX(TblClusters[Plateforme],$B421),"")</f>
        <v>ROKS</v>
      </c>
      <c r="H421" s="19">
        <f>IF($D421=1,INDEX(TblClusters[vCPU par nœud],$B421),"")</f>
        <v>8</v>
      </c>
      <c r="I421" s="19">
        <f>IF($D421=1,INDEX(TblClusters[RAM par nœud (Go)],$B421),"")</f>
        <v>40</v>
      </c>
      <c r="J421" s="19">
        <f>IF($D421=1,INDEX(TblClusters[Workers min],$B421),"")</f>
        <v>6</v>
      </c>
      <c r="K421" s="73">
        <f>IF($D421=1,INDEX(TblClusters[Tarif par nœud],$B421),"")</f>
        <v>368</v>
      </c>
      <c r="L421" s="19">
        <f>IF($D421=1,INDEX(TblClusters[CPU initial (vCPU)],$B421),"")</f>
        <v>48</v>
      </c>
      <c r="M421" s="19">
        <f>IF($D421=1,INDEX(TblClusters[RAM initiale (Go)],$B421),"")</f>
        <v>240</v>
      </c>
      <c r="N421" s="19">
        <f>IF($D421=1,INDEX(TblClusters[CPU min (vCPU)],$B421),"")</f>
        <v>48</v>
      </c>
      <c r="O421" s="19">
        <f>IF($D421=1,INDEX(TblClusters[RAM min (Go)],$B421),"")</f>
        <v>240</v>
      </c>
      <c r="P421" s="19">
        <f>IF($D421&lt;&gt;1,"",IF($G421="ROKS",SUMIFS(TblApplications[Besoin ROKS CPU (vCPU)],TblApplications[Cluster ROKS cible],$F421,TblApplications[Action],"À migrer",TblApplications[Déjà incluse ROKS],"Non",TblApplications[Mois prov (calc)],"&lt;="&amp;$E421),SUMIFS(TblApplications[CPU IKS libérable (vCPU)],TblApplications[Cluster IKS source],$F421,TblApplications[Mois lib (calc)],"&lt;="&amp;$E421)))</f>
        <v>0</v>
      </c>
      <c r="Q421" s="19">
        <f>IF($D421&lt;&gt;1,"",IF($G421="ROKS",SUMIFS(TblApplications[Besoin ROKS RAM (Go)],TblApplications[Cluster ROKS cible],$F421,TblApplications[Action],"À migrer",TblApplications[Déjà incluse ROKS],"Non",TblApplications[Mois prov (calc)],"&lt;="&amp;$E421),SUMIFS(TblApplications[RAM IKS libérable (Go)],TblApplications[Cluster IKS source],$F421,TblApplications[Mois lib (calc)],"&lt;="&amp;$E421)))</f>
        <v>0</v>
      </c>
      <c r="R421" s="19">
        <f t="shared" si="105"/>
        <v>48</v>
      </c>
      <c r="S421" s="19">
        <f t="shared" si="106"/>
        <v>240</v>
      </c>
      <c r="T421" s="19">
        <f t="shared" si="107"/>
        <v>6</v>
      </c>
      <c r="U421" s="19">
        <f t="shared" si="108"/>
        <v>48</v>
      </c>
      <c r="V421" s="19">
        <f t="shared" si="109"/>
        <v>240</v>
      </c>
      <c r="W421" s="73">
        <f t="shared" si="110"/>
        <v>2208</v>
      </c>
      <c r="X421" s="19">
        <f>IF($D421&lt;&gt;1,"",IF($G421="ROKS",$R421,IF($AI421=1,0,MAX($N421,$L421-SUMIFS(TblApplications[CPU IKS libérable (vCPU)],TblApplications[Cluster IKS source],$F421,TblApplications[Action],"À migrer",TblApplications[Mois prov (calc)],"&lt;="&amp;$E421)-SUMIFS(TblApplications[CPU IKS libérable (vCPU)],TblApplications[Cluster IKS source],$F421,TblApplications[Action],"À décommissionner",TblApplications[Mois lib (calc)],"&lt;="&amp;$E421)))))</f>
        <v>48</v>
      </c>
      <c r="Y421" s="19">
        <f>IF($D421&lt;&gt;1,"",IF($G421="ROKS",$S421,IF($AI421=1,0,MAX($O421,$M421-SUMIFS(TblApplications[RAM IKS libérable (Go)],TblApplications[Cluster IKS source],$F421,TblApplications[Action],"À migrer",TblApplications[Mois prov (calc)],"&lt;="&amp;$E421)-SUMIFS(TblApplications[RAM IKS libérable (Go)],TblApplications[Cluster IKS source],$F421,TblApplications[Action],"À décommissionner",TblApplications[Mois lib (calc)],"&lt;="&amp;$E421)))))</f>
        <v>240</v>
      </c>
      <c r="Z421" s="19">
        <f t="shared" si="111"/>
        <v>6</v>
      </c>
      <c r="AA421" s="73">
        <f t="shared" si="112"/>
        <v>2208</v>
      </c>
      <c r="AB421" s="19">
        <f t="shared" si="113"/>
        <v>6</v>
      </c>
      <c r="AC421" s="73">
        <f t="shared" si="114"/>
        <v>2208</v>
      </c>
      <c r="AD421" s="19">
        <f t="shared" si="115"/>
        <v>0</v>
      </c>
      <c r="AE421" s="19">
        <f t="shared" si="116"/>
        <v>0</v>
      </c>
      <c r="AF421" s="19" t="str">
        <f>IF($D421&lt;&gt;1,"",IF(INDEX(TblClusters[Environnement],$B421)="","(vide)",INDEX(TblClusters[Environnement],$B421)))</f>
        <v>PRD</v>
      </c>
      <c r="AG421" s="19">
        <f t="shared" si="117"/>
        <v>72</v>
      </c>
      <c r="AH421" s="19">
        <f t="shared" si="118"/>
        <v>30.666666666666668</v>
      </c>
      <c r="AI421" s="19">
        <f>IF($D421&lt;&gt;1,"",IF(AND($G421="IKS",ISNUMBER(INDEX(TblClusters[Fermeture retenue],$B421))),IF($E421&gt;=INDEX(TblClusters[Fermeture retenue],$B421),1,0),0))</f>
        <v>0</v>
      </c>
    </row>
    <row r="422" spans="1:35" x14ac:dyDescent="0.2">
      <c r="A422" s="19">
        <v>417</v>
      </c>
      <c r="B422" s="19">
        <f t="shared" si="102"/>
        <v>12</v>
      </c>
      <c r="C422" s="19">
        <f t="shared" si="103"/>
        <v>21</v>
      </c>
      <c r="D422" s="19">
        <f>IF($C422&gt;p_horizon,0,IFERROR(IF(AND(INDEX(TblClusters[Cluster],$B422)&lt;&gt;"",ISNUMBER(INDEX(TblClusters[CPU initial (vCPU)],$B422)),ISNUMBER(INDEX(TblClusters[CPU min (vCPU)],$B422)),OR(INDEX(TblClusters[Plateforme],$B422)="IKS",INDEX(TblClusters[Plateforme],$B422)="ROKS")),1,0),0))</f>
        <v>1</v>
      </c>
      <c r="E422" s="72">
        <f t="shared" si="104"/>
        <v>46905</v>
      </c>
      <c r="F422" s="19" t="str">
        <f>IF($D422=1,INDEX(TblClusters[Cluster],$B422),"")</f>
        <v>oc-EMEA-NOS-PRD</v>
      </c>
      <c r="G422" s="19" t="str">
        <f>IF($D422=1,INDEX(TblClusters[Plateforme],$B422),"")</f>
        <v>ROKS</v>
      </c>
      <c r="H422" s="19">
        <f>IF($D422=1,INDEX(TblClusters[vCPU par nœud],$B422),"")</f>
        <v>8</v>
      </c>
      <c r="I422" s="19">
        <f>IF($D422=1,INDEX(TblClusters[RAM par nœud (Go)],$B422),"")</f>
        <v>40</v>
      </c>
      <c r="J422" s="19">
        <f>IF($D422=1,INDEX(TblClusters[Workers min],$B422),"")</f>
        <v>6</v>
      </c>
      <c r="K422" s="73">
        <f>IF($D422=1,INDEX(TblClusters[Tarif par nœud],$B422),"")</f>
        <v>368</v>
      </c>
      <c r="L422" s="19">
        <f>IF($D422=1,INDEX(TblClusters[CPU initial (vCPU)],$B422),"")</f>
        <v>48</v>
      </c>
      <c r="M422" s="19">
        <f>IF($D422=1,INDEX(TblClusters[RAM initiale (Go)],$B422),"")</f>
        <v>240</v>
      </c>
      <c r="N422" s="19">
        <f>IF($D422=1,INDEX(TblClusters[CPU min (vCPU)],$B422),"")</f>
        <v>48</v>
      </c>
      <c r="O422" s="19">
        <f>IF($D422=1,INDEX(TblClusters[RAM min (Go)],$B422),"")</f>
        <v>240</v>
      </c>
      <c r="P422" s="19">
        <f>IF($D422&lt;&gt;1,"",IF($G422="ROKS",SUMIFS(TblApplications[Besoin ROKS CPU (vCPU)],TblApplications[Cluster ROKS cible],$F422,TblApplications[Action],"À migrer",TblApplications[Déjà incluse ROKS],"Non",TblApplications[Mois prov (calc)],"&lt;="&amp;$E422),SUMIFS(TblApplications[CPU IKS libérable (vCPU)],TblApplications[Cluster IKS source],$F422,TblApplications[Mois lib (calc)],"&lt;="&amp;$E422)))</f>
        <v>0</v>
      </c>
      <c r="Q422" s="19">
        <f>IF($D422&lt;&gt;1,"",IF($G422="ROKS",SUMIFS(TblApplications[Besoin ROKS RAM (Go)],TblApplications[Cluster ROKS cible],$F422,TblApplications[Action],"À migrer",TblApplications[Déjà incluse ROKS],"Non",TblApplications[Mois prov (calc)],"&lt;="&amp;$E422),SUMIFS(TblApplications[RAM IKS libérable (Go)],TblApplications[Cluster IKS source],$F422,TblApplications[Mois lib (calc)],"&lt;="&amp;$E422)))</f>
        <v>0</v>
      </c>
      <c r="R422" s="19">
        <f t="shared" si="105"/>
        <v>48</v>
      </c>
      <c r="S422" s="19">
        <f t="shared" si="106"/>
        <v>240</v>
      </c>
      <c r="T422" s="19">
        <f t="shared" si="107"/>
        <v>6</v>
      </c>
      <c r="U422" s="19">
        <f t="shared" si="108"/>
        <v>48</v>
      </c>
      <c r="V422" s="19">
        <f t="shared" si="109"/>
        <v>240</v>
      </c>
      <c r="W422" s="73">
        <f t="shared" si="110"/>
        <v>2208</v>
      </c>
      <c r="X422" s="19">
        <f>IF($D422&lt;&gt;1,"",IF($G422="ROKS",$R422,IF($AI422=1,0,MAX($N422,$L422-SUMIFS(TblApplications[CPU IKS libérable (vCPU)],TblApplications[Cluster IKS source],$F422,TblApplications[Action],"À migrer",TblApplications[Mois prov (calc)],"&lt;="&amp;$E422)-SUMIFS(TblApplications[CPU IKS libérable (vCPU)],TblApplications[Cluster IKS source],$F422,TblApplications[Action],"À décommissionner",TblApplications[Mois lib (calc)],"&lt;="&amp;$E422)))))</f>
        <v>48</v>
      </c>
      <c r="Y422" s="19">
        <f>IF($D422&lt;&gt;1,"",IF($G422="ROKS",$S422,IF($AI422=1,0,MAX($O422,$M422-SUMIFS(TblApplications[RAM IKS libérable (Go)],TblApplications[Cluster IKS source],$F422,TblApplications[Action],"À migrer",TblApplications[Mois prov (calc)],"&lt;="&amp;$E422)-SUMIFS(TblApplications[RAM IKS libérable (Go)],TblApplications[Cluster IKS source],$F422,TblApplications[Action],"À décommissionner",TblApplications[Mois lib (calc)],"&lt;="&amp;$E422)))))</f>
        <v>240</v>
      </c>
      <c r="Z422" s="19">
        <f t="shared" si="111"/>
        <v>6</v>
      </c>
      <c r="AA422" s="73">
        <f t="shared" si="112"/>
        <v>2208</v>
      </c>
      <c r="AB422" s="19">
        <f t="shared" si="113"/>
        <v>6</v>
      </c>
      <c r="AC422" s="73">
        <f t="shared" si="114"/>
        <v>2208</v>
      </c>
      <c r="AD422" s="19">
        <f t="shared" si="115"/>
        <v>0</v>
      </c>
      <c r="AE422" s="19">
        <f t="shared" si="116"/>
        <v>0</v>
      </c>
      <c r="AF422" s="19" t="str">
        <f>IF($D422&lt;&gt;1,"",IF(INDEX(TblClusters[Environnement],$B422)="","(vide)",INDEX(TblClusters[Environnement],$B422)))</f>
        <v>PRD</v>
      </c>
      <c r="AG422" s="19">
        <f t="shared" si="117"/>
        <v>72</v>
      </c>
      <c r="AH422" s="19">
        <f t="shared" si="118"/>
        <v>30.666666666666668</v>
      </c>
      <c r="AI422" s="19">
        <f>IF($D422&lt;&gt;1,"",IF(AND($G422="IKS",ISNUMBER(INDEX(TblClusters[Fermeture retenue],$B422))),IF($E422&gt;=INDEX(TblClusters[Fermeture retenue],$B422),1,0),0))</f>
        <v>0</v>
      </c>
    </row>
    <row r="423" spans="1:35" x14ac:dyDescent="0.2">
      <c r="A423" s="19">
        <v>418</v>
      </c>
      <c r="B423" s="19">
        <f t="shared" si="102"/>
        <v>12</v>
      </c>
      <c r="C423" s="19">
        <f t="shared" si="103"/>
        <v>22</v>
      </c>
      <c r="D423" s="19">
        <f>IF($C423&gt;p_horizon,0,IFERROR(IF(AND(INDEX(TblClusters[Cluster],$B423)&lt;&gt;"",ISNUMBER(INDEX(TblClusters[CPU initial (vCPU)],$B423)),ISNUMBER(INDEX(TblClusters[CPU min (vCPU)],$B423)),OR(INDEX(TblClusters[Plateforme],$B423)="IKS",INDEX(TblClusters[Plateforme],$B423)="ROKS")),1,0),0))</f>
        <v>1</v>
      </c>
      <c r="E423" s="72">
        <f t="shared" si="104"/>
        <v>46935</v>
      </c>
      <c r="F423" s="19" t="str">
        <f>IF($D423=1,INDEX(TblClusters[Cluster],$B423),"")</f>
        <v>oc-EMEA-NOS-PRD</v>
      </c>
      <c r="G423" s="19" t="str">
        <f>IF($D423=1,INDEX(TblClusters[Plateforme],$B423),"")</f>
        <v>ROKS</v>
      </c>
      <c r="H423" s="19">
        <f>IF($D423=1,INDEX(TblClusters[vCPU par nœud],$B423),"")</f>
        <v>8</v>
      </c>
      <c r="I423" s="19">
        <f>IF($D423=1,INDEX(TblClusters[RAM par nœud (Go)],$B423),"")</f>
        <v>40</v>
      </c>
      <c r="J423" s="19">
        <f>IF($D423=1,INDEX(TblClusters[Workers min],$B423),"")</f>
        <v>6</v>
      </c>
      <c r="K423" s="73">
        <f>IF($D423=1,INDEX(TblClusters[Tarif par nœud],$B423),"")</f>
        <v>368</v>
      </c>
      <c r="L423" s="19">
        <f>IF($D423=1,INDEX(TblClusters[CPU initial (vCPU)],$B423),"")</f>
        <v>48</v>
      </c>
      <c r="M423" s="19">
        <f>IF($D423=1,INDEX(TblClusters[RAM initiale (Go)],$B423),"")</f>
        <v>240</v>
      </c>
      <c r="N423" s="19">
        <f>IF($D423=1,INDEX(TblClusters[CPU min (vCPU)],$B423),"")</f>
        <v>48</v>
      </c>
      <c r="O423" s="19">
        <f>IF($D423=1,INDEX(TblClusters[RAM min (Go)],$B423),"")</f>
        <v>240</v>
      </c>
      <c r="P423" s="19">
        <f>IF($D423&lt;&gt;1,"",IF($G423="ROKS",SUMIFS(TblApplications[Besoin ROKS CPU (vCPU)],TblApplications[Cluster ROKS cible],$F423,TblApplications[Action],"À migrer",TblApplications[Déjà incluse ROKS],"Non",TblApplications[Mois prov (calc)],"&lt;="&amp;$E423),SUMIFS(TblApplications[CPU IKS libérable (vCPU)],TblApplications[Cluster IKS source],$F423,TblApplications[Mois lib (calc)],"&lt;="&amp;$E423)))</f>
        <v>0</v>
      </c>
      <c r="Q423" s="19">
        <f>IF($D423&lt;&gt;1,"",IF($G423="ROKS",SUMIFS(TblApplications[Besoin ROKS RAM (Go)],TblApplications[Cluster ROKS cible],$F423,TblApplications[Action],"À migrer",TblApplications[Déjà incluse ROKS],"Non",TblApplications[Mois prov (calc)],"&lt;="&amp;$E423),SUMIFS(TblApplications[RAM IKS libérable (Go)],TblApplications[Cluster IKS source],$F423,TblApplications[Mois lib (calc)],"&lt;="&amp;$E423)))</f>
        <v>0</v>
      </c>
      <c r="R423" s="19">
        <f t="shared" si="105"/>
        <v>48</v>
      </c>
      <c r="S423" s="19">
        <f t="shared" si="106"/>
        <v>240</v>
      </c>
      <c r="T423" s="19">
        <f t="shared" si="107"/>
        <v>6</v>
      </c>
      <c r="U423" s="19">
        <f t="shared" si="108"/>
        <v>48</v>
      </c>
      <c r="V423" s="19">
        <f t="shared" si="109"/>
        <v>240</v>
      </c>
      <c r="W423" s="73">
        <f t="shared" si="110"/>
        <v>2208</v>
      </c>
      <c r="X423" s="19">
        <f>IF($D423&lt;&gt;1,"",IF($G423="ROKS",$R423,IF($AI423=1,0,MAX($N423,$L423-SUMIFS(TblApplications[CPU IKS libérable (vCPU)],TblApplications[Cluster IKS source],$F423,TblApplications[Action],"À migrer",TblApplications[Mois prov (calc)],"&lt;="&amp;$E423)-SUMIFS(TblApplications[CPU IKS libérable (vCPU)],TblApplications[Cluster IKS source],$F423,TblApplications[Action],"À décommissionner",TblApplications[Mois lib (calc)],"&lt;="&amp;$E423)))))</f>
        <v>48</v>
      </c>
      <c r="Y423" s="19">
        <f>IF($D423&lt;&gt;1,"",IF($G423="ROKS",$S423,IF($AI423=1,0,MAX($O423,$M423-SUMIFS(TblApplications[RAM IKS libérable (Go)],TblApplications[Cluster IKS source],$F423,TblApplications[Action],"À migrer",TblApplications[Mois prov (calc)],"&lt;="&amp;$E423)-SUMIFS(TblApplications[RAM IKS libérable (Go)],TblApplications[Cluster IKS source],$F423,TblApplications[Action],"À décommissionner",TblApplications[Mois lib (calc)],"&lt;="&amp;$E423)))))</f>
        <v>240</v>
      </c>
      <c r="Z423" s="19">
        <f t="shared" si="111"/>
        <v>6</v>
      </c>
      <c r="AA423" s="73">
        <f t="shared" si="112"/>
        <v>2208</v>
      </c>
      <c r="AB423" s="19">
        <f t="shared" si="113"/>
        <v>6</v>
      </c>
      <c r="AC423" s="73">
        <f t="shared" si="114"/>
        <v>2208</v>
      </c>
      <c r="AD423" s="19">
        <f t="shared" si="115"/>
        <v>0</v>
      </c>
      <c r="AE423" s="19">
        <f t="shared" si="116"/>
        <v>0</v>
      </c>
      <c r="AF423" s="19" t="str">
        <f>IF($D423&lt;&gt;1,"",IF(INDEX(TblClusters[Environnement],$B423)="","(vide)",INDEX(TblClusters[Environnement],$B423)))</f>
        <v>PRD</v>
      </c>
      <c r="AG423" s="19">
        <f t="shared" si="117"/>
        <v>72</v>
      </c>
      <c r="AH423" s="19">
        <f t="shared" si="118"/>
        <v>30.666666666666668</v>
      </c>
      <c r="AI423" s="19">
        <f>IF($D423&lt;&gt;1,"",IF(AND($G423="IKS",ISNUMBER(INDEX(TblClusters[Fermeture retenue],$B423))),IF($E423&gt;=INDEX(TblClusters[Fermeture retenue],$B423),1,0),0))</f>
        <v>0</v>
      </c>
    </row>
    <row r="424" spans="1:35" x14ac:dyDescent="0.2">
      <c r="A424" s="19">
        <v>419</v>
      </c>
      <c r="B424" s="19">
        <f t="shared" si="102"/>
        <v>12</v>
      </c>
      <c r="C424" s="19">
        <f t="shared" si="103"/>
        <v>23</v>
      </c>
      <c r="D424" s="19">
        <f>IF($C424&gt;p_horizon,0,IFERROR(IF(AND(INDEX(TblClusters[Cluster],$B424)&lt;&gt;"",ISNUMBER(INDEX(TblClusters[CPU initial (vCPU)],$B424)),ISNUMBER(INDEX(TblClusters[CPU min (vCPU)],$B424)),OR(INDEX(TblClusters[Plateforme],$B424)="IKS",INDEX(TblClusters[Plateforme],$B424)="ROKS")),1,0),0))</f>
        <v>1</v>
      </c>
      <c r="E424" s="72">
        <f t="shared" si="104"/>
        <v>46966</v>
      </c>
      <c r="F424" s="19" t="str">
        <f>IF($D424=1,INDEX(TblClusters[Cluster],$B424),"")</f>
        <v>oc-EMEA-NOS-PRD</v>
      </c>
      <c r="G424" s="19" t="str">
        <f>IF($D424=1,INDEX(TblClusters[Plateforme],$B424),"")</f>
        <v>ROKS</v>
      </c>
      <c r="H424" s="19">
        <f>IF($D424=1,INDEX(TblClusters[vCPU par nœud],$B424),"")</f>
        <v>8</v>
      </c>
      <c r="I424" s="19">
        <f>IF($D424=1,INDEX(TblClusters[RAM par nœud (Go)],$B424),"")</f>
        <v>40</v>
      </c>
      <c r="J424" s="19">
        <f>IF($D424=1,INDEX(TblClusters[Workers min],$B424),"")</f>
        <v>6</v>
      </c>
      <c r="K424" s="73">
        <f>IF($D424=1,INDEX(TblClusters[Tarif par nœud],$B424),"")</f>
        <v>368</v>
      </c>
      <c r="L424" s="19">
        <f>IF($D424=1,INDEX(TblClusters[CPU initial (vCPU)],$B424),"")</f>
        <v>48</v>
      </c>
      <c r="M424" s="19">
        <f>IF($D424=1,INDEX(TblClusters[RAM initiale (Go)],$B424),"")</f>
        <v>240</v>
      </c>
      <c r="N424" s="19">
        <f>IF($D424=1,INDEX(TblClusters[CPU min (vCPU)],$B424),"")</f>
        <v>48</v>
      </c>
      <c r="O424" s="19">
        <f>IF($D424=1,INDEX(TblClusters[RAM min (Go)],$B424),"")</f>
        <v>240</v>
      </c>
      <c r="P424" s="19">
        <f>IF($D424&lt;&gt;1,"",IF($G424="ROKS",SUMIFS(TblApplications[Besoin ROKS CPU (vCPU)],TblApplications[Cluster ROKS cible],$F424,TblApplications[Action],"À migrer",TblApplications[Déjà incluse ROKS],"Non",TblApplications[Mois prov (calc)],"&lt;="&amp;$E424),SUMIFS(TblApplications[CPU IKS libérable (vCPU)],TblApplications[Cluster IKS source],$F424,TblApplications[Mois lib (calc)],"&lt;="&amp;$E424)))</f>
        <v>0</v>
      </c>
      <c r="Q424" s="19">
        <f>IF($D424&lt;&gt;1,"",IF($G424="ROKS",SUMIFS(TblApplications[Besoin ROKS RAM (Go)],TblApplications[Cluster ROKS cible],$F424,TblApplications[Action],"À migrer",TblApplications[Déjà incluse ROKS],"Non",TblApplications[Mois prov (calc)],"&lt;="&amp;$E424),SUMIFS(TblApplications[RAM IKS libérable (Go)],TblApplications[Cluster IKS source],$F424,TblApplications[Mois lib (calc)],"&lt;="&amp;$E424)))</f>
        <v>0</v>
      </c>
      <c r="R424" s="19">
        <f t="shared" si="105"/>
        <v>48</v>
      </c>
      <c r="S424" s="19">
        <f t="shared" si="106"/>
        <v>240</v>
      </c>
      <c r="T424" s="19">
        <f t="shared" si="107"/>
        <v>6</v>
      </c>
      <c r="U424" s="19">
        <f t="shared" si="108"/>
        <v>48</v>
      </c>
      <c r="V424" s="19">
        <f t="shared" si="109"/>
        <v>240</v>
      </c>
      <c r="W424" s="73">
        <f t="shared" si="110"/>
        <v>2208</v>
      </c>
      <c r="X424" s="19">
        <f>IF($D424&lt;&gt;1,"",IF($G424="ROKS",$R424,IF($AI424=1,0,MAX($N424,$L424-SUMIFS(TblApplications[CPU IKS libérable (vCPU)],TblApplications[Cluster IKS source],$F424,TblApplications[Action],"À migrer",TblApplications[Mois prov (calc)],"&lt;="&amp;$E424)-SUMIFS(TblApplications[CPU IKS libérable (vCPU)],TblApplications[Cluster IKS source],$F424,TblApplications[Action],"À décommissionner",TblApplications[Mois lib (calc)],"&lt;="&amp;$E424)))))</f>
        <v>48</v>
      </c>
      <c r="Y424" s="19">
        <f>IF($D424&lt;&gt;1,"",IF($G424="ROKS",$S424,IF($AI424=1,0,MAX($O424,$M424-SUMIFS(TblApplications[RAM IKS libérable (Go)],TblApplications[Cluster IKS source],$F424,TblApplications[Action],"À migrer",TblApplications[Mois prov (calc)],"&lt;="&amp;$E424)-SUMIFS(TblApplications[RAM IKS libérable (Go)],TblApplications[Cluster IKS source],$F424,TblApplications[Action],"À décommissionner",TblApplications[Mois lib (calc)],"&lt;="&amp;$E424)))))</f>
        <v>240</v>
      </c>
      <c r="Z424" s="19">
        <f t="shared" si="111"/>
        <v>6</v>
      </c>
      <c r="AA424" s="73">
        <f t="shared" si="112"/>
        <v>2208</v>
      </c>
      <c r="AB424" s="19">
        <f t="shared" si="113"/>
        <v>6</v>
      </c>
      <c r="AC424" s="73">
        <f t="shared" si="114"/>
        <v>2208</v>
      </c>
      <c r="AD424" s="19">
        <f t="shared" si="115"/>
        <v>0</v>
      </c>
      <c r="AE424" s="19">
        <f t="shared" si="116"/>
        <v>0</v>
      </c>
      <c r="AF424" s="19" t="str">
        <f>IF($D424&lt;&gt;1,"",IF(INDEX(TblClusters[Environnement],$B424)="","(vide)",INDEX(TblClusters[Environnement],$B424)))</f>
        <v>PRD</v>
      </c>
      <c r="AG424" s="19">
        <f t="shared" si="117"/>
        <v>72</v>
      </c>
      <c r="AH424" s="19">
        <f t="shared" si="118"/>
        <v>30.666666666666668</v>
      </c>
      <c r="AI424" s="19">
        <f>IF($D424&lt;&gt;1,"",IF(AND($G424="IKS",ISNUMBER(INDEX(TblClusters[Fermeture retenue],$B424))),IF($E424&gt;=INDEX(TblClusters[Fermeture retenue],$B424),1,0),0))</f>
        <v>0</v>
      </c>
    </row>
    <row r="425" spans="1:35" x14ac:dyDescent="0.2">
      <c r="A425" s="19">
        <v>420</v>
      </c>
      <c r="B425" s="19">
        <f t="shared" si="102"/>
        <v>12</v>
      </c>
      <c r="C425" s="19">
        <f t="shared" si="103"/>
        <v>24</v>
      </c>
      <c r="D425" s="19">
        <f>IF($C425&gt;p_horizon,0,IFERROR(IF(AND(INDEX(TblClusters[Cluster],$B425)&lt;&gt;"",ISNUMBER(INDEX(TblClusters[CPU initial (vCPU)],$B425)),ISNUMBER(INDEX(TblClusters[CPU min (vCPU)],$B425)),OR(INDEX(TblClusters[Plateforme],$B425)="IKS",INDEX(TblClusters[Plateforme],$B425)="ROKS")),1,0),0))</f>
        <v>1</v>
      </c>
      <c r="E425" s="72">
        <f t="shared" si="104"/>
        <v>46997</v>
      </c>
      <c r="F425" s="19" t="str">
        <f>IF($D425=1,INDEX(TblClusters[Cluster],$B425),"")</f>
        <v>oc-EMEA-NOS-PRD</v>
      </c>
      <c r="G425" s="19" t="str">
        <f>IF($D425=1,INDEX(TblClusters[Plateforme],$B425),"")</f>
        <v>ROKS</v>
      </c>
      <c r="H425" s="19">
        <f>IF($D425=1,INDEX(TblClusters[vCPU par nœud],$B425),"")</f>
        <v>8</v>
      </c>
      <c r="I425" s="19">
        <f>IF($D425=1,INDEX(TblClusters[RAM par nœud (Go)],$B425),"")</f>
        <v>40</v>
      </c>
      <c r="J425" s="19">
        <f>IF($D425=1,INDEX(TblClusters[Workers min],$B425),"")</f>
        <v>6</v>
      </c>
      <c r="K425" s="73">
        <f>IF($D425=1,INDEX(TblClusters[Tarif par nœud],$B425),"")</f>
        <v>368</v>
      </c>
      <c r="L425" s="19">
        <f>IF($D425=1,INDEX(TblClusters[CPU initial (vCPU)],$B425),"")</f>
        <v>48</v>
      </c>
      <c r="M425" s="19">
        <f>IF($D425=1,INDEX(TblClusters[RAM initiale (Go)],$B425),"")</f>
        <v>240</v>
      </c>
      <c r="N425" s="19">
        <f>IF($D425=1,INDEX(TblClusters[CPU min (vCPU)],$B425),"")</f>
        <v>48</v>
      </c>
      <c r="O425" s="19">
        <f>IF($D425=1,INDEX(TblClusters[RAM min (Go)],$B425),"")</f>
        <v>240</v>
      </c>
      <c r="P425" s="19">
        <f>IF($D425&lt;&gt;1,"",IF($G425="ROKS",SUMIFS(TblApplications[Besoin ROKS CPU (vCPU)],TblApplications[Cluster ROKS cible],$F425,TblApplications[Action],"À migrer",TblApplications[Déjà incluse ROKS],"Non",TblApplications[Mois prov (calc)],"&lt;="&amp;$E425),SUMIFS(TblApplications[CPU IKS libérable (vCPU)],TblApplications[Cluster IKS source],$F425,TblApplications[Mois lib (calc)],"&lt;="&amp;$E425)))</f>
        <v>0</v>
      </c>
      <c r="Q425" s="19">
        <f>IF($D425&lt;&gt;1,"",IF($G425="ROKS",SUMIFS(TblApplications[Besoin ROKS RAM (Go)],TblApplications[Cluster ROKS cible],$F425,TblApplications[Action],"À migrer",TblApplications[Déjà incluse ROKS],"Non",TblApplications[Mois prov (calc)],"&lt;="&amp;$E425),SUMIFS(TblApplications[RAM IKS libérable (Go)],TblApplications[Cluster IKS source],$F425,TblApplications[Mois lib (calc)],"&lt;="&amp;$E425)))</f>
        <v>0</v>
      </c>
      <c r="R425" s="19">
        <f t="shared" si="105"/>
        <v>48</v>
      </c>
      <c r="S425" s="19">
        <f t="shared" si="106"/>
        <v>240</v>
      </c>
      <c r="T425" s="19">
        <f t="shared" si="107"/>
        <v>6</v>
      </c>
      <c r="U425" s="19">
        <f t="shared" si="108"/>
        <v>48</v>
      </c>
      <c r="V425" s="19">
        <f t="shared" si="109"/>
        <v>240</v>
      </c>
      <c r="W425" s="73">
        <f t="shared" si="110"/>
        <v>2208</v>
      </c>
      <c r="X425" s="19">
        <f>IF($D425&lt;&gt;1,"",IF($G425="ROKS",$R425,IF($AI425=1,0,MAX($N425,$L425-SUMIFS(TblApplications[CPU IKS libérable (vCPU)],TblApplications[Cluster IKS source],$F425,TblApplications[Action],"À migrer",TblApplications[Mois prov (calc)],"&lt;="&amp;$E425)-SUMIFS(TblApplications[CPU IKS libérable (vCPU)],TblApplications[Cluster IKS source],$F425,TblApplications[Action],"À décommissionner",TblApplications[Mois lib (calc)],"&lt;="&amp;$E425)))))</f>
        <v>48</v>
      </c>
      <c r="Y425" s="19">
        <f>IF($D425&lt;&gt;1,"",IF($G425="ROKS",$S425,IF($AI425=1,0,MAX($O425,$M425-SUMIFS(TblApplications[RAM IKS libérable (Go)],TblApplications[Cluster IKS source],$F425,TblApplications[Action],"À migrer",TblApplications[Mois prov (calc)],"&lt;="&amp;$E425)-SUMIFS(TblApplications[RAM IKS libérable (Go)],TblApplications[Cluster IKS source],$F425,TblApplications[Action],"À décommissionner",TblApplications[Mois lib (calc)],"&lt;="&amp;$E425)))))</f>
        <v>240</v>
      </c>
      <c r="Z425" s="19">
        <f t="shared" si="111"/>
        <v>6</v>
      </c>
      <c r="AA425" s="73">
        <f t="shared" si="112"/>
        <v>2208</v>
      </c>
      <c r="AB425" s="19">
        <f t="shared" si="113"/>
        <v>6</v>
      </c>
      <c r="AC425" s="73">
        <f t="shared" si="114"/>
        <v>2208</v>
      </c>
      <c r="AD425" s="19">
        <f t="shared" si="115"/>
        <v>0</v>
      </c>
      <c r="AE425" s="19">
        <f t="shared" si="116"/>
        <v>0</v>
      </c>
      <c r="AF425" s="19" t="str">
        <f>IF($D425&lt;&gt;1,"",IF(INDEX(TblClusters[Environnement],$B425)="","(vide)",INDEX(TblClusters[Environnement],$B425)))</f>
        <v>PRD</v>
      </c>
      <c r="AG425" s="19">
        <f t="shared" si="117"/>
        <v>72</v>
      </c>
      <c r="AH425" s="19">
        <f t="shared" si="118"/>
        <v>30.666666666666668</v>
      </c>
      <c r="AI425" s="19">
        <f>IF($D425&lt;&gt;1,"",IF(AND($G425="IKS",ISNUMBER(INDEX(TblClusters[Fermeture retenue],$B425))),IF($E425&gt;=INDEX(TblClusters[Fermeture retenue],$B425),1,0),0))</f>
        <v>0</v>
      </c>
    </row>
    <row r="426" spans="1:35" x14ac:dyDescent="0.2">
      <c r="A426" s="19">
        <v>421</v>
      </c>
      <c r="B426" s="19">
        <f t="shared" si="102"/>
        <v>12</v>
      </c>
      <c r="C426" s="19">
        <f t="shared" si="103"/>
        <v>25</v>
      </c>
      <c r="D426" s="19">
        <f>IF($C426&gt;p_horizon,0,IFERROR(IF(AND(INDEX(TblClusters[Cluster],$B426)&lt;&gt;"",ISNUMBER(INDEX(TblClusters[CPU initial (vCPU)],$B426)),ISNUMBER(INDEX(TblClusters[CPU min (vCPU)],$B426)),OR(INDEX(TblClusters[Plateforme],$B426)="IKS",INDEX(TblClusters[Plateforme],$B426)="ROKS")),1,0),0))</f>
        <v>1</v>
      </c>
      <c r="E426" s="72">
        <f t="shared" si="104"/>
        <v>47027</v>
      </c>
      <c r="F426" s="19" t="str">
        <f>IF($D426=1,INDEX(TblClusters[Cluster],$B426),"")</f>
        <v>oc-EMEA-NOS-PRD</v>
      </c>
      <c r="G426" s="19" t="str">
        <f>IF($D426=1,INDEX(TblClusters[Plateforme],$B426),"")</f>
        <v>ROKS</v>
      </c>
      <c r="H426" s="19">
        <f>IF($D426=1,INDEX(TblClusters[vCPU par nœud],$B426),"")</f>
        <v>8</v>
      </c>
      <c r="I426" s="19">
        <f>IF($D426=1,INDEX(TblClusters[RAM par nœud (Go)],$B426),"")</f>
        <v>40</v>
      </c>
      <c r="J426" s="19">
        <f>IF($D426=1,INDEX(TblClusters[Workers min],$B426),"")</f>
        <v>6</v>
      </c>
      <c r="K426" s="73">
        <f>IF($D426=1,INDEX(TblClusters[Tarif par nœud],$B426),"")</f>
        <v>368</v>
      </c>
      <c r="L426" s="19">
        <f>IF($D426=1,INDEX(TblClusters[CPU initial (vCPU)],$B426),"")</f>
        <v>48</v>
      </c>
      <c r="M426" s="19">
        <f>IF($D426=1,INDEX(TblClusters[RAM initiale (Go)],$B426),"")</f>
        <v>240</v>
      </c>
      <c r="N426" s="19">
        <f>IF($D426=1,INDEX(TblClusters[CPU min (vCPU)],$B426),"")</f>
        <v>48</v>
      </c>
      <c r="O426" s="19">
        <f>IF($D426=1,INDEX(TblClusters[RAM min (Go)],$B426),"")</f>
        <v>240</v>
      </c>
      <c r="P426" s="19">
        <f>IF($D426&lt;&gt;1,"",IF($G426="ROKS",SUMIFS(TblApplications[Besoin ROKS CPU (vCPU)],TblApplications[Cluster ROKS cible],$F426,TblApplications[Action],"À migrer",TblApplications[Déjà incluse ROKS],"Non",TblApplications[Mois prov (calc)],"&lt;="&amp;$E426),SUMIFS(TblApplications[CPU IKS libérable (vCPU)],TblApplications[Cluster IKS source],$F426,TblApplications[Mois lib (calc)],"&lt;="&amp;$E426)))</f>
        <v>0</v>
      </c>
      <c r="Q426" s="19">
        <f>IF($D426&lt;&gt;1,"",IF($G426="ROKS",SUMIFS(TblApplications[Besoin ROKS RAM (Go)],TblApplications[Cluster ROKS cible],$F426,TblApplications[Action],"À migrer",TblApplications[Déjà incluse ROKS],"Non",TblApplications[Mois prov (calc)],"&lt;="&amp;$E426),SUMIFS(TblApplications[RAM IKS libérable (Go)],TblApplications[Cluster IKS source],$F426,TblApplications[Mois lib (calc)],"&lt;="&amp;$E426)))</f>
        <v>0</v>
      </c>
      <c r="R426" s="19">
        <f t="shared" si="105"/>
        <v>48</v>
      </c>
      <c r="S426" s="19">
        <f t="shared" si="106"/>
        <v>240</v>
      </c>
      <c r="T426" s="19">
        <f t="shared" si="107"/>
        <v>6</v>
      </c>
      <c r="U426" s="19">
        <f t="shared" si="108"/>
        <v>48</v>
      </c>
      <c r="V426" s="19">
        <f t="shared" si="109"/>
        <v>240</v>
      </c>
      <c r="W426" s="73">
        <f t="shared" si="110"/>
        <v>2208</v>
      </c>
      <c r="X426" s="19">
        <f>IF($D426&lt;&gt;1,"",IF($G426="ROKS",$R426,IF($AI426=1,0,MAX($N426,$L426-SUMIFS(TblApplications[CPU IKS libérable (vCPU)],TblApplications[Cluster IKS source],$F426,TblApplications[Action],"À migrer",TblApplications[Mois prov (calc)],"&lt;="&amp;$E426)-SUMIFS(TblApplications[CPU IKS libérable (vCPU)],TblApplications[Cluster IKS source],$F426,TblApplications[Action],"À décommissionner",TblApplications[Mois lib (calc)],"&lt;="&amp;$E426)))))</f>
        <v>48</v>
      </c>
      <c r="Y426" s="19">
        <f>IF($D426&lt;&gt;1,"",IF($G426="ROKS",$S426,IF($AI426=1,0,MAX($O426,$M426-SUMIFS(TblApplications[RAM IKS libérable (Go)],TblApplications[Cluster IKS source],$F426,TblApplications[Action],"À migrer",TblApplications[Mois prov (calc)],"&lt;="&amp;$E426)-SUMIFS(TblApplications[RAM IKS libérable (Go)],TblApplications[Cluster IKS source],$F426,TblApplications[Action],"À décommissionner",TblApplications[Mois lib (calc)],"&lt;="&amp;$E426)))))</f>
        <v>240</v>
      </c>
      <c r="Z426" s="19">
        <f t="shared" si="111"/>
        <v>6</v>
      </c>
      <c r="AA426" s="73">
        <f t="shared" si="112"/>
        <v>2208</v>
      </c>
      <c r="AB426" s="19">
        <f t="shared" si="113"/>
        <v>6</v>
      </c>
      <c r="AC426" s="73">
        <f t="shared" si="114"/>
        <v>2208</v>
      </c>
      <c r="AD426" s="19">
        <f t="shared" si="115"/>
        <v>0</v>
      </c>
      <c r="AE426" s="19">
        <f t="shared" si="116"/>
        <v>0</v>
      </c>
      <c r="AF426" s="19" t="str">
        <f>IF($D426&lt;&gt;1,"",IF(INDEX(TblClusters[Environnement],$B426)="","(vide)",INDEX(TblClusters[Environnement],$B426)))</f>
        <v>PRD</v>
      </c>
      <c r="AG426" s="19">
        <f t="shared" si="117"/>
        <v>72</v>
      </c>
      <c r="AH426" s="19">
        <f t="shared" si="118"/>
        <v>30.666666666666668</v>
      </c>
      <c r="AI426" s="19">
        <f>IF($D426&lt;&gt;1,"",IF(AND($G426="IKS",ISNUMBER(INDEX(TblClusters[Fermeture retenue],$B426))),IF($E426&gt;=INDEX(TblClusters[Fermeture retenue],$B426),1,0),0))</f>
        <v>0</v>
      </c>
    </row>
    <row r="427" spans="1:35" x14ac:dyDescent="0.2">
      <c r="A427" s="19">
        <v>422</v>
      </c>
      <c r="B427" s="19">
        <f t="shared" si="102"/>
        <v>12</v>
      </c>
      <c r="C427" s="19">
        <f t="shared" si="103"/>
        <v>26</v>
      </c>
      <c r="D427" s="19">
        <f>IF($C427&gt;p_horizon,0,IFERROR(IF(AND(INDEX(TblClusters[Cluster],$B427)&lt;&gt;"",ISNUMBER(INDEX(TblClusters[CPU initial (vCPU)],$B427)),ISNUMBER(INDEX(TblClusters[CPU min (vCPU)],$B427)),OR(INDEX(TblClusters[Plateforme],$B427)="IKS",INDEX(TblClusters[Plateforme],$B427)="ROKS")),1,0),0))</f>
        <v>1</v>
      </c>
      <c r="E427" s="72">
        <f t="shared" si="104"/>
        <v>47058</v>
      </c>
      <c r="F427" s="19" t="str">
        <f>IF($D427=1,INDEX(TblClusters[Cluster],$B427),"")</f>
        <v>oc-EMEA-NOS-PRD</v>
      </c>
      <c r="G427" s="19" t="str">
        <f>IF($D427=1,INDEX(TblClusters[Plateforme],$B427),"")</f>
        <v>ROKS</v>
      </c>
      <c r="H427" s="19">
        <f>IF($D427=1,INDEX(TblClusters[vCPU par nœud],$B427),"")</f>
        <v>8</v>
      </c>
      <c r="I427" s="19">
        <f>IF($D427=1,INDEX(TblClusters[RAM par nœud (Go)],$B427),"")</f>
        <v>40</v>
      </c>
      <c r="J427" s="19">
        <f>IF($D427=1,INDEX(TblClusters[Workers min],$B427),"")</f>
        <v>6</v>
      </c>
      <c r="K427" s="73">
        <f>IF($D427=1,INDEX(TblClusters[Tarif par nœud],$B427),"")</f>
        <v>368</v>
      </c>
      <c r="L427" s="19">
        <f>IF($D427=1,INDEX(TblClusters[CPU initial (vCPU)],$B427),"")</f>
        <v>48</v>
      </c>
      <c r="M427" s="19">
        <f>IF($D427=1,INDEX(TblClusters[RAM initiale (Go)],$B427),"")</f>
        <v>240</v>
      </c>
      <c r="N427" s="19">
        <f>IF($D427=1,INDEX(TblClusters[CPU min (vCPU)],$B427),"")</f>
        <v>48</v>
      </c>
      <c r="O427" s="19">
        <f>IF($D427=1,INDEX(TblClusters[RAM min (Go)],$B427),"")</f>
        <v>240</v>
      </c>
      <c r="P427" s="19">
        <f>IF($D427&lt;&gt;1,"",IF($G427="ROKS",SUMIFS(TblApplications[Besoin ROKS CPU (vCPU)],TblApplications[Cluster ROKS cible],$F427,TblApplications[Action],"À migrer",TblApplications[Déjà incluse ROKS],"Non",TblApplications[Mois prov (calc)],"&lt;="&amp;$E427),SUMIFS(TblApplications[CPU IKS libérable (vCPU)],TblApplications[Cluster IKS source],$F427,TblApplications[Mois lib (calc)],"&lt;="&amp;$E427)))</f>
        <v>0</v>
      </c>
      <c r="Q427" s="19">
        <f>IF($D427&lt;&gt;1,"",IF($G427="ROKS",SUMIFS(TblApplications[Besoin ROKS RAM (Go)],TblApplications[Cluster ROKS cible],$F427,TblApplications[Action],"À migrer",TblApplications[Déjà incluse ROKS],"Non",TblApplications[Mois prov (calc)],"&lt;="&amp;$E427),SUMIFS(TblApplications[RAM IKS libérable (Go)],TblApplications[Cluster IKS source],$F427,TblApplications[Mois lib (calc)],"&lt;="&amp;$E427)))</f>
        <v>0</v>
      </c>
      <c r="R427" s="19">
        <f t="shared" si="105"/>
        <v>48</v>
      </c>
      <c r="S427" s="19">
        <f t="shared" si="106"/>
        <v>240</v>
      </c>
      <c r="T427" s="19">
        <f t="shared" si="107"/>
        <v>6</v>
      </c>
      <c r="U427" s="19">
        <f t="shared" si="108"/>
        <v>48</v>
      </c>
      <c r="V427" s="19">
        <f t="shared" si="109"/>
        <v>240</v>
      </c>
      <c r="W427" s="73">
        <f t="shared" si="110"/>
        <v>2208</v>
      </c>
      <c r="X427" s="19">
        <f>IF($D427&lt;&gt;1,"",IF($G427="ROKS",$R427,IF($AI427=1,0,MAX($N427,$L427-SUMIFS(TblApplications[CPU IKS libérable (vCPU)],TblApplications[Cluster IKS source],$F427,TblApplications[Action],"À migrer",TblApplications[Mois prov (calc)],"&lt;="&amp;$E427)-SUMIFS(TblApplications[CPU IKS libérable (vCPU)],TblApplications[Cluster IKS source],$F427,TblApplications[Action],"À décommissionner",TblApplications[Mois lib (calc)],"&lt;="&amp;$E427)))))</f>
        <v>48</v>
      </c>
      <c r="Y427" s="19">
        <f>IF($D427&lt;&gt;1,"",IF($G427="ROKS",$S427,IF($AI427=1,0,MAX($O427,$M427-SUMIFS(TblApplications[RAM IKS libérable (Go)],TblApplications[Cluster IKS source],$F427,TblApplications[Action],"À migrer",TblApplications[Mois prov (calc)],"&lt;="&amp;$E427)-SUMIFS(TblApplications[RAM IKS libérable (Go)],TblApplications[Cluster IKS source],$F427,TblApplications[Action],"À décommissionner",TblApplications[Mois lib (calc)],"&lt;="&amp;$E427)))))</f>
        <v>240</v>
      </c>
      <c r="Z427" s="19">
        <f t="shared" si="111"/>
        <v>6</v>
      </c>
      <c r="AA427" s="73">
        <f t="shared" si="112"/>
        <v>2208</v>
      </c>
      <c r="AB427" s="19">
        <f t="shared" si="113"/>
        <v>6</v>
      </c>
      <c r="AC427" s="73">
        <f t="shared" si="114"/>
        <v>2208</v>
      </c>
      <c r="AD427" s="19">
        <f t="shared" si="115"/>
        <v>0</v>
      </c>
      <c r="AE427" s="19">
        <f t="shared" si="116"/>
        <v>0</v>
      </c>
      <c r="AF427" s="19" t="str">
        <f>IF($D427&lt;&gt;1,"",IF(INDEX(TblClusters[Environnement],$B427)="","(vide)",INDEX(TblClusters[Environnement],$B427)))</f>
        <v>PRD</v>
      </c>
      <c r="AG427" s="19">
        <f t="shared" si="117"/>
        <v>72</v>
      </c>
      <c r="AH427" s="19">
        <f t="shared" si="118"/>
        <v>30.666666666666668</v>
      </c>
      <c r="AI427" s="19">
        <f>IF($D427&lt;&gt;1,"",IF(AND($G427="IKS",ISNUMBER(INDEX(TblClusters[Fermeture retenue],$B427))),IF($E427&gt;=INDEX(TblClusters[Fermeture retenue],$B427),1,0),0))</f>
        <v>0</v>
      </c>
    </row>
    <row r="428" spans="1:35" x14ac:dyDescent="0.2">
      <c r="A428" s="19">
        <v>423</v>
      </c>
      <c r="B428" s="19">
        <f t="shared" si="102"/>
        <v>12</v>
      </c>
      <c r="C428" s="19">
        <f t="shared" si="103"/>
        <v>27</v>
      </c>
      <c r="D428" s="19">
        <f>IF($C428&gt;p_horizon,0,IFERROR(IF(AND(INDEX(TblClusters[Cluster],$B428)&lt;&gt;"",ISNUMBER(INDEX(TblClusters[CPU initial (vCPU)],$B428)),ISNUMBER(INDEX(TblClusters[CPU min (vCPU)],$B428)),OR(INDEX(TblClusters[Plateforme],$B428)="IKS",INDEX(TblClusters[Plateforme],$B428)="ROKS")),1,0),0))</f>
        <v>1</v>
      </c>
      <c r="E428" s="72">
        <f t="shared" si="104"/>
        <v>47088</v>
      </c>
      <c r="F428" s="19" t="str">
        <f>IF($D428=1,INDEX(TblClusters[Cluster],$B428),"")</f>
        <v>oc-EMEA-NOS-PRD</v>
      </c>
      <c r="G428" s="19" t="str">
        <f>IF($D428=1,INDEX(TblClusters[Plateforme],$B428),"")</f>
        <v>ROKS</v>
      </c>
      <c r="H428" s="19">
        <f>IF($D428=1,INDEX(TblClusters[vCPU par nœud],$B428),"")</f>
        <v>8</v>
      </c>
      <c r="I428" s="19">
        <f>IF($D428=1,INDEX(TblClusters[RAM par nœud (Go)],$B428),"")</f>
        <v>40</v>
      </c>
      <c r="J428" s="19">
        <f>IF($D428=1,INDEX(TblClusters[Workers min],$B428),"")</f>
        <v>6</v>
      </c>
      <c r="K428" s="73">
        <f>IF($D428=1,INDEX(TblClusters[Tarif par nœud],$B428),"")</f>
        <v>368</v>
      </c>
      <c r="L428" s="19">
        <f>IF($D428=1,INDEX(TblClusters[CPU initial (vCPU)],$B428),"")</f>
        <v>48</v>
      </c>
      <c r="M428" s="19">
        <f>IF($D428=1,INDEX(TblClusters[RAM initiale (Go)],$B428),"")</f>
        <v>240</v>
      </c>
      <c r="N428" s="19">
        <f>IF($D428=1,INDEX(TblClusters[CPU min (vCPU)],$B428),"")</f>
        <v>48</v>
      </c>
      <c r="O428" s="19">
        <f>IF($D428=1,INDEX(TblClusters[RAM min (Go)],$B428),"")</f>
        <v>240</v>
      </c>
      <c r="P428" s="19">
        <f>IF($D428&lt;&gt;1,"",IF($G428="ROKS",SUMIFS(TblApplications[Besoin ROKS CPU (vCPU)],TblApplications[Cluster ROKS cible],$F428,TblApplications[Action],"À migrer",TblApplications[Déjà incluse ROKS],"Non",TblApplications[Mois prov (calc)],"&lt;="&amp;$E428),SUMIFS(TblApplications[CPU IKS libérable (vCPU)],TblApplications[Cluster IKS source],$F428,TblApplications[Mois lib (calc)],"&lt;="&amp;$E428)))</f>
        <v>0</v>
      </c>
      <c r="Q428" s="19">
        <f>IF($D428&lt;&gt;1,"",IF($G428="ROKS",SUMIFS(TblApplications[Besoin ROKS RAM (Go)],TblApplications[Cluster ROKS cible],$F428,TblApplications[Action],"À migrer",TblApplications[Déjà incluse ROKS],"Non",TblApplications[Mois prov (calc)],"&lt;="&amp;$E428),SUMIFS(TblApplications[RAM IKS libérable (Go)],TblApplications[Cluster IKS source],$F428,TblApplications[Mois lib (calc)],"&lt;="&amp;$E428)))</f>
        <v>0</v>
      </c>
      <c r="R428" s="19">
        <f t="shared" si="105"/>
        <v>48</v>
      </c>
      <c r="S428" s="19">
        <f t="shared" si="106"/>
        <v>240</v>
      </c>
      <c r="T428" s="19">
        <f t="shared" si="107"/>
        <v>6</v>
      </c>
      <c r="U428" s="19">
        <f t="shared" si="108"/>
        <v>48</v>
      </c>
      <c r="V428" s="19">
        <f t="shared" si="109"/>
        <v>240</v>
      </c>
      <c r="W428" s="73">
        <f t="shared" si="110"/>
        <v>2208</v>
      </c>
      <c r="X428" s="19">
        <f>IF($D428&lt;&gt;1,"",IF($G428="ROKS",$R428,IF($AI428=1,0,MAX($N428,$L428-SUMIFS(TblApplications[CPU IKS libérable (vCPU)],TblApplications[Cluster IKS source],$F428,TblApplications[Action],"À migrer",TblApplications[Mois prov (calc)],"&lt;="&amp;$E428)-SUMIFS(TblApplications[CPU IKS libérable (vCPU)],TblApplications[Cluster IKS source],$F428,TblApplications[Action],"À décommissionner",TblApplications[Mois lib (calc)],"&lt;="&amp;$E428)))))</f>
        <v>48</v>
      </c>
      <c r="Y428" s="19">
        <f>IF($D428&lt;&gt;1,"",IF($G428="ROKS",$S428,IF($AI428=1,0,MAX($O428,$M428-SUMIFS(TblApplications[RAM IKS libérable (Go)],TblApplications[Cluster IKS source],$F428,TblApplications[Action],"À migrer",TblApplications[Mois prov (calc)],"&lt;="&amp;$E428)-SUMIFS(TblApplications[RAM IKS libérable (Go)],TblApplications[Cluster IKS source],$F428,TblApplications[Action],"À décommissionner",TblApplications[Mois lib (calc)],"&lt;="&amp;$E428)))))</f>
        <v>240</v>
      </c>
      <c r="Z428" s="19">
        <f t="shared" si="111"/>
        <v>6</v>
      </c>
      <c r="AA428" s="73">
        <f t="shared" si="112"/>
        <v>2208</v>
      </c>
      <c r="AB428" s="19">
        <f t="shared" si="113"/>
        <v>6</v>
      </c>
      <c r="AC428" s="73">
        <f t="shared" si="114"/>
        <v>2208</v>
      </c>
      <c r="AD428" s="19">
        <f t="shared" si="115"/>
        <v>0</v>
      </c>
      <c r="AE428" s="19">
        <f t="shared" si="116"/>
        <v>0</v>
      </c>
      <c r="AF428" s="19" t="str">
        <f>IF($D428&lt;&gt;1,"",IF(INDEX(TblClusters[Environnement],$B428)="","(vide)",INDEX(TblClusters[Environnement],$B428)))</f>
        <v>PRD</v>
      </c>
      <c r="AG428" s="19">
        <f t="shared" si="117"/>
        <v>72</v>
      </c>
      <c r="AH428" s="19">
        <f t="shared" si="118"/>
        <v>30.666666666666668</v>
      </c>
      <c r="AI428" s="19">
        <f>IF($D428&lt;&gt;1,"",IF(AND($G428="IKS",ISNUMBER(INDEX(TblClusters[Fermeture retenue],$B428))),IF($E428&gt;=INDEX(TblClusters[Fermeture retenue],$B428),1,0),0))</f>
        <v>0</v>
      </c>
    </row>
    <row r="429" spans="1:35" x14ac:dyDescent="0.2">
      <c r="A429" s="19">
        <v>424</v>
      </c>
      <c r="B429" s="19">
        <f t="shared" si="102"/>
        <v>12</v>
      </c>
      <c r="C429" s="19">
        <f t="shared" si="103"/>
        <v>28</v>
      </c>
      <c r="D429" s="19">
        <f>IF($C429&gt;p_horizon,0,IFERROR(IF(AND(INDEX(TblClusters[Cluster],$B429)&lt;&gt;"",ISNUMBER(INDEX(TblClusters[CPU initial (vCPU)],$B429)),ISNUMBER(INDEX(TblClusters[CPU min (vCPU)],$B429)),OR(INDEX(TblClusters[Plateforme],$B429)="IKS",INDEX(TblClusters[Plateforme],$B429)="ROKS")),1,0),0))</f>
        <v>1</v>
      </c>
      <c r="E429" s="72">
        <f t="shared" si="104"/>
        <v>47119</v>
      </c>
      <c r="F429" s="19" t="str">
        <f>IF($D429=1,INDEX(TblClusters[Cluster],$B429),"")</f>
        <v>oc-EMEA-NOS-PRD</v>
      </c>
      <c r="G429" s="19" t="str">
        <f>IF($D429=1,INDEX(TblClusters[Plateforme],$B429),"")</f>
        <v>ROKS</v>
      </c>
      <c r="H429" s="19">
        <f>IF($D429=1,INDEX(TblClusters[vCPU par nœud],$B429),"")</f>
        <v>8</v>
      </c>
      <c r="I429" s="19">
        <f>IF($D429=1,INDEX(TblClusters[RAM par nœud (Go)],$B429),"")</f>
        <v>40</v>
      </c>
      <c r="J429" s="19">
        <f>IF($D429=1,INDEX(TblClusters[Workers min],$B429),"")</f>
        <v>6</v>
      </c>
      <c r="K429" s="73">
        <f>IF($D429=1,INDEX(TblClusters[Tarif par nœud],$B429),"")</f>
        <v>368</v>
      </c>
      <c r="L429" s="19">
        <f>IF($D429=1,INDEX(TblClusters[CPU initial (vCPU)],$B429),"")</f>
        <v>48</v>
      </c>
      <c r="M429" s="19">
        <f>IF($D429=1,INDEX(TblClusters[RAM initiale (Go)],$B429),"")</f>
        <v>240</v>
      </c>
      <c r="N429" s="19">
        <f>IF($D429=1,INDEX(TblClusters[CPU min (vCPU)],$B429),"")</f>
        <v>48</v>
      </c>
      <c r="O429" s="19">
        <f>IF($D429=1,INDEX(TblClusters[RAM min (Go)],$B429),"")</f>
        <v>240</v>
      </c>
      <c r="P429" s="19">
        <f>IF($D429&lt;&gt;1,"",IF($G429="ROKS",SUMIFS(TblApplications[Besoin ROKS CPU (vCPU)],TblApplications[Cluster ROKS cible],$F429,TblApplications[Action],"À migrer",TblApplications[Déjà incluse ROKS],"Non",TblApplications[Mois prov (calc)],"&lt;="&amp;$E429),SUMIFS(TblApplications[CPU IKS libérable (vCPU)],TblApplications[Cluster IKS source],$F429,TblApplications[Mois lib (calc)],"&lt;="&amp;$E429)))</f>
        <v>0</v>
      </c>
      <c r="Q429" s="19">
        <f>IF($D429&lt;&gt;1,"",IF($G429="ROKS",SUMIFS(TblApplications[Besoin ROKS RAM (Go)],TblApplications[Cluster ROKS cible],$F429,TblApplications[Action],"À migrer",TblApplications[Déjà incluse ROKS],"Non",TblApplications[Mois prov (calc)],"&lt;="&amp;$E429),SUMIFS(TblApplications[RAM IKS libérable (Go)],TblApplications[Cluster IKS source],$F429,TblApplications[Mois lib (calc)],"&lt;="&amp;$E429)))</f>
        <v>0</v>
      </c>
      <c r="R429" s="19">
        <f t="shared" si="105"/>
        <v>48</v>
      </c>
      <c r="S429" s="19">
        <f t="shared" si="106"/>
        <v>240</v>
      </c>
      <c r="T429" s="19">
        <f t="shared" si="107"/>
        <v>6</v>
      </c>
      <c r="U429" s="19">
        <f t="shared" si="108"/>
        <v>48</v>
      </c>
      <c r="V429" s="19">
        <f t="shared" si="109"/>
        <v>240</v>
      </c>
      <c r="W429" s="73">
        <f t="shared" si="110"/>
        <v>2208</v>
      </c>
      <c r="X429" s="19">
        <f>IF($D429&lt;&gt;1,"",IF($G429="ROKS",$R429,IF($AI429=1,0,MAX($N429,$L429-SUMIFS(TblApplications[CPU IKS libérable (vCPU)],TblApplications[Cluster IKS source],$F429,TblApplications[Action],"À migrer",TblApplications[Mois prov (calc)],"&lt;="&amp;$E429)-SUMIFS(TblApplications[CPU IKS libérable (vCPU)],TblApplications[Cluster IKS source],$F429,TblApplications[Action],"À décommissionner",TblApplications[Mois lib (calc)],"&lt;="&amp;$E429)))))</f>
        <v>48</v>
      </c>
      <c r="Y429" s="19">
        <f>IF($D429&lt;&gt;1,"",IF($G429="ROKS",$S429,IF($AI429=1,0,MAX($O429,$M429-SUMIFS(TblApplications[RAM IKS libérable (Go)],TblApplications[Cluster IKS source],$F429,TblApplications[Action],"À migrer",TblApplications[Mois prov (calc)],"&lt;="&amp;$E429)-SUMIFS(TblApplications[RAM IKS libérable (Go)],TblApplications[Cluster IKS source],$F429,TblApplications[Action],"À décommissionner",TblApplications[Mois lib (calc)],"&lt;="&amp;$E429)))))</f>
        <v>240</v>
      </c>
      <c r="Z429" s="19">
        <f t="shared" si="111"/>
        <v>6</v>
      </c>
      <c r="AA429" s="73">
        <f t="shared" si="112"/>
        <v>2208</v>
      </c>
      <c r="AB429" s="19">
        <f t="shared" si="113"/>
        <v>6</v>
      </c>
      <c r="AC429" s="73">
        <f t="shared" si="114"/>
        <v>2208</v>
      </c>
      <c r="AD429" s="19">
        <f t="shared" si="115"/>
        <v>0</v>
      </c>
      <c r="AE429" s="19">
        <f t="shared" si="116"/>
        <v>0</v>
      </c>
      <c r="AF429" s="19" t="str">
        <f>IF($D429&lt;&gt;1,"",IF(INDEX(TblClusters[Environnement],$B429)="","(vide)",INDEX(TblClusters[Environnement],$B429)))</f>
        <v>PRD</v>
      </c>
      <c r="AG429" s="19">
        <f t="shared" si="117"/>
        <v>72</v>
      </c>
      <c r="AH429" s="19">
        <f t="shared" si="118"/>
        <v>30.666666666666668</v>
      </c>
      <c r="AI429" s="19">
        <f>IF($D429&lt;&gt;1,"",IF(AND($G429="IKS",ISNUMBER(INDEX(TblClusters[Fermeture retenue],$B429))),IF($E429&gt;=INDEX(TblClusters[Fermeture retenue],$B429),1,0),0))</f>
        <v>0</v>
      </c>
    </row>
    <row r="430" spans="1:35" x14ac:dyDescent="0.2">
      <c r="A430" s="19">
        <v>425</v>
      </c>
      <c r="B430" s="19">
        <f t="shared" si="102"/>
        <v>12</v>
      </c>
      <c r="C430" s="19">
        <f t="shared" si="103"/>
        <v>29</v>
      </c>
      <c r="D430" s="19">
        <f>IF($C430&gt;p_horizon,0,IFERROR(IF(AND(INDEX(TblClusters[Cluster],$B430)&lt;&gt;"",ISNUMBER(INDEX(TblClusters[CPU initial (vCPU)],$B430)),ISNUMBER(INDEX(TblClusters[CPU min (vCPU)],$B430)),OR(INDEX(TblClusters[Plateforme],$B430)="IKS",INDEX(TblClusters[Plateforme],$B430)="ROKS")),1,0),0))</f>
        <v>1</v>
      </c>
      <c r="E430" s="72">
        <f t="shared" si="104"/>
        <v>47150</v>
      </c>
      <c r="F430" s="19" t="str">
        <f>IF($D430=1,INDEX(TblClusters[Cluster],$B430),"")</f>
        <v>oc-EMEA-NOS-PRD</v>
      </c>
      <c r="G430" s="19" t="str">
        <f>IF($D430=1,INDEX(TblClusters[Plateforme],$B430),"")</f>
        <v>ROKS</v>
      </c>
      <c r="H430" s="19">
        <f>IF($D430=1,INDEX(TblClusters[vCPU par nœud],$B430),"")</f>
        <v>8</v>
      </c>
      <c r="I430" s="19">
        <f>IF($D430=1,INDEX(TblClusters[RAM par nœud (Go)],$B430),"")</f>
        <v>40</v>
      </c>
      <c r="J430" s="19">
        <f>IF($D430=1,INDEX(TblClusters[Workers min],$B430),"")</f>
        <v>6</v>
      </c>
      <c r="K430" s="73">
        <f>IF($D430=1,INDEX(TblClusters[Tarif par nœud],$B430),"")</f>
        <v>368</v>
      </c>
      <c r="L430" s="19">
        <f>IF($D430=1,INDEX(TblClusters[CPU initial (vCPU)],$B430),"")</f>
        <v>48</v>
      </c>
      <c r="M430" s="19">
        <f>IF($D430=1,INDEX(TblClusters[RAM initiale (Go)],$B430),"")</f>
        <v>240</v>
      </c>
      <c r="N430" s="19">
        <f>IF($D430=1,INDEX(TblClusters[CPU min (vCPU)],$B430),"")</f>
        <v>48</v>
      </c>
      <c r="O430" s="19">
        <f>IF($D430=1,INDEX(TblClusters[RAM min (Go)],$B430),"")</f>
        <v>240</v>
      </c>
      <c r="P430" s="19">
        <f>IF($D430&lt;&gt;1,"",IF($G430="ROKS",SUMIFS(TblApplications[Besoin ROKS CPU (vCPU)],TblApplications[Cluster ROKS cible],$F430,TblApplications[Action],"À migrer",TblApplications[Déjà incluse ROKS],"Non",TblApplications[Mois prov (calc)],"&lt;="&amp;$E430),SUMIFS(TblApplications[CPU IKS libérable (vCPU)],TblApplications[Cluster IKS source],$F430,TblApplications[Mois lib (calc)],"&lt;="&amp;$E430)))</f>
        <v>0</v>
      </c>
      <c r="Q430" s="19">
        <f>IF($D430&lt;&gt;1,"",IF($G430="ROKS",SUMIFS(TblApplications[Besoin ROKS RAM (Go)],TblApplications[Cluster ROKS cible],$F430,TblApplications[Action],"À migrer",TblApplications[Déjà incluse ROKS],"Non",TblApplications[Mois prov (calc)],"&lt;="&amp;$E430),SUMIFS(TblApplications[RAM IKS libérable (Go)],TblApplications[Cluster IKS source],$F430,TblApplications[Mois lib (calc)],"&lt;="&amp;$E430)))</f>
        <v>0</v>
      </c>
      <c r="R430" s="19">
        <f t="shared" si="105"/>
        <v>48</v>
      </c>
      <c r="S430" s="19">
        <f t="shared" si="106"/>
        <v>240</v>
      </c>
      <c r="T430" s="19">
        <f t="shared" si="107"/>
        <v>6</v>
      </c>
      <c r="U430" s="19">
        <f t="shared" si="108"/>
        <v>48</v>
      </c>
      <c r="V430" s="19">
        <f t="shared" si="109"/>
        <v>240</v>
      </c>
      <c r="W430" s="73">
        <f t="shared" si="110"/>
        <v>2208</v>
      </c>
      <c r="X430" s="19">
        <f>IF($D430&lt;&gt;1,"",IF($G430="ROKS",$R430,IF($AI430=1,0,MAX($N430,$L430-SUMIFS(TblApplications[CPU IKS libérable (vCPU)],TblApplications[Cluster IKS source],$F430,TblApplications[Action],"À migrer",TblApplications[Mois prov (calc)],"&lt;="&amp;$E430)-SUMIFS(TblApplications[CPU IKS libérable (vCPU)],TblApplications[Cluster IKS source],$F430,TblApplications[Action],"À décommissionner",TblApplications[Mois lib (calc)],"&lt;="&amp;$E430)))))</f>
        <v>48</v>
      </c>
      <c r="Y430" s="19">
        <f>IF($D430&lt;&gt;1,"",IF($G430="ROKS",$S430,IF($AI430=1,0,MAX($O430,$M430-SUMIFS(TblApplications[RAM IKS libérable (Go)],TblApplications[Cluster IKS source],$F430,TblApplications[Action],"À migrer",TblApplications[Mois prov (calc)],"&lt;="&amp;$E430)-SUMIFS(TblApplications[RAM IKS libérable (Go)],TblApplications[Cluster IKS source],$F430,TblApplications[Action],"À décommissionner",TblApplications[Mois lib (calc)],"&lt;="&amp;$E430)))))</f>
        <v>240</v>
      </c>
      <c r="Z430" s="19">
        <f t="shared" si="111"/>
        <v>6</v>
      </c>
      <c r="AA430" s="73">
        <f t="shared" si="112"/>
        <v>2208</v>
      </c>
      <c r="AB430" s="19">
        <f t="shared" si="113"/>
        <v>6</v>
      </c>
      <c r="AC430" s="73">
        <f t="shared" si="114"/>
        <v>2208</v>
      </c>
      <c r="AD430" s="19">
        <f t="shared" si="115"/>
        <v>0</v>
      </c>
      <c r="AE430" s="19">
        <f t="shared" si="116"/>
        <v>0</v>
      </c>
      <c r="AF430" s="19" t="str">
        <f>IF($D430&lt;&gt;1,"",IF(INDEX(TblClusters[Environnement],$B430)="","(vide)",INDEX(TblClusters[Environnement],$B430)))</f>
        <v>PRD</v>
      </c>
      <c r="AG430" s="19">
        <f t="shared" si="117"/>
        <v>72</v>
      </c>
      <c r="AH430" s="19">
        <f t="shared" si="118"/>
        <v>30.666666666666668</v>
      </c>
      <c r="AI430" s="19">
        <f>IF($D430&lt;&gt;1,"",IF(AND($G430="IKS",ISNUMBER(INDEX(TblClusters[Fermeture retenue],$B430))),IF($E430&gt;=INDEX(TblClusters[Fermeture retenue],$B430),1,0),0))</f>
        <v>0</v>
      </c>
    </row>
    <row r="431" spans="1:35" x14ac:dyDescent="0.2">
      <c r="A431" s="19">
        <v>426</v>
      </c>
      <c r="B431" s="19">
        <f t="shared" si="102"/>
        <v>12</v>
      </c>
      <c r="C431" s="19">
        <f t="shared" si="103"/>
        <v>30</v>
      </c>
      <c r="D431" s="19">
        <f>IF($C431&gt;p_horizon,0,IFERROR(IF(AND(INDEX(TblClusters[Cluster],$B431)&lt;&gt;"",ISNUMBER(INDEX(TblClusters[CPU initial (vCPU)],$B431)),ISNUMBER(INDEX(TblClusters[CPU min (vCPU)],$B431)),OR(INDEX(TblClusters[Plateforme],$B431)="IKS",INDEX(TblClusters[Plateforme],$B431)="ROKS")),1,0),0))</f>
        <v>1</v>
      </c>
      <c r="E431" s="72">
        <f t="shared" si="104"/>
        <v>47178</v>
      </c>
      <c r="F431" s="19" t="str">
        <f>IF($D431=1,INDEX(TblClusters[Cluster],$B431),"")</f>
        <v>oc-EMEA-NOS-PRD</v>
      </c>
      <c r="G431" s="19" t="str">
        <f>IF($D431=1,INDEX(TblClusters[Plateforme],$B431),"")</f>
        <v>ROKS</v>
      </c>
      <c r="H431" s="19">
        <f>IF($D431=1,INDEX(TblClusters[vCPU par nœud],$B431),"")</f>
        <v>8</v>
      </c>
      <c r="I431" s="19">
        <f>IF($D431=1,INDEX(TblClusters[RAM par nœud (Go)],$B431),"")</f>
        <v>40</v>
      </c>
      <c r="J431" s="19">
        <f>IF($D431=1,INDEX(TblClusters[Workers min],$B431),"")</f>
        <v>6</v>
      </c>
      <c r="K431" s="73">
        <f>IF($D431=1,INDEX(TblClusters[Tarif par nœud],$B431),"")</f>
        <v>368</v>
      </c>
      <c r="L431" s="19">
        <f>IF($D431=1,INDEX(TblClusters[CPU initial (vCPU)],$B431),"")</f>
        <v>48</v>
      </c>
      <c r="M431" s="19">
        <f>IF($D431=1,INDEX(TblClusters[RAM initiale (Go)],$B431),"")</f>
        <v>240</v>
      </c>
      <c r="N431" s="19">
        <f>IF($D431=1,INDEX(TblClusters[CPU min (vCPU)],$B431),"")</f>
        <v>48</v>
      </c>
      <c r="O431" s="19">
        <f>IF($D431=1,INDEX(TblClusters[RAM min (Go)],$B431),"")</f>
        <v>240</v>
      </c>
      <c r="P431" s="19">
        <f>IF($D431&lt;&gt;1,"",IF($G431="ROKS",SUMIFS(TblApplications[Besoin ROKS CPU (vCPU)],TblApplications[Cluster ROKS cible],$F431,TblApplications[Action],"À migrer",TblApplications[Déjà incluse ROKS],"Non",TblApplications[Mois prov (calc)],"&lt;="&amp;$E431),SUMIFS(TblApplications[CPU IKS libérable (vCPU)],TblApplications[Cluster IKS source],$F431,TblApplications[Mois lib (calc)],"&lt;="&amp;$E431)))</f>
        <v>0</v>
      </c>
      <c r="Q431" s="19">
        <f>IF($D431&lt;&gt;1,"",IF($G431="ROKS",SUMIFS(TblApplications[Besoin ROKS RAM (Go)],TblApplications[Cluster ROKS cible],$F431,TblApplications[Action],"À migrer",TblApplications[Déjà incluse ROKS],"Non",TblApplications[Mois prov (calc)],"&lt;="&amp;$E431),SUMIFS(TblApplications[RAM IKS libérable (Go)],TblApplications[Cluster IKS source],$F431,TblApplications[Mois lib (calc)],"&lt;="&amp;$E431)))</f>
        <v>0</v>
      </c>
      <c r="R431" s="19">
        <f t="shared" si="105"/>
        <v>48</v>
      </c>
      <c r="S431" s="19">
        <f t="shared" si="106"/>
        <v>240</v>
      </c>
      <c r="T431" s="19">
        <f t="shared" si="107"/>
        <v>6</v>
      </c>
      <c r="U431" s="19">
        <f t="shared" si="108"/>
        <v>48</v>
      </c>
      <c r="V431" s="19">
        <f t="shared" si="109"/>
        <v>240</v>
      </c>
      <c r="W431" s="73">
        <f t="shared" si="110"/>
        <v>2208</v>
      </c>
      <c r="X431" s="19">
        <f>IF($D431&lt;&gt;1,"",IF($G431="ROKS",$R431,IF($AI431=1,0,MAX($N431,$L431-SUMIFS(TblApplications[CPU IKS libérable (vCPU)],TblApplications[Cluster IKS source],$F431,TblApplications[Action],"À migrer",TblApplications[Mois prov (calc)],"&lt;="&amp;$E431)-SUMIFS(TblApplications[CPU IKS libérable (vCPU)],TblApplications[Cluster IKS source],$F431,TblApplications[Action],"À décommissionner",TblApplications[Mois lib (calc)],"&lt;="&amp;$E431)))))</f>
        <v>48</v>
      </c>
      <c r="Y431" s="19">
        <f>IF($D431&lt;&gt;1,"",IF($G431="ROKS",$S431,IF($AI431=1,0,MAX($O431,$M431-SUMIFS(TblApplications[RAM IKS libérable (Go)],TblApplications[Cluster IKS source],$F431,TblApplications[Action],"À migrer",TblApplications[Mois prov (calc)],"&lt;="&amp;$E431)-SUMIFS(TblApplications[RAM IKS libérable (Go)],TblApplications[Cluster IKS source],$F431,TblApplications[Action],"À décommissionner",TblApplications[Mois lib (calc)],"&lt;="&amp;$E431)))))</f>
        <v>240</v>
      </c>
      <c r="Z431" s="19">
        <f t="shared" si="111"/>
        <v>6</v>
      </c>
      <c r="AA431" s="73">
        <f t="shared" si="112"/>
        <v>2208</v>
      </c>
      <c r="AB431" s="19">
        <f t="shared" si="113"/>
        <v>6</v>
      </c>
      <c r="AC431" s="73">
        <f t="shared" si="114"/>
        <v>2208</v>
      </c>
      <c r="AD431" s="19">
        <f t="shared" si="115"/>
        <v>0</v>
      </c>
      <c r="AE431" s="19">
        <f t="shared" si="116"/>
        <v>0</v>
      </c>
      <c r="AF431" s="19" t="str">
        <f>IF($D431&lt;&gt;1,"",IF(INDEX(TblClusters[Environnement],$B431)="","(vide)",INDEX(TblClusters[Environnement],$B431)))</f>
        <v>PRD</v>
      </c>
      <c r="AG431" s="19">
        <f t="shared" si="117"/>
        <v>72</v>
      </c>
      <c r="AH431" s="19">
        <f t="shared" si="118"/>
        <v>30.666666666666668</v>
      </c>
      <c r="AI431" s="19">
        <f>IF($D431&lt;&gt;1,"",IF(AND($G431="IKS",ISNUMBER(INDEX(TblClusters[Fermeture retenue],$B431))),IF($E431&gt;=INDEX(TblClusters[Fermeture retenue],$B431),1,0),0))</f>
        <v>0</v>
      </c>
    </row>
    <row r="432" spans="1:35" x14ac:dyDescent="0.2">
      <c r="A432" s="19">
        <v>427</v>
      </c>
      <c r="B432" s="19">
        <f t="shared" si="102"/>
        <v>12</v>
      </c>
      <c r="C432" s="19">
        <f t="shared" si="103"/>
        <v>31</v>
      </c>
      <c r="D432" s="19">
        <f>IF($C432&gt;p_horizon,0,IFERROR(IF(AND(INDEX(TblClusters[Cluster],$B432)&lt;&gt;"",ISNUMBER(INDEX(TblClusters[CPU initial (vCPU)],$B432)),ISNUMBER(INDEX(TblClusters[CPU min (vCPU)],$B432)),OR(INDEX(TblClusters[Plateforme],$B432)="IKS",INDEX(TblClusters[Plateforme],$B432)="ROKS")),1,0),0))</f>
        <v>1</v>
      </c>
      <c r="E432" s="72">
        <f t="shared" si="104"/>
        <v>47209</v>
      </c>
      <c r="F432" s="19" t="str">
        <f>IF($D432=1,INDEX(TblClusters[Cluster],$B432),"")</f>
        <v>oc-EMEA-NOS-PRD</v>
      </c>
      <c r="G432" s="19" t="str">
        <f>IF($D432=1,INDEX(TblClusters[Plateforme],$B432),"")</f>
        <v>ROKS</v>
      </c>
      <c r="H432" s="19">
        <f>IF($D432=1,INDEX(TblClusters[vCPU par nœud],$B432),"")</f>
        <v>8</v>
      </c>
      <c r="I432" s="19">
        <f>IF($D432=1,INDEX(TblClusters[RAM par nœud (Go)],$B432),"")</f>
        <v>40</v>
      </c>
      <c r="J432" s="19">
        <f>IF($D432=1,INDEX(TblClusters[Workers min],$B432),"")</f>
        <v>6</v>
      </c>
      <c r="K432" s="73">
        <f>IF($D432=1,INDEX(TblClusters[Tarif par nœud],$B432),"")</f>
        <v>368</v>
      </c>
      <c r="L432" s="19">
        <f>IF($D432=1,INDEX(TblClusters[CPU initial (vCPU)],$B432),"")</f>
        <v>48</v>
      </c>
      <c r="M432" s="19">
        <f>IF($D432=1,INDEX(TblClusters[RAM initiale (Go)],$B432),"")</f>
        <v>240</v>
      </c>
      <c r="N432" s="19">
        <f>IF($D432=1,INDEX(TblClusters[CPU min (vCPU)],$B432),"")</f>
        <v>48</v>
      </c>
      <c r="O432" s="19">
        <f>IF($D432=1,INDEX(TblClusters[RAM min (Go)],$B432),"")</f>
        <v>240</v>
      </c>
      <c r="P432" s="19">
        <f>IF($D432&lt;&gt;1,"",IF($G432="ROKS",SUMIFS(TblApplications[Besoin ROKS CPU (vCPU)],TblApplications[Cluster ROKS cible],$F432,TblApplications[Action],"À migrer",TblApplications[Déjà incluse ROKS],"Non",TblApplications[Mois prov (calc)],"&lt;="&amp;$E432),SUMIFS(TblApplications[CPU IKS libérable (vCPU)],TblApplications[Cluster IKS source],$F432,TblApplications[Mois lib (calc)],"&lt;="&amp;$E432)))</f>
        <v>0</v>
      </c>
      <c r="Q432" s="19">
        <f>IF($D432&lt;&gt;1,"",IF($G432="ROKS",SUMIFS(TblApplications[Besoin ROKS RAM (Go)],TblApplications[Cluster ROKS cible],$F432,TblApplications[Action],"À migrer",TblApplications[Déjà incluse ROKS],"Non",TblApplications[Mois prov (calc)],"&lt;="&amp;$E432),SUMIFS(TblApplications[RAM IKS libérable (Go)],TblApplications[Cluster IKS source],$F432,TblApplications[Mois lib (calc)],"&lt;="&amp;$E432)))</f>
        <v>0</v>
      </c>
      <c r="R432" s="19">
        <f t="shared" si="105"/>
        <v>48</v>
      </c>
      <c r="S432" s="19">
        <f t="shared" si="106"/>
        <v>240</v>
      </c>
      <c r="T432" s="19">
        <f t="shared" si="107"/>
        <v>6</v>
      </c>
      <c r="U432" s="19">
        <f t="shared" si="108"/>
        <v>48</v>
      </c>
      <c r="V432" s="19">
        <f t="shared" si="109"/>
        <v>240</v>
      </c>
      <c r="W432" s="73">
        <f t="shared" si="110"/>
        <v>2208</v>
      </c>
      <c r="X432" s="19">
        <f>IF($D432&lt;&gt;1,"",IF($G432="ROKS",$R432,IF($AI432=1,0,MAX($N432,$L432-SUMIFS(TblApplications[CPU IKS libérable (vCPU)],TblApplications[Cluster IKS source],$F432,TblApplications[Action],"À migrer",TblApplications[Mois prov (calc)],"&lt;="&amp;$E432)-SUMIFS(TblApplications[CPU IKS libérable (vCPU)],TblApplications[Cluster IKS source],$F432,TblApplications[Action],"À décommissionner",TblApplications[Mois lib (calc)],"&lt;="&amp;$E432)))))</f>
        <v>48</v>
      </c>
      <c r="Y432" s="19">
        <f>IF($D432&lt;&gt;1,"",IF($G432="ROKS",$S432,IF($AI432=1,0,MAX($O432,$M432-SUMIFS(TblApplications[RAM IKS libérable (Go)],TblApplications[Cluster IKS source],$F432,TblApplications[Action],"À migrer",TblApplications[Mois prov (calc)],"&lt;="&amp;$E432)-SUMIFS(TblApplications[RAM IKS libérable (Go)],TblApplications[Cluster IKS source],$F432,TblApplications[Action],"À décommissionner",TblApplications[Mois lib (calc)],"&lt;="&amp;$E432)))))</f>
        <v>240</v>
      </c>
      <c r="Z432" s="19">
        <f t="shared" si="111"/>
        <v>6</v>
      </c>
      <c r="AA432" s="73">
        <f t="shared" si="112"/>
        <v>2208</v>
      </c>
      <c r="AB432" s="19">
        <f t="shared" si="113"/>
        <v>6</v>
      </c>
      <c r="AC432" s="73">
        <f t="shared" si="114"/>
        <v>2208</v>
      </c>
      <c r="AD432" s="19">
        <f t="shared" si="115"/>
        <v>0</v>
      </c>
      <c r="AE432" s="19">
        <f t="shared" si="116"/>
        <v>0</v>
      </c>
      <c r="AF432" s="19" t="str">
        <f>IF($D432&lt;&gt;1,"",IF(INDEX(TblClusters[Environnement],$B432)="","(vide)",INDEX(TblClusters[Environnement],$B432)))</f>
        <v>PRD</v>
      </c>
      <c r="AG432" s="19">
        <f t="shared" si="117"/>
        <v>72</v>
      </c>
      <c r="AH432" s="19">
        <f t="shared" si="118"/>
        <v>30.666666666666668</v>
      </c>
      <c r="AI432" s="19">
        <f>IF($D432&lt;&gt;1,"",IF(AND($G432="IKS",ISNUMBER(INDEX(TblClusters[Fermeture retenue],$B432))),IF($E432&gt;=INDEX(TblClusters[Fermeture retenue],$B432),1,0),0))</f>
        <v>0</v>
      </c>
    </row>
    <row r="433" spans="1:35" x14ac:dyDescent="0.2">
      <c r="A433" s="19">
        <v>428</v>
      </c>
      <c r="B433" s="19">
        <f t="shared" si="102"/>
        <v>12</v>
      </c>
      <c r="C433" s="19">
        <f t="shared" si="103"/>
        <v>32</v>
      </c>
      <c r="D433" s="19">
        <f>IF($C433&gt;p_horizon,0,IFERROR(IF(AND(INDEX(TblClusters[Cluster],$B433)&lt;&gt;"",ISNUMBER(INDEX(TblClusters[CPU initial (vCPU)],$B433)),ISNUMBER(INDEX(TblClusters[CPU min (vCPU)],$B433)),OR(INDEX(TblClusters[Plateforme],$B433)="IKS",INDEX(TblClusters[Plateforme],$B433)="ROKS")),1,0),0))</f>
        <v>1</v>
      </c>
      <c r="E433" s="72">
        <f t="shared" si="104"/>
        <v>47239</v>
      </c>
      <c r="F433" s="19" t="str">
        <f>IF($D433=1,INDEX(TblClusters[Cluster],$B433),"")</f>
        <v>oc-EMEA-NOS-PRD</v>
      </c>
      <c r="G433" s="19" t="str">
        <f>IF($D433=1,INDEX(TblClusters[Plateforme],$B433),"")</f>
        <v>ROKS</v>
      </c>
      <c r="H433" s="19">
        <f>IF($D433=1,INDEX(TblClusters[vCPU par nœud],$B433),"")</f>
        <v>8</v>
      </c>
      <c r="I433" s="19">
        <f>IF($D433=1,INDEX(TblClusters[RAM par nœud (Go)],$B433),"")</f>
        <v>40</v>
      </c>
      <c r="J433" s="19">
        <f>IF($D433=1,INDEX(TblClusters[Workers min],$B433),"")</f>
        <v>6</v>
      </c>
      <c r="K433" s="73">
        <f>IF($D433=1,INDEX(TblClusters[Tarif par nœud],$B433),"")</f>
        <v>368</v>
      </c>
      <c r="L433" s="19">
        <f>IF($D433=1,INDEX(TblClusters[CPU initial (vCPU)],$B433),"")</f>
        <v>48</v>
      </c>
      <c r="M433" s="19">
        <f>IF($D433=1,INDEX(TblClusters[RAM initiale (Go)],$B433),"")</f>
        <v>240</v>
      </c>
      <c r="N433" s="19">
        <f>IF($D433=1,INDEX(TblClusters[CPU min (vCPU)],$B433),"")</f>
        <v>48</v>
      </c>
      <c r="O433" s="19">
        <f>IF($D433=1,INDEX(TblClusters[RAM min (Go)],$B433),"")</f>
        <v>240</v>
      </c>
      <c r="P433" s="19">
        <f>IF($D433&lt;&gt;1,"",IF($G433="ROKS",SUMIFS(TblApplications[Besoin ROKS CPU (vCPU)],TblApplications[Cluster ROKS cible],$F433,TblApplications[Action],"À migrer",TblApplications[Déjà incluse ROKS],"Non",TblApplications[Mois prov (calc)],"&lt;="&amp;$E433),SUMIFS(TblApplications[CPU IKS libérable (vCPU)],TblApplications[Cluster IKS source],$F433,TblApplications[Mois lib (calc)],"&lt;="&amp;$E433)))</f>
        <v>0</v>
      </c>
      <c r="Q433" s="19">
        <f>IF($D433&lt;&gt;1,"",IF($G433="ROKS",SUMIFS(TblApplications[Besoin ROKS RAM (Go)],TblApplications[Cluster ROKS cible],$F433,TblApplications[Action],"À migrer",TblApplications[Déjà incluse ROKS],"Non",TblApplications[Mois prov (calc)],"&lt;="&amp;$E433),SUMIFS(TblApplications[RAM IKS libérable (Go)],TblApplications[Cluster IKS source],$F433,TblApplications[Mois lib (calc)],"&lt;="&amp;$E433)))</f>
        <v>0</v>
      </c>
      <c r="R433" s="19">
        <f t="shared" si="105"/>
        <v>48</v>
      </c>
      <c r="S433" s="19">
        <f t="shared" si="106"/>
        <v>240</v>
      </c>
      <c r="T433" s="19">
        <f t="shared" si="107"/>
        <v>6</v>
      </c>
      <c r="U433" s="19">
        <f t="shared" si="108"/>
        <v>48</v>
      </c>
      <c r="V433" s="19">
        <f t="shared" si="109"/>
        <v>240</v>
      </c>
      <c r="W433" s="73">
        <f t="shared" si="110"/>
        <v>2208</v>
      </c>
      <c r="X433" s="19">
        <f>IF($D433&lt;&gt;1,"",IF($G433="ROKS",$R433,IF($AI433=1,0,MAX($N433,$L433-SUMIFS(TblApplications[CPU IKS libérable (vCPU)],TblApplications[Cluster IKS source],$F433,TblApplications[Action],"À migrer",TblApplications[Mois prov (calc)],"&lt;="&amp;$E433)-SUMIFS(TblApplications[CPU IKS libérable (vCPU)],TblApplications[Cluster IKS source],$F433,TblApplications[Action],"À décommissionner",TblApplications[Mois lib (calc)],"&lt;="&amp;$E433)))))</f>
        <v>48</v>
      </c>
      <c r="Y433" s="19">
        <f>IF($D433&lt;&gt;1,"",IF($G433="ROKS",$S433,IF($AI433=1,0,MAX($O433,$M433-SUMIFS(TblApplications[RAM IKS libérable (Go)],TblApplications[Cluster IKS source],$F433,TblApplications[Action],"À migrer",TblApplications[Mois prov (calc)],"&lt;="&amp;$E433)-SUMIFS(TblApplications[RAM IKS libérable (Go)],TblApplications[Cluster IKS source],$F433,TblApplications[Action],"À décommissionner",TblApplications[Mois lib (calc)],"&lt;="&amp;$E433)))))</f>
        <v>240</v>
      </c>
      <c r="Z433" s="19">
        <f t="shared" si="111"/>
        <v>6</v>
      </c>
      <c r="AA433" s="73">
        <f t="shared" si="112"/>
        <v>2208</v>
      </c>
      <c r="AB433" s="19">
        <f t="shared" si="113"/>
        <v>6</v>
      </c>
      <c r="AC433" s="73">
        <f t="shared" si="114"/>
        <v>2208</v>
      </c>
      <c r="AD433" s="19">
        <f t="shared" si="115"/>
        <v>0</v>
      </c>
      <c r="AE433" s="19">
        <f t="shared" si="116"/>
        <v>0</v>
      </c>
      <c r="AF433" s="19" t="str">
        <f>IF($D433&lt;&gt;1,"",IF(INDEX(TblClusters[Environnement],$B433)="","(vide)",INDEX(TblClusters[Environnement],$B433)))</f>
        <v>PRD</v>
      </c>
      <c r="AG433" s="19">
        <f t="shared" si="117"/>
        <v>72</v>
      </c>
      <c r="AH433" s="19">
        <f t="shared" si="118"/>
        <v>30.666666666666668</v>
      </c>
      <c r="AI433" s="19">
        <f>IF($D433&lt;&gt;1,"",IF(AND($G433="IKS",ISNUMBER(INDEX(TblClusters[Fermeture retenue],$B433))),IF($E433&gt;=INDEX(TblClusters[Fermeture retenue],$B433),1,0),0))</f>
        <v>0</v>
      </c>
    </row>
    <row r="434" spans="1:35" x14ac:dyDescent="0.2">
      <c r="A434" s="19">
        <v>429</v>
      </c>
      <c r="B434" s="19">
        <f t="shared" si="102"/>
        <v>12</v>
      </c>
      <c r="C434" s="19">
        <f t="shared" si="103"/>
        <v>33</v>
      </c>
      <c r="D434" s="19">
        <f>IF($C434&gt;p_horizon,0,IFERROR(IF(AND(INDEX(TblClusters[Cluster],$B434)&lt;&gt;"",ISNUMBER(INDEX(TblClusters[CPU initial (vCPU)],$B434)),ISNUMBER(INDEX(TblClusters[CPU min (vCPU)],$B434)),OR(INDEX(TblClusters[Plateforme],$B434)="IKS",INDEX(TblClusters[Plateforme],$B434)="ROKS")),1,0),0))</f>
        <v>1</v>
      </c>
      <c r="E434" s="72">
        <f t="shared" si="104"/>
        <v>47270</v>
      </c>
      <c r="F434" s="19" t="str">
        <f>IF($D434=1,INDEX(TblClusters[Cluster],$B434),"")</f>
        <v>oc-EMEA-NOS-PRD</v>
      </c>
      <c r="G434" s="19" t="str">
        <f>IF($D434=1,INDEX(TblClusters[Plateforme],$B434),"")</f>
        <v>ROKS</v>
      </c>
      <c r="H434" s="19">
        <f>IF($D434=1,INDEX(TblClusters[vCPU par nœud],$B434),"")</f>
        <v>8</v>
      </c>
      <c r="I434" s="19">
        <f>IF($D434=1,INDEX(TblClusters[RAM par nœud (Go)],$B434),"")</f>
        <v>40</v>
      </c>
      <c r="J434" s="19">
        <f>IF($D434=1,INDEX(TblClusters[Workers min],$B434),"")</f>
        <v>6</v>
      </c>
      <c r="K434" s="73">
        <f>IF($D434=1,INDEX(TblClusters[Tarif par nœud],$B434),"")</f>
        <v>368</v>
      </c>
      <c r="L434" s="19">
        <f>IF($D434=1,INDEX(TblClusters[CPU initial (vCPU)],$B434),"")</f>
        <v>48</v>
      </c>
      <c r="M434" s="19">
        <f>IF($D434=1,INDEX(TblClusters[RAM initiale (Go)],$B434),"")</f>
        <v>240</v>
      </c>
      <c r="N434" s="19">
        <f>IF($D434=1,INDEX(TblClusters[CPU min (vCPU)],$B434),"")</f>
        <v>48</v>
      </c>
      <c r="O434" s="19">
        <f>IF($D434=1,INDEX(TblClusters[RAM min (Go)],$B434),"")</f>
        <v>240</v>
      </c>
      <c r="P434" s="19">
        <f>IF($D434&lt;&gt;1,"",IF($G434="ROKS",SUMIFS(TblApplications[Besoin ROKS CPU (vCPU)],TblApplications[Cluster ROKS cible],$F434,TblApplications[Action],"À migrer",TblApplications[Déjà incluse ROKS],"Non",TblApplications[Mois prov (calc)],"&lt;="&amp;$E434),SUMIFS(TblApplications[CPU IKS libérable (vCPU)],TblApplications[Cluster IKS source],$F434,TblApplications[Mois lib (calc)],"&lt;="&amp;$E434)))</f>
        <v>0</v>
      </c>
      <c r="Q434" s="19">
        <f>IF($D434&lt;&gt;1,"",IF($G434="ROKS",SUMIFS(TblApplications[Besoin ROKS RAM (Go)],TblApplications[Cluster ROKS cible],$F434,TblApplications[Action],"À migrer",TblApplications[Déjà incluse ROKS],"Non",TblApplications[Mois prov (calc)],"&lt;="&amp;$E434),SUMIFS(TblApplications[RAM IKS libérable (Go)],TblApplications[Cluster IKS source],$F434,TblApplications[Mois lib (calc)],"&lt;="&amp;$E434)))</f>
        <v>0</v>
      </c>
      <c r="R434" s="19">
        <f t="shared" si="105"/>
        <v>48</v>
      </c>
      <c r="S434" s="19">
        <f t="shared" si="106"/>
        <v>240</v>
      </c>
      <c r="T434" s="19">
        <f t="shared" si="107"/>
        <v>6</v>
      </c>
      <c r="U434" s="19">
        <f t="shared" si="108"/>
        <v>48</v>
      </c>
      <c r="V434" s="19">
        <f t="shared" si="109"/>
        <v>240</v>
      </c>
      <c r="W434" s="73">
        <f t="shared" si="110"/>
        <v>2208</v>
      </c>
      <c r="X434" s="19">
        <f>IF($D434&lt;&gt;1,"",IF($G434="ROKS",$R434,IF($AI434=1,0,MAX($N434,$L434-SUMIFS(TblApplications[CPU IKS libérable (vCPU)],TblApplications[Cluster IKS source],$F434,TblApplications[Action],"À migrer",TblApplications[Mois prov (calc)],"&lt;="&amp;$E434)-SUMIFS(TblApplications[CPU IKS libérable (vCPU)],TblApplications[Cluster IKS source],$F434,TblApplications[Action],"À décommissionner",TblApplications[Mois lib (calc)],"&lt;="&amp;$E434)))))</f>
        <v>48</v>
      </c>
      <c r="Y434" s="19">
        <f>IF($D434&lt;&gt;1,"",IF($G434="ROKS",$S434,IF($AI434=1,0,MAX($O434,$M434-SUMIFS(TblApplications[RAM IKS libérable (Go)],TblApplications[Cluster IKS source],$F434,TblApplications[Action],"À migrer",TblApplications[Mois prov (calc)],"&lt;="&amp;$E434)-SUMIFS(TblApplications[RAM IKS libérable (Go)],TblApplications[Cluster IKS source],$F434,TblApplications[Action],"À décommissionner",TblApplications[Mois lib (calc)],"&lt;="&amp;$E434)))))</f>
        <v>240</v>
      </c>
      <c r="Z434" s="19">
        <f t="shared" si="111"/>
        <v>6</v>
      </c>
      <c r="AA434" s="73">
        <f t="shared" si="112"/>
        <v>2208</v>
      </c>
      <c r="AB434" s="19">
        <f t="shared" si="113"/>
        <v>6</v>
      </c>
      <c r="AC434" s="73">
        <f t="shared" si="114"/>
        <v>2208</v>
      </c>
      <c r="AD434" s="19">
        <f t="shared" si="115"/>
        <v>0</v>
      </c>
      <c r="AE434" s="19">
        <f t="shared" si="116"/>
        <v>0</v>
      </c>
      <c r="AF434" s="19" t="str">
        <f>IF($D434&lt;&gt;1,"",IF(INDEX(TblClusters[Environnement],$B434)="","(vide)",INDEX(TblClusters[Environnement],$B434)))</f>
        <v>PRD</v>
      </c>
      <c r="AG434" s="19">
        <f t="shared" si="117"/>
        <v>72</v>
      </c>
      <c r="AH434" s="19">
        <f t="shared" si="118"/>
        <v>30.666666666666668</v>
      </c>
      <c r="AI434" s="19">
        <f>IF($D434&lt;&gt;1,"",IF(AND($G434="IKS",ISNUMBER(INDEX(TblClusters[Fermeture retenue],$B434))),IF($E434&gt;=INDEX(TblClusters[Fermeture retenue],$B434),1,0),0))</f>
        <v>0</v>
      </c>
    </row>
    <row r="435" spans="1:35" x14ac:dyDescent="0.2">
      <c r="A435" s="19">
        <v>430</v>
      </c>
      <c r="B435" s="19">
        <f t="shared" si="102"/>
        <v>12</v>
      </c>
      <c r="C435" s="19">
        <f t="shared" si="103"/>
        <v>34</v>
      </c>
      <c r="D435" s="19">
        <f>IF($C435&gt;p_horizon,0,IFERROR(IF(AND(INDEX(TblClusters[Cluster],$B435)&lt;&gt;"",ISNUMBER(INDEX(TblClusters[CPU initial (vCPU)],$B435)),ISNUMBER(INDEX(TblClusters[CPU min (vCPU)],$B435)),OR(INDEX(TblClusters[Plateforme],$B435)="IKS",INDEX(TblClusters[Plateforme],$B435)="ROKS")),1,0),0))</f>
        <v>1</v>
      </c>
      <c r="E435" s="72">
        <f t="shared" si="104"/>
        <v>47300</v>
      </c>
      <c r="F435" s="19" t="str">
        <f>IF($D435=1,INDEX(TblClusters[Cluster],$B435),"")</f>
        <v>oc-EMEA-NOS-PRD</v>
      </c>
      <c r="G435" s="19" t="str">
        <f>IF($D435=1,INDEX(TblClusters[Plateforme],$B435),"")</f>
        <v>ROKS</v>
      </c>
      <c r="H435" s="19">
        <f>IF($D435=1,INDEX(TblClusters[vCPU par nœud],$B435),"")</f>
        <v>8</v>
      </c>
      <c r="I435" s="19">
        <f>IF($D435=1,INDEX(TblClusters[RAM par nœud (Go)],$B435),"")</f>
        <v>40</v>
      </c>
      <c r="J435" s="19">
        <f>IF($D435=1,INDEX(TblClusters[Workers min],$B435),"")</f>
        <v>6</v>
      </c>
      <c r="K435" s="73">
        <f>IF($D435=1,INDEX(TblClusters[Tarif par nœud],$B435),"")</f>
        <v>368</v>
      </c>
      <c r="L435" s="19">
        <f>IF($D435=1,INDEX(TblClusters[CPU initial (vCPU)],$B435),"")</f>
        <v>48</v>
      </c>
      <c r="M435" s="19">
        <f>IF($D435=1,INDEX(TblClusters[RAM initiale (Go)],$B435),"")</f>
        <v>240</v>
      </c>
      <c r="N435" s="19">
        <f>IF($D435=1,INDEX(TblClusters[CPU min (vCPU)],$B435),"")</f>
        <v>48</v>
      </c>
      <c r="O435" s="19">
        <f>IF($D435=1,INDEX(TblClusters[RAM min (Go)],$B435),"")</f>
        <v>240</v>
      </c>
      <c r="P435" s="19">
        <f>IF($D435&lt;&gt;1,"",IF($G435="ROKS",SUMIFS(TblApplications[Besoin ROKS CPU (vCPU)],TblApplications[Cluster ROKS cible],$F435,TblApplications[Action],"À migrer",TblApplications[Déjà incluse ROKS],"Non",TblApplications[Mois prov (calc)],"&lt;="&amp;$E435),SUMIFS(TblApplications[CPU IKS libérable (vCPU)],TblApplications[Cluster IKS source],$F435,TblApplications[Mois lib (calc)],"&lt;="&amp;$E435)))</f>
        <v>0</v>
      </c>
      <c r="Q435" s="19">
        <f>IF($D435&lt;&gt;1,"",IF($G435="ROKS",SUMIFS(TblApplications[Besoin ROKS RAM (Go)],TblApplications[Cluster ROKS cible],$F435,TblApplications[Action],"À migrer",TblApplications[Déjà incluse ROKS],"Non",TblApplications[Mois prov (calc)],"&lt;="&amp;$E435),SUMIFS(TblApplications[RAM IKS libérable (Go)],TblApplications[Cluster IKS source],$F435,TblApplications[Mois lib (calc)],"&lt;="&amp;$E435)))</f>
        <v>0</v>
      </c>
      <c r="R435" s="19">
        <f t="shared" si="105"/>
        <v>48</v>
      </c>
      <c r="S435" s="19">
        <f t="shared" si="106"/>
        <v>240</v>
      </c>
      <c r="T435" s="19">
        <f t="shared" si="107"/>
        <v>6</v>
      </c>
      <c r="U435" s="19">
        <f t="shared" si="108"/>
        <v>48</v>
      </c>
      <c r="V435" s="19">
        <f t="shared" si="109"/>
        <v>240</v>
      </c>
      <c r="W435" s="73">
        <f t="shared" si="110"/>
        <v>2208</v>
      </c>
      <c r="X435" s="19">
        <f>IF($D435&lt;&gt;1,"",IF($G435="ROKS",$R435,IF($AI435=1,0,MAX($N435,$L435-SUMIFS(TblApplications[CPU IKS libérable (vCPU)],TblApplications[Cluster IKS source],$F435,TblApplications[Action],"À migrer",TblApplications[Mois prov (calc)],"&lt;="&amp;$E435)-SUMIFS(TblApplications[CPU IKS libérable (vCPU)],TblApplications[Cluster IKS source],$F435,TblApplications[Action],"À décommissionner",TblApplications[Mois lib (calc)],"&lt;="&amp;$E435)))))</f>
        <v>48</v>
      </c>
      <c r="Y435" s="19">
        <f>IF($D435&lt;&gt;1,"",IF($G435="ROKS",$S435,IF($AI435=1,0,MAX($O435,$M435-SUMIFS(TblApplications[RAM IKS libérable (Go)],TblApplications[Cluster IKS source],$F435,TblApplications[Action],"À migrer",TblApplications[Mois prov (calc)],"&lt;="&amp;$E435)-SUMIFS(TblApplications[RAM IKS libérable (Go)],TblApplications[Cluster IKS source],$F435,TblApplications[Action],"À décommissionner",TblApplications[Mois lib (calc)],"&lt;="&amp;$E435)))))</f>
        <v>240</v>
      </c>
      <c r="Z435" s="19">
        <f t="shared" si="111"/>
        <v>6</v>
      </c>
      <c r="AA435" s="73">
        <f t="shared" si="112"/>
        <v>2208</v>
      </c>
      <c r="AB435" s="19">
        <f t="shared" si="113"/>
        <v>6</v>
      </c>
      <c r="AC435" s="73">
        <f t="shared" si="114"/>
        <v>2208</v>
      </c>
      <c r="AD435" s="19">
        <f t="shared" si="115"/>
        <v>0</v>
      </c>
      <c r="AE435" s="19">
        <f t="shared" si="116"/>
        <v>0</v>
      </c>
      <c r="AF435" s="19" t="str">
        <f>IF($D435&lt;&gt;1,"",IF(INDEX(TblClusters[Environnement],$B435)="","(vide)",INDEX(TblClusters[Environnement],$B435)))</f>
        <v>PRD</v>
      </c>
      <c r="AG435" s="19">
        <f t="shared" si="117"/>
        <v>72</v>
      </c>
      <c r="AH435" s="19">
        <f t="shared" si="118"/>
        <v>30.666666666666668</v>
      </c>
      <c r="AI435" s="19">
        <f>IF($D435&lt;&gt;1,"",IF(AND($G435="IKS",ISNUMBER(INDEX(TblClusters[Fermeture retenue],$B435))),IF($E435&gt;=INDEX(TblClusters[Fermeture retenue],$B435),1,0),0))</f>
        <v>0</v>
      </c>
    </row>
    <row r="436" spans="1:35" x14ac:dyDescent="0.2">
      <c r="A436" s="19">
        <v>431</v>
      </c>
      <c r="B436" s="19">
        <f t="shared" si="102"/>
        <v>12</v>
      </c>
      <c r="C436" s="19">
        <f t="shared" si="103"/>
        <v>35</v>
      </c>
      <c r="D436" s="19">
        <f>IF($C436&gt;p_horizon,0,IFERROR(IF(AND(INDEX(TblClusters[Cluster],$B436)&lt;&gt;"",ISNUMBER(INDEX(TblClusters[CPU initial (vCPU)],$B436)),ISNUMBER(INDEX(TblClusters[CPU min (vCPU)],$B436)),OR(INDEX(TblClusters[Plateforme],$B436)="IKS",INDEX(TblClusters[Plateforme],$B436)="ROKS")),1,0),0))</f>
        <v>1</v>
      </c>
      <c r="E436" s="72">
        <f t="shared" si="104"/>
        <v>47331</v>
      </c>
      <c r="F436" s="19" t="str">
        <f>IF($D436=1,INDEX(TblClusters[Cluster],$B436),"")</f>
        <v>oc-EMEA-NOS-PRD</v>
      </c>
      <c r="G436" s="19" t="str">
        <f>IF($D436=1,INDEX(TblClusters[Plateforme],$B436),"")</f>
        <v>ROKS</v>
      </c>
      <c r="H436" s="19">
        <f>IF($D436=1,INDEX(TblClusters[vCPU par nœud],$B436),"")</f>
        <v>8</v>
      </c>
      <c r="I436" s="19">
        <f>IF($D436=1,INDEX(TblClusters[RAM par nœud (Go)],$B436),"")</f>
        <v>40</v>
      </c>
      <c r="J436" s="19">
        <f>IF($D436=1,INDEX(TblClusters[Workers min],$B436),"")</f>
        <v>6</v>
      </c>
      <c r="K436" s="73">
        <f>IF($D436=1,INDEX(TblClusters[Tarif par nœud],$B436),"")</f>
        <v>368</v>
      </c>
      <c r="L436" s="19">
        <f>IF($D436=1,INDEX(TblClusters[CPU initial (vCPU)],$B436),"")</f>
        <v>48</v>
      </c>
      <c r="M436" s="19">
        <f>IF($D436=1,INDEX(TblClusters[RAM initiale (Go)],$B436),"")</f>
        <v>240</v>
      </c>
      <c r="N436" s="19">
        <f>IF($D436=1,INDEX(TblClusters[CPU min (vCPU)],$B436),"")</f>
        <v>48</v>
      </c>
      <c r="O436" s="19">
        <f>IF($D436=1,INDEX(TblClusters[RAM min (Go)],$B436),"")</f>
        <v>240</v>
      </c>
      <c r="P436" s="19">
        <f>IF($D436&lt;&gt;1,"",IF($G436="ROKS",SUMIFS(TblApplications[Besoin ROKS CPU (vCPU)],TblApplications[Cluster ROKS cible],$F436,TblApplications[Action],"À migrer",TblApplications[Déjà incluse ROKS],"Non",TblApplications[Mois prov (calc)],"&lt;="&amp;$E436),SUMIFS(TblApplications[CPU IKS libérable (vCPU)],TblApplications[Cluster IKS source],$F436,TblApplications[Mois lib (calc)],"&lt;="&amp;$E436)))</f>
        <v>0</v>
      </c>
      <c r="Q436" s="19">
        <f>IF($D436&lt;&gt;1,"",IF($G436="ROKS",SUMIFS(TblApplications[Besoin ROKS RAM (Go)],TblApplications[Cluster ROKS cible],$F436,TblApplications[Action],"À migrer",TblApplications[Déjà incluse ROKS],"Non",TblApplications[Mois prov (calc)],"&lt;="&amp;$E436),SUMIFS(TblApplications[RAM IKS libérable (Go)],TblApplications[Cluster IKS source],$F436,TblApplications[Mois lib (calc)],"&lt;="&amp;$E436)))</f>
        <v>0</v>
      </c>
      <c r="R436" s="19">
        <f t="shared" si="105"/>
        <v>48</v>
      </c>
      <c r="S436" s="19">
        <f t="shared" si="106"/>
        <v>240</v>
      </c>
      <c r="T436" s="19">
        <f t="shared" si="107"/>
        <v>6</v>
      </c>
      <c r="U436" s="19">
        <f t="shared" si="108"/>
        <v>48</v>
      </c>
      <c r="V436" s="19">
        <f t="shared" si="109"/>
        <v>240</v>
      </c>
      <c r="W436" s="73">
        <f t="shared" si="110"/>
        <v>2208</v>
      </c>
      <c r="X436" s="19">
        <f>IF($D436&lt;&gt;1,"",IF($G436="ROKS",$R436,IF($AI436=1,0,MAX($N436,$L436-SUMIFS(TblApplications[CPU IKS libérable (vCPU)],TblApplications[Cluster IKS source],$F436,TblApplications[Action],"À migrer",TblApplications[Mois prov (calc)],"&lt;="&amp;$E436)-SUMIFS(TblApplications[CPU IKS libérable (vCPU)],TblApplications[Cluster IKS source],$F436,TblApplications[Action],"À décommissionner",TblApplications[Mois lib (calc)],"&lt;="&amp;$E436)))))</f>
        <v>48</v>
      </c>
      <c r="Y436" s="19">
        <f>IF($D436&lt;&gt;1,"",IF($G436="ROKS",$S436,IF($AI436=1,0,MAX($O436,$M436-SUMIFS(TblApplications[RAM IKS libérable (Go)],TblApplications[Cluster IKS source],$F436,TblApplications[Action],"À migrer",TblApplications[Mois prov (calc)],"&lt;="&amp;$E436)-SUMIFS(TblApplications[RAM IKS libérable (Go)],TblApplications[Cluster IKS source],$F436,TblApplications[Action],"À décommissionner",TblApplications[Mois lib (calc)],"&lt;="&amp;$E436)))))</f>
        <v>240</v>
      </c>
      <c r="Z436" s="19">
        <f t="shared" si="111"/>
        <v>6</v>
      </c>
      <c r="AA436" s="73">
        <f t="shared" si="112"/>
        <v>2208</v>
      </c>
      <c r="AB436" s="19">
        <f t="shared" si="113"/>
        <v>6</v>
      </c>
      <c r="AC436" s="73">
        <f t="shared" si="114"/>
        <v>2208</v>
      </c>
      <c r="AD436" s="19">
        <f t="shared" si="115"/>
        <v>0</v>
      </c>
      <c r="AE436" s="19">
        <f t="shared" si="116"/>
        <v>0</v>
      </c>
      <c r="AF436" s="19" t="str">
        <f>IF($D436&lt;&gt;1,"",IF(INDEX(TblClusters[Environnement],$B436)="","(vide)",INDEX(TblClusters[Environnement],$B436)))</f>
        <v>PRD</v>
      </c>
      <c r="AG436" s="19">
        <f t="shared" si="117"/>
        <v>72</v>
      </c>
      <c r="AH436" s="19">
        <f t="shared" si="118"/>
        <v>30.666666666666668</v>
      </c>
      <c r="AI436" s="19">
        <f>IF($D436&lt;&gt;1,"",IF(AND($G436="IKS",ISNUMBER(INDEX(TblClusters[Fermeture retenue],$B436))),IF($E436&gt;=INDEX(TblClusters[Fermeture retenue],$B436),1,0),0))</f>
        <v>0</v>
      </c>
    </row>
    <row r="437" spans="1:35" x14ac:dyDescent="0.2">
      <c r="A437" s="19">
        <v>432</v>
      </c>
      <c r="B437" s="19">
        <f t="shared" si="102"/>
        <v>12</v>
      </c>
      <c r="C437" s="19">
        <f t="shared" si="103"/>
        <v>36</v>
      </c>
      <c r="D437" s="19">
        <f>IF($C437&gt;p_horizon,0,IFERROR(IF(AND(INDEX(TblClusters[Cluster],$B437)&lt;&gt;"",ISNUMBER(INDEX(TblClusters[CPU initial (vCPU)],$B437)),ISNUMBER(INDEX(TblClusters[CPU min (vCPU)],$B437)),OR(INDEX(TblClusters[Plateforme],$B437)="IKS",INDEX(TblClusters[Plateforme],$B437)="ROKS")),1,0),0))</f>
        <v>1</v>
      </c>
      <c r="E437" s="72">
        <f t="shared" si="104"/>
        <v>47362</v>
      </c>
      <c r="F437" s="19" t="str">
        <f>IF($D437=1,INDEX(TblClusters[Cluster],$B437),"")</f>
        <v>oc-EMEA-NOS-PRD</v>
      </c>
      <c r="G437" s="19" t="str">
        <f>IF($D437=1,INDEX(TblClusters[Plateforme],$B437),"")</f>
        <v>ROKS</v>
      </c>
      <c r="H437" s="19">
        <f>IF($D437=1,INDEX(TblClusters[vCPU par nœud],$B437),"")</f>
        <v>8</v>
      </c>
      <c r="I437" s="19">
        <f>IF($D437=1,INDEX(TblClusters[RAM par nœud (Go)],$B437),"")</f>
        <v>40</v>
      </c>
      <c r="J437" s="19">
        <f>IF($D437=1,INDEX(TblClusters[Workers min],$B437),"")</f>
        <v>6</v>
      </c>
      <c r="K437" s="73">
        <f>IF($D437=1,INDEX(TblClusters[Tarif par nœud],$B437),"")</f>
        <v>368</v>
      </c>
      <c r="L437" s="19">
        <f>IF($D437=1,INDEX(TblClusters[CPU initial (vCPU)],$B437),"")</f>
        <v>48</v>
      </c>
      <c r="M437" s="19">
        <f>IF($D437=1,INDEX(TblClusters[RAM initiale (Go)],$B437),"")</f>
        <v>240</v>
      </c>
      <c r="N437" s="19">
        <f>IF($D437=1,INDEX(TblClusters[CPU min (vCPU)],$B437),"")</f>
        <v>48</v>
      </c>
      <c r="O437" s="19">
        <f>IF($D437=1,INDEX(TblClusters[RAM min (Go)],$B437),"")</f>
        <v>240</v>
      </c>
      <c r="P437" s="19">
        <f>IF($D437&lt;&gt;1,"",IF($G437="ROKS",SUMIFS(TblApplications[Besoin ROKS CPU (vCPU)],TblApplications[Cluster ROKS cible],$F437,TblApplications[Action],"À migrer",TblApplications[Déjà incluse ROKS],"Non",TblApplications[Mois prov (calc)],"&lt;="&amp;$E437),SUMIFS(TblApplications[CPU IKS libérable (vCPU)],TblApplications[Cluster IKS source],$F437,TblApplications[Mois lib (calc)],"&lt;="&amp;$E437)))</f>
        <v>0</v>
      </c>
      <c r="Q437" s="19">
        <f>IF($D437&lt;&gt;1,"",IF($G437="ROKS",SUMIFS(TblApplications[Besoin ROKS RAM (Go)],TblApplications[Cluster ROKS cible],$F437,TblApplications[Action],"À migrer",TblApplications[Déjà incluse ROKS],"Non",TblApplications[Mois prov (calc)],"&lt;="&amp;$E437),SUMIFS(TblApplications[RAM IKS libérable (Go)],TblApplications[Cluster IKS source],$F437,TblApplications[Mois lib (calc)],"&lt;="&amp;$E437)))</f>
        <v>0</v>
      </c>
      <c r="R437" s="19">
        <f t="shared" si="105"/>
        <v>48</v>
      </c>
      <c r="S437" s="19">
        <f t="shared" si="106"/>
        <v>240</v>
      </c>
      <c r="T437" s="19">
        <f t="shared" si="107"/>
        <v>6</v>
      </c>
      <c r="U437" s="19">
        <f t="shared" si="108"/>
        <v>48</v>
      </c>
      <c r="V437" s="19">
        <f t="shared" si="109"/>
        <v>240</v>
      </c>
      <c r="W437" s="73">
        <f t="shared" si="110"/>
        <v>2208</v>
      </c>
      <c r="X437" s="19">
        <f>IF($D437&lt;&gt;1,"",IF($G437="ROKS",$R437,IF($AI437=1,0,MAX($N437,$L437-SUMIFS(TblApplications[CPU IKS libérable (vCPU)],TblApplications[Cluster IKS source],$F437,TblApplications[Action],"À migrer",TblApplications[Mois prov (calc)],"&lt;="&amp;$E437)-SUMIFS(TblApplications[CPU IKS libérable (vCPU)],TblApplications[Cluster IKS source],$F437,TblApplications[Action],"À décommissionner",TblApplications[Mois lib (calc)],"&lt;="&amp;$E437)))))</f>
        <v>48</v>
      </c>
      <c r="Y437" s="19">
        <f>IF($D437&lt;&gt;1,"",IF($G437="ROKS",$S437,IF($AI437=1,0,MAX($O437,$M437-SUMIFS(TblApplications[RAM IKS libérable (Go)],TblApplications[Cluster IKS source],$F437,TblApplications[Action],"À migrer",TblApplications[Mois prov (calc)],"&lt;="&amp;$E437)-SUMIFS(TblApplications[RAM IKS libérable (Go)],TblApplications[Cluster IKS source],$F437,TblApplications[Action],"À décommissionner",TblApplications[Mois lib (calc)],"&lt;="&amp;$E437)))))</f>
        <v>240</v>
      </c>
      <c r="Z437" s="19">
        <f t="shared" si="111"/>
        <v>6</v>
      </c>
      <c r="AA437" s="73">
        <f t="shared" si="112"/>
        <v>2208</v>
      </c>
      <c r="AB437" s="19">
        <f t="shared" si="113"/>
        <v>6</v>
      </c>
      <c r="AC437" s="73">
        <f t="shared" si="114"/>
        <v>2208</v>
      </c>
      <c r="AD437" s="19">
        <f t="shared" si="115"/>
        <v>0</v>
      </c>
      <c r="AE437" s="19">
        <f t="shared" si="116"/>
        <v>0</v>
      </c>
      <c r="AF437" s="19" t="str">
        <f>IF($D437&lt;&gt;1,"",IF(INDEX(TblClusters[Environnement],$B437)="","(vide)",INDEX(TblClusters[Environnement],$B437)))</f>
        <v>PRD</v>
      </c>
      <c r="AG437" s="19">
        <f t="shared" si="117"/>
        <v>72</v>
      </c>
      <c r="AH437" s="19">
        <f t="shared" si="118"/>
        <v>30.666666666666668</v>
      </c>
      <c r="AI437" s="19">
        <f>IF($D437&lt;&gt;1,"",IF(AND($G437="IKS",ISNUMBER(INDEX(TblClusters[Fermeture retenue],$B437))),IF($E437&gt;=INDEX(TblClusters[Fermeture retenue],$B437),1,0),0))</f>
        <v>0</v>
      </c>
    </row>
    <row r="438" spans="1:35" x14ac:dyDescent="0.2">
      <c r="A438" s="19">
        <v>433</v>
      </c>
      <c r="B438" s="19">
        <f t="shared" si="102"/>
        <v>13</v>
      </c>
      <c r="C438" s="19">
        <f t="shared" si="103"/>
        <v>1</v>
      </c>
      <c r="D438" s="19">
        <f>IF($C438&gt;p_horizon,0,IFERROR(IF(AND(INDEX(TblClusters[Cluster],$B438)&lt;&gt;"",ISNUMBER(INDEX(TblClusters[CPU initial (vCPU)],$B438)),ISNUMBER(INDEX(TblClusters[CPU min (vCPU)],$B438)),OR(INDEX(TblClusters[Plateforme],$B438)="IKS",INDEX(TblClusters[Plateforme],$B438)="ROKS")),1,0),0))</f>
        <v>0</v>
      </c>
      <c r="E438" s="72" t="str">
        <f t="shared" si="104"/>
        <v/>
      </c>
      <c r="F438" s="19" t="str">
        <f>IF($D438=1,INDEX(TblClusters[Cluster],$B438),"")</f>
        <v/>
      </c>
      <c r="G438" s="19" t="str">
        <f>IF($D438=1,INDEX(TblClusters[Plateforme],$B438),"")</f>
        <v/>
      </c>
      <c r="H438" s="19" t="str">
        <f>IF($D438=1,INDEX(TblClusters[vCPU par nœud],$B438),"")</f>
        <v/>
      </c>
      <c r="I438" s="19" t="str">
        <f>IF($D438=1,INDEX(TblClusters[RAM par nœud (Go)],$B438),"")</f>
        <v/>
      </c>
      <c r="J438" s="19" t="str">
        <f>IF($D438=1,INDEX(TblClusters[Workers min],$B438),"")</f>
        <v/>
      </c>
      <c r="K438" s="73" t="str">
        <f>IF($D438=1,INDEX(TblClusters[Tarif par nœud],$B438),"")</f>
        <v/>
      </c>
      <c r="L438" s="19" t="str">
        <f>IF($D438=1,INDEX(TblClusters[CPU initial (vCPU)],$B438),"")</f>
        <v/>
      </c>
      <c r="M438" s="19" t="str">
        <f>IF($D438=1,INDEX(TblClusters[RAM initiale (Go)],$B438),"")</f>
        <v/>
      </c>
      <c r="N438" s="19" t="str">
        <f>IF($D438=1,INDEX(TblClusters[CPU min (vCPU)],$B438),"")</f>
        <v/>
      </c>
      <c r="O438" s="19" t="str">
        <f>IF($D438=1,INDEX(TblClusters[RAM min (Go)],$B438),"")</f>
        <v/>
      </c>
      <c r="P438" s="19" t="str">
        <f>IF($D438&lt;&gt;1,"",IF($G438="ROKS",SUMIFS(TblApplications[Besoin ROKS CPU (vCPU)],TblApplications[Cluster ROKS cible],$F438,TblApplications[Action],"À migrer",TblApplications[Déjà incluse ROKS],"Non",TblApplications[Mois prov (calc)],"&lt;="&amp;$E438),SUMIFS(TblApplications[CPU IKS libérable (vCPU)],TblApplications[Cluster IKS source],$F438,TblApplications[Mois lib (calc)],"&lt;="&amp;$E438)))</f>
        <v/>
      </c>
      <c r="Q438" s="19" t="str">
        <f>IF($D438&lt;&gt;1,"",IF($G438="ROKS",SUMIFS(TblApplications[Besoin ROKS RAM (Go)],TblApplications[Cluster ROKS cible],$F438,TblApplications[Action],"À migrer",TblApplications[Déjà incluse ROKS],"Non",TblApplications[Mois prov (calc)],"&lt;="&amp;$E438),SUMIFS(TblApplications[RAM IKS libérable (Go)],TblApplications[Cluster IKS source],$F438,TblApplications[Mois lib (calc)],"&lt;="&amp;$E438)))</f>
        <v/>
      </c>
      <c r="R438" s="19" t="str">
        <f t="shared" si="105"/>
        <v/>
      </c>
      <c r="S438" s="19" t="str">
        <f t="shared" si="106"/>
        <v/>
      </c>
      <c r="T438" s="19" t="str">
        <f t="shared" si="107"/>
        <v/>
      </c>
      <c r="U438" s="19" t="str">
        <f t="shared" si="108"/>
        <v/>
      </c>
      <c r="V438" s="19" t="str">
        <f t="shared" si="109"/>
        <v/>
      </c>
      <c r="W438" s="73" t="str">
        <f t="shared" si="110"/>
        <v/>
      </c>
      <c r="X438" s="19" t="str">
        <f>IF($D438&lt;&gt;1,"",IF($G438="ROKS",$R438,IF($AI438=1,0,MAX($N438,$L438-SUMIFS(TblApplications[CPU IKS libérable (vCPU)],TblApplications[Cluster IKS source],$F438,TblApplications[Action],"À migrer",TblApplications[Mois prov (calc)],"&lt;="&amp;$E438)-SUMIFS(TblApplications[CPU IKS libérable (vCPU)],TblApplications[Cluster IKS source],$F438,TblApplications[Action],"À décommissionner",TblApplications[Mois lib (calc)],"&lt;="&amp;$E438)))))</f>
        <v/>
      </c>
      <c r="Y438" s="19" t="str">
        <f>IF($D438&lt;&gt;1,"",IF($G438="ROKS",$S438,IF($AI438=1,0,MAX($O438,$M438-SUMIFS(TblApplications[RAM IKS libérable (Go)],TblApplications[Cluster IKS source],$F438,TblApplications[Action],"À migrer",TblApplications[Mois prov (calc)],"&lt;="&amp;$E438)-SUMIFS(TblApplications[RAM IKS libérable (Go)],TblApplications[Cluster IKS source],$F438,TblApplications[Action],"À décommissionner",TblApplications[Mois lib (calc)],"&lt;="&amp;$E438)))))</f>
        <v/>
      </c>
      <c r="Z438" s="19" t="str">
        <f t="shared" si="111"/>
        <v/>
      </c>
      <c r="AA438" s="73" t="str">
        <f t="shared" si="112"/>
        <v/>
      </c>
      <c r="AB438" s="19" t="str">
        <f t="shared" si="113"/>
        <v/>
      </c>
      <c r="AC438" s="73" t="str">
        <f t="shared" si="114"/>
        <v/>
      </c>
      <c r="AD438" s="19" t="str">
        <f t="shared" si="115"/>
        <v/>
      </c>
      <c r="AE438" s="19" t="str">
        <f t="shared" si="116"/>
        <v/>
      </c>
      <c r="AF438" s="19" t="str">
        <f>IF($D438&lt;&gt;1,"",IF(INDEX(TblClusters[Environnement],$B438)="","(vide)",INDEX(TblClusters[Environnement],$B438)))</f>
        <v/>
      </c>
      <c r="AG438" s="19" t="str">
        <f t="shared" si="117"/>
        <v/>
      </c>
      <c r="AH438" s="19" t="str">
        <f t="shared" si="118"/>
        <v/>
      </c>
      <c r="AI438" s="19" t="str">
        <f>IF($D438&lt;&gt;1,"",IF(AND($G438="IKS",ISNUMBER(INDEX(TblClusters[Fermeture retenue],$B438))),IF($E438&gt;=INDEX(TblClusters[Fermeture retenue],$B438),1,0),0))</f>
        <v/>
      </c>
    </row>
    <row r="439" spans="1:35" x14ac:dyDescent="0.2">
      <c r="A439" s="19">
        <v>434</v>
      </c>
      <c r="B439" s="19">
        <f t="shared" si="102"/>
        <v>13</v>
      </c>
      <c r="C439" s="19">
        <f t="shared" si="103"/>
        <v>2</v>
      </c>
      <c r="D439" s="19">
        <f>IF($C439&gt;p_horizon,0,IFERROR(IF(AND(INDEX(TblClusters[Cluster],$B439)&lt;&gt;"",ISNUMBER(INDEX(TblClusters[CPU initial (vCPU)],$B439)),ISNUMBER(INDEX(TblClusters[CPU min (vCPU)],$B439)),OR(INDEX(TblClusters[Plateforme],$B439)="IKS",INDEX(TblClusters[Plateforme],$B439)="ROKS")),1,0),0))</f>
        <v>0</v>
      </c>
      <c r="E439" s="72" t="str">
        <f t="shared" si="104"/>
        <v/>
      </c>
      <c r="F439" s="19" t="str">
        <f>IF($D439=1,INDEX(TblClusters[Cluster],$B439),"")</f>
        <v/>
      </c>
      <c r="G439" s="19" t="str">
        <f>IF($D439=1,INDEX(TblClusters[Plateforme],$B439),"")</f>
        <v/>
      </c>
      <c r="H439" s="19" t="str">
        <f>IF($D439=1,INDEX(TblClusters[vCPU par nœud],$B439),"")</f>
        <v/>
      </c>
      <c r="I439" s="19" t="str">
        <f>IF($D439=1,INDEX(TblClusters[RAM par nœud (Go)],$B439),"")</f>
        <v/>
      </c>
      <c r="J439" s="19" t="str">
        <f>IF($D439=1,INDEX(TblClusters[Workers min],$B439),"")</f>
        <v/>
      </c>
      <c r="K439" s="73" t="str">
        <f>IF($D439=1,INDEX(TblClusters[Tarif par nœud],$B439),"")</f>
        <v/>
      </c>
      <c r="L439" s="19" t="str">
        <f>IF($D439=1,INDEX(TblClusters[CPU initial (vCPU)],$B439),"")</f>
        <v/>
      </c>
      <c r="M439" s="19" t="str">
        <f>IF($D439=1,INDEX(TblClusters[RAM initiale (Go)],$B439),"")</f>
        <v/>
      </c>
      <c r="N439" s="19" t="str">
        <f>IF($D439=1,INDEX(TblClusters[CPU min (vCPU)],$B439),"")</f>
        <v/>
      </c>
      <c r="O439" s="19" t="str">
        <f>IF($D439=1,INDEX(TblClusters[RAM min (Go)],$B439),"")</f>
        <v/>
      </c>
      <c r="P439" s="19" t="str">
        <f>IF($D439&lt;&gt;1,"",IF($G439="ROKS",SUMIFS(TblApplications[Besoin ROKS CPU (vCPU)],TblApplications[Cluster ROKS cible],$F439,TblApplications[Action],"À migrer",TblApplications[Déjà incluse ROKS],"Non",TblApplications[Mois prov (calc)],"&lt;="&amp;$E439),SUMIFS(TblApplications[CPU IKS libérable (vCPU)],TblApplications[Cluster IKS source],$F439,TblApplications[Mois lib (calc)],"&lt;="&amp;$E439)))</f>
        <v/>
      </c>
      <c r="Q439" s="19" t="str">
        <f>IF($D439&lt;&gt;1,"",IF($G439="ROKS",SUMIFS(TblApplications[Besoin ROKS RAM (Go)],TblApplications[Cluster ROKS cible],$F439,TblApplications[Action],"À migrer",TblApplications[Déjà incluse ROKS],"Non",TblApplications[Mois prov (calc)],"&lt;="&amp;$E439),SUMIFS(TblApplications[RAM IKS libérable (Go)],TblApplications[Cluster IKS source],$F439,TblApplications[Mois lib (calc)],"&lt;="&amp;$E439)))</f>
        <v/>
      </c>
      <c r="R439" s="19" t="str">
        <f t="shared" si="105"/>
        <v/>
      </c>
      <c r="S439" s="19" t="str">
        <f t="shared" si="106"/>
        <v/>
      </c>
      <c r="T439" s="19" t="str">
        <f t="shared" si="107"/>
        <v/>
      </c>
      <c r="U439" s="19" t="str">
        <f t="shared" si="108"/>
        <v/>
      </c>
      <c r="V439" s="19" t="str">
        <f t="shared" si="109"/>
        <v/>
      </c>
      <c r="W439" s="73" t="str">
        <f t="shared" si="110"/>
        <v/>
      </c>
      <c r="X439" s="19" t="str">
        <f>IF($D439&lt;&gt;1,"",IF($G439="ROKS",$R439,IF($AI439=1,0,MAX($N439,$L439-SUMIFS(TblApplications[CPU IKS libérable (vCPU)],TblApplications[Cluster IKS source],$F439,TblApplications[Action],"À migrer",TblApplications[Mois prov (calc)],"&lt;="&amp;$E439)-SUMIFS(TblApplications[CPU IKS libérable (vCPU)],TblApplications[Cluster IKS source],$F439,TblApplications[Action],"À décommissionner",TblApplications[Mois lib (calc)],"&lt;="&amp;$E439)))))</f>
        <v/>
      </c>
      <c r="Y439" s="19" t="str">
        <f>IF($D439&lt;&gt;1,"",IF($G439="ROKS",$S439,IF($AI439=1,0,MAX($O439,$M439-SUMIFS(TblApplications[RAM IKS libérable (Go)],TblApplications[Cluster IKS source],$F439,TblApplications[Action],"À migrer",TblApplications[Mois prov (calc)],"&lt;="&amp;$E439)-SUMIFS(TblApplications[RAM IKS libérable (Go)],TblApplications[Cluster IKS source],$F439,TblApplications[Action],"À décommissionner",TblApplications[Mois lib (calc)],"&lt;="&amp;$E439)))))</f>
        <v/>
      </c>
      <c r="Z439" s="19" t="str">
        <f t="shared" si="111"/>
        <v/>
      </c>
      <c r="AA439" s="73" t="str">
        <f t="shared" si="112"/>
        <v/>
      </c>
      <c r="AB439" s="19" t="str">
        <f t="shared" si="113"/>
        <v/>
      </c>
      <c r="AC439" s="73" t="str">
        <f t="shared" si="114"/>
        <v/>
      </c>
      <c r="AD439" s="19" t="str">
        <f t="shared" si="115"/>
        <v/>
      </c>
      <c r="AE439" s="19" t="str">
        <f t="shared" si="116"/>
        <v/>
      </c>
      <c r="AF439" s="19" t="str">
        <f>IF($D439&lt;&gt;1,"",IF(INDEX(TblClusters[Environnement],$B439)="","(vide)",INDEX(TblClusters[Environnement],$B439)))</f>
        <v/>
      </c>
      <c r="AG439" s="19" t="str">
        <f t="shared" si="117"/>
        <v/>
      </c>
      <c r="AH439" s="19" t="str">
        <f t="shared" si="118"/>
        <v/>
      </c>
      <c r="AI439" s="19" t="str">
        <f>IF($D439&lt;&gt;1,"",IF(AND($G439="IKS",ISNUMBER(INDEX(TblClusters[Fermeture retenue],$B439))),IF($E439&gt;=INDEX(TblClusters[Fermeture retenue],$B439),1,0),0))</f>
        <v/>
      </c>
    </row>
    <row r="440" spans="1:35" x14ac:dyDescent="0.2">
      <c r="A440" s="19">
        <v>435</v>
      </c>
      <c r="B440" s="19">
        <f t="shared" si="102"/>
        <v>13</v>
      </c>
      <c r="C440" s="19">
        <f t="shared" si="103"/>
        <v>3</v>
      </c>
      <c r="D440" s="19">
        <f>IF($C440&gt;p_horizon,0,IFERROR(IF(AND(INDEX(TblClusters[Cluster],$B440)&lt;&gt;"",ISNUMBER(INDEX(TblClusters[CPU initial (vCPU)],$B440)),ISNUMBER(INDEX(TblClusters[CPU min (vCPU)],$B440)),OR(INDEX(TblClusters[Plateforme],$B440)="IKS",INDEX(TblClusters[Plateforme],$B440)="ROKS")),1,0),0))</f>
        <v>0</v>
      </c>
      <c r="E440" s="72" t="str">
        <f t="shared" si="104"/>
        <v/>
      </c>
      <c r="F440" s="19" t="str">
        <f>IF($D440=1,INDEX(TblClusters[Cluster],$B440),"")</f>
        <v/>
      </c>
      <c r="G440" s="19" t="str">
        <f>IF($D440=1,INDEX(TblClusters[Plateforme],$B440),"")</f>
        <v/>
      </c>
      <c r="H440" s="19" t="str">
        <f>IF($D440=1,INDEX(TblClusters[vCPU par nœud],$B440),"")</f>
        <v/>
      </c>
      <c r="I440" s="19" t="str">
        <f>IF($D440=1,INDEX(TblClusters[RAM par nœud (Go)],$B440),"")</f>
        <v/>
      </c>
      <c r="J440" s="19" t="str">
        <f>IF($D440=1,INDEX(TblClusters[Workers min],$B440),"")</f>
        <v/>
      </c>
      <c r="K440" s="73" t="str">
        <f>IF($D440=1,INDEX(TblClusters[Tarif par nœud],$B440),"")</f>
        <v/>
      </c>
      <c r="L440" s="19" t="str">
        <f>IF($D440=1,INDEX(TblClusters[CPU initial (vCPU)],$B440),"")</f>
        <v/>
      </c>
      <c r="M440" s="19" t="str">
        <f>IF($D440=1,INDEX(TblClusters[RAM initiale (Go)],$B440),"")</f>
        <v/>
      </c>
      <c r="N440" s="19" t="str">
        <f>IF($D440=1,INDEX(TblClusters[CPU min (vCPU)],$B440),"")</f>
        <v/>
      </c>
      <c r="O440" s="19" t="str">
        <f>IF($D440=1,INDEX(TblClusters[RAM min (Go)],$B440),"")</f>
        <v/>
      </c>
      <c r="P440" s="19" t="str">
        <f>IF($D440&lt;&gt;1,"",IF($G440="ROKS",SUMIFS(TblApplications[Besoin ROKS CPU (vCPU)],TblApplications[Cluster ROKS cible],$F440,TblApplications[Action],"À migrer",TblApplications[Déjà incluse ROKS],"Non",TblApplications[Mois prov (calc)],"&lt;="&amp;$E440),SUMIFS(TblApplications[CPU IKS libérable (vCPU)],TblApplications[Cluster IKS source],$F440,TblApplications[Mois lib (calc)],"&lt;="&amp;$E440)))</f>
        <v/>
      </c>
      <c r="Q440" s="19" t="str">
        <f>IF($D440&lt;&gt;1,"",IF($G440="ROKS",SUMIFS(TblApplications[Besoin ROKS RAM (Go)],TblApplications[Cluster ROKS cible],$F440,TblApplications[Action],"À migrer",TblApplications[Déjà incluse ROKS],"Non",TblApplications[Mois prov (calc)],"&lt;="&amp;$E440),SUMIFS(TblApplications[RAM IKS libérable (Go)],TblApplications[Cluster IKS source],$F440,TblApplications[Mois lib (calc)],"&lt;="&amp;$E440)))</f>
        <v/>
      </c>
      <c r="R440" s="19" t="str">
        <f t="shared" si="105"/>
        <v/>
      </c>
      <c r="S440" s="19" t="str">
        <f t="shared" si="106"/>
        <v/>
      </c>
      <c r="T440" s="19" t="str">
        <f t="shared" si="107"/>
        <v/>
      </c>
      <c r="U440" s="19" t="str">
        <f t="shared" si="108"/>
        <v/>
      </c>
      <c r="V440" s="19" t="str">
        <f t="shared" si="109"/>
        <v/>
      </c>
      <c r="W440" s="73" t="str">
        <f t="shared" si="110"/>
        <v/>
      </c>
      <c r="X440" s="19" t="str">
        <f>IF($D440&lt;&gt;1,"",IF($G440="ROKS",$R440,IF($AI440=1,0,MAX($N440,$L440-SUMIFS(TblApplications[CPU IKS libérable (vCPU)],TblApplications[Cluster IKS source],$F440,TblApplications[Action],"À migrer",TblApplications[Mois prov (calc)],"&lt;="&amp;$E440)-SUMIFS(TblApplications[CPU IKS libérable (vCPU)],TblApplications[Cluster IKS source],$F440,TblApplications[Action],"À décommissionner",TblApplications[Mois lib (calc)],"&lt;="&amp;$E440)))))</f>
        <v/>
      </c>
      <c r="Y440" s="19" t="str">
        <f>IF($D440&lt;&gt;1,"",IF($G440="ROKS",$S440,IF($AI440=1,0,MAX($O440,$M440-SUMIFS(TblApplications[RAM IKS libérable (Go)],TblApplications[Cluster IKS source],$F440,TblApplications[Action],"À migrer",TblApplications[Mois prov (calc)],"&lt;="&amp;$E440)-SUMIFS(TblApplications[RAM IKS libérable (Go)],TblApplications[Cluster IKS source],$F440,TblApplications[Action],"À décommissionner",TblApplications[Mois lib (calc)],"&lt;="&amp;$E440)))))</f>
        <v/>
      </c>
      <c r="Z440" s="19" t="str">
        <f t="shared" si="111"/>
        <v/>
      </c>
      <c r="AA440" s="73" t="str">
        <f t="shared" si="112"/>
        <v/>
      </c>
      <c r="AB440" s="19" t="str">
        <f t="shared" si="113"/>
        <v/>
      </c>
      <c r="AC440" s="73" t="str">
        <f t="shared" si="114"/>
        <v/>
      </c>
      <c r="AD440" s="19" t="str">
        <f t="shared" si="115"/>
        <v/>
      </c>
      <c r="AE440" s="19" t="str">
        <f t="shared" si="116"/>
        <v/>
      </c>
      <c r="AF440" s="19" t="str">
        <f>IF($D440&lt;&gt;1,"",IF(INDEX(TblClusters[Environnement],$B440)="","(vide)",INDEX(TblClusters[Environnement],$B440)))</f>
        <v/>
      </c>
      <c r="AG440" s="19" t="str">
        <f t="shared" si="117"/>
        <v/>
      </c>
      <c r="AH440" s="19" t="str">
        <f t="shared" si="118"/>
        <v/>
      </c>
      <c r="AI440" s="19" t="str">
        <f>IF($D440&lt;&gt;1,"",IF(AND($G440="IKS",ISNUMBER(INDEX(TblClusters[Fermeture retenue],$B440))),IF($E440&gt;=INDEX(TblClusters[Fermeture retenue],$B440),1,0),0))</f>
        <v/>
      </c>
    </row>
    <row r="441" spans="1:35" x14ac:dyDescent="0.2">
      <c r="A441" s="19">
        <v>436</v>
      </c>
      <c r="B441" s="19">
        <f t="shared" si="102"/>
        <v>13</v>
      </c>
      <c r="C441" s="19">
        <f t="shared" si="103"/>
        <v>4</v>
      </c>
      <c r="D441" s="19">
        <f>IF($C441&gt;p_horizon,0,IFERROR(IF(AND(INDEX(TblClusters[Cluster],$B441)&lt;&gt;"",ISNUMBER(INDEX(TblClusters[CPU initial (vCPU)],$B441)),ISNUMBER(INDEX(TblClusters[CPU min (vCPU)],$B441)),OR(INDEX(TblClusters[Plateforme],$B441)="IKS",INDEX(TblClusters[Plateforme],$B441)="ROKS")),1,0),0))</f>
        <v>0</v>
      </c>
      <c r="E441" s="72" t="str">
        <f t="shared" si="104"/>
        <v/>
      </c>
      <c r="F441" s="19" t="str">
        <f>IF($D441=1,INDEX(TblClusters[Cluster],$B441),"")</f>
        <v/>
      </c>
      <c r="G441" s="19" t="str">
        <f>IF($D441=1,INDEX(TblClusters[Plateforme],$B441),"")</f>
        <v/>
      </c>
      <c r="H441" s="19" t="str">
        <f>IF($D441=1,INDEX(TblClusters[vCPU par nœud],$B441),"")</f>
        <v/>
      </c>
      <c r="I441" s="19" t="str">
        <f>IF($D441=1,INDEX(TblClusters[RAM par nœud (Go)],$B441),"")</f>
        <v/>
      </c>
      <c r="J441" s="19" t="str">
        <f>IF($D441=1,INDEX(TblClusters[Workers min],$B441),"")</f>
        <v/>
      </c>
      <c r="K441" s="73" t="str">
        <f>IF($D441=1,INDEX(TblClusters[Tarif par nœud],$B441),"")</f>
        <v/>
      </c>
      <c r="L441" s="19" t="str">
        <f>IF($D441=1,INDEX(TblClusters[CPU initial (vCPU)],$B441),"")</f>
        <v/>
      </c>
      <c r="M441" s="19" t="str">
        <f>IF($D441=1,INDEX(TblClusters[RAM initiale (Go)],$B441),"")</f>
        <v/>
      </c>
      <c r="N441" s="19" t="str">
        <f>IF($D441=1,INDEX(TblClusters[CPU min (vCPU)],$B441),"")</f>
        <v/>
      </c>
      <c r="O441" s="19" t="str">
        <f>IF($D441=1,INDEX(TblClusters[RAM min (Go)],$B441),"")</f>
        <v/>
      </c>
      <c r="P441" s="19" t="str">
        <f>IF($D441&lt;&gt;1,"",IF($G441="ROKS",SUMIFS(TblApplications[Besoin ROKS CPU (vCPU)],TblApplications[Cluster ROKS cible],$F441,TblApplications[Action],"À migrer",TblApplications[Déjà incluse ROKS],"Non",TblApplications[Mois prov (calc)],"&lt;="&amp;$E441),SUMIFS(TblApplications[CPU IKS libérable (vCPU)],TblApplications[Cluster IKS source],$F441,TblApplications[Mois lib (calc)],"&lt;="&amp;$E441)))</f>
        <v/>
      </c>
      <c r="Q441" s="19" t="str">
        <f>IF($D441&lt;&gt;1,"",IF($G441="ROKS",SUMIFS(TblApplications[Besoin ROKS RAM (Go)],TblApplications[Cluster ROKS cible],$F441,TblApplications[Action],"À migrer",TblApplications[Déjà incluse ROKS],"Non",TblApplications[Mois prov (calc)],"&lt;="&amp;$E441),SUMIFS(TblApplications[RAM IKS libérable (Go)],TblApplications[Cluster IKS source],$F441,TblApplications[Mois lib (calc)],"&lt;="&amp;$E441)))</f>
        <v/>
      </c>
      <c r="R441" s="19" t="str">
        <f t="shared" si="105"/>
        <v/>
      </c>
      <c r="S441" s="19" t="str">
        <f t="shared" si="106"/>
        <v/>
      </c>
      <c r="T441" s="19" t="str">
        <f t="shared" si="107"/>
        <v/>
      </c>
      <c r="U441" s="19" t="str">
        <f t="shared" si="108"/>
        <v/>
      </c>
      <c r="V441" s="19" t="str">
        <f t="shared" si="109"/>
        <v/>
      </c>
      <c r="W441" s="73" t="str">
        <f t="shared" si="110"/>
        <v/>
      </c>
      <c r="X441" s="19" t="str">
        <f>IF($D441&lt;&gt;1,"",IF($G441="ROKS",$R441,IF($AI441=1,0,MAX($N441,$L441-SUMIFS(TblApplications[CPU IKS libérable (vCPU)],TblApplications[Cluster IKS source],$F441,TblApplications[Action],"À migrer",TblApplications[Mois prov (calc)],"&lt;="&amp;$E441)-SUMIFS(TblApplications[CPU IKS libérable (vCPU)],TblApplications[Cluster IKS source],$F441,TblApplications[Action],"À décommissionner",TblApplications[Mois lib (calc)],"&lt;="&amp;$E441)))))</f>
        <v/>
      </c>
      <c r="Y441" s="19" t="str">
        <f>IF($D441&lt;&gt;1,"",IF($G441="ROKS",$S441,IF($AI441=1,0,MAX($O441,$M441-SUMIFS(TblApplications[RAM IKS libérable (Go)],TblApplications[Cluster IKS source],$F441,TblApplications[Action],"À migrer",TblApplications[Mois prov (calc)],"&lt;="&amp;$E441)-SUMIFS(TblApplications[RAM IKS libérable (Go)],TblApplications[Cluster IKS source],$F441,TblApplications[Action],"À décommissionner",TblApplications[Mois lib (calc)],"&lt;="&amp;$E441)))))</f>
        <v/>
      </c>
      <c r="Z441" s="19" t="str">
        <f t="shared" si="111"/>
        <v/>
      </c>
      <c r="AA441" s="73" t="str">
        <f t="shared" si="112"/>
        <v/>
      </c>
      <c r="AB441" s="19" t="str">
        <f t="shared" si="113"/>
        <v/>
      </c>
      <c r="AC441" s="73" t="str">
        <f t="shared" si="114"/>
        <v/>
      </c>
      <c r="AD441" s="19" t="str">
        <f t="shared" si="115"/>
        <v/>
      </c>
      <c r="AE441" s="19" t="str">
        <f t="shared" si="116"/>
        <v/>
      </c>
      <c r="AF441" s="19" t="str">
        <f>IF($D441&lt;&gt;1,"",IF(INDEX(TblClusters[Environnement],$B441)="","(vide)",INDEX(TblClusters[Environnement],$B441)))</f>
        <v/>
      </c>
      <c r="AG441" s="19" t="str">
        <f t="shared" si="117"/>
        <v/>
      </c>
      <c r="AH441" s="19" t="str">
        <f t="shared" si="118"/>
        <v/>
      </c>
      <c r="AI441" s="19" t="str">
        <f>IF($D441&lt;&gt;1,"",IF(AND($G441="IKS",ISNUMBER(INDEX(TblClusters[Fermeture retenue],$B441))),IF($E441&gt;=INDEX(TblClusters[Fermeture retenue],$B441),1,0),0))</f>
        <v/>
      </c>
    </row>
    <row r="442" spans="1:35" x14ac:dyDescent="0.2">
      <c r="A442" s="19">
        <v>437</v>
      </c>
      <c r="B442" s="19">
        <f t="shared" si="102"/>
        <v>13</v>
      </c>
      <c r="C442" s="19">
        <f t="shared" si="103"/>
        <v>5</v>
      </c>
      <c r="D442" s="19">
        <f>IF($C442&gt;p_horizon,0,IFERROR(IF(AND(INDEX(TblClusters[Cluster],$B442)&lt;&gt;"",ISNUMBER(INDEX(TblClusters[CPU initial (vCPU)],$B442)),ISNUMBER(INDEX(TblClusters[CPU min (vCPU)],$B442)),OR(INDEX(TblClusters[Plateforme],$B442)="IKS",INDEX(TblClusters[Plateforme],$B442)="ROKS")),1,0),0))</f>
        <v>0</v>
      </c>
      <c r="E442" s="72" t="str">
        <f t="shared" si="104"/>
        <v/>
      </c>
      <c r="F442" s="19" t="str">
        <f>IF($D442=1,INDEX(TblClusters[Cluster],$B442),"")</f>
        <v/>
      </c>
      <c r="G442" s="19" t="str">
        <f>IF($D442=1,INDEX(TblClusters[Plateforme],$B442),"")</f>
        <v/>
      </c>
      <c r="H442" s="19" t="str">
        <f>IF($D442=1,INDEX(TblClusters[vCPU par nœud],$B442),"")</f>
        <v/>
      </c>
      <c r="I442" s="19" t="str">
        <f>IF($D442=1,INDEX(TblClusters[RAM par nœud (Go)],$B442),"")</f>
        <v/>
      </c>
      <c r="J442" s="19" t="str">
        <f>IF($D442=1,INDEX(TblClusters[Workers min],$B442),"")</f>
        <v/>
      </c>
      <c r="K442" s="73" t="str">
        <f>IF($D442=1,INDEX(TblClusters[Tarif par nœud],$B442),"")</f>
        <v/>
      </c>
      <c r="L442" s="19" t="str">
        <f>IF($D442=1,INDEX(TblClusters[CPU initial (vCPU)],$B442),"")</f>
        <v/>
      </c>
      <c r="M442" s="19" t="str">
        <f>IF($D442=1,INDEX(TblClusters[RAM initiale (Go)],$B442),"")</f>
        <v/>
      </c>
      <c r="N442" s="19" t="str">
        <f>IF($D442=1,INDEX(TblClusters[CPU min (vCPU)],$B442),"")</f>
        <v/>
      </c>
      <c r="O442" s="19" t="str">
        <f>IF($D442=1,INDEX(TblClusters[RAM min (Go)],$B442),"")</f>
        <v/>
      </c>
      <c r="P442" s="19" t="str">
        <f>IF($D442&lt;&gt;1,"",IF($G442="ROKS",SUMIFS(TblApplications[Besoin ROKS CPU (vCPU)],TblApplications[Cluster ROKS cible],$F442,TblApplications[Action],"À migrer",TblApplications[Déjà incluse ROKS],"Non",TblApplications[Mois prov (calc)],"&lt;="&amp;$E442),SUMIFS(TblApplications[CPU IKS libérable (vCPU)],TblApplications[Cluster IKS source],$F442,TblApplications[Mois lib (calc)],"&lt;="&amp;$E442)))</f>
        <v/>
      </c>
      <c r="Q442" s="19" t="str">
        <f>IF($D442&lt;&gt;1,"",IF($G442="ROKS",SUMIFS(TblApplications[Besoin ROKS RAM (Go)],TblApplications[Cluster ROKS cible],$F442,TblApplications[Action],"À migrer",TblApplications[Déjà incluse ROKS],"Non",TblApplications[Mois prov (calc)],"&lt;="&amp;$E442),SUMIFS(TblApplications[RAM IKS libérable (Go)],TblApplications[Cluster IKS source],$F442,TblApplications[Mois lib (calc)],"&lt;="&amp;$E442)))</f>
        <v/>
      </c>
      <c r="R442" s="19" t="str">
        <f t="shared" si="105"/>
        <v/>
      </c>
      <c r="S442" s="19" t="str">
        <f t="shared" si="106"/>
        <v/>
      </c>
      <c r="T442" s="19" t="str">
        <f t="shared" si="107"/>
        <v/>
      </c>
      <c r="U442" s="19" t="str">
        <f t="shared" si="108"/>
        <v/>
      </c>
      <c r="V442" s="19" t="str">
        <f t="shared" si="109"/>
        <v/>
      </c>
      <c r="W442" s="73" t="str">
        <f t="shared" si="110"/>
        <v/>
      </c>
      <c r="X442" s="19" t="str">
        <f>IF($D442&lt;&gt;1,"",IF($G442="ROKS",$R442,IF($AI442=1,0,MAX($N442,$L442-SUMIFS(TblApplications[CPU IKS libérable (vCPU)],TblApplications[Cluster IKS source],$F442,TblApplications[Action],"À migrer",TblApplications[Mois prov (calc)],"&lt;="&amp;$E442)-SUMIFS(TblApplications[CPU IKS libérable (vCPU)],TblApplications[Cluster IKS source],$F442,TblApplications[Action],"À décommissionner",TblApplications[Mois lib (calc)],"&lt;="&amp;$E442)))))</f>
        <v/>
      </c>
      <c r="Y442" s="19" t="str">
        <f>IF($D442&lt;&gt;1,"",IF($G442="ROKS",$S442,IF($AI442=1,0,MAX($O442,$M442-SUMIFS(TblApplications[RAM IKS libérable (Go)],TblApplications[Cluster IKS source],$F442,TblApplications[Action],"À migrer",TblApplications[Mois prov (calc)],"&lt;="&amp;$E442)-SUMIFS(TblApplications[RAM IKS libérable (Go)],TblApplications[Cluster IKS source],$F442,TblApplications[Action],"À décommissionner",TblApplications[Mois lib (calc)],"&lt;="&amp;$E442)))))</f>
        <v/>
      </c>
      <c r="Z442" s="19" t="str">
        <f t="shared" si="111"/>
        <v/>
      </c>
      <c r="AA442" s="73" t="str">
        <f t="shared" si="112"/>
        <v/>
      </c>
      <c r="AB442" s="19" t="str">
        <f t="shared" si="113"/>
        <v/>
      </c>
      <c r="AC442" s="73" t="str">
        <f t="shared" si="114"/>
        <v/>
      </c>
      <c r="AD442" s="19" t="str">
        <f t="shared" si="115"/>
        <v/>
      </c>
      <c r="AE442" s="19" t="str">
        <f t="shared" si="116"/>
        <v/>
      </c>
      <c r="AF442" s="19" t="str">
        <f>IF($D442&lt;&gt;1,"",IF(INDEX(TblClusters[Environnement],$B442)="","(vide)",INDEX(TblClusters[Environnement],$B442)))</f>
        <v/>
      </c>
      <c r="AG442" s="19" t="str">
        <f t="shared" si="117"/>
        <v/>
      </c>
      <c r="AH442" s="19" t="str">
        <f t="shared" si="118"/>
        <v/>
      </c>
      <c r="AI442" s="19" t="str">
        <f>IF($D442&lt;&gt;1,"",IF(AND($G442="IKS",ISNUMBER(INDEX(TblClusters[Fermeture retenue],$B442))),IF($E442&gt;=INDEX(TblClusters[Fermeture retenue],$B442),1,0),0))</f>
        <v/>
      </c>
    </row>
    <row r="443" spans="1:35" x14ac:dyDescent="0.2">
      <c r="A443" s="19">
        <v>438</v>
      </c>
      <c r="B443" s="19">
        <f t="shared" si="102"/>
        <v>13</v>
      </c>
      <c r="C443" s="19">
        <f t="shared" si="103"/>
        <v>6</v>
      </c>
      <c r="D443" s="19">
        <f>IF($C443&gt;p_horizon,0,IFERROR(IF(AND(INDEX(TblClusters[Cluster],$B443)&lt;&gt;"",ISNUMBER(INDEX(TblClusters[CPU initial (vCPU)],$B443)),ISNUMBER(INDEX(TblClusters[CPU min (vCPU)],$B443)),OR(INDEX(TblClusters[Plateforme],$B443)="IKS",INDEX(TblClusters[Plateforme],$B443)="ROKS")),1,0),0))</f>
        <v>0</v>
      </c>
      <c r="E443" s="72" t="str">
        <f t="shared" si="104"/>
        <v/>
      </c>
      <c r="F443" s="19" t="str">
        <f>IF($D443=1,INDEX(TblClusters[Cluster],$B443),"")</f>
        <v/>
      </c>
      <c r="G443" s="19" t="str">
        <f>IF($D443=1,INDEX(TblClusters[Plateforme],$B443),"")</f>
        <v/>
      </c>
      <c r="H443" s="19" t="str">
        <f>IF($D443=1,INDEX(TblClusters[vCPU par nœud],$B443),"")</f>
        <v/>
      </c>
      <c r="I443" s="19" t="str">
        <f>IF($D443=1,INDEX(TblClusters[RAM par nœud (Go)],$B443),"")</f>
        <v/>
      </c>
      <c r="J443" s="19" t="str">
        <f>IF($D443=1,INDEX(TblClusters[Workers min],$B443),"")</f>
        <v/>
      </c>
      <c r="K443" s="73" t="str">
        <f>IF($D443=1,INDEX(TblClusters[Tarif par nœud],$B443),"")</f>
        <v/>
      </c>
      <c r="L443" s="19" t="str">
        <f>IF($D443=1,INDEX(TblClusters[CPU initial (vCPU)],$B443),"")</f>
        <v/>
      </c>
      <c r="M443" s="19" t="str">
        <f>IF($D443=1,INDEX(TblClusters[RAM initiale (Go)],$B443),"")</f>
        <v/>
      </c>
      <c r="N443" s="19" t="str">
        <f>IF($D443=1,INDEX(TblClusters[CPU min (vCPU)],$B443),"")</f>
        <v/>
      </c>
      <c r="O443" s="19" t="str">
        <f>IF($D443=1,INDEX(TblClusters[RAM min (Go)],$B443),"")</f>
        <v/>
      </c>
      <c r="P443" s="19" t="str">
        <f>IF($D443&lt;&gt;1,"",IF($G443="ROKS",SUMIFS(TblApplications[Besoin ROKS CPU (vCPU)],TblApplications[Cluster ROKS cible],$F443,TblApplications[Action],"À migrer",TblApplications[Déjà incluse ROKS],"Non",TblApplications[Mois prov (calc)],"&lt;="&amp;$E443),SUMIFS(TblApplications[CPU IKS libérable (vCPU)],TblApplications[Cluster IKS source],$F443,TblApplications[Mois lib (calc)],"&lt;="&amp;$E443)))</f>
        <v/>
      </c>
      <c r="Q443" s="19" t="str">
        <f>IF($D443&lt;&gt;1,"",IF($G443="ROKS",SUMIFS(TblApplications[Besoin ROKS RAM (Go)],TblApplications[Cluster ROKS cible],$F443,TblApplications[Action],"À migrer",TblApplications[Déjà incluse ROKS],"Non",TblApplications[Mois prov (calc)],"&lt;="&amp;$E443),SUMIFS(TblApplications[RAM IKS libérable (Go)],TblApplications[Cluster IKS source],$F443,TblApplications[Mois lib (calc)],"&lt;="&amp;$E443)))</f>
        <v/>
      </c>
      <c r="R443" s="19" t="str">
        <f t="shared" si="105"/>
        <v/>
      </c>
      <c r="S443" s="19" t="str">
        <f t="shared" si="106"/>
        <v/>
      </c>
      <c r="T443" s="19" t="str">
        <f t="shared" si="107"/>
        <v/>
      </c>
      <c r="U443" s="19" t="str">
        <f t="shared" si="108"/>
        <v/>
      </c>
      <c r="V443" s="19" t="str">
        <f t="shared" si="109"/>
        <v/>
      </c>
      <c r="W443" s="73" t="str">
        <f t="shared" si="110"/>
        <v/>
      </c>
      <c r="X443" s="19" t="str">
        <f>IF($D443&lt;&gt;1,"",IF($G443="ROKS",$R443,IF($AI443=1,0,MAX($N443,$L443-SUMIFS(TblApplications[CPU IKS libérable (vCPU)],TblApplications[Cluster IKS source],$F443,TblApplications[Action],"À migrer",TblApplications[Mois prov (calc)],"&lt;="&amp;$E443)-SUMIFS(TblApplications[CPU IKS libérable (vCPU)],TblApplications[Cluster IKS source],$F443,TblApplications[Action],"À décommissionner",TblApplications[Mois lib (calc)],"&lt;="&amp;$E443)))))</f>
        <v/>
      </c>
      <c r="Y443" s="19" t="str">
        <f>IF($D443&lt;&gt;1,"",IF($G443="ROKS",$S443,IF($AI443=1,0,MAX($O443,$M443-SUMIFS(TblApplications[RAM IKS libérable (Go)],TblApplications[Cluster IKS source],$F443,TblApplications[Action],"À migrer",TblApplications[Mois prov (calc)],"&lt;="&amp;$E443)-SUMIFS(TblApplications[RAM IKS libérable (Go)],TblApplications[Cluster IKS source],$F443,TblApplications[Action],"À décommissionner",TblApplications[Mois lib (calc)],"&lt;="&amp;$E443)))))</f>
        <v/>
      </c>
      <c r="Z443" s="19" t="str">
        <f t="shared" si="111"/>
        <v/>
      </c>
      <c r="AA443" s="73" t="str">
        <f t="shared" si="112"/>
        <v/>
      </c>
      <c r="AB443" s="19" t="str">
        <f t="shared" si="113"/>
        <v/>
      </c>
      <c r="AC443" s="73" t="str">
        <f t="shared" si="114"/>
        <v/>
      </c>
      <c r="AD443" s="19" t="str">
        <f t="shared" si="115"/>
        <v/>
      </c>
      <c r="AE443" s="19" t="str">
        <f t="shared" si="116"/>
        <v/>
      </c>
      <c r="AF443" s="19" t="str">
        <f>IF($D443&lt;&gt;1,"",IF(INDEX(TblClusters[Environnement],$B443)="","(vide)",INDEX(TblClusters[Environnement],$B443)))</f>
        <v/>
      </c>
      <c r="AG443" s="19" t="str">
        <f t="shared" si="117"/>
        <v/>
      </c>
      <c r="AH443" s="19" t="str">
        <f t="shared" si="118"/>
        <v/>
      </c>
      <c r="AI443" s="19" t="str">
        <f>IF($D443&lt;&gt;1,"",IF(AND($G443="IKS",ISNUMBER(INDEX(TblClusters[Fermeture retenue],$B443))),IF($E443&gt;=INDEX(TblClusters[Fermeture retenue],$B443),1,0),0))</f>
        <v/>
      </c>
    </row>
    <row r="444" spans="1:35" x14ac:dyDescent="0.2">
      <c r="A444" s="19">
        <v>439</v>
      </c>
      <c r="B444" s="19">
        <f t="shared" si="102"/>
        <v>13</v>
      </c>
      <c r="C444" s="19">
        <f t="shared" si="103"/>
        <v>7</v>
      </c>
      <c r="D444" s="19">
        <f>IF($C444&gt;p_horizon,0,IFERROR(IF(AND(INDEX(TblClusters[Cluster],$B444)&lt;&gt;"",ISNUMBER(INDEX(TblClusters[CPU initial (vCPU)],$B444)),ISNUMBER(INDEX(TblClusters[CPU min (vCPU)],$B444)),OR(INDEX(TblClusters[Plateforme],$B444)="IKS",INDEX(TblClusters[Plateforme],$B444)="ROKS")),1,0),0))</f>
        <v>0</v>
      </c>
      <c r="E444" s="72" t="str">
        <f t="shared" si="104"/>
        <v/>
      </c>
      <c r="F444" s="19" t="str">
        <f>IF($D444=1,INDEX(TblClusters[Cluster],$B444),"")</f>
        <v/>
      </c>
      <c r="G444" s="19" t="str">
        <f>IF($D444=1,INDEX(TblClusters[Plateforme],$B444),"")</f>
        <v/>
      </c>
      <c r="H444" s="19" t="str">
        <f>IF($D444=1,INDEX(TblClusters[vCPU par nœud],$B444),"")</f>
        <v/>
      </c>
      <c r="I444" s="19" t="str">
        <f>IF($D444=1,INDEX(TblClusters[RAM par nœud (Go)],$B444),"")</f>
        <v/>
      </c>
      <c r="J444" s="19" t="str">
        <f>IF($D444=1,INDEX(TblClusters[Workers min],$B444),"")</f>
        <v/>
      </c>
      <c r="K444" s="73" t="str">
        <f>IF($D444=1,INDEX(TblClusters[Tarif par nœud],$B444),"")</f>
        <v/>
      </c>
      <c r="L444" s="19" t="str">
        <f>IF($D444=1,INDEX(TblClusters[CPU initial (vCPU)],$B444),"")</f>
        <v/>
      </c>
      <c r="M444" s="19" t="str">
        <f>IF($D444=1,INDEX(TblClusters[RAM initiale (Go)],$B444),"")</f>
        <v/>
      </c>
      <c r="N444" s="19" t="str">
        <f>IF($D444=1,INDEX(TblClusters[CPU min (vCPU)],$B444),"")</f>
        <v/>
      </c>
      <c r="O444" s="19" t="str">
        <f>IF($D444=1,INDEX(TblClusters[RAM min (Go)],$B444),"")</f>
        <v/>
      </c>
      <c r="P444" s="19" t="str">
        <f>IF($D444&lt;&gt;1,"",IF($G444="ROKS",SUMIFS(TblApplications[Besoin ROKS CPU (vCPU)],TblApplications[Cluster ROKS cible],$F444,TblApplications[Action],"À migrer",TblApplications[Déjà incluse ROKS],"Non",TblApplications[Mois prov (calc)],"&lt;="&amp;$E444),SUMIFS(TblApplications[CPU IKS libérable (vCPU)],TblApplications[Cluster IKS source],$F444,TblApplications[Mois lib (calc)],"&lt;="&amp;$E444)))</f>
        <v/>
      </c>
      <c r="Q444" s="19" t="str">
        <f>IF($D444&lt;&gt;1,"",IF($G444="ROKS",SUMIFS(TblApplications[Besoin ROKS RAM (Go)],TblApplications[Cluster ROKS cible],$F444,TblApplications[Action],"À migrer",TblApplications[Déjà incluse ROKS],"Non",TblApplications[Mois prov (calc)],"&lt;="&amp;$E444),SUMIFS(TblApplications[RAM IKS libérable (Go)],TblApplications[Cluster IKS source],$F444,TblApplications[Mois lib (calc)],"&lt;="&amp;$E444)))</f>
        <v/>
      </c>
      <c r="R444" s="19" t="str">
        <f t="shared" si="105"/>
        <v/>
      </c>
      <c r="S444" s="19" t="str">
        <f t="shared" si="106"/>
        <v/>
      </c>
      <c r="T444" s="19" t="str">
        <f t="shared" si="107"/>
        <v/>
      </c>
      <c r="U444" s="19" t="str">
        <f t="shared" si="108"/>
        <v/>
      </c>
      <c r="V444" s="19" t="str">
        <f t="shared" si="109"/>
        <v/>
      </c>
      <c r="W444" s="73" t="str">
        <f t="shared" si="110"/>
        <v/>
      </c>
      <c r="X444" s="19" t="str">
        <f>IF($D444&lt;&gt;1,"",IF($G444="ROKS",$R444,IF($AI444=1,0,MAX($N444,$L444-SUMIFS(TblApplications[CPU IKS libérable (vCPU)],TblApplications[Cluster IKS source],$F444,TblApplications[Action],"À migrer",TblApplications[Mois prov (calc)],"&lt;="&amp;$E444)-SUMIFS(TblApplications[CPU IKS libérable (vCPU)],TblApplications[Cluster IKS source],$F444,TblApplications[Action],"À décommissionner",TblApplications[Mois lib (calc)],"&lt;="&amp;$E444)))))</f>
        <v/>
      </c>
      <c r="Y444" s="19" t="str">
        <f>IF($D444&lt;&gt;1,"",IF($G444="ROKS",$S444,IF($AI444=1,0,MAX($O444,$M444-SUMIFS(TblApplications[RAM IKS libérable (Go)],TblApplications[Cluster IKS source],$F444,TblApplications[Action],"À migrer",TblApplications[Mois prov (calc)],"&lt;="&amp;$E444)-SUMIFS(TblApplications[RAM IKS libérable (Go)],TblApplications[Cluster IKS source],$F444,TblApplications[Action],"À décommissionner",TblApplications[Mois lib (calc)],"&lt;="&amp;$E444)))))</f>
        <v/>
      </c>
      <c r="Z444" s="19" t="str">
        <f t="shared" si="111"/>
        <v/>
      </c>
      <c r="AA444" s="73" t="str">
        <f t="shared" si="112"/>
        <v/>
      </c>
      <c r="AB444" s="19" t="str">
        <f t="shared" si="113"/>
        <v/>
      </c>
      <c r="AC444" s="73" t="str">
        <f t="shared" si="114"/>
        <v/>
      </c>
      <c r="AD444" s="19" t="str">
        <f t="shared" si="115"/>
        <v/>
      </c>
      <c r="AE444" s="19" t="str">
        <f t="shared" si="116"/>
        <v/>
      </c>
      <c r="AF444" s="19" t="str">
        <f>IF($D444&lt;&gt;1,"",IF(INDEX(TblClusters[Environnement],$B444)="","(vide)",INDEX(TblClusters[Environnement],$B444)))</f>
        <v/>
      </c>
      <c r="AG444" s="19" t="str">
        <f t="shared" si="117"/>
        <v/>
      </c>
      <c r="AH444" s="19" t="str">
        <f t="shared" si="118"/>
        <v/>
      </c>
      <c r="AI444" s="19" t="str">
        <f>IF($D444&lt;&gt;1,"",IF(AND($G444="IKS",ISNUMBER(INDEX(TblClusters[Fermeture retenue],$B444))),IF($E444&gt;=INDEX(TblClusters[Fermeture retenue],$B444),1,0),0))</f>
        <v/>
      </c>
    </row>
    <row r="445" spans="1:35" x14ac:dyDescent="0.2">
      <c r="A445" s="19">
        <v>440</v>
      </c>
      <c r="B445" s="19">
        <f t="shared" si="102"/>
        <v>13</v>
      </c>
      <c r="C445" s="19">
        <f t="shared" si="103"/>
        <v>8</v>
      </c>
      <c r="D445" s="19">
        <f>IF($C445&gt;p_horizon,0,IFERROR(IF(AND(INDEX(TblClusters[Cluster],$B445)&lt;&gt;"",ISNUMBER(INDEX(TblClusters[CPU initial (vCPU)],$B445)),ISNUMBER(INDEX(TblClusters[CPU min (vCPU)],$B445)),OR(INDEX(TblClusters[Plateforme],$B445)="IKS",INDEX(TblClusters[Plateforme],$B445)="ROKS")),1,0),0))</f>
        <v>0</v>
      </c>
      <c r="E445" s="72" t="str">
        <f t="shared" si="104"/>
        <v/>
      </c>
      <c r="F445" s="19" t="str">
        <f>IF($D445=1,INDEX(TblClusters[Cluster],$B445),"")</f>
        <v/>
      </c>
      <c r="G445" s="19" t="str">
        <f>IF($D445=1,INDEX(TblClusters[Plateforme],$B445),"")</f>
        <v/>
      </c>
      <c r="H445" s="19" t="str">
        <f>IF($D445=1,INDEX(TblClusters[vCPU par nœud],$B445),"")</f>
        <v/>
      </c>
      <c r="I445" s="19" t="str">
        <f>IF($D445=1,INDEX(TblClusters[RAM par nœud (Go)],$B445),"")</f>
        <v/>
      </c>
      <c r="J445" s="19" t="str">
        <f>IF($D445=1,INDEX(TblClusters[Workers min],$B445),"")</f>
        <v/>
      </c>
      <c r="K445" s="73" t="str">
        <f>IF($D445=1,INDEX(TblClusters[Tarif par nœud],$B445),"")</f>
        <v/>
      </c>
      <c r="L445" s="19" t="str">
        <f>IF($D445=1,INDEX(TblClusters[CPU initial (vCPU)],$B445),"")</f>
        <v/>
      </c>
      <c r="M445" s="19" t="str">
        <f>IF($D445=1,INDEX(TblClusters[RAM initiale (Go)],$B445),"")</f>
        <v/>
      </c>
      <c r="N445" s="19" t="str">
        <f>IF($D445=1,INDEX(TblClusters[CPU min (vCPU)],$B445),"")</f>
        <v/>
      </c>
      <c r="O445" s="19" t="str">
        <f>IF($D445=1,INDEX(TblClusters[RAM min (Go)],$B445),"")</f>
        <v/>
      </c>
      <c r="P445" s="19" t="str">
        <f>IF($D445&lt;&gt;1,"",IF($G445="ROKS",SUMIFS(TblApplications[Besoin ROKS CPU (vCPU)],TblApplications[Cluster ROKS cible],$F445,TblApplications[Action],"À migrer",TblApplications[Déjà incluse ROKS],"Non",TblApplications[Mois prov (calc)],"&lt;="&amp;$E445),SUMIFS(TblApplications[CPU IKS libérable (vCPU)],TblApplications[Cluster IKS source],$F445,TblApplications[Mois lib (calc)],"&lt;="&amp;$E445)))</f>
        <v/>
      </c>
      <c r="Q445" s="19" t="str">
        <f>IF($D445&lt;&gt;1,"",IF($G445="ROKS",SUMIFS(TblApplications[Besoin ROKS RAM (Go)],TblApplications[Cluster ROKS cible],$F445,TblApplications[Action],"À migrer",TblApplications[Déjà incluse ROKS],"Non",TblApplications[Mois prov (calc)],"&lt;="&amp;$E445),SUMIFS(TblApplications[RAM IKS libérable (Go)],TblApplications[Cluster IKS source],$F445,TblApplications[Mois lib (calc)],"&lt;="&amp;$E445)))</f>
        <v/>
      </c>
      <c r="R445" s="19" t="str">
        <f t="shared" si="105"/>
        <v/>
      </c>
      <c r="S445" s="19" t="str">
        <f t="shared" si="106"/>
        <v/>
      </c>
      <c r="T445" s="19" t="str">
        <f t="shared" si="107"/>
        <v/>
      </c>
      <c r="U445" s="19" t="str">
        <f t="shared" si="108"/>
        <v/>
      </c>
      <c r="V445" s="19" t="str">
        <f t="shared" si="109"/>
        <v/>
      </c>
      <c r="W445" s="73" t="str">
        <f t="shared" si="110"/>
        <v/>
      </c>
      <c r="X445" s="19" t="str">
        <f>IF($D445&lt;&gt;1,"",IF($G445="ROKS",$R445,IF($AI445=1,0,MAX($N445,$L445-SUMIFS(TblApplications[CPU IKS libérable (vCPU)],TblApplications[Cluster IKS source],$F445,TblApplications[Action],"À migrer",TblApplications[Mois prov (calc)],"&lt;="&amp;$E445)-SUMIFS(TblApplications[CPU IKS libérable (vCPU)],TblApplications[Cluster IKS source],$F445,TblApplications[Action],"À décommissionner",TblApplications[Mois lib (calc)],"&lt;="&amp;$E445)))))</f>
        <v/>
      </c>
      <c r="Y445" s="19" t="str">
        <f>IF($D445&lt;&gt;1,"",IF($G445="ROKS",$S445,IF($AI445=1,0,MAX($O445,$M445-SUMIFS(TblApplications[RAM IKS libérable (Go)],TblApplications[Cluster IKS source],$F445,TblApplications[Action],"À migrer",TblApplications[Mois prov (calc)],"&lt;="&amp;$E445)-SUMIFS(TblApplications[RAM IKS libérable (Go)],TblApplications[Cluster IKS source],$F445,TblApplications[Action],"À décommissionner",TblApplications[Mois lib (calc)],"&lt;="&amp;$E445)))))</f>
        <v/>
      </c>
      <c r="Z445" s="19" t="str">
        <f t="shared" si="111"/>
        <v/>
      </c>
      <c r="AA445" s="73" t="str">
        <f t="shared" si="112"/>
        <v/>
      </c>
      <c r="AB445" s="19" t="str">
        <f t="shared" si="113"/>
        <v/>
      </c>
      <c r="AC445" s="73" t="str">
        <f t="shared" si="114"/>
        <v/>
      </c>
      <c r="AD445" s="19" t="str">
        <f t="shared" si="115"/>
        <v/>
      </c>
      <c r="AE445" s="19" t="str">
        <f t="shared" si="116"/>
        <v/>
      </c>
      <c r="AF445" s="19" t="str">
        <f>IF($D445&lt;&gt;1,"",IF(INDEX(TblClusters[Environnement],$B445)="","(vide)",INDEX(TblClusters[Environnement],$B445)))</f>
        <v/>
      </c>
      <c r="AG445" s="19" t="str">
        <f t="shared" si="117"/>
        <v/>
      </c>
      <c r="AH445" s="19" t="str">
        <f t="shared" si="118"/>
        <v/>
      </c>
      <c r="AI445" s="19" t="str">
        <f>IF($D445&lt;&gt;1,"",IF(AND($G445="IKS",ISNUMBER(INDEX(TblClusters[Fermeture retenue],$B445))),IF($E445&gt;=INDEX(TblClusters[Fermeture retenue],$B445),1,0),0))</f>
        <v/>
      </c>
    </row>
    <row r="446" spans="1:35" x14ac:dyDescent="0.2">
      <c r="A446" s="19">
        <v>441</v>
      </c>
      <c r="B446" s="19">
        <f t="shared" si="102"/>
        <v>13</v>
      </c>
      <c r="C446" s="19">
        <f t="shared" si="103"/>
        <v>9</v>
      </c>
      <c r="D446" s="19">
        <f>IF($C446&gt;p_horizon,0,IFERROR(IF(AND(INDEX(TblClusters[Cluster],$B446)&lt;&gt;"",ISNUMBER(INDEX(TblClusters[CPU initial (vCPU)],$B446)),ISNUMBER(INDEX(TblClusters[CPU min (vCPU)],$B446)),OR(INDEX(TblClusters[Plateforme],$B446)="IKS",INDEX(TblClusters[Plateforme],$B446)="ROKS")),1,0),0))</f>
        <v>0</v>
      </c>
      <c r="E446" s="72" t="str">
        <f t="shared" si="104"/>
        <v/>
      </c>
      <c r="F446" s="19" t="str">
        <f>IF($D446=1,INDEX(TblClusters[Cluster],$B446),"")</f>
        <v/>
      </c>
      <c r="G446" s="19" t="str">
        <f>IF($D446=1,INDEX(TblClusters[Plateforme],$B446),"")</f>
        <v/>
      </c>
      <c r="H446" s="19" t="str">
        <f>IF($D446=1,INDEX(TblClusters[vCPU par nœud],$B446),"")</f>
        <v/>
      </c>
      <c r="I446" s="19" t="str">
        <f>IF($D446=1,INDEX(TblClusters[RAM par nœud (Go)],$B446),"")</f>
        <v/>
      </c>
      <c r="J446" s="19" t="str">
        <f>IF($D446=1,INDEX(TblClusters[Workers min],$B446),"")</f>
        <v/>
      </c>
      <c r="K446" s="73" t="str">
        <f>IF($D446=1,INDEX(TblClusters[Tarif par nœud],$B446),"")</f>
        <v/>
      </c>
      <c r="L446" s="19" t="str">
        <f>IF($D446=1,INDEX(TblClusters[CPU initial (vCPU)],$B446),"")</f>
        <v/>
      </c>
      <c r="M446" s="19" t="str">
        <f>IF($D446=1,INDEX(TblClusters[RAM initiale (Go)],$B446),"")</f>
        <v/>
      </c>
      <c r="N446" s="19" t="str">
        <f>IF($D446=1,INDEX(TblClusters[CPU min (vCPU)],$B446),"")</f>
        <v/>
      </c>
      <c r="O446" s="19" t="str">
        <f>IF($D446=1,INDEX(TblClusters[RAM min (Go)],$B446),"")</f>
        <v/>
      </c>
      <c r="P446" s="19" t="str">
        <f>IF($D446&lt;&gt;1,"",IF($G446="ROKS",SUMIFS(TblApplications[Besoin ROKS CPU (vCPU)],TblApplications[Cluster ROKS cible],$F446,TblApplications[Action],"À migrer",TblApplications[Déjà incluse ROKS],"Non",TblApplications[Mois prov (calc)],"&lt;="&amp;$E446),SUMIFS(TblApplications[CPU IKS libérable (vCPU)],TblApplications[Cluster IKS source],$F446,TblApplications[Mois lib (calc)],"&lt;="&amp;$E446)))</f>
        <v/>
      </c>
      <c r="Q446" s="19" t="str">
        <f>IF($D446&lt;&gt;1,"",IF($G446="ROKS",SUMIFS(TblApplications[Besoin ROKS RAM (Go)],TblApplications[Cluster ROKS cible],$F446,TblApplications[Action],"À migrer",TblApplications[Déjà incluse ROKS],"Non",TblApplications[Mois prov (calc)],"&lt;="&amp;$E446),SUMIFS(TblApplications[RAM IKS libérable (Go)],TblApplications[Cluster IKS source],$F446,TblApplications[Mois lib (calc)],"&lt;="&amp;$E446)))</f>
        <v/>
      </c>
      <c r="R446" s="19" t="str">
        <f t="shared" si="105"/>
        <v/>
      </c>
      <c r="S446" s="19" t="str">
        <f t="shared" si="106"/>
        <v/>
      </c>
      <c r="T446" s="19" t="str">
        <f t="shared" si="107"/>
        <v/>
      </c>
      <c r="U446" s="19" t="str">
        <f t="shared" si="108"/>
        <v/>
      </c>
      <c r="V446" s="19" t="str">
        <f t="shared" si="109"/>
        <v/>
      </c>
      <c r="W446" s="73" t="str">
        <f t="shared" si="110"/>
        <v/>
      </c>
      <c r="X446" s="19" t="str">
        <f>IF($D446&lt;&gt;1,"",IF($G446="ROKS",$R446,IF($AI446=1,0,MAX($N446,$L446-SUMIFS(TblApplications[CPU IKS libérable (vCPU)],TblApplications[Cluster IKS source],$F446,TblApplications[Action],"À migrer",TblApplications[Mois prov (calc)],"&lt;="&amp;$E446)-SUMIFS(TblApplications[CPU IKS libérable (vCPU)],TblApplications[Cluster IKS source],$F446,TblApplications[Action],"À décommissionner",TblApplications[Mois lib (calc)],"&lt;="&amp;$E446)))))</f>
        <v/>
      </c>
      <c r="Y446" s="19" t="str">
        <f>IF($D446&lt;&gt;1,"",IF($G446="ROKS",$S446,IF($AI446=1,0,MAX($O446,$M446-SUMIFS(TblApplications[RAM IKS libérable (Go)],TblApplications[Cluster IKS source],$F446,TblApplications[Action],"À migrer",TblApplications[Mois prov (calc)],"&lt;="&amp;$E446)-SUMIFS(TblApplications[RAM IKS libérable (Go)],TblApplications[Cluster IKS source],$F446,TblApplications[Action],"À décommissionner",TblApplications[Mois lib (calc)],"&lt;="&amp;$E446)))))</f>
        <v/>
      </c>
      <c r="Z446" s="19" t="str">
        <f t="shared" si="111"/>
        <v/>
      </c>
      <c r="AA446" s="73" t="str">
        <f t="shared" si="112"/>
        <v/>
      </c>
      <c r="AB446" s="19" t="str">
        <f t="shared" si="113"/>
        <v/>
      </c>
      <c r="AC446" s="73" t="str">
        <f t="shared" si="114"/>
        <v/>
      </c>
      <c r="AD446" s="19" t="str">
        <f t="shared" si="115"/>
        <v/>
      </c>
      <c r="AE446" s="19" t="str">
        <f t="shared" si="116"/>
        <v/>
      </c>
      <c r="AF446" s="19" t="str">
        <f>IF($D446&lt;&gt;1,"",IF(INDEX(TblClusters[Environnement],$B446)="","(vide)",INDEX(TblClusters[Environnement],$B446)))</f>
        <v/>
      </c>
      <c r="AG446" s="19" t="str">
        <f t="shared" si="117"/>
        <v/>
      </c>
      <c r="AH446" s="19" t="str">
        <f t="shared" si="118"/>
        <v/>
      </c>
      <c r="AI446" s="19" t="str">
        <f>IF($D446&lt;&gt;1,"",IF(AND($G446="IKS",ISNUMBER(INDEX(TblClusters[Fermeture retenue],$B446))),IF($E446&gt;=INDEX(TblClusters[Fermeture retenue],$B446),1,0),0))</f>
        <v/>
      </c>
    </row>
    <row r="447" spans="1:35" x14ac:dyDescent="0.2">
      <c r="A447" s="19">
        <v>442</v>
      </c>
      <c r="B447" s="19">
        <f t="shared" si="102"/>
        <v>13</v>
      </c>
      <c r="C447" s="19">
        <f t="shared" si="103"/>
        <v>10</v>
      </c>
      <c r="D447" s="19">
        <f>IF($C447&gt;p_horizon,0,IFERROR(IF(AND(INDEX(TblClusters[Cluster],$B447)&lt;&gt;"",ISNUMBER(INDEX(TblClusters[CPU initial (vCPU)],$B447)),ISNUMBER(INDEX(TblClusters[CPU min (vCPU)],$B447)),OR(INDEX(TblClusters[Plateforme],$B447)="IKS",INDEX(TblClusters[Plateforme],$B447)="ROKS")),1,0),0))</f>
        <v>0</v>
      </c>
      <c r="E447" s="72" t="str">
        <f t="shared" si="104"/>
        <v/>
      </c>
      <c r="F447" s="19" t="str">
        <f>IF($D447=1,INDEX(TblClusters[Cluster],$B447),"")</f>
        <v/>
      </c>
      <c r="G447" s="19" t="str">
        <f>IF($D447=1,INDEX(TblClusters[Plateforme],$B447),"")</f>
        <v/>
      </c>
      <c r="H447" s="19" t="str">
        <f>IF($D447=1,INDEX(TblClusters[vCPU par nœud],$B447),"")</f>
        <v/>
      </c>
      <c r="I447" s="19" t="str">
        <f>IF($D447=1,INDEX(TblClusters[RAM par nœud (Go)],$B447),"")</f>
        <v/>
      </c>
      <c r="J447" s="19" t="str">
        <f>IF($D447=1,INDEX(TblClusters[Workers min],$B447),"")</f>
        <v/>
      </c>
      <c r="K447" s="73" t="str">
        <f>IF($D447=1,INDEX(TblClusters[Tarif par nœud],$B447),"")</f>
        <v/>
      </c>
      <c r="L447" s="19" t="str">
        <f>IF($D447=1,INDEX(TblClusters[CPU initial (vCPU)],$B447),"")</f>
        <v/>
      </c>
      <c r="M447" s="19" t="str">
        <f>IF($D447=1,INDEX(TblClusters[RAM initiale (Go)],$B447),"")</f>
        <v/>
      </c>
      <c r="N447" s="19" t="str">
        <f>IF($D447=1,INDEX(TblClusters[CPU min (vCPU)],$B447),"")</f>
        <v/>
      </c>
      <c r="O447" s="19" t="str">
        <f>IF($D447=1,INDEX(TblClusters[RAM min (Go)],$B447),"")</f>
        <v/>
      </c>
      <c r="P447" s="19" t="str">
        <f>IF($D447&lt;&gt;1,"",IF($G447="ROKS",SUMIFS(TblApplications[Besoin ROKS CPU (vCPU)],TblApplications[Cluster ROKS cible],$F447,TblApplications[Action],"À migrer",TblApplications[Déjà incluse ROKS],"Non",TblApplications[Mois prov (calc)],"&lt;="&amp;$E447),SUMIFS(TblApplications[CPU IKS libérable (vCPU)],TblApplications[Cluster IKS source],$F447,TblApplications[Mois lib (calc)],"&lt;="&amp;$E447)))</f>
        <v/>
      </c>
      <c r="Q447" s="19" t="str">
        <f>IF($D447&lt;&gt;1,"",IF($G447="ROKS",SUMIFS(TblApplications[Besoin ROKS RAM (Go)],TblApplications[Cluster ROKS cible],$F447,TblApplications[Action],"À migrer",TblApplications[Déjà incluse ROKS],"Non",TblApplications[Mois prov (calc)],"&lt;="&amp;$E447),SUMIFS(TblApplications[RAM IKS libérable (Go)],TblApplications[Cluster IKS source],$F447,TblApplications[Mois lib (calc)],"&lt;="&amp;$E447)))</f>
        <v/>
      </c>
      <c r="R447" s="19" t="str">
        <f t="shared" si="105"/>
        <v/>
      </c>
      <c r="S447" s="19" t="str">
        <f t="shared" si="106"/>
        <v/>
      </c>
      <c r="T447" s="19" t="str">
        <f t="shared" si="107"/>
        <v/>
      </c>
      <c r="U447" s="19" t="str">
        <f t="shared" si="108"/>
        <v/>
      </c>
      <c r="V447" s="19" t="str">
        <f t="shared" si="109"/>
        <v/>
      </c>
      <c r="W447" s="73" t="str">
        <f t="shared" si="110"/>
        <v/>
      </c>
      <c r="X447" s="19" t="str">
        <f>IF($D447&lt;&gt;1,"",IF($G447="ROKS",$R447,IF($AI447=1,0,MAX($N447,$L447-SUMIFS(TblApplications[CPU IKS libérable (vCPU)],TblApplications[Cluster IKS source],$F447,TblApplications[Action],"À migrer",TblApplications[Mois prov (calc)],"&lt;="&amp;$E447)-SUMIFS(TblApplications[CPU IKS libérable (vCPU)],TblApplications[Cluster IKS source],$F447,TblApplications[Action],"À décommissionner",TblApplications[Mois lib (calc)],"&lt;="&amp;$E447)))))</f>
        <v/>
      </c>
      <c r="Y447" s="19" t="str">
        <f>IF($D447&lt;&gt;1,"",IF($G447="ROKS",$S447,IF($AI447=1,0,MAX($O447,$M447-SUMIFS(TblApplications[RAM IKS libérable (Go)],TblApplications[Cluster IKS source],$F447,TblApplications[Action],"À migrer",TblApplications[Mois prov (calc)],"&lt;="&amp;$E447)-SUMIFS(TblApplications[RAM IKS libérable (Go)],TblApplications[Cluster IKS source],$F447,TblApplications[Action],"À décommissionner",TblApplications[Mois lib (calc)],"&lt;="&amp;$E447)))))</f>
        <v/>
      </c>
      <c r="Z447" s="19" t="str">
        <f t="shared" si="111"/>
        <v/>
      </c>
      <c r="AA447" s="73" t="str">
        <f t="shared" si="112"/>
        <v/>
      </c>
      <c r="AB447" s="19" t="str">
        <f t="shared" si="113"/>
        <v/>
      </c>
      <c r="AC447" s="73" t="str">
        <f t="shared" si="114"/>
        <v/>
      </c>
      <c r="AD447" s="19" t="str">
        <f t="shared" si="115"/>
        <v/>
      </c>
      <c r="AE447" s="19" t="str">
        <f t="shared" si="116"/>
        <v/>
      </c>
      <c r="AF447" s="19" t="str">
        <f>IF($D447&lt;&gt;1,"",IF(INDEX(TblClusters[Environnement],$B447)="","(vide)",INDEX(TblClusters[Environnement],$B447)))</f>
        <v/>
      </c>
      <c r="AG447" s="19" t="str">
        <f t="shared" si="117"/>
        <v/>
      </c>
      <c r="AH447" s="19" t="str">
        <f t="shared" si="118"/>
        <v/>
      </c>
      <c r="AI447" s="19" t="str">
        <f>IF($D447&lt;&gt;1,"",IF(AND($G447="IKS",ISNUMBER(INDEX(TblClusters[Fermeture retenue],$B447))),IF($E447&gt;=INDEX(TblClusters[Fermeture retenue],$B447),1,0),0))</f>
        <v/>
      </c>
    </row>
    <row r="448" spans="1:35" x14ac:dyDescent="0.2">
      <c r="A448" s="19">
        <v>443</v>
      </c>
      <c r="B448" s="19">
        <f t="shared" si="102"/>
        <v>13</v>
      </c>
      <c r="C448" s="19">
        <f t="shared" si="103"/>
        <v>11</v>
      </c>
      <c r="D448" s="19">
        <f>IF($C448&gt;p_horizon,0,IFERROR(IF(AND(INDEX(TblClusters[Cluster],$B448)&lt;&gt;"",ISNUMBER(INDEX(TblClusters[CPU initial (vCPU)],$B448)),ISNUMBER(INDEX(TblClusters[CPU min (vCPU)],$B448)),OR(INDEX(TblClusters[Plateforme],$B448)="IKS",INDEX(TblClusters[Plateforme],$B448)="ROKS")),1,0),0))</f>
        <v>0</v>
      </c>
      <c r="E448" s="72" t="str">
        <f t="shared" si="104"/>
        <v/>
      </c>
      <c r="F448" s="19" t="str">
        <f>IF($D448=1,INDEX(TblClusters[Cluster],$B448),"")</f>
        <v/>
      </c>
      <c r="G448" s="19" t="str">
        <f>IF($D448=1,INDEX(TblClusters[Plateforme],$B448),"")</f>
        <v/>
      </c>
      <c r="H448" s="19" t="str">
        <f>IF($D448=1,INDEX(TblClusters[vCPU par nœud],$B448),"")</f>
        <v/>
      </c>
      <c r="I448" s="19" t="str">
        <f>IF($D448=1,INDEX(TblClusters[RAM par nœud (Go)],$B448),"")</f>
        <v/>
      </c>
      <c r="J448" s="19" t="str">
        <f>IF($D448=1,INDEX(TblClusters[Workers min],$B448),"")</f>
        <v/>
      </c>
      <c r="K448" s="73" t="str">
        <f>IF($D448=1,INDEX(TblClusters[Tarif par nœud],$B448),"")</f>
        <v/>
      </c>
      <c r="L448" s="19" t="str">
        <f>IF($D448=1,INDEX(TblClusters[CPU initial (vCPU)],$B448),"")</f>
        <v/>
      </c>
      <c r="M448" s="19" t="str">
        <f>IF($D448=1,INDEX(TblClusters[RAM initiale (Go)],$B448),"")</f>
        <v/>
      </c>
      <c r="N448" s="19" t="str">
        <f>IF($D448=1,INDEX(TblClusters[CPU min (vCPU)],$B448),"")</f>
        <v/>
      </c>
      <c r="O448" s="19" t="str">
        <f>IF($D448=1,INDEX(TblClusters[RAM min (Go)],$B448),"")</f>
        <v/>
      </c>
      <c r="P448" s="19" t="str">
        <f>IF($D448&lt;&gt;1,"",IF($G448="ROKS",SUMIFS(TblApplications[Besoin ROKS CPU (vCPU)],TblApplications[Cluster ROKS cible],$F448,TblApplications[Action],"À migrer",TblApplications[Déjà incluse ROKS],"Non",TblApplications[Mois prov (calc)],"&lt;="&amp;$E448),SUMIFS(TblApplications[CPU IKS libérable (vCPU)],TblApplications[Cluster IKS source],$F448,TblApplications[Mois lib (calc)],"&lt;="&amp;$E448)))</f>
        <v/>
      </c>
      <c r="Q448" s="19" t="str">
        <f>IF($D448&lt;&gt;1,"",IF($G448="ROKS",SUMIFS(TblApplications[Besoin ROKS RAM (Go)],TblApplications[Cluster ROKS cible],$F448,TblApplications[Action],"À migrer",TblApplications[Déjà incluse ROKS],"Non",TblApplications[Mois prov (calc)],"&lt;="&amp;$E448),SUMIFS(TblApplications[RAM IKS libérable (Go)],TblApplications[Cluster IKS source],$F448,TblApplications[Mois lib (calc)],"&lt;="&amp;$E448)))</f>
        <v/>
      </c>
      <c r="R448" s="19" t="str">
        <f t="shared" si="105"/>
        <v/>
      </c>
      <c r="S448" s="19" t="str">
        <f t="shared" si="106"/>
        <v/>
      </c>
      <c r="T448" s="19" t="str">
        <f t="shared" si="107"/>
        <v/>
      </c>
      <c r="U448" s="19" t="str">
        <f t="shared" si="108"/>
        <v/>
      </c>
      <c r="V448" s="19" t="str">
        <f t="shared" si="109"/>
        <v/>
      </c>
      <c r="W448" s="73" t="str">
        <f t="shared" si="110"/>
        <v/>
      </c>
      <c r="X448" s="19" t="str">
        <f>IF($D448&lt;&gt;1,"",IF($G448="ROKS",$R448,IF($AI448=1,0,MAX($N448,$L448-SUMIFS(TblApplications[CPU IKS libérable (vCPU)],TblApplications[Cluster IKS source],$F448,TblApplications[Action],"À migrer",TblApplications[Mois prov (calc)],"&lt;="&amp;$E448)-SUMIFS(TblApplications[CPU IKS libérable (vCPU)],TblApplications[Cluster IKS source],$F448,TblApplications[Action],"À décommissionner",TblApplications[Mois lib (calc)],"&lt;="&amp;$E448)))))</f>
        <v/>
      </c>
      <c r="Y448" s="19" t="str">
        <f>IF($D448&lt;&gt;1,"",IF($G448="ROKS",$S448,IF($AI448=1,0,MAX($O448,$M448-SUMIFS(TblApplications[RAM IKS libérable (Go)],TblApplications[Cluster IKS source],$F448,TblApplications[Action],"À migrer",TblApplications[Mois prov (calc)],"&lt;="&amp;$E448)-SUMIFS(TblApplications[RAM IKS libérable (Go)],TblApplications[Cluster IKS source],$F448,TblApplications[Action],"À décommissionner",TblApplications[Mois lib (calc)],"&lt;="&amp;$E448)))))</f>
        <v/>
      </c>
      <c r="Z448" s="19" t="str">
        <f t="shared" si="111"/>
        <v/>
      </c>
      <c r="AA448" s="73" t="str">
        <f t="shared" si="112"/>
        <v/>
      </c>
      <c r="AB448" s="19" t="str">
        <f t="shared" si="113"/>
        <v/>
      </c>
      <c r="AC448" s="73" t="str">
        <f t="shared" si="114"/>
        <v/>
      </c>
      <c r="AD448" s="19" t="str">
        <f t="shared" si="115"/>
        <v/>
      </c>
      <c r="AE448" s="19" t="str">
        <f t="shared" si="116"/>
        <v/>
      </c>
      <c r="AF448" s="19" t="str">
        <f>IF($D448&lt;&gt;1,"",IF(INDEX(TblClusters[Environnement],$B448)="","(vide)",INDEX(TblClusters[Environnement],$B448)))</f>
        <v/>
      </c>
      <c r="AG448" s="19" t="str">
        <f t="shared" si="117"/>
        <v/>
      </c>
      <c r="AH448" s="19" t="str">
        <f t="shared" si="118"/>
        <v/>
      </c>
      <c r="AI448" s="19" t="str">
        <f>IF($D448&lt;&gt;1,"",IF(AND($G448="IKS",ISNUMBER(INDEX(TblClusters[Fermeture retenue],$B448))),IF($E448&gt;=INDEX(TblClusters[Fermeture retenue],$B448),1,0),0))</f>
        <v/>
      </c>
    </row>
    <row r="449" spans="1:35" x14ac:dyDescent="0.2">
      <c r="A449" s="19">
        <v>444</v>
      </c>
      <c r="B449" s="19">
        <f t="shared" si="102"/>
        <v>13</v>
      </c>
      <c r="C449" s="19">
        <f t="shared" si="103"/>
        <v>12</v>
      </c>
      <c r="D449" s="19">
        <f>IF($C449&gt;p_horizon,0,IFERROR(IF(AND(INDEX(TblClusters[Cluster],$B449)&lt;&gt;"",ISNUMBER(INDEX(TblClusters[CPU initial (vCPU)],$B449)),ISNUMBER(INDEX(TblClusters[CPU min (vCPU)],$B449)),OR(INDEX(TblClusters[Plateforme],$B449)="IKS",INDEX(TblClusters[Plateforme],$B449)="ROKS")),1,0),0))</f>
        <v>0</v>
      </c>
      <c r="E449" s="72" t="str">
        <f t="shared" si="104"/>
        <v/>
      </c>
      <c r="F449" s="19" t="str">
        <f>IF($D449=1,INDEX(TblClusters[Cluster],$B449),"")</f>
        <v/>
      </c>
      <c r="G449" s="19" t="str">
        <f>IF($D449=1,INDEX(TblClusters[Plateforme],$B449),"")</f>
        <v/>
      </c>
      <c r="H449" s="19" t="str">
        <f>IF($D449=1,INDEX(TblClusters[vCPU par nœud],$B449),"")</f>
        <v/>
      </c>
      <c r="I449" s="19" t="str">
        <f>IF($D449=1,INDEX(TblClusters[RAM par nœud (Go)],$B449),"")</f>
        <v/>
      </c>
      <c r="J449" s="19" t="str">
        <f>IF($D449=1,INDEX(TblClusters[Workers min],$B449),"")</f>
        <v/>
      </c>
      <c r="K449" s="73" t="str">
        <f>IF($D449=1,INDEX(TblClusters[Tarif par nœud],$B449),"")</f>
        <v/>
      </c>
      <c r="L449" s="19" t="str">
        <f>IF($D449=1,INDEX(TblClusters[CPU initial (vCPU)],$B449),"")</f>
        <v/>
      </c>
      <c r="M449" s="19" t="str">
        <f>IF($D449=1,INDEX(TblClusters[RAM initiale (Go)],$B449),"")</f>
        <v/>
      </c>
      <c r="N449" s="19" t="str">
        <f>IF($D449=1,INDEX(TblClusters[CPU min (vCPU)],$B449),"")</f>
        <v/>
      </c>
      <c r="O449" s="19" t="str">
        <f>IF($D449=1,INDEX(TblClusters[RAM min (Go)],$B449),"")</f>
        <v/>
      </c>
      <c r="P449" s="19" t="str">
        <f>IF($D449&lt;&gt;1,"",IF($G449="ROKS",SUMIFS(TblApplications[Besoin ROKS CPU (vCPU)],TblApplications[Cluster ROKS cible],$F449,TblApplications[Action],"À migrer",TblApplications[Déjà incluse ROKS],"Non",TblApplications[Mois prov (calc)],"&lt;="&amp;$E449),SUMIFS(TblApplications[CPU IKS libérable (vCPU)],TblApplications[Cluster IKS source],$F449,TblApplications[Mois lib (calc)],"&lt;="&amp;$E449)))</f>
        <v/>
      </c>
      <c r="Q449" s="19" t="str">
        <f>IF($D449&lt;&gt;1,"",IF($G449="ROKS",SUMIFS(TblApplications[Besoin ROKS RAM (Go)],TblApplications[Cluster ROKS cible],$F449,TblApplications[Action],"À migrer",TblApplications[Déjà incluse ROKS],"Non",TblApplications[Mois prov (calc)],"&lt;="&amp;$E449),SUMIFS(TblApplications[RAM IKS libérable (Go)],TblApplications[Cluster IKS source],$F449,TblApplications[Mois lib (calc)],"&lt;="&amp;$E449)))</f>
        <v/>
      </c>
      <c r="R449" s="19" t="str">
        <f t="shared" si="105"/>
        <v/>
      </c>
      <c r="S449" s="19" t="str">
        <f t="shared" si="106"/>
        <v/>
      </c>
      <c r="T449" s="19" t="str">
        <f t="shared" si="107"/>
        <v/>
      </c>
      <c r="U449" s="19" t="str">
        <f t="shared" si="108"/>
        <v/>
      </c>
      <c r="V449" s="19" t="str">
        <f t="shared" si="109"/>
        <v/>
      </c>
      <c r="W449" s="73" t="str">
        <f t="shared" si="110"/>
        <v/>
      </c>
      <c r="X449" s="19" t="str">
        <f>IF($D449&lt;&gt;1,"",IF($G449="ROKS",$R449,IF($AI449=1,0,MAX($N449,$L449-SUMIFS(TblApplications[CPU IKS libérable (vCPU)],TblApplications[Cluster IKS source],$F449,TblApplications[Action],"À migrer",TblApplications[Mois prov (calc)],"&lt;="&amp;$E449)-SUMIFS(TblApplications[CPU IKS libérable (vCPU)],TblApplications[Cluster IKS source],$F449,TblApplications[Action],"À décommissionner",TblApplications[Mois lib (calc)],"&lt;="&amp;$E449)))))</f>
        <v/>
      </c>
      <c r="Y449" s="19" t="str">
        <f>IF($D449&lt;&gt;1,"",IF($G449="ROKS",$S449,IF($AI449=1,0,MAX($O449,$M449-SUMIFS(TblApplications[RAM IKS libérable (Go)],TblApplications[Cluster IKS source],$F449,TblApplications[Action],"À migrer",TblApplications[Mois prov (calc)],"&lt;="&amp;$E449)-SUMIFS(TblApplications[RAM IKS libérable (Go)],TblApplications[Cluster IKS source],$F449,TblApplications[Action],"À décommissionner",TblApplications[Mois lib (calc)],"&lt;="&amp;$E449)))))</f>
        <v/>
      </c>
      <c r="Z449" s="19" t="str">
        <f t="shared" si="111"/>
        <v/>
      </c>
      <c r="AA449" s="73" t="str">
        <f t="shared" si="112"/>
        <v/>
      </c>
      <c r="AB449" s="19" t="str">
        <f t="shared" si="113"/>
        <v/>
      </c>
      <c r="AC449" s="73" t="str">
        <f t="shared" si="114"/>
        <v/>
      </c>
      <c r="AD449" s="19" t="str">
        <f t="shared" si="115"/>
        <v/>
      </c>
      <c r="AE449" s="19" t="str">
        <f t="shared" si="116"/>
        <v/>
      </c>
      <c r="AF449" s="19" t="str">
        <f>IF($D449&lt;&gt;1,"",IF(INDEX(TblClusters[Environnement],$B449)="","(vide)",INDEX(TblClusters[Environnement],$B449)))</f>
        <v/>
      </c>
      <c r="AG449" s="19" t="str">
        <f t="shared" si="117"/>
        <v/>
      </c>
      <c r="AH449" s="19" t="str">
        <f t="shared" si="118"/>
        <v/>
      </c>
      <c r="AI449" s="19" t="str">
        <f>IF($D449&lt;&gt;1,"",IF(AND($G449="IKS",ISNUMBER(INDEX(TblClusters[Fermeture retenue],$B449))),IF($E449&gt;=INDEX(TblClusters[Fermeture retenue],$B449),1,0),0))</f>
        <v/>
      </c>
    </row>
    <row r="450" spans="1:35" x14ac:dyDescent="0.2">
      <c r="A450" s="19">
        <v>445</v>
      </c>
      <c r="B450" s="19">
        <f t="shared" si="102"/>
        <v>13</v>
      </c>
      <c r="C450" s="19">
        <f t="shared" si="103"/>
        <v>13</v>
      </c>
      <c r="D450" s="19">
        <f>IF($C450&gt;p_horizon,0,IFERROR(IF(AND(INDEX(TblClusters[Cluster],$B450)&lt;&gt;"",ISNUMBER(INDEX(TblClusters[CPU initial (vCPU)],$B450)),ISNUMBER(INDEX(TblClusters[CPU min (vCPU)],$B450)),OR(INDEX(TblClusters[Plateforme],$B450)="IKS",INDEX(TblClusters[Plateforme],$B450)="ROKS")),1,0),0))</f>
        <v>0</v>
      </c>
      <c r="E450" s="72" t="str">
        <f t="shared" si="104"/>
        <v/>
      </c>
      <c r="F450" s="19" t="str">
        <f>IF($D450=1,INDEX(TblClusters[Cluster],$B450),"")</f>
        <v/>
      </c>
      <c r="G450" s="19" t="str">
        <f>IF($D450=1,INDEX(TblClusters[Plateforme],$B450),"")</f>
        <v/>
      </c>
      <c r="H450" s="19" t="str">
        <f>IF($D450=1,INDEX(TblClusters[vCPU par nœud],$B450),"")</f>
        <v/>
      </c>
      <c r="I450" s="19" t="str">
        <f>IF($D450=1,INDEX(TblClusters[RAM par nœud (Go)],$B450),"")</f>
        <v/>
      </c>
      <c r="J450" s="19" t="str">
        <f>IF($D450=1,INDEX(TblClusters[Workers min],$B450),"")</f>
        <v/>
      </c>
      <c r="K450" s="73" t="str">
        <f>IF($D450=1,INDEX(TblClusters[Tarif par nœud],$B450),"")</f>
        <v/>
      </c>
      <c r="L450" s="19" t="str">
        <f>IF($D450=1,INDEX(TblClusters[CPU initial (vCPU)],$B450),"")</f>
        <v/>
      </c>
      <c r="M450" s="19" t="str">
        <f>IF($D450=1,INDEX(TblClusters[RAM initiale (Go)],$B450),"")</f>
        <v/>
      </c>
      <c r="N450" s="19" t="str">
        <f>IF($D450=1,INDEX(TblClusters[CPU min (vCPU)],$B450),"")</f>
        <v/>
      </c>
      <c r="O450" s="19" t="str">
        <f>IF($D450=1,INDEX(TblClusters[RAM min (Go)],$B450),"")</f>
        <v/>
      </c>
      <c r="P450" s="19" t="str">
        <f>IF($D450&lt;&gt;1,"",IF($G450="ROKS",SUMIFS(TblApplications[Besoin ROKS CPU (vCPU)],TblApplications[Cluster ROKS cible],$F450,TblApplications[Action],"À migrer",TblApplications[Déjà incluse ROKS],"Non",TblApplications[Mois prov (calc)],"&lt;="&amp;$E450),SUMIFS(TblApplications[CPU IKS libérable (vCPU)],TblApplications[Cluster IKS source],$F450,TblApplications[Mois lib (calc)],"&lt;="&amp;$E450)))</f>
        <v/>
      </c>
      <c r="Q450" s="19" t="str">
        <f>IF($D450&lt;&gt;1,"",IF($G450="ROKS",SUMIFS(TblApplications[Besoin ROKS RAM (Go)],TblApplications[Cluster ROKS cible],$F450,TblApplications[Action],"À migrer",TblApplications[Déjà incluse ROKS],"Non",TblApplications[Mois prov (calc)],"&lt;="&amp;$E450),SUMIFS(TblApplications[RAM IKS libérable (Go)],TblApplications[Cluster IKS source],$F450,TblApplications[Mois lib (calc)],"&lt;="&amp;$E450)))</f>
        <v/>
      </c>
      <c r="R450" s="19" t="str">
        <f t="shared" si="105"/>
        <v/>
      </c>
      <c r="S450" s="19" t="str">
        <f t="shared" si="106"/>
        <v/>
      </c>
      <c r="T450" s="19" t="str">
        <f t="shared" si="107"/>
        <v/>
      </c>
      <c r="U450" s="19" t="str">
        <f t="shared" si="108"/>
        <v/>
      </c>
      <c r="V450" s="19" t="str">
        <f t="shared" si="109"/>
        <v/>
      </c>
      <c r="W450" s="73" t="str">
        <f t="shared" si="110"/>
        <v/>
      </c>
      <c r="X450" s="19" t="str">
        <f>IF($D450&lt;&gt;1,"",IF($G450="ROKS",$R450,IF($AI450=1,0,MAX($N450,$L450-SUMIFS(TblApplications[CPU IKS libérable (vCPU)],TblApplications[Cluster IKS source],$F450,TblApplications[Action],"À migrer",TblApplications[Mois prov (calc)],"&lt;="&amp;$E450)-SUMIFS(TblApplications[CPU IKS libérable (vCPU)],TblApplications[Cluster IKS source],$F450,TblApplications[Action],"À décommissionner",TblApplications[Mois lib (calc)],"&lt;="&amp;$E450)))))</f>
        <v/>
      </c>
      <c r="Y450" s="19" t="str">
        <f>IF($D450&lt;&gt;1,"",IF($G450="ROKS",$S450,IF($AI450=1,0,MAX($O450,$M450-SUMIFS(TblApplications[RAM IKS libérable (Go)],TblApplications[Cluster IKS source],$F450,TblApplications[Action],"À migrer",TblApplications[Mois prov (calc)],"&lt;="&amp;$E450)-SUMIFS(TblApplications[RAM IKS libérable (Go)],TblApplications[Cluster IKS source],$F450,TblApplications[Action],"À décommissionner",TblApplications[Mois lib (calc)],"&lt;="&amp;$E450)))))</f>
        <v/>
      </c>
      <c r="Z450" s="19" t="str">
        <f t="shared" si="111"/>
        <v/>
      </c>
      <c r="AA450" s="73" t="str">
        <f t="shared" si="112"/>
        <v/>
      </c>
      <c r="AB450" s="19" t="str">
        <f t="shared" si="113"/>
        <v/>
      </c>
      <c r="AC450" s="73" t="str">
        <f t="shared" si="114"/>
        <v/>
      </c>
      <c r="AD450" s="19" t="str">
        <f t="shared" si="115"/>
        <v/>
      </c>
      <c r="AE450" s="19" t="str">
        <f t="shared" si="116"/>
        <v/>
      </c>
      <c r="AF450" s="19" t="str">
        <f>IF($D450&lt;&gt;1,"",IF(INDEX(TblClusters[Environnement],$B450)="","(vide)",INDEX(TblClusters[Environnement],$B450)))</f>
        <v/>
      </c>
      <c r="AG450" s="19" t="str">
        <f t="shared" si="117"/>
        <v/>
      </c>
      <c r="AH450" s="19" t="str">
        <f t="shared" si="118"/>
        <v/>
      </c>
      <c r="AI450" s="19" t="str">
        <f>IF($D450&lt;&gt;1,"",IF(AND($G450="IKS",ISNUMBER(INDEX(TblClusters[Fermeture retenue],$B450))),IF($E450&gt;=INDEX(TblClusters[Fermeture retenue],$B450),1,0),0))</f>
        <v/>
      </c>
    </row>
    <row r="451" spans="1:35" x14ac:dyDescent="0.2">
      <c r="A451" s="19">
        <v>446</v>
      </c>
      <c r="B451" s="19">
        <f t="shared" si="102"/>
        <v>13</v>
      </c>
      <c r="C451" s="19">
        <f t="shared" si="103"/>
        <v>14</v>
      </c>
      <c r="D451" s="19">
        <f>IF($C451&gt;p_horizon,0,IFERROR(IF(AND(INDEX(TblClusters[Cluster],$B451)&lt;&gt;"",ISNUMBER(INDEX(TblClusters[CPU initial (vCPU)],$B451)),ISNUMBER(INDEX(TblClusters[CPU min (vCPU)],$B451)),OR(INDEX(TblClusters[Plateforme],$B451)="IKS",INDEX(TblClusters[Plateforme],$B451)="ROKS")),1,0),0))</f>
        <v>0</v>
      </c>
      <c r="E451" s="72" t="str">
        <f t="shared" si="104"/>
        <v/>
      </c>
      <c r="F451" s="19" t="str">
        <f>IF($D451=1,INDEX(TblClusters[Cluster],$B451),"")</f>
        <v/>
      </c>
      <c r="G451" s="19" t="str">
        <f>IF($D451=1,INDEX(TblClusters[Plateforme],$B451),"")</f>
        <v/>
      </c>
      <c r="H451" s="19" t="str">
        <f>IF($D451=1,INDEX(TblClusters[vCPU par nœud],$B451),"")</f>
        <v/>
      </c>
      <c r="I451" s="19" t="str">
        <f>IF($D451=1,INDEX(TblClusters[RAM par nœud (Go)],$B451),"")</f>
        <v/>
      </c>
      <c r="J451" s="19" t="str">
        <f>IF($D451=1,INDEX(TblClusters[Workers min],$B451),"")</f>
        <v/>
      </c>
      <c r="K451" s="73" t="str">
        <f>IF($D451=1,INDEX(TblClusters[Tarif par nœud],$B451),"")</f>
        <v/>
      </c>
      <c r="L451" s="19" t="str">
        <f>IF($D451=1,INDEX(TblClusters[CPU initial (vCPU)],$B451),"")</f>
        <v/>
      </c>
      <c r="M451" s="19" t="str">
        <f>IF($D451=1,INDEX(TblClusters[RAM initiale (Go)],$B451),"")</f>
        <v/>
      </c>
      <c r="N451" s="19" t="str">
        <f>IF($D451=1,INDEX(TblClusters[CPU min (vCPU)],$B451),"")</f>
        <v/>
      </c>
      <c r="O451" s="19" t="str">
        <f>IF($D451=1,INDEX(TblClusters[RAM min (Go)],$B451),"")</f>
        <v/>
      </c>
      <c r="P451" s="19" t="str">
        <f>IF($D451&lt;&gt;1,"",IF($G451="ROKS",SUMIFS(TblApplications[Besoin ROKS CPU (vCPU)],TblApplications[Cluster ROKS cible],$F451,TblApplications[Action],"À migrer",TblApplications[Déjà incluse ROKS],"Non",TblApplications[Mois prov (calc)],"&lt;="&amp;$E451),SUMIFS(TblApplications[CPU IKS libérable (vCPU)],TblApplications[Cluster IKS source],$F451,TblApplications[Mois lib (calc)],"&lt;="&amp;$E451)))</f>
        <v/>
      </c>
      <c r="Q451" s="19" t="str">
        <f>IF($D451&lt;&gt;1,"",IF($G451="ROKS",SUMIFS(TblApplications[Besoin ROKS RAM (Go)],TblApplications[Cluster ROKS cible],$F451,TblApplications[Action],"À migrer",TblApplications[Déjà incluse ROKS],"Non",TblApplications[Mois prov (calc)],"&lt;="&amp;$E451),SUMIFS(TblApplications[RAM IKS libérable (Go)],TblApplications[Cluster IKS source],$F451,TblApplications[Mois lib (calc)],"&lt;="&amp;$E451)))</f>
        <v/>
      </c>
      <c r="R451" s="19" t="str">
        <f t="shared" si="105"/>
        <v/>
      </c>
      <c r="S451" s="19" t="str">
        <f t="shared" si="106"/>
        <v/>
      </c>
      <c r="T451" s="19" t="str">
        <f t="shared" si="107"/>
        <v/>
      </c>
      <c r="U451" s="19" t="str">
        <f t="shared" si="108"/>
        <v/>
      </c>
      <c r="V451" s="19" t="str">
        <f t="shared" si="109"/>
        <v/>
      </c>
      <c r="W451" s="73" t="str">
        <f t="shared" si="110"/>
        <v/>
      </c>
      <c r="X451" s="19" t="str">
        <f>IF($D451&lt;&gt;1,"",IF($G451="ROKS",$R451,IF($AI451=1,0,MAX($N451,$L451-SUMIFS(TblApplications[CPU IKS libérable (vCPU)],TblApplications[Cluster IKS source],$F451,TblApplications[Action],"À migrer",TblApplications[Mois prov (calc)],"&lt;="&amp;$E451)-SUMIFS(TblApplications[CPU IKS libérable (vCPU)],TblApplications[Cluster IKS source],$F451,TblApplications[Action],"À décommissionner",TblApplications[Mois lib (calc)],"&lt;="&amp;$E451)))))</f>
        <v/>
      </c>
      <c r="Y451" s="19" t="str">
        <f>IF($D451&lt;&gt;1,"",IF($G451="ROKS",$S451,IF($AI451=1,0,MAX($O451,$M451-SUMIFS(TblApplications[RAM IKS libérable (Go)],TblApplications[Cluster IKS source],$F451,TblApplications[Action],"À migrer",TblApplications[Mois prov (calc)],"&lt;="&amp;$E451)-SUMIFS(TblApplications[RAM IKS libérable (Go)],TblApplications[Cluster IKS source],$F451,TblApplications[Action],"À décommissionner",TblApplications[Mois lib (calc)],"&lt;="&amp;$E451)))))</f>
        <v/>
      </c>
      <c r="Z451" s="19" t="str">
        <f t="shared" si="111"/>
        <v/>
      </c>
      <c r="AA451" s="73" t="str">
        <f t="shared" si="112"/>
        <v/>
      </c>
      <c r="AB451" s="19" t="str">
        <f t="shared" si="113"/>
        <v/>
      </c>
      <c r="AC451" s="73" t="str">
        <f t="shared" si="114"/>
        <v/>
      </c>
      <c r="AD451" s="19" t="str">
        <f t="shared" si="115"/>
        <v/>
      </c>
      <c r="AE451" s="19" t="str">
        <f t="shared" si="116"/>
        <v/>
      </c>
      <c r="AF451" s="19" t="str">
        <f>IF($D451&lt;&gt;1,"",IF(INDEX(TblClusters[Environnement],$B451)="","(vide)",INDEX(TblClusters[Environnement],$B451)))</f>
        <v/>
      </c>
      <c r="AG451" s="19" t="str">
        <f t="shared" si="117"/>
        <v/>
      </c>
      <c r="AH451" s="19" t="str">
        <f t="shared" si="118"/>
        <v/>
      </c>
      <c r="AI451" s="19" t="str">
        <f>IF($D451&lt;&gt;1,"",IF(AND($G451="IKS",ISNUMBER(INDEX(TblClusters[Fermeture retenue],$B451))),IF($E451&gt;=INDEX(TblClusters[Fermeture retenue],$B451),1,0),0))</f>
        <v/>
      </c>
    </row>
    <row r="452" spans="1:35" x14ac:dyDescent="0.2">
      <c r="A452" s="19">
        <v>447</v>
      </c>
      <c r="B452" s="19">
        <f t="shared" si="102"/>
        <v>13</v>
      </c>
      <c r="C452" s="19">
        <f t="shared" si="103"/>
        <v>15</v>
      </c>
      <c r="D452" s="19">
        <f>IF($C452&gt;p_horizon,0,IFERROR(IF(AND(INDEX(TblClusters[Cluster],$B452)&lt;&gt;"",ISNUMBER(INDEX(TblClusters[CPU initial (vCPU)],$B452)),ISNUMBER(INDEX(TblClusters[CPU min (vCPU)],$B452)),OR(INDEX(TblClusters[Plateforme],$B452)="IKS",INDEX(TblClusters[Plateforme],$B452)="ROKS")),1,0),0))</f>
        <v>0</v>
      </c>
      <c r="E452" s="72" t="str">
        <f t="shared" si="104"/>
        <v/>
      </c>
      <c r="F452" s="19" t="str">
        <f>IF($D452=1,INDEX(TblClusters[Cluster],$B452),"")</f>
        <v/>
      </c>
      <c r="G452" s="19" t="str">
        <f>IF($D452=1,INDEX(TblClusters[Plateforme],$B452),"")</f>
        <v/>
      </c>
      <c r="H452" s="19" t="str">
        <f>IF($D452=1,INDEX(TblClusters[vCPU par nœud],$B452),"")</f>
        <v/>
      </c>
      <c r="I452" s="19" t="str">
        <f>IF($D452=1,INDEX(TblClusters[RAM par nœud (Go)],$B452),"")</f>
        <v/>
      </c>
      <c r="J452" s="19" t="str">
        <f>IF($D452=1,INDEX(TblClusters[Workers min],$B452),"")</f>
        <v/>
      </c>
      <c r="K452" s="73" t="str">
        <f>IF($D452=1,INDEX(TblClusters[Tarif par nœud],$B452),"")</f>
        <v/>
      </c>
      <c r="L452" s="19" t="str">
        <f>IF($D452=1,INDEX(TblClusters[CPU initial (vCPU)],$B452),"")</f>
        <v/>
      </c>
      <c r="M452" s="19" t="str">
        <f>IF($D452=1,INDEX(TblClusters[RAM initiale (Go)],$B452),"")</f>
        <v/>
      </c>
      <c r="N452" s="19" t="str">
        <f>IF($D452=1,INDEX(TblClusters[CPU min (vCPU)],$B452),"")</f>
        <v/>
      </c>
      <c r="O452" s="19" t="str">
        <f>IF($D452=1,INDEX(TblClusters[RAM min (Go)],$B452),"")</f>
        <v/>
      </c>
      <c r="P452" s="19" t="str">
        <f>IF($D452&lt;&gt;1,"",IF($G452="ROKS",SUMIFS(TblApplications[Besoin ROKS CPU (vCPU)],TblApplications[Cluster ROKS cible],$F452,TblApplications[Action],"À migrer",TblApplications[Déjà incluse ROKS],"Non",TblApplications[Mois prov (calc)],"&lt;="&amp;$E452),SUMIFS(TblApplications[CPU IKS libérable (vCPU)],TblApplications[Cluster IKS source],$F452,TblApplications[Mois lib (calc)],"&lt;="&amp;$E452)))</f>
        <v/>
      </c>
      <c r="Q452" s="19" t="str">
        <f>IF($D452&lt;&gt;1,"",IF($G452="ROKS",SUMIFS(TblApplications[Besoin ROKS RAM (Go)],TblApplications[Cluster ROKS cible],$F452,TblApplications[Action],"À migrer",TblApplications[Déjà incluse ROKS],"Non",TblApplications[Mois prov (calc)],"&lt;="&amp;$E452),SUMIFS(TblApplications[RAM IKS libérable (Go)],TblApplications[Cluster IKS source],$F452,TblApplications[Mois lib (calc)],"&lt;="&amp;$E452)))</f>
        <v/>
      </c>
      <c r="R452" s="19" t="str">
        <f t="shared" si="105"/>
        <v/>
      </c>
      <c r="S452" s="19" t="str">
        <f t="shared" si="106"/>
        <v/>
      </c>
      <c r="T452" s="19" t="str">
        <f t="shared" si="107"/>
        <v/>
      </c>
      <c r="U452" s="19" t="str">
        <f t="shared" si="108"/>
        <v/>
      </c>
      <c r="V452" s="19" t="str">
        <f t="shared" si="109"/>
        <v/>
      </c>
      <c r="W452" s="73" t="str">
        <f t="shared" si="110"/>
        <v/>
      </c>
      <c r="X452" s="19" t="str">
        <f>IF($D452&lt;&gt;1,"",IF($G452="ROKS",$R452,IF($AI452=1,0,MAX($N452,$L452-SUMIFS(TblApplications[CPU IKS libérable (vCPU)],TblApplications[Cluster IKS source],$F452,TblApplications[Action],"À migrer",TblApplications[Mois prov (calc)],"&lt;="&amp;$E452)-SUMIFS(TblApplications[CPU IKS libérable (vCPU)],TblApplications[Cluster IKS source],$F452,TblApplications[Action],"À décommissionner",TblApplications[Mois lib (calc)],"&lt;="&amp;$E452)))))</f>
        <v/>
      </c>
      <c r="Y452" s="19" t="str">
        <f>IF($D452&lt;&gt;1,"",IF($G452="ROKS",$S452,IF($AI452=1,0,MAX($O452,$M452-SUMIFS(TblApplications[RAM IKS libérable (Go)],TblApplications[Cluster IKS source],$F452,TblApplications[Action],"À migrer",TblApplications[Mois prov (calc)],"&lt;="&amp;$E452)-SUMIFS(TblApplications[RAM IKS libérable (Go)],TblApplications[Cluster IKS source],$F452,TblApplications[Action],"À décommissionner",TblApplications[Mois lib (calc)],"&lt;="&amp;$E452)))))</f>
        <v/>
      </c>
      <c r="Z452" s="19" t="str">
        <f t="shared" si="111"/>
        <v/>
      </c>
      <c r="AA452" s="73" t="str">
        <f t="shared" si="112"/>
        <v/>
      </c>
      <c r="AB452" s="19" t="str">
        <f t="shared" si="113"/>
        <v/>
      </c>
      <c r="AC452" s="73" t="str">
        <f t="shared" si="114"/>
        <v/>
      </c>
      <c r="AD452" s="19" t="str">
        <f t="shared" si="115"/>
        <v/>
      </c>
      <c r="AE452" s="19" t="str">
        <f t="shared" si="116"/>
        <v/>
      </c>
      <c r="AF452" s="19" t="str">
        <f>IF($D452&lt;&gt;1,"",IF(INDEX(TblClusters[Environnement],$B452)="","(vide)",INDEX(TblClusters[Environnement],$B452)))</f>
        <v/>
      </c>
      <c r="AG452" s="19" t="str">
        <f t="shared" si="117"/>
        <v/>
      </c>
      <c r="AH452" s="19" t="str">
        <f t="shared" si="118"/>
        <v/>
      </c>
      <c r="AI452" s="19" t="str">
        <f>IF($D452&lt;&gt;1,"",IF(AND($G452="IKS",ISNUMBER(INDEX(TblClusters[Fermeture retenue],$B452))),IF($E452&gt;=INDEX(TblClusters[Fermeture retenue],$B452),1,0),0))</f>
        <v/>
      </c>
    </row>
    <row r="453" spans="1:35" x14ac:dyDescent="0.2">
      <c r="A453" s="19">
        <v>448</v>
      </c>
      <c r="B453" s="19">
        <f t="shared" si="102"/>
        <v>13</v>
      </c>
      <c r="C453" s="19">
        <f t="shared" si="103"/>
        <v>16</v>
      </c>
      <c r="D453" s="19">
        <f>IF($C453&gt;p_horizon,0,IFERROR(IF(AND(INDEX(TblClusters[Cluster],$B453)&lt;&gt;"",ISNUMBER(INDEX(TblClusters[CPU initial (vCPU)],$B453)),ISNUMBER(INDEX(TblClusters[CPU min (vCPU)],$B453)),OR(INDEX(TblClusters[Plateforme],$B453)="IKS",INDEX(TblClusters[Plateforme],$B453)="ROKS")),1,0),0))</f>
        <v>0</v>
      </c>
      <c r="E453" s="72" t="str">
        <f t="shared" si="104"/>
        <v/>
      </c>
      <c r="F453" s="19" t="str">
        <f>IF($D453=1,INDEX(TblClusters[Cluster],$B453),"")</f>
        <v/>
      </c>
      <c r="G453" s="19" t="str">
        <f>IF($D453=1,INDEX(TblClusters[Plateforme],$B453),"")</f>
        <v/>
      </c>
      <c r="H453" s="19" t="str">
        <f>IF($D453=1,INDEX(TblClusters[vCPU par nœud],$B453),"")</f>
        <v/>
      </c>
      <c r="I453" s="19" t="str">
        <f>IF($D453=1,INDEX(TblClusters[RAM par nœud (Go)],$B453),"")</f>
        <v/>
      </c>
      <c r="J453" s="19" t="str">
        <f>IF($D453=1,INDEX(TblClusters[Workers min],$B453),"")</f>
        <v/>
      </c>
      <c r="K453" s="73" t="str">
        <f>IF($D453=1,INDEX(TblClusters[Tarif par nœud],$B453),"")</f>
        <v/>
      </c>
      <c r="L453" s="19" t="str">
        <f>IF($D453=1,INDEX(TblClusters[CPU initial (vCPU)],$B453),"")</f>
        <v/>
      </c>
      <c r="M453" s="19" t="str">
        <f>IF($D453=1,INDEX(TblClusters[RAM initiale (Go)],$B453),"")</f>
        <v/>
      </c>
      <c r="N453" s="19" t="str">
        <f>IF($D453=1,INDEX(TblClusters[CPU min (vCPU)],$B453),"")</f>
        <v/>
      </c>
      <c r="O453" s="19" t="str">
        <f>IF($D453=1,INDEX(TblClusters[RAM min (Go)],$B453),"")</f>
        <v/>
      </c>
      <c r="P453" s="19" t="str">
        <f>IF($D453&lt;&gt;1,"",IF($G453="ROKS",SUMIFS(TblApplications[Besoin ROKS CPU (vCPU)],TblApplications[Cluster ROKS cible],$F453,TblApplications[Action],"À migrer",TblApplications[Déjà incluse ROKS],"Non",TblApplications[Mois prov (calc)],"&lt;="&amp;$E453),SUMIFS(TblApplications[CPU IKS libérable (vCPU)],TblApplications[Cluster IKS source],$F453,TblApplications[Mois lib (calc)],"&lt;="&amp;$E453)))</f>
        <v/>
      </c>
      <c r="Q453" s="19" t="str">
        <f>IF($D453&lt;&gt;1,"",IF($G453="ROKS",SUMIFS(TblApplications[Besoin ROKS RAM (Go)],TblApplications[Cluster ROKS cible],$F453,TblApplications[Action],"À migrer",TblApplications[Déjà incluse ROKS],"Non",TblApplications[Mois prov (calc)],"&lt;="&amp;$E453),SUMIFS(TblApplications[RAM IKS libérable (Go)],TblApplications[Cluster IKS source],$F453,TblApplications[Mois lib (calc)],"&lt;="&amp;$E453)))</f>
        <v/>
      </c>
      <c r="R453" s="19" t="str">
        <f t="shared" si="105"/>
        <v/>
      </c>
      <c r="S453" s="19" t="str">
        <f t="shared" si="106"/>
        <v/>
      </c>
      <c r="T453" s="19" t="str">
        <f t="shared" si="107"/>
        <v/>
      </c>
      <c r="U453" s="19" t="str">
        <f t="shared" si="108"/>
        <v/>
      </c>
      <c r="V453" s="19" t="str">
        <f t="shared" si="109"/>
        <v/>
      </c>
      <c r="W453" s="73" t="str">
        <f t="shared" si="110"/>
        <v/>
      </c>
      <c r="X453" s="19" t="str">
        <f>IF($D453&lt;&gt;1,"",IF($G453="ROKS",$R453,IF($AI453=1,0,MAX($N453,$L453-SUMIFS(TblApplications[CPU IKS libérable (vCPU)],TblApplications[Cluster IKS source],$F453,TblApplications[Action],"À migrer",TblApplications[Mois prov (calc)],"&lt;="&amp;$E453)-SUMIFS(TblApplications[CPU IKS libérable (vCPU)],TblApplications[Cluster IKS source],$F453,TblApplications[Action],"À décommissionner",TblApplications[Mois lib (calc)],"&lt;="&amp;$E453)))))</f>
        <v/>
      </c>
      <c r="Y453" s="19" t="str">
        <f>IF($D453&lt;&gt;1,"",IF($G453="ROKS",$S453,IF($AI453=1,0,MAX($O453,$M453-SUMIFS(TblApplications[RAM IKS libérable (Go)],TblApplications[Cluster IKS source],$F453,TblApplications[Action],"À migrer",TblApplications[Mois prov (calc)],"&lt;="&amp;$E453)-SUMIFS(TblApplications[RAM IKS libérable (Go)],TblApplications[Cluster IKS source],$F453,TblApplications[Action],"À décommissionner",TblApplications[Mois lib (calc)],"&lt;="&amp;$E453)))))</f>
        <v/>
      </c>
      <c r="Z453" s="19" t="str">
        <f t="shared" si="111"/>
        <v/>
      </c>
      <c r="AA453" s="73" t="str">
        <f t="shared" si="112"/>
        <v/>
      </c>
      <c r="AB453" s="19" t="str">
        <f t="shared" si="113"/>
        <v/>
      </c>
      <c r="AC453" s="73" t="str">
        <f t="shared" si="114"/>
        <v/>
      </c>
      <c r="AD453" s="19" t="str">
        <f t="shared" si="115"/>
        <v/>
      </c>
      <c r="AE453" s="19" t="str">
        <f t="shared" si="116"/>
        <v/>
      </c>
      <c r="AF453" s="19" t="str">
        <f>IF($D453&lt;&gt;1,"",IF(INDEX(TblClusters[Environnement],$B453)="","(vide)",INDEX(TblClusters[Environnement],$B453)))</f>
        <v/>
      </c>
      <c r="AG453" s="19" t="str">
        <f t="shared" si="117"/>
        <v/>
      </c>
      <c r="AH453" s="19" t="str">
        <f t="shared" si="118"/>
        <v/>
      </c>
      <c r="AI453" s="19" t="str">
        <f>IF($D453&lt;&gt;1,"",IF(AND($G453="IKS",ISNUMBER(INDEX(TblClusters[Fermeture retenue],$B453))),IF($E453&gt;=INDEX(TblClusters[Fermeture retenue],$B453),1,0),0))</f>
        <v/>
      </c>
    </row>
    <row r="454" spans="1:35" x14ac:dyDescent="0.2">
      <c r="A454" s="19">
        <v>449</v>
      </c>
      <c r="B454" s="19">
        <f t="shared" ref="B454:B517" si="119">INT(($A454-1)/36)+1</f>
        <v>13</v>
      </c>
      <c r="C454" s="19">
        <f t="shared" ref="C454:C517" si="120">MOD($A454-1,36)+1</f>
        <v>17</v>
      </c>
      <c r="D454" s="19">
        <f>IF($C454&gt;p_horizon,0,IFERROR(IF(AND(INDEX(TblClusters[Cluster],$B454)&lt;&gt;"",ISNUMBER(INDEX(TblClusters[CPU initial (vCPU)],$B454)),ISNUMBER(INDEX(TblClusters[CPU min (vCPU)],$B454)),OR(INDEX(TblClusters[Plateforme],$B454)="IKS",INDEX(TblClusters[Plateforme],$B454)="ROKS")),1,0),0))</f>
        <v>0</v>
      </c>
      <c r="E454" s="72" t="str">
        <f t="shared" ref="E454:E517" si="121">IF($D454=1,EDATE(p_debut,$C454-1),"")</f>
        <v/>
      </c>
      <c r="F454" s="19" t="str">
        <f>IF($D454=1,INDEX(TblClusters[Cluster],$B454),"")</f>
        <v/>
      </c>
      <c r="G454" s="19" t="str">
        <f>IF($D454=1,INDEX(TblClusters[Plateforme],$B454),"")</f>
        <v/>
      </c>
      <c r="H454" s="19" t="str">
        <f>IF($D454=1,INDEX(TblClusters[vCPU par nœud],$B454),"")</f>
        <v/>
      </c>
      <c r="I454" s="19" t="str">
        <f>IF($D454=1,INDEX(TblClusters[RAM par nœud (Go)],$B454),"")</f>
        <v/>
      </c>
      <c r="J454" s="19" t="str">
        <f>IF($D454=1,INDEX(TblClusters[Workers min],$B454),"")</f>
        <v/>
      </c>
      <c r="K454" s="73" t="str">
        <f>IF($D454=1,INDEX(TblClusters[Tarif par nœud],$B454),"")</f>
        <v/>
      </c>
      <c r="L454" s="19" t="str">
        <f>IF($D454=1,INDEX(TblClusters[CPU initial (vCPU)],$B454),"")</f>
        <v/>
      </c>
      <c r="M454" s="19" t="str">
        <f>IF($D454=1,INDEX(TblClusters[RAM initiale (Go)],$B454),"")</f>
        <v/>
      </c>
      <c r="N454" s="19" t="str">
        <f>IF($D454=1,INDEX(TblClusters[CPU min (vCPU)],$B454),"")</f>
        <v/>
      </c>
      <c r="O454" s="19" t="str">
        <f>IF($D454=1,INDEX(TblClusters[RAM min (Go)],$B454),"")</f>
        <v/>
      </c>
      <c r="P454" s="19" t="str">
        <f>IF($D454&lt;&gt;1,"",IF($G454="ROKS",SUMIFS(TblApplications[Besoin ROKS CPU (vCPU)],TblApplications[Cluster ROKS cible],$F454,TblApplications[Action],"À migrer",TblApplications[Déjà incluse ROKS],"Non",TblApplications[Mois prov (calc)],"&lt;="&amp;$E454),SUMIFS(TblApplications[CPU IKS libérable (vCPU)],TblApplications[Cluster IKS source],$F454,TblApplications[Mois lib (calc)],"&lt;="&amp;$E454)))</f>
        <v/>
      </c>
      <c r="Q454" s="19" t="str">
        <f>IF($D454&lt;&gt;1,"",IF($G454="ROKS",SUMIFS(TblApplications[Besoin ROKS RAM (Go)],TblApplications[Cluster ROKS cible],$F454,TblApplications[Action],"À migrer",TblApplications[Déjà incluse ROKS],"Non",TblApplications[Mois prov (calc)],"&lt;="&amp;$E454),SUMIFS(TblApplications[RAM IKS libérable (Go)],TblApplications[Cluster IKS source],$F454,TblApplications[Mois lib (calc)],"&lt;="&amp;$E454)))</f>
        <v/>
      </c>
      <c r="R454" s="19" t="str">
        <f t="shared" ref="R454:R517" si="122">IF($D454&lt;&gt;1,"",IF($G454="ROKS",$L454+$P454,IF($AI454=1,0,MAX($N454,$L454-$P454))))</f>
        <v/>
      </c>
      <c r="S454" s="19" t="str">
        <f t="shared" ref="S454:S517" si="123">IF($D454&lt;&gt;1,"",IF($G454="ROKS",$M454+$Q454,IF($AI454=1,0,MAX($O454,$M454-$Q454))))</f>
        <v/>
      </c>
      <c r="T454" s="19" t="str">
        <f t="shared" ref="T454:T517" si="124">IF($D454&lt;&gt;1,"",IF($AI454=1,0,MAX($J454,ROUNDUP(MAX($R454/$H454,$S454/$I454),0))))</f>
        <v/>
      </c>
      <c r="U454" s="19" t="str">
        <f t="shared" ref="U454:U517" si="125">IF($D454&lt;&gt;1,"",IF(p_mode="Nœud",$T454*$H454,$R454))</f>
        <v/>
      </c>
      <c r="V454" s="19" t="str">
        <f t="shared" ref="V454:V517" si="126">IF($D454&lt;&gt;1,"",IF(p_mode="Nœud",$T454*$I454,$S454))</f>
        <v/>
      </c>
      <c r="W454" s="73" t="str">
        <f t="shared" ref="W454:W517" si="127">IF($D454&lt;&gt;1,"",IF(p_mode="Nœud",$T454*$K454,$R454*IF($G454="IKS",p_iks_cpu,p_roks_cpu)+$S454*IF($G454="IKS",p_iks_ram,p_roks_ram))*p_facteur)</f>
        <v/>
      </c>
      <c r="X454" s="19" t="str">
        <f>IF($D454&lt;&gt;1,"",IF($G454="ROKS",$R454,IF($AI454=1,0,MAX($N454,$L454-SUMIFS(TblApplications[CPU IKS libérable (vCPU)],TblApplications[Cluster IKS source],$F454,TblApplications[Action],"À migrer",TblApplications[Mois prov (calc)],"&lt;="&amp;$E454)-SUMIFS(TblApplications[CPU IKS libérable (vCPU)],TblApplications[Cluster IKS source],$F454,TblApplications[Action],"À décommissionner",TblApplications[Mois lib (calc)],"&lt;="&amp;$E454)))))</f>
        <v/>
      </c>
      <c r="Y454" s="19" t="str">
        <f>IF($D454&lt;&gt;1,"",IF($G454="ROKS",$S454,IF($AI454=1,0,MAX($O454,$M454-SUMIFS(TblApplications[RAM IKS libérable (Go)],TblApplications[Cluster IKS source],$F454,TblApplications[Action],"À migrer",TblApplications[Mois prov (calc)],"&lt;="&amp;$E454)-SUMIFS(TblApplications[RAM IKS libérable (Go)],TblApplications[Cluster IKS source],$F454,TblApplications[Action],"À décommissionner",TblApplications[Mois lib (calc)],"&lt;="&amp;$E454)))))</f>
        <v/>
      </c>
      <c r="Z454" s="19" t="str">
        <f t="shared" ref="Z454:Z517" si="128">IF($D454&lt;&gt;1,"",IF($AI454=1,0,MAX($J454,ROUNDUP(MAX($X454/$H454,$Y454/$I454),0))))</f>
        <v/>
      </c>
      <c r="AA454" s="73" t="str">
        <f t="shared" ref="AA454:AA517" si="129">IF($D454&lt;&gt;1,"",IF(p_mode="Nœud",$Z454*$K454,$X454*IF($G454="IKS",p_iks_cpu,p_roks_cpu)+$Y454*IF($G454="IKS",p_iks_ram,p_roks_ram))*p_facteur)</f>
        <v/>
      </c>
      <c r="AB454" s="19" t="str">
        <f t="shared" ref="AB454:AB517" si="130">IF($D454&lt;&gt;1,"",MAX($J454,ROUNDUP(MAX($L454/$H454,$M454/$I454),0)))</f>
        <v/>
      </c>
      <c r="AC454" s="73" t="str">
        <f t="shared" ref="AC454:AC517" si="131">IF($D454&lt;&gt;1,"",IF(p_mode="Nœud",$AB454*$K454,$L454*IF($G454="IKS",p_iks_cpu,p_roks_cpu)+$M454*IF($G454="IKS",p_iks_ram,p_roks_ram))*p_facteur)</f>
        <v/>
      </c>
      <c r="AD454" s="19" t="str">
        <f t="shared" ref="AD454:AD517" si="132">IF($D454&lt;&gt;1,"",IF(AND($G454="IKS",$AI454&lt;&gt;1,OR($L454-$P454&lt;$N454,$M454-$Q454&lt;$O454)),1,0))</f>
        <v/>
      </c>
      <c r="AE454" s="19" t="str">
        <f t="shared" ref="AE454:AE517" si="133">IF($D454&lt;&gt;1,"",IF(AND($G454="ROKS",$T454&gt;p_maxworkers),1,0))</f>
        <v/>
      </c>
      <c r="AF454" s="19" t="str">
        <f>IF($D454&lt;&gt;1,"",IF(INDEX(TblClusters[Environnement],$B454)="","(vide)",INDEX(TblClusters[Environnement],$B454)))</f>
        <v/>
      </c>
      <c r="AG454" s="19" t="str">
        <f t="shared" ref="AG454:AG517" si="134">IF($D454&lt;&gt;1,"",$R454+p_poidsram*$S454)</f>
        <v/>
      </c>
      <c r="AH454" s="19" t="str">
        <f t="shared" ref="AH454:AH517" si="135">IF($D454&lt;&gt;1,"",IFERROR($W454/$AG454,0))</f>
        <v/>
      </c>
      <c r="AI454" s="19" t="str">
        <f>IF($D454&lt;&gt;1,"",IF(AND($G454="IKS",ISNUMBER(INDEX(TblClusters[Fermeture retenue],$B454))),IF($E454&gt;=INDEX(TblClusters[Fermeture retenue],$B454),1,0),0))</f>
        <v/>
      </c>
    </row>
    <row r="455" spans="1:35" x14ac:dyDescent="0.2">
      <c r="A455" s="19">
        <v>450</v>
      </c>
      <c r="B455" s="19">
        <f t="shared" si="119"/>
        <v>13</v>
      </c>
      <c r="C455" s="19">
        <f t="shared" si="120"/>
        <v>18</v>
      </c>
      <c r="D455" s="19">
        <f>IF($C455&gt;p_horizon,0,IFERROR(IF(AND(INDEX(TblClusters[Cluster],$B455)&lt;&gt;"",ISNUMBER(INDEX(TblClusters[CPU initial (vCPU)],$B455)),ISNUMBER(INDEX(TblClusters[CPU min (vCPU)],$B455)),OR(INDEX(TblClusters[Plateforme],$B455)="IKS",INDEX(TblClusters[Plateforme],$B455)="ROKS")),1,0),0))</f>
        <v>0</v>
      </c>
      <c r="E455" s="72" t="str">
        <f t="shared" si="121"/>
        <v/>
      </c>
      <c r="F455" s="19" t="str">
        <f>IF($D455=1,INDEX(TblClusters[Cluster],$B455),"")</f>
        <v/>
      </c>
      <c r="G455" s="19" t="str">
        <f>IF($D455=1,INDEX(TblClusters[Plateforme],$B455),"")</f>
        <v/>
      </c>
      <c r="H455" s="19" t="str">
        <f>IF($D455=1,INDEX(TblClusters[vCPU par nœud],$B455),"")</f>
        <v/>
      </c>
      <c r="I455" s="19" t="str">
        <f>IF($D455=1,INDEX(TblClusters[RAM par nœud (Go)],$B455),"")</f>
        <v/>
      </c>
      <c r="J455" s="19" t="str">
        <f>IF($D455=1,INDEX(TblClusters[Workers min],$B455),"")</f>
        <v/>
      </c>
      <c r="K455" s="73" t="str">
        <f>IF($D455=1,INDEX(TblClusters[Tarif par nœud],$B455),"")</f>
        <v/>
      </c>
      <c r="L455" s="19" t="str">
        <f>IF($D455=1,INDEX(TblClusters[CPU initial (vCPU)],$B455),"")</f>
        <v/>
      </c>
      <c r="M455" s="19" t="str">
        <f>IF($D455=1,INDEX(TblClusters[RAM initiale (Go)],$B455),"")</f>
        <v/>
      </c>
      <c r="N455" s="19" t="str">
        <f>IF($D455=1,INDEX(TblClusters[CPU min (vCPU)],$B455),"")</f>
        <v/>
      </c>
      <c r="O455" s="19" t="str">
        <f>IF($D455=1,INDEX(TblClusters[RAM min (Go)],$B455),"")</f>
        <v/>
      </c>
      <c r="P455" s="19" t="str">
        <f>IF($D455&lt;&gt;1,"",IF($G455="ROKS",SUMIFS(TblApplications[Besoin ROKS CPU (vCPU)],TblApplications[Cluster ROKS cible],$F455,TblApplications[Action],"À migrer",TblApplications[Déjà incluse ROKS],"Non",TblApplications[Mois prov (calc)],"&lt;="&amp;$E455),SUMIFS(TblApplications[CPU IKS libérable (vCPU)],TblApplications[Cluster IKS source],$F455,TblApplications[Mois lib (calc)],"&lt;="&amp;$E455)))</f>
        <v/>
      </c>
      <c r="Q455" s="19" t="str">
        <f>IF($D455&lt;&gt;1,"",IF($G455="ROKS",SUMIFS(TblApplications[Besoin ROKS RAM (Go)],TblApplications[Cluster ROKS cible],$F455,TblApplications[Action],"À migrer",TblApplications[Déjà incluse ROKS],"Non",TblApplications[Mois prov (calc)],"&lt;="&amp;$E455),SUMIFS(TblApplications[RAM IKS libérable (Go)],TblApplications[Cluster IKS source],$F455,TblApplications[Mois lib (calc)],"&lt;="&amp;$E455)))</f>
        <v/>
      </c>
      <c r="R455" s="19" t="str">
        <f t="shared" si="122"/>
        <v/>
      </c>
      <c r="S455" s="19" t="str">
        <f t="shared" si="123"/>
        <v/>
      </c>
      <c r="T455" s="19" t="str">
        <f t="shared" si="124"/>
        <v/>
      </c>
      <c r="U455" s="19" t="str">
        <f t="shared" si="125"/>
        <v/>
      </c>
      <c r="V455" s="19" t="str">
        <f t="shared" si="126"/>
        <v/>
      </c>
      <c r="W455" s="73" t="str">
        <f t="shared" si="127"/>
        <v/>
      </c>
      <c r="X455" s="19" t="str">
        <f>IF($D455&lt;&gt;1,"",IF($G455="ROKS",$R455,IF($AI455=1,0,MAX($N455,$L455-SUMIFS(TblApplications[CPU IKS libérable (vCPU)],TblApplications[Cluster IKS source],$F455,TblApplications[Action],"À migrer",TblApplications[Mois prov (calc)],"&lt;="&amp;$E455)-SUMIFS(TblApplications[CPU IKS libérable (vCPU)],TblApplications[Cluster IKS source],$F455,TblApplications[Action],"À décommissionner",TblApplications[Mois lib (calc)],"&lt;="&amp;$E455)))))</f>
        <v/>
      </c>
      <c r="Y455" s="19" t="str">
        <f>IF($D455&lt;&gt;1,"",IF($G455="ROKS",$S455,IF($AI455=1,0,MAX($O455,$M455-SUMIFS(TblApplications[RAM IKS libérable (Go)],TblApplications[Cluster IKS source],$F455,TblApplications[Action],"À migrer",TblApplications[Mois prov (calc)],"&lt;="&amp;$E455)-SUMIFS(TblApplications[RAM IKS libérable (Go)],TblApplications[Cluster IKS source],$F455,TblApplications[Action],"À décommissionner",TblApplications[Mois lib (calc)],"&lt;="&amp;$E455)))))</f>
        <v/>
      </c>
      <c r="Z455" s="19" t="str">
        <f t="shared" si="128"/>
        <v/>
      </c>
      <c r="AA455" s="73" t="str">
        <f t="shared" si="129"/>
        <v/>
      </c>
      <c r="AB455" s="19" t="str">
        <f t="shared" si="130"/>
        <v/>
      </c>
      <c r="AC455" s="73" t="str">
        <f t="shared" si="131"/>
        <v/>
      </c>
      <c r="AD455" s="19" t="str">
        <f t="shared" si="132"/>
        <v/>
      </c>
      <c r="AE455" s="19" t="str">
        <f t="shared" si="133"/>
        <v/>
      </c>
      <c r="AF455" s="19" t="str">
        <f>IF($D455&lt;&gt;1,"",IF(INDEX(TblClusters[Environnement],$B455)="","(vide)",INDEX(TblClusters[Environnement],$B455)))</f>
        <v/>
      </c>
      <c r="AG455" s="19" t="str">
        <f t="shared" si="134"/>
        <v/>
      </c>
      <c r="AH455" s="19" t="str">
        <f t="shared" si="135"/>
        <v/>
      </c>
      <c r="AI455" s="19" t="str">
        <f>IF($D455&lt;&gt;1,"",IF(AND($G455="IKS",ISNUMBER(INDEX(TblClusters[Fermeture retenue],$B455))),IF($E455&gt;=INDEX(TblClusters[Fermeture retenue],$B455),1,0),0))</f>
        <v/>
      </c>
    </row>
    <row r="456" spans="1:35" x14ac:dyDescent="0.2">
      <c r="A456" s="19">
        <v>451</v>
      </c>
      <c r="B456" s="19">
        <f t="shared" si="119"/>
        <v>13</v>
      </c>
      <c r="C456" s="19">
        <f t="shared" si="120"/>
        <v>19</v>
      </c>
      <c r="D456" s="19">
        <f>IF($C456&gt;p_horizon,0,IFERROR(IF(AND(INDEX(TblClusters[Cluster],$B456)&lt;&gt;"",ISNUMBER(INDEX(TblClusters[CPU initial (vCPU)],$B456)),ISNUMBER(INDEX(TblClusters[CPU min (vCPU)],$B456)),OR(INDEX(TblClusters[Plateforme],$B456)="IKS",INDEX(TblClusters[Plateforme],$B456)="ROKS")),1,0),0))</f>
        <v>0</v>
      </c>
      <c r="E456" s="72" t="str">
        <f t="shared" si="121"/>
        <v/>
      </c>
      <c r="F456" s="19" t="str">
        <f>IF($D456=1,INDEX(TblClusters[Cluster],$B456),"")</f>
        <v/>
      </c>
      <c r="G456" s="19" t="str">
        <f>IF($D456=1,INDEX(TblClusters[Plateforme],$B456),"")</f>
        <v/>
      </c>
      <c r="H456" s="19" t="str">
        <f>IF($D456=1,INDEX(TblClusters[vCPU par nœud],$B456),"")</f>
        <v/>
      </c>
      <c r="I456" s="19" t="str">
        <f>IF($D456=1,INDEX(TblClusters[RAM par nœud (Go)],$B456),"")</f>
        <v/>
      </c>
      <c r="J456" s="19" t="str">
        <f>IF($D456=1,INDEX(TblClusters[Workers min],$B456),"")</f>
        <v/>
      </c>
      <c r="K456" s="73" t="str">
        <f>IF($D456=1,INDEX(TblClusters[Tarif par nœud],$B456),"")</f>
        <v/>
      </c>
      <c r="L456" s="19" t="str">
        <f>IF($D456=1,INDEX(TblClusters[CPU initial (vCPU)],$B456),"")</f>
        <v/>
      </c>
      <c r="M456" s="19" t="str">
        <f>IF($D456=1,INDEX(TblClusters[RAM initiale (Go)],$B456),"")</f>
        <v/>
      </c>
      <c r="N456" s="19" t="str">
        <f>IF($D456=1,INDEX(TblClusters[CPU min (vCPU)],$B456),"")</f>
        <v/>
      </c>
      <c r="O456" s="19" t="str">
        <f>IF($D456=1,INDEX(TblClusters[RAM min (Go)],$B456),"")</f>
        <v/>
      </c>
      <c r="P456" s="19" t="str">
        <f>IF($D456&lt;&gt;1,"",IF($G456="ROKS",SUMIFS(TblApplications[Besoin ROKS CPU (vCPU)],TblApplications[Cluster ROKS cible],$F456,TblApplications[Action],"À migrer",TblApplications[Déjà incluse ROKS],"Non",TblApplications[Mois prov (calc)],"&lt;="&amp;$E456),SUMIFS(TblApplications[CPU IKS libérable (vCPU)],TblApplications[Cluster IKS source],$F456,TblApplications[Mois lib (calc)],"&lt;="&amp;$E456)))</f>
        <v/>
      </c>
      <c r="Q456" s="19" t="str">
        <f>IF($D456&lt;&gt;1,"",IF($G456="ROKS",SUMIFS(TblApplications[Besoin ROKS RAM (Go)],TblApplications[Cluster ROKS cible],$F456,TblApplications[Action],"À migrer",TblApplications[Déjà incluse ROKS],"Non",TblApplications[Mois prov (calc)],"&lt;="&amp;$E456),SUMIFS(TblApplications[RAM IKS libérable (Go)],TblApplications[Cluster IKS source],$F456,TblApplications[Mois lib (calc)],"&lt;="&amp;$E456)))</f>
        <v/>
      </c>
      <c r="R456" s="19" t="str">
        <f t="shared" si="122"/>
        <v/>
      </c>
      <c r="S456" s="19" t="str">
        <f t="shared" si="123"/>
        <v/>
      </c>
      <c r="T456" s="19" t="str">
        <f t="shared" si="124"/>
        <v/>
      </c>
      <c r="U456" s="19" t="str">
        <f t="shared" si="125"/>
        <v/>
      </c>
      <c r="V456" s="19" t="str">
        <f t="shared" si="126"/>
        <v/>
      </c>
      <c r="W456" s="73" t="str">
        <f t="shared" si="127"/>
        <v/>
      </c>
      <c r="X456" s="19" t="str">
        <f>IF($D456&lt;&gt;1,"",IF($G456="ROKS",$R456,IF($AI456=1,0,MAX($N456,$L456-SUMIFS(TblApplications[CPU IKS libérable (vCPU)],TblApplications[Cluster IKS source],$F456,TblApplications[Action],"À migrer",TblApplications[Mois prov (calc)],"&lt;="&amp;$E456)-SUMIFS(TblApplications[CPU IKS libérable (vCPU)],TblApplications[Cluster IKS source],$F456,TblApplications[Action],"À décommissionner",TblApplications[Mois lib (calc)],"&lt;="&amp;$E456)))))</f>
        <v/>
      </c>
      <c r="Y456" s="19" t="str">
        <f>IF($D456&lt;&gt;1,"",IF($G456="ROKS",$S456,IF($AI456=1,0,MAX($O456,$M456-SUMIFS(TblApplications[RAM IKS libérable (Go)],TblApplications[Cluster IKS source],$F456,TblApplications[Action],"À migrer",TblApplications[Mois prov (calc)],"&lt;="&amp;$E456)-SUMIFS(TblApplications[RAM IKS libérable (Go)],TblApplications[Cluster IKS source],$F456,TblApplications[Action],"À décommissionner",TblApplications[Mois lib (calc)],"&lt;="&amp;$E456)))))</f>
        <v/>
      </c>
      <c r="Z456" s="19" t="str">
        <f t="shared" si="128"/>
        <v/>
      </c>
      <c r="AA456" s="73" t="str">
        <f t="shared" si="129"/>
        <v/>
      </c>
      <c r="AB456" s="19" t="str">
        <f t="shared" si="130"/>
        <v/>
      </c>
      <c r="AC456" s="73" t="str">
        <f t="shared" si="131"/>
        <v/>
      </c>
      <c r="AD456" s="19" t="str">
        <f t="shared" si="132"/>
        <v/>
      </c>
      <c r="AE456" s="19" t="str">
        <f t="shared" si="133"/>
        <v/>
      </c>
      <c r="AF456" s="19" t="str">
        <f>IF($D456&lt;&gt;1,"",IF(INDEX(TblClusters[Environnement],$B456)="","(vide)",INDEX(TblClusters[Environnement],$B456)))</f>
        <v/>
      </c>
      <c r="AG456" s="19" t="str">
        <f t="shared" si="134"/>
        <v/>
      </c>
      <c r="AH456" s="19" t="str">
        <f t="shared" si="135"/>
        <v/>
      </c>
      <c r="AI456" s="19" t="str">
        <f>IF($D456&lt;&gt;1,"",IF(AND($G456="IKS",ISNUMBER(INDEX(TblClusters[Fermeture retenue],$B456))),IF($E456&gt;=INDEX(TblClusters[Fermeture retenue],$B456),1,0),0))</f>
        <v/>
      </c>
    </row>
    <row r="457" spans="1:35" x14ac:dyDescent="0.2">
      <c r="A457" s="19">
        <v>452</v>
      </c>
      <c r="B457" s="19">
        <f t="shared" si="119"/>
        <v>13</v>
      </c>
      <c r="C457" s="19">
        <f t="shared" si="120"/>
        <v>20</v>
      </c>
      <c r="D457" s="19">
        <f>IF($C457&gt;p_horizon,0,IFERROR(IF(AND(INDEX(TblClusters[Cluster],$B457)&lt;&gt;"",ISNUMBER(INDEX(TblClusters[CPU initial (vCPU)],$B457)),ISNUMBER(INDEX(TblClusters[CPU min (vCPU)],$B457)),OR(INDEX(TblClusters[Plateforme],$B457)="IKS",INDEX(TblClusters[Plateforme],$B457)="ROKS")),1,0),0))</f>
        <v>0</v>
      </c>
      <c r="E457" s="72" t="str">
        <f t="shared" si="121"/>
        <v/>
      </c>
      <c r="F457" s="19" t="str">
        <f>IF($D457=1,INDEX(TblClusters[Cluster],$B457),"")</f>
        <v/>
      </c>
      <c r="G457" s="19" t="str">
        <f>IF($D457=1,INDEX(TblClusters[Plateforme],$B457),"")</f>
        <v/>
      </c>
      <c r="H457" s="19" t="str">
        <f>IF($D457=1,INDEX(TblClusters[vCPU par nœud],$B457),"")</f>
        <v/>
      </c>
      <c r="I457" s="19" t="str">
        <f>IF($D457=1,INDEX(TblClusters[RAM par nœud (Go)],$B457),"")</f>
        <v/>
      </c>
      <c r="J457" s="19" t="str">
        <f>IF($D457=1,INDEX(TblClusters[Workers min],$B457),"")</f>
        <v/>
      </c>
      <c r="K457" s="73" t="str">
        <f>IF($D457=1,INDEX(TblClusters[Tarif par nœud],$B457),"")</f>
        <v/>
      </c>
      <c r="L457" s="19" t="str">
        <f>IF($D457=1,INDEX(TblClusters[CPU initial (vCPU)],$B457),"")</f>
        <v/>
      </c>
      <c r="M457" s="19" t="str">
        <f>IF($D457=1,INDEX(TblClusters[RAM initiale (Go)],$B457),"")</f>
        <v/>
      </c>
      <c r="N457" s="19" t="str">
        <f>IF($D457=1,INDEX(TblClusters[CPU min (vCPU)],$B457),"")</f>
        <v/>
      </c>
      <c r="O457" s="19" t="str">
        <f>IF($D457=1,INDEX(TblClusters[RAM min (Go)],$B457),"")</f>
        <v/>
      </c>
      <c r="P457" s="19" t="str">
        <f>IF($D457&lt;&gt;1,"",IF($G457="ROKS",SUMIFS(TblApplications[Besoin ROKS CPU (vCPU)],TblApplications[Cluster ROKS cible],$F457,TblApplications[Action],"À migrer",TblApplications[Déjà incluse ROKS],"Non",TblApplications[Mois prov (calc)],"&lt;="&amp;$E457),SUMIFS(TblApplications[CPU IKS libérable (vCPU)],TblApplications[Cluster IKS source],$F457,TblApplications[Mois lib (calc)],"&lt;="&amp;$E457)))</f>
        <v/>
      </c>
      <c r="Q457" s="19" t="str">
        <f>IF($D457&lt;&gt;1,"",IF($G457="ROKS",SUMIFS(TblApplications[Besoin ROKS RAM (Go)],TblApplications[Cluster ROKS cible],$F457,TblApplications[Action],"À migrer",TblApplications[Déjà incluse ROKS],"Non",TblApplications[Mois prov (calc)],"&lt;="&amp;$E457),SUMIFS(TblApplications[RAM IKS libérable (Go)],TblApplications[Cluster IKS source],$F457,TblApplications[Mois lib (calc)],"&lt;="&amp;$E457)))</f>
        <v/>
      </c>
      <c r="R457" s="19" t="str">
        <f t="shared" si="122"/>
        <v/>
      </c>
      <c r="S457" s="19" t="str">
        <f t="shared" si="123"/>
        <v/>
      </c>
      <c r="T457" s="19" t="str">
        <f t="shared" si="124"/>
        <v/>
      </c>
      <c r="U457" s="19" t="str">
        <f t="shared" si="125"/>
        <v/>
      </c>
      <c r="V457" s="19" t="str">
        <f t="shared" si="126"/>
        <v/>
      </c>
      <c r="W457" s="73" t="str">
        <f t="shared" si="127"/>
        <v/>
      </c>
      <c r="X457" s="19" t="str">
        <f>IF($D457&lt;&gt;1,"",IF($G457="ROKS",$R457,IF($AI457=1,0,MAX($N457,$L457-SUMIFS(TblApplications[CPU IKS libérable (vCPU)],TblApplications[Cluster IKS source],$F457,TblApplications[Action],"À migrer",TblApplications[Mois prov (calc)],"&lt;="&amp;$E457)-SUMIFS(TblApplications[CPU IKS libérable (vCPU)],TblApplications[Cluster IKS source],$F457,TblApplications[Action],"À décommissionner",TblApplications[Mois lib (calc)],"&lt;="&amp;$E457)))))</f>
        <v/>
      </c>
      <c r="Y457" s="19" t="str">
        <f>IF($D457&lt;&gt;1,"",IF($G457="ROKS",$S457,IF($AI457=1,0,MAX($O457,$M457-SUMIFS(TblApplications[RAM IKS libérable (Go)],TblApplications[Cluster IKS source],$F457,TblApplications[Action],"À migrer",TblApplications[Mois prov (calc)],"&lt;="&amp;$E457)-SUMIFS(TblApplications[RAM IKS libérable (Go)],TblApplications[Cluster IKS source],$F457,TblApplications[Action],"À décommissionner",TblApplications[Mois lib (calc)],"&lt;="&amp;$E457)))))</f>
        <v/>
      </c>
      <c r="Z457" s="19" t="str">
        <f t="shared" si="128"/>
        <v/>
      </c>
      <c r="AA457" s="73" t="str">
        <f t="shared" si="129"/>
        <v/>
      </c>
      <c r="AB457" s="19" t="str">
        <f t="shared" si="130"/>
        <v/>
      </c>
      <c r="AC457" s="73" t="str">
        <f t="shared" si="131"/>
        <v/>
      </c>
      <c r="AD457" s="19" t="str">
        <f t="shared" si="132"/>
        <v/>
      </c>
      <c r="AE457" s="19" t="str">
        <f t="shared" si="133"/>
        <v/>
      </c>
      <c r="AF457" s="19" t="str">
        <f>IF($D457&lt;&gt;1,"",IF(INDEX(TblClusters[Environnement],$B457)="","(vide)",INDEX(TblClusters[Environnement],$B457)))</f>
        <v/>
      </c>
      <c r="AG457" s="19" t="str">
        <f t="shared" si="134"/>
        <v/>
      </c>
      <c r="AH457" s="19" t="str">
        <f t="shared" si="135"/>
        <v/>
      </c>
      <c r="AI457" s="19" t="str">
        <f>IF($D457&lt;&gt;1,"",IF(AND($G457="IKS",ISNUMBER(INDEX(TblClusters[Fermeture retenue],$B457))),IF($E457&gt;=INDEX(TblClusters[Fermeture retenue],$B457),1,0),0))</f>
        <v/>
      </c>
    </row>
    <row r="458" spans="1:35" x14ac:dyDescent="0.2">
      <c r="A458" s="19">
        <v>453</v>
      </c>
      <c r="B458" s="19">
        <f t="shared" si="119"/>
        <v>13</v>
      </c>
      <c r="C458" s="19">
        <f t="shared" si="120"/>
        <v>21</v>
      </c>
      <c r="D458" s="19">
        <f>IF($C458&gt;p_horizon,0,IFERROR(IF(AND(INDEX(TblClusters[Cluster],$B458)&lt;&gt;"",ISNUMBER(INDEX(TblClusters[CPU initial (vCPU)],$B458)),ISNUMBER(INDEX(TblClusters[CPU min (vCPU)],$B458)),OR(INDEX(TblClusters[Plateforme],$B458)="IKS",INDEX(TblClusters[Plateforme],$B458)="ROKS")),1,0),0))</f>
        <v>0</v>
      </c>
      <c r="E458" s="72" t="str">
        <f t="shared" si="121"/>
        <v/>
      </c>
      <c r="F458" s="19" t="str">
        <f>IF($D458=1,INDEX(TblClusters[Cluster],$B458),"")</f>
        <v/>
      </c>
      <c r="G458" s="19" t="str">
        <f>IF($D458=1,INDEX(TblClusters[Plateforme],$B458),"")</f>
        <v/>
      </c>
      <c r="H458" s="19" t="str">
        <f>IF($D458=1,INDEX(TblClusters[vCPU par nœud],$B458),"")</f>
        <v/>
      </c>
      <c r="I458" s="19" t="str">
        <f>IF($D458=1,INDEX(TblClusters[RAM par nœud (Go)],$B458),"")</f>
        <v/>
      </c>
      <c r="J458" s="19" t="str">
        <f>IF($D458=1,INDEX(TblClusters[Workers min],$B458),"")</f>
        <v/>
      </c>
      <c r="K458" s="73" t="str">
        <f>IF($D458=1,INDEX(TblClusters[Tarif par nœud],$B458),"")</f>
        <v/>
      </c>
      <c r="L458" s="19" t="str">
        <f>IF($D458=1,INDEX(TblClusters[CPU initial (vCPU)],$B458),"")</f>
        <v/>
      </c>
      <c r="M458" s="19" t="str">
        <f>IF($D458=1,INDEX(TblClusters[RAM initiale (Go)],$B458),"")</f>
        <v/>
      </c>
      <c r="N458" s="19" t="str">
        <f>IF($D458=1,INDEX(TblClusters[CPU min (vCPU)],$B458),"")</f>
        <v/>
      </c>
      <c r="O458" s="19" t="str">
        <f>IF($D458=1,INDEX(TblClusters[RAM min (Go)],$B458),"")</f>
        <v/>
      </c>
      <c r="P458" s="19" t="str">
        <f>IF($D458&lt;&gt;1,"",IF($G458="ROKS",SUMIFS(TblApplications[Besoin ROKS CPU (vCPU)],TblApplications[Cluster ROKS cible],$F458,TblApplications[Action],"À migrer",TblApplications[Déjà incluse ROKS],"Non",TblApplications[Mois prov (calc)],"&lt;="&amp;$E458),SUMIFS(TblApplications[CPU IKS libérable (vCPU)],TblApplications[Cluster IKS source],$F458,TblApplications[Mois lib (calc)],"&lt;="&amp;$E458)))</f>
        <v/>
      </c>
      <c r="Q458" s="19" t="str">
        <f>IF($D458&lt;&gt;1,"",IF($G458="ROKS",SUMIFS(TblApplications[Besoin ROKS RAM (Go)],TblApplications[Cluster ROKS cible],$F458,TblApplications[Action],"À migrer",TblApplications[Déjà incluse ROKS],"Non",TblApplications[Mois prov (calc)],"&lt;="&amp;$E458),SUMIFS(TblApplications[RAM IKS libérable (Go)],TblApplications[Cluster IKS source],$F458,TblApplications[Mois lib (calc)],"&lt;="&amp;$E458)))</f>
        <v/>
      </c>
      <c r="R458" s="19" t="str">
        <f t="shared" si="122"/>
        <v/>
      </c>
      <c r="S458" s="19" t="str">
        <f t="shared" si="123"/>
        <v/>
      </c>
      <c r="T458" s="19" t="str">
        <f t="shared" si="124"/>
        <v/>
      </c>
      <c r="U458" s="19" t="str">
        <f t="shared" si="125"/>
        <v/>
      </c>
      <c r="V458" s="19" t="str">
        <f t="shared" si="126"/>
        <v/>
      </c>
      <c r="W458" s="73" t="str">
        <f t="shared" si="127"/>
        <v/>
      </c>
      <c r="X458" s="19" t="str">
        <f>IF($D458&lt;&gt;1,"",IF($G458="ROKS",$R458,IF($AI458=1,0,MAX($N458,$L458-SUMIFS(TblApplications[CPU IKS libérable (vCPU)],TblApplications[Cluster IKS source],$F458,TblApplications[Action],"À migrer",TblApplications[Mois prov (calc)],"&lt;="&amp;$E458)-SUMIFS(TblApplications[CPU IKS libérable (vCPU)],TblApplications[Cluster IKS source],$F458,TblApplications[Action],"À décommissionner",TblApplications[Mois lib (calc)],"&lt;="&amp;$E458)))))</f>
        <v/>
      </c>
      <c r="Y458" s="19" t="str">
        <f>IF($D458&lt;&gt;1,"",IF($G458="ROKS",$S458,IF($AI458=1,0,MAX($O458,$M458-SUMIFS(TblApplications[RAM IKS libérable (Go)],TblApplications[Cluster IKS source],$F458,TblApplications[Action],"À migrer",TblApplications[Mois prov (calc)],"&lt;="&amp;$E458)-SUMIFS(TblApplications[RAM IKS libérable (Go)],TblApplications[Cluster IKS source],$F458,TblApplications[Action],"À décommissionner",TblApplications[Mois lib (calc)],"&lt;="&amp;$E458)))))</f>
        <v/>
      </c>
      <c r="Z458" s="19" t="str">
        <f t="shared" si="128"/>
        <v/>
      </c>
      <c r="AA458" s="73" t="str">
        <f t="shared" si="129"/>
        <v/>
      </c>
      <c r="AB458" s="19" t="str">
        <f t="shared" si="130"/>
        <v/>
      </c>
      <c r="AC458" s="73" t="str">
        <f t="shared" si="131"/>
        <v/>
      </c>
      <c r="AD458" s="19" t="str">
        <f t="shared" si="132"/>
        <v/>
      </c>
      <c r="AE458" s="19" t="str">
        <f t="shared" si="133"/>
        <v/>
      </c>
      <c r="AF458" s="19" t="str">
        <f>IF($D458&lt;&gt;1,"",IF(INDEX(TblClusters[Environnement],$B458)="","(vide)",INDEX(TblClusters[Environnement],$B458)))</f>
        <v/>
      </c>
      <c r="AG458" s="19" t="str">
        <f t="shared" si="134"/>
        <v/>
      </c>
      <c r="AH458" s="19" t="str">
        <f t="shared" si="135"/>
        <v/>
      </c>
      <c r="AI458" s="19" t="str">
        <f>IF($D458&lt;&gt;1,"",IF(AND($G458="IKS",ISNUMBER(INDEX(TblClusters[Fermeture retenue],$B458))),IF($E458&gt;=INDEX(TblClusters[Fermeture retenue],$B458),1,0),0))</f>
        <v/>
      </c>
    </row>
    <row r="459" spans="1:35" x14ac:dyDescent="0.2">
      <c r="A459" s="19">
        <v>454</v>
      </c>
      <c r="B459" s="19">
        <f t="shared" si="119"/>
        <v>13</v>
      </c>
      <c r="C459" s="19">
        <f t="shared" si="120"/>
        <v>22</v>
      </c>
      <c r="D459" s="19">
        <f>IF($C459&gt;p_horizon,0,IFERROR(IF(AND(INDEX(TblClusters[Cluster],$B459)&lt;&gt;"",ISNUMBER(INDEX(TblClusters[CPU initial (vCPU)],$B459)),ISNUMBER(INDEX(TblClusters[CPU min (vCPU)],$B459)),OR(INDEX(TblClusters[Plateforme],$B459)="IKS",INDEX(TblClusters[Plateforme],$B459)="ROKS")),1,0),0))</f>
        <v>0</v>
      </c>
      <c r="E459" s="72" t="str">
        <f t="shared" si="121"/>
        <v/>
      </c>
      <c r="F459" s="19" t="str">
        <f>IF($D459=1,INDEX(TblClusters[Cluster],$B459),"")</f>
        <v/>
      </c>
      <c r="G459" s="19" t="str">
        <f>IF($D459=1,INDEX(TblClusters[Plateforme],$B459),"")</f>
        <v/>
      </c>
      <c r="H459" s="19" t="str">
        <f>IF($D459=1,INDEX(TblClusters[vCPU par nœud],$B459),"")</f>
        <v/>
      </c>
      <c r="I459" s="19" t="str">
        <f>IF($D459=1,INDEX(TblClusters[RAM par nœud (Go)],$B459),"")</f>
        <v/>
      </c>
      <c r="J459" s="19" t="str">
        <f>IF($D459=1,INDEX(TblClusters[Workers min],$B459),"")</f>
        <v/>
      </c>
      <c r="K459" s="73" t="str">
        <f>IF($D459=1,INDEX(TblClusters[Tarif par nœud],$B459),"")</f>
        <v/>
      </c>
      <c r="L459" s="19" t="str">
        <f>IF($D459=1,INDEX(TblClusters[CPU initial (vCPU)],$B459),"")</f>
        <v/>
      </c>
      <c r="M459" s="19" t="str">
        <f>IF($D459=1,INDEX(TblClusters[RAM initiale (Go)],$B459),"")</f>
        <v/>
      </c>
      <c r="N459" s="19" t="str">
        <f>IF($D459=1,INDEX(TblClusters[CPU min (vCPU)],$B459),"")</f>
        <v/>
      </c>
      <c r="O459" s="19" t="str">
        <f>IF($D459=1,INDEX(TblClusters[RAM min (Go)],$B459),"")</f>
        <v/>
      </c>
      <c r="P459" s="19" t="str">
        <f>IF($D459&lt;&gt;1,"",IF($G459="ROKS",SUMIFS(TblApplications[Besoin ROKS CPU (vCPU)],TblApplications[Cluster ROKS cible],$F459,TblApplications[Action],"À migrer",TblApplications[Déjà incluse ROKS],"Non",TblApplications[Mois prov (calc)],"&lt;="&amp;$E459),SUMIFS(TblApplications[CPU IKS libérable (vCPU)],TblApplications[Cluster IKS source],$F459,TblApplications[Mois lib (calc)],"&lt;="&amp;$E459)))</f>
        <v/>
      </c>
      <c r="Q459" s="19" t="str">
        <f>IF($D459&lt;&gt;1,"",IF($G459="ROKS",SUMIFS(TblApplications[Besoin ROKS RAM (Go)],TblApplications[Cluster ROKS cible],$F459,TblApplications[Action],"À migrer",TblApplications[Déjà incluse ROKS],"Non",TblApplications[Mois prov (calc)],"&lt;="&amp;$E459),SUMIFS(TblApplications[RAM IKS libérable (Go)],TblApplications[Cluster IKS source],$F459,TblApplications[Mois lib (calc)],"&lt;="&amp;$E459)))</f>
        <v/>
      </c>
      <c r="R459" s="19" t="str">
        <f t="shared" si="122"/>
        <v/>
      </c>
      <c r="S459" s="19" t="str">
        <f t="shared" si="123"/>
        <v/>
      </c>
      <c r="T459" s="19" t="str">
        <f t="shared" si="124"/>
        <v/>
      </c>
      <c r="U459" s="19" t="str">
        <f t="shared" si="125"/>
        <v/>
      </c>
      <c r="V459" s="19" t="str">
        <f t="shared" si="126"/>
        <v/>
      </c>
      <c r="W459" s="73" t="str">
        <f t="shared" si="127"/>
        <v/>
      </c>
      <c r="X459" s="19" t="str">
        <f>IF($D459&lt;&gt;1,"",IF($G459="ROKS",$R459,IF($AI459=1,0,MAX($N459,$L459-SUMIFS(TblApplications[CPU IKS libérable (vCPU)],TblApplications[Cluster IKS source],$F459,TblApplications[Action],"À migrer",TblApplications[Mois prov (calc)],"&lt;="&amp;$E459)-SUMIFS(TblApplications[CPU IKS libérable (vCPU)],TblApplications[Cluster IKS source],$F459,TblApplications[Action],"À décommissionner",TblApplications[Mois lib (calc)],"&lt;="&amp;$E459)))))</f>
        <v/>
      </c>
      <c r="Y459" s="19" t="str">
        <f>IF($D459&lt;&gt;1,"",IF($G459="ROKS",$S459,IF($AI459=1,0,MAX($O459,$M459-SUMIFS(TblApplications[RAM IKS libérable (Go)],TblApplications[Cluster IKS source],$F459,TblApplications[Action],"À migrer",TblApplications[Mois prov (calc)],"&lt;="&amp;$E459)-SUMIFS(TblApplications[RAM IKS libérable (Go)],TblApplications[Cluster IKS source],$F459,TblApplications[Action],"À décommissionner",TblApplications[Mois lib (calc)],"&lt;="&amp;$E459)))))</f>
        <v/>
      </c>
      <c r="Z459" s="19" t="str">
        <f t="shared" si="128"/>
        <v/>
      </c>
      <c r="AA459" s="73" t="str">
        <f t="shared" si="129"/>
        <v/>
      </c>
      <c r="AB459" s="19" t="str">
        <f t="shared" si="130"/>
        <v/>
      </c>
      <c r="AC459" s="73" t="str">
        <f t="shared" si="131"/>
        <v/>
      </c>
      <c r="AD459" s="19" t="str">
        <f t="shared" si="132"/>
        <v/>
      </c>
      <c r="AE459" s="19" t="str">
        <f t="shared" si="133"/>
        <v/>
      </c>
      <c r="AF459" s="19" t="str">
        <f>IF($D459&lt;&gt;1,"",IF(INDEX(TblClusters[Environnement],$B459)="","(vide)",INDEX(TblClusters[Environnement],$B459)))</f>
        <v/>
      </c>
      <c r="AG459" s="19" t="str">
        <f t="shared" si="134"/>
        <v/>
      </c>
      <c r="AH459" s="19" t="str">
        <f t="shared" si="135"/>
        <v/>
      </c>
      <c r="AI459" s="19" t="str">
        <f>IF($D459&lt;&gt;1,"",IF(AND($G459="IKS",ISNUMBER(INDEX(TblClusters[Fermeture retenue],$B459))),IF($E459&gt;=INDEX(TblClusters[Fermeture retenue],$B459),1,0),0))</f>
        <v/>
      </c>
    </row>
    <row r="460" spans="1:35" x14ac:dyDescent="0.2">
      <c r="A460" s="19">
        <v>455</v>
      </c>
      <c r="B460" s="19">
        <f t="shared" si="119"/>
        <v>13</v>
      </c>
      <c r="C460" s="19">
        <f t="shared" si="120"/>
        <v>23</v>
      </c>
      <c r="D460" s="19">
        <f>IF($C460&gt;p_horizon,0,IFERROR(IF(AND(INDEX(TblClusters[Cluster],$B460)&lt;&gt;"",ISNUMBER(INDEX(TblClusters[CPU initial (vCPU)],$B460)),ISNUMBER(INDEX(TblClusters[CPU min (vCPU)],$B460)),OR(INDEX(TblClusters[Plateforme],$B460)="IKS",INDEX(TblClusters[Plateforme],$B460)="ROKS")),1,0),0))</f>
        <v>0</v>
      </c>
      <c r="E460" s="72" t="str">
        <f t="shared" si="121"/>
        <v/>
      </c>
      <c r="F460" s="19" t="str">
        <f>IF($D460=1,INDEX(TblClusters[Cluster],$B460),"")</f>
        <v/>
      </c>
      <c r="G460" s="19" t="str">
        <f>IF($D460=1,INDEX(TblClusters[Plateforme],$B460),"")</f>
        <v/>
      </c>
      <c r="H460" s="19" t="str">
        <f>IF($D460=1,INDEX(TblClusters[vCPU par nœud],$B460),"")</f>
        <v/>
      </c>
      <c r="I460" s="19" t="str">
        <f>IF($D460=1,INDEX(TblClusters[RAM par nœud (Go)],$B460),"")</f>
        <v/>
      </c>
      <c r="J460" s="19" t="str">
        <f>IF($D460=1,INDEX(TblClusters[Workers min],$B460),"")</f>
        <v/>
      </c>
      <c r="K460" s="73" t="str">
        <f>IF($D460=1,INDEX(TblClusters[Tarif par nœud],$B460),"")</f>
        <v/>
      </c>
      <c r="L460" s="19" t="str">
        <f>IF($D460=1,INDEX(TblClusters[CPU initial (vCPU)],$B460),"")</f>
        <v/>
      </c>
      <c r="M460" s="19" t="str">
        <f>IF($D460=1,INDEX(TblClusters[RAM initiale (Go)],$B460),"")</f>
        <v/>
      </c>
      <c r="N460" s="19" t="str">
        <f>IF($D460=1,INDEX(TblClusters[CPU min (vCPU)],$B460),"")</f>
        <v/>
      </c>
      <c r="O460" s="19" t="str">
        <f>IF($D460=1,INDEX(TblClusters[RAM min (Go)],$B460),"")</f>
        <v/>
      </c>
      <c r="P460" s="19" t="str">
        <f>IF($D460&lt;&gt;1,"",IF($G460="ROKS",SUMIFS(TblApplications[Besoin ROKS CPU (vCPU)],TblApplications[Cluster ROKS cible],$F460,TblApplications[Action],"À migrer",TblApplications[Déjà incluse ROKS],"Non",TblApplications[Mois prov (calc)],"&lt;="&amp;$E460),SUMIFS(TblApplications[CPU IKS libérable (vCPU)],TblApplications[Cluster IKS source],$F460,TblApplications[Mois lib (calc)],"&lt;="&amp;$E460)))</f>
        <v/>
      </c>
      <c r="Q460" s="19" t="str">
        <f>IF($D460&lt;&gt;1,"",IF($G460="ROKS",SUMIFS(TblApplications[Besoin ROKS RAM (Go)],TblApplications[Cluster ROKS cible],$F460,TblApplications[Action],"À migrer",TblApplications[Déjà incluse ROKS],"Non",TblApplications[Mois prov (calc)],"&lt;="&amp;$E460),SUMIFS(TblApplications[RAM IKS libérable (Go)],TblApplications[Cluster IKS source],$F460,TblApplications[Mois lib (calc)],"&lt;="&amp;$E460)))</f>
        <v/>
      </c>
      <c r="R460" s="19" t="str">
        <f t="shared" si="122"/>
        <v/>
      </c>
      <c r="S460" s="19" t="str">
        <f t="shared" si="123"/>
        <v/>
      </c>
      <c r="T460" s="19" t="str">
        <f t="shared" si="124"/>
        <v/>
      </c>
      <c r="U460" s="19" t="str">
        <f t="shared" si="125"/>
        <v/>
      </c>
      <c r="V460" s="19" t="str">
        <f t="shared" si="126"/>
        <v/>
      </c>
      <c r="W460" s="73" t="str">
        <f t="shared" si="127"/>
        <v/>
      </c>
      <c r="X460" s="19" t="str">
        <f>IF($D460&lt;&gt;1,"",IF($G460="ROKS",$R460,IF($AI460=1,0,MAX($N460,$L460-SUMIFS(TblApplications[CPU IKS libérable (vCPU)],TblApplications[Cluster IKS source],$F460,TblApplications[Action],"À migrer",TblApplications[Mois prov (calc)],"&lt;="&amp;$E460)-SUMIFS(TblApplications[CPU IKS libérable (vCPU)],TblApplications[Cluster IKS source],$F460,TblApplications[Action],"À décommissionner",TblApplications[Mois lib (calc)],"&lt;="&amp;$E460)))))</f>
        <v/>
      </c>
      <c r="Y460" s="19" t="str">
        <f>IF($D460&lt;&gt;1,"",IF($G460="ROKS",$S460,IF($AI460=1,0,MAX($O460,$M460-SUMIFS(TblApplications[RAM IKS libérable (Go)],TblApplications[Cluster IKS source],$F460,TblApplications[Action],"À migrer",TblApplications[Mois prov (calc)],"&lt;="&amp;$E460)-SUMIFS(TblApplications[RAM IKS libérable (Go)],TblApplications[Cluster IKS source],$F460,TblApplications[Action],"À décommissionner",TblApplications[Mois lib (calc)],"&lt;="&amp;$E460)))))</f>
        <v/>
      </c>
      <c r="Z460" s="19" t="str">
        <f t="shared" si="128"/>
        <v/>
      </c>
      <c r="AA460" s="73" t="str">
        <f t="shared" si="129"/>
        <v/>
      </c>
      <c r="AB460" s="19" t="str">
        <f t="shared" si="130"/>
        <v/>
      </c>
      <c r="AC460" s="73" t="str">
        <f t="shared" si="131"/>
        <v/>
      </c>
      <c r="AD460" s="19" t="str">
        <f t="shared" si="132"/>
        <v/>
      </c>
      <c r="AE460" s="19" t="str">
        <f t="shared" si="133"/>
        <v/>
      </c>
      <c r="AF460" s="19" t="str">
        <f>IF($D460&lt;&gt;1,"",IF(INDEX(TblClusters[Environnement],$B460)="","(vide)",INDEX(TblClusters[Environnement],$B460)))</f>
        <v/>
      </c>
      <c r="AG460" s="19" t="str">
        <f t="shared" si="134"/>
        <v/>
      </c>
      <c r="AH460" s="19" t="str">
        <f t="shared" si="135"/>
        <v/>
      </c>
      <c r="AI460" s="19" t="str">
        <f>IF($D460&lt;&gt;1,"",IF(AND($G460="IKS",ISNUMBER(INDEX(TblClusters[Fermeture retenue],$B460))),IF($E460&gt;=INDEX(TblClusters[Fermeture retenue],$B460),1,0),0))</f>
        <v/>
      </c>
    </row>
    <row r="461" spans="1:35" x14ac:dyDescent="0.2">
      <c r="A461" s="19">
        <v>456</v>
      </c>
      <c r="B461" s="19">
        <f t="shared" si="119"/>
        <v>13</v>
      </c>
      <c r="C461" s="19">
        <f t="shared" si="120"/>
        <v>24</v>
      </c>
      <c r="D461" s="19">
        <f>IF($C461&gt;p_horizon,0,IFERROR(IF(AND(INDEX(TblClusters[Cluster],$B461)&lt;&gt;"",ISNUMBER(INDEX(TblClusters[CPU initial (vCPU)],$B461)),ISNUMBER(INDEX(TblClusters[CPU min (vCPU)],$B461)),OR(INDEX(TblClusters[Plateforme],$B461)="IKS",INDEX(TblClusters[Plateforme],$B461)="ROKS")),1,0),0))</f>
        <v>0</v>
      </c>
      <c r="E461" s="72" t="str">
        <f t="shared" si="121"/>
        <v/>
      </c>
      <c r="F461" s="19" t="str">
        <f>IF($D461=1,INDEX(TblClusters[Cluster],$B461),"")</f>
        <v/>
      </c>
      <c r="G461" s="19" t="str">
        <f>IF($D461=1,INDEX(TblClusters[Plateforme],$B461),"")</f>
        <v/>
      </c>
      <c r="H461" s="19" t="str">
        <f>IF($D461=1,INDEX(TblClusters[vCPU par nœud],$B461),"")</f>
        <v/>
      </c>
      <c r="I461" s="19" t="str">
        <f>IF($D461=1,INDEX(TblClusters[RAM par nœud (Go)],$B461),"")</f>
        <v/>
      </c>
      <c r="J461" s="19" t="str">
        <f>IF($D461=1,INDEX(TblClusters[Workers min],$B461),"")</f>
        <v/>
      </c>
      <c r="K461" s="73" t="str">
        <f>IF($D461=1,INDEX(TblClusters[Tarif par nœud],$B461),"")</f>
        <v/>
      </c>
      <c r="L461" s="19" t="str">
        <f>IF($D461=1,INDEX(TblClusters[CPU initial (vCPU)],$B461),"")</f>
        <v/>
      </c>
      <c r="M461" s="19" t="str">
        <f>IF($D461=1,INDEX(TblClusters[RAM initiale (Go)],$B461),"")</f>
        <v/>
      </c>
      <c r="N461" s="19" t="str">
        <f>IF($D461=1,INDEX(TblClusters[CPU min (vCPU)],$B461),"")</f>
        <v/>
      </c>
      <c r="O461" s="19" t="str">
        <f>IF($D461=1,INDEX(TblClusters[RAM min (Go)],$B461),"")</f>
        <v/>
      </c>
      <c r="P461" s="19" t="str">
        <f>IF($D461&lt;&gt;1,"",IF($G461="ROKS",SUMIFS(TblApplications[Besoin ROKS CPU (vCPU)],TblApplications[Cluster ROKS cible],$F461,TblApplications[Action],"À migrer",TblApplications[Déjà incluse ROKS],"Non",TblApplications[Mois prov (calc)],"&lt;="&amp;$E461),SUMIFS(TblApplications[CPU IKS libérable (vCPU)],TblApplications[Cluster IKS source],$F461,TblApplications[Mois lib (calc)],"&lt;="&amp;$E461)))</f>
        <v/>
      </c>
      <c r="Q461" s="19" t="str">
        <f>IF($D461&lt;&gt;1,"",IF($G461="ROKS",SUMIFS(TblApplications[Besoin ROKS RAM (Go)],TblApplications[Cluster ROKS cible],$F461,TblApplications[Action],"À migrer",TblApplications[Déjà incluse ROKS],"Non",TblApplications[Mois prov (calc)],"&lt;="&amp;$E461),SUMIFS(TblApplications[RAM IKS libérable (Go)],TblApplications[Cluster IKS source],$F461,TblApplications[Mois lib (calc)],"&lt;="&amp;$E461)))</f>
        <v/>
      </c>
      <c r="R461" s="19" t="str">
        <f t="shared" si="122"/>
        <v/>
      </c>
      <c r="S461" s="19" t="str">
        <f t="shared" si="123"/>
        <v/>
      </c>
      <c r="T461" s="19" t="str">
        <f t="shared" si="124"/>
        <v/>
      </c>
      <c r="U461" s="19" t="str">
        <f t="shared" si="125"/>
        <v/>
      </c>
      <c r="V461" s="19" t="str">
        <f t="shared" si="126"/>
        <v/>
      </c>
      <c r="W461" s="73" t="str">
        <f t="shared" si="127"/>
        <v/>
      </c>
      <c r="X461" s="19" t="str">
        <f>IF($D461&lt;&gt;1,"",IF($G461="ROKS",$R461,IF($AI461=1,0,MAX($N461,$L461-SUMIFS(TblApplications[CPU IKS libérable (vCPU)],TblApplications[Cluster IKS source],$F461,TblApplications[Action],"À migrer",TblApplications[Mois prov (calc)],"&lt;="&amp;$E461)-SUMIFS(TblApplications[CPU IKS libérable (vCPU)],TblApplications[Cluster IKS source],$F461,TblApplications[Action],"À décommissionner",TblApplications[Mois lib (calc)],"&lt;="&amp;$E461)))))</f>
        <v/>
      </c>
      <c r="Y461" s="19" t="str">
        <f>IF($D461&lt;&gt;1,"",IF($G461="ROKS",$S461,IF($AI461=1,0,MAX($O461,$M461-SUMIFS(TblApplications[RAM IKS libérable (Go)],TblApplications[Cluster IKS source],$F461,TblApplications[Action],"À migrer",TblApplications[Mois prov (calc)],"&lt;="&amp;$E461)-SUMIFS(TblApplications[RAM IKS libérable (Go)],TblApplications[Cluster IKS source],$F461,TblApplications[Action],"À décommissionner",TblApplications[Mois lib (calc)],"&lt;="&amp;$E461)))))</f>
        <v/>
      </c>
      <c r="Z461" s="19" t="str">
        <f t="shared" si="128"/>
        <v/>
      </c>
      <c r="AA461" s="73" t="str">
        <f t="shared" si="129"/>
        <v/>
      </c>
      <c r="AB461" s="19" t="str">
        <f t="shared" si="130"/>
        <v/>
      </c>
      <c r="AC461" s="73" t="str">
        <f t="shared" si="131"/>
        <v/>
      </c>
      <c r="AD461" s="19" t="str">
        <f t="shared" si="132"/>
        <v/>
      </c>
      <c r="AE461" s="19" t="str">
        <f t="shared" si="133"/>
        <v/>
      </c>
      <c r="AF461" s="19" t="str">
        <f>IF($D461&lt;&gt;1,"",IF(INDEX(TblClusters[Environnement],$B461)="","(vide)",INDEX(TblClusters[Environnement],$B461)))</f>
        <v/>
      </c>
      <c r="AG461" s="19" t="str">
        <f t="shared" si="134"/>
        <v/>
      </c>
      <c r="AH461" s="19" t="str">
        <f t="shared" si="135"/>
        <v/>
      </c>
      <c r="AI461" s="19" t="str">
        <f>IF($D461&lt;&gt;1,"",IF(AND($G461="IKS",ISNUMBER(INDEX(TblClusters[Fermeture retenue],$B461))),IF($E461&gt;=INDEX(TblClusters[Fermeture retenue],$B461),1,0),0))</f>
        <v/>
      </c>
    </row>
    <row r="462" spans="1:35" x14ac:dyDescent="0.2">
      <c r="A462" s="19">
        <v>457</v>
      </c>
      <c r="B462" s="19">
        <f t="shared" si="119"/>
        <v>13</v>
      </c>
      <c r="C462" s="19">
        <f t="shared" si="120"/>
        <v>25</v>
      </c>
      <c r="D462" s="19">
        <f>IF($C462&gt;p_horizon,0,IFERROR(IF(AND(INDEX(TblClusters[Cluster],$B462)&lt;&gt;"",ISNUMBER(INDEX(TblClusters[CPU initial (vCPU)],$B462)),ISNUMBER(INDEX(TblClusters[CPU min (vCPU)],$B462)),OR(INDEX(TblClusters[Plateforme],$B462)="IKS",INDEX(TblClusters[Plateforme],$B462)="ROKS")),1,0),0))</f>
        <v>0</v>
      </c>
      <c r="E462" s="72" t="str">
        <f t="shared" si="121"/>
        <v/>
      </c>
      <c r="F462" s="19" t="str">
        <f>IF($D462=1,INDEX(TblClusters[Cluster],$B462),"")</f>
        <v/>
      </c>
      <c r="G462" s="19" t="str">
        <f>IF($D462=1,INDEX(TblClusters[Plateforme],$B462),"")</f>
        <v/>
      </c>
      <c r="H462" s="19" t="str">
        <f>IF($D462=1,INDEX(TblClusters[vCPU par nœud],$B462),"")</f>
        <v/>
      </c>
      <c r="I462" s="19" t="str">
        <f>IF($D462=1,INDEX(TblClusters[RAM par nœud (Go)],$B462),"")</f>
        <v/>
      </c>
      <c r="J462" s="19" t="str">
        <f>IF($D462=1,INDEX(TblClusters[Workers min],$B462),"")</f>
        <v/>
      </c>
      <c r="K462" s="73" t="str">
        <f>IF($D462=1,INDEX(TblClusters[Tarif par nœud],$B462),"")</f>
        <v/>
      </c>
      <c r="L462" s="19" t="str">
        <f>IF($D462=1,INDEX(TblClusters[CPU initial (vCPU)],$B462),"")</f>
        <v/>
      </c>
      <c r="M462" s="19" t="str">
        <f>IF($D462=1,INDEX(TblClusters[RAM initiale (Go)],$B462),"")</f>
        <v/>
      </c>
      <c r="N462" s="19" t="str">
        <f>IF($D462=1,INDEX(TblClusters[CPU min (vCPU)],$B462),"")</f>
        <v/>
      </c>
      <c r="O462" s="19" t="str">
        <f>IF($D462=1,INDEX(TblClusters[RAM min (Go)],$B462),"")</f>
        <v/>
      </c>
      <c r="P462" s="19" t="str">
        <f>IF($D462&lt;&gt;1,"",IF($G462="ROKS",SUMIFS(TblApplications[Besoin ROKS CPU (vCPU)],TblApplications[Cluster ROKS cible],$F462,TblApplications[Action],"À migrer",TblApplications[Déjà incluse ROKS],"Non",TblApplications[Mois prov (calc)],"&lt;="&amp;$E462),SUMIFS(TblApplications[CPU IKS libérable (vCPU)],TblApplications[Cluster IKS source],$F462,TblApplications[Mois lib (calc)],"&lt;="&amp;$E462)))</f>
        <v/>
      </c>
      <c r="Q462" s="19" t="str">
        <f>IF($D462&lt;&gt;1,"",IF($G462="ROKS",SUMIFS(TblApplications[Besoin ROKS RAM (Go)],TblApplications[Cluster ROKS cible],$F462,TblApplications[Action],"À migrer",TblApplications[Déjà incluse ROKS],"Non",TblApplications[Mois prov (calc)],"&lt;="&amp;$E462),SUMIFS(TblApplications[RAM IKS libérable (Go)],TblApplications[Cluster IKS source],$F462,TblApplications[Mois lib (calc)],"&lt;="&amp;$E462)))</f>
        <v/>
      </c>
      <c r="R462" s="19" t="str">
        <f t="shared" si="122"/>
        <v/>
      </c>
      <c r="S462" s="19" t="str">
        <f t="shared" si="123"/>
        <v/>
      </c>
      <c r="T462" s="19" t="str">
        <f t="shared" si="124"/>
        <v/>
      </c>
      <c r="U462" s="19" t="str">
        <f t="shared" si="125"/>
        <v/>
      </c>
      <c r="V462" s="19" t="str">
        <f t="shared" si="126"/>
        <v/>
      </c>
      <c r="W462" s="73" t="str">
        <f t="shared" si="127"/>
        <v/>
      </c>
      <c r="X462" s="19" t="str">
        <f>IF($D462&lt;&gt;1,"",IF($G462="ROKS",$R462,IF($AI462=1,0,MAX($N462,$L462-SUMIFS(TblApplications[CPU IKS libérable (vCPU)],TblApplications[Cluster IKS source],$F462,TblApplications[Action],"À migrer",TblApplications[Mois prov (calc)],"&lt;="&amp;$E462)-SUMIFS(TblApplications[CPU IKS libérable (vCPU)],TblApplications[Cluster IKS source],$F462,TblApplications[Action],"À décommissionner",TblApplications[Mois lib (calc)],"&lt;="&amp;$E462)))))</f>
        <v/>
      </c>
      <c r="Y462" s="19" t="str">
        <f>IF($D462&lt;&gt;1,"",IF($G462="ROKS",$S462,IF($AI462=1,0,MAX($O462,$M462-SUMIFS(TblApplications[RAM IKS libérable (Go)],TblApplications[Cluster IKS source],$F462,TblApplications[Action],"À migrer",TblApplications[Mois prov (calc)],"&lt;="&amp;$E462)-SUMIFS(TblApplications[RAM IKS libérable (Go)],TblApplications[Cluster IKS source],$F462,TblApplications[Action],"À décommissionner",TblApplications[Mois lib (calc)],"&lt;="&amp;$E462)))))</f>
        <v/>
      </c>
      <c r="Z462" s="19" t="str">
        <f t="shared" si="128"/>
        <v/>
      </c>
      <c r="AA462" s="73" t="str">
        <f t="shared" si="129"/>
        <v/>
      </c>
      <c r="AB462" s="19" t="str">
        <f t="shared" si="130"/>
        <v/>
      </c>
      <c r="AC462" s="73" t="str">
        <f t="shared" si="131"/>
        <v/>
      </c>
      <c r="AD462" s="19" t="str">
        <f t="shared" si="132"/>
        <v/>
      </c>
      <c r="AE462" s="19" t="str">
        <f t="shared" si="133"/>
        <v/>
      </c>
      <c r="AF462" s="19" t="str">
        <f>IF($D462&lt;&gt;1,"",IF(INDEX(TblClusters[Environnement],$B462)="","(vide)",INDEX(TblClusters[Environnement],$B462)))</f>
        <v/>
      </c>
      <c r="AG462" s="19" t="str">
        <f t="shared" si="134"/>
        <v/>
      </c>
      <c r="AH462" s="19" t="str">
        <f t="shared" si="135"/>
        <v/>
      </c>
      <c r="AI462" s="19" t="str">
        <f>IF($D462&lt;&gt;1,"",IF(AND($G462="IKS",ISNUMBER(INDEX(TblClusters[Fermeture retenue],$B462))),IF($E462&gt;=INDEX(TblClusters[Fermeture retenue],$B462),1,0),0))</f>
        <v/>
      </c>
    </row>
    <row r="463" spans="1:35" x14ac:dyDescent="0.2">
      <c r="A463" s="19">
        <v>458</v>
      </c>
      <c r="B463" s="19">
        <f t="shared" si="119"/>
        <v>13</v>
      </c>
      <c r="C463" s="19">
        <f t="shared" si="120"/>
        <v>26</v>
      </c>
      <c r="D463" s="19">
        <f>IF($C463&gt;p_horizon,0,IFERROR(IF(AND(INDEX(TblClusters[Cluster],$B463)&lt;&gt;"",ISNUMBER(INDEX(TblClusters[CPU initial (vCPU)],$B463)),ISNUMBER(INDEX(TblClusters[CPU min (vCPU)],$B463)),OR(INDEX(TblClusters[Plateforme],$B463)="IKS",INDEX(TblClusters[Plateforme],$B463)="ROKS")),1,0),0))</f>
        <v>0</v>
      </c>
      <c r="E463" s="72" t="str">
        <f t="shared" si="121"/>
        <v/>
      </c>
      <c r="F463" s="19" t="str">
        <f>IF($D463=1,INDEX(TblClusters[Cluster],$B463),"")</f>
        <v/>
      </c>
      <c r="G463" s="19" t="str">
        <f>IF($D463=1,INDEX(TblClusters[Plateforme],$B463),"")</f>
        <v/>
      </c>
      <c r="H463" s="19" t="str">
        <f>IF($D463=1,INDEX(TblClusters[vCPU par nœud],$B463),"")</f>
        <v/>
      </c>
      <c r="I463" s="19" t="str">
        <f>IF($D463=1,INDEX(TblClusters[RAM par nœud (Go)],$B463),"")</f>
        <v/>
      </c>
      <c r="J463" s="19" t="str">
        <f>IF($D463=1,INDEX(TblClusters[Workers min],$B463),"")</f>
        <v/>
      </c>
      <c r="K463" s="73" t="str">
        <f>IF($D463=1,INDEX(TblClusters[Tarif par nœud],$B463),"")</f>
        <v/>
      </c>
      <c r="L463" s="19" t="str">
        <f>IF($D463=1,INDEX(TblClusters[CPU initial (vCPU)],$B463),"")</f>
        <v/>
      </c>
      <c r="M463" s="19" t="str">
        <f>IF($D463=1,INDEX(TblClusters[RAM initiale (Go)],$B463),"")</f>
        <v/>
      </c>
      <c r="N463" s="19" t="str">
        <f>IF($D463=1,INDEX(TblClusters[CPU min (vCPU)],$B463),"")</f>
        <v/>
      </c>
      <c r="O463" s="19" t="str">
        <f>IF($D463=1,INDEX(TblClusters[RAM min (Go)],$B463),"")</f>
        <v/>
      </c>
      <c r="P463" s="19" t="str">
        <f>IF($D463&lt;&gt;1,"",IF($G463="ROKS",SUMIFS(TblApplications[Besoin ROKS CPU (vCPU)],TblApplications[Cluster ROKS cible],$F463,TblApplications[Action],"À migrer",TblApplications[Déjà incluse ROKS],"Non",TblApplications[Mois prov (calc)],"&lt;="&amp;$E463),SUMIFS(TblApplications[CPU IKS libérable (vCPU)],TblApplications[Cluster IKS source],$F463,TblApplications[Mois lib (calc)],"&lt;="&amp;$E463)))</f>
        <v/>
      </c>
      <c r="Q463" s="19" t="str">
        <f>IF($D463&lt;&gt;1,"",IF($G463="ROKS",SUMIFS(TblApplications[Besoin ROKS RAM (Go)],TblApplications[Cluster ROKS cible],$F463,TblApplications[Action],"À migrer",TblApplications[Déjà incluse ROKS],"Non",TblApplications[Mois prov (calc)],"&lt;="&amp;$E463),SUMIFS(TblApplications[RAM IKS libérable (Go)],TblApplications[Cluster IKS source],$F463,TblApplications[Mois lib (calc)],"&lt;="&amp;$E463)))</f>
        <v/>
      </c>
      <c r="R463" s="19" t="str">
        <f t="shared" si="122"/>
        <v/>
      </c>
      <c r="S463" s="19" t="str">
        <f t="shared" si="123"/>
        <v/>
      </c>
      <c r="T463" s="19" t="str">
        <f t="shared" si="124"/>
        <v/>
      </c>
      <c r="U463" s="19" t="str">
        <f t="shared" si="125"/>
        <v/>
      </c>
      <c r="V463" s="19" t="str">
        <f t="shared" si="126"/>
        <v/>
      </c>
      <c r="W463" s="73" t="str">
        <f t="shared" si="127"/>
        <v/>
      </c>
      <c r="X463" s="19" t="str">
        <f>IF($D463&lt;&gt;1,"",IF($G463="ROKS",$R463,IF($AI463=1,0,MAX($N463,$L463-SUMIFS(TblApplications[CPU IKS libérable (vCPU)],TblApplications[Cluster IKS source],$F463,TblApplications[Action],"À migrer",TblApplications[Mois prov (calc)],"&lt;="&amp;$E463)-SUMIFS(TblApplications[CPU IKS libérable (vCPU)],TblApplications[Cluster IKS source],$F463,TblApplications[Action],"À décommissionner",TblApplications[Mois lib (calc)],"&lt;="&amp;$E463)))))</f>
        <v/>
      </c>
      <c r="Y463" s="19" t="str">
        <f>IF($D463&lt;&gt;1,"",IF($G463="ROKS",$S463,IF($AI463=1,0,MAX($O463,$M463-SUMIFS(TblApplications[RAM IKS libérable (Go)],TblApplications[Cluster IKS source],$F463,TblApplications[Action],"À migrer",TblApplications[Mois prov (calc)],"&lt;="&amp;$E463)-SUMIFS(TblApplications[RAM IKS libérable (Go)],TblApplications[Cluster IKS source],$F463,TblApplications[Action],"À décommissionner",TblApplications[Mois lib (calc)],"&lt;="&amp;$E463)))))</f>
        <v/>
      </c>
      <c r="Z463" s="19" t="str">
        <f t="shared" si="128"/>
        <v/>
      </c>
      <c r="AA463" s="73" t="str">
        <f t="shared" si="129"/>
        <v/>
      </c>
      <c r="AB463" s="19" t="str">
        <f t="shared" si="130"/>
        <v/>
      </c>
      <c r="AC463" s="73" t="str">
        <f t="shared" si="131"/>
        <v/>
      </c>
      <c r="AD463" s="19" t="str">
        <f t="shared" si="132"/>
        <v/>
      </c>
      <c r="AE463" s="19" t="str">
        <f t="shared" si="133"/>
        <v/>
      </c>
      <c r="AF463" s="19" t="str">
        <f>IF($D463&lt;&gt;1,"",IF(INDEX(TblClusters[Environnement],$B463)="","(vide)",INDEX(TblClusters[Environnement],$B463)))</f>
        <v/>
      </c>
      <c r="AG463" s="19" t="str">
        <f t="shared" si="134"/>
        <v/>
      </c>
      <c r="AH463" s="19" t="str">
        <f t="shared" si="135"/>
        <v/>
      </c>
      <c r="AI463" s="19" t="str">
        <f>IF($D463&lt;&gt;1,"",IF(AND($G463="IKS",ISNUMBER(INDEX(TblClusters[Fermeture retenue],$B463))),IF($E463&gt;=INDEX(TblClusters[Fermeture retenue],$B463),1,0),0))</f>
        <v/>
      </c>
    </row>
    <row r="464" spans="1:35" x14ac:dyDescent="0.2">
      <c r="A464" s="19">
        <v>459</v>
      </c>
      <c r="B464" s="19">
        <f t="shared" si="119"/>
        <v>13</v>
      </c>
      <c r="C464" s="19">
        <f t="shared" si="120"/>
        <v>27</v>
      </c>
      <c r="D464" s="19">
        <f>IF($C464&gt;p_horizon,0,IFERROR(IF(AND(INDEX(TblClusters[Cluster],$B464)&lt;&gt;"",ISNUMBER(INDEX(TblClusters[CPU initial (vCPU)],$B464)),ISNUMBER(INDEX(TblClusters[CPU min (vCPU)],$B464)),OR(INDEX(TblClusters[Plateforme],$B464)="IKS",INDEX(TblClusters[Plateforme],$B464)="ROKS")),1,0),0))</f>
        <v>0</v>
      </c>
      <c r="E464" s="72" t="str">
        <f t="shared" si="121"/>
        <v/>
      </c>
      <c r="F464" s="19" t="str">
        <f>IF($D464=1,INDEX(TblClusters[Cluster],$B464),"")</f>
        <v/>
      </c>
      <c r="G464" s="19" t="str">
        <f>IF($D464=1,INDEX(TblClusters[Plateforme],$B464),"")</f>
        <v/>
      </c>
      <c r="H464" s="19" t="str">
        <f>IF($D464=1,INDEX(TblClusters[vCPU par nœud],$B464),"")</f>
        <v/>
      </c>
      <c r="I464" s="19" t="str">
        <f>IF($D464=1,INDEX(TblClusters[RAM par nœud (Go)],$B464),"")</f>
        <v/>
      </c>
      <c r="J464" s="19" t="str">
        <f>IF($D464=1,INDEX(TblClusters[Workers min],$B464),"")</f>
        <v/>
      </c>
      <c r="K464" s="73" t="str">
        <f>IF($D464=1,INDEX(TblClusters[Tarif par nœud],$B464),"")</f>
        <v/>
      </c>
      <c r="L464" s="19" t="str">
        <f>IF($D464=1,INDEX(TblClusters[CPU initial (vCPU)],$B464),"")</f>
        <v/>
      </c>
      <c r="M464" s="19" t="str">
        <f>IF($D464=1,INDEX(TblClusters[RAM initiale (Go)],$B464),"")</f>
        <v/>
      </c>
      <c r="N464" s="19" t="str">
        <f>IF($D464=1,INDEX(TblClusters[CPU min (vCPU)],$B464),"")</f>
        <v/>
      </c>
      <c r="O464" s="19" t="str">
        <f>IF($D464=1,INDEX(TblClusters[RAM min (Go)],$B464),"")</f>
        <v/>
      </c>
      <c r="P464" s="19" t="str">
        <f>IF($D464&lt;&gt;1,"",IF($G464="ROKS",SUMIFS(TblApplications[Besoin ROKS CPU (vCPU)],TblApplications[Cluster ROKS cible],$F464,TblApplications[Action],"À migrer",TblApplications[Déjà incluse ROKS],"Non",TblApplications[Mois prov (calc)],"&lt;="&amp;$E464),SUMIFS(TblApplications[CPU IKS libérable (vCPU)],TblApplications[Cluster IKS source],$F464,TblApplications[Mois lib (calc)],"&lt;="&amp;$E464)))</f>
        <v/>
      </c>
      <c r="Q464" s="19" t="str">
        <f>IF($D464&lt;&gt;1,"",IF($G464="ROKS",SUMIFS(TblApplications[Besoin ROKS RAM (Go)],TblApplications[Cluster ROKS cible],$F464,TblApplications[Action],"À migrer",TblApplications[Déjà incluse ROKS],"Non",TblApplications[Mois prov (calc)],"&lt;="&amp;$E464),SUMIFS(TblApplications[RAM IKS libérable (Go)],TblApplications[Cluster IKS source],$F464,TblApplications[Mois lib (calc)],"&lt;="&amp;$E464)))</f>
        <v/>
      </c>
      <c r="R464" s="19" t="str">
        <f t="shared" si="122"/>
        <v/>
      </c>
      <c r="S464" s="19" t="str">
        <f t="shared" si="123"/>
        <v/>
      </c>
      <c r="T464" s="19" t="str">
        <f t="shared" si="124"/>
        <v/>
      </c>
      <c r="U464" s="19" t="str">
        <f t="shared" si="125"/>
        <v/>
      </c>
      <c r="V464" s="19" t="str">
        <f t="shared" si="126"/>
        <v/>
      </c>
      <c r="W464" s="73" t="str">
        <f t="shared" si="127"/>
        <v/>
      </c>
      <c r="X464" s="19" t="str">
        <f>IF($D464&lt;&gt;1,"",IF($G464="ROKS",$R464,IF($AI464=1,0,MAX($N464,$L464-SUMIFS(TblApplications[CPU IKS libérable (vCPU)],TblApplications[Cluster IKS source],$F464,TblApplications[Action],"À migrer",TblApplications[Mois prov (calc)],"&lt;="&amp;$E464)-SUMIFS(TblApplications[CPU IKS libérable (vCPU)],TblApplications[Cluster IKS source],$F464,TblApplications[Action],"À décommissionner",TblApplications[Mois lib (calc)],"&lt;="&amp;$E464)))))</f>
        <v/>
      </c>
      <c r="Y464" s="19" t="str">
        <f>IF($D464&lt;&gt;1,"",IF($G464="ROKS",$S464,IF($AI464=1,0,MAX($O464,$M464-SUMIFS(TblApplications[RAM IKS libérable (Go)],TblApplications[Cluster IKS source],$F464,TblApplications[Action],"À migrer",TblApplications[Mois prov (calc)],"&lt;="&amp;$E464)-SUMIFS(TblApplications[RAM IKS libérable (Go)],TblApplications[Cluster IKS source],$F464,TblApplications[Action],"À décommissionner",TblApplications[Mois lib (calc)],"&lt;="&amp;$E464)))))</f>
        <v/>
      </c>
      <c r="Z464" s="19" t="str">
        <f t="shared" si="128"/>
        <v/>
      </c>
      <c r="AA464" s="73" t="str">
        <f t="shared" si="129"/>
        <v/>
      </c>
      <c r="AB464" s="19" t="str">
        <f t="shared" si="130"/>
        <v/>
      </c>
      <c r="AC464" s="73" t="str">
        <f t="shared" si="131"/>
        <v/>
      </c>
      <c r="AD464" s="19" t="str">
        <f t="shared" si="132"/>
        <v/>
      </c>
      <c r="AE464" s="19" t="str">
        <f t="shared" si="133"/>
        <v/>
      </c>
      <c r="AF464" s="19" t="str">
        <f>IF($D464&lt;&gt;1,"",IF(INDEX(TblClusters[Environnement],$B464)="","(vide)",INDEX(TblClusters[Environnement],$B464)))</f>
        <v/>
      </c>
      <c r="AG464" s="19" t="str">
        <f t="shared" si="134"/>
        <v/>
      </c>
      <c r="AH464" s="19" t="str">
        <f t="shared" si="135"/>
        <v/>
      </c>
      <c r="AI464" s="19" t="str">
        <f>IF($D464&lt;&gt;1,"",IF(AND($G464="IKS",ISNUMBER(INDEX(TblClusters[Fermeture retenue],$B464))),IF($E464&gt;=INDEX(TblClusters[Fermeture retenue],$B464),1,0),0))</f>
        <v/>
      </c>
    </row>
    <row r="465" spans="1:35" x14ac:dyDescent="0.2">
      <c r="A465" s="19">
        <v>460</v>
      </c>
      <c r="B465" s="19">
        <f t="shared" si="119"/>
        <v>13</v>
      </c>
      <c r="C465" s="19">
        <f t="shared" si="120"/>
        <v>28</v>
      </c>
      <c r="D465" s="19">
        <f>IF($C465&gt;p_horizon,0,IFERROR(IF(AND(INDEX(TblClusters[Cluster],$B465)&lt;&gt;"",ISNUMBER(INDEX(TblClusters[CPU initial (vCPU)],$B465)),ISNUMBER(INDEX(TblClusters[CPU min (vCPU)],$B465)),OR(INDEX(TblClusters[Plateforme],$B465)="IKS",INDEX(TblClusters[Plateforme],$B465)="ROKS")),1,0),0))</f>
        <v>0</v>
      </c>
      <c r="E465" s="72" t="str">
        <f t="shared" si="121"/>
        <v/>
      </c>
      <c r="F465" s="19" t="str">
        <f>IF($D465=1,INDEX(TblClusters[Cluster],$B465),"")</f>
        <v/>
      </c>
      <c r="G465" s="19" t="str">
        <f>IF($D465=1,INDEX(TblClusters[Plateforme],$B465),"")</f>
        <v/>
      </c>
      <c r="H465" s="19" t="str">
        <f>IF($D465=1,INDEX(TblClusters[vCPU par nœud],$B465),"")</f>
        <v/>
      </c>
      <c r="I465" s="19" t="str">
        <f>IF($D465=1,INDEX(TblClusters[RAM par nœud (Go)],$B465),"")</f>
        <v/>
      </c>
      <c r="J465" s="19" t="str">
        <f>IF($D465=1,INDEX(TblClusters[Workers min],$B465),"")</f>
        <v/>
      </c>
      <c r="K465" s="73" t="str">
        <f>IF($D465=1,INDEX(TblClusters[Tarif par nœud],$B465),"")</f>
        <v/>
      </c>
      <c r="L465" s="19" t="str">
        <f>IF($D465=1,INDEX(TblClusters[CPU initial (vCPU)],$B465),"")</f>
        <v/>
      </c>
      <c r="M465" s="19" t="str">
        <f>IF($D465=1,INDEX(TblClusters[RAM initiale (Go)],$B465),"")</f>
        <v/>
      </c>
      <c r="N465" s="19" t="str">
        <f>IF($D465=1,INDEX(TblClusters[CPU min (vCPU)],$B465),"")</f>
        <v/>
      </c>
      <c r="O465" s="19" t="str">
        <f>IF($D465=1,INDEX(TblClusters[RAM min (Go)],$B465),"")</f>
        <v/>
      </c>
      <c r="P465" s="19" t="str">
        <f>IF($D465&lt;&gt;1,"",IF($G465="ROKS",SUMIFS(TblApplications[Besoin ROKS CPU (vCPU)],TblApplications[Cluster ROKS cible],$F465,TblApplications[Action],"À migrer",TblApplications[Déjà incluse ROKS],"Non",TblApplications[Mois prov (calc)],"&lt;="&amp;$E465),SUMIFS(TblApplications[CPU IKS libérable (vCPU)],TblApplications[Cluster IKS source],$F465,TblApplications[Mois lib (calc)],"&lt;="&amp;$E465)))</f>
        <v/>
      </c>
      <c r="Q465" s="19" t="str">
        <f>IF($D465&lt;&gt;1,"",IF($G465="ROKS",SUMIFS(TblApplications[Besoin ROKS RAM (Go)],TblApplications[Cluster ROKS cible],$F465,TblApplications[Action],"À migrer",TblApplications[Déjà incluse ROKS],"Non",TblApplications[Mois prov (calc)],"&lt;="&amp;$E465),SUMIFS(TblApplications[RAM IKS libérable (Go)],TblApplications[Cluster IKS source],$F465,TblApplications[Mois lib (calc)],"&lt;="&amp;$E465)))</f>
        <v/>
      </c>
      <c r="R465" s="19" t="str">
        <f t="shared" si="122"/>
        <v/>
      </c>
      <c r="S465" s="19" t="str">
        <f t="shared" si="123"/>
        <v/>
      </c>
      <c r="T465" s="19" t="str">
        <f t="shared" si="124"/>
        <v/>
      </c>
      <c r="U465" s="19" t="str">
        <f t="shared" si="125"/>
        <v/>
      </c>
      <c r="V465" s="19" t="str">
        <f t="shared" si="126"/>
        <v/>
      </c>
      <c r="W465" s="73" t="str">
        <f t="shared" si="127"/>
        <v/>
      </c>
      <c r="X465" s="19" t="str">
        <f>IF($D465&lt;&gt;1,"",IF($G465="ROKS",$R465,IF($AI465=1,0,MAX($N465,$L465-SUMIFS(TblApplications[CPU IKS libérable (vCPU)],TblApplications[Cluster IKS source],$F465,TblApplications[Action],"À migrer",TblApplications[Mois prov (calc)],"&lt;="&amp;$E465)-SUMIFS(TblApplications[CPU IKS libérable (vCPU)],TblApplications[Cluster IKS source],$F465,TblApplications[Action],"À décommissionner",TblApplications[Mois lib (calc)],"&lt;="&amp;$E465)))))</f>
        <v/>
      </c>
      <c r="Y465" s="19" t="str">
        <f>IF($D465&lt;&gt;1,"",IF($G465="ROKS",$S465,IF($AI465=1,0,MAX($O465,$M465-SUMIFS(TblApplications[RAM IKS libérable (Go)],TblApplications[Cluster IKS source],$F465,TblApplications[Action],"À migrer",TblApplications[Mois prov (calc)],"&lt;="&amp;$E465)-SUMIFS(TblApplications[RAM IKS libérable (Go)],TblApplications[Cluster IKS source],$F465,TblApplications[Action],"À décommissionner",TblApplications[Mois lib (calc)],"&lt;="&amp;$E465)))))</f>
        <v/>
      </c>
      <c r="Z465" s="19" t="str">
        <f t="shared" si="128"/>
        <v/>
      </c>
      <c r="AA465" s="73" t="str">
        <f t="shared" si="129"/>
        <v/>
      </c>
      <c r="AB465" s="19" t="str">
        <f t="shared" si="130"/>
        <v/>
      </c>
      <c r="AC465" s="73" t="str">
        <f t="shared" si="131"/>
        <v/>
      </c>
      <c r="AD465" s="19" t="str">
        <f t="shared" si="132"/>
        <v/>
      </c>
      <c r="AE465" s="19" t="str">
        <f t="shared" si="133"/>
        <v/>
      </c>
      <c r="AF465" s="19" t="str">
        <f>IF($D465&lt;&gt;1,"",IF(INDEX(TblClusters[Environnement],$B465)="","(vide)",INDEX(TblClusters[Environnement],$B465)))</f>
        <v/>
      </c>
      <c r="AG465" s="19" t="str">
        <f t="shared" si="134"/>
        <v/>
      </c>
      <c r="AH465" s="19" t="str">
        <f t="shared" si="135"/>
        <v/>
      </c>
      <c r="AI465" s="19" t="str">
        <f>IF($D465&lt;&gt;1,"",IF(AND($G465="IKS",ISNUMBER(INDEX(TblClusters[Fermeture retenue],$B465))),IF($E465&gt;=INDEX(TblClusters[Fermeture retenue],$B465),1,0),0))</f>
        <v/>
      </c>
    </row>
    <row r="466" spans="1:35" x14ac:dyDescent="0.2">
      <c r="A466" s="19">
        <v>461</v>
      </c>
      <c r="B466" s="19">
        <f t="shared" si="119"/>
        <v>13</v>
      </c>
      <c r="C466" s="19">
        <f t="shared" si="120"/>
        <v>29</v>
      </c>
      <c r="D466" s="19">
        <f>IF($C466&gt;p_horizon,0,IFERROR(IF(AND(INDEX(TblClusters[Cluster],$B466)&lt;&gt;"",ISNUMBER(INDEX(TblClusters[CPU initial (vCPU)],$B466)),ISNUMBER(INDEX(TblClusters[CPU min (vCPU)],$B466)),OR(INDEX(TblClusters[Plateforme],$B466)="IKS",INDEX(TblClusters[Plateforme],$B466)="ROKS")),1,0),0))</f>
        <v>0</v>
      </c>
      <c r="E466" s="72" t="str">
        <f t="shared" si="121"/>
        <v/>
      </c>
      <c r="F466" s="19" t="str">
        <f>IF($D466=1,INDEX(TblClusters[Cluster],$B466),"")</f>
        <v/>
      </c>
      <c r="G466" s="19" t="str">
        <f>IF($D466=1,INDEX(TblClusters[Plateforme],$B466),"")</f>
        <v/>
      </c>
      <c r="H466" s="19" t="str">
        <f>IF($D466=1,INDEX(TblClusters[vCPU par nœud],$B466),"")</f>
        <v/>
      </c>
      <c r="I466" s="19" t="str">
        <f>IF($D466=1,INDEX(TblClusters[RAM par nœud (Go)],$B466),"")</f>
        <v/>
      </c>
      <c r="J466" s="19" t="str">
        <f>IF($D466=1,INDEX(TblClusters[Workers min],$B466),"")</f>
        <v/>
      </c>
      <c r="K466" s="73" t="str">
        <f>IF($D466=1,INDEX(TblClusters[Tarif par nœud],$B466),"")</f>
        <v/>
      </c>
      <c r="L466" s="19" t="str">
        <f>IF($D466=1,INDEX(TblClusters[CPU initial (vCPU)],$B466),"")</f>
        <v/>
      </c>
      <c r="M466" s="19" t="str">
        <f>IF($D466=1,INDEX(TblClusters[RAM initiale (Go)],$B466),"")</f>
        <v/>
      </c>
      <c r="N466" s="19" t="str">
        <f>IF($D466=1,INDEX(TblClusters[CPU min (vCPU)],$B466),"")</f>
        <v/>
      </c>
      <c r="O466" s="19" t="str">
        <f>IF($D466=1,INDEX(TblClusters[RAM min (Go)],$B466),"")</f>
        <v/>
      </c>
      <c r="P466" s="19" t="str">
        <f>IF($D466&lt;&gt;1,"",IF($G466="ROKS",SUMIFS(TblApplications[Besoin ROKS CPU (vCPU)],TblApplications[Cluster ROKS cible],$F466,TblApplications[Action],"À migrer",TblApplications[Déjà incluse ROKS],"Non",TblApplications[Mois prov (calc)],"&lt;="&amp;$E466),SUMIFS(TblApplications[CPU IKS libérable (vCPU)],TblApplications[Cluster IKS source],$F466,TblApplications[Mois lib (calc)],"&lt;="&amp;$E466)))</f>
        <v/>
      </c>
      <c r="Q466" s="19" t="str">
        <f>IF($D466&lt;&gt;1,"",IF($G466="ROKS",SUMIFS(TblApplications[Besoin ROKS RAM (Go)],TblApplications[Cluster ROKS cible],$F466,TblApplications[Action],"À migrer",TblApplications[Déjà incluse ROKS],"Non",TblApplications[Mois prov (calc)],"&lt;="&amp;$E466),SUMIFS(TblApplications[RAM IKS libérable (Go)],TblApplications[Cluster IKS source],$F466,TblApplications[Mois lib (calc)],"&lt;="&amp;$E466)))</f>
        <v/>
      </c>
      <c r="R466" s="19" t="str">
        <f t="shared" si="122"/>
        <v/>
      </c>
      <c r="S466" s="19" t="str">
        <f t="shared" si="123"/>
        <v/>
      </c>
      <c r="T466" s="19" t="str">
        <f t="shared" si="124"/>
        <v/>
      </c>
      <c r="U466" s="19" t="str">
        <f t="shared" si="125"/>
        <v/>
      </c>
      <c r="V466" s="19" t="str">
        <f t="shared" si="126"/>
        <v/>
      </c>
      <c r="W466" s="73" t="str">
        <f t="shared" si="127"/>
        <v/>
      </c>
      <c r="X466" s="19" t="str">
        <f>IF($D466&lt;&gt;1,"",IF($G466="ROKS",$R466,IF($AI466=1,0,MAX($N466,$L466-SUMIFS(TblApplications[CPU IKS libérable (vCPU)],TblApplications[Cluster IKS source],$F466,TblApplications[Action],"À migrer",TblApplications[Mois prov (calc)],"&lt;="&amp;$E466)-SUMIFS(TblApplications[CPU IKS libérable (vCPU)],TblApplications[Cluster IKS source],$F466,TblApplications[Action],"À décommissionner",TblApplications[Mois lib (calc)],"&lt;="&amp;$E466)))))</f>
        <v/>
      </c>
      <c r="Y466" s="19" t="str">
        <f>IF($D466&lt;&gt;1,"",IF($G466="ROKS",$S466,IF($AI466=1,0,MAX($O466,$M466-SUMIFS(TblApplications[RAM IKS libérable (Go)],TblApplications[Cluster IKS source],$F466,TblApplications[Action],"À migrer",TblApplications[Mois prov (calc)],"&lt;="&amp;$E466)-SUMIFS(TblApplications[RAM IKS libérable (Go)],TblApplications[Cluster IKS source],$F466,TblApplications[Action],"À décommissionner",TblApplications[Mois lib (calc)],"&lt;="&amp;$E466)))))</f>
        <v/>
      </c>
      <c r="Z466" s="19" t="str">
        <f t="shared" si="128"/>
        <v/>
      </c>
      <c r="AA466" s="73" t="str">
        <f t="shared" si="129"/>
        <v/>
      </c>
      <c r="AB466" s="19" t="str">
        <f t="shared" si="130"/>
        <v/>
      </c>
      <c r="AC466" s="73" t="str">
        <f t="shared" si="131"/>
        <v/>
      </c>
      <c r="AD466" s="19" t="str">
        <f t="shared" si="132"/>
        <v/>
      </c>
      <c r="AE466" s="19" t="str">
        <f t="shared" si="133"/>
        <v/>
      </c>
      <c r="AF466" s="19" t="str">
        <f>IF($D466&lt;&gt;1,"",IF(INDEX(TblClusters[Environnement],$B466)="","(vide)",INDEX(TblClusters[Environnement],$B466)))</f>
        <v/>
      </c>
      <c r="AG466" s="19" t="str">
        <f t="shared" si="134"/>
        <v/>
      </c>
      <c r="AH466" s="19" t="str">
        <f t="shared" si="135"/>
        <v/>
      </c>
      <c r="AI466" s="19" t="str">
        <f>IF($D466&lt;&gt;1,"",IF(AND($G466="IKS",ISNUMBER(INDEX(TblClusters[Fermeture retenue],$B466))),IF($E466&gt;=INDEX(TblClusters[Fermeture retenue],$B466),1,0),0))</f>
        <v/>
      </c>
    </row>
    <row r="467" spans="1:35" x14ac:dyDescent="0.2">
      <c r="A467" s="19">
        <v>462</v>
      </c>
      <c r="B467" s="19">
        <f t="shared" si="119"/>
        <v>13</v>
      </c>
      <c r="C467" s="19">
        <f t="shared" si="120"/>
        <v>30</v>
      </c>
      <c r="D467" s="19">
        <f>IF($C467&gt;p_horizon,0,IFERROR(IF(AND(INDEX(TblClusters[Cluster],$B467)&lt;&gt;"",ISNUMBER(INDEX(TblClusters[CPU initial (vCPU)],$B467)),ISNUMBER(INDEX(TblClusters[CPU min (vCPU)],$B467)),OR(INDEX(TblClusters[Plateforme],$B467)="IKS",INDEX(TblClusters[Plateforme],$B467)="ROKS")),1,0),0))</f>
        <v>0</v>
      </c>
      <c r="E467" s="72" t="str">
        <f t="shared" si="121"/>
        <v/>
      </c>
      <c r="F467" s="19" t="str">
        <f>IF($D467=1,INDEX(TblClusters[Cluster],$B467),"")</f>
        <v/>
      </c>
      <c r="G467" s="19" t="str">
        <f>IF($D467=1,INDEX(TblClusters[Plateforme],$B467),"")</f>
        <v/>
      </c>
      <c r="H467" s="19" t="str">
        <f>IF($D467=1,INDEX(TblClusters[vCPU par nœud],$B467),"")</f>
        <v/>
      </c>
      <c r="I467" s="19" t="str">
        <f>IF($D467=1,INDEX(TblClusters[RAM par nœud (Go)],$B467),"")</f>
        <v/>
      </c>
      <c r="J467" s="19" t="str">
        <f>IF($D467=1,INDEX(TblClusters[Workers min],$B467),"")</f>
        <v/>
      </c>
      <c r="K467" s="73" t="str">
        <f>IF($D467=1,INDEX(TblClusters[Tarif par nœud],$B467),"")</f>
        <v/>
      </c>
      <c r="L467" s="19" t="str">
        <f>IF($D467=1,INDEX(TblClusters[CPU initial (vCPU)],$B467),"")</f>
        <v/>
      </c>
      <c r="M467" s="19" t="str">
        <f>IF($D467=1,INDEX(TblClusters[RAM initiale (Go)],$B467),"")</f>
        <v/>
      </c>
      <c r="N467" s="19" t="str">
        <f>IF($D467=1,INDEX(TblClusters[CPU min (vCPU)],$B467),"")</f>
        <v/>
      </c>
      <c r="O467" s="19" t="str">
        <f>IF($D467=1,INDEX(TblClusters[RAM min (Go)],$B467),"")</f>
        <v/>
      </c>
      <c r="P467" s="19" t="str">
        <f>IF($D467&lt;&gt;1,"",IF($G467="ROKS",SUMIFS(TblApplications[Besoin ROKS CPU (vCPU)],TblApplications[Cluster ROKS cible],$F467,TblApplications[Action],"À migrer",TblApplications[Déjà incluse ROKS],"Non",TblApplications[Mois prov (calc)],"&lt;="&amp;$E467),SUMIFS(TblApplications[CPU IKS libérable (vCPU)],TblApplications[Cluster IKS source],$F467,TblApplications[Mois lib (calc)],"&lt;="&amp;$E467)))</f>
        <v/>
      </c>
      <c r="Q467" s="19" t="str">
        <f>IF($D467&lt;&gt;1,"",IF($G467="ROKS",SUMIFS(TblApplications[Besoin ROKS RAM (Go)],TblApplications[Cluster ROKS cible],$F467,TblApplications[Action],"À migrer",TblApplications[Déjà incluse ROKS],"Non",TblApplications[Mois prov (calc)],"&lt;="&amp;$E467),SUMIFS(TblApplications[RAM IKS libérable (Go)],TblApplications[Cluster IKS source],$F467,TblApplications[Mois lib (calc)],"&lt;="&amp;$E467)))</f>
        <v/>
      </c>
      <c r="R467" s="19" t="str">
        <f t="shared" si="122"/>
        <v/>
      </c>
      <c r="S467" s="19" t="str">
        <f t="shared" si="123"/>
        <v/>
      </c>
      <c r="T467" s="19" t="str">
        <f t="shared" si="124"/>
        <v/>
      </c>
      <c r="U467" s="19" t="str">
        <f t="shared" si="125"/>
        <v/>
      </c>
      <c r="V467" s="19" t="str">
        <f t="shared" si="126"/>
        <v/>
      </c>
      <c r="W467" s="73" t="str">
        <f t="shared" si="127"/>
        <v/>
      </c>
      <c r="X467" s="19" t="str">
        <f>IF($D467&lt;&gt;1,"",IF($G467="ROKS",$R467,IF($AI467=1,0,MAX($N467,$L467-SUMIFS(TblApplications[CPU IKS libérable (vCPU)],TblApplications[Cluster IKS source],$F467,TblApplications[Action],"À migrer",TblApplications[Mois prov (calc)],"&lt;="&amp;$E467)-SUMIFS(TblApplications[CPU IKS libérable (vCPU)],TblApplications[Cluster IKS source],$F467,TblApplications[Action],"À décommissionner",TblApplications[Mois lib (calc)],"&lt;="&amp;$E467)))))</f>
        <v/>
      </c>
      <c r="Y467" s="19" t="str">
        <f>IF($D467&lt;&gt;1,"",IF($G467="ROKS",$S467,IF($AI467=1,0,MAX($O467,$M467-SUMIFS(TblApplications[RAM IKS libérable (Go)],TblApplications[Cluster IKS source],$F467,TblApplications[Action],"À migrer",TblApplications[Mois prov (calc)],"&lt;="&amp;$E467)-SUMIFS(TblApplications[RAM IKS libérable (Go)],TblApplications[Cluster IKS source],$F467,TblApplications[Action],"À décommissionner",TblApplications[Mois lib (calc)],"&lt;="&amp;$E467)))))</f>
        <v/>
      </c>
      <c r="Z467" s="19" t="str">
        <f t="shared" si="128"/>
        <v/>
      </c>
      <c r="AA467" s="73" t="str">
        <f t="shared" si="129"/>
        <v/>
      </c>
      <c r="AB467" s="19" t="str">
        <f t="shared" si="130"/>
        <v/>
      </c>
      <c r="AC467" s="73" t="str">
        <f t="shared" si="131"/>
        <v/>
      </c>
      <c r="AD467" s="19" t="str">
        <f t="shared" si="132"/>
        <v/>
      </c>
      <c r="AE467" s="19" t="str">
        <f t="shared" si="133"/>
        <v/>
      </c>
      <c r="AF467" s="19" t="str">
        <f>IF($D467&lt;&gt;1,"",IF(INDEX(TblClusters[Environnement],$B467)="","(vide)",INDEX(TblClusters[Environnement],$B467)))</f>
        <v/>
      </c>
      <c r="AG467" s="19" t="str">
        <f t="shared" si="134"/>
        <v/>
      </c>
      <c r="AH467" s="19" t="str">
        <f t="shared" si="135"/>
        <v/>
      </c>
      <c r="AI467" s="19" t="str">
        <f>IF($D467&lt;&gt;1,"",IF(AND($G467="IKS",ISNUMBER(INDEX(TblClusters[Fermeture retenue],$B467))),IF($E467&gt;=INDEX(TblClusters[Fermeture retenue],$B467),1,0),0))</f>
        <v/>
      </c>
    </row>
    <row r="468" spans="1:35" x14ac:dyDescent="0.2">
      <c r="A468" s="19">
        <v>463</v>
      </c>
      <c r="B468" s="19">
        <f t="shared" si="119"/>
        <v>13</v>
      </c>
      <c r="C468" s="19">
        <f t="shared" si="120"/>
        <v>31</v>
      </c>
      <c r="D468" s="19">
        <f>IF($C468&gt;p_horizon,0,IFERROR(IF(AND(INDEX(TblClusters[Cluster],$B468)&lt;&gt;"",ISNUMBER(INDEX(TblClusters[CPU initial (vCPU)],$B468)),ISNUMBER(INDEX(TblClusters[CPU min (vCPU)],$B468)),OR(INDEX(TblClusters[Plateforme],$B468)="IKS",INDEX(TblClusters[Plateforme],$B468)="ROKS")),1,0),0))</f>
        <v>0</v>
      </c>
      <c r="E468" s="72" t="str">
        <f t="shared" si="121"/>
        <v/>
      </c>
      <c r="F468" s="19" t="str">
        <f>IF($D468=1,INDEX(TblClusters[Cluster],$B468),"")</f>
        <v/>
      </c>
      <c r="G468" s="19" t="str">
        <f>IF($D468=1,INDEX(TblClusters[Plateforme],$B468),"")</f>
        <v/>
      </c>
      <c r="H468" s="19" t="str">
        <f>IF($D468=1,INDEX(TblClusters[vCPU par nœud],$B468),"")</f>
        <v/>
      </c>
      <c r="I468" s="19" t="str">
        <f>IF($D468=1,INDEX(TblClusters[RAM par nœud (Go)],$B468),"")</f>
        <v/>
      </c>
      <c r="J468" s="19" t="str">
        <f>IF($D468=1,INDEX(TblClusters[Workers min],$B468),"")</f>
        <v/>
      </c>
      <c r="K468" s="73" t="str">
        <f>IF($D468=1,INDEX(TblClusters[Tarif par nœud],$B468),"")</f>
        <v/>
      </c>
      <c r="L468" s="19" t="str">
        <f>IF($D468=1,INDEX(TblClusters[CPU initial (vCPU)],$B468),"")</f>
        <v/>
      </c>
      <c r="M468" s="19" t="str">
        <f>IF($D468=1,INDEX(TblClusters[RAM initiale (Go)],$B468),"")</f>
        <v/>
      </c>
      <c r="N468" s="19" t="str">
        <f>IF($D468=1,INDEX(TblClusters[CPU min (vCPU)],$B468),"")</f>
        <v/>
      </c>
      <c r="O468" s="19" t="str">
        <f>IF($D468=1,INDEX(TblClusters[RAM min (Go)],$B468),"")</f>
        <v/>
      </c>
      <c r="P468" s="19" t="str">
        <f>IF($D468&lt;&gt;1,"",IF($G468="ROKS",SUMIFS(TblApplications[Besoin ROKS CPU (vCPU)],TblApplications[Cluster ROKS cible],$F468,TblApplications[Action],"À migrer",TblApplications[Déjà incluse ROKS],"Non",TblApplications[Mois prov (calc)],"&lt;="&amp;$E468),SUMIFS(TblApplications[CPU IKS libérable (vCPU)],TblApplications[Cluster IKS source],$F468,TblApplications[Mois lib (calc)],"&lt;="&amp;$E468)))</f>
        <v/>
      </c>
      <c r="Q468" s="19" t="str">
        <f>IF($D468&lt;&gt;1,"",IF($G468="ROKS",SUMIFS(TblApplications[Besoin ROKS RAM (Go)],TblApplications[Cluster ROKS cible],$F468,TblApplications[Action],"À migrer",TblApplications[Déjà incluse ROKS],"Non",TblApplications[Mois prov (calc)],"&lt;="&amp;$E468),SUMIFS(TblApplications[RAM IKS libérable (Go)],TblApplications[Cluster IKS source],$F468,TblApplications[Mois lib (calc)],"&lt;="&amp;$E468)))</f>
        <v/>
      </c>
      <c r="R468" s="19" t="str">
        <f t="shared" si="122"/>
        <v/>
      </c>
      <c r="S468" s="19" t="str">
        <f t="shared" si="123"/>
        <v/>
      </c>
      <c r="T468" s="19" t="str">
        <f t="shared" si="124"/>
        <v/>
      </c>
      <c r="U468" s="19" t="str">
        <f t="shared" si="125"/>
        <v/>
      </c>
      <c r="V468" s="19" t="str">
        <f t="shared" si="126"/>
        <v/>
      </c>
      <c r="W468" s="73" t="str">
        <f t="shared" si="127"/>
        <v/>
      </c>
      <c r="X468" s="19" t="str">
        <f>IF($D468&lt;&gt;1,"",IF($G468="ROKS",$R468,IF($AI468=1,0,MAX($N468,$L468-SUMIFS(TblApplications[CPU IKS libérable (vCPU)],TblApplications[Cluster IKS source],$F468,TblApplications[Action],"À migrer",TblApplications[Mois prov (calc)],"&lt;="&amp;$E468)-SUMIFS(TblApplications[CPU IKS libérable (vCPU)],TblApplications[Cluster IKS source],$F468,TblApplications[Action],"À décommissionner",TblApplications[Mois lib (calc)],"&lt;="&amp;$E468)))))</f>
        <v/>
      </c>
      <c r="Y468" s="19" t="str">
        <f>IF($D468&lt;&gt;1,"",IF($G468="ROKS",$S468,IF($AI468=1,0,MAX($O468,$M468-SUMIFS(TblApplications[RAM IKS libérable (Go)],TblApplications[Cluster IKS source],$F468,TblApplications[Action],"À migrer",TblApplications[Mois prov (calc)],"&lt;="&amp;$E468)-SUMIFS(TblApplications[RAM IKS libérable (Go)],TblApplications[Cluster IKS source],$F468,TblApplications[Action],"À décommissionner",TblApplications[Mois lib (calc)],"&lt;="&amp;$E468)))))</f>
        <v/>
      </c>
      <c r="Z468" s="19" t="str">
        <f t="shared" si="128"/>
        <v/>
      </c>
      <c r="AA468" s="73" t="str">
        <f t="shared" si="129"/>
        <v/>
      </c>
      <c r="AB468" s="19" t="str">
        <f t="shared" si="130"/>
        <v/>
      </c>
      <c r="AC468" s="73" t="str">
        <f t="shared" si="131"/>
        <v/>
      </c>
      <c r="AD468" s="19" t="str">
        <f t="shared" si="132"/>
        <v/>
      </c>
      <c r="AE468" s="19" t="str">
        <f t="shared" si="133"/>
        <v/>
      </c>
      <c r="AF468" s="19" t="str">
        <f>IF($D468&lt;&gt;1,"",IF(INDEX(TblClusters[Environnement],$B468)="","(vide)",INDEX(TblClusters[Environnement],$B468)))</f>
        <v/>
      </c>
      <c r="AG468" s="19" t="str">
        <f t="shared" si="134"/>
        <v/>
      </c>
      <c r="AH468" s="19" t="str">
        <f t="shared" si="135"/>
        <v/>
      </c>
      <c r="AI468" s="19" t="str">
        <f>IF($D468&lt;&gt;1,"",IF(AND($G468="IKS",ISNUMBER(INDEX(TblClusters[Fermeture retenue],$B468))),IF($E468&gt;=INDEX(TblClusters[Fermeture retenue],$B468),1,0),0))</f>
        <v/>
      </c>
    </row>
    <row r="469" spans="1:35" x14ac:dyDescent="0.2">
      <c r="A469" s="19">
        <v>464</v>
      </c>
      <c r="B469" s="19">
        <f t="shared" si="119"/>
        <v>13</v>
      </c>
      <c r="C469" s="19">
        <f t="shared" si="120"/>
        <v>32</v>
      </c>
      <c r="D469" s="19">
        <f>IF($C469&gt;p_horizon,0,IFERROR(IF(AND(INDEX(TblClusters[Cluster],$B469)&lt;&gt;"",ISNUMBER(INDEX(TblClusters[CPU initial (vCPU)],$B469)),ISNUMBER(INDEX(TblClusters[CPU min (vCPU)],$B469)),OR(INDEX(TblClusters[Plateforme],$B469)="IKS",INDEX(TblClusters[Plateforme],$B469)="ROKS")),1,0),0))</f>
        <v>0</v>
      </c>
      <c r="E469" s="72" t="str">
        <f t="shared" si="121"/>
        <v/>
      </c>
      <c r="F469" s="19" t="str">
        <f>IF($D469=1,INDEX(TblClusters[Cluster],$B469),"")</f>
        <v/>
      </c>
      <c r="G469" s="19" t="str">
        <f>IF($D469=1,INDEX(TblClusters[Plateforme],$B469),"")</f>
        <v/>
      </c>
      <c r="H469" s="19" t="str">
        <f>IF($D469=1,INDEX(TblClusters[vCPU par nœud],$B469),"")</f>
        <v/>
      </c>
      <c r="I469" s="19" t="str">
        <f>IF($D469=1,INDEX(TblClusters[RAM par nœud (Go)],$B469),"")</f>
        <v/>
      </c>
      <c r="J469" s="19" t="str">
        <f>IF($D469=1,INDEX(TblClusters[Workers min],$B469),"")</f>
        <v/>
      </c>
      <c r="K469" s="73" t="str">
        <f>IF($D469=1,INDEX(TblClusters[Tarif par nœud],$B469),"")</f>
        <v/>
      </c>
      <c r="L469" s="19" t="str">
        <f>IF($D469=1,INDEX(TblClusters[CPU initial (vCPU)],$B469),"")</f>
        <v/>
      </c>
      <c r="M469" s="19" t="str">
        <f>IF($D469=1,INDEX(TblClusters[RAM initiale (Go)],$B469),"")</f>
        <v/>
      </c>
      <c r="N469" s="19" t="str">
        <f>IF($D469=1,INDEX(TblClusters[CPU min (vCPU)],$B469),"")</f>
        <v/>
      </c>
      <c r="O469" s="19" t="str">
        <f>IF($D469=1,INDEX(TblClusters[RAM min (Go)],$B469),"")</f>
        <v/>
      </c>
      <c r="P469" s="19" t="str">
        <f>IF($D469&lt;&gt;1,"",IF($G469="ROKS",SUMIFS(TblApplications[Besoin ROKS CPU (vCPU)],TblApplications[Cluster ROKS cible],$F469,TblApplications[Action],"À migrer",TblApplications[Déjà incluse ROKS],"Non",TblApplications[Mois prov (calc)],"&lt;="&amp;$E469),SUMIFS(TblApplications[CPU IKS libérable (vCPU)],TblApplications[Cluster IKS source],$F469,TblApplications[Mois lib (calc)],"&lt;="&amp;$E469)))</f>
        <v/>
      </c>
      <c r="Q469" s="19" t="str">
        <f>IF($D469&lt;&gt;1,"",IF($G469="ROKS",SUMIFS(TblApplications[Besoin ROKS RAM (Go)],TblApplications[Cluster ROKS cible],$F469,TblApplications[Action],"À migrer",TblApplications[Déjà incluse ROKS],"Non",TblApplications[Mois prov (calc)],"&lt;="&amp;$E469),SUMIFS(TblApplications[RAM IKS libérable (Go)],TblApplications[Cluster IKS source],$F469,TblApplications[Mois lib (calc)],"&lt;="&amp;$E469)))</f>
        <v/>
      </c>
      <c r="R469" s="19" t="str">
        <f t="shared" si="122"/>
        <v/>
      </c>
      <c r="S469" s="19" t="str">
        <f t="shared" si="123"/>
        <v/>
      </c>
      <c r="T469" s="19" t="str">
        <f t="shared" si="124"/>
        <v/>
      </c>
      <c r="U469" s="19" t="str">
        <f t="shared" si="125"/>
        <v/>
      </c>
      <c r="V469" s="19" t="str">
        <f t="shared" si="126"/>
        <v/>
      </c>
      <c r="W469" s="73" t="str">
        <f t="shared" si="127"/>
        <v/>
      </c>
      <c r="X469" s="19" t="str">
        <f>IF($D469&lt;&gt;1,"",IF($G469="ROKS",$R469,IF($AI469=1,0,MAX($N469,$L469-SUMIFS(TblApplications[CPU IKS libérable (vCPU)],TblApplications[Cluster IKS source],$F469,TblApplications[Action],"À migrer",TblApplications[Mois prov (calc)],"&lt;="&amp;$E469)-SUMIFS(TblApplications[CPU IKS libérable (vCPU)],TblApplications[Cluster IKS source],$F469,TblApplications[Action],"À décommissionner",TblApplications[Mois lib (calc)],"&lt;="&amp;$E469)))))</f>
        <v/>
      </c>
      <c r="Y469" s="19" t="str">
        <f>IF($D469&lt;&gt;1,"",IF($G469="ROKS",$S469,IF($AI469=1,0,MAX($O469,$M469-SUMIFS(TblApplications[RAM IKS libérable (Go)],TblApplications[Cluster IKS source],$F469,TblApplications[Action],"À migrer",TblApplications[Mois prov (calc)],"&lt;="&amp;$E469)-SUMIFS(TblApplications[RAM IKS libérable (Go)],TblApplications[Cluster IKS source],$F469,TblApplications[Action],"À décommissionner",TblApplications[Mois lib (calc)],"&lt;="&amp;$E469)))))</f>
        <v/>
      </c>
      <c r="Z469" s="19" t="str">
        <f t="shared" si="128"/>
        <v/>
      </c>
      <c r="AA469" s="73" t="str">
        <f t="shared" si="129"/>
        <v/>
      </c>
      <c r="AB469" s="19" t="str">
        <f t="shared" si="130"/>
        <v/>
      </c>
      <c r="AC469" s="73" t="str">
        <f t="shared" si="131"/>
        <v/>
      </c>
      <c r="AD469" s="19" t="str">
        <f t="shared" si="132"/>
        <v/>
      </c>
      <c r="AE469" s="19" t="str">
        <f t="shared" si="133"/>
        <v/>
      </c>
      <c r="AF469" s="19" t="str">
        <f>IF($D469&lt;&gt;1,"",IF(INDEX(TblClusters[Environnement],$B469)="","(vide)",INDEX(TblClusters[Environnement],$B469)))</f>
        <v/>
      </c>
      <c r="AG469" s="19" t="str">
        <f t="shared" si="134"/>
        <v/>
      </c>
      <c r="AH469" s="19" t="str">
        <f t="shared" si="135"/>
        <v/>
      </c>
      <c r="AI469" s="19" t="str">
        <f>IF($D469&lt;&gt;1,"",IF(AND($G469="IKS",ISNUMBER(INDEX(TblClusters[Fermeture retenue],$B469))),IF($E469&gt;=INDEX(TblClusters[Fermeture retenue],$B469),1,0),0))</f>
        <v/>
      </c>
    </row>
    <row r="470" spans="1:35" x14ac:dyDescent="0.2">
      <c r="A470" s="19">
        <v>465</v>
      </c>
      <c r="B470" s="19">
        <f t="shared" si="119"/>
        <v>13</v>
      </c>
      <c r="C470" s="19">
        <f t="shared" si="120"/>
        <v>33</v>
      </c>
      <c r="D470" s="19">
        <f>IF($C470&gt;p_horizon,0,IFERROR(IF(AND(INDEX(TblClusters[Cluster],$B470)&lt;&gt;"",ISNUMBER(INDEX(TblClusters[CPU initial (vCPU)],$B470)),ISNUMBER(INDEX(TblClusters[CPU min (vCPU)],$B470)),OR(INDEX(TblClusters[Plateforme],$B470)="IKS",INDEX(TblClusters[Plateforme],$B470)="ROKS")),1,0),0))</f>
        <v>0</v>
      </c>
      <c r="E470" s="72" t="str">
        <f t="shared" si="121"/>
        <v/>
      </c>
      <c r="F470" s="19" t="str">
        <f>IF($D470=1,INDEX(TblClusters[Cluster],$B470),"")</f>
        <v/>
      </c>
      <c r="G470" s="19" t="str">
        <f>IF($D470=1,INDEX(TblClusters[Plateforme],$B470),"")</f>
        <v/>
      </c>
      <c r="H470" s="19" t="str">
        <f>IF($D470=1,INDEX(TblClusters[vCPU par nœud],$B470),"")</f>
        <v/>
      </c>
      <c r="I470" s="19" t="str">
        <f>IF($D470=1,INDEX(TblClusters[RAM par nœud (Go)],$B470),"")</f>
        <v/>
      </c>
      <c r="J470" s="19" t="str">
        <f>IF($D470=1,INDEX(TblClusters[Workers min],$B470),"")</f>
        <v/>
      </c>
      <c r="K470" s="73" t="str">
        <f>IF($D470=1,INDEX(TblClusters[Tarif par nœud],$B470),"")</f>
        <v/>
      </c>
      <c r="L470" s="19" t="str">
        <f>IF($D470=1,INDEX(TblClusters[CPU initial (vCPU)],$B470),"")</f>
        <v/>
      </c>
      <c r="M470" s="19" t="str">
        <f>IF($D470=1,INDEX(TblClusters[RAM initiale (Go)],$B470),"")</f>
        <v/>
      </c>
      <c r="N470" s="19" t="str">
        <f>IF($D470=1,INDEX(TblClusters[CPU min (vCPU)],$B470),"")</f>
        <v/>
      </c>
      <c r="O470" s="19" t="str">
        <f>IF($D470=1,INDEX(TblClusters[RAM min (Go)],$B470),"")</f>
        <v/>
      </c>
      <c r="P470" s="19" t="str">
        <f>IF($D470&lt;&gt;1,"",IF($G470="ROKS",SUMIFS(TblApplications[Besoin ROKS CPU (vCPU)],TblApplications[Cluster ROKS cible],$F470,TblApplications[Action],"À migrer",TblApplications[Déjà incluse ROKS],"Non",TblApplications[Mois prov (calc)],"&lt;="&amp;$E470),SUMIFS(TblApplications[CPU IKS libérable (vCPU)],TblApplications[Cluster IKS source],$F470,TblApplications[Mois lib (calc)],"&lt;="&amp;$E470)))</f>
        <v/>
      </c>
      <c r="Q470" s="19" t="str">
        <f>IF($D470&lt;&gt;1,"",IF($G470="ROKS",SUMIFS(TblApplications[Besoin ROKS RAM (Go)],TblApplications[Cluster ROKS cible],$F470,TblApplications[Action],"À migrer",TblApplications[Déjà incluse ROKS],"Non",TblApplications[Mois prov (calc)],"&lt;="&amp;$E470),SUMIFS(TblApplications[RAM IKS libérable (Go)],TblApplications[Cluster IKS source],$F470,TblApplications[Mois lib (calc)],"&lt;="&amp;$E470)))</f>
        <v/>
      </c>
      <c r="R470" s="19" t="str">
        <f t="shared" si="122"/>
        <v/>
      </c>
      <c r="S470" s="19" t="str">
        <f t="shared" si="123"/>
        <v/>
      </c>
      <c r="T470" s="19" t="str">
        <f t="shared" si="124"/>
        <v/>
      </c>
      <c r="U470" s="19" t="str">
        <f t="shared" si="125"/>
        <v/>
      </c>
      <c r="V470" s="19" t="str">
        <f t="shared" si="126"/>
        <v/>
      </c>
      <c r="W470" s="73" t="str">
        <f t="shared" si="127"/>
        <v/>
      </c>
      <c r="X470" s="19" t="str">
        <f>IF($D470&lt;&gt;1,"",IF($G470="ROKS",$R470,IF($AI470=1,0,MAX($N470,$L470-SUMIFS(TblApplications[CPU IKS libérable (vCPU)],TblApplications[Cluster IKS source],$F470,TblApplications[Action],"À migrer",TblApplications[Mois prov (calc)],"&lt;="&amp;$E470)-SUMIFS(TblApplications[CPU IKS libérable (vCPU)],TblApplications[Cluster IKS source],$F470,TblApplications[Action],"À décommissionner",TblApplications[Mois lib (calc)],"&lt;="&amp;$E470)))))</f>
        <v/>
      </c>
      <c r="Y470" s="19" t="str">
        <f>IF($D470&lt;&gt;1,"",IF($G470="ROKS",$S470,IF($AI470=1,0,MAX($O470,$M470-SUMIFS(TblApplications[RAM IKS libérable (Go)],TblApplications[Cluster IKS source],$F470,TblApplications[Action],"À migrer",TblApplications[Mois prov (calc)],"&lt;="&amp;$E470)-SUMIFS(TblApplications[RAM IKS libérable (Go)],TblApplications[Cluster IKS source],$F470,TblApplications[Action],"À décommissionner",TblApplications[Mois lib (calc)],"&lt;="&amp;$E470)))))</f>
        <v/>
      </c>
      <c r="Z470" s="19" t="str">
        <f t="shared" si="128"/>
        <v/>
      </c>
      <c r="AA470" s="73" t="str">
        <f t="shared" si="129"/>
        <v/>
      </c>
      <c r="AB470" s="19" t="str">
        <f t="shared" si="130"/>
        <v/>
      </c>
      <c r="AC470" s="73" t="str">
        <f t="shared" si="131"/>
        <v/>
      </c>
      <c r="AD470" s="19" t="str">
        <f t="shared" si="132"/>
        <v/>
      </c>
      <c r="AE470" s="19" t="str">
        <f t="shared" si="133"/>
        <v/>
      </c>
      <c r="AF470" s="19" t="str">
        <f>IF($D470&lt;&gt;1,"",IF(INDEX(TblClusters[Environnement],$B470)="","(vide)",INDEX(TblClusters[Environnement],$B470)))</f>
        <v/>
      </c>
      <c r="AG470" s="19" t="str">
        <f t="shared" si="134"/>
        <v/>
      </c>
      <c r="AH470" s="19" t="str">
        <f t="shared" si="135"/>
        <v/>
      </c>
      <c r="AI470" s="19" t="str">
        <f>IF($D470&lt;&gt;1,"",IF(AND($G470="IKS",ISNUMBER(INDEX(TblClusters[Fermeture retenue],$B470))),IF($E470&gt;=INDEX(TblClusters[Fermeture retenue],$B470),1,0),0))</f>
        <v/>
      </c>
    </row>
    <row r="471" spans="1:35" x14ac:dyDescent="0.2">
      <c r="A471" s="19">
        <v>466</v>
      </c>
      <c r="B471" s="19">
        <f t="shared" si="119"/>
        <v>13</v>
      </c>
      <c r="C471" s="19">
        <f t="shared" si="120"/>
        <v>34</v>
      </c>
      <c r="D471" s="19">
        <f>IF($C471&gt;p_horizon,0,IFERROR(IF(AND(INDEX(TblClusters[Cluster],$B471)&lt;&gt;"",ISNUMBER(INDEX(TblClusters[CPU initial (vCPU)],$B471)),ISNUMBER(INDEX(TblClusters[CPU min (vCPU)],$B471)),OR(INDEX(TblClusters[Plateforme],$B471)="IKS",INDEX(TblClusters[Plateforme],$B471)="ROKS")),1,0),0))</f>
        <v>0</v>
      </c>
      <c r="E471" s="72" t="str">
        <f t="shared" si="121"/>
        <v/>
      </c>
      <c r="F471" s="19" t="str">
        <f>IF($D471=1,INDEX(TblClusters[Cluster],$B471),"")</f>
        <v/>
      </c>
      <c r="G471" s="19" t="str">
        <f>IF($D471=1,INDEX(TblClusters[Plateforme],$B471),"")</f>
        <v/>
      </c>
      <c r="H471" s="19" t="str">
        <f>IF($D471=1,INDEX(TblClusters[vCPU par nœud],$B471),"")</f>
        <v/>
      </c>
      <c r="I471" s="19" t="str">
        <f>IF($D471=1,INDEX(TblClusters[RAM par nœud (Go)],$B471),"")</f>
        <v/>
      </c>
      <c r="J471" s="19" t="str">
        <f>IF($D471=1,INDEX(TblClusters[Workers min],$B471),"")</f>
        <v/>
      </c>
      <c r="K471" s="73" t="str">
        <f>IF($D471=1,INDEX(TblClusters[Tarif par nœud],$B471),"")</f>
        <v/>
      </c>
      <c r="L471" s="19" t="str">
        <f>IF($D471=1,INDEX(TblClusters[CPU initial (vCPU)],$B471),"")</f>
        <v/>
      </c>
      <c r="M471" s="19" t="str">
        <f>IF($D471=1,INDEX(TblClusters[RAM initiale (Go)],$B471),"")</f>
        <v/>
      </c>
      <c r="N471" s="19" t="str">
        <f>IF($D471=1,INDEX(TblClusters[CPU min (vCPU)],$B471),"")</f>
        <v/>
      </c>
      <c r="O471" s="19" t="str">
        <f>IF($D471=1,INDEX(TblClusters[RAM min (Go)],$B471),"")</f>
        <v/>
      </c>
      <c r="P471" s="19" t="str">
        <f>IF($D471&lt;&gt;1,"",IF($G471="ROKS",SUMIFS(TblApplications[Besoin ROKS CPU (vCPU)],TblApplications[Cluster ROKS cible],$F471,TblApplications[Action],"À migrer",TblApplications[Déjà incluse ROKS],"Non",TblApplications[Mois prov (calc)],"&lt;="&amp;$E471),SUMIFS(TblApplications[CPU IKS libérable (vCPU)],TblApplications[Cluster IKS source],$F471,TblApplications[Mois lib (calc)],"&lt;="&amp;$E471)))</f>
        <v/>
      </c>
      <c r="Q471" s="19" t="str">
        <f>IF($D471&lt;&gt;1,"",IF($G471="ROKS",SUMIFS(TblApplications[Besoin ROKS RAM (Go)],TblApplications[Cluster ROKS cible],$F471,TblApplications[Action],"À migrer",TblApplications[Déjà incluse ROKS],"Non",TblApplications[Mois prov (calc)],"&lt;="&amp;$E471),SUMIFS(TblApplications[RAM IKS libérable (Go)],TblApplications[Cluster IKS source],$F471,TblApplications[Mois lib (calc)],"&lt;="&amp;$E471)))</f>
        <v/>
      </c>
      <c r="R471" s="19" t="str">
        <f t="shared" si="122"/>
        <v/>
      </c>
      <c r="S471" s="19" t="str">
        <f t="shared" si="123"/>
        <v/>
      </c>
      <c r="T471" s="19" t="str">
        <f t="shared" si="124"/>
        <v/>
      </c>
      <c r="U471" s="19" t="str">
        <f t="shared" si="125"/>
        <v/>
      </c>
      <c r="V471" s="19" t="str">
        <f t="shared" si="126"/>
        <v/>
      </c>
      <c r="W471" s="73" t="str">
        <f t="shared" si="127"/>
        <v/>
      </c>
      <c r="X471" s="19" t="str">
        <f>IF($D471&lt;&gt;1,"",IF($G471="ROKS",$R471,IF($AI471=1,0,MAX($N471,$L471-SUMIFS(TblApplications[CPU IKS libérable (vCPU)],TblApplications[Cluster IKS source],$F471,TblApplications[Action],"À migrer",TblApplications[Mois prov (calc)],"&lt;="&amp;$E471)-SUMIFS(TblApplications[CPU IKS libérable (vCPU)],TblApplications[Cluster IKS source],$F471,TblApplications[Action],"À décommissionner",TblApplications[Mois lib (calc)],"&lt;="&amp;$E471)))))</f>
        <v/>
      </c>
      <c r="Y471" s="19" t="str">
        <f>IF($D471&lt;&gt;1,"",IF($G471="ROKS",$S471,IF($AI471=1,0,MAX($O471,$M471-SUMIFS(TblApplications[RAM IKS libérable (Go)],TblApplications[Cluster IKS source],$F471,TblApplications[Action],"À migrer",TblApplications[Mois prov (calc)],"&lt;="&amp;$E471)-SUMIFS(TblApplications[RAM IKS libérable (Go)],TblApplications[Cluster IKS source],$F471,TblApplications[Action],"À décommissionner",TblApplications[Mois lib (calc)],"&lt;="&amp;$E471)))))</f>
        <v/>
      </c>
      <c r="Z471" s="19" t="str">
        <f t="shared" si="128"/>
        <v/>
      </c>
      <c r="AA471" s="73" t="str">
        <f t="shared" si="129"/>
        <v/>
      </c>
      <c r="AB471" s="19" t="str">
        <f t="shared" si="130"/>
        <v/>
      </c>
      <c r="AC471" s="73" t="str">
        <f t="shared" si="131"/>
        <v/>
      </c>
      <c r="AD471" s="19" t="str">
        <f t="shared" si="132"/>
        <v/>
      </c>
      <c r="AE471" s="19" t="str">
        <f t="shared" si="133"/>
        <v/>
      </c>
      <c r="AF471" s="19" t="str">
        <f>IF($D471&lt;&gt;1,"",IF(INDEX(TblClusters[Environnement],$B471)="","(vide)",INDEX(TblClusters[Environnement],$B471)))</f>
        <v/>
      </c>
      <c r="AG471" s="19" t="str">
        <f t="shared" si="134"/>
        <v/>
      </c>
      <c r="AH471" s="19" t="str">
        <f t="shared" si="135"/>
        <v/>
      </c>
      <c r="AI471" s="19" t="str">
        <f>IF($D471&lt;&gt;1,"",IF(AND($G471="IKS",ISNUMBER(INDEX(TblClusters[Fermeture retenue],$B471))),IF($E471&gt;=INDEX(TblClusters[Fermeture retenue],$B471),1,0),0))</f>
        <v/>
      </c>
    </row>
    <row r="472" spans="1:35" x14ac:dyDescent="0.2">
      <c r="A472" s="19">
        <v>467</v>
      </c>
      <c r="B472" s="19">
        <f t="shared" si="119"/>
        <v>13</v>
      </c>
      <c r="C472" s="19">
        <f t="shared" si="120"/>
        <v>35</v>
      </c>
      <c r="D472" s="19">
        <f>IF($C472&gt;p_horizon,0,IFERROR(IF(AND(INDEX(TblClusters[Cluster],$B472)&lt;&gt;"",ISNUMBER(INDEX(TblClusters[CPU initial (vCPU)],$B472)),ISNUMBER(INDEX(TblClusters[CPU min (vCPU)],$B472)),OR(INDEX(TblClusters[Plateforme],$B472)="IKS",INDEX(TblClusters[Plateforme],$B472)="ROKS")),1,0),0))</f>
        <v>0</v>
      </c>
      <c r="E472" s="72" t="str">
        <f t="shared" si="121"/>
        <v/>
      </c>
      <c r="F472" s="19" t="str">
        <f>IF($D472=1,INDEX(TblClusters[Cluster],$B472),"")</f>
        <v/>
      </c>
      <c r="G472" s="19" t="str">
        <f>IF($D472=1,INDEX(TblClusters[Plateforme],$B472),"")</f>
        <v/>
      </c>
      <c r="H472" s="19" t="str">
        <f>IF($D472=1,INDEX(TblClusters[vCPU par nœud],$B472),"")</f>
        <v/>
      </c>
      <c r="I472" s="19" t="str">
        <f>IF($D472=1,INDEX(TblClusters[RAM par nœud (Go)],$B472),"")</f>
        <v/>
      </c>
      <c r="J472" s="19" t="str">
        <f>IF($D472=1,INDEX(TblClusters[Workers min],$B472),"")</f>
        <v/>
      </c>
      <c r="K472" s="73" t="str">
        <f>IF($D472=1,INDEX(TblClusters[Tarif par nœud],$B472),"")</f>
        <v/>
      </c>
      <c r="L472" s="19" t="str">
        <f>IF($D472=1,INDEX(TblClusters[CPU initial (vCPU)],$B472),"")</f>
        <v/>
      </c>
      <c r="M472" s="19" t="str">
        <f>IF($D472=1,INDEX(TblClusters[RAM initiale (Go)],$B472),"")</f>
        <v/>
      </c>
      <c r="N472" s="19" t="str">
        <f>IF($D472=1,INDEX(TblClusters[CPU min (vCPU)],$B472),"")</f>
        <v/>
      </c>
      <c r="O472" s="19" t="str">
        <f>IF($D472=1,INDEX(TblClusters[RAM min (Go)],$B472),"")</f>
        <v/>
      </c>
      <c r="P472" s="19" t="str">
        <f>IF($D472&lt;&gt;1,"",IF($G472="ROKS",SUMIFS(TblApplications[Besoin ROKS CPU (vCPU)],TblApplications[Cluster ROKS cible],$F472,TblApplications[Action],"À migrer",TblApplications[Déjà incluse ROKS],"Non",TblApplications[Mois prov (calc)],"&lt;="&amp;$E472),SUMIFS(TblApplications[CPU IKS libérable (vCPU)],TblApplications[Cluster IKS source],$F472,TblApplications[Mois lib (calc)],"&lt;="&amp;$E472)))</f>
        <v/>
      </c>
      <c r="Q472" s="19" t="str">
        <f>IF($D472&lt;&gt;1,"",IF($G472="ROKS",SUMIFS(TblApplications[Besoin ROKS RAM (Go)],TblApplications[Cluster ROKS cible],$F472,TblApplications[Action],"À migrer",TblApplications[Déjà incluse ROKS],"Non",TblApplications[Mois prov (calc)],"&lt;="&amp;$E472),SUMIFS(TblApplications[RAM IKS libérable (Go)],TblApplications[Cluster IKS source],$F472,TblApplications[Mois lib (calc)],"&lt;="&amp;$E472)))</f>
        <v/>
      </c>
      <c r="R472" s="19" t="str">
        <f t="shared" si="122"/>
        <v/>
      </c>
      <c r="S472" s="19" t="str">
        <f t="shared" si="123"/>
        <v/>
      </c>
      <c r="T472" s="19" t="str">
        <f t="shared" si="124"/>
        <v/>
      </c>
      <c r="U472" s="19" t="str">
        <f t="shared" si="125"/>
        <v/>
      </c>
      <c r="V472" s="19" t="str">
        <f t="shared" si="126"/>
        <v/>
      </c>
      <c r="W472" s="73" t="str">
        <f t="shared" si="127"/>
        <v/>
      </c>
      <c r="X472" s="19" t="str">
        <f>IF($D472&lt;&gt;1,"",IF($G472="ROKS",$R472,IF($AI472=1,0,MAX($N472,$L472-SUMIFS(TblApplications[CPU IKS libérable (vCPU)],TblApplications[Cluster IKS source],$F472,TblApplications[Action],"À migrer",TblApplications[Mois prov (calc)],"&lt;="&amp;$E472)-SUMIFS(TblApplications[CPU IKS libérable (vCPU)],TblApplications[Cluster IKS source],$F472,TblApplications[Action],"À décommissionner",TblApplications[Mois lib (calc)],"&lt;="&amp;$E472)))))</f>
        <v/>
      </c>
      <c r="Y472" s="19" t="str">
        <f>IF($D472&lt;&gt;1,"",IF($G472="ROKS",$S472,IF($AI472=1,0,MAX($O472,$M472-SUMIFS(TblApplications[RAM IKS libérable (Go)],TblApplications[Cluster IKS source],$F472,TblApplications[Action],"À migrer",TblApplications[Mois prov (calc)],"&lt;="&amp;$E472)-SUMIFS(TblApplications[RAM IKS libérable (Go)],TblApplications[Cluster IKS source],$F472,TblApplications[Action],"À décommissionner",TblApplications[Mois lib (calc)],"&lt;="&amp;$E472)))))</f>
        <v/>
      </c>
      <c r="Z472" s="19" t="str">
        <f t="shared" si="128"/>
        <v/>
      </c>
      <c r="AA472" s="73" t="str">
        <f t="shared" si="129"/>
        <v/>
      </c>
      <c r="AB472" s="19" t="str">
        <f t="shared" si="130"/>
        <v/>
      </c>
      <c r="AC472" s="73" t="str">
        <f t="shared" si="131"/>
        <v/>
      </c>
      <c r="AD472" s="19" t="str">
        <f t="shared" si="132"/>
        <v/>
      </c>
      <c r="AE472" s="19" t="str">
        <f t="shared" si="133"/>
        <v/>
      </c>
      <c r="AF472" s="19" t="str">
        <f>IF($D472&lt;&gt;1,"",IF(INDEX(TblClusters[Environnement],$B472)="","(vide)",INDEX(TblClusters[Environnement],$B472)))</f>
        <v/>
      </c>
      <c r="AG472" s="19" t="str">
        <f t="shared" si="134"/>
        <v/>
      </c>
      <c r="AH472" s="19" t="str">
        <f t="shared" si="135"/>
        <v/>
      </c>
      <c r="AI472" s="19" t="str">
        <f>IF($D472&lt;&gt;1,"",IF(AND($G472="IKS",ISNUMBER(INDEX(TblClusters[Fermeture retenue],$B472))),IF($E472&gt;=INDEX(TblClusters[Fermeture retenue],$B472),1,0),0))</f>
        <v/>
      </c>
    </row>
    <row r="473" spans="1:35" x14ac:dyDescent="0.2">
      <c r="A473" s="19">
        <v>468</v>
      </c>
      <c r="B473" s="19">
        <f t="shared" si="119"/>
        <v>13</v>
      </c>
      <c r="C473" s="19">
        <f t="shared" si="120"/>
        <v>36</v>
      </c>
      <c r="D473" s="19">
        <f>IF($C473&gt;p_horizon,0,IFERROR(IF(AND(INDEX(TblClusters[Cluster],$B473)&lt;&gt;"",ISNUMBER(INDEX(TblClusters[CPU initial (vCPU)],$B473)),ISNUMBER(INDEX(TblClusters[CPU min (vCPU)],$B473)),OR(INDEX(TblClusters[Plateforme],$B473)="IKS",INDEX(TblClusters[Plateforme],$B473)="ROKS")),1,0),0))</f>
        <v>0</v>
      </c>
      <c r="E473" s="72" t="str">
        <f t="shared" si="121"/>
        <v/>
      </c>
      <c r="F473" s="19" t="str">
        <f>IF($D473=1,INDEX(TblClusters[Cluster],$B473),"")</f>
        <v/>
      </c>
      <c r="G473" s="19" t="str">
        <f>IF($D473=1,INDEX(TblClusters[Plateforme],$B473),"")</f>
        <v/>
      </c>
      <c r="H473" s="19" t="str">
        <f>IF($D473=1,INDEX(TblClusters[vCPU par nœud],$B473),"")</f>
        <v/>
      </c>
      <c r="I473" s="19" t="str">
        <f>IF($D473=1,INDEX(TblClusters[RAM par nœud (Go)],$B473),"")</f>
        <v/>
      </c>
      <c r="J473" s="19" t="str">
        <f>IF($D473=1,INDEX(TblClusters[Workers min],$B473),"")</f>
        <v/>
      </c>
      <c r="K473" s="73" t="str">
        <f>IF($D473=1,INDEX(TblClusters[Tarif par nœud],$B473),"")</f>
        <v/>
      </c>
      <c r="L473" s="19" t="str">
        <f>IF($D473=1,INDEX(TblClusters[CPU initial (vCPU)],$B473),"")</f>
        <v/>
      </c>
      <c r="M473" s="19" t="str">
        <f>IF($D473=1,INDEX(TblClusters[RAM initiale (Go)],$B473),"")</f>
        <v/>
      </c>
      <c r="N473" s="19" t="str">
        <f>IF($D473=1,INDEX(TblClusters[CPU min (vCPU)],$B473),"")</f>
        <v/>
      </c>
      <c r="O473" s="19" t="str">
        <f>IF($D473=1,INDEX(TblClusters[RAM min (Go)],$B473),"")</f>
        <v/>
      </c>
      <c r="P473" s="19" t="str">
        <f>IF($D473&lt;&gt;1,"",IF($G473="ROKS",SUMIFS(TblApplications[Besoin ROKS CPU (vCPU)],TblApplications[Cluster ROKS cible],$F473,TblApplications[Action],"À migrer",TblApplications[Déjà incluse ROKS],"Non",TblApplications[Mois prov (calc)],"&lt;="&amp;$E473),SUMIFS(TblApplications[CPU IKS libérable (vCPU)],TblApplications[Cluster IKS source],$F473,TblApplications[Mois lib (calc)],"&lt;="&amp;$E473)))</f>
        <v/>
      </c>
      <c r="Q473" s="19" t="str">
        <f>IF($D473&lt;&gt;1,"",IF($G473="ROKS",SUMIFS(TblApplications[Besoin ROKS RAM (Go)],TblApplications[Cluster ROKS cible],$F473,TblApplications[Action],"À migrer",TblApplications[Déjà incluse ROKS],"Non",TblApplications[Mois prov (calc)],"&lt;="&amp;$E473),SUMIFS(TblApplications[RAM IKS libérable (Go)],TblApplications[Cluster IKS source],$F473,TblApplications[Mois lib (calc)],"&lt;="&amp;$E473)))</f>
        <v/>
      </c>
      <c r="R473" s="19" t="str">
        <f t="shared" si="122"/>
        <v/>
      </c>
      <c r="S473" s="19" t="str">
        <f t="shared" si="123"/>
        <v/>
      </c>
      <c r="T473" s="19" t="str">
        <f t="shared" si="124"/>
        <v/>
      </c>
      <c r="U473" s="19" t="str">
        <f t="shared" si="125"/>
        <v/>
      </c>
      <c r="V473" s="19" t="str">
        <f t="shared" si="126"/>
        <v/>
      </c>
      <c r="W473" s="73" t="str">
        <f t="shared" si="127"/>
        <v/>
      </c>
      <c r="X473" s="19" t="str">
        <f>IF($D473&lt;&gt;1,"",IF($G473="ROKS",$R473,IF($AI473=1,0,MAX($N473,$L473-SUMIFS(TblApplications[CPU IKS libérable (vCPU)],TblApplications[Cluster IKS source],$F473,TblApplications[Action],"À migrer",TblApplications[Mois prov (calc)],"&lt;="&amp;$E473)-SUMIFS(TblApplications[CPU IKS libérable (vCPU)],TblApplications[Cluster IKS source],$F473,TblApplications[Action],"À décommissionner",TblApplications[Mois lib (calc)],"&lt;="&amp;$E473)))))</f>
        <v/>
      </c>
      <c r="Y473" s="19" t="str">
        <f>IF($D473&lt;&gt;1,"",IF($G473="ROKS",$S473,IF($AI473=1,0,MAX($O473,$M473-SUMIFS(TblApplications[RAM IKS libérable (Go)],TblApplications[Cluster IKS source],$F473,TblApplications[Action],"À migrer",TblApplications[Mois prov (calc)],"&lt;="&amp;$E473)-SUMIFS(TblApplications[RAM IKS libérable (Go)],TblApplications[Cluster IKS source],$F473,TblApplications[Action],"À décommissionner",TblApplications[Mois lib (calc)],"&lt;="&amp;$E473)))))</f>
        <v/>
      </c>
      <c r="Z473" s="19" t="str">
        <f t="shared" si="128"/>
        <v/>
      </c>
      <c r="AA473" s="73" t="str">
        <f t="shared" si="129"/>
        <v/>
      </c>
      <c r="AB473" s="19" t="str">
        <f t="shared" si="130"/>
        <v/>
      </c>
      <c r="AC473" s="73" t="str">
        <f t="shared" si="131"/>
        <v/>
      </c>
      <c r="AD473" s="19" t="str">
        <f t="shared" si="132"/>
        <v/>
      </c>
      <c r="AE473" s="19" t="str">
        <f t="shared" si="133"/>
        <v/>
      </c>
      <c r="AF473" s="19" t="str">
        <f>IF($D473&lt;&gt;1,"",IF(INDEX(TblClusters[Environnement],$B473)="","(vide)",INDEX(TblClusters[Environnement],$B473)))</f>
        <v/>
      </c>
      <c r="AG473" s="19" t="str">
        <f t="shared" si="134"/>
        <v/>
      </c>
      <c r="AH473" s="19" t="str">
        <f t="shared" si="135"/>
        <v/>
      </c>
      <c r="AI473" s="19" t="str">
        <f>IF($D473&lt;&gt;1,"",IF(AND($G473="IKS",ISNUMBER(INDEX(TblClusters[Fermeture retenue],$B473))),IF($E473&gt;=INDEX(TblClusters[Fermeture retenue],$B473),1,0),0))</f>
        <v/>
      </c>
    </row>
    <row r="474" spans="1:35" x14ac:dyDescent="0.2">
      <c r="A474" s="19">
        <v>469</v>
      </c>
      <c r="B474" s="19">
        <f t="shared" si="119"/>
        <v>14</v>
      </c>
      <c r="C474" s="19">
        <f t="shared" si="120"/>
        <v>1</v>
      </c>
      <c r="D474" s="19">
        <f>IF($C474&gt;p_horizon,0,IFERROR(IF(AND(INDEX(TblClusters[Cluster],$B474)&lt;&gt;"",ISNUMBER(INDEX(TblClusters[CPU initial (vCPU)],$B474)),ISNUMBER(INDEX(TblClusters[CPU min (vCPU)],$B474)),OR(INDEX(TblClusters[Plateforme],$B474)="IKS",INDEX(TblClusters[Plateforme],$B474)="ROKS")),1,0),0))</f>
        <v>0</v>
      </c>
      <c r="E474" s="72" t="str">
        <f t="shared" si="121"/>
        <v/>
      </c>
      <c r="F474" s="19" t="str">
        <f>IF($D474=1,INDEX(TblClusters[Cluster],$B474),"")</f>
        <v/>
      </c>
      <c r="G474" s="19" t="str">
        <f>IF($D474=1,INDEX(TblClusters[Plateforme],$B474),"")</f>
        <v/>
      </c>
      <c r="H474" s="19" t="str">
        <f>IF($D474=1,INDEX(TblClusters[vCPU par nœud],$B474),"")</f>
        <v/>
      </c>
      <c r="I474" s="19" t="str">
        <f>IF($D474=1,INDEX(TblClusters[RAM par nœud (Go)],$B474),"")</f>
        <v/>
      </c>
      <c r="J474" s="19" t="str">
        <f>IF($D474=1,INDEX(TblClusters[Workers min],$B474),"")</f>
        <v/>
      </c>
      <c r="K474" s="73" t="str">
        <f>IF($D474=1,INDEX(TblClusters[Tarif par nœud],$B474),"")</f>
        <v/>
      </c>
      <c r="L474" s="19" t="str">
        <f>IF($D474=1,INDEX(TblClusters[CPU initial (vCPU)],$B474),"")</f>
        <v/>
      </c>
      <c r="M474" s="19" t="str">
        <f>IF($D474=1,INDEX(TblClusters[RAM initiale (Go)],$B474),"")</f>
        <v/>
      </c>
      <c r="N474" s="19" t="str">
        <f>IF($D474=1,INDEX(TblClusters[CPU min (vCPU)],$B474),"")</f>
        <v/>
      </c>
      <c r="O474" s="19" t="str">
        <f>IF($D474=1,INDEX(TblClusters[RAM min (Go)],$B474),"")</f>
        <v/>
      </c>
      <c r="P474" s="19" t="str">
        <f>IF($D474&lt;&gt;1,"",IF($G474="ROKS",SUMIFS(TblApplications[Besoin ROKS CPU (vCPU)],TblApplications[Cluster ROKS cible],$F474,TblApplications[Action],"À migrer",TblApplications[Déjà incluse ROKS],"Non",TblApplications[Mois prov (calc)],"&lt;="&amp;$E474),SUMIFS(TblApplications[CPU IKS libérable (vCPU)],TblApplications[Cluster IKS source],$F474,TblApplications[Mois lib (calc)],"&lt;="&amp;$E474)))</f>
        <v/>
      </c>
      <c r="Q474" s="19" t="str">
        <f>IF($D474&lt;&gt;1,"",IF($G474="ROKS",SUMIFS(TblApplications[Besoin ROKS RAM (Go)],TblApplications[Cluster ROKS cible],$F474,TblApplications[Action],"À migrer",TblApplications[Déjà incluse ROKS],"Non",TblApplications[Mois prov (calc)],"&lt;="&amp;$E474),SUMIFS(TblApplications[RAM IKS libérable (Go)],TblApplications[Cluster IKS source],$F474,TblApplications[Mois lib (calc)],"&lt;="&amp;$E474)))</f>
        <v/>
      </c>
      <c r="R474" s="19" t="str">
        <f t="shared" si="122"/>
        <v/>
      </c>
      <c r="S474" s="19" t="str">
        <f t="shared" si="123"/>
        <v/>
      </c>
      <c r="T474" s="19" t="str">
        <f t="shared" si="124"/>
        <v/>
      </c>
      <c r="U474" s="19" t="str">
        <f t="shared" si="125"/>
        <v/>
      </c>
      <c r="V474" s="19" t="str">
        <f t="shared" si="126"/>
        <v/>
      </c>
      <c r="W474" s="73" t="str">
        <f t="shared" si="127"/>
        <v/>
      </c>
      <c r="X474" s="19" t="str">
        <f>IF($D474&lt;&gt;1,"",IF($G474="ROKS",$R474,IF($AI474=1,0,MAX($N474,$L474-SUMIFS(TblApplications[CPU IKS libérable (vCPU)],TblApplications[Cluster IKS source],$F474,TblApplications[Action],"À migrer",TblApplications[Mois prov (calc)],"&lt;="&amp;$E474)-SUMIFS(TblApplications[CPU IKS libérable (vCPU)],TblApplications[Cluster IKS source],$F474,TblApplications[Action],"À décommissionner",TblApplications[Mois lib (calc)],"&lt;="&amp;$E474)))))</f>
        <v/>
      </c>
      <c r="Y474" s="19" t="str">
        <f>IF($D474&lt;&gt;1,"",IF($G474="ROKS",$S474,IF($AI474=1,0,MAX($O474,$M474-SUMIFS(TblApplications[RAM IKS libérable (Go)],TblApplications[Cluster IKS source],$F474,TblApplications[Action],"À migrer",TblApplications[Mois prov (calc)],"&lt;="&amp;$E474)-SUMIFS(TblApplications[RAM IKS libérable (Go)],TblApplications[Cluster IKS source],$F474,TblApplications[Action],"À décommissionner",TblApplications[Mois lib (calc)],"&lt;="&amp;$E474)))))</f>
        <v/>
      </c>
      <c r="Z474" s="19" t="str">
        <f t="shared" si="128"/>
        <v/>
      </c>
      <c r="AA474" s="73" t="str">
        <f t="shared" si="129"/>
        <v/>
      </c>
      <c r="AB474" s="19" t="str">
        <f t="shared" si="130"/>
        <v/>
      </c>
      <c r="AC474" s="73" t="str">
        <f t="shared" si="131"/>
        <v/>
      </c>
      <c r="AD474" s="19" t="str">
        <f t="shared" si="132"/>
        <v/>
      </c>
      <c r="AE474" s="19" t="str">
        <f t="shared" si="133"/>
        <v/>
      </c>
      <c r="AF474" s="19" t="str">
        <f>IF($D474&lt;&gt;1,"",IF(INDEX(TblClusters[Environnement],$B474)="","(vide)",INDEX(TblClusters[Environnement],$B474)))</f>
        <v/>
      </c>
      <c r="AG474" s="19" t="str">
        <f t="shared" si="134"/>
        <v/>
      </c>
      <c r="AH474" s="19" t="str">
        <f t="shared" si="135"/>
        <v/>
      </c>
      <c r="AI474" s="19" t="str">
        <f>IF($D474&lt;&gt;1,"",IF(AND($G474="IKS",ISNUMBER(INDEX(TblClusters[Fermeture retenue],$B474))),IF($E474&gt;=INDEX(TblClusters[Fermeture retenue],$B474),1,0),0))</f>
        <v/>
      </c>
    </row>
    <row r="475" spans="1:35" x14ac:dyDescent="0.2">
      <c r="A475" s="19">
        <v>470</v>
      </c>
      <c r="B475" s="19">
        <f t="shared" si="119"/>
        <v>14</v>
      </c>
      <c r="C475" s="19">
        <f t="shared" si="120"/>
        <v>2</v>
      </c>
      <c r="D475" s="19">
        <f>IF($C475&gt;p_horizon,0,IFERROR(IF(AND(INDEX(TblClusters[Cluster],$B475)&lt;&gt;"",ISNUMBER(INDEX(TblClusters[CPU initial (vCPU)],$B475)),ISNUMBER(INDEX(TblClusters[CPU min (vCPU)],$B475)),OR(INDEX(TblClusters[Plateforme],$B475)="IKS",INDEX(TblClusters[Plateforme],$B475)="ROKS")),1,0),0))</f>
        <v>0</v>
      </c>
      <c r="E475" s="72" t="str">
        <f t="shared" si="121"/>
        <v/>
      </c>
      <c r="F475" s="19" t="str">
        <f>IF($D475=1,INDEX(TblClusters[Cluster],$B475),"")</f>
        <v/>
      </c>
      <c r="G475" s="19" t="str">
        <f>IF($D475=1,INDEX(TblClusters[Plateforme],$B475),"")</f>
        <v/>
      </c>
      <c r="H475" s="19" t="str">
        <f>IF($D475=1,INDEX(TblClusters[vCPU par nœud],$B475),"")</f>
        <v/>
      </c>
      <c r="I475" s="19" t="str">
        <f>IF($D475=1,INDEX(TblClusters[RAM par nœud (Go)],$B475),"")</f>
        <v/>
      </c>
      <c r="J475" s="19" t="str">
        <f>IF($D475=1,INDEX(TblClusters[Workers min],$B475),"")</f>
        <v/>
      </c>
      <c r="K475" s="73" t="str">
        <f>IF($D475=1,INDEX(TblClusters[Tarif par nœud],$B475),"")</f>
        <v/>
      </c>
      <c r="L475" s="19" t="str">
        <f>IF($D475=1,INDEX(TblClusters[CPU initial (vCPU)],$B475),"")</f>
        <v/>
      </c>
      <c r="M475" s="19" t="str">
        <f>IF($D475=1,INDEX(TblClusters[RAM initiale (Go)],$B475),"")</f>
        <v/>
      </c>
      <c r="N475" s="19" t="str">
        <f>IF($D475=1,INDEX(TblClusters[CPU min (vCPU)],$B475),"")</f>
        <v/>
      </c>
      <c r="O475" s="19" t="str">
        <f>IF($D475=1,INDEX(TblClusters[RAM min (Go)],$B475),"")</f>
        <v/>
      </c>
      <c r="P475" s="19" t="str">
        <f>IF($D475&lt;&gt;1,"",IF($G475="ROKS",SUMIFS(TblApplications[Besoin ROKS CPU (vCPU)],TblApplications[Cluster ROKS cible],$F475,TblApplications[Action],"À migrer",TblApplications[Déjà incluse ROKS],"Non",TblApplications[Mois prov (calc)],"&lt;="&amp;$E475),SUMIFS(TblApplications[CPU IKS libérable (vCPU)],TblApplications[Cluster IKS source],$F475,TblApplications[Mois lib (calc)],"&lt;="&amp;$E475)))</f>
        <v/>
      </c>
      <c r="Q475" s="19" t="str">
        <f>IF($D475&lt;&gt;1,"",IF($G475="ROKS",SUMIFS(TblApplications[Besoin ROKS RAM (Go)],TblApplications[Cluster ROKS cible],$F475,TblApplications[Action],"À migrer",TblApplications[Déjà incluse ROKS],"Non",TblApplications[Mois prov (calc)],"&lt;="&amp;$E475),SUMIFS(TblApplications[RAM IKS libérable (Go)],TblApplications[Cluster IKS source],$F475,TblApplications[Mois lib (calc)],"&lt;="&amp;$E475)))</f>
        <v/>
      </c>
      <c r="R475" s="19" t="str">
        <f t="shared" si="122"/>
        <v/>
      </c>
      <c r="S475" s="19" t="str">
        <f t="shared" si="123"/>
        <v/>
      </c>
      <c r="T475" s="19" t="str">
        <f t="shared" si="124"/>
        <v/>
      </c>
      <c r="U475" s="19" t="str">
        <f t="shared" si="125"/>
        <v/>
      </c>
      <c r="V475" s="19" t="str">
        <f t="shared" si="126"/>
        <v/>
      </c>
      <c r="W475" s="73" t="str">
        <f t="shared" si="127"/>
        <v/>
      </c>
      <c r="X475" s="19" t="str">
        <f>IF($D475&lt;&gt;1,"",IF($G475="ROKS",$R475,IF($AI475=1,0,MAX($N475,$L475-SUMIFS(TblApplications[CPU IKS libérable (vCPU)],TblApplications[Cluster IKS source],$F475,TblApplications[Action],"À migrer",TblApplications[Mois prov (calc)],"&lt;="&amp;$E475)-SUMIFS(TblApplications[CPU IKS libérable (vCPU)],TblApplications[Cluster IKS source],$F475,TblApplications[Action],"À décommissionner",TblApplications[Mois lib (calc)],"&lt;="&amp;$E475)))))</f>
        <v/>
      </c>
      <c r="Y475" s="19" t="str">
        <f>IF($D475&lt;&gt;1,"",IF($G475="ROKS",$S475,IF($AI475=1,0,MAX($O475,$M475-SUMIFS(TblApplications[RAM IKS libérable (Go)],TblApplications[Cluster IKS source],$F475,TblApplications[Action],"À migrer",TblApplications[Mois prov (calc)],"&lt;="&amp;$E475)-SUMIFS(TblApplications[RAM IKS libérable (Go)],TblApplications[Cluster IKS source],$F475,TblApplications[Action],"À décommissionner",TblApplications[Mois lib (calc)],"&lt;="&amp;$E475)))))</f>
        <v/>
      </c>
      <c r="Z475" s="19" t="str">
        <f t="shared" si="128"/>
        <v/>
      </c>
      <c r="AA475" s="73" t="str">
        <f t="shared" si="129"/>
        <v/>
      </c>
      <c r="AB475" s="19" t="str">
        <f t="shared" si="130"/>
        <v/>
      </c>
      <c r="AC475" s="73" t="str">
        <f t="shared" si="131"/>
        <v/>
      </c>
      <c r="AD475" s="19" t="str">
        <f t="shared" si="132"/>
        <v/>
      </c>
      <c r="AE475" s="19" t="str">
        <f t="shared" si="133"/>
        <v/>
      </c>
      <c r="AF475" s="19" t="str">
        <f>IF($D475&lt;&gt;1,"",IF(INDEX(TblClusters[Environnement],$B475)="","(vide)",INDEX(TblClusters[Environnement],$B475)))</f>
        <v/>
      </c>
      <c r="AG475" s="19" t="str">
        <f t="shared" si="134"/>
        <v/>
      </c>
      <c r="AH475" s="19" t="str">
        <f t="shared" si="135"/>
        <v/>
      </c>
      <c r="AI475" s="19" t="str">
        <f>IF($D475&lt;&gt;1,"",IF(AND($G475="IKS",ISNUMBER(INDEX(TblClusters[Fermeture retenue],$B475))),IF($E475&gt;=INDEX(TblClusters[Fermeture retenue],$B475),1,0),0))</f>
        <v/>
      </c>
    </row>
    <row r="476" spans="1:35" x14ac:dyDescent="0.2">
      <c r="A476" s="19">
        <v>471</v>
      </c>
      <c r="B476" s="19">
        <f t="shared" si="119"/>
        <v>14</v>
      </c>
      <c r="C476" s="19">
        <f t="shared" si="120"/>
        <v>3</v>
      </c>
      <c r="D476" s="19">
        <f>IF($C476&gt;p_horizon,0,IFERROR(IF(AND(INDEX(TblClusters[Cluster],$B476)&lt;&gt;"",ISNUMBER(INDEX(TblClusters[CPU initial (vCPU)],$B476)),ISNUMBER(INDEX(TblClusters[CPU min (vCPU)],$B476)),OR(INDEX(TblClusters[Plateforme],$B476)="IKS",INDEX(TblClusters[Plateforme],$B476)="ROKS")),1,0),0))</f>
        <v>0</v>
      </c>
      <c r="E476" s="72" t="str">
        <f t="shared" si="121"/>
        <v/>
      </c>
      <c r="F476" s="19" t="str">
        <f>IF($D476=1,INDEX(TblClusters[Cluster],$B476),"")</f>
        <v/>
      </c>
      <c r="G476" s="19" t="str">
        <f>IF($D476=1,INDEX(TblClusters[Plateforme],$B476),"")</f>
        <v/>
      </c>
      <c r="H476" s="19" t="str">
        <f>IF($D476=1,INDEX(TblClusters[vCPU par nœud],$B476),"")</f>
        <v/>
      </c>
      <c r="I476" s="19" t="str">
        <f>IF($D476=1,INDEX(TblClusters[RAM par nœud (Go)],$B476),"")</f>
        <v/>
      </c>
      <c r="J476" s="19" t="str">
        <f>IF($D476=1,INDEX(TblClusters[Workers min],$B476),"")</f>
        <v/>
      </c>
      <c r="K476" s="73" t="str">
        <f>IF($D476=1,INDEX(TblClusters[Tarif par nœud],$B476),"")</f>
        <v/>
      </c>
      <c r="L476" s="19" t="str">
        <f>IF($D476=1,INDEX(TblClusters[CPU initial (vCPU)],$B476),"")</f>
        <v/>
      </c>
      <c r="M476" s="19" t="str">
        <f>IF($D476=1,INDEX(TblClusters[RAM initiale (Go)],$B476),"")</f>
        <v/>
      </c>
      <c r="N476" s="19" t="str">
        <f>IF($D476=1,INDEX(TblClusters[CPU min (vCPU)],$B476),"")</f>
        <v/>
      </c>
      <c r="O476" s="19" t="str">
        <f>IF($D476=1,INDEX(TblClusters[RAM min (Go)],$B476),"")</f>
        <v/>
      </c>
      <c r="P476" s="19" t="str">
        <f>IF($D476&lt;&gt;1,"",IF($G476="ROKS",SUMIFS(TblApplications[Besoin ROKS CPU (vCPU)],TblApplications[Cluster ROKS cible],$F476,TblApplications[Action],"À migrer",TblApplications[Déjà incluse ROKS],"Non",TblApplications[Mois prov (calc)],"&lt;="&amp;$E476),SUMIFS(TblApplications[CPU IKS libérable (vCPU)],TblApplications[Cluster IKS source],$F476,TblApplications[Mois lib (calc)],"&lt;="&amp;$E476)))</f>
        <v/>
      </c>
      <c r="Q476" s="19" t="str">
        <f>IF($D476&lt;&gt;1,"",IF($G476="ROKS",SUMIFS(TblApplications[Besoin ROKS RAM (Go)],TblApplications[Cluster ROKS cible],$F476,TblApplications[Action],"À migrer",TblApplications[Déjà incluse ROKS],"Non",TblApplications[Mois prov (calc)],"&lt;="&amp;$E476),SUMIFS(TblApplications[RAM IKS libérable (Go)],TblApplications[Cluster IKS source],$F476,TblApplications[Mois lib (calc)],"&lt;="&amp;$E476)))</f>
        <v/>
      </c>
      <c r="R476" s="19" t="str">
        <f t="shared" si="122"/>
        <v/>
      </c>
      <c r="S476" s="19" t="str">
        <f t="shared" si="123"/>
        <v/>
      </c>
      <c r="T476" s="19" t="str">
        <f t="shared" si="124"/>
        <v/>
      </c>
      <c r="U476" s="19" t="str">
        <f t="shared" si="125"/>
        <v/>
      </c>
      <c r="V476" s="19" t="str">
        <f t="shared" si="126"/>
        <v/>
      </c>
      <c r="W476" s="73" t="str">
        <f t="shared" si="127"/>
        <v/>
      </c>
      <c r="X476" s="19" t="str">
        <f>IF($D476&lt;&gt;1,"",IF($G476="ROKS",$R476,IF($AI476=1,0,MAX($N476,$L476-SUMIFS(TblApplications[CPU IKS libérable (vCPU)],TblApplications[Cluster IKS source],$F476,TblApplications[Action],"À migrer",TblApplications[Mois prov (calc)],"&lt;="&amp;$E476)-SUMIFS(TblApplications[CPU IKS libérable (vCPU)],TblApplications[Cluster IKS source],$F476,TblApplications[Action],"À décommissionner",TblApplications[Mois lib (calc)],"&lt;="&amp;$E476)))))</f>
        <v/>
      </c>
      <c r="Y476" s="19" t="str">
        <f>IF($D476&lt;&gt;1,"",IF($G476="ROKS",$S476,IF($AI476=1,0,MAX($O476,$M476-SUMIFS(TblApplications[RAM IKS libérable (Go)],TblApplications[Cluster IKS source],$F476,TblApplications[Action],"À migrer",TblApplications[Mois prov (calc)],"&lt;="&amp;$E476)-SUMIFS(TblApplications[RAM IKS libérable (Go)],TblApplications[Cluster IKS source],$F476,TblApplications[Action],"À décommissionner",TblApplications[Mois lib (calc)],"&lt;="&amp;$E476)))))</f>
        <v/>
      </c>
      <c r="Z476" s="19" t="str">
        <f t="shared" si="128"/>
        <v/>
      </c>
      <c r="AA476" s="73" t="str">
        <f t="shared" si="129"/>
        <v/>
      </c>
      <c r="AB476" s="19" t="str">
        <f t="shared" si="130"/>
        <v/>
      </c>
      <c r="AC476" s="73" t="str">
        <f t="shared" si="131"/>
        <v/>
      </c>
      <c r="AD476" s="19" t="str">
        <f t="shared" si="132"/>
        <v/>
      </c>
      <c r="AE476" s="19" t="str">
        <f t="shared" si="133"/>
        <v/>
      </c>
      <c r="AF476" s="19" t="str">
        <f>IF($D476&lt;&gt;1,"",IF(INDEX(TblClusters[Environnement],$B476)="","(vide)",INDEX(TblClusters[Environnement],$B476)))</f>
        <v/>
      </c>
      <c r="AG476" s="19" t="str">
        <f t="shared" si="134"/>
        <v/>
      </c>
      <c r="AH476" s="19" t="str">
        <f t="shared" si="135"/>
        <v/>
      </c>
      <c r="AI476" s="19" t="str">
        <f>IF($D476&lt;&gt;1,"",IF(AND($G476="IKS",ISNUMBER(INDEX(TblClusters[Fermeture retenue],$B476))),IF($E476&gt;=INDEX(TblClusters[Fermeture retenue],$B476),1,0),0))</f>
        <v/>
      </c>
    </row>
    <row r="477" spans="1:35" x14ac:dyDescent="0.2">
      <c r="A477" s="19">
        <v>472</v>
      </c>
      <c r="B477" s="19">
        <f t="shared" si="119"/>
        <v>14</v>
      </c>
      <c r="C477" s="19">
        <f t="shared" si="120"/>
        <v>4</v>
      </c>
      <c r="D477" s="19">
        <f>IF($C477&gt;p_horizon,0,IFERROR(IF(AND(INDEX(TblClusters[Cluster],$B477)&lt;&gt;"",ISNUMBER(INDEX(TblClusters[CPU initial (vCPU)],$B477)),ISNUMBER(INDEX(TblClusters[CPU min (vCPU)],$B477)),OR(INDEX(TblClusters[Plateforme],$B477)="IKS",INDEX(TblClusters[Plateforme],$B477)="ROKS")),1,0),0))</f>
        <v>0</v>
      </c>
      <c r="E477" s="72" t="str">
        <f t="shared" si="121"/>
        <v/>
      </c>
      <c r="F477" s="19" t="str">
        <f>IF($D477=1,INDEX(TblClusters[Cluster],$B477),"")</f>
        <v/>
      </c>
      <c r="G477" s="19" t="str">
        <f>IF($D477=1,INDEX(TblClusters[Plateforme],$B477),"")</f>
        <v/>
      </c>
      <c r="H477" s="19" t="str">
        <f>IF($D477=1,INDEX(TblClusters[vCPU par nœud],$B477),"")</f>
        <v/>
      </c>
      <c r="I477" s="19" t="str">
        <f>IF($D477=1,INDEX(TblClusters[RAM par nœud (Go)],$B477),"")</f>
        <v/>
      </c>
      <c r="J477" s="19" t="str">
        <f>IF($D477=1,INDEX(TblClusters[Workers min],$B477),"")</f>
        <v/>
      </c>
      <c r="K477" s="73" t="str">
        <f>IF($D477=1,INDEX(TblClusters[Tarif par nœud],$B477),"")</f>
        <v/>
      </c>
      <c r="L477" s="19" t="str">
        <f>IF($D477=1,INDEX(TblClusters[CPU initial (vCPU)],$B477),"")</f>
        <v/>
      </c>
      <c r="M477" s="19" t="str">
        <f>IF($D477=1,INDEX(TblClusters[RAM initiale (Go)],$B477),"")</f>
        <v/>
      </c>
      <c r="N477" s="19" t="str">
        <f>IF($D477=1,INDEX(TblClusters[CPU min (vCPU)],$B477),"")</f>
        <v/>
      </c>
      <c r="O477" s="19" t="str">
        <f>IF($D477=1,INDEX(TblClusters[RAM min (Go)],$B477),"")</f>
        <v/>
      </c>
      <c r="P477" s="19" t="str">
        <f>IF($D477&lt;&gt;1,"",IF($G477="ROKS",SUMIFS(TblApplications[Besoin ROKS CPU (vCPU)],TblApplications[Cluster ROKS cible],$F477,TblApplications[Action],"À migrer",TblApplications[Déjà incluse ROKS],"Non",TblApplications[Mois prov (calc)],"&lt;="&amp;$E477),SUMIFS(TblApplications[CPU IKS libérable (vCPU)],TblApplications[Cluster IKS source],$F477,TblApplications[Mois lib (calc)],"&lt;="&amp;$E477)))</f>
        <v/>
      </c>
      <c r="Q477" s="19" t="str">
        <f>IF($D477&lt;&gt;1,"",IF($G477="ROKS",SUMIFS(TblApplications[Besoin ROKS RAM (Go)],TblApplications[Cluster ROKS cible],$F477,TblApplications[Action],"À migrer",TblApplications[Déjà incluse ROKS],"Non",TblApplications[Mois prov (calc)],"&lt;="&amp;$E477),SUMIFS(TblApplications[RAM IKS libérable (Go)],TblApplications[Cluster IKS source],$F477,TblApplications[Mois lib (calc)],"&lt;="&amp;$E477)))</f>
        <v/>
      </c>
      <c r="R477" s="19" t="str">
        <f t="shared" si="122"/>
        <v/>
      </c>
      <c r="S477" s="19" t="str">
        <f t="shared" si="123"/>
        <v/>
      </c>
      <c r="T477" s="19" t="str">
        <f t="shared" si="124"/>
        <v/>
      </c>
      <c r="U477" s="19" t="str">
        <f t="shared" si="125"/>
        <v/>
      </c>
      <c r="V477" s="19" t="str">
        <f t="shared" si="126"/>
        <v/>
      </c>
      <c r="W477" s="73" t="str">
        <f t="shared" si="127"/>
        <v/>
      </c>
      <c r="X477" s="19" t="str">
        <f>IF($D477&lt;&gt;1,"",IF($G477="ROKS",$R477,IF($AI477=1,0,MAX($N477,$L477-SUMIFS(TblApplications[CPU IKS libérable (vCPU)],TblApplications[Cluster IKS source],$F477,TblApplications[Action],"À migrer",TblApplications[Mois prov (calc)],"&lt;="&amp;$E477)-SUMIFS(TblApplications[CPU IKS libérable (vCPU)],TblApplications[Cluster IKS source],$F477,TblApplications[Action],"À décommissionner",TblApplications[Mois lib (calc)],"&lt;="&amp;$E477)))))</f>
        <v/>
      </c>
      <c r="Y477" s="19" t="str">
        <f>IF($D477&lt;&gt;1,"",IF($G477="ROKS",$S477,IF($AI477=1,0,MAX($O477,$M477-SUMIFS(TblApplications[RAM IKS libérable (Go)],TblApplications[Cluster IKS source],$F477,TblApplications[Action],"À migrer",TblApplications[Mois prov (calc)],"&lt;="&amp;$E477)-SUMIFS(TblApplications[RAM IKS libérable (Go)],TblApplications[Cluster IKS source],$F477,TblApplications[Action],"À décommissionner",TblApplications[Mois lib (calc)],"&lt;="&amp;$E477)))))</f>
        <v/>
      </c>
      <c r="Z477" s="19" t="str">
        <f t="shared" si="128"/>
        <v/>
      </c>
      <c r="AA477" s="73" t="str">
        <f t="shared" si="129"/>
        <v/>
      </c>
      <c r="AB477" s="19" t="str">
        <f t="shared" si="130"/>
        <v/>
      </c>
      <c r="AC477" s="73" t="str">
        <f t="shared" si="131"/>
        <v/>
      </c>
      <c r="AD477" s="19" t="str">
        <f t="shared" si="132"/>
        <v/>
      </c>
      <c r="AE477" s="19" t="str">
        <f t="shared" si="133"/>
        <v/>
      </c>
      <c r="AF477" s="19" t="str">
        <f>IF($D477&lt;&gt;1,"",IF(INDEX(TblClusters[Environnement],$B477)="","(vide)",INDEX(TblClusters[Environnement],$B477)))</f>
        <v/>
      </c>
      <c r="AG477" s="19" t="str">
        <f t="shared" si="134"/>
        <v/>
      </c>
      <c r="AH477" s="19" t="str">
        <f t="shared" si="135"/>
        <v/>
      </c>
      <c r="AI477" s="19" t="str">
        <f>IF($D477&lt;&gt;1,"",IF(AND($G477="IKS",ISNUMBER(INDEX(TblClusters[Fermeture retenue],$B477))),IF($E477&gt;=INDEX(TblClusters[Fermeture retenue],$B477),1,0),0))</f>
        <v/>
      </c>
    </row>
    <row r="478" spans="1:35" x14ac:dyDescent="0.2">
      <c r="A478" s="19">
        <v>473</v>
      </c>
      <c r="B478" s="19">
        <f t="shared" si="119"/>
        <v>14</v>
      </c>
      <c r="C478" s="19">
        <f t="shared" si="120"/>
        <v>5</v>
      </c>
      <c r="D478" s="19">
        <f>IF($C478&gt;p_horizon,0,IFERROR(IF(AND(INDEX(TblClusters[Cluster],$B478)&lt;&gt;"",ISNUMBER(INDEX(TblClusters[CPU initial (vCPU)],$B478)),ISNUMBER(INDEX(TblClusters[CPU min (vCPU)],$B478)),OR(INDEX(TblClusters[Plateforme],$B478)="IKS",INDEX(TblClusters[Plateforme],$B478)="ROKS")),1,0),0))</f>
        <v>0</v>
      </c>
      <c r="E478" s="72" t="str">
        <f t="shared" si="121"/>
        <v/>
      </c>
      <c r="F478" s="19" t="str">
        <f>IF($D478=1,INDEX(TblClusters[Cluster],$B478),"")</f>
        <v/>
      </c>
      <c r="G478" s="19" t="str">
        <f>IF($D478=1,INDEX(TblClusters[Plateforme],$B478),"")</f>
        <v/>
      </c>
      <c r="H478" s="19" t="str">
        <f>IF($D478=1,INDEX(TblClusters[vCPU par nœud],$B478),"")</f>
        <v/>
      </c>
      <c r="I478" s="19" t="str">
        <f>IF($D478=1,INDEX(TblClusters[RAM par nœud (Go)],$B478),"")</f>
        <v/>
      </c>
      <c r="J478" s="19" t="str">
        <f>IF($D478=1,INDEX(TblClusters[Workers min],$B478),"")</f>
        <v/>
      </c>
      <c r="K478" s="73" t="str">
        <f>IF($D478=1,INDEX(TblClusters[Tarif par nœud],$B478),"")</f>
        <v/>
      </c>
      <c r="L478" s="19" t="str">
        <f>IF($D478=1,INDEX(TblClusters[CPU initial (vCPU)],$B478),"")</f>
        <v/>
      </c>
      <c r="M478" s="19" t="str">
        <f>IF($D478=1,INDEX(TblClusters[RAM initiale (Go)],$B478),"")</f>
        <v/>
      </c>
      <c r="N478" s="19" t="str">
        <f>IF($D478=1,INDEX(TblClusters[CPU min (vCPU)],$B478),"")</f>
        <v/>
      </c>
      <c r="O478" s="19" t="str">
        <f>IF($D478=1,INDEX(TblClusters[RAM min (Go)],$B478),"")</f>
        <v/>
      </c>
      <c r="P478" s="19" t="str">
        <f>IF($D478&lt;&gt;1,"",IF($G478="ROKS",SUMIFS(TblApplications[Besoin ROKS CPU (vCPU)],TblApplications[Cluster ROKS cible],$F478,TblApplications[Action],"À migrer",TblApplications[Déjà incluse ROKS],"Non",TblApplications[Mois prov (calc)],"&lt;="&amp;$E478),SUMIFS(TblApplications[CPU IKS libérable (vCPU)],TblApplications[Cluster IKS source],$F478,TblApplications[Mois lib (calc)],"&lt;="&amp;$E478)))</f>
        <v/>
      </c>
      <c r="Q478" s="19" t="str">
        <f>IF($D478&lt;&gt;1,"",IF($G478="ROKS",SUMIFS(TblApplications[Besoin ROKS RAM (Go)],TblApplications[Cluster ROKS cible],$F478,TblApplications[Action],"À migrer",TblApplications[Déjà incluse ROKS],"Non",TblApplications[Mois prov (calc)],"&lt;="&amp;$E478),SUMIFS(TblApplications[RAM IKS libérable (Go)],TblApplications[Cluster IKS source],$F478,TblApplications[Mois lib (calc)],"&lt;="&amp;$E478)))</f>
        <v/>
      </c>
      <c r="R478" s="19" t="str">
        <f t="shared" si="122"/>
        <v/>
      </c>
      <c r="S478" s="19" t="str">
        <f t="shared" si="123"/>
        <v/>
      </c>
      <c r="T478" s="19" t="str">
        <f t="shared" si="124"/>
        <v/>
      </c>
      <c r="U478" s="19" t="str">
        <f t="shared" si="125"/>
        <v/>
      </c>
      <c r="V478" s="19" t="str">
        <f t="shared" si="126"/>
        <v/>
      </c>
      <c r="W478" s="73" t="str">
        <f t="shared" si="127"/>
        <v/>
      </c>
      <c r="X478" s="19" t="str">
        <f>IF($D478&lt;&gt;1,"",IF($G478="ROKS",$R478,IF($AI478=1,0,MAX($N478,$L478-SUMIFS(TblApplications[CPU IKS libérable (vCPU)],TblApplications[Cluster IKS source],$F478,TblApplications[Action],"À migrer",TblApplications[Mois prov (calc)],"&lt;="&amp;$E478)-SUMIFS(TblApplications[CPU IKS libérable (vCPU)],TblApplications[Cluster IKS source],$F478,TblApplications[Action],"À décommissionner",TblApplications[Mois lib (calc)],"&lt;="&amp;$E478)))))</f>
        <v/>
      </c>
      <c r="Y478" s="19" t="str">
        <f>IF($D478&lt;&gt;1,"",IF($G478="ROKS",$S478,IF($AI478=1,0,MAX($O478,$M478-SUMIFS(TblApplications[RAM IKS libérable (Go)],TblApplications[Cluster IKS source],$F478,TblApplications[Action],"À migrer",TblApplications[Mois prov (calc)],"&lt;="&amp;$E478)-SUMIFS(TblApplications[RAM IKS libérable (Go)],TblApplications[Cluster IKS source],$F478,TblApplications[Action],"À décommissionner",TblApplications[Mois lib (calc)],"&lt;="&amp;$E478)))))</f>
        <v/>
      </c>
      <c r="Z478" s="19" t="str">
        <f t="shared" si="128"/>
        <v/>
      </c>
      <c r="AA478" s="73" t="str">
        <f t="shared" si="129"/>
        <v/>
      </c>
      <c r="AB478" s="19" t="str">
        <f t="shared" si="130"/>
        <v/>
      </c>
      <c r="AC478" s="73" t="str">
        <f t="shared" si="131"/>
        <v/>
      </c>
      <c r="AD478" s="19" t="str">
        <f t="shared" si="132"/>
        <v/>
      </c>
      <c r="AE478" s="19" t="str">
        <f t="shared" si="133"/>
        <v/>
      </c>
      <c r="AF478" s="19" t="str">
        <f>IF($D478&lt;&gt;1,"",IF(INDEX(TblClusters[Environnement],$B478)="","(vide)",INDEX(TblClusters[Environnement],$B478)))</f>
        <v/>
      </c>
      <c r="AG478" s="19" t="str">
        <f t="shared" si="134"/>
        <v/>
      </c>
      <c r="AH478" s="19" t="str">
        <f t="shared" si="135"/>
        <v/>
      </c>
      <c r="AI478" s="19" t="str">
        <f>IF($D478&lt;&gt;1,"",IF(AND($G478="IKS",ISNUMBER(INDEX(TblClusters[Fermeture retenue],$B478))),IF($E478&gt;=INDEX(TblClusters[Fermeture retenue],$B478),1,0),0))</f>
        <v/>
      </c>
    </row>
    <row r="479" spans="1:35" x14ac:dyDescent="0.2">
      <c r="A479" s="19">
        <v>474</v>
      </c>
      <c r="B479" s="19">
        <f t="shared" si="119"/>
        <v>14</v>
      </c>
      <c r="C479" s="19">
        <f t="shared" si="120"/>
        <v>6</v>
      </c>
      <c r="D479" s="19">
        <f>IF($C479&gt;p_horizon,0,IFERROR(IF(AND(INDEX(TblClusters[Cluster],$B479)&lt;&gt;"",ISNUMBER(INDEX(TblClusters[CPU initial (vCPU)],$B479)),ISNUMBER(INDEX(TblClusters[CPU min (vCPU)],$B479)),OR(INDEX(TblClusters[Plateforme],$B479)="IKS",INDEX(TblClusters[Plateforme],$B479)="ROKS")),1,0),0))</f>
        <v>0</v>
      </c>
      <c r="E479" s="72" t="str">
        <f t="shared" si="121"/>
        <v/>
      </c>
      <c r="F479" s="19" t="str">
        <f>IF($D479=1,INDEX(TblClusters[Cluster],$B479),"")</f>
        <v/>
      </c>
      <c r="G479" s="19" t="str">
        <f>IF($D479=1,INDEX(TblClusters[Plateforme],$B479),"")</f>
        <v/>
      </c>
      <c r="H479" s="19" t="str">
        <f>IF($D479=1,INDEX(TblClusters[vCPU par nœud],$B479),"")</f>
        <v/>
      </c>
      <c r="I479" s="19" t="str">
        <f>IF($D479=1,INDEX(TblClusters[RAM par nœud (Go)],$B479),"")</f>
        <v/>
      </c>
      <c r="J479" s="19" t="str">
        <f>IF($D479=1,INDEX(TblClusters[Workers min],$B479),"")</f>
        <v/>
      </c>
      <c r="K479" s="73" t="str">
        <f>IF($D479=1,INDEX(TblClusters[Tarif par nœud],$B479),"")</f>
        <v/>
      </c>
      <c r="L479" s="19" t="str">
        <f>IF($D479=1,INDEX(TblClusters[CPU initial (vCPU)],$B479),"")</f>
        <v/>
      </c>
      <c r="M479" s="19" t="str">
        <f>IF($D479=1,INDEX(TblClusters[RAM initiale (Go)],$B479),"")</f>
        <v/>
      </c>
      <c r="N479" s="19" t="str">
        <f>IF($D479=1,INDEX(TblClusters[CPU min (vCPU)],$B479),"")</f>
        <v/>
      </c>
      <c r="O479" s="19" t="str">
        <f>IF($D479=1,INDEX(TblClusters[RAM min (Go)],$B479),"")</f>
        <v/>
      </c>
      <c r="P479" s="19" t="str">
        <f>IF($D479&lt;&gt;1,"",IF($G479="ROKS",SUMIFS(TblApplications[Besoin ROKS CPU (vCPU)],TblApplications[Cluster ROKS cible],$F479,TblApplications[Action],"À migrer",TblApplications[Déjà incluse ROKS],"Non",TblApplications[Mois prov (calc)],"&lt;="&amp;$E479),SUMIFS(TblApplications[CPU IKS libérable (vCPU)],TblApplications[Cluster IKS source],$F479,TblApplications[Mois lib (calc)],"&lt;="&amp;$E479)))</f>
        <v/>
      </c>
      <c r="Q479" s="19" t="str">
        <f>IF($D479&lt;&gt;1,"",IF($G479="ROKS",SUMIFS(TblApplications[Besoin ROKS RAM (Go)],TblApplications[Cluster ROKS cible],$F479,TblApplications[Action],"À migrer",TblApplications[Déjà incluse ROKS],"Non",TblApplications[Mois prov (calc)],"&lt;="&amp;$E479),SUMIFS(TblApplications[RAM IKS libérable (Go)],TblApplications[Cluster IKS source],$F479,TblApplications[Mois lib (calc)],"&lt;="&amp;$E479)))</f>
        <v/>
      </c>
      <c r="R479" s="19" t="str">
        <f t="shared" si="122"/>
        <v/>
      </c>
      <c r="S479" s="19" t="str">
        <f t="shared" si="123"/>
        <v/>
      </c>
      <c r="T479" s="19" t="str">
        <f t="shared" si="124"/>
        <v/>
      </c>
      <c r="U479" s="19" t="str">
        <f t="shared" si="125"/>
        <v/>
      </c>
      <c r="V479" s="19" t="str">
        <f t="shared" si="126"/>
        <v/>
      </c>
      <c r="W479" s="73" t="str">
        <f t="shared" si="127"/>
        <v/>
      </c>
      <c r="X479" s="19" t="str">
        <f>IF($D479&lt;&gt;1,"",IF($G479="ROKS",$R479,IF($AI479=1,0,MAX($N479,$L479-SUMIFS(TblApplications[CPU IKS libérable (vCPU)],TblApplications[Cluster IKS source],$F479,TblApplications[Action],"À migrer",TblApplications[Mois prov (calc)],"&lt;="&amp;$E479)-SUMIFS(TblApplications[CPU IKS libérable (vCPU)],TblApplications[Cluster IKS source],$F479,TblApplications[Action],"À décommissionner",TblApplications[Mois lib (calc)],"&lt;="&amp;$E479)))))</f>
        <v/>
      </c>
      <c r="Y479" s="19" t="str">
        <f>IF($D479&lt;&gt;1,"",IF($G479="ROKS",$S479,IF($AI479=1,0,MAX($O479,$M479-SUMIFS(TblApplications[RAM IKS libérable (Go)],TblApplications[Cluster IKS source],$F479,TblApplications[Action],"À migrer",TblApplications[Mois prov (calc)],"&lt;="&amp;$E479)-SUMIFS(TblApplications[RAM IKS libérable (Go)],TblApplications[Cluster IKS source],$F479,TblApplications[Action],"À décommissionner",TblApplications[Mois lib (calc)],"&lt;="&amp;$E479)))))</f>
        <v/>
      </c>
      <c r="Z479" s="19" t="str">
        <f t="shared" si="128"/>
        <v/>
      </c>
      <c r="AA479" s="73" t="str">
        <f t="shared" si="129"/>
        <v/>
      </c>
      <c r="AB479" s="19" t="str">
        <f t="shared" si="130"/>
        <v/>
      </c>
      <c r="AC479" s="73" t="str">
        <f t="shared" si="131"/>
        <v/>
      </c>
      <c r="AD479" s="19" t="str">
        <f t="shared" si="132"/>
        <v/>
      </c>
      <c r="AE479" s="19" t="str">
        <f t="shared" si="133"/>
        <v/>
      </c>
      <c r="AF479" s="19" t="str">
        <f>IF($D479&lt;&gt;1,"",IF(INDEX(TblClusters[Environnement],$B479)="","(vide)",INDEX(TblClusters[Environnement],$B479)))</f>
        <v/>
      </c>
      <c r="AG479" s="19" t="str">
        <f t="shared" si="134"/>
        <v/>
      </c>
      <c r="AH479" s="19" t="str">
        <f t="shared" si="135"/>
        <v/>
      </c>
      <c r="AI479" s="19" t="str">
        <f>IF($D479&lt;&gt;1,"",IF(AND($G479="IKS",ISNUMBER(INDEX(TblClusters[Fermeture retenue],$B479))),IF($E479&gt;=INDEX(TblClusters[Fermeture retenue],$B479),1,0),0))</f>
        <v/>
      </c>
    </row>
    <row r="480" spans="1:35" x14ac:dyDescent="0.2">
      <c r="A480" s="19">
        <v>475</v>
      </c>
      <c r="B480" s="19">
        <f t="shared" si="119"/>
        <v>14</v>
      </c>
      <c r="C480" s="19">
        <f t="shared" si="120"/>
        <v>7</v>
      </c>
      <c r="D480" s="19">
        <f>IF($C480&gt;p_horizon,0,IFERROR(IF(AND(INDEX(TblClusters[Cluster],$B480)&lt;&gt;"",ISNUMBER(INDEX(TblClusters[CPU initial (vCPU)],$B480)),ISNUMBER(INDEX(TblClusters[CPU min (vCPU)],$B480)),OR(INDEX(TblClusters[Plateforme],$B480)="IKS",INDEX(TblClusters[Plateforme],$B480)="ROKS")),1,0),0))</f>
        <v>0</v>
      </c>
      <c r="E480" s="72" t="str">
        <f t="shared" si="121"/>
        <v/>
      </c>
      <c r="F480" s="19" t="str">
        <f>IF($D480=1,INDEX(TblClusters[Cluster],$B480),"")</f>
        <v/>
      </c>
      <c r="G480" s="19" t="str">
        <f>IF($D480=1,INDEX(TblClusters[Plateforme],$B480),"")</f>
        <v/>
      </c>
      <c r="H480" s="19" t="str">
        <f>IF($D480=1,INDEX(TblClusters[vCPU par nœud],$B480),"")</f>
        <v/>
      </c>
      <c r="I480" s="19" t="str">
        <f>IF($D480=1,INDEX(TblClusters[RAM par nœud (Go)],$B480),"")</f>
        <v/>
      </c>
      <c r="J480" s="19" t="str">
        <f>IF($D480=1,INDEX(TblClusters[Workers min],$B480),"")</f>
        <v/>
      </c>
      <c r="K480" s="73" t="str">
        <f>IF($D480=1,INDEX(TblClusters[Tarif par nœud],$B480),"")</f>
        <v/>
      </c>
      <c r="L480" s="19" t="str">
        <f>IF($D480=1,INDEX(TblClusters[CPU initial (vCPU)],$B480),"")</f>
        <v/>
      </c>
      <c r="M480" s="19" t="str">
        <f>IF($D480=1,INDEX(TblClusters[RAM initiale (Go)],$B480),"")</f>
        <v/>
      </c>
      <c r="N480" s="19" t="str">
        <f>IF($D480=1,INDEX(TblClusters[CPU min (vCPU)],$B480),"")</f>
        <v/>
      </c>
      <c r="O480" s="19" t="str">
        <f>IF($D480=1,INDEX(TblClusters[RAM min (Go)],$B480),"")</f>
        <v/>
      </c>
      <c r="P480" s="19" t="str">
        <f>IF($D480&lt;&gt;1,"",IF($G480="ROKS",SUMIFS(TblApplications[Besoin ROKS CPU (vCPU)],TblApplications[Cluster ROKS cible],$F480,TblApplications[Action],"À migrer",TblApplications[Déjà incluse ROKS],"Non",TblApplications[Mois prov (calc)],"&lt;="&amp;$E480),SUMIFS(TblApplications[CPU IKS libérable (vCPU)],TblApplications[Cluster IKS source],$F480,TblApplications[Mois lib (calc)],"&lt;="&amp;$E480)))</f>
        <v/>
      </c>
      <c r="Q480" s="19" t="str">
        <f>IF($D480&lt;&gt;1,"",IF($G480="ROKS",SUMIFS(TblApplications[Besoin ROKS RAM (Go)],TblApplications[Cluster ROKS cible],$F480,TblApplications[Action],"À migrer",TblApplications[Déjà incluse ROKS],"Non",TblApplications[Mois prov (calc)],"&lt;="&amp;$E480),SUMIFS(TblApplications[RAM IKS libérable (Go)],TblApplications[Cluster IKS source],$F480,TblApplications[Mois lib (calc)],"&lt;="&amp;$E480)))</f>
        <v/>
      </c>
      <c r="R480" s="19" t="str">
        <f t="shared" si="122"/>
        <v/>
      </c>
      <c r="S480" s="19" t="str">
        <f t="shared" si="123"/>
        <v/>
      </c>
      <c r="T480" s="19" t="str">
        <f t="shared" si="124"/>
        <v/>
      </c>
      <c r="U480" s="19" t="str">
        <f t="shared" si="125"/>
        <v/>
      </c>
      <c r="V480" s="19" t="str">
        <f t="shared" si="126"/>
        <v/>
      </c>
      <c r="W480" s="73" t="str">
        <f t="shared" si="127"/>
        <v/>
      </c>
      <c r="X480" s="19" t="str">
        <f>IF($D480&lt;&gt;1,"",IF($G480="ROKS",$R480,IF($AI480=1,0,MAX($N480,$L480-SUMIFS(TblApplications[CPU IKS libérable (vCPU)],TblApplications[Cluster IKS source],$F480,TblApplications[Action],"À migrer",TblApplications[Mois prov (calc)],"&lt;="&amp;$E480)-SUMIFS(TblApplications[CPU IKS libérable (vCPU)],TblApplications[Cluster IKS source],$F480,TblApplications[Action],"À décommissionner",TblApplications[Mois lib (calc)],"&lt;="&amp;$E480)))))</f>
        <v/>
      </c>
      <c r="Y480" s="19" t="str">
        <f>IF($D480&lt;&gt;1,"",IF($G480="ROKS",$S480,IF($AI480=1,0,MAX($O480,$M480-SUMIFS(TblApplications[RAM IKS libérable (Go)],TblApplications[Cluster IKS source],$F480,TblApplications[Action],"À migrer",TblApplications[Mois prov (calc)],"&lt;="&amp;$E480)-SUMIFS(TblApplications[RAM IKS libérable (Go)],TblApplications[Cluster IKS source],$F480,TblApplications[Action],"À décommissionner",TblApplications[Mois lib (calc)],"&lt;="&amp;$E480)))))</f>
        <v/>
      </c>
      <c r="Z480" s="19" t="str">
        <f t="shared" si="128"/>
        <v/>
      </c>
      <c r="AA480" s="73" t="str">
        <f t="shared" si="129"/>
        <v/>
      </c>
      <c r="AB480" s="19" t="str">
        <f t="shared" si="130"/>
        <v/>
      </c>
      <c r="AC480" s="73" t="str">
        <f t="shared" si="131"/>
        <v/>
      </c>
      <c r="AD480" s="19" t="str">
        <f t="shared" si="132"/>
        <v/>
      </c>
      <c r="AE480" s="19" t="str">
        <f t="shared" si="133"/>
        <v/>
      </c>
      <c r="AF480" s="19" t="str">
        <f>IF($D480&lt;&gt;1,"",IF(INDEX(TblClusters[Environnement],$B480)="","(vide)",INDEX(TblClusters[Environnement],$B480)))</f>
        <v/>
      </c>
      <c r="AG480" s="19" t="str">
        <f t="shared" si="134"/>
        <v/>
      </c>
      <c r="AH480" s="19" t="str">
        <f t="shared" si="135"/>
        <v/>
      </c>
      <c r="AI480" s="19" t="str">
        <f>IF($D480&lt;&gt;1,"",IF(AND($G480="IKS",ISNUMBER(INDEX(TblClusters[Fermeture retenue],$B480))),IF($E480&gt;=INDEX(TblClusters[Fermeture retenue],$B480),1,0),0))</f>
        <v/>
      </c>
    </row>
    <row r="481" spans="1:35" x14ac:dyDescent="0.2">
      <c r="A481" s="19">
        <v>476</v>
      </c>
      <c r="B481" s="19">
        <f t="shared" si="119"/>
        <v>14</v>
      </c>
      <c r="C481" s="19">
        <f t="shared" si="120"/>
        <v>8</v>
      </c>
      <c r="D481" s="19">
        <f>IF($C481&gt;p_horizon,0,IFERROR(IF(AND(INDEX(TblClusters[Cluster],$B481)&lt;&gt;"",ISNUMBER(INDEX(TblClusters[CPU initial (vCPU)],$B481)),ISNUMBER(INDEX(TblClusters[CPU min (vCPU)],$B481)),OR(INDEX(TblClusters[Plateforme],$B481)="IKS",INDEX(TblClusters[Plateforme],$B481)="ROKS")),1,0),0))</f>
        <v>0</v>
      </c>
      <c r="E481" s="72" t="str">
        <f t="shared" si="121"/>
        <v/>
      </c>
      <c r="F481" s="19" t="str">
        <f>IF($D481=1,INDEX(TblClusters[Cluster],$B481),"")</f>
        <v/>
      </c>
      <c r="G481" s="19" t="str">
        <f>IF($D481=1,INDEX(TblClusters[Plateforme],$B481),"")</f>
        <v/>
      </c>
      <c r="H481" s="19" t="str">
        <f>IF($D481=1,INDEX(TblClusters[vCPU par nœud],$B481),"")</f>
        <v/>
      </c>
      <c r="I481" s="19" t="str">
        <f>IF($D481=1,INDEX(TblClusters[RAM par nœud (Go)],$B481),"")</f>
        <v/>
      </c>
      <c r="J481" s="19" t="str">
        <f>IF($D481=1,INDEX(TblClusters[Workers min],$B481),"")</f>
        <v/>
      </c>
      <c r="K481" s="73" t="str">
        <f>IF($D481=1,INDEX(TblClusters[Tarif par nœud],$B481),"")</f>
        <v/>
      </c>
      <c r="L481" s="19" t="str">
        <f>IF($D481=1,INDEX(TblClusters[CPU initial (vCPU)],$B481),"")</f>
        <v/>
      </c>
      <c r="M481" s="19" t="str">
        <f>IF($D481=1,INDEX(TblClusters[RAM initiale (Go)],$B481),"")</f>
        <v/>
      </c>
      <c r="N481" s="19" t="str">
        <f>IF($D481=1,INDEX(TblClusters[CPU min (vCPU)],$B481),"")</f>
        <v/>
      </c>
      <c r="O481" s="19" t="str">
        <f>IF($D481=1,INDEX(TblClusters[RAM min (Go)],$B481),"")</f>
        <v/>
      </c>
      <c r="P481" s="19" t="str">
        <f>IF($D481&lt;&gt;1,"",IF($G481="ROKS",SUMIFS(TblApplications[Besoin ROKS CPU (vCPU)],TblApplications[Cluster ROKS cible],$F481,TblApplications[Action],"À migrer",TblApplications[Déjà incluse ROKS],"Non",TblApplications[Mois prov (calc)],"&lt;="&amp;$E481),SUMIFS(TblApplications[CPU IKS libérable (vCPU)],TblApplications[Cluster IKS source],$F481,TblApplications[Mois lib (calc)],"&lt;="&amp;$E481)))</f>
        <v/>
      </c>
      <c r="Q481" s="19" t="str">
        <f>IF($D481&lt;&gt;1,"",IF($G481="ROKS",SUMIFS(TblApplications[Besoin ROKS RAM (Go)],TblApplications[Cluster ROKS cible],$F481,TblApplications[Action],"À migrer",TblApplications[Déjà incluse ROKS],"Non",TblApplications[Mois prov (calc)],"&lt;="&amp;$E481),SUMIFS(TblApplications[RAM IKS libérable (Go)],TblApplications[Cluster IKS source],$F481,TblApplications[Mois lib (calc)],"&lt;="&amp;$E481)))</f>
        <v/>
      </c>
      <c r="R481" s="19" t="str">
        <f t="shared" si="122"/>
        <v/>
      </c>
      <c r="S481" s="19" t="str">
        <f t="shared" si="123"/>
        <v/>
      </c>
      <c r="T481" s="19" t="str">
        <f t="shared" si="124"/>
        <v/>
      </c>
      <c r="U481" s="19" t="str">
        <f t="shared" si="125"/>
        <v/>
      </c>
      <c r="V481" s="19" t="str">
        <f t="shared" si="126"/>
        <v/>
      </c>
      <c r="W481" s="73" t="str">
        <f t="shared" si="127"/>
        <v/>
      </c>
      <c r="X481" s="19" t="str">
        <f>IF($D481&lt;&gt;1,"",IF($G481="ROKS",$R481,IF($AI481=1,0,MAX($N481,$L481-SUMIFS(TblApplications[CPU IKS libérable (vCPU)],TblApplications[Cluster IKS source],$F481,TblApplications[Action],"À migrer",TblApplications[Mois prov (calc)],"&lt;="&amp;$E481)-SUMIFS(TblApplications[CPU IKS libérable (vCPU)],TblApplications[Cluster IKS source],$F481,TblApplications[Action],"À décommissionner",TblApplications[Mois lib (calc)],"&lt;="&amp;$E481)))))</f>
        <v/>
      </c>
      <c r="Y481" s="19" t="str">
        <f>IF($D481&lt;&gt;1,"",IF($G481="ROKS",$S481,IF($AI481=1,0,MAX($O481,$M481-SUMIFS(TblApplications[RAM IKS libérable (Go)],TblApplications[Cluster IKS source],$F481,TblApplications[Action],"À migrer",TblApplications[Mois prov (calc)],"&lt;="&amp;$E481)-SUMIFS(TblApplications[RAM IKS libérable (Go)],TblApplications[Cluster IKS source],$F481,TblApplications[Action],"À décommissionner",TblApplications[Mois lib (calc)],"&lt;="&amp;$E481)))))</f>
        <v/>
      </c>
      <c r="Z481" s="19" t="str">
        <f t="shared" si="128"/>
        <v/>
      </c>
      <c r="AA481" s="73" t="str">
        <f t="shared" si="129"/>
        <v/>
      </c>
      <c r="AB481" s="19" t="str">
        <f t="shared" si="130"/>
        <v/>
      </c>
      <c r="AC481" s="73" t="str">
        <f t="shared" si="131"/>
        <v/>
      </c>
      <c r="AD481" s="19" t="str">
        <f t="shared" si="132"/>
        <v/>
      </c>
      <c r="AE481" s="19" t="str">
        <f t="shared" si="133"/>
        <v/>
      </c>
      <c r="AF481" s="19" t="str">
        <f>IF($D481&lt;&gt;1,"",IF(INDEX(TblClusters[Environnement],$B481)="","(vide)",INDEX(TblClusters[Environnement],$B481)))</f>
        <v/>
      </c>
      <c r="AG481" s="19" t="str">
        <f t="shared" si="134"/>
        <v/>
      </c>
      <c r="AH481" s="19" t="str">
        <f t="shared" si="135"/>
        <v/>
      </c>
      <c r="AI481" s="19" t="str">
        <f>IF($D481&lt;&gt;1,"",IF(AND($G481="IKS",ISNUMBER(INDEX(TblClusters[Fermeture retenue],$B481))),IF($E481&gt;=INDEX(TblClusters[Fermeture retenue],$B481),1,0),0))</f>
        <v/>
      </c>
    </row>
    <row r="482" spans="1:35" x14ac:dyDescent="0.2">
      <c r="A482" s="19">
        <v>477</v>
      </c>
      <c r="B482" s="19">
        <f t="shared" si="119"/>
        <v>14</v>
      </c>
      <c r="C482" s="19">
        <f t="shared" si="120"/>
        <v>9</v>
      </c>
      <c r="D482" s="19">
        <f>IF($C482&gt;p_horizon,0,IFERROR(IF(AND(INDEX(TblClusters[Cluster],$B482)&lt;&gt;"",ISNUMBER(INDEX(TblClusters[CPU initial (vCPU)],$B482)),ISNUMBER(INDEX(TblClusters[CPU min (vCPU)],$B482)),OR(INDEX(TblClusters[Plateforme],$B482)="IKS",INDEX(TblClusters[Plateforme],$B482)="ROKS")),1,0),0))</f>
        <v>0</v>
      </c>
      <c r="E482" s="72" t="str">
        <f t="shared" si="121"/>
        <v/>
      </c>
      <c r="F482" s="19" t="str">
        <f>IF($D482=1,INDEX(TblClusters[Cluster],$B482),"")</f>
        <v/>
      </c>
      <c r="G482" s="19" t="str">
        <f>IF($D482=1,INDEX(TblClusters[Plateforme],$B482),"")</f>
        <v/>
      </c>
      <c r="H482" s="19" t="str">
        <f>IF($D482=1,INDEX(TblClusters[vCPU par nœud],$B482),"")</f>
        <v/>
      </c>
      <c r="I482" s="19" t="str">
        <f>IF($D482=1,INDEX(TblClusters[RAM par nœud (Go)],$B482),"")</f>
        <v/>
      </c>
      <c r="J482" s="19" t="str">
        <f>IF($D482=1,INDEX(TblClusters[Workers min],$B482),"")</f>
        <v/>
      </c>
      <c r="K482" s="73" t="str">
        <f>IF($D482=1,INDEX(TblClusters[Tarif par nœud],$B482),"")</f>
        <v/>
      </c>
      <c r="L482" s="19" t="str">
        <f>IF($D482=1,INDEX(TblClusters[CPU initial (vCPU)],$B482),"")</f>
        <v/>
      </c>
      <c r="M482" s="19" t="str">
        <f>IF($D482=1,INDEX(TblClusters[RAM initiale (Go)],$B482),"")</f>
        <v/>
      </c>
      <c r="N482" s="19" t="str">
        <f>IF($D482=1,INDEX(TblClusters[CPU min (vCPU)],$B482),"")</f>
        <v/>
      </c>
      <c r="O482" s="19" t="str">
        <f>IF($D482=1,INDEX(TblClusters[RAM min (Go)],$B482),"")</f>
        <v/>
      </c>
      <c r="P482" s="19" t="str">
        <f>IF($D482&lt;&gt;1,"",IF($G482="ROKS",SUMIFS(TblApplications[Besoin ROKS CPU (vCPU)],TblApplications[Cluster ROKS cible],$F482,TblApplications[Action],"À migrer",TblApplications[Déjà incluse ROKS],"Non",TblApplications[Mois prov (calc)],"&lt;="&amp;$E482),SUMIFS(TblApplications[CPU IKS libérable (vCPU)],TblApplications[Cluster IKS source],$F482,TblApplications[Mois lib (calc)],"&lt;="&amp;$E482)))</f>
        <v/>
      </c>
      <c r="Q482" s="19" t="str">
        <f>IF($D482&lt;&gt;1,"",IF($G482="ROKS",SUMIFS(TblApplications[Besoin ROKS RAM (Go)],TblApplications[Cluster ROKS cible],$F482,TblApplications[Action],"À migrer",TblApplications[Déjà incluse ROKS],"Non",TblApplications[Mois prov (calc)],"&lt;="&amp;$E482),SUMIFS(TblApplications[RAM IKS libérable (Go)],TblApplications[Cluster IKS source],$F482,TblApplications[Mois lib (calc)],"&lt;="&amp;$E482)))</f>
        <v/>
      </c>
      <c r="R482" s="19" t="str">
        <f t="shared" si="122"/>
        <v/>
      </c>
      <c r="S482" s="19" t="str">
        <f t="shared" si="123"/>
        <v/>
      </c>
      <c r="T482" s="19" t="str">
        <f t="shared" si="124"/>
        <v/>
      </c>
      <c r="U482" s="19" t="str">
        <f t="shared" si="125"/>
        <v/>
      </c>
      <c r="V482" s="19" t="str">
        <f t="shared" si="126"/>
        <v/>
      </c>
      <c r="W482" s="73" t="str">
        <f t="shared" si="127"/>
        <v/>
      </c>
      <c r="X482" s="19" t="str">
        <f>IF($D482&lt;&gt;1,"",IF($G482="ROKS",$R482,IF($AI482=1,0,MAX($N482,$L482-SUMIFS(TblApplications[CPU IKS libérable (vCPU)],TblApplications[Cluster IKS source],$F482,TblApplications[Action],"À migrer",TblApplications[Mois prov (calc)],"&lt;="&amp;$E482)-SUMIFS(TblApplications[CPU IKS libérable (vCPU)],TblApplications[Cluster IKS source],$F482,TblApplications[Action],"À décommissionner",TblApplications[Mois lib (calc)],"&lt;="&amp;$E482)))))</f>
        <v/>
      </c>
      <c r="Y482" s="19" t="str">
        <f>IF($D482&lt;&gt;1,"",IF($G482="ROKS",$S482,IF($AI482=1,0,MAX($O482,$M482-SUMIFS(TblApplications[RAM IKS libérable (Go)],TblApplications[Cluster IKS source],$F482,TblApplications[Action],"À migrer",TblApplications[Mois prov (calc)],"&lt;="&amp;$E482)-SUMIFS(TblApplications[RAM IKS libérable (Go)],TblApplications[Cluster IKS source],$F482,TblApplications[Action],"À décommissionner",TblApplications[Mois lib (calc)],"&lt;="&amp;$E482)))))</f>
        <v/>
      </c>
      <c r="Z482" s="19" t="str">
        <f t="shared" si="128"/>
        <v/>
      </c>
      <c r="AA482" s="73" t="str">
        <f t="shared" si="129"/>
        <v/>
      </c>
      <c r="AB482" s="19" t="str">
        <f t="shared" si="130"/>
        <v/>
      </c>
      <c r="AC482" s="73" t="str">
        <f t="shared" si="131"/>
        <v/>
      </c>
      <c r="AD482" s="19" t="str">
        <f t="shared" si="132"/>
        <v/>
      </c>
      <c r="AE482" s="19" t="str">
        <f t="shared" si="133"/>
        <v/>
      </c>
      <c r="AF482" s="19" t="str">
        <f>IF($D482&lt;&gt;1,"",IF(INDEX(TblClusters[Environnement],$B482)="","(vide)",INDEX(TblClusters[Environnement],$B482)))</f>
        <v/>
      </c>
      <c r="AG482" s="19" t="str">
        <f t="shared" si="134"/>
        <v/>
      </c>
      <c r="AH482" s="19" t="str">
        <f t="shared" si="135"/>
        <v/>
      </c>
      <c r="AI482" s="19" t="str">
        <f>IF($D482&lt;&gt;1,"",IF(AND($G482="IKS",ISNUMBER(INDEX(TblClusters[Fermeture retenue],$B482))),IF($E482&gt;=INDEX(TblClusters[Fermeture retenue],$B482),1,0),0))</f>
        <v/>
      </c>
    </row>
    <row r="483" spans="1:35" x14ac:dyDescent="0.2">
      <c r="A483" s="19">
        <v>478</v>
      </c>
      <c r="B483" s="19">
        <f t="shared" si="119"/>
        <v>14</v>
      </c>
      <c r="C483" s="19">
        <f t="shared" si="120"/>
        <v>10</v>
      </c>
      <c r="D483" s="19">
        <f>IF($C483&gt;p_horizon,0,IFERROR(IF(AND(INDEX(TblClusters[Cluster],$B483)&lt;&gt;"",ISNUMBER(INDEX(TblClusters[CPU initial (vCPU)],$B483)),ISNUMBER(INDEX(TblClusters[CPU min (vCPU)],$B483)),OR(INDEX(TblClusters[Plateforme],$B483)="IKS",INDEX(TblClusters[Plateforme],$B483)="ROKS")),1,0),0))</f>
        <v>0</v>
      </c>
      <c r="E483" s="72" t="str">
        <f t="shared" si="121"/>
        <v/>
      </c>
      <c r="F483" s="19" t="str">
        <f>IF($D483=1,INDEX(TblClusters[Cluster],$B483),"")</f>
        <v/>
      </c>
      <c r="G483" s="19" t="str">
        <f>IF($D483=1,INDEX(TblClusters[Plateforme],$B483),"")</f>
        <v/>
      </c>
      <c r="H483" s="19" t="str">
        <f>IF($D483=1,INDEX(TblClusters[vCPU par nœud],$B483),"")</f>
        <v/>
      </c>
      <c r="I483" s="19" t="str">
        <f>IF($D483=1,INDEX(TblClusters[RAM par nœud (Go)],$B483),"")</f>
        <v/>
      </c>
      <c r="J483" s="19" t="str">
        <f>IF($D483=1,INDEX(TblClusters[Workers min],$B483),"")</f>
        <v/>
      </c>
      <c r="K483" s="73" t="str">
        <f>IF($D483=1,INDEX(TblClusters[Tarif par nœud],$B483),"")</f>
        <v/>
      </c>
      <c r="L483" s="19" t="str">
        <f>IF($D483=1,INDEX(TblClusters[CPU initial (vCPU)],$B483),"")</f>
        <v/>
      </c>
      <c r="M483" s="19" t="str">
        <f>IF($D483=1,INDEX(TblClusters[RAM initiale (Go)],$B483),"")</f>
        <v/>
      </c>
      <c r="N483" s="19" t="str">
        <f>IF($D483=1,INDEX(TblClusters[CPU min (vCPU)],$B483),"")</f>
        <v/>
      </c>
      <c r="O483" s="19" t="str">
        <f>IF($D483=1,INDEX(TblClusters[RAM min (Go)],$B483),"")</f>
        <v/>
      </c>
      <c r="P483" s="19" t="str">
        <f>IF($D483&lt;&gt;1,"",IF($G483="ROKS",SUMIFS(TblApplications[Besoin ROKS CPU (vCPU)],TblApplications[Cluster ROKS cible],$F483,TblApplications[Action],"À migrer",TblApplications[Déjà incluse ROKS],"Non",TblApplications[Mois prov (calc)],"&lt;="&amp;$E483),SUMIFS(TblApplications[CPU IKS libérable (vCPU)],TblApplications[Cluster IKS source],$F483,TblApplications[Mois lib (calc)],"&lt;="&amp;$E483)))</f>
        <v/>
      </c>
      <c r="Q483" s="19" t="str">
        <f>IF($D483&lt;&gt;1,"",IF($G483="ROKS",SUMIFS(TblApplications[Besoin ROKS RAM (Go)],TblApplications[Cluster ROKS cible],$F483,TblApplications[Action],"À migrer",TblApplications[Déjà incluse ROKS],"Non",TblApplications[Mois prov (calc)],"&lt;="&amp;$E483),SUMIFS(TblApplications[RAM IKS libérable (Go)],TblApplications[Cluster IKS source],$F483,TblApplications[Mois lib (calc)],"&lt;="&amp;$E483)))</f>
        <v/>
      </c>
      <c r="R483" s="19" t="str">
        <f t="shared" si="122"/>
        <v/>
      </c>
      <c r="S483" s="19" t="str">
        <f t="shared" si="123"/>
        <v/>
      </c>
      <c r="T483" s="19" t="str">
        <f t="shared" si="124"/>
        <v/>
      </c>
      <c r="U483" s="19" t="str">
        <f t="shared" si="125"/>
        <v/>
      </c>
      <c r="V483" s="19" t="str">
        <f t="shared" si="126"/>
        <v/>
      </c>
      <c r="W483" s="73" t="str">
        <f t="shared" si="127"/>
        <v/>
      </c>
      <c r="X483" s="19" t="str">
        <f>IF($D483&lt;&gt;1,"",IF($G483="ROKS",$R483,IF($AI483=1,0,MAX($N483,$L483-SUMIFS(TblApplications[CPU IKS libérable (vCPU)],TblApplications[Cluster IKS source],$F483,TblApplications[Action],"À migrer",TblApplications[Mois prov (calc)],"&lt;="&amp;$E483)-SUMIFS(TblApplications[CPU IKS libérable (vCPU)],TblApplications[Cluster IKS source],$F483,TblApplications[Action],"À décommissionner",TblApplications[Mois lib (calc)],"&lt;="&amp;$E483)))))</f>
        <v/>
      </c>
      <c r="Y483" s="19" t="str">
        <f>IF($D483&lt;&gt;1,"",IF($G483="ROKS",$S483,IF($AI483=1,0,MAX($O483,$M483-SUMIFS(TblApplications[RAM IKS libérable (Go)],TblApplications[Cluster IKS source],$F483,TblApplications[Action],"À migrer",TblApplications[Mois prov (calc)],"&lt;="&amp;$E483)-SUMIFS(TblApplications[RAM IKS libérable (Go)],TblApplications[Cluster IKS source],$F483,TblApplications[Action],"À décommissionner",TblApplications[Mois lib (calc)],"&lt;="&amp;$E483)))))</f>
        <v/>
      </c>
      <c r="Z483" s="19" t="str">
        <f t="shared" si="128"/>
        <v/>
      </c>
      <c r="AA483" s="73" t="str">
        <f t="shared" si="129"/>
        <v/>
      </c>
      <c r="AB483" s="19" t="str">
        <f t="shared" si="130"/>
        <v/>
      </c>
      <c r="AC483" s="73" t="str">
        <f t="shared" si="131"/>
        <v/>
      </c>
      <c r="AD483" s="19" t="str">
        <f t="shared" si="132"/>
        <v/>
      </c>
      <c r="AE483" s="19" t="str">
        <f t="shared" si="133"/>
        <v/>
      </c>
      <c r="AF483" s="19" t="str">
        <f>IF($D483&lt;&gt;1,"",IF(INDEX(TblClusters[Environnement],$B483)="","(vide)",INDEX(TblClusters[Environnement],$B483)))</f>
        <v/>
      </c>
      <c r="AG483" s="19" t="str">
        <f t="shared" si="134"/>
        <v/>
      </c>
      <c r="AH483" s="19" t="str">
        <f t="shared" si="135"/>
        <v/>
      </c>
      <c r="AI483" s="19" t="str">
        <f>IF($D483&lt;&gt;1,"",IF(AND($G483="IKS",ISNUMBER(INDEX(TblClusters[Fermeture retenue],$B483))),IF($E483&gt;=INDEX(TblClusters[Fermeture retenue],$B483),1,0),0))</f>
        <v/>
      </c>
    </row>
    <row r="484" spans="1:35" x14ac:dyDescent="0.2">
      <c r="A484" s="19">
        <v>479</v>
      </c>
      <c r="B484" s="19">
        <f t="shared" si="119"/>
        <v>14</v>
      </c>
      <c r="C484" s="19">
        <f t="shared" si="120"/>
        <v>11</v>
      </c>
      <c r="D484" s="19">
        <f>IF($C484&gt;p_horizon,0,IFERROR(IF(AND(INDEX(TblClusters[Cluster],$B484)&lt;&gt;"",ISNUMBER(INDEX(TblClusters[CPU initial (vCPU)],$B484)),ISNUMBER(INDEX(TblClusters[CPU min (vCPU)],$B484)),OR(INDEX(TblClusters[Plateforme],$B484)="IKS",INDEX(TblClusters[Plateforme],$B484)="ROKS")),1,0),0))</f>
        <v>0</v>
      </c>
      <c r="E484" s="72" t="str">
        <f t="shared" si="121"/>
        <v/>
      </c>
      <c r="F484" s="19" t="str">
        <f>IF($D484=1,INDEX(TblClusters[Cluster],$B484),"")</f>
        <v/>
      </c>
      <c r="G484" s="19" t="str">
        <f>IF($D484=1,INDEX(TblClusters[Plateforme],$B484),"")</f>
        <v/>
      </c>
      <c r="H484" s="19" t="str">
        <f>IF($D484=1,INDEX(TblClusters[vCPU par nœud],$B484),"")</f>
        <v/>
      </c>
      <c r="I484" s="19" t="str">
        <f>IF($D484=1,INDEX(TblClusters[RAM par nœud (Go)],$B484),"")</f>
        <v/>
      </c>
      <c r="J484" s="19" t="str">
        <f>IF($D484=1,INDEX(TblClusters[Workers min],$B484),"")</f>
        <v/>
      </c>
      <c r="K484" s="73" t="str">
        <f>IF($D484=1,INDEX(TblClusters[Tarif par nœud],$B484),"")</f>
        <v/>
      </c>
      <c r="L484" s="19" t="str">
        <f>IF($D484=1,INDEX(TblClusters[CPU initial (vCPU)],$B484),"")</f>
        <v/>
      </c>
      <c r="M484" s="19" t="str">
        <f>IF($D484=1,INDEX(TblClusters[RAM initiale (Go)],$B484),"")</f>
        <v/>
      </c>
      <c r="N484" s="19" t="str">
        <f>IF($D484=1,INDEX(TblClusters[CPU min (vCPU)],$B484),"")</f>
        <v/>
      </c>
      <c r="O484" s="19" t="str">
        <f>IF($D484=1,INDEX(TblClusters[RAM min (Go)],$B484),"")</f>
        <v/>
      </c>
      <c r="P484" s="19" t="str">
        <f>IF($D484&lt;&gt;1,"",IF($G484="ROKS",SUMIFS(TblApplications[Besoin ROKS CPU (vCPU)],TblApplications[Cluster ROKS cible],$F484,TblApplications[Action],"À migrer",TblApplications[Déjà incluse ROKS],"Non",TblApplications[Mois prov (calc)],"&lt;="&amp;$E484),SUMIFS(TblApplications[CPU IKS libérable (vCPU)],TblApplications[Cluster IKS source],$F484,TblApplications[Mois lib (calc)],"&lt;="&amp;$E484)))</f>
        <v/>
      </c>
      <c r="Q484" s="19" t="str">
        <f>IF($D484&lt;&gt;1,"",IF($G484="ROKS",SUMIFS(TblApplications[Besoin ROKS RAM (Go)],TblApplications[Cluster ROKS cible],$F484,TblApplications[Action],"À migrer",TblApplications[Déjà incluse ROKS],"Non",TblApplications[Mois prov (calc)],"&lt;="&amp;$E484),SUMIFS(TblApplications[RAM IKS libérable (Go)],TblApplications[Cluster IKS source],$F484,TblApplications[Mois lib (calc)],"&lt;="&amp;$E484)))</f>
        <v/>
      </c>
      <c r="R484" s="19" t="str">
        <f t="shared" si="122"/>
        <v/>
      </c>
      <c r="S484" s="19" t="str">
        <f t="shared" si="123"/>
        <v/>
      </c>
      <c r="T484" s="19" t="str">
        <f t="shared" si="124"/>
        <v/>
      </c>
      <c r="U484" s="19" t="str">
        <f t="shared" si="125"/>
        <v/>
      </c>
      <c r="V484" s="19" t="str">
        <f t="shared" si="126"/>
        <v/>
      </c>
      <c r="W484" s="73" t="str">
        <f t="shared" si="127"/>
        <v/>
      </c>
      <c r="X484" s="19" t="str">
        <f>IF($D484&lt;&gt;1,"",IF($G484="ROKS",$R484,IF($AI484=1,0,MAX($N484,$L484-SUMIFS(TblApplications[CPU IKS libérable (vCPU)],TblApplications[Cluster IKS source],$F484,TblApplications[Action],"À migrer",TblApplications[Mois prov (calc)],"&lt;="&amp;$E484)-SUMIFS(TblApplications[CPU IKS libérable (vCPU)],TblApplications[Cluster IKS source],$F484,TblApplications[Action],"À décommissionner",TblApplications[Mois lib (calc)],"&lt;="&amp;$E484)))))</f>
        <v/>
      </c>
      <c r="Y484" s="19" t="str">
        <f>IF($D484&lt;&gt;1,"",IF($G484="ROKS",$S484,IF($AI484=1,0,MAX($O484,$M484-SUMIFS(TblApplications[RAM IKS libérable (Go)],TblApplications[Cluster IKS source],$F484,TblApplications[Action],"À migrer",TblApplications[Mois prov (calc)],"&lt;="&amp;$E484)-SUMIFS(TblApplications[RAM IKS libérable (Go)],TblApplications[Cluster IKS source],$F484,TblApplications[Action],"À décommissionner",TblApplications[Mois lib (calc)],"&lt;="&amp;$E484)))))</f>
        <v/>
      </c>
      <c r="Z484" s="19" t="str">
        <f t="shared" si="128"/>
        <v/>
      </c>
      <c r="AA484" s="73" t="str">
        <f t="shared" si="129"/>
        <v/>
      </c>
      <c r="AB484" s="19" t="str">
        <f t="shared" si="130"/>
        <v/>
      </c>
      <c r="AC484" s="73" t="str">
        <f t="shared" si="131"/>
        <v/>
      </c>
      <c r="AD484" s="19" t="str">
        <f t="shared" si="132"/>
        <v/>
      </c>
      <c r="AE484" s="19" t="str">
        <f t="shared" si="133"/>
        <v/>
      </c>
      <c r="AF484" s="19" t="str">
        <f>IF($D484&lt;&gt;1,"",IF(INDEX(TblClusters[Environnement],$B484)="","(vide)",INDEX(TblClusters[Environnement],$B484)))</f>
        <v/>
      </c>
      <c r="AG484" s="19" t="str">
        <f t="shared" si="134"/>
        <v/>
      </c>
      <c r="AH484" s="19" t="str">
        <f t="shared" si="135"/>
        <v/>
      </c>
      <c r="AI484" s="19" t="str">
        <f>IF($D484&lt;&gt;1,"",IF(AND($G484="IKS",ISNUMBER(INDEX(TblClusters[Fermeture retenue],$B484))),IF($E484&gt;=INDEX(TblClusters[Fermeture retenue],$B484),1,0),0))</f>
        <v/>
      </c>
    </row>
    <row r="485" spans="1:35" x14ac:dyDescent="0.2">
      <c r="A485" s="19">
        <v>480</v>
      </c>
      <c r="B485" s="19">
        <f t="shared" si="119"/>
        <v>14</v>
      </c>
      <c r="C485" s="19">
        <f t="shared" si="120"/>
        <v>12</v>
      </c>
      <c r="D485" s="19">
        <f>IF($C485&gt;p_horizon,0,IFERROR(IF(AND(INDEX(TblClusters[Cluster],$B485)&lt;&gt;"",ISNUMBER(INDEX(TblClusters[CPU initial (vCPU)],$B485)),ISNUMBER(INDEX(TblClusters[CPU min (vCPU)],$B485)),OR(INDEX(TblClusters[Plateforme],$B485)="IKS",INDEX(TblClusters[Plateforme],$B485)="ROKS")),1,0),0))</f>
        <v>0</v>
      </c>
      <c r="E485" s="72" t="str">
        <f t="shared" si="121"/>
        <v/>
      </c>
      <c r="F485" s="19" t="str">
        <f>IF($D485=1,INDEX(TblClusters[Cluster],$B485),"")</f>
        <v/>
      </c>
      <c r="G485" s="19" t="str">
        <f>IF($D485=1,INDEX(TblClusters[Plateforme],$B485),"")</f>
        <v/>
      </c>
      <c r="H485" s="19" t="str">
        <f>IF($D485=1,INDEX(TblClusters[vCPU par nœud],$B485),"")</f>
        <v/>
      </c>
      <c r="I485" s="19" t="str">
        <f>IF($D485=1,INDEX(TblClusters[RAM par nœud (Go)],$B485),"")</f>
        <v/>
      </c>
      <c r="J485" s="19" t="str">
        <f>IF($D485=1,INDEX(TblClusters[Workers min],$B485),"")</f>
        <v/>
      </c>
      <c r="K485" s="73" t="str">
        <f>IF($D485=1,INDEX(TblClusters[Tarif par nœud],$B485),"")</f>
        <v/>
      </c>
      <c r="L485" s="19" t="str">
        <f>IF($D485=1,INDEX(TblClusters[CPU initial (vCPU)],$B485),"")</f>
        <v/>
      </c>
      <c r="M485" s="19" t="str">
        <f>IF($D485=1,INDEX(TblClusters[RAM initiale (Go)],$B485),"")</f>
        <v/>
      </c>
      <c r="N485" s="19" t="str">
        <f>IF($D485=1,INDEX(TblClusters[CPU min (vCPU)],$B485),"")</f>
        <v/>
      </c>
      <c r="O485" s="19" t="str">
        <f>IF($D485=1,INDEX(TblClusters[RAM min (Go)],$B485),"")</f>
        <v/>
      </c>
      <c r="P485" s="19" t="str">
        <f>IF($D485&lt;&gt;1,"",IF($G485="ROKS",SUMIFS(TblApplications[Besoin ROKS CPU (vCPU)],TblApplications[Cluster ROKS cible],$F485,TblApplications[Action],"À migrer",TblApplications[Déjà incluse ROKS],"Non",TblApplications[Mois prov (calc)],"&lt;="&amp;$E485),SUMIFS(TblApplications[CPU IKS libérable (vCPU)],TblApplications[Cluster IKS source],$F485,TblApplications[Mois lib (calc)],"&lt;="&amp;$E485)))</f>
        <v/>
      </c>
      <c r="Q485" s="19" t="str">
        <f>IF($D485&lt;&gt;1,"",IF($G485="ROKS",SUMIFS(TblApplications[Besoin ROKS RAM (Go)],TblApplications[Cluster ROKS cible],$F485,TblApplications[Action],"À migrer",TblApplications[Déjà incluse ROKS],"Non",TblApplications[Mois prov (calc)],"&lt;="&amp;$E485),SUMIFS(TblApplications[RAM IKS libérable (Go)],TblApplications[Cluster IKS source],$F485,TblApplications[Mois lib (calc)],"&lt;="&amp;$E485)))</f>
        <v/>
      </c>
      <c r="R485" s="19" t="str">
        <f t="shared" si="122"/>
        <v/>
      </c>
      <c r="S485" s="19" t="str">
        <f t="shared" si="123"/>
        <v/>
      </c>
      <c r="T485" s="19" t="str">
        <f t="shared" si="124"/>
        <v/>
      </c>
      <c r="U485" s="19" t="str">
        <f t="shared" si="125"/>
        <v/>
      </c>
      <c r="V485" s="19" t="str">
        <f t="shared" si="126"/>
        <v/>
      </c>
      <c r="W485" s="73" t="str">
        <f t="shared" si="127"/>
        <v/>
      </c>
      <c r="X485" s="19" t="str">
        <f>IF($D485&lt;&gt;1,"",IF($G485="ROKS",$R485,IF($AI485=1,0,MAX($N485,$L485-SUMIFS(TblApplications[CPU IKS libérable (vCPU)],TblApplications[Cluster IKS source],$F485,TblApplications[Action],"À migrer",TblApplications[Mois prov (calc)],"&lt;="&amp;$E485)-SUMIFS(TblApplications[CPU IKS libérable (vCPU)],TblApplications[Cluster IKS source],$F485,TblApplications[Action],"À décommissionner",TblApplications[Mois lib (calc)],"&lt;="&amp;$E485)))))</f>
        <v/>
      </c>
      <c r="Y485" s="19" t="str">
        <f>IF($D485&lt;&gt;1,"",IF($G485="ROKS",$S485,IF($AI485=1,0,MAX($O485,$M485-SUMIFS(TblApplications[RAM IKS libérable (Go)],TblApplications[Cluster IKS source],$F485,TblApplications[Action],"À migrer",TblApplications[Mois prov (calc)],"&lt;="&amp;$E485)-SUMIFS(TblApplications[RAM IKS libérable (Go)],TblApplications[Cluster IKS source],$F485,TblApplications[Action],"À décommissionner",TblApplications[Mois lib (calc)],"&lt;="&amp;$E485)))))</f>
        <v/>
      </c>
      <c r="Z485" s="19" t="str">
        <f t="shared" si="128"/>
        <v/>
      </c>
      <c r="AA485" s="73" t="str">
        <f t="shared" si="129"/>
        <v/>
      </c>
      <c r="AB485" s="19" t="str">
        <f t="shared" si="130"/>
        <v/>
      </c>
      <c r="AC485" s="73" t="str">
        <f t="shared" si="131"/>
        <v/>
      </c>
      <c r="AD485" s="19" t="str">
        <f t="shared" si="132"/>
        <v/>
      </c>
      <c r="AE485" s="19" t="str">
        <f t="shared" si="133"/>
        <v/>
      </c>
      <c r="AF485" s="19" t="str">
        <f>IF($D485&lt;&gt;1,"",IF(INDEX(TblClusters[Environnement],$B485)="","(vide)",INDEX(TblClusters[Environnement],$B485)))</f>
        <v/>
      </c>
      <c r="AG485" s="19" t="str">
        <f t="shared" si="134"/>
        <v/>
      </c>
      <c r="AH485" s="19" t="str">
        <f t="shared" si="135"/>
        <v/>
      </c>
      <c r="AI485" s="19" t="str">
        <f>IF($D485&lt;&gt;1,"",IF(AND($G485="IKS",ISNUMBER(INDEX(TblClusters[Fermeture retenue],$B485))),IF($E485&gt;=INDEX(TblClusters[Fermeture retenue],$B485),1,0),0))</f>
        <v/>
      </c>
    </row>
    <row r="486" spans="1:35" x14ac:dyDescent="0.2">
      <c r="A486" s="19">
        <v>481</v>
      </c>
      <c r="B486" s="19">
        <f t="shared" si="119"/>
        <v>14</v>
      </c>
      <c r="C486" s="19">
        <f t="shared" si="120"/>
        <v>13</v>
      </c>
      <c r="D486" s="19">
        <f>IF($C486&gt;p_horizon,0,IFERROR(IF(AND(INDEX(TblClusters[Cluster],$B486)&lt;&gt;"",ISNUMBER(INDEX(TblClusters[CPU initial (vCPU)],$B486)),ISNUMBER(INDEX(TblClusters[CPU min (vCPU)],$B486)),OR(INDEX(TblClusters[Plateforme],$B486)="IKS",INDEX(TblClusters[Plateforme],$B486)="ROKS")),1,0),0))</f>
        <v>0</v>
      </c>
      <c r="E486" s="72" t="str">
        <f t="shared" si="121"/>
        <v/>
      </c>
      <c r="F486" s="19" t="str">
        <f>IF($D486=1,INDEX(TblClusters[Cluster],$B486),"")</f>
        <v/>
      </c>
      <c r="G486" s="19" t="str">
        <f>IF($D486=1,INDEX(TblClusters[Plateforme],$B486),"")</f>
        <v/>
      </c>
      <c r="H486" s="19" t="str">
        <f>IF($D486=1,INDEX(TblClusters[vCPU par nœud],$B486),"")</f>
        <v/>
      </c>
      <c r="I486" s="19" t="str">
        <f>IF($D486=1,INDEX(TblClusters[RAM par nœud (Go)],$B486),"")</f>
        <v/>
      </c>
      <c r="J486" s="19" t="str">
        <f>IF($D486=1,INDEX(TblClusters[Workers min],$B486),"")</f>
        <v/>
      </c>
      <c r="K486" s="73" t="str">
        <f>IF($D486=1,INDEX(TblClusters[Tarif par nœud],$B486),"")</f>
        <v/>
      </c>
      <c r="L486" s="19" t="str">
        <f>IF($D486=1,INDEX(TblClusters[CPU initial (vCPU)],$B486),"")</f>
        <v/>
      </c>
      <c r="M486" s="19" t="str">
        <f>IF($D486=1,INDEX(TblClusters[RAM initiale (Go)],$B486),"")</f>
        <v/>
      </c>
      <c r="N486" s="19" t="str">
        <f>IF($D486=1,INDEX(TblClusters[CPU min (vCPU)],$B486),"")</f>
        <v/>
      </c>
      <c r="O486" s="19" t="str">
        <f>IF($D486=1,INDEX(TblClusters[RAM min (Go)],$B486),"")</f>
        <v/>
      </c>
      <c r="P486" s="19" t="str">
        <f>IF($D486&lt;&gt;1,"",IF($G486="ROKS",SUMIFS(TblApplications[Besoin ROKS CPU (vCPU)],TblApplications[Cluster ROKS cible],$F486,TblApplications[Action],"À migrer",TblApplications[Déjà incluse ROKS],"Non",TblApplications[Mois prov (calc)],"&lt;="&amp;$E486),SUMIFS(TblApplications[CPU IKS libérable (vCPU)],TblApplications[Cluster IKS source],$F486,TblApplications[Mois lib (calc)],"&lt;="&amp;$E486)))</f>
        <v/>
      </c>
      <c r="Q486" s="19" t="str">
        <f>IF($D486&lt;&gt;1,"",IF($G486="ROKS",SUMIFS(TblApplications[Besoin ROKS RAM (Go)],TblApplications[Cluster ROKS cible],$F486,TblApplications[Action],"À migrer",TblApplications[Déjà incluse ROKS],"Non",TblApplications[Mois prov (calc)],"&lt;="&amp;$E486),SUMIFS(TblApplications[RAM IKS libérable (Go)],TblApplications[Cluster IKS source],$F486,TblApplications[Mois lib (calc)],"&lt;="&amp;$E486)))</f>
        <v/>
      </c>
      <c r="R486" s="19" t="str">
        <f t="shared" si="122"/>
        <v/>
      </c>
      <c r="S486" s="19" t="str">
        <f t="shared" si="123"/>
        <v/>
      </c>
      <c r="T486" s="19" t="str">
        <f t="shared" si="124"/>
        <v/>
      </c>
      <c r="U486" s="19" t="str">
        <f t="shared" si="125"/>
        <v/>
      </c>
      <c r="V486" s="19" t="str">
        <f t="shared" si="126"/>
        <v/>
      </c>
      <c r="W486" s="73" t="str">
        <f t="shared" si="127"/>
        <v/>
      </c>
      <c r="X486" s="19" t="str">
        <f>IF($D486&lt;&gt;1,"",IF($G486="ROKS",$R486,IF($AI486=1,0,MAX($N486,$L486-SUMIFS(TblApplications[CPU IKS libérable (vCPU)],TblApplications[Cluster IKS source],$F486,TblApplications[Action],"À migrer",TblApplications[Mois prov (calc)],"&lt;="&amp;$E486)-SUMIFS(TblApplications[CPU IKS libérable (vCPU)],TblApplications[Cluster IKS source],$F486,TblApplications[Action],"À décommissionner",TblApplications[Mois lib (calc)],"&lt;="&amp;$E486)))))</f>
        <v/>
      </c>
      <c r="Y486" s="19" t="str">
        <f>IF($D486&lt;&gt;1,"",IF($G486="ROKS",$S486,IF($AI486=1,0,MAX($O486,$M486-SUMIFS(TblApplications[RAM IKS libérable (Go)],TblApplications[Cluster IKS source],$F486,TblApplications[Action],"À migrer",TblApplications[Mois prov (calc)],"&lt;="&amp;$E486)-SUMIFS(TblApplications[RAM IKS libérable (Go)],TblApplications[Cluster IKS source],$F486,TblApplications[Action],"À décommissionner",TblApplications[Mois lib (calc)],"&lt;="&amp;$E486)))))</f>
        <v/>
      </c>
      <c r="Z486" s="19" t="str">
        <f t="shared" si="128"/>
        <v/>
      </c>
      <c r="AA486" s="73" t="str">
        <f t="shared" si="129"/>
        <v/>
      </c>
      <c r="AB486" s="19" t="str">
        <f t="shared" si="130"/>
        <v/>
      </c>
      <c r="AC486" s="73" t="str">
        <f t="shared" si="131"/>
        <v/>
      </c>
      <c r="AD486" s="19" t="str">
        <f t="shared" si="132"/>
        <v/>
      </c>
      <c r="AE486" s="19" t="str">
        <f t="shared" si="133"/>
        <v/>
      </c>
      <c r="AF486" s="19" t="str">
        <f>IF($D486&lt;&gt;1,"",IF(INDEX(TblClusters[Environnement],$B486)="","(vide)",INDEX(TblClusters[Environnement],$B486)))</f>
        <v/>
      </c>
      <c r="AG486" s="19" t="str">
        <f t="shared" si="134"/>
        <v/>
      </c>
      <c r="AH486" s="19" t="str">
        <f t="shared" si="135"/>
        <v/>
      </c>
      <c r="AI486" s="19" t="str">
        <f>IF($D486&lt;&gt;1,"",IF(AND($G486="IKS",ISNUMBER(INDEX(TblClusters[Fermeture retenue],$B486))),IF($E486&gt;=INDEX(TblClusters[Fermeture retenue],$B486),1,0),0))</f>
        <v/>
      </c>
    </row>
    <row r="487" spans="1:35" x14ac:dyDescent="0.2">
      <c r="A487" s="19">
        <v>482</v>
      </c>
      <c r="B487" s="19">
        <f t="shared" si="119"/>
        <v>14</v>
      </c>
      <c r="C487" s="19">
        <f t="shared" si="120"/>
        <v>14</v>
      </c>
      <c r="D487" s="19">
        <f>IF($C487&gt;p_horizon,0,IFERROR(IF(AND(INDEX(TblClusters[Cluster],$B487)&lt;&gt;"",ISNUMBER(INDEX(TblClusters[CPU initial (vCPU)],$B487)),ISNUMBER(INDEX(TblClusters[CPU min (vCPU)],$B487)),OR(INDEX(TblClusters[Plateforme],$B487)="IKS",INDEX(TblClusters[Plateforme],$B487)="ROKS")),1,0),0))</f>
        <v>0</v>
      </c>
      <c r="E487" s="72" t="str">
        <f t="shared" si="121"/>
        <v/>
      </c>
      <c r="F487" s="19" t="str">
        <f>IF($D487=1,INDEX(TblClusters[Cluster],$B487),"")</f>
        <v/>
      </c>
      <c r="G487" s="19" t="str">
        <f>IF($D487=1,INDEX(TblClusters[Plateforme],$B487),"")</f>
        <v/>
      </c>
      <c r="H487" s="19" t="str">
        <f>IF($D487=1,INDEX(TblClusters[vCPU par nœud],$B487),"")</f>
        <v/>
      </c>
      <c r="I487" s="19" t="str">
        <f>IF($D487=1,INDEX(TblClusters[RAM par nœud (Go)],$B487),"")</f>
        <v/>
      </c>
      <c r="J487" s="19" t="str">
        <f>IF($D487=1,INDEX(TblClusters[Workers min],$B487),"")</f>
        <v/>
      </c>
      <c r="K487" s="73" t="str">
        <f>IF($D487=1,INDEX(TblClusters[Tarif par nœud],$B487),"")</f>
        <v/>
      </c>
      <c r="L487" s="19" t="str">
        <f>IF($D487=1,INDEX(TblClusters[CPU initial (vCPU)],$B487),"")</f>
        <v/>
      </c>
      <c r="M487" s="19" t="str">
        <f>IF($D487=1,INDEX(TblClusters[RAM initiale (Go)],$B487),"")</f>
        <v/>
      </c>
      <c r="N487" s="19" t="str">
        <f>IF($D487=1,INDEX(TblClusters[CPU min (vCPU)],$B487),"")</f>
        <v/>
      </c>
      <c r="O487" s="19" t="str">
        <f>IF($D487=1,INDEX(TblClusters[RAM min (Go)],$B487),"")</f>
        <v/>
      </c>
      <c r="P487" s="19" t="str">
        <f>IF($D487&lt;&gt;1,"",IF($G487="ROKS",SUMIFS(TblApplications[Besoin ROKS CPU (vCPU)],TblApplications[Cluster ROKS cible],$F487,TblApplications[Action],"À migrer",TblApplications[Déjà incluse ROKS],"Non",TblApplications[Mois prov (calc)],"&lt;="&amp;$E487),SUMIFS(TblApplications[CPU IKS libérable (vCPU)],TblApplications[Cluster IKS source],$F487,TblApplications[Mois lib (calc)],"&lt;="&amp;$E487)))</f>
        <v/>
      </c>
      <c r="Q487" s="19" t="str">
        <f>IF($D487&lt;&gt;1,"",IF($G487="ROKS",SUMIFS(TblApplications[Besoin ROKS RAM (Go)],TblApplications[Cluster ROKS cible],$F487,TblApplications[Action],"À migrer",TblApplications[Déjà incluse ROKS],"Non",TblApplications[Mois prov (calc)],"&lt;="&amp;$E487),SUMIFS(TblApplications[RAM IKS libérable (Go)],TblApplications[Cluster IKS source],$F487,TblApplications[Mois lib (calc)],"&lt;="&amp;$E487)))</f>
        <v/>
      </c>
      <c r="R487" s="19" t="str">
        <f t="shared" si="122"/>
        <v/>
      </c>
      <c r="S487" s="19" t="str">
        <f t="shared" si="123"/>
        <v/>
      </c>
      <c r="T487" s="19" t="str">
        <f t="shared" si="124"/>
        <v/>
      </c>
      <c r="U487" s="19" t="str">
        <f t="shared" si="125"/>
        <v/>
      </c>
      <c r="V487" s="19" t="str">
        <f t="shared" si="126"/>
        <v/>
      </c>
      <c r="W487" s="73" t="str">
        <f t="shared" si="127"/>
        <v/>
      </c>
      <c r="X487" s="19" t="str">
        <f>IF($D487&lt;&gt;1,"",IF($G487="ROKS",$R487,IF($AI487=1,0,MAX($N487,$L487-SUMIFS(TblApplications[CPU IKS libérable (vCPU)],TblApplications[Cluster IKS source],$F487,TblApplications[Action],"À migrer",TblApplications[Mois prov (calc)],"&lt;="&amp;$E487)-SUMIFS(TblApplications[CPU IKS libérable (vCPU)],TblApplications[Cluster IKS source],$F487,TblApplications[Action],"À décommissionner",TblApplications[Mois lib (calc)],"&lt;="&amp;$E487)))))</f>
        <v/>
      </c>
      <c r="Y487" s="19" t="str">
        <f>IF($D487&lt;&gt;1,"",IF($G487="ROKS",$S487,IF($AI487=1,0,MAX($O487,$M487-SUMIFS(TblApplications[RAM IKS libérable (Go)],TblApplications[Cluster IKS source],$F487,TblApplications[Action],"À migrer",TblApplications[Mois prov (calc)],"&lt;="&amp;$E487)-SUMIFS(TblApplications[RAM IKS libérable (Go)],TblApplications[Cluster IKS source],$F487,TblApplications[Action],"À décommissionner",TblApplications[Mois lib (calc)],"&lt;="&amp;$E487)))))</f>
        <v/>
      </c>
      <c r="Z487" s="19" t="str">
        <f t="shared" si="128"/>
        <v/>
      </c>
      <c r="AA487" s="73" t="str">
        <f t="shared" si="129"/>
        <v/>
      </c>
      <c r="AB487" s="19" t="str">
        <f t="shared" si="130"/>
        <v/>
      </c>
      <c r="AC487" s="73" t="str">
        <f t="shared" si="131"/>
        <v/>
      </c>
      <c r="AD487" s="19" t="str">
        <f t="shared" si="132"/>
        <v/>
      </c>
      <c r="AE487" s="19" t="str">
        <f t="shared" si="133"/>
        <v/>
      </c>
      <c r="AF487" s="19" t="str">
        <f>IF($D487&lt;&gt;1,"",IF(INDEX(TblClusters[Environnement],$B487)="","(vide)",INDEX(TblClusters[Environnement],$B487)))</f>
        <v/>
      </c>
      <c r="AG487" s="19" t="str">
        <f t="shared" si="134"/>
        <v/>
      </c>
      <c r="AH487" s="19" t="str">
        <f t="shared" si="135"/>
        <v/>
      </c>
      <c r="AI487" s="19" t="str">
        <f>IF($D487&lt;&gt;1,"",IF(AND($G487="IKS",ISNUMBER(INDEX(TblClusters[Fermeture retenue],$B487))),IF($E487&gt;=INDEX(TblClusters[Fermeture retenue],$B487),1,0),0))</f>
        <v/>
      </c>
    </row>
    <row r="488" spans="1:35" x14ac:dyDescent="0.2">
      <c r="A488" s="19">
        <v>483</v>
      </c>
      <c r="B488" s="19">
        <f t="shared" si="119"/>
        <v>14</v>
      </c>
      <c r="C488" s="19">
        <f t="shared" si="120"/>
        <v>15</v>
      </c>
      <c r="D488" s="19">
        <f>IF($C488&gt;p_horizon,0,IFERROR(IF(AND(INDEX(TblClusters[Cluster],$B488)&lt;&gt;"",ISNUMBER(INDEX(TblClusters[CPU initial (vCPU)],$B488)),ISNUMBER(INDEX(TblClusters[CPU min (vCPU)],$B488)),OR(INDEX(TblClusters[Plateforme],$B488)="IKS",INDEX(TblClusters[Plateforme],$B488)="ROKS")),1,0),0))</f>
        <v>0</v>
      </c>
      <c r="E488" s="72" t="str">
        <f t="shared" si="121"/>
        <v/>
      </c>
      <c r="F488" s="19" t="str">
        <f>IF($D488=1,INDEX(TblClusters[Cluster],$B488),"")</f>
        <v/>
      </c>
      <c r="G488" s="19" t="str">
        <f>IF($D488=1,INDEX(TblClusters[Plateforme],$B488),"")</f>
        <v/>
      </c>
      <c r="H488" s="19" t="str">
        <f>IF($D488=1,INDEX(TblClusters[vCPU par nœud],$B488),"")</f>
        <v/>
      </c>
      <c r="I488" s="19" t="str">
        <f>IF($D488=1,INDEX(TblClusters[RAM par nœud (Go)],$B488),"")</f>
        <v/>
      </c>
      <c r="J488" s="19" t="str">
        <f>IF($D488=1,INDEX(TblClusters[Workers min],$B488),"")</f>
        <v/>
      </c>
      <c r="K488" s="73" t="str">
        <f>IF($D488=1,INDEX(TblClusters[Tarif par nœud],$B488),"")</f>
        <v/>
      </c>
      <c r="L488" s="19" t="str">
        <f>IF($D488=1,INDEX(TblClusters[CPU initial (vCPU)],$B488),"")</f>
        <v/>
      </c>
      <c r="M488" s="19" t="str">
        <f>IF($D488=1,INDEX(TblClusters[RAM initiale (Go)],$B488),"")</f>
        <v/>
      </c>
      <c r="N488" s="19" t="str">
        <f>IF($D488=1,INDEX(TblClusters[CPU min (vCPU)],$B488),"")</f>
        <v/>
      </c>
      <c r="O488" s="19" t="str">
        <f>IF($D488=1,INDEX(TblClusters[RAM min (Go)],$B488),"")</f>
        <v/>
      </c>
      <c r="P488" s="19" t="str">
        <f>IF($D488&lt;&gt;1,"",IF($G488="ROKS",SUMIFS(TblApplications[Besoin ROKS CPU (vCPU)],TblApplications[Cluster ROKS cible],$F488,TblApplications[Action],"À migrer",TblApplications[Déjà incluse ROKS],"Non",TblApplications[Mois prov (calc)],"&lt;="&amp;$E488),SUMIFS(TblApplications[CPU IKS libérable (vCPU)],TblApplications[Cluster IKS source],$F488,TblApplications[Mois lib (calc)],"&lt;="&amp;$E488)))</f>
        <v/>
      </c>
      <c r="Q488" s="19" t="str">
        <f>IF($D488&lt;&gt;1,"",IF($G488="ROKS",SUMIFS(TblApplications[Besoin ROKS RAM (Go)],TblApplications[Cluster ROKS cible],$F488,TblApplications[Action],"À migrer",TblApplications[Déjà incluse ROKS],"Non",TblApplications[Mois prov (calc)],"&lt;="&amp;$E488),SUMIFS(TblApplications[RAM IKS libérable (Go)],TblApplications[Cluster IKS source],$F488,TblApplications[Mois lib (calc)],"&lt;="&amp;$E488)))</f>
        <v/>
      </c>
      <c r="R488" s="19" t="str">
        <f t="shared" si="122"/>
        <v/>
      </c>
      <c r="S488" s="19" t="str">
        <f t="shared" si="123"/>
        <v/>
      </c>
      <c r="T488" s="19" t="str">
        <f t="shared" si="124"/>
        <v/>
      </c>
      <c r="U488" s="19" t="str">
        <f t="shared" si="125"/>
        <v/>
      </c>
      <c r="V488" s="19" t="str">
        <f t="shared" si="126"/>
        <v/>
      </c>
      <c r="W488" s="73" t="str">
        <f t="shared" si="127"/>
        <v/>
      </c>
      <c r="X488" s="19" t="str">
        <f>IF($D488&lt;&gt;1,"",IF($G488="ROKS",$R488,IF($AI488=1,0,MAX($N488,$L488-SUMIFS(TblApplications[CPU IKS libérable (vCPU)],TblApplications[Cluster IKS source],$F488,TblApplications[Action],"À migrer",TblApplications[Mois prov (calc)],"&lt;="&amp;$E488)-SUMIFS(TblApplications[CPU IKS libérable (vCPU)],TblApplications[Cluster IKS source],$F488,TblApplications[Action],"À décommissionner",TblApplications[Mois lib (calc)],"&lt;="&amp;$E488)))))</f>
        <v/>
      </c>
      <c r="Y488" s="19" t="str">
        <f>IF($D488&lt;&gt;1,"",IF($G488="ROKS",$S488,IF($AI488=1,0,MAX($O488,$M488-SUMIFS(TblApplications[RAM IKS libérable (Go)],TblApplications[Cluster IKS source],$F488,TblApplications[Action],"À migrer",TblApplications[Mois prov (calc)],"&lt;="&amp;$E488)-SUMIFS(TblApplications[RAM IKS libérable (Go)],TblApplications[Cluster IKS source],$F488,TblApplications[Action],"À décommissionner",TblApplications[Mois lib (calc)],"&lt;="&amp;$E488)))))</f>
        <v/>
      </c>
      <c r="Z488" s="19" t="str">
        <f t="shared" si="128"/>
        <v/>
      </c>
      <c r="AA488" s="73" t="str">
        <f t="shared" si="129"/>
        <v/>
      </c>
      <c r="AB488" s="19" t="str">
        <f t="shared" si="130"/>
        <v/>
      </c>
      <c r="AC488" s="73" t="str">
        <f t="shared" si="131"/>
        <v/>
      </c>
      <c r="AD488" s="19" t="str">
        <f t="shared" si="132"/>
        <v/>
      </c>
      <c r="AE488" s="19" t="str">
        <f t="shared" si="133"/>
        <v/>
      </c>
      <c r="AF488" s="19" t="str">
        <f>IF($D488&lt;&gt;1,"",IF(INDEX(TblClusters[Environnement],$B488)="","(vide)",INDEX(TblClusters[Environnement],$B488)))</f>
        <v/>
      </c>
      <c r="AG488" s="19" t="str">
        <f t="shared" si="134"/>
        <v/>
      </c>
      <c r="AH488" s="19" t="str">
        <f t="shared" si="135"/>
        <v/>
      </c>
      <c r="AI488" s="19" t="str">
        <f>IF($D488&lt;&gt;1,"",IF(AND($G488="IKS",ISNUMBER(INDEX(TblClusters[Fermeture retenue],$B488))),IF($E488&gt;=INDEX(TblClusters[Fermeture retenue],$B488),1,0),0))</f>
        <v/>
      </c>
    </row>
    <row r="489" spans="1:35" x14ac:dyDescent="0.2">
      <c r="A489" s="19">
        <v>484</v>
      </c>
      <c r="B489" s="19">
        <f t="shared" si="119"/>
        <v>14</v>
      </c>
      <c r="C489" s="19">
        <f t="shared" si="120"/>
        <v>16</v>
      </c>
      <c r="D489" s="19">
        <f>IF($C489&gt;p_horizon,0,IFERROR(IF(AND(INDEX(TblClusters[Cluster],$B489)&lt;&gt;"",ISNUMBER(INDEX(TblClusters[CPU initial (vCPU)],$B489)),ISNUMBER(INDEX(TblClusters[CPU min (vCPU)],$B489)),OR(INDEX(TblClusters[Plateforme],$B489)="IKS",INDEX(TblClusters[Plateforme],$B489)="ROKS")),1,0),0))</f>
        <v>0</v>
      </c>
      <c r="E489" s="72" t="str">
        <f t="shared" si="121"/>
        <v/>
      </c>
      <c r="F489" s="19" t="str">
        <f>IF($D489=1,INDEX(TblClusters[Cluster],$B489),"")</f>
        <v/>
      </c>
      <c r="G489" s="19" t="str">
        <f>IF($D489=1,INDEX(TblClusters[Plateforme],$B489),"")</f>
        <v/>
      </c>
      <c r="H489" s="19" t="str">
        <f>IF($D489=1,INDEX(TblClusters[vCPU par nœud],$B489),"")</f>
        <v/>
      </c>
      <c r="I489" s="19" t="str">
        <f>IF($D489=1,INDEX(TblClusters[RAM par nœud (Go)],$B489),"")</f>
        <v/>
      </c>
      <c r="J489" s="19" t="str">
        <f>IF($D489=1,INDEX(TblClusters[Workers min],$B489),"")</f>
        <v/>
      </c>
      <c r="K489" s="73" t="str">
        <f>IF($D489=1,INDEX(TblClusters[Tarif par nœud],$B489),"")</f>
        <v/>
      </c>
      <c r="L489" s="19" t="str">
        <f>IF($D489=1,INDEX(TblClusters[CPU initial (vCPU)],$B489),"")</f>
        <v/>
      </c>
      <c r="M489" s="19" t="str">
        <f>IF($D489=1,INDEX(TblClusters[RAM initiale (Go)],$B489),"")</f>
        <v/>
      </c>
      <c r="N489" s="19" t="str">
        <f>IF($D489=1,INDEX(TblClusters[CPU min (vCPU)],$B489),"")</f>
        <v/>
      </c>
      <c r="O489" s="19" t="str">
        <f>IF($D489=1,INDEX(TblClusters[RAM min (Go)],$B489),"")</f>
        <v/>
      </c>
      <c r="P489" s="19" t="str">
        <f>IF($D489&lt;&gt;1,"",IF($G489="ROKS",SUMIFS(TblApplications[Besoin ROKS CPU (vCPU)],TblApplications[Cluster ROKS cible],$F489,TblApplications[Action],"À migrer",TblApplications[Déjà incluse ROKS],"Non",TblApplications[Mois prov (calc)],"&lt;="&amp;$E489),SUMIFS(TblApplications[CPU IKS libérable (vCPU)],TblApplications[Cluster IKS source],$F489,TblApplications[Mois lib (calc)],"&lt;="&amp;$E489)))</f>
        <v/>
      </c>
      <c r="Q489" s="19" t="str">
        <f>IF($D489&lt;&gt;1,"",IF($G489="ROKS",SUMIFS(TblApplications[Besoin ROKS RAM (Go)],TblApplications[Cluster ROKS cible],$F489,TblApplications[Action],"À migrer",TblApplications[Déjà incluse ROKS],"Non",TblApplications[Mois prov (calc)],"&lt;="&amp;$E489),SUMIFS(TblApplications[RAM IKS libérable (Go)],TblApplications[Cluster IKS source],$F489,TblApplications[Mois lib (calc)],"&lt;="&amp;$E489)))</f>
        <v/>
      </c>
      <c r="R489" s="19" t="str">
        <f t="shared" si="122"/>
        <v/>
      </c>
      <c r="S489" s="19" t="str">
        <f t="shared" si="123"/>
        <v/>
      </c>
      <c r="T489" s="19" t="str">
        <f t="shared" si="124"/>
        <v/>
      </c>
      <c r="U489" s="19" t="str">
        <f t="shared" si="125"/>
        <v/>
      </c>
      <c r="V489" s="19" t="str">
        <f t="shared" si="126"/>
        <v/>
      </c>
      <c r="W489" s="73" t="str">
        <f t="shared" si="127"/>
        <v/>
      </c>
      <c r="X489" s="19" t="str">
        <f>IF($D489&lt;&gt;1,"",IF($G489="ROKS",$R489,IF($AI489=1,0,MAX($N489,$L489-SUMIFS(TblApplications[CPU IKS libérable (vCPU)],TblApplications[Cluster IKS source],$F489,TblApplications[Action],"À migrer",TblApplications[Mois prov (calc)],"&lt;="&amp;$E489)-SUMIFS(TblApplications[CPU IKS libérable (vCPU)],TblApplications[Cluster IKS source],$F489,TblApplications[Action],"À décommissionner",TblApplications[Mois lib (calc)],"&lt;="&amp;$E489)))))</f>
        <v/>
      </c>
      <c r="Y489" s="19" t="str">
        <f>IF($D489&lt;&gt;1,"",IF($G489="ROKS",$S489,IF($AI489=1,0,MAX($O489,$M489-SUMIFS(TblApplications[RAM IKS libérable (Go)],TblApplications[Cluster IKS source],$F489,TblApplications[Action],"À migrer",TblApplications[Mois prov (calc)],"&lt;="&amp;$E489)-SUMIFS(TblApplications[RAM IKS libérable (Go)],TblApplications[Cluster IKS source],$F489,TblApplications[Action],"À décommissionner",TblApplications[Mois lib (calc)],"&lt;="&amp;$E489)))))</f>
        <v/>
      </c>
      <c r="Z489" s="19" t="str">
        <f t="shared" si="128"/>
        <v/>
      </c>
      <c r="AA489" s="73" t="str">
        <f t="shared" si="129"/>
        <v/>
      </c>
      <c r="AB489" s="19" t="str">
        <f t="shared" si="130"/>
        <v/>
      </c>
      <c r="AC489" s="73" t="str">
        <f t="shared" si="131"/>
        <v/>
      </c>
      <c r="AD489" s="19" t="str">
        <f t="shared" si="132"/>
        <v/>
      </c>
      <c r="AE489" s="19" t="str">
        <f t="shared" si="133"/>
        <v/>
      </c>
      <c r="AF489" s="19" t="str">
        <f>IF($D489&lt;&gt;1,"",IF(INDEX(TblClusters[Environnement],$B489)="","(vide)",INDEX(TblClusters[Environnement],$B489)))</f>
        <v/>
      </c>
      <c r="AG489" s="19" t="str">
        <f t="shared" si="134"/>
        <v/>
      </c>
      <c r="AH489" s="19" t="str">
        <f t="shared" si="135"/>
        <v/>
      </c>
      <c r="AI489" s="19" t="str">
        <f>IF($D489&lt;&gt;1,"",IF(AND($G489="IKS",ISNUMBER(INDEX(TblClusters[Fermeture retenue],$B489))),IF($E489&gt;=INDEX(TblClusters[Fermeture retenue],$B489),1,0),0))</f>
        <v/>
      </c>
    </row>
    <row r="490" spans="1:35" x14ac:dyDescent="0.2">
      <c r="A490" s="19">
        <v>485</v>
      </c>
      <c r="B490" s="19">
        <f t="shared" si="119"/>
        <v>14</v>
      </c>
      <c r="C490" s="19">
        <f t="shared" si="120"/>
        <v>17</v>
      </c>
      <c r="D490" s="19">
        <f>IF($C490&gt;p_horizon,0,IFERROR(IF(AND(INDEX(TblClusters[Cluster],$B490)&lt;&gt;"",ISNUMBER(INDEX(TblClusters[CPU initial (vCPU)],$B490)),ISNUMBER(INDEX(TblClusters[CPU min (vCPU)],$B490)),OR(INDEX(TblClusters[Plateforme],$B490)="IKS",INDEX(TblClusters[Plateforme],$B490)="ROKS")),1,0),0))</f>
        <v>0</v>
      </c>
      <c r="E490" s="72" t="str">
        <f t="shared" si="121"/>
        <v/>
      </c>
      <c r="F490" s="19" t="str">
        <f>IF($D490=1,INDEX(TblClusters[Cluster],$B490),"")</f>
        <v/>
      </c>
      <c r="G490" s="19" t="str">
        <f>IF($D490=1,INDEX(TblClusters[Plateforme],$B490),"")</f>
        <v/>
      </c>
      <c r="H490" s="19" t="str">
        <f>IF($D490=1,INDEX(TblClusters[vCPU par nœud],$B490),"")</f>
        <v/>
      </c>
      <c r="I490" s="19" t="str">
        <f>IF($D490=1,INDEX(TblClusters[RAM par nœud (Go)],$B490),"")</f>
        <v/>
      </c>
      <c r="J490" s="19" t="str">
        <f>IF($D490=1,INDEX(TblClusters[Workers min],$B490),"")</f>
        <v/>
      </c>
      <c r="K490" s="73" t="str">
        <f>IF($D490=1,INDEX(TblClusters[Tarif par nœud],$B490),"")</f>
        <v/>
      </c>
      <c r="L490" s="19" t="str">
        <f>IF($D490=1,INDEX(TblClusters[CPU initial (vCPU)],$B490),"")</f>
        <v/>
      </c>
      <c r="M490" s="19" t="str">
        <f>IF($D490=1,INDEX(TblClusters[RAM initiale (Go)],$B490),"")</f>
        <v/>
      </c>
      <c r="N490" s="19" t="str">
        <f>IF($D490=1,INDEX(TblClusters[CPU min (vCPU)],$B490),"")</f>
        <v/>
      </c>
      <c r="O490" s="19" t="str">
        <f>IF($D490=1,INDEX(TblClusters[RAM min (Go)],$B490),"")</f>
        <v/>
      </c>
      <c r="P490" s="19" t="str">
        <f>IF($D490&lt;&gt;1,"",IF($G490="ROKS",SUMIFS(TblApplications[Besoin ROKS CPU (vCPU)],TblApplications[Cluster ROKS cible],$F490,TblApplications[Action],"À migrer",TblApplications[Déjà incluse ROKS],"Non",TblApplications[Mois prov (calc)],"&lt;="&amp;$E490),SUMIFS(TblApplications[CPU IKS libérable (vCPU)],TblApplications[Cluster IKS source],$F490,TblApplications[Mois lib (calc)],"&lt;="&amp;$E490)))</f>
        <v/>
      </c>
      <c r="Q490" s="19" t="str">
        <f>IF($D490&lt;&gt;1,"",IF($G490="ROKS",SUMIFS(TblApplications[Besoin ROKS RAM (Go)],TblApplications[Cluster ROKS cible],$F490,TblApplications[Action],"À migrer",TblApplications[Déjà incluse ROKS],"Non",TblApplications[Mois prov (calc)],"&lt;="&amp;$E490),SUMIFS(TblApplications[RAM IKS libérable (Go)],TblApplications[Cluster IKS source],$F490,TblApplications[Mois lib (calc)],"&lt;="&amp;$E490)))</f>
        <v/>
      </c>
      <c r="R490" s="19" t="str">
        <f t="shared" si="122"/>
        <v/>
      </c>
      <c r="S490" s="19" t="str">
        <f t="shared" si="123"/>
        <v/>
      </c>
      <c r="T490" s="19" t="str">
        <f t="shared" si="124"/>
        <v/>
      </c>
      <c r="U490" s="19" t="str">
        <f t="shared" si="125"/>
        <v/>
      </c>
      <c r="V490" s="19" t="str">
        <f t="shared" si="126"/>
        <v/>
      </c>
      <c r="W490" s="73" t="str">
        <f t="shared" si="127"/>
        <v/>
      </c>
      <c r="X490" s="19" t="str">
        <f>IF($D490&lt;&gt;1,"",IF($G490="ROKS",$R490,IF($AI490=1,0,MAX($N490,$L490-SUMIFS(TblApplications[CPU IKS libérable (vCPU)],TblApplications[Cluster IKS source],$F490,TblApplications[Action],"À migrer",TblApplications[Mois prov (calc)],"&lt;="&amp;$E490)-SUMIFS(TblApplications[CPU IKS libérable (vCPU)],TblApplications[Cluster IKS source],$F490,TblApplications[Action],"À décommissionner",TblApplications[Mois lib (calc)],"&lt;="&amp;$E490)))))</f>
        <v/>
      </c>
      <c r="Y490" s="19" t="str">
        <f>IF($D490&lt;&gt;1,"",IF($G490="ROKS",$S490,IF($AI490=1,0,MAX($O490,$M490-SUMIFS(TblApplications[RAM IKS libérable (Go)],TblApplications[Cluster IKS source],$F490,TblApplications[Action],"À migrer",TblApplications[Mois prov (calc)],"&lt;="&amp;$E490)-SUMIFS(TblApplications[RAM IKS libérable (Go)],TblApplications[Cluster IKS source],$F490,TblApplications[Action],"À décommissionner",TblApplications[Mois lib (calc)],"&lt;="&amp;$E490)))))</f>
        <v/>
      </c>
      <c r="Z490" s="19" t="str">
        <f t="shared" si="128"/>
        <v/>
      </c>
      <c r="AA490" s="73" t="str">
        <f t="shared" si="129"/>
        <v/>
      </c>
      <c r="AB490" s="19" t="str">
        <f t="shared" si="130"/>
        <v/>
      </c>
      <c r="AC490" s="73" t="str">
        <f t="shared" si="131"/>
        <v/>
      </c>
      <c r="AD490" s="19" t="str">
        <f t="shared" si="132"/>
        <v/>
      </c>
      <c r="AE490" s="19" t="str">
        <f t="shared" si="133"/>
        <v/>
      </c>
      <c r="AF490" s="19" t="str">
        <f>IF($D490&lt;&gt;1,"",IF(INDEX(TblClusters[Environnement],$B490)="","(vide)",INDEX(TblClusters[Environnement],$B490)))</f>
        <v/>
      </c>
      <c r="AG490" s="19" t="str">
        <f t="shared" si="134"/>
        <v/>
      </c>
      <c r="AH490" s="19" t="str">
        <f t="shared" si="135"/>
        <v/>
      </c>
      <c r="AI490" s="19" t="str">
        <f>IF($D490&lt;&gt;1,"",IF(AND($G490="IKS",ISNUMBER(INDEX(TblClusters[Fermeture retenue],$B490))),IF($E490&gt;=INDEX(TblClusters[Fermeture retenue],$B490),1,0),0))</f>
        <v/>
      </c>
    </row>
    <row r="491" spans="1:35" x14ac:dyDescent="0.2">
      <c r="A491" s="19">
        <v>486</v>
      </c>
      <c r="B491" s="19">
        <f t="shared" si="119"/>
        <v>14</v>
      </c>
      <c r="C491" s="19">
        <f t="shared" si="120"/>
        <v>18</v>
      </c>
      <c r="D491" s="19">
        <f>IF($C491&gt;p_horizon,0,IFERROR(IF(AND(INDEX(TblClusters[Cluster],$B491)&lt;&gt;"",ISNUMBER(INDEX(TblClusters[CPU initial (vCPU)],$B491)),ISNUMBER(INDEX(TblClusters[CPU min (vCPU)],$B491)),OR(INDEX(TblClusters[Plateforme],$B491)="IKS",INDEX(TblClusters[Plateforme],$B491)="ROKS")),1,0),0))</f>
        <v>0</v>
      </c>
      <c r="E491" s="72" t="str">
        <f t="shared" si="121"/>
        <v/>
      </c>
      <c r="F491" s="19" t="str">
        <f>IF($D491=1,INDEX(TblClusters[Cluster],$B491),"")</f>
        <v/>
      </c>
      <c r="G491" s="19" t="str">
        <f>IF($D491=1,INDEX(TblClusters[Plateforme],$B491),"")</f>
        <v/>
      </c>
      <c r="H491" s="19" t="str">
        <f>IF($D491=1,INDEX(TblClusters[vCPU par nœud],$B491),"")</f>
        <v/>
      </c>
      <c r="I491" s="19" t="str">
        <f>IF($D491=1,INDEX(TblClusters[RAM par nœud (Go)],$B491),"")</f>
        <v/>
      </c>
      <c r="J491" s="19" t="str">
        <f>IF($D491=1,INDEX(TblClusters[Workers min],$B491),"")</f>
        <v/>
      </c>
      <c r="K491" s="73" t="str">
        <f>IF($D491=1,INDEX(TblClusters[Tarif par nœud],$B491),"")</f>
        <v/>
      </c>
      <c r="L491" s="19" t="str">
        <f>IF($D491=1,INDEX(TblClusters[CPU initial (vCPU)],$B491),"")</f>
        <v/>
      </c>
      <c r="M491" s="19" t="str">
        <f>IF($D491=1,INDEX(TblClusters[RAM initiale (Go)],$B491),"")</f>
        <v/>
      </c>
      <c r="N491" s="19" t="str">
        <f>IF($D491=1,INDEX(TblClusters[CPU min (vCPU)],$B491),"")</f>
        <v/>
      </c>
      <c r="O491" s="19" t="str">
        <f>IF($D491=1,INDEX(TblClusters[RAM min (Go)],$B491),"")</f>
        <v/>
      </c>
      <c r="P491" s="19" t="str">
        <f>IF($D491&lt;&gt;1,"",IF($G491="ROKS",SUMIFS(TblApplications[Besoin ROKS CPU (vCPU)],TblApplications[Cluster ROKS cible],$F491,TblApplications[Action],"À migrer",TblApplications[Déjà incluse ROKS],"Non",TblApplications[Mois prov (calc)],"&lt;="&amp;$E491),SUMIFS(TblApplications[CPU IKS libérable (vCPU)],TblApplications[Cluster IKS source],$F491,TblApplications[Mois lib (calc)],"&lt;="&amp;$E491)))</f>
        <v/>
      </c>
      <c r="Q491" s="19" t="str">
        <f>IF($D491&lt;&gt;1,"",IF($G491="ROKS",SUMIFS(TblApplications[Besoin ROKS RAM (Go)],TblApplications[Cluster ROKS cible],$F491,TblApplications[Action],"À migrer",TblApplications[Déjà incluse ROKS],"Non",TblApplications[Mois prov (calc)],"&lt;="&amp;$E491),SUMIFS(TblApplications[RAM IKS libérable (Go)],TblApplications[Cluster IKS source],$F491,TblApplications[Mois lib (calc)],"&lt;="&amp;$E491)))</f>
        <v/>
      </c>
      <c r="R491" s="19" t="str">
        <f t="shared" si="122"/>
        <v/>
      </c>
      <c r="S491" s="19" t="str">
        <f t="shared" si="123"/>
        <v/>
      </c>
      <c r="T491" s="19" t="str">
        <f t="shared" si="124"/>
        <v/>
      </c>
      <c r="U491" s="19" t="str">
        <f t="shared" si="125"/>
        <v/>
      </c>
      <c r="V491" s="19" t="str">
        <f t="shared" si="126"/>
        <v/>
      </c>
      <c r="W491" s="73" t="str">
        <f t="shared" si="127"/>
        <v/>
      </c>
      <c r="X491" s="19" t="str">
        <f>IF($D491&lt;&gt;1,"",IF($G491="ROKS",$R491,IF($AI491=1,0,MAX($N491,$L491-SUMIFS(TblApplications[CPU IKS libérable (vCPU)],TblApplications[Cluster IKS source],$F491,TblApplications[Action],"À migrer",TblApplications[Mois prov (calc)],"&lt;="&amp;$E491)-SUMIFS(TblApplications[CPU IKS libérable (vCPU)],TblApplications[Cluster IKS source],$F491,TblApplications[Action],"À décommissionner",TblApplications[Mois lib (calc)],"&lt;="&amp;$E491)))))</f>
        <v/>
      </c>
      <c r="Y491" s="19" t="str">
        <f>IF($D491&lt;&gt;1,"",IF($G491="ROKS",$S491,IF($AI491=1,0,MAX($O491,$M491-SUMIFS(TblApplications[RAM IKS libérable (Go)],TblApplications[Cluster IKS source],$F491,TblApplications[Action],"À migrer",TblApplications[Mois prov (calc)],"&lt;="&amp;$E491)-SUMIFS(TblApplications[RAM IKS libérable (Go)],TblApplications[Cluster IKS source],$F491,TblApplications[Action],"À décommissionner",TblApplications[Mois lib (calc)],"&lt;="&amp;$E491)))))</f>
        <v/>
      </c>
      <c r="Z491" s="19" t="str">
        <f t="shared" si="128"/>
        <v/>
      </c>
      <c r="AA491" s="73" t="str">
        <f t="shared" si="129"/>
        <v/>
      </c>
      <c r="AB491" s="19" t="str">
        <f t="shared" si="130"/>
        <v/>
      </c>
      <c r="AC491" s="73" t="str">
        <f t="shared" si="131"/>
        <v/>
      </c>
      <c r="AD491" s="19" t="str">
        <f t="shared" si="132"/>
        <v/>
      </c>
      <c r="AE491" s="19" t="str">
        <f t="shared" si="133"/>
        <v/>
      </c>
      <c r="AF491" s="19" t="str">
        <f>IF($D491&lt;&gt;1,"",IF(INDEX(TblClusters[Environnement],$B491)="","(vide)",INDEX(TblClusters[Environnement],$B491)))</f>
        <v/>
      </c>
      <c r="AG491" s="19" t="str">
        <f t="shared" si="134"/>
        <v/>
      </c>
      <c r="AH491" s="19" t="str">
        <f t="shared" si="135"/>
        <v/>
      </c>
      <c r="AI491" s="19" t="str">
        <f>IF($D491&lt;&gt;1,"",IF(AND($G491="IKS",ISNUMBER(INDEX(TblClusters[Fermeture retenue],$B491))),IF($E491&gt;=INDEX(TblClusters[Fermeture retenue],$B491),1,0),0))</f>
        <v/>
      </c>
    </row>
    <row r="492" spans="1:35" x14ac:dyDescent="0.2">
      <c r="A492" s="19">
        <v>487</v>
      </c>
      <c r="B492" s="19">
        <f t="shared" si="119"/>
        <v>14</v>
      </c>
      <c r="C492" s="19">
        <f t="shared" si="120"/>
        <v>19</v>
      </c>
      <c r="D492" s="19">
        <f>IF($C492&gt;p_horizon,0,IFERROR(IF(AND(INDEX(TblClusters[Cluster],$B492)&lt;&gt;"",ISNUMBER(INDEX(TblClusters[CPU initial (vCPU)],$B492)),ISNUMBER(INDEX(TblClusters[CPU min (vCPU)],$B492)),OR(INDEX(TblClusters[Plateforme],$B492)="IKS",INDEX(TblClusters[Plateforme],$B492)="ROKS")),1,0),0))</f>
        <v>0</v>
      </c>
      <c r="E492" s="72" t="str">
        <f t="shared" si="121"/>
        <v/>
      </c>
      <c r="F492" s="19" t="str">
        <f>IF($D492=1,INDEX(TblClusters[Cluster],$B492),"")</f>
        <v/>
      </c>
      <c r="G492" s="19" t="str">
        <f>IF($D492=1,INDEX(TblClusters[Plateforme],$B492),"")</f>
        <v/>
      </c>
      <c r="H492" s="19" t="str">
        <f>IF($D492=1,INDEX(TblClusters[vCPU par nœud],$B492),"")</f>
        <v/>
      </c>
      <c r="I492" s="19" t="str">
        <f>IF($D492=1,INDEX(TblClusters[RAM par nœud (Go)],$B492),"")</f>
        <v/>
      </c>
      <c r="J492" s="19" t="str">
        <f>IF($D492=1,INDEX(TblClusters[Workers min],$B492),"")</f>
        <v/>
      </c>
      <c r="K492" s="73" t="str">
        <f>IF($D492=1,INDEX(TblClusters[Tarif par nœud],$B492),"")</f>
        <v/>
      </c>
      <c r="L492" s="19" t="str">
        <f>IF($D492=1,INDEX(TblClusters[CPU initial (vCPU)],$B492),"")</f>
        <v/>
      </c>
      <c r="M492" s="19" t="str">
        <f>IF($D492=1,INDEX(TblClusters[RAM initiale (Go)],$B492),"")</f>
        <v/>
      </c>
      <c r="N492" s="19" t="str">
        <f>IF($D492=1,INDEX(TblClusters[CPU min (vCPU)],$B492),"")</f>
        <v/>
      </c>
      <c r="O492" s="19" t="str">
        <f>IF($D492=1,INDEX(TblClusters[RAM min (Go)],$B492),"")</f>
        <v/>
      </c>
      <c r="P492" s="19" t="str">
        <f>IF($D492&lt;&gt;1,"",IF($G492="ROKS",SUMIFS(TblApplications[Besoin ROKS CPU (vCPU)],TblApplications[Cluster ROKS cible],$F492,TblApplications[Action],"À migrer",TblApplications[Déjà incluse ROKS],"Non",TblApplications[Mois prov (calc)],"&lt;="&amp;$E492),SUMIFS(TblApplications[CPU IKS libérable (vCPU)],TblApplications[Cluster IKS source],$F492,TblApplications[Mois lib (calc)],"&lt;="&amp;$E492)))</f>
        <v/>
      </c>
      <c r="Q492" s="19" t="str">
        <f>IF($D492&lt;&gt;1,"",IF($G492="ROKS",SUMIFS(TblApplications[Besoin ROKS RAM (Go)],TblApplications[Cluster ROKS cible],$F492,TblApplications[Action],"À migrer",TblApplications[Déjà incluse ROKS],"Non",TblApplications[Mois prov (calc)],"&lt;="&amp;$E492),SUMIFS(TblApplications[RAM IKS libérable (Go)],TblApplications[Cluster IKS source],$F492,TblApplications[Mois lib (calc)],"&lt;="&amp;$E492)))</f>
        <v/>
      </c>
      <c r="R492" s="19" t="str">
        <f t="shared" si="122"/>
        <v/>
      </c>
      <c r="S492" s="19" t="str">
        <f t="shared" si="123"/>
        <v/>
      </c>
      <c r="T492" s="19" t="str">
        <f t="shared" si="124"/>
        <v/>
      </c>
      <c r="U492" s="19" t="str">
        <f t="shared" si="125"/>
        <v/>
      </c>
      <c r="V492" s="19" t="str">
        <f t="shared" si="126"/>
        <v/>
      </c>
      <c r="W492" s="73" t="str">
        <f t="shared" si="127"/>
        <v/>
      </c>
      <c r="X492" s="19" t="str">
        <f>IF($D492&lt;&gt;1,"",IF($G492="ROKS",$R492,IF($AI492=1,0,MAX($N492,$L492-SUMIFS(TblApplications[CPU IKS libérable (vCPU)],TblApplications[Cluster IKS source],$F492,TblApplications[Action],"À migrer",TblApplications[Mois prov (calc)],"&lt;="&amp;$E492)-SUMIFS(TblApplications[CPU IKS libérable (vCPU)],TblApplications[Cluster IKS source],$F492,TblApplications[Action],"À décommissionner",TblApplications[Mois lib (calc)],"&lt;="&amp;$E492)))))</f>
        <v/>
      </c>
      <c r="Y492" s="19" t="str">
        <f>IF($D492&lt;&gt;1,"",IF($G492="ROKS",$S492,IF($AI492=1,0,MAX($O492,$M492-SUMIFS(TblApplications[RAM IKS libérable (Go)],TblApplications[Cluster IKS source],$F492,TblApplications[Action],"À migrer",TblApplications[Mois prov (calc)],"&lt;="&amp;$E492)-SUMIFS(TblApplications[RAM IKS libérable (Go)],TblApplications[Cluster IKS source],$F492,TblApplications[Action],"À décommissionner",TblApplications[Mois lib (calc)],"&lt;="&amp;$E492)))))</f>
        <v/>
      </c>
      <c r="Z492" s="19" t="str">
        <f t="shared" si="128"/>
        <v/>
      </c>
      <c r="AA492" s="73" t="str">
        <f t="shared" si="129"/>
        <v/>
      </c>
      <c r="AB492" s="19" t="str">
        <f t="shared" si="130"/>
        <v/>
      </c>
      <c r="AC492" s="73" t="str">
        <f t="shared" si="131"/>
        <v/>
      </c>
      <c r="AD492" s="19" t="str">
        <f t="shared" si="132"/>
        <v/>
      </c>
      <c r="AE492" s="19" t="str">
        <f t="shared" si="133"/>
        <v/>
      </c>
      <c r="AF492" s="19" t="str">
        <f>IF($D492&lt;&gt;1,"",IF(INDEX(TblClusters[Environnement],$B492)="","(vide)",INDEX(TblClusters[Environnement],$B492)))</f>
        <v/>
      </c>
      <c r="AG492" s="19" t="str">
        <f t="shared" si="134"/>
        <v/>
      </c>
      <c r="AH492" s="19" t="str">
        <f t="shared" si="135"/>
        <v/>
      </c>
      <c r="AI492" s="19" t="str">
        <f>IF($D492&lt;&gt;1,"",IF(AND($G492="IKS",ISNUMBER(INDEX(TblClusters[Fermeture retenue],$B492))),IF($E492&gt;=INDEX(TblClusters[Fermeture retenue],$B492),1,0),0))</f>
        <v/>
      </c>
    </row>
    <row r="493" spans="1:35" x14ac:dyDescent="0.2">
      <c r="A493" s="19">
        <v>488</v>
      </c>
      <c r="B493" s="19">
        <f t="shared" si="119"/>
        <v>14</v>
      </c>
      <c r="C493" s="19">
        <f t="shared" si="120"/>
        <v>20</v>
      </c>
      <c r="D493" s="19">
        <f>IF($C493&gt;p_horizon,0,IFERROR(IF(AND(INDEX(TblClusters[Cluster],$B493)&lt;&gt;"",ISNUMBER(INDEX(TblClusters[CPU initial (vCPU)],$B493)),ISNUMBER(INDEX(TblClusters[CPU min (vCPU)],$B493)),OR(INDEX(TblClusters[Plateforme],$B493)="IKS",INDEX(TblClusters[Plateforme],$B493)="ROKS")),1,0),0))</f>
        <v>0</v>
      </c>
      <c r="E493" s="72" t="str">
        <f t="shared" si="121"/>
        <v/>
      </c>
      <c r="F493" s="19" t="str">
        <f>IF($D493=1,INDEX(TblClusters[Cluster],$B493),"")</f>
        <v/>
      </c>
      <c r="G493" s="19" t="str">
        <f>IF($D493=1,INDEX(TblClusters[Plateforme],$B493),"")</f>
        <v/>
      </c>
      <c r="H493" s="19" t="str">
        <f>IF($D493=1,INDEX(TblClusters[vCPU par nœud],$B493),"")</f>
        <v/>
      </c>
      <c r="I493" s="19" t="str">
        <f>IF($D493=1,INDEX(TblClusters[RAM par nœud (Go)],$B493),"")</f>
        <v/>
      </c>
      <c r="J493" s="19" t="str">
        <f>IF($D493=1,INDEX(TblClusters[Workers min],$B493),"")</f>
        <v/>
      </c>
      <c r="K493" s="73" t="str">
        <f>IF($D493=1,INDEX(TblClusters[Tarif par nœud],$B493),"")</f>
        <v/>
      </c>
      <c r="L493" s="19" t="str">
        <f>IF($D493=1,INDEX(TblClusters[CPU initial (vCPU)],$B493),"")</f>
        <v/>
      </c>
      <c r="M493" s="19" t="str">
        <f>IF($D493=1,INDEX(TblClusters[RAM initiale (Go)],$B493),"")</f>
        <v/>
      </c>
      <c r="N493" s="19" t="str">
        <f>IF($D493=1,INDEX(TblClusters[CPU min (vCPU)],$B493),"")</f>
        <v/>
      </c>
      <c r="O493" s="19" t="str">
        <f>IF($D493=1,INDEX(TblClusters[RAM min (Go)],$B493),"")</f>
        <v/>
      </c>
      <c r="P493" s="19" t="str">
        <f>IF($D493&lt;&gt;1,"",IF($G493="ROKS",SUMIFS(TblApplications[Besoin ROKS CPU (vCPU)],TblApplications[Cluster ROKS cible],$F493,TblApplications[Action],"À migrer",TblApplications[Déjà incluse ROKS],"Non",TblApplications[Mois prov (calc)],"&lt;="&amp;$E493),SUMIFS(TblApplications[CPU IKS libérable (vCPU)],TblApplications[Cluster IKS source],$F493,TblApplications[Mois lib (calc)],"&lt;="&amp;$E493)))</f>
        <v/>
      </c>
      <c r="Q493" s="19" t="str">
        <f>IF($D493&lt;&gt;1,"",IF($G493="ROKS",SUMIFS(TblApplications[Besoin ROKS RAM (Go)],TblApplications[Cluster ROKS cible],$F493,TblApplications[Action],"À migrer",TblApplications[Déjà incluse ROKS],"Non",TblApplications[Mois prov (calc)],"&lt;="&amp;$E493),SUMIFS(TblApplications[RAM IKS libérable (Go)],TblApplications[Cluster IKS source],$F493,TblApplications[Mois lib (calc)],"&lt;="&amp;$E493)))</f>
        <v/>
      </c>
      <c r="R493" s="19" t="str">
        <f t="shared" si="122"/>
        <v/>
      </c>
      <c r="S493" s="19" t="str">
        <f t="shared" si="123"/>
        <v/>
      </c>
      <c r="T493" s="19" t="str">
        <f t="shared" si="124"/>
        <v/>
      </c>
      <c r="U493" s="19" t="str">
        <f t="shared" si="125"/>
        <v/>
      </c>
      <c r="V493" s="19" t="str">
        <f t="shared" si="126"/>
        <v/>
      </c>
      <c r="W493" s="73" t="str">
        <f t="shared" si="127"/>
        <v/>
      </c>
      <c r="X493" s="19" t="str">
        <f>IF($D493&lt;&gt;1,"",IF($G493="ROKS",$R493,IF($AI493=1,0,MAX($N493,$L493-SUMIFS(TblApplications[CPU IKS libérable (vCPU)],TblApplications[Cluster IKS source],$F493,TblApplications[Action],"À migrer",TblApplications[Mois prov (calc)],"&lt;="&amp;$E493)-SUMIFS(TblApplications[CPU IKS libérable (vCPU)],TblApplications[Cluster IKS source],$F493,TblApplications[Action],"À décommissionner",TblApplications[Mois lib (calc)],"&lt;="&amp;$E493)))))</f>
        <v/>
      </c>
      <c r="Y493" s="19" t="str">
        <f>IF($D493&lt;&gt;1,"",IF($G493="ROKS",$S493,IF($AI493=1,0,MAX($O493,$M493-SUMIFS(TblApplications[RAM IKS libérable (Go)],TblApplications[Cluster IKS source],$F493,TblApplications[Action],"À migrer",TblApplications[Mois prov (calc)],"&lt;="&amp;$E493)-SUMIFS(TblApplications[RAM IKS libérable (Go)],TblApplications[Cluster IKS source],$F493,TblApplications[Action],"À décommissionner",TblApplications[Mois lib (calc)],"&lt;="&amp;$E493)))))</f>
        <v/>
      </c>
      <c r="Z493" s="19" t="str">
        <f t="shared" si="128"/>
        <v/>
      </c>
      <c r="AA493" s="73" t="str">
        <f t="shared" si="129"/>
        <v/>
      </c>
      <c r="AB493" s="19" t="str">
        <f t="shared" si="130"/>
        <v/>
      </c>
      <c r="AC493" s="73" t="str">
        <f t="shared" si="131"/>
        <v/>
      </c>
      <c r="AD493" s="19" t="str">
        <f t="shared" si="132"/>
        <v/>
      </c>
      <c r="AE493" s="19" t="str">
        <f t="shared" si="133"/>
        <v/>
      </c>
      <c r="AF493" s="19" t="str">
        <f>IF($D493&lt;&gt;1,"",IF(INDEX(TblClusters[Environnement],$B493)="","(vide)",INDEX(TblClusters[Environnement],$B493)))</f>
        <v/>
      </c>
      <c r="AG493" s="19" t="str">
        <f t="shared" si="134"/>
        <v/>
      </c>
      <c r="AH493" s="19" t="str">
        <f t="shared" si="135"/>
        <v/>
      </c>
      <c r="AI493" s="19" t="str">
        <f>IF($D493&lt;&gt;1,"",IF(AND($G493="IKS",ISNUMBER(INDEX(TblClusters[Fermeture retenue],$B493))),IF($E493&gt;=INDEX(TblClusters[Fermeture retenue],$B493),1,0),0))</f>
        <v/>
      </c>
    </row>
    <row r="494" spans="1:35" x14ac:dyDescent="0.2">
      <c r="A494" s="19">
        <v>489</v>
      </c>
      <c r="B494" s="19">
        <f t="shared" si="119"/>
        <v>14</v>
      </c>
      <c r="C494" s="19">
        <f t="shared" si="120"/>
        <v>21</v>
      </c>
      <c r="D494" s="19">
        <f>IF($C494&gt;p_horizon,0,IFERROR(IF(AND(INDEX(TblClusters[Cluster],$B494)&lt;&gt;"",ISNUMBER(INDEX(TblClusters[CPU initial (vCPU)],$B494)),ISNUMBER(INDEX(TblClusters[CPU min (vCPU)],$B494)),OR(INDEX(TblClusters[Plateforme],$B494)="IKS",INDEX(TblClusters[Plateforme],$B494)="ROKS")),1,0),0))</f>
        <v>0</v>
      </c>
      <c r="E494" s="72" t="str">
        <f t="shared" si="121"/>
        <v/>
      </c>
      <c r="F494" s="19" t="str">
        <f>IF($D494=1,INDEX(TblClusters[Cluster],$B494),"")</f>
        <v/>
      </c>
      <c r="G494" s="19" t="str">
        <f>IF($D494=1,INDEX(TblClusters[Plateforme],$B494),"")</f>
        <v/>
      </c>
      <c r="H494" s="19" t="str">
        <f>IF($D494=1,INDEX(TblClusters[vCPU par nœud],$B494),"")</f>
        <v/>
      </c>
      <c r="I494" s="19" t="str">
        <f>IF($D494=1,INDEX(TblClusters[RAM par nœud (Go)],$B494),"")</f>
        <v/>
      </c>
      <c r="J494" s="19" t="str">
        <f>IF($D494=1,INDEX(TblClusters[Workers min],$B494),"")</f>
        <v/>
      </c>
      <c r="K494" s="73" t="str">
        <f>IF($D494=1,INDEX(TblClusters[Tarif par nœud],$B494),"")</f>
        <v/>
      </c>
      <c r="L494" s="19" t="str">
        <f>IF($D494=1,INDEX(TblClusters[CPU initial (vCPU)],$B494),"")</f>
        <v/>
      </c>
      <c r="M494" s="19" t="str">
        <f>IF($D494=1,INDEX(TblClusters[RAM initiale (Go)],$B494),"")</f>
        <v/>
      </c>
      <c r="N494" s="19" t="str">
        <f>IF($D494=1,INDEX(TblClusters[CPU min (vCPU)],$B494),"")</f>
        <v/>
      </c>
      <c r="O494" s="19" t="str">
        <f>IF($D494=1,INDEX(TblClusters[RAM min (Go)],$B494),"")</f>
        <v/>
      </c>
      <c r="P494" s="19" t="str">
        <f>IF($D494&lt;&gt;1,"",IF($G494="ROKS",SUMIFS(TblApplications[Besoin ROKS CPU (vCPU)],TblApplications[Cluster ROKS cible],$F494,TblApplications[Action],"À migrer",TblApplications[Déjà incluse ROKS],"Non",TblApplications[Mois prov (calc)],"&lt;="&amp;$E494),SUMIFS(TblApplications[CPU IKS libérable (vCPU)],TblApplications[Cluster IKS source],$F494,TblApplications[Mois lib (calc)],"&lt;="&amp;$E494)))</f>
        <v/>
      </c>
      <c r="Q494" s="19" t="str">
        <f>IF($D494&lt;&gt;1,"",IF($G494="ROKS",SUMIFS(TblApplications[Besoin ROKS RAM (Go)],TblApplications[Cluster ROKS cible],$F494,TblApplications[Action],"À migrer",TblApplications[Déjà incluse ROKS],"Non",TblApplications[Mois prov (calc)],"&lt;="&amp;$E494),SUMIFS(TblApplications[RAM IKS libérable (Go)],TblApplications[Cluster IKS source],$F494,TblApplications[Mois lib (calc)],"&lt;="&amp;$E494)))</f>
        <v/>
      </c>
      <c r="R494" s="19" t="str">
        <f t="shared" si="122"/>
        <v/>
      </c>
      <c r="S494" s="19" t="str">
        <f t="shared" si="123"/>
        <v/>
      </c>
      <c r="T494" s="19" t="str">
        <f t="shared" si="124"/>
        <v/>
      </c>
      <c r="U494" s="19" t="str">
        <f t="shared" si="125"/>
        <v/>
      </c>
      <c r="V494" s="19" t="str">
        <f t="shared" si="126"/>
        <v/>
      </c>
      <c r="W494" s="73" t="str">
        <f t="shared" si="127"/>
        <v/>
      </c>
      <c r="X494" s="19" t="str">
        <f>IF($D494&lt;&gt;1,"",IF($G494="ROKS",$R494,IF($AI494=1,0,MAX($N494,$L494-SUMIFS(TblApplications[CPU IKS libérable (vCPU)],TblApplications[Cluster IKS source],$F494,TblApplications[Action],"À migrer",TblApplications[Mois prov (calc)],"&lt;="&amp;$E494)-SUMIFS(TblApplications[CPU IKS libérable (vCPU)],TblApplications[Cluster IKS source],$F494,TblApplications[Action],"À décommissionner",TblApplications[Mois lib (calc)],"&lt;="&amp;$E494)))))</f>
        <v/>
      </c>
      <c r="Y494" s="19" t="str">
        <f>IF($D494&lt;&gt;1,"",IF($G494="ROKS",$S494,IF($AI494=1,0,MAX($O494,$M494-SUMIFS(TblApplications[RAM IKS libérable (Go)],TblApplications[Cluster IKS source],$F494,TblApplications[Action],"À migrer",TblApplications[Mois prov (calc)],"&lt;="&amp;$E494)-SUMIFS(TblApplications[RAM IKS libérable (Go)],TblApplications[Cluster IKS source],$F494,TblApplications[Action],"À décommissionner",TblApplications[Mois lib (calc)],"&lt;="&amp;$E494)))))</f>
        <v/>
      </c>
      <c r="Z494" s="19" t="str">
        <f t="shared" si="128"/>
        <v/>
      </c>
      <c r="AA494" s="73" t="str">
        <f t="shared" si="129"/>
        <v/>
      </c>
      <c r="AB494" s="19" t="str">
        <f t="shared" si="130"/>
        <v/>
      </c>
      <c r="AC494" s="73" t="str">
        <f t="shared" si="131"/>
        <v/>
      </c>
      <c r="AD494" s="19" t="str">
        <f t="shared" si="132"/>
        <v/>
      </c>
      <c r="AE494" s="19" t="str">
        <f t="shared" si="133"/>
        <v/>
      </c>
      <c r="AF494" s="19" t="str">
        <f>IF($D494&lt;&gt;1,"",IF(INDEX(TblClusters[Environnement],$B494)="","(vide)",INDEX(TblClusters[Environnement],$B494)))</f>
        <v/>
      </c>
      <c r="AG494" s="19" t="str">
        <f t="shared" si="134"/>
        <v/>
      </c>
      <c r="AH494" s="19" t="str">
        <f t="shared" si="135"/>
        <v/>
      </c>
      <c r="AI494" s="19" t="str">
        <f>IF($D494&lt;&gt;1,"",IF(AND($G494="IKS",ISNUMBER(INDEX(TblClusters[Fermeture retenue],$B494))),IF($E494&gt;=INDEX(TblClusters[Fermeture retenue],$B494),1,0),0))</f>
        <v/>
      </c>
    </row>
    <row r="495" spans="1:35" x14ac:dyDescent="0.2">
      <c r="A495" s="19">
        <v>490</v>
      </c>
      <c r="B495" s="19">
        <f t="shared" si="119"/>
        <v>14</v>
      </c>
      <c r="C495" s="19">
        <f t="shared" si="120"/>
        <v>22</v>
      </c>
      <c r="D495" s="19">
        <f>IF($C495&gt;p_horizon,0,IFERROR(IF(AND(INDEX(TblClusters[Cluster],$B495)&lt;&gt;"",ISNUMBER(INDEX(TblClusters[CPU initial (vCPU)],$B495)),ISNUMBER(INDEX(TblClusters[CPU min (vCPU)],$B495)),OR(INDEX(TblClusters[Plateforme],$B495)="IKS",INDEX(TblClusters[Plateforme],$B495)="ROKS")),1,0),0))</f>
        <v>0</v>
      </c>
      <c r="E495" s="72" t="str">
        <f t="shared" si="121"/>
        <v/>
      </c>
      <c r="F495" s="19" t="str">
        <f>IF($D495=1,INDEX(TblClusters[Cluster],$B495),"")</f>
        <v/>
      </c>
      <c r="G495" s="19" t="str">
        <f>IF($D495=1,INDEX(TblClusters[Plateforme],$B495),"")</f>
        <v/>
      </c>
      <c r="H495" s="19" t="str">
        <f>IF($D495=1,INDEX(TblClusters[vCPU par nœud],$B495),"")</f>
        <v/>
      </c>
      <c r="I495" s="19" t="str">
        <f>IF($D495=1,INDEX(TblClusters[RAM par nœud (Go)],$B495),"")</f>
        <v/>
      </c>
      <c r="J495" s="19" t="str">
        <f>IF($D495=1,INDEX(TblClusters[Workers min],$B495),"")</f>
        <v/>
      </c>
      <c r="K495" s="73" t="str">
        <f>IF($D495=1,INDEX(TblClusters[Tarif par nœud],$B495),"")</f>
        <v/>
      </c>
      <c r="L495" s="19" t="str">
        <f>IF($D495=1,INDEX(TblClusters[CPU initial (vCPU)],$B495),"")</f>
        <v/>
      </c>
      <c r="M495" s="19" t="str">
        <f>IF($D495=1,INDEX(TblClusters[RAM initiale (Go)],$B495),"")</f>
        <v/>
      </c>
      <c r="N495" s="19" t="str">
        <f>IF($D495=1,INDEX(TblClusters[CPU min (vCPU)],$B495),"")</f>
        <v/>
      </c>
      <c r="O495" s="19" t="str">
        <f>IF($D495=1,INDEX(TblClusters[RAM min (Go)],$B495),"")</f>
        <v/>
      </c>
      <c r="P495" s="19" t="str">
        <f>IF($D495&lt;&gt;1,"",IF($G495="ROKS",SUMIFS(TblApplications[Besoin ROKS CPU (vCPU)],TblApplications[Cluster ROKS cible],$F495,TblApplications[Action],"À migrer",TblApplications[Déjà incluse ROKS],"Non",TblApplications[Mois prov (calc)],"&lt;="&amp;$E495),SUMIFS(TblApplications[CPU IKS libérable (vCPU)],TblApplications[Cluster IKS source],$F495,TblApplications[Mois lib (calc)],"&lt;="&amp;$E495)))</f>
        <v/>
      </c>
      <c r="Q495" s="19" t="str">
        <f>IF($D495&lt;&gt;1,"",IF($G495="ROKS",SUMIFS(TblApplications[Besoin ROKS RAM (Go)],TblApplications[Cluster ROKS cible],$F495,TblApplications[Action],"À migrer",TblApplications[Déjà incluse ROKS],"Non",TblApplications[Mois prov (calc)],"&lt;="&amp;$E495),SUMIFS(TblApplications[RAM IKS libérable (Go)],TblApplications[Cluster IKS source],$F495,TblApplications[Mois lib (calc)],"&lt;="&amp;$E495)))</f>
        <v/>
      </c>
      <c r="R495" s="19" t="str">
        <f t="shared" si="122"/>
        <v/>
      </c>
      <c r="S495" s="19" t="str">
        <f t="shared" si="123"/>
        <v/>
      </c>
      <c r="T495" s="19" t="str">
        <f t="shared" si="124"/>
        <v/>
      </c>
      <c r="U495" s="19" t="str">
        <f t="shared" si="125"/>
        <v/>
      </c>
      <c r="V495" s="19" t="str">
        <f t="shared" si="126"/>
        <v/>
      </c>
      <c r="W495" s="73" t="str">
        <f t="shared" si="127"/>
        <v/>
      </c>
      <c r="X495" s="19" t="str">
        <f>IF($D495&lt;&gt;1,"",IF($G495="ROKS",$R495,IF($AI495=1,0,MAX($N495,$L495-SUMIFS(TblApplications[CPU IKS libérable (vCPU)],TblApplications[Cluster IKS source],$F495,TblApplications[Action],"À migrer",TblApplications[Mois prov (calc)],"&lt;="&amp;$E495)-SUMIFS(TblApplications[CPU IKS libérable (vCPU)],TblApplications[Cluster IKS source],$F495,TblApplications[Action],"À décommissionner",TblApplications[Mois lib (calc)],"&lt;="&amp;$E495)))))</f>
        <v/>
      </c>
      <c r="Y495" s="19" t="str">
        <f>IF($D495&lt;&gt;1,"",IF($G495="ROKS",$S495,IF($AI495=1,0,MAX($O495,$M495-SUMIFS(TblApplications[RAM IKS libérable (Go)],TblApplications[Cluster IKS source],$F495,TblApplications[Action],"À migrer",TblApplications[Mois prov (calc)],"&lt;="&amp;$E495)-SUMIFS(TblApplications[RAM IKS libérable (Go)],TblApplications[Cluster IKS source],$F495,TblApplications[Action],"À décommissionner",TblApplications[Mois lib (calc)],"&lt;="&amp;$E495)))))</f>
        <v/>
      </c>
      <c r="Z495" s="19" t="str">
        <f t="shared" si="128"/>
        <v/>
      </c>
      <c r="AA495" s="73" t="str">
        <f t="shared" si="129"/>
        <v/>
      </c>
      <c r="AB495" s="19" t="str">
        <f t="shared" si="130"/>
        <v/>
      </c>
      <c r="AC495" s="73" t="str">
        <f t="shared" si="131"/>
        <v/>
      </c>
      <c r="AD495" s="19" t="str">
        <f t="shared" si="132"/>
        <v/>
      </c>
      <c r="AE495" s="19" t="str">
        <f t="shared" si="133"/>
        <v/>
      </c>
      <c r="AF495" s="19" t="str">
        <f>IF($D495&lt;&gt;1,"",IF(INDEX(TblClusters[Environnement],$B495)="","(vide)",INDEX(TblClusters[Environnement],$B495)))</f>
        <v/>
      </c>
      <c r="AG495" s="19" t="str">
        <f t="shared" si="134"/>
        <v/>
      </c>
      <c r="AH495" s="19" t="str">
        <f t="shared" si="135"/>
        <v/>
      </c>
      <c r="AI495" s="19" t="str">
        <f>IF($D495&lt;&gt;1,"",IF(AND($G495="IKS",ISNUMBER(INDEX(TblClusters[Fermeture retenue],$B495))),IF($E495&gt;=INDEX(TblClusters[Fermeture retenue],$B495),1,0),0))</f>
        <v/>
      </c>
    </row>
    <row r="496" spans="1:35" x14ac:dyDescent="0.2">
      <c r="A496" s="19">
        <v>491</v>
      </c>
      <c r="B496" s="19">
        <f t="shared" si="119"/>
        <v>14</v>
      </c>
      <c r="C496" s="19">
        <f t="shared" si="120"/>
        <v>23</v>
      </c>
      <c r="D496" s="19">
        <f>IF($C496&gt;p_horizon,0,IFERROR(IF(AND(INDEX(TblClusters[Cluster],$B496)&lt;&gt;"",ISNUMBER(INDEX(TblClusters[CPU initial (vCPU)],$B496)),ISNUMBER(INDEX(TblClusters[CPU min (vCPU)],$B496)),OR(INDEX(TblClusters[Plateforme],$B496)="IKS",INDEX(TblClusters[Plateforme],$B496)="ROKS")),1,0),0))</f>
        <v>0</v>
      </c>
      <c r="E496" s="72" t="str">
        <f t="shared" si="121"/>
        <v/>
      </c>
      <c r="F496" s="19" t="str">
        <f>IF($D496=1,INDEX(TblClusters[Cluster],$B496),"")</f>
        <v/>
      </c>
      <c r="G496" s="19" t="str">
        <f>IF($D496=1,INDEX(TblClusters[Plateforme],$B496),"")</f>
        <v/>
      </c>
      <c r="H496" s="19" t="str">
        <f>IF($D496=1,INDEX(TblClusters[vCPU par nœud],$B496),"")</f>
        <v/>
      </c>
      <c r="I496" s="19" t="str">
        <f>IF($D496=1,INDEX(TblClusters[RAM par nœud (Go)],$B496),"")</f>
        <v/>
      </c>
      <c r="J496" s="19" t="str">
        <f>IF($D496=1,INDEX(TblClusters[Workers min],$B496),"")</f>
        <v/>
      </c>
      <c r="K496" s="73" t="str">
        <f>IF($D496=1,INDEX(TblClusters[Tarif par nœud],$B496),"")</f>
        <v/>
      </c>
      <c r="L496" s="19" t="str">
        <f>IF($D496=1,INDEX(TblClusters[CPU initial (vCPU)],$B496),"")</f>
        <v/>
      </c>
      <c r="M496" s="19" t="str">
        <f>IF($D496=1,INDEX(TblClusters[RAM initiale (Go)],$B496),"")</f>
        <v/>
      </c>
      <c r="N496" s="19" t="str">
        <f>IF($D496=1,INDEX(TblClusters[CPU min (vCPU)],$B496),"")</f>
        <v/>
      </c>
      <c r="O496" s="19" t="str">
        <f>IF($D496=1,INDEX(TblClusters[RAM min (Go)],$B496),"")</f>
        <v/>
      </c>
      <c r="P496" s="19" t="str">
        <f>IF($D496&lt;&gt;1,"",IF($G496="ROKS",SUMIFS(TblApplications[Besoin ROKS CPU (vCPU)],TblApplications[Cluster ROKS cible],$F496,TblApplications[Action],"À migrer",TblApplications[Déjà incluse ROKS],"Non",TblApplications[Mois prov (calc)],"&lt;="&amp;$E496),SUMIFS(TblApplications[CPU IKS libérable (vCPU)],TblApplications[Cluster IKS source],$F496,TblApplications[Mois lib (calc)],"&lt;="&amp;$E496)))</f>
        <v/>
      </c>
      <c r="Q496" s="19" t="str">
        <f>IF($D496&lt;&gt;1,"",IF($G496="ROKS",SUMIFS(TblApplications[Besoin ROKS RAM (Go)],TblApplications[Cluster ROKS cible],$F496,TblApplications[Action],"À migrer",TblApplications[Déjà incluse ROKS],"Non",TblApplications[Mois prov (calc)],"&lt;="&amp;$E496),SUMIFS(TblApplications[RAM IKS libérable (Go)],TblApplications[Cluster IKS source],$F496,TblApplications[Mois lib (calc)],"&lt;="&amp;$E496)))</f>
        <v/>
      </c>
      <c r="R496" s="19" t="str">
        <f t="shared" si="122"/>
        <v/>
      </c>
      <c r="S496" s="19" t="str">
        <f t="shared" si="123"/>
        <v/>
      </c>
      <c r="T496" s="19" t="str">
        <f t="shared" si="124"/>
        <v/>
      </c>
      <c r="U496" s="19" t="str">
        <f t="shared" si="125"/>
        <v/>
      </c>
      <c r="V496" s="19" t="str">
        <f t="shared" si="126"/>
        <v/>
      </c>
      <c r="W496" s="73" t="str">
        <f t="shared" si="127"/>
        <v/>
      </c>
      <c r="X496" s="19" t="str">
        <f>IF($D496&lt;&gt;1,"",IF($G496="ROKS",$R496,IF($AI496=1,0,MAX($N496,$L496-SUMIFS(TblApplications[CPU IKS libérable (vCPU)],TblApplications[Cluster IKS source],$F496,TblApplications[Action],"À migrer",TblApplications[Mois prov (calc)],"&lt;="&amp;$E496)-SUMIFS(TblApplications[CPU IKS libérable (vCPU)],TblApplications[Cluster IKS source],$F496,TblApplications[Action],"À décommissionner",TblApplications[Mois lib (calc)],"&lt;="&amp;$E496)))))</f>
        <v/>
      </c>
      <c r="Y496" s="19" t="str">
        <f>IF($D496&lt;&gt;1,"",IF($G496="ROKS",$S496,IF($AI496=1,0,MAX($O496,$M496-SUMIFS(TblApplications[RAM IKS libérable (Go)],TblApplications[Cluster IKS source],$F496,TblApplications[Action],"À migrer",TblApplications[Mois prov (calc)],"&lt;="&amp;$E496)-SUMIFS(TblApplications[RAM IKS libérable (Go)],TblApplications[Cluster IKS source],$F496,TblApplications[Action],"À décommissionner",TblApplications[Mois lib (calc)],"&lt;="&amp;$E496)))))</f>
        <v/>
      </c>
      <c r="Z496" s="19" t="str">
        <f t="shared" si="128"/>
        <v/>
      </c>
      <c r="AA496" s="73" t="str">
        <f t="shared" si="129"/>
        <v/>
      </c>
      <c r="AB496" s="19" t="str">
        <f t="shared" si="130"/>
        <v/>
      </c>
      <c r="AC496" s="73" t="str">
        <f t="shared" si="131"/>
        <v/>
      </c>
      <c r="AD496" s="19" t="str">
        <f t="shared" si="132"/>
        <v/>
      </c>
      <c r="AE496" s="19" t="str">
        <f t="shared" si="133"/>
        <v/>
      </c>
      <c r="AF496" s="19" t="str">
        <f>IF($D496&lt;&gt;1,"",IF(INDEX(TblClusters[Environnement],$B496)="","(vide)",INDEX(TblClusters[Environnement],$B496)))</f>
        <v/>
      </c>
      <c r="AG496" s="19" t="str">
        <f t="shared" si="134"/>
        <v/>
      </c>
      <c r="AH496" s="19" t="str">
        <f t="shared" si="135"/>
        <v/>
      </c>
      <c r="AI496" s="19" t="str">
        <f>IF($D496&lt;&gt;1,"",IF(AND($G496="IKS",ISNUMBER(INDEX(TblClusters[Fermeture retenue],$B496))),IF($E496&gt;=INDEX(TblClusters[Fermeture retenue],$B496),1,0),0))</f>
        <v/>
      </c>
    </row>
    <row r="497" spans="1:35" x14ac:dyDescent="0.2">
      <c r="A497" s="19">
        <v>492</v>
      </c>
      <c r="B497" s="19">
        <f t="shared" si="119"/>
        <v>14</v>
      </c>
      <c r="C497" s="19">
        <f t="shared" si="120"/>
        <v>24</v>
      </c>
      <c r="D497" s="19">
        <f>IF($C497&gt;p_horizon,0,IFERROR(IF(AND(INDEX(TblClusters[Cluster],$B497)&lt;&gt;"",ISNUMBER(INDEX(TblClusters[CPU initial (vCPU)],$B497)),ISNUMBER(INDEX(TblClusters[CPU min (vCPU)],$B497)),OR(INDEX(TblClusters[Plateforme],$B497)="IKS",INDEX(TblClusters[Plateforme],$B497)="ROKS")),1,0),0))</f>
        <v>0</v>
      </c>
      <c r="E497" s="72" t="str">
        <f t="shared" si="121"/>
        <v/>
      </c>
      <c r="F497" s="19" t="str">
        <f>IF($D497=1,INDEX(TblClusters[Cluster],$B497),"")</f>
        <v/>
      </c>
      <c r="G497" s="19" t="str">
        <f>IF($D497=1,INDEX(TblClusters[Plateforme],$B497),"")</f>
        <v/>
      </c>
      <c r="H497" s="19" t="str">
        <f>IF($D497=1,INDEX(TblClusters[vCPU par nœud],$B497),"")</f>
        <v/>
      </c>
      <c r="I497" s="19" t="str">
        <f>IF($D497=1,INDEX(TblClusters[RAM par nœud (Go)],$B497),"")</f>
        <v/>
      </c>
      <c r="J497" s="19" t="str">
        <f>IF($D497=1,INDEX(TblClusters[Workers min],$B497),"")</f>
        <v/>
      </c>
      <c r="K497" s="73" t="str">
        <f>IF($D497=1,INDEX(TblClusters[Tarif par nœud],$B497),"")</f>
        <v/>
      </c>
      <c r="L497" s="19" t="str">
        <f>IF($D497=1,INDEX(TblClusters[CPU initial (vCPU)],$B497),"")</f>
        <v/>
      </c>
      <c r="M497" s="19" t="str">
        <f>IF($D497=1,INDEX(TblClusters[RAM initiale (Go)],$B497),"")</f>
        <v/>
      </c>
      <c r="N497" s="19" t="str">
        <f>IF($D497=1,INDEX(TblClusters[CPU min (vCPU)],$B497),"")</f>
        <v/>
      </c>
      <c r="O497" s="19" t="str">
        <f>IF($D497=1,INDEX(TblClusters[RAM min (Go)],$B497),"")</f>
        <v/>
      </c>
      <c r="P497" s="19" t="str">
        <f>IF($D497&lt;&gt;1,"",IF($G497="ROKS",SUMIFS(TblApplications[Besoin ROKS CPU (vCPU)],TblApplications[Cluster ROKS cible],$F497,TblApplications[Action],"À migrer",TblApplications[Déjà incluse ROKS],"Non",TblApplications[Mois prov (calc)],"&lt;="&amp;$E497),SUMIFS(TblApplications[CPU IKS libérable (vCPU)],TblApplications[Cluster IKS source],$F497,TblApplications[Mois lib (calc)],"&lt;="&amp;$E497)))</f>
        <v/>
      </c>
      <c r="Q497" s="19" t="str">
        <f>IF($D497&lt;&gt;1,"",IF($G497="ROKS",SUMIFS(TblApplications[Besoin ROKS RAM (Go)],TblApplications[Cluster ROKS cible],$F497,TblApplications[Action],"À migrer",TblApplications[Déjà incluse ROKS],"Non",TblApplications[Mois prov (calc)],"&lt;="&amp;$E497),SUMIFS(TblApplications[RAM IKS libérable (Go)],TblApplications[Cluster IKS source],$F497,TblApplications[Mois lib (calc)],"&lt;="&amp;$E497)))</f>
        <v/>
      </c>
      <c r="R497" s="19" t="str">
        <f t="shared" si="122"/>
        <v/>
      </c>
      <c r="S497" s="19" t="str">
        <f t="shared" si="123"/>
        <v/>
      </c>
      <c r="T497" s="19" t="str">
        <f t="shared" si="124"/>
        <v/>
      </c>
      <c r="U497" s="19" t="str">
        <f t="shared" si="125"/>
        <v/>
      </c>
      <c r="V497" s="19" t="str">
        <f t="shared" si="126"/>
        <v/>
      </c>
      <c r="W497" s="73" t="str">
        <f t="shared" si="127"/>
        <v/>
      </c>
      <c r="X497" s="19" t="str">
        <f>IF($D497&lt;&gt;1,"",IF($G497="ROKS",$R497,IF($AI497=1,0,MAX($N497,$L497-SUMIFS(TblApplications[CPU IKS libérable (vCPU)],TblApplications[Cluster IKS source],$F497,TblApplications[Action],"À migrer",TblApplications[Mois prov (calc)],"&lt;="&amp;$E497)-SUMIFS(TblApplications[CPU IKS libérable (vCPU)],TblApplications[Cluster IKS source],$F497,TblApplications[Action],"À décommissionner",TblApplications[Mois lib (calc)],"&lt;="&amp;$E497)))))</f>
        <v/>
      </c>
      <c r="Y497" s="19" t="str">
        <f>IF($D497&lt;&gt;1,"",IF($G497="ROKS",$S497,IF($AI497=1,0,MAX($O497,$M497-SUMIFS(TblApplications[RAM IKS libérable (Go)],TblApplications[Cluster IKS source],$F497,TblApplications[Action],"À migrer",TblApplications[Mois prov (calc)],"&lt;="&amp;$E497)-SUMIFS(TblApplications[RAM IKS libérable (Go)],TblApplications[Cluster IKS source],$F497,TblApplications[Action],"À décommissionner",TblApplications[Mois lib (calc)],"&lt;="&amp;$E497)))))</f>
        <v/>
      </c>
      <c r="Z497" s="19" t="str">
        <f t="shared" si="128"/>
        <v/>
      </c>
      <c r="AA497" s="73" t="str">
        <f t="shared" si="129"/>
        <v/>
      </c>
      <c r="AB497" s="19" t="str">
        <f t="shared" si="130"/>
        <v/>
      </c>
      <c r="AC497" s="73" t="str">
        <f t="shared" si="131"/>
        <v/>
      </c>
      <c r="AD497" s="19" t="str">
        <f t="shared" si="132"/>
        <v/>
      </c>
      <c r="AE497" s="19" t="str">
        <f t="shared" si="133"/>
        <v/>
      </c>
      <c r="AF497" s="19" t="str">
        <f>IF($D497&lt;&gt;1,"",IF(INDEX(TblClusters[Environnement],$B497)="","(vide)",INDEX(TblClusters[Environnement],$B497)))</f>
        <v/>
      </c>
      <c r="AG497" s="19" t="str">
        <f t="shared" si="134"/>
        <v/>
      </c>
      <c r="AH497" s="19" t="str">
        <f t="shared" si="135"/>
        <v/>
      </c>
      <c r="AI497" s="19" t="str">
        <f>IF($D497&lt;&gt;1,"",IF(AND($G497="IKS",ISNUMBER(INDEX(TblClusters[Fermeture retenue],$B497))),IF($E497&gt;=INDEX(TblClusters[Fermeture retenue],$B497),1,0),0))</f>
        <v/>
      </c>
    </row>
    <row r="498" spans="1:35" x14ac:dyDescent="0.2">
      <c r="A498" s="19">
        <v>493</v>
      </c>
      <c r="B498" s="19">
        <f t="shared" si="119"/>
        <v>14</v>
      </c>
      <c r="C498" s="19">
        <f t="shared" si="120"/>
        <v>25</v>
      </c>
      <c r="D498" s="19">
        <f>IF($C498&gt;p_horizon,0,IFERROR(IF(AND(INDEX(TblClusters[Cluster],$B498)&lt;&gt;"",ISNUMBER(INDEX(TblClusters[CPU initial (vCPU)],$B498)),ISNUMBER(INDEX(TblClusters[CPU min (vCPU)],$B498)),OR(INDEX(TblClusters[Plateforme],$B498)="IKS",INDEX(TblClusters[Plateforme],$B498)="ROKS")),1,0),0))</f>
        <v>0</v>
      </c>
      <c r="E498" s="72" t="str">
        <f t="shared" si="121"/>
        <v/>
      </c>
      <c r="F498" s="19" t="str">
        <f>IF($D498=1,INDEX(TblClusters[Cluster],$B498),"")</f>
        <v/>
      </c>
      <c r="G498" s="19" t="str">
        <f>IF($D498=1,INDEX(TblClusters[Plateforme],$B498),"")</f>
        <v/>
      </c>
      <c r="H498" s="19" t="str">
        <f>IF($D498=1,INDEX(TblClusters[vCPU par nœud],$B498),"")</f>
        <v/>
      </c>
      <c r="I498" s="19" t="str">
        <f>IF($D498=1,INDEX(TblClusters[RAM par nœud (Go)],$B498),"")</f>
        <v/>
      </c>
      <c r="J498" s="19" t="str">
        <f>IF($D498=1,INDEX(TblClusters[Workers min],$B498),"")</f>
        <v/>
      </c>
      <c r="K498" s="73" t="str">
        <f>IF($D498=1,INDEX(TblClusters[Tarif par nœud],$B498),"")</f>
        <v/>
      </c>
      <c r="L498" s="19" t="str">
        <f>IF($D498=1,INDEX(TblClusters[CPU initial (vCPU)],$B498),"")</f>
        <v/>
      </c>
      <c r="M498" s="19" t="str">
        <f>IF($D498=1,INDEX(TblClusters[RAM initiale (Go)],$B498),"")</f>
        <v/>
      </c>
      <c r="N498" s="19" t="str">
        <f>IF($D498=1,INDEX(TblClusters[CPU min (vCPU)],$B498),"")</f>
        <v/>
      </c>
      <c r="O498" s="19" t="str">
        <f>IF($D498=1,INDEX(TblClusters[RAM min (Go)],$B498),"")</f>
        <v/>
      </c>
      <c r="P498" s="19" t="str">
        <f>IF($D498&lt;&gt;1,"",IF($G498="ROKS",SUMIFS(TblApplications[Besoin ROKS CPU (vCPU)],TblApplications[Cluster ROKS cible],$F498,TblApplications[Action],"À migrer",TblApplications[Déjà incluse ROKS],"Non",TblApplications[Mois prov (calc)],"&lt;="&amp;$E498),SUMIFS(TblApplications[CPU IKS libérable (vCPU)],TblApplications[Cluster IKS source],$F498,TblApplications[Mois lib (calc)],"&lt;="&amp;$E498)))</f>
        <v/>
      </c>
      <c r="Q498" s="19" t="str">
        <f>IF($D498&lt;&gt;1,"",IF($G498="ROKS",SUMIFS(TblApplications[Besoin ROKS RAM (Go)],TblApplications[Cluster ROKS cible],$F498,TblApplications[Action],"À migrer",TblApplications[Déjà incluse ROKS],"Non",TblApplications[Mois prov (calc)],"&lt;="&amp;$E498),SUMIFS(TblApplications[RAM IKS libérable (Go)],TblApplications[Cluster IKS source],$F498,TblApplications[Mois lib (calc)],"&lt;="&amp;$E498)))</f>
        <v/>
      </c>
      <c r="R498" s="19" t="str">
        <f t="shared" si="122"/>
        <v/>
      </c>
      <c r="S498" s="19" t="str">
        <f t="shared" si="123"/>
        <v/>
      </c>
      <c r="T498" s="19" t="str">
        <f t="shared" si="124"/>
        <v/>
      </c>
      <c r="U498" s="19" t="str">
        <f t="shared" si="125"/>
        <v/>
      </c>
      <c r="V498" s="19" t="str">
        <f t="shared" si="126"/>
        <v/>
      </c>
      <c r="W498" s="73" t="str">
        <f t="shared" si="127"/>
        <v/>
      </c>
      <c r="X498" s="19" t="str">
        <f>IF($D498&lt;&gt;1,"",IF($G498="ROKS",$R498,IF($AI498=1,0,MAX($N498,$L498-SUMIFS(TblApplications[CPU IKS libérable (vCPU)],TblApplications[Cluster IKS source],$F498,TblApplications[Action],"À migrer",TblApplications[Mois prov (calc)],"&lt;="&amp;$E498)-SUMIFS(TblApplications[CPU IKS libérable (vCPU)],TblApplications[Cluster IKS source],$F498,TblApplications[Action],"À décommissionner",TblApplications[Mois lib (calc)],"&lt;="&amp;$E498)))))</f>
        <v/>
      </c>
      <c r="Y498" s="19" t="str">
        <f>IF($D498&lt;&gt;1,"",IF($G498="ROKS",$S498,IF($AI498=1,0,MAX($O498,$M498-SUMIFS(TblApplications[RAM IKS libérable (Go)],TblApplications[Cluster IKS source],$F498,TblApplications[Action],"À migrer",TblApplications[Mois prov (calc)],"&lt;="&amp;$E498)-SUMIFS(TblApplications[RAM IKS libérable (Go)],TblApplications[Cluster IKS source],$F498,TblApplications[Action],"À décommissionner",TblApplications[Mois lib (calc)],"&lt;="&amp;$E498)))))</f>
        <v/>
      </c>
      <c r="Z498" s="19" t="str">
        <f t="shared" si="128"/>
        <v/>
      </c>
      <c r="AA498" s="73" t="str">
        <f t="shared" si="129"/>
        <v/>
      </c>
      <c r="AB498" s="19" t="str">
        <f t="shared" si="130"/>
        <v/>
      </c>
      <c r="AC498" s="73" t="str">
        <f t="shared" si="131"/>
        <v/>
      </c>
      <c r="AD498" s="19" t="str">
        <f t="shared" si="132"/>
        <v/>
      </c>
      <c r="AE498" s="19" t="str">
        <f t="shared" si="133"/>
        <v/>
      </c>
      <c r="AF498" s="19" t="str">
        <f>IF($D498&lt;&gt;1,"",IF(INDEX(TblClusters[Environnement],$B498)="","(vide)",INDEX(TblClusters[Environnement],$B498)))</f>
        <v/>
      </c>
      <c r="AG498" s="19" t="str">
        <f t="shared" si="134"/>
        <v/>
      </c>
      <c r="AH498" s="19" t="str">
        <f t="shared" si="135"/>
        <v/>
      </c>
      <c r="AI498" s="19" t="str">
        <f>IF($D498&lt;&gt;1,"",IF(AND($G498="IKS",ISNUMBER(INDEX(TblClusters[Fermeture retenue],$B498))),IF($E498&gt;=INDEX(TblClusters[Fermeture retenue],$B498),1,0),0))</f>
        <v/>
      </c>
    </row>
    <row r="499" spans="1:35" x14ac:dyDescent="0.2">
      <c r="A499" s="19">
        <v>494</v>
      </c>
      <c r="B499" s="19">
        <f t="shared" si="119"/>
        <v>14</v>
      </c>
      <c r="C499" s="19">
        <f t="shared" si="120"/>
        <v>26</v>
      </c>
      <c r="D499" s="19">
        <f>IF($C499&gt;p_horizon,0,IFERROR(IF(AND(INDEX(TblClusters[Cluster],$B499)&lt;&gt;"",ISNUMBER(INDEX(TblClusters[CPU initial (vCPU)],$B499)),ISNUMBER(INDEX(TblClusters[CPU min (vCPU)],$B499)),OR(INDEX(TblClusters[Plateforme],$B499)="IKS",INDEX(TblClusters[Plateforme],$B499)="ROKS")),1,0),0))</f>
        <v>0</v>
      </c>
      <c r="E499" s="72" t="str">
        <f t="shared" si="121"/>
        <v/>
      </c>
      <c r="F499" s="19" t="str">
        <f>IF($D499=1,INDEX(TblClusters[Cluster],$B499),"")</f>
        <v/>
      </c>
      <c r="G499" s="19" t="str">
        <f>IF($D499=1,INDEX(TblClusters[Plateforme],$B499),"")</f>
        <v/>
      </c>
      <c r="H499" s="19" t="str">
        <f>IF($D499=1,INDEX(TblClusters[vCPU par nœud],$B499),"")</f>
        <v/>
      </c>
      <c r="I499" s="19" t="str">
        <f>IF($D499=1,INDEX(TblClusters[RAM par nœud (Go)],$B499),"")</f>
        <v/>
      </c>
      <c r="J499" s="19" t="str">
        <f>IF($D499=1,INDEX(TblClusters[Workers min],$B499),"")</f>
        <v/>
      </c>
      <c r="K499" s="73" t="str">
        <f>IF($D499=1,INDEX(TblClusters[Tarif par nœud],$B499),"")</f>
        <v/>
      </c>
      <c r="L499" s="19" t="str">
        <f>IF($D499=1,INDEX(TblClusters[CPU initial (vCPU)],$B499),"")</f>
        <v/>
      </c>
      <c r="M499" s="19" t="str">
        <f>IF($D499=1,INDEX(TblClusters[RAM initiale (Go)],$B499),"")</f>
        <v/>
      </c>
      <c r="N499" s="19" t="str">
        <f>IF($D499=1,INDEX(TblClusters[CPU min (vCPU)],$B499),"")</f>
        <v/>
      </c>
      <c r="O499" s="19" t="str">
        <f>IF($D499=1,INDEX(TblClusters[RAM min (Go)],$B499),"")</f>
        <v/>
      </c>
      <c r="P499" s="19" t="str">
        <f>IF($D499&lt;&gt;1,"",IF($G499="ROKS",SUMIFS(TblApplications[Besoin ROKS CPU (vCPU)],TblApplications[Cluster ROKS cible],$F499,TblApplications[Action],"À migrer",TblApplications[Déjà incluse ROKS],"Non",TblApplications[Mois prov (calc)],"&lt;="&amp;$E499),SUMIFS(TblApplications[CPU IKS libérable (vCPU)],TblApplications[Cluster IKS source],$F499,TblApplications[Mois lib (calc)],"&lt;="&amp;$E499)))</f>
        <v/>
      </c>
      <c r="Q499" s="19" t="str">
        <f>IF($D499&lt;&gt;1,"",IF($G499="ROKS",SUMIFS(TblApplications[Besoin ROKS RAM (Go)],TblApplications[Cluster ROKS cible],$F499,TblApplications[Action],"À migrer",TblApplications[Déjà incluse ROKS],"Non",TblApplications[Mois prov (calc)],"&lt;="&amp;$E499),SUMIFS(TblApplications[RAM IKS libérable (Go)],TblApplications[Cluster IKS source],$F499,TblApplications[Mois lib (calc)],"&lt;="&amp;$E499)))</f>
        <v/>
      </c>
      <c r="R499" s="19" t="str">
        <f t="shared" si="122"/>
        <v/>
      </c>
      <c r="S499" s="19" t="str">
        <f t="shared" si="123"/>
        <v/>
      </c>
      <c r="T499" s="19" t="str">
        <f t="shared" si="124"/>
        <v/>
      </c>
      <c r="U499" s="19" t="str">
        <f t="shared" si="125"/>
        <v/>
      </c>
      <c r="V499" s="19" t="str">
        <f t="shared" si="126"/>
        <v/>
      </c>
      <c r="W499" s="73" t="str">
        <f t="shared" si="127"/>
        <v/>
      </c>
      <c r="X499" s="19" t="str">
        <f>IF($D499&lt;&gt;1,"",IF($G499="ROKS",$R499,IF($AI499=1,0,MAX($N499,$L499-SUMIFS(TblApplications[CPU IKS libérable (vCPU)],TblApplications[Cluster IKS source],$F499,TblApplications[Action],"À migrer",TblApplications[Mois prov (calc)],"&lt;="&amp;$E499)-SUMIFS(TblApplications[CPU IKS libérable (vCPU)],TblApplications[Cluster IKS source],$F499,TblApplications[Action],"À décommissionner",TblApplications[Mois lib (calc)],"&lt;="&amp;$E499)))))</f>
        <v/>
      </c>
      <c r="Y499" s="19" t="str">
        <f>IF($D499&lt;&gt;1,"",IF($G499="ROKS",$S499,IF($AI499=1,0,MAX($O499,$M499-SUMIFS(TblApplications[RAM IKS libérable (Go)],TblApplications[Cluster IKS source],$F499,TblApplications[Action],"À migrer",TblApplications[Mois prov (calc)],"&lt;="&amp;$E499)-SUMIFS(TblApplications[RAM IKS libérable (Go)],TblApplications[Cluster IKS source],$F499,TblApplications[Action],"À décommissionner",TblApplications[Mois lib (calc)],"&lt;="&amp;$E499)))))</f>
        <v/>
      </c>
      <c r="Z499" s="19" t="str">
        <f t="shared" si="128"/>
        <v/>
      </c>
      <c r="AA499" s="73" t="str">
        <f t="shared" si="129"/>
        <v/>
      </c>
      <c r="AB499" s="19" t="str">
        <f t="shared" si="130"/>
        <v/>
      </c>
      <c r="AC499" s="73" t="str">
        <f t="shared" si="131"/>
        <v/>
      </c>
      <c r="AD499" s="19" t="str">
        <f t="shared" si="132"/>
        <v/>
      </c>
      <c r="AE499" s="19" t="str">
        <f t="shared" si="133"/>
        <v/>
      </c>
      <c r="AF499" s="19" t="str">
        <f>IF($D499&lt;&gt;1,"",IF(INDEX(TblClusters[Environnement],$B499)="","(vide)",INDEX(TblClusters[Environnement],$B499)))</f>
        <v/>
      </c>
      <c r="AG499" s="19" t="str">
        <f t="shared" si="134"/>
        <v/>
      </c>
      <c r="AH499" s="19" t="str">
        <f t="shared" si="135"/>
        <v/>
      </c>
      <c r="AI499" s="19" t="str">
        <f>IF($D499&lt;&gt;1,"",IF(AND($G499="IKS",ISNUMBER(INDEX(TblClusters[Fermeture retenue],$B499))),IF($E499&gt;=INDEX(TblClusters[Fermeture retenue],$B499),1,0),0))</f>
        <v/>
      </c>
    </row>
    <row r="500" spans="1:35" x14ac:dyDescent="0.2">
      <c r="A500" s="19">
        <v>495</v>
      </c>
      <c r="B500" s="19">
        <f t="shared" si="119"/>
        <v>14</v>
      </c>
      <c r="C500" s="19">
        <f t="shared" si="120"/>
        <v>27</v>
      </c>
      <c r="D500" s="19">
        <f>IF($C500&gt;p_horizon,0,IFERROR(IF(AND(INDEX(TblClusters[Cluster],$B500)&lt;&gt;"",ISNUMBER(INDEX(TblClusters[CPU initial (vCPU)],$B500)),ISNUMBER(INDEX(TblClusters[CPU min (vCPU)],$B500)),OR(INDEX(TblClusters[Plateforme],$B500)="IKS",INDEX(TblClusters[Plateforme],$B500)="ROKS")),1,0),0))</f>
        <v>0</v>
      </c>
      <c r="E500" s="72" t="str">
        <f t="shared" si="121"/>
        <v/>
      </c>
      <c r="F500" s="19" t="str">
        <f>IF($D500=1,INDEX(TblClusters[Cluster],$B500),"")</f>
        <v/>
      </c>
      <c r="G500" s="19" t="str">
        <f>IF($D500=1,INDEX(TblClusters[Plateforme],$B500),"")</f>
        <v/>
      </c>
      <c r="H500" s="19" t="str">
        <f>IF($D500=1,INDEX(TblClusters[vCPU par nœud],$B500),"")</f>
        <v/>
      </c>
      <c r="I500" s="19" t="str">
        <f>IF($D500=1,INDEX(TblClusters[RAM par nœud (Go)],$B500),"")</f>
        <v/>
      </c>
      <c r="J500" s="19" t="str">
        <f>IF($D500=1,INDEX(TblClusters[Workers min],$B500),"")</f>
        <v/>
      </c>
      <c r="K500" s="73" t="str">
        <f>IF($D500=1,INDEX(TblClusters[Tarif par nœud],$B500),"")</f>
        <v/>
      </c>
      <c r="L500" s="19" t="str">
        <f>IF($D500=1,INDEX(TblClusters[CPU initial (vCPU)],$B500),"")</f>
        <v/>
      </c>
      <c r="M500" s="19" t="str">
        <f>IF($D500=1,INDEX(TblClusters[RAM initiale (Go)],$B500),"")</f>
        <v/>
      </c>
      <c r="N500" s="19" t="str">
        <f>IF($D500=1,INDEX(TblClusters[CPU min (vCPU)],$B500),"")</f>
        <v/>
      </c>
      <c r="O500" s="19" t="str">
        <f>IF($D500=1,INDEX(TblClusters[RAM min (Go)],$B500),"")</f>
        <v/>
      </c>
      <c r="P500" s="19" t="str">
        <f>IF($D500&lt;&gt;1,"",IF($G500="ROKS",SUMIFS(TblApplications[Besoin ROKS CPU (vCPU)],TblApplications[Cluster ROKS cible],$F500,TblApplications[Action],"À migrer",TblApplications[Déjà incluse ROKS],"Non",TblApplications[Mois prov (calc)],"&lt;="&amp;$E500),SUMIFS(TblApplications[CPU IKS libérable (vCPU)],TblApplications[Cluster IKS source],$F500,TblApplications[Mois lib (calc)],"&lt;="&amp;$E500)))</f>
        <v/>
      </c>
      <c r="Q500" s="19" t="str">
        <f>IF($D500&lt;&gt;1,"",IF($G500="ROKS",SUMIFS(TblApplications[Besoin ROKS RAM (Go)],TblApplications[Cluster ROKS cible],$F500,TblApplications[Action],"À migrer",TblApplications[Déjà incluse ROKS],"Non",TblApplications[Mois prov (calc)],"&lt;="&amp;$E500),SUMIFS(TblApplications[RAM IKS libérable (Go)],TblApplications[Cluster IKS source],$F500,TblApplications[Mois lib (calc)],"&lt;="&amp;$E500)))</f>
        <v/>
      </c>
      <c r="R500" s="19" t="str">
        <f t="shared" si="122"/>
        <v/>
      </c>
      <c r="S500" s="19" t="str">
        <f t="shared" si="123"/>
        <v/>
      </c>
      <c r="T500" s="19" t="str">
        <f t="shared" si="124"/>
        <v/>
      </c>
      <c r="U500" s="19" t="str">
        <f t="shared" si="125"/>
        <v/>
      </c>
      <c r="V500" s="19" t="str">
        <f t="shared" si="126"/>
        <v/>
      </c>
      <c r="W500" s="73" t="str">
        <f t="shared" si="127"/>
        <v/>
      </c>
      <c r="X500" s="19" t="str">
        <f>IF($D500&lt;&gt;1,"",IF($G500="ROKS",$R500,IF($AI500=1,0,MAX($N500,$L500-SUMIFS(TblApplications[CPU IKS libérable (vCPU)],TblApplications[Cluster IKS source],$F500,TblApplications[Action],"À migrer",TblApplications[Mois prov (calc)],"&lt;="&amp;$E500)-SUMIFS(TblApplications[CPU IKS libérable (vCPU)],TblApplications[Cluster IKS source],$F500,TblApplications[Action],"À décommissionner",TblApplications[Mois lib (calc)],"&lt;="&amp;$E500)))))</f>
        <v/>
      </c>
      <c r="Y500" s="19" t="str">
        <f>IF($D500&lt;&gt;1,"",IF($G500="ROKS",$S500,IF($AI500=1,0,MAX($O500,$M500-SUMIFS(TblApplications[RAM IKS libérable (Go)],TblApplications[Cluster IKS source],$F500,TblApplications[Action],"À migrer",TblApplications[Mois prov (calc)],"&lt;="&amp;$E500)-SUMIFS(TblApplications[RAM IKS libérable (Go)],TblApplications[Cluster IKS source],$F500,TblApplications[Action],"À décommissionner",TblApplications[Mois lib (calc)],"&lt;="&amp;$E500)))))</f>
        <v/>
      </c>
      <c r="Z500" s="19" t="str">
        <f t="shared" si="128"/>
        <v/>
      </c>
      <c r="AA500" s="73" t="str">
        <f t="shared" si="129"/>
        <v/>
      </c>
      <c r="AB500" s="19" t="str">
        <f t="shared" si="130"/>
        <v/>
      </c>
      <c r="AC500" s="73" t="str">
        <f t="shared" si="131"/>
        <v/>
      </c>
      <c r="AD500" s="19" t="str">
        <f t="shared" si="132"/>
        <v/>
      </c>
      <c r="AE500" s="19" t="str">
        <f t="shared" si="133"/>
        <v/>
      </c>
      <c r="AF500" s="19" t="str">
        <f>IF($D500&lt;&gt;1,"",IF(INDEX(TblClusters[Environnement],$B500)="","(vide)",INDEX(TblClusters[Environnement],$B500)))</f>
        <v/>
      </c>
      <c r="AG500" s="19" t="str">
        <f t="shared" si="134"/>
        <v/>
      </c>
      <c r="AH500" s="19" t="str">
        <f t="shared" si="135"/>
        <v/>
      </c>
      <c r="AI500" s="19" t="str">
        <f>IF($D500&lt;&gt;1,"",IF(AND($G500="IKS",ISNUMBER(INDEX(TblClusters[Fermeture retenue],$B500))),IF($E500&gt;=INDEX(TblClusters[Fermeture retenue],$B500),1,0),0))</f>
        <v/>
      </c>
    </row>
    <row r="501" spans="1:35" x14ac:dyDescent="0.2">
      <c r="A501" s="19">
        <v>496</v>
      </c>
      <c r="B501" s="19">
        <f t="shared" si="119"/>
        <v>14</v>
      </c>
      <c r="C501" s="19">
        <f t="shared" si="120"/>
        <v>28</v>
      </c>
      <c r="D501" s="19">
        <f>IF($C501&gt;p_horizon,0,IFERROR(IF(AND(INDEX(TblClusters[Cluster],$B501)&lt;&gt;"",ISNUMBER(INDEX(TblClusters[CPU initial (vCPU)],$B501)),ISNUMBER(INDEX(TblClusters[CPU min (vCPU)],$B501)),OR(INDEX(TblClusters[Plateforme],$B501)="IKS",INDEX(TblClusters[Plateforme],$B501)="ROKS")),1,0),0))</f>
        <v>0</v>
      </c>
      <c r="E501" s="72" t="str">
        <f t="shared" si="121"/>
        <v/>
      </c>
      <c r="F501" s="19" t="str">
        <f>IF($D501=1,INDEX(TblClusters[Cluster],$B501),"")</f>
        <v/>
      </c>
      <c r="G501" s="19" t="str">
        <f>IF($D501=1,INDEX(TblClusters[Plateforme],$B501),"")</f>
        <v/>
      </c>
      <c r="H501" s="19" t="str">
        <f>IF($D501=1,INDEX(TblClusters[vCPU par nœud],$B501),"")</f>
        <v/>
      </c>
      <c r="I501" s="19" t="str">
        <f>IF($D501=1,INDEX(TblClusters[RAM par nœud (Go)],$B501),"")</f>
        <v/>
      </c>
      <c r="J501" s="19" t="str">
        <f>IF($D501=1,INDEX(TblClusters[Workers min],$B501),"")</f>
        <v/>
      </c>
      <c r="K501" s="73" t="str">
        <f>IF($D501=1,INDEX(TblClusters[Tarif par nœud],$B501),"")</f>
        <v/>
      </c>
      <c r="L501" s="19" t="str">
        <f>IF($D501=1,INDEX(TblClusters[CPU initial (vCPU)],$B501),"")</f>
        <v/>
      </c>
      <c r="M501" s="19" t="str">
        <f>IF($D501=1,INDEX(TblClusters[RAM initiale (Go)],$B501),"")</f>
        <v/>
      </c>
      <c r="N501" s="19" t="str">
        <f>IF($D501=1,INDEX(TblClusters[CPU min (vCPU)],$B501),"")</f>
        <v/>
      </c>
      <c r="O501" s="19" t="str">
        <f>IF($D501=1,INDEX(TblClusters[RAM min (Go)],$B501),"")</f>
        <v/>
      </c>
      <c r="P501" s="19" t="str">
        <f>IF($D501&lt;&gt;1,"",IF($G501="ROKS",SUMIFS(TblApplications[Besoin ROKS CPU (vCPU)],TblApplications[Cluster ROKS cible],$F501,TblApplications[Action],"À migrer",TblApplications[Déjà incluse ROKS],"Non",TblApplications[Mois prov (calc)],"&lt;="&amp;$E501),SUMIFS(TblApplications[CPU IKS libérable (vCPU)],TblApplications[Cluster IKS source],$F501,TblApplications[Mois lib (calc)],"&lt;="&amp;$E501)))</f>
        <v/>
      </c>
      <c r="Q501" s="19" t="str">
        <f>IF($D501&lt;&gt;1,"",IF($G501="ROKS",SUMIFS(TblApplications[Besoin ROKS RAM (Go)],TblApplications[Cluster ROKS cible],$F501,TblApplications[Action],"À migrer",TblApplications[Déjà incluse ROKS],"Non",TblApplications[Mois prov (calc)],"&lt;="&amp;$E501),SUMIFS(TblApplications[RAM IKS libérable (Go)],TblApplications[Cluster IKS source],$F501,TblApplications[Mois lib (calc)],"&lt;="&amp;$E501)))</f>
        <v/>
      </c>
      <c r="R501" s="19" t="str">
        <f t="shared" si="122"/>
        <v/>
      </c>
      <c r="S501" s="19" t="str">
        <f t="shared" si="123"/>
        <v/>
      </c>
      <c r="T501" s="19" t="str">
        <f t="shared" si="124"/>
        <v/>
      </c>
      <c r="U501" s="19" t="str">
        <f t="shared" si="125"/>
        <v/>
      </c>
      <c r="V501" s="19" t="str">
        <f t="shared" si="126"/>
        <v/>
      </c>
      <c r="W501" s="73" t="str">
        <f t="shared" si="127"/>
        <v/>
      </c>
      <c r="X501" s="19" t="str">
        <f>IF($D501&lt;&gt;1,"",IF($G501="ROKS",$R501,IF($AI501=1,0,MAX($N501,$L501-SUMIFS(TblApplications[CPU IKS libérable (vCPU)],TblApplications[Cluster IKS source],$F501,TblApplications[Action],"À migrer",TblApplications[Mois prov (calc)],"&lt;="&amp;$E501)-SUMIFS(TblApplications[CPU IKS libérable (vCPU)],TblApplications[Cluster IKS source],$F501,TblApplications[Action],"À décommissionner",TblApplications[Mois lib (calc)],"&lt;="&amp;$E501)))))</f>
        <v/>
      </c>
      <c r="Y501" s="19" t="str">
        <f>IF($D501&lt;&gt;1,"",IF($G501="ROKS",$S501,IF($AI501=1,0,MAX($O501,$M501-SUMIFS(TblApplications[RAM IKS libérable (Go)],TblApplications[Cluster IKS source],$F501,TblApplications[Action],"À migrer",TblApplications[Mois prov (calc)],"&lt;="&amp;$E501)-SUMIFS(TblApplications[RAM IKS libérable (Go)],TblApplications[Cluster IKS source],$F501,TblApplications[Action],"À décommissionner",TblApplications[Mois lib (calc)],"&lt;="&amp;$E501)))))</f>
        <v/>
      </c>
      <c r="Z501" s="19" t="str">
        <f t="shared" si="128"/>
        <v/>
      </c>
      <c r="AA501" s="73" t="str">
        <f t="shared" si="129"/>
        <v/>
      </c>
      <c r="AB501" s="19" t="str">
        <f t="shared" si="130"/>
        <v/>
      </c>
      <c r="AC501" s="73" t="str">
        <f t="shared" si="131"/>
        <v/>
      </c>
      <c r="AD501" s="19" t="str">
        <f t="shared" si="132"/>
        <v/>
      </c>
      <c r="AE501" s="19" t="str">
        <f t="shared" si="133"/>
        <v/>
      </c>
      <c r="AF501" s="19" t="str">
        <f>IF($D501&lt;&gt;1,"",IF(INDEX(TblClusters[Environnement],$B501)="","(vide)",INDEX(TblClusters[Environnement],$B501)))</f>
        <v/>
      </c>
      <c r="AG501" s="19" t="str">
        <f t="shared" si="134"/>
        <v/>
      </c>
      <c r="AH501" s="19" t="str">
        <f t="shared" si="135"/>
        <v/>
      </c>
      <c r="AI501" s="19" t="str">
        <f>IF($D501&lt;&gt;1,"",IF(AND($G501="IKS",ISNUMBER(INDEX(TblClusters[Fermeture retenue],$B501))),IF($E501&gt;=INDEX(TblClusters[Fermeture retenue],$B501),1,0),0))</f>
        <v/>
      </c>
    </row>
    <row r="502" spans="1:35" x14ac:dyDescent="0.2">
      <c r="A502" s="19">
        <v>497</v>
      </c>
      <c r="B502" s="19">
        <f t="shared" si="119"/>
        <v>14</v>
      </c>
      <c r="C502" s="19">
        <f t="shared" si="120"/>
        <v>29</v>
      </c>
      <c r="D502" s="19">
        <f>IF($C502&gt;p_horizon,0,IFERROR(IF(AND(INDEX(TblClusters[Cluster],$B502)&lt;&gt;"",ISNUMBER(INDEX(TblClusters[CPU initial (vCPU)],$B502)),ISNUMBER(INDEX(TblClusters[CPU min (vCPU)],$B502)),OR(INDEX(TblClusters[Plateforme],$B502)="IKS",INDEX(TblClusters[Plateforme],$B502)="ROKS")),1,0),0))</f>
        <v>0</v>
      </c>
      <c r="E502" s="72" t="str">
        <f t="shared" si="121"/>
        <v/>
      </c>
      <c r="F502" s="19" t="str">
        <f>IF($D502=1,INDEX(TblClusters[Cluster],$B502),"")</f>
        <v/>
      </c>
      <c r="G502" s="19" t="str">
        <f>IF($D502=1,INDEX(TblClusters[Plateforme],$B502),"")</f>
        <v/>
      </c>
      <c r="H502" s="19" t="str">
        <f>IF($D502=1,INDEX(TblClusters[vCPU par nœud],$B502),"")</f>
        <v/>
      </c>
      <c r="I502" s="19" t="str">
        <f>IF($D502=1,INDEX(TblClusters[RAM par nœud (Go)],$B502),"")</f>
        <v/>
      </c>
      <c r="J502" s="19" t="str">
        <f>IF($D502=1,INDEX(TblClusters[Workers min],$B502),"")</f>
        <v/>
      </c>
      <c r="K502" s="73" t="str">
        <f>IF($D502=1,INDEX(TblClusters[Tarif par nœud],$B502),"")</f>
        <v/>
      </c>
      <c r="L502" s="19" t="str">
        <f>IF($D502=1,INDEX(TblClusters[CPU initial (vCPU)],$B502),"")</f>
        <v/>
      </c>
      <c r="M502" s="19" t="str">
        <f>IF($D502=1,INDEX(TblClusters[RAM initiale (Go)],$B502),"")</f>
        <v/>
      </c>
      <c r="N502" s="19" t="str">
        <f>IF($D502=1,INDEX(TblClusters[CPU min (vCPU)],$B502),"")</f>
        <v/>
      </c>
      <c r="O502" s="19" t="str">
        <f>IF($D502=1,INDEX(TblClusters[RAM min (Go)],$B502),"")</f>
        <v/>
      </c>
      <c r="P502" s="19" t="str">
        <f>IF($D502&lt;&gt;1,"",IF($G502="ROKS",SUMIFS(TblApplications[Besoin ROKS CPU (vCPU)],TblApplications[Cluster ROKS cible],$F502,TblApplications[Action],"À migrer",TblApplications[Déjà incluse ROKS],"Non",TblApplications[Mois prov (calc)],"&lt;="&amp;$E502),SUMIFS(TblApplications[CPU IKS libérable (vCPU)],TblApplications[Cluster IKS source],$F502,TblApplications[Mois lib (calc)],"&lt;="&amp;$E502)))</f>
        <v/>
      </c>
      <c r="Q502" s="19" t="str">
        <f>IF($D502&lt;&gt;1,"",IF($G502="ROKS",SUMIFS(TblApplications[Besoin ROKS RAM (Go)],TblApplications[Cluster ROKS cible],$F502,TblApplications[Action],"À migrer",TblApplications[Déjà incluse ROKS],"Non",TblApplications[Mois prov (calc)],"&lt;="&amp;$E502),SUMIFS(TblApplications[RAM IKS libérable (Go)],TblApplications[Cluster IKS source],$F502,TblApplications[Mois lib (calc)],"&lt;="&amp;$E502)))</f>
        <v/>
      </c>
      <c r="R502" s="19" t="str">
        <f t="shared" si="122"/>
        <v/>
      </c>
      <c r="S502" s="19" t="str">
        <f t="shared" si="123"/>
        <v/>
      </c>
      <c r="T502" s="19" t="str">
        <f t="shared" si="124"/>
        <v/>
      </c>
      <c r="U502" s="19" t="str">
        <f t="shared" si="125"/>
        <v/>
      </c>
      <c r="V502" s="19" t="str">
        <f t="shared" si="126"/>
        <v/>
      </c>
      <c r="W502" s="73" t="str">
        <f t="shared" si="127"/>
        <v/>
      </c>
      <c r="X502" s="19" t="str">
        <f>IF($D502&lt;&gt;1,"",IF($G502="ROKS",$R502,IF($AI502=1,0,MAX($N502,$L502-SUMIFS(TblApplications[CPU IKS libérable (vCPU)],TblApplications[Cluster IKS source],$F502,TblApplications[Action],"À migrer",TblApplications[Mois prov (calc)],"&lt;="&amp;$E502)-SUMIFS(TblApplications[CPU IKS libérable (vCPU)],TblApplications[Cluster IKS source],$F502,TblApplications[Action],"À décommissionner",TblApplications[Mois lib (calc)],"&lt;="&amp;$E502)))))</f>
        <v/>
      </c>
      <c r="Y502" s="19" t="str">
        <f>IF($D502&lt;&gt;1,"",IF($G502="ROKS",$S502,IF($AI502=1,0,MAX($O502,$M502-SUMIFS(TblApplications[RAM IKS libérable (Go)],TblApplications[Cluster IKS source],$F502,TblApplications[Action],"À migrer",TblApplications[Mois prov (calc)],"&lt;="&amp;$E502)-SUMIFS(TblApplications[RAM IKS libérable (Go)],TblApplications[Cluster IKS source],$F502,TblApplications[Action],"À décommissionner",TblApplications[Mois lib (calc)],"&lt;="&amp;$E502)))))</f>
        <v/>
      </c>
      <c r="Z502" s="19" t="str">
        <f t="shared" si="128"/>
        <v/>
      </c>
      <c r="AA502" s="73" t="str">
        <f t="shared" si="129"/>
        <v/>
      </c>
      <c r="AB502" s="19" t="str">
        <f t="shared" si="130"/>
        <v/>
      </c>
      <c r="AC502" s="73" t="str">
        <f t="shared" si="131"/>
        <v/>
      </c>
      <c r="AD502" s="19" t="str">
        <f t="shared" si="132"/>
        <v/>
      </c>
      <c r="AE502" s="19" t="str">
        <f t="shared" si="133"/>
        <v/>
      </c>
      <c r="AF502" s="19" t="str">
        <f>IF($D502&lt;&gt;1,"",IF(INDEX(TblClusters[Environnement],$B502)="","(vide)",INDEX(TblClusters[Environnement],$B502)))</f>
        <v/>
      </c>
      <c r="AG502" s="19" t="str">
        <f t="shared" si="134"/>
        <v/>
      </c>
      <c r="AH502" s="19" t="str">
        <f t="shared" si="135"/>
        <v/>
      </c>
      <c r="AI502" s="19" t="str">
        <f>IF($D502&lt;&gt;1,"",IF(AND($G502="IKS",ISNUMBER(INDEX(TblClusters[Fermeture retenue],$B502))),IF($E502&gt;=INDEX(TblClusters[Fermeture retenue],$B502),1,0),0))</f>
        <v/>
      </c>
    </row>
    <row r="503" spans="1:35" x14ac:dyDescent="0.2">
      <c r="A503" s="19">
        <v>498</v>
      </c>
      <c r="B503" s="19">
        <f t="shared" si="119"/>
        <v>14</v>
      </c>
      <c r="C503" s="19">
        <f t="shared" si="120"/>
        <v>30</v>
      </c>
      <c r="D503" s="19">
        <f>IF($C503&gt;p_horizon,0,IFERROR(IF(AND(INDEX(TblClusters[Cluster],$B503)&lt;&gt;"",ISNUMBER(INDEX(TblClusters[CPU initial (vCPU)],$B503)),ISNUMBER(INDEX(TblClusters[CPU min (vCPU)],$B503)),OR(INDEX(TblClusters[Plateforme],$B503)="IKS",INDEX(TblClusters[Plateforme],$B503)="ROKS")),1,0),0))</f>
        <v>0</v>
      </c>
      <c r="E503" s="72" t="str">
        <f t="shared" si="121"/>
        <v/>
      </c>
      <c r="F503" s="19" t="str">
        <f>IF($D503=1,INDEX(TblClusters[Cluster],$B503),"")</f>
        <v/>
      </c>
      <c r="G503" s="19" t="str">
        <f>IF($D503=1,INDEX(TblClusters[Plateforme],$B503),"")</f>
        <v/>
      </c>
      <c r="H503" s="19" t="str">
        <f>IF($D503=1,INDEX(TblClusters[vCPU par nœud],$B503),"")</f>
        <v/>
      </c>
      <c r="I503" s="19" t="str">
        <f>IF($D503=1,INDEX(TblClusters[RAM par nœud (Go)],$B503),"")</f>
        <v/>
      </c>
      <c r="J503" s="19" t="str">
        <f>IF($D503=1,INDEX(TblClusters[Workers min],$B503),"")</f>
        <v/>
      </c>
      <c r="K503" s="73" t="str">
        <f>IF($D503=1,INDEX(TblClusters[Tarif par nœud],$B503),"")</f>
        <v/>
      </c>
      <c r="L503" s="19" t="str">
        <f>IF($D503=1,INDEX(TblClusters[CPU initial (vCPU)],$B503),"")</f>
        <v/>
      </c>
      <c r="M503" s="19" t="str">
        <f>IF($D503=1,INDEX(TblClusters[RAM initiale (Go)],$B503),"")</f>
        <v/>
      </c>
      <c r="N503" s="19" t="str">
        <f>IF($D503=1,INDEX(TblClusters[CPU min (vCPU)],$B503),"")</f>
        <v/>
      </c>
      <c r="O503" s="19" t="str">
        <f>IF($D503=1,INDEX(TblClusters[RAM min (Go)],$B503),"")</f>
        <v/>
      </c>
      <c r="P503" s="19" t="str">
        <f>IF($D503&lt;&gt;1,"",IF($G503="ROKS",SUMIFS(TblApplications[Besoin ROKS CPU (vCPU)],TblApplications[Cluster ROKS cible],$F503,TblApplications[Action],"À migrer",TblApplications[Déjà incluse ROKS],"Non",TblApplications[Mois prov (calc)],"&lt;="&amp;$E503),SUMIFS(TblApplications[CPU IKS libérable (vCPU)],TblApplications[Cluster IKS source],$F503,TblApplications[Mois lib (calc)],"&lt;="&amp;$E503)))</f>
        <v/>
      </c>
      <c r="Q503" s="19" t="str">
        <f>IF($D503&lt;&gt;1,"",IF($G503="ROKS",SUMIFS(TblApplications[Besoin ROKS RAM (Go)],TblApplications[Cluster ROKS cible],$F503,TblApplications[Action],"À migrer",TblApplications[Déjà incluse ROKS],"Non",TblApplications[Mois prov (calc)],"&lt;="&amp;$E503),SUMIFS(TblApplications[RAM IKS libérable (Go)],TblApplications[Cluster IKS source],$F503,TblApplications[Mois lib (calc)],"&lt;="&amp;$E503)))</f>
        <v/>
      </c>
      <c r="R503" s="19" t="str">
        <f t="shared" si="122"/>
        <v/>
      </c>
      <c r="S503" s="19" t="str">
        <f t="shared" si="123"/>
        <v/>
      </c>
      <c r="T503" s="19" t="str">
        <f t="shared" si="124"/>
        <v/>
      </c>
      <c r="U503" s="19" t="str">
        <f t="shared" si="125"/>
        <v/>
      </c>
      <c r="V503" s="19" t="str">
        <f t="shared" si="126"/>
        <v/>
      </c>
      <c r="W503" s="73" t="str">
        <f t="shared" si="127"/>
        <v/>
      </c>
      <c r="X503" s="19" t="str">
        <f>IF($D503&lt;&gt;1,"",IF($G503="ROKS",$R503,IF($AI503=1,0,MAX($N503,$L503-SUMIFS(TblApplications[CPU IKS libérable (vCPU)],TblApplications[Cluster IKS source],$F503,TblApplications[Action],"À migrer",TblApplications[Mois prov (calc)],"&lt;="&amp;$E503)-SUMIFS(TblApplications[CPU IKS libérable (vCPU)],TblApplications[Cluster IKS source],$F503,TblApplications[Action],"À décommissionner",TblApplications[Mois lib (calc)],"&lt;="&amp;$E503)))))</f>
        <v/>
      </c>
      <c r="Y503" s="19" t="str">
        <f>IF($D503&lt;&gt;1,"",IF($G503="ROKS",$S503,IF($AI503=1,0,MAX($O503,$M503-SUMIFS(TblApplications[RAM IKS libérable (Go)],TblApplications[Cluster IKS source],$F503,TblApplications[Action],"À migrer",TblApplications[Mois prov (calc)],"&lt;="&amp;$E503)-SUMIFS(TblApplications[RAM IKS libérable (Go)],TblApplications[Cluster IKS source],$F503,TblApplications[Action],"À décommissionner",TblApplications[Mois lib (calc)],"&lt;="&amp;$E503)))))</f>
        <v/>
      </c>
      <c r="Z503" s="19" t="str">
        <f t="shared" si="128"/>
        <v/>
      </c>
      <c r="AA503" s="73" t="str">
        <f t="shared" si="129"/>
        <v/>
      </c>
      <c r="AB503" s="19" t="str">
        <f t="shared" si="130"/>
        <v/>
      </c>
      <c r="AC503" s="73" t="str">
        <f t="shared" si="131"/>
        <v/>
      </c>
      <c r="AD503" s="19" t="str">
        <f t="shared" si="132"/>
        <v/>
      </c>
      <c r="AE503" s="19" t="str">
        <f t="shared" si="133"/>
        <v/>
      </c>
      <c r="AF503" s="19" t="str">
        <f>IF($D503&lt;&gt;1,"",IF(INDEX(TblClusters[Environnement],$B503)="","(vide)",INDEX(TblClusters[Environnement],$B503)))</f>
        <v/>
      </c>
      <c r="AG503" s="19" t="str">
        <f t="shared" si="134"/>
        <v/>
      </c>
      <c r="AH503" s="19" t="str">
        <f t="shared" si="135"/>
        <v/>
      </c>
      <c r="AI503" s="19" t="str">
        <f>IF($D503&lt;&gt;1,"",IF(AND($G503="IKS",ISNUMBER(INDEX(TblClusters[Fermeture retenue],$B503))),IF($E503&gt;=INDEX(TblClusters[Fermeture retenue],$B503),1,0),0))</f>
        <v/>
      </c>
    </row>
    <row r="504" spans="1:35" x14ac:dyDescent="0.2">
      <c r="A504" s="19">
        <v>499</v>
      </c>
      <c r="B504" s="19">
        <f t="shared" si="119"/>
        <v>14</v>
      </c>
      <c r="C504" s="19">
        <f t="shared" si="120"/>
        <v>31</v>
      </c>
      <c r="D504" s="19">
        <f>IF($C504&gt;p_horizon,0,IFERROR(IF(AND(INDEX(TblClusters[Cluster],$B504)&lt;&gt;"",ISNUMBER(INDEX(TblClusters[CPU initial (vCPU)],$B504)),ISNUMBER(INDEX(TblClusters[CPU min (vCPU)],$B504)),OR(INDEX(TblClusters[Plateforme],$B504)="IKS",INDEX(TblClusters[Plateforme],$B504)="ROKS")),1,0),0))</f>
        <v>0</v>
      </c>
      <c r="E504" s="72" t="str">
        <f t="shared" si="121"/>
        <v/>
      </c>
      <c r="F504" s="19" t="str">
        <f>IF($D504=1,INDEX(TblClusters[Cluster],$B504),"")</f>
        <v/>
      </c>
      <c r="G504" s="19" t="str">
        <f>IF($D504=1,INDEX(TblClusters[Plateforme],$B504),"")</f>
        <v/>
      </c>
      <c r="H504" s="19" t="str">
        <f>IF($D504=1,INDEX(TblClusters[vCPU par nœud],$B504),"")</f>
        <v/>
      </c>
      <c r="I504" s="19" t="str">
        <f>IF($D504=1,INDEX(TblClusters[RAM par nœud (Go)],$B504),"")</f>
        <v/>
      </c>
      <c r="J504" s="19" t="str">
        <f>IF($D504=1,INDEX(TblClusters[Workers min],$B504),"")</f>
        <v/>
      </c>
      <c r="K504" s="73" t="str">
        <f>IF($D504=1,INDEX(TblClusters[Tarif par nœud],$B504),"")</f>
        <v/>
      </c>
      <c r="L504" s="19" t="str">
        <f>IF($D504=1,INDEX(TblClusters[CPU initial (vCPU)],$B504),"")</f>
        <v/>
      </c>
      <c r="M504" s="19" t="str">
        <f>IF($D504=1,INDEX(TblClusters[RAM initiale (Go)],$B504),"")</f>
        <v/>
      </c>
      <c r="N504" s="19" t="str">
        <f>IF($D504=1,INDEX(TblClusters[CPU min (vCPU)],$B504),"")</f>
        <v/>
      </c>
      <c r="O504" s="19" t="str">
        <f>IF($D504=1,INDEX(TblClusters[RAM min (Go)],$B504),"")</f>
        <v/>
      </c>
      <c r="P504" s="19" t="str">
        <f>IF($D504&lt;&gt;1,"",IF($G504="ROKS",SUMIFS(TblApplications[Besoin ROKS CPU (vCPU)],TblApplications[Cluster ROKS cible],$F504,TblApplications[Action],"À migrer",TblApplications[Déjà incluse ROKS],"Non",TblApplications[Mois prov (calc)],"&lt;="&amp;$E504),SUMIFS(TblApplications[CPU IKS libérable (vCPU)],TblApplications[Cluster IKS source],$F504,TblApplications[Mois lib (calc)],"&lt;="&amp;$E504)))</f>
        <v/>
      </c>
      <c r="Q504" s="19" t="str">
        <f>IF($D504&lt;&gt;1,"",IF($G504="ROKS",SUMIFS(TblApplications[Besoin ROKS RAM (Go)],TblApplications[Cluster ROKS cible],$F504,TblApplications[Action],"À migrer",TblApplications[Déjà incluse ROKS],"Non",TblApplications[Mois prov (calc)],"&lt;="&amp;$E504),SUMIFS(TblApplications[RAM IKS libérable (Go)],TblApplications[Cluster IKS source],$F504,TblApplications[Mois lib (calc)],"&lt;="&amp;$E504)))</f>
        <v/>
      </c>
      <c r="R504" s="19" t="str">
        <f t="shared" si="122"/>
        <v/>
      </c>
      <c r="S504" s="19" t="str">
        <f t="shared" si="123"/>
        <v/>
      </c>
      <c r="T504" s="19" t="str">
        <f t="shared" si="124"/>
        <v/>
      </c>
      <c r="U504" s="19" t="str">
        <f t="shared" si="125"/>
        <v/>
      </c>
      <c r="V504" s="19" t="str">
        <f t="shared" si="126"/>
        <v/>
      </c>
      <c r="W504" s="73" t="str">
        <f t="shared" si="127"/>
        <v/>
      </c>
      <c r="X504" s="19" t="str">
        <f>IF($D504&lt;&gt;1,"",IF($G504="ROKS",$R504,IF($AI504=1,0,MAX($N504,$L504-SUMIFS(TblApplications[CPU IKS libérable (vCPU)],TblApplications[Cluster IKS source],$F504,TblApplications[Action],"À migrer",TblApplications[Mois prov (calc)],"&lt;="&amp;$E504)-SUMIFS(TblApplications[CPU IKS libérable (vCPU)],TblApplications[Cluster IKS source],$F504,TblApplications[Action],"À décommissionner",TblApplications[Mois lib (calc)],"&lt;="&amp;$E504)))))</f>
        <v/>
      </c>
      <c r="Y504" s="19" t="str">
        <f>IF($D504&lt;&gt;1,"",IF($G504="ROKS",$S504,IF($AI504=1,0,MAX($O504,$M504-SUMIFS(TblApplications[RAM IKS libérable (Go)],TblApplications[Cluster IKS source],$F504,TblApplications[Action],"À migrer",TblApplications[Mois prov (calc)],"&lt;="&amp;$E504)-SUMIFS(TblApplications[RAM IKS libérable (Go)],TblApplications[Cluster IKS source],$F504,TblApplications[Action],"À décommissionner",TblApplications[Mois lib (calc)],"&lt;="&amp;$E504)))))</f>
        <v/>
      </c>
      <c r="Z504" s="19" t="str">
        <f t="shared" si="128"/>
        <v/>
      </c>
      <c r="AA504" s="73" t="str">
        <f t="shared" si="129"/>
        <v/>
      </c>
      <c r="AB504" s="19" t="str">
        <f t="shared" si="130"/>
        <v/>
      </c>
      <c r="AC504" s="73" t="str">
        <f t="shared" si="131"/>
        <v/>
      </c>
      <c r="AD504" s="19" t="str">
        <f t="shared" si="132"/>
        <v/>
      </c>
      <c r="AE504" s="19" t="str">
        <f t="shared" si="133"/>
        <v/>
      </c>
      <c r="AF504" s="19" t="str">
        <f>IF($D504&lt;&gt;1,"",IF(INDEX(TblClusters[Environnement],$B504)="","(vide)",INDEX(TblClusters[Environnement],$B504)))</f>
        <v/>
      </c>
      <c r="AG504" s="19" t="str">
        <f t="shared" si="134"/>
        <v/>
      </c>
      <c r="AH504" s="19" t="str">
        <f t="shared" si="135"/>
        <v/>
      </c>
      <c r="AI504" s="19" t="str">
        <f>IF($D504&lt;&gt;1,"",IF(AND($G504="IKS",ISNUMBER(INDEX(TblClusters[Fermeture retenue],$B504))),IF($E504&gt;=INDEX(TblClusters[Fermeture retenue],$B504),1,0),0))</f>
        <v/>
      </c>
    </row>
    <row r="505" spans="1:35" x14ac:dyDescent="0.2">
      <c r="A505" s="19">
        <v>500</v>
      </c>
      <c r="B505" s="19">
        <f t="shared" si="119"/>
        <v>14</v>
      </c>
      <c r="C505" s="19">
        <f t="shared" si="120"/>
        <v>32</v>
      </c>
      <c r="D505" s="19">
        <f>IF($C505&gt;p_horizon,0,IFERROR(IF(AND(INDEX(TblClusters[Cluster],$B505)&lt;&gt;"",ISNUMBER(INDEX(TblClusters[CPU initial (vCPU)],$B505)),ISNUMBER(INDEX(TblClusters[CPU min (vCPU)],$B505)),OR(INDEX(TblClusters[Plateforme],$B505)="IKS",INDEX(TblClusters[Plateforme],$B505)="ROKS")),1,0),0))</f>
        <v>0</v>
      </c>
      <c r="E505" s="72" t="str">
        <f t="shared" si="121"/>
        <v/>
      </c>
      <c r="F505" s="19" t="str">
        <f>IF($D505=1,INDEX(TblClusters[Cluster],$B505),"")</f>
        <v/>
      </c>
      <c r="G505" s="19" t="str">
        <f>IF($D505=1,INDEX(TblClusters[Plateforme],$B505),"")</f>
        <v/>
      </c>
      <c r="H505" s="19" t="str">
        <f>IF($D505=1,INDEX(TblClusters[vCPU par nœud],$B505),"")</f>
        <v/>
      </c>
      <c r="I505" s="19" t="str">
        <f>IF($D505=1,INDEX(TblClusters[RAM par nœud (Go)],$B505),"")</f>
        <v/>
      </c>
      <c r="J505" s="19" t="str">
        <f>IF($D505=1,INDEX(TblClusters[Workers min],$B505),"")</f>
        <v/>
      </c>
      <c r="K505" s="73" t="str">
        <f>IF($D505=1,INDEX(TblClusters[Tarif par nœud],$B505),"")</f>
        <v/>
      </c>
      <c r="L505" s="19" t="str">
        <f>IF($D505=1,INDEX(TblClusters[CPU initial (vCPU)],$B505),"")</f>
        <v/>
      </c>
      <c r="M505" s="19" t="str">
        <f>IF($D505=1,INDEX(TblClusters[RAM initiale (Go)],$B505),"")</f>
        <v/>
      </c>
      <c r="N505" s="19" t="str">
        <f>IF($D505=1,INDEX(TblClusters[CPU min (vCPU)],$B505),"")</f>
        <v/>
      </c>
      <c r="O505" s="19" t="str">
        <f>IF($D505=1,INDEX(TblClusters[RAM min (Go)],$B505),"")</f>
        <v/>
      </c>
      <c r="P505" s="19" t="str">
        <f>IF($D505&lt;&gt;1,"",IF($G505="ROKS",SUMIFS(TblApplications[Besoin ROKS CPU (vCPU)],TblApplications[Cluster ROKS cible],$F505,TblApplications[Action],"À migrer",TblApplications[Déjà incluse ROKS],"Non",TblApplications[Mois prov (calc)],"&lt;="&amp;$E505),SUMIFS(TblApplications[CPU IKS libérable (vCPU)],TblApplications[Cluster IKS source],$F505,TblApplications[Mois lib (calc)],"&lt;="&amp;$E505)))</f>
        <v/>
      </c>
      <c r="Q505" s="19" t="str">
        <f>IF($D505&lt;&gt;1,"",IF($G505="ROKS",SUMIFS(TblApplications[Besoin ROKS RAM (Go)],TblApplications[Cluster ROKS cible],$F505,TblApplications[Action],"À migrer",TblApplications[Déjà incluse ROKS],"Non",TblApplications[Mois prov (calc)],"&lt;="&amp;$E505),SUMIFS(TblApplications[RAM IKS libérable (Go)],TblApplications[Cluster IKS source],$F505,TblApplications[Mois lib (calc)],"&lt;="&amp;$E505)))</f>
        <v/>
      </c>
      <c r="R505" s="19" t="str">
        <f t="shared" si="122"/>
        <v/>
      </c>
      <c r="S505" s="19" t="str">
        <f t="shared" si="123"/>
        <v/>
      </c>
      <c r="T505" s="19" t="str">
        <f t="shared" si="124"/>
        <v/>
      </c>
      <c r="U505" s="19" t="str">
        <f t="shared" si="125"/>
        <v/>
      </c>
      <c r="V505" s="19" t="str">
        <f t="shared" si="126"/>
        <v/>
      </c>
      <c r="W505" s="73" t="str">
        <f t="shared" si="127"/>
        <v/>
      </c>
      <c r="X505" s="19" t="str">
        <f>IF($D505&lt;&gt;1,"",IF($G505="ROKS",$R505,IF($AI505=1,0,MAX($N505,$L505-SUMIFS(TblApplications[CPU IKS libérable (vCPU)],TblApplications[Cluster IKS source],$F505,TblApplications[Action],"À migrer",TblApplications[Mois prov (calc)],"&lt;="&amp;$E505)-SUMIFS(TblApplications[CPU IKS libérable (vCPU)],TblApplications[Cluster IKS source],$F505,TblApplications[Action],"À décommissionner",TblApplications[Mois lib (calc)],"&lt;="&amp;$E505)))))</f>
        <v/>
      </c>
      <c r="Y505" s="19" t="str">
        <f>IF($D505&lt;&gt;1,"",IF($G505="ROKS",$S505,IF($AI505=1,0,MAX($O505,$M505-SUMIFS(TblApplications[RAM IKS libérable (Go)],TblApplications[Cluster IKS source],$F505,TblApplications[Action],"À migrer",TblApplications[Mois prov (calc)],"&lt;="&amp;$E505)-SUMIFS(TblApplications[RAM IKS libérable (Go)],TblApplications[Cluster IKS source],$F505,TblApplications[Action],"À décommissionner",TblApplications[Mois lib (calc)],"&lt;="&amp;$E505)))))</f>
        <v/>
      </c>
      <c r="Z505" s="19" t="str">
        <f t="shared" si="128"/>
        <v/>
      </c>
      <c r="AA505" s="73" t="str">
        <f t="shared" si="129"/>
        <v/>
      </c>
      <c r="AB505" s="19" t="str">
        <f t="shared" si="130"/>
        <v/>
      </c>
      <c r="AC505" s="73" t="str">
        <f t="shared" si="131"/>
        <v/>
      </c>
      <c r="AD505" s="19" t="str">
        <f t="shared" si="132"/>
        <v/>
      </c>
      <c r="AE505" s="19" t="str">
        <f t="shared" si="133"/>
        <v/>
      </c>
      <c r="AF505" s="19" t="str">
        <f>IF($D505&lt;&gt;1,"",IF(INDEX(TblClusters[Environnement],$B505)="","(vide)",INDEX(TblClusters[Environnement],$B505)))</f>
        <v/>
      </c>
      <c r="AG505" s="19" t="str">
        <f t="shared" si="134"/>
        <v/>
      </c>
      <c r="AH505" s="19" t="str">
        <f t="shared" si="135"/>
        <v/>
      </c>
      <c r="AI505" s="19" t="str">
        <f>IF($D505&lt;&gt;1,"",IF(AND($G505="IKS",ISNUMBER(INDEX(TblClusters[Fermeture retenue],$B505))),IF($E505&gt;=INDEX(TblClusters[Fermeture retenue],$B505),1,0),0))</f>
        <v/>
      </c>
    </row>
    <row r="506" spans="1:35" x14ac:dyDescent="0.2">
      <c r="A506" s="19">
        <v>501</v>
      </c>
      <c r="B506" s="19">
        <f t="shared" si="119"/>
        <v>14</v>
      </c>
      <c r="C506" s="19">
        <f t="shared" si="120"/>
        <v>33</v>
      </c>
      <c r="D506" s="19">
        <f>IF($C506&gt;p_horizon,0,IFERROR(IF(AND(INDEX(TblClusters[Cluster],$B506)&lt;&gt;"",ISNUMBER(INDEX(TblClusters[CPU initial (vCPU)],$B506)),ISNUMBER(INDEX(TblClusters[CPU min (vCPU)],$B506)),OR(INDEX(TblClusters[Plateforme],$B506)="IKS",INDEX(TblClusters[Plateforme],$B506)="ROKS")),1,0),0))</f>
        <v>0</v>
      </c>
      <c r="E506" s="72" t="str">
        <f t="shared" si="121"/>
        <v/>
      </c>
      <c r="F506" s="19" t="str">
        <f>IF($D506=1,INDEX(TblClusters[Cluster],$B506),"")</f>
        <v/>
      </c>
      <c r="G506" s="19" t="str">
        <f>IF($D506=1,INDEX(TblClusters[Plateforme],$B506),"")</f>
        <v/>
      </c>
      <c r="H506" s="19" t="str">
        <f>IF($D506=1,INDEX(TblClusters[vCPU par nœud],$B506),"")</f>
        <v/>
      </c>
      <c r="I506" s="19" t="str">
        <f>IF($D506=1,INDEX(TblClusters[RAM par nœud (Go)],$B506),"")</f>
        <v/>
      </c>
      <c r="J506" s="19" t="str">
        <f>IF($D506=1,INDEX(TblClusters[Workers min],$B506),"")</f>
        <v/>
      </c>
      <c r="K506" s="73" t="str">
        <f>IF($D506=1,INDEX(TblClusters[Tarif par nœud],$B506),"")</f>
        <v/>
      </c>
      <c r="L506" s="19" t="str">
        <f>IF($D506=1,INDEX(TblClusters[CPU initial (vCPU)],$B506),"")</f>
        <v/>
      </c>
      <c r="M506" s="19" t="str">
        <f>IF($D506=1,INDEX(TblClusters[RAM initiale (Go)],$B506),"")</f>
        <v/>
      </c>
      <c r="N506" s="19" t="str">
        <f>IF($D506=1,INDEX(TblClusters[CPU min (vCPU)],$B506),"")</f>
        <v/>
      </c>
      <c r="O506" s="19" t="str">
        <f>IF($D506=1,INDEX(TblClusters[RAM min (Go)],$B506),"")</f>
        <v/>
      </c>
      <c r="P506" s="19" t="str">
        <f>IF($D506&lt;&gt;1,"",IF($G506="ROKS",SUMIFS(TblApplications[Besoin ROKS CPU (vCPU)],TblApplications[Cluster ROKS cible],$F506,TblApplications[Action],"À migrer",TblApplications[Déjà incluse ROKS],"Non",TblApplications[Mois prov (calc)],"&lt;="&amp;$E506),SUMIFS(TblApplications[CPU IKS libérable (vCPU)],TblApplications[Cluster IKS source],$F506,TblApplications[Mois lib (calc)],"&lt;="&amp;$E506)))</f>
        <v/>
      </c>
      <c r="Q506" s="19" t="str">
        <f>IF($D506&lt;&gt;1,"",IF($G506="ROKS",SUMIFS(TblApplications[Besoin ROKS RAM (Go)],TblApplications[Cluster ROKS cible],$F506,TblApplications[Action],"À migrer",TblApplications[Déjà incluse ROKS],"Non",TblApplications[Mois prov (calc)],"&lt;="&amp;$E506),SUMIFS(TblApplications[RAM IKS libérable (Go)],TblApplications[Cluster IKS source],$F506,TblApplications[Mois lib (calc)],"&lt;="&amp;$E506)))</f>
        <v/>
      </c>
      <c r="R506" s="19" t="str">
        <f t="shared" si="122"/>
        <v/>
      </c>
      <c r="S506" s="19" t="str">
        <f t="shared" si="123"/>
        <v/>
      </c>
      <c r="T506" s="19" t="str">
        <f t="shared" si="124"/>
        <v/>
      </c>
      <c r="U506" s="19" t="str">
        <f t="shared" si="125"/>
        <v/>
      </c>
      <c r="V506" s="19" t="str">
        <f t="shared" si="126"/>
        <v/>
      </c>
      <c r="W506" s="73" t="str">
        <f t="shared" si="127"/>
        <v/>
      </c>
      <c r="X506" s="19" t="str">
        <f>IF($D506&lt;&gt;1,"",IF($G506="ROKS",$R506,IF($AI506=1,0,MAX($N506,$L506-SUMIFS(TblApplications[CPU IKS libérable (vCPU)],TblApplications[Cluster IKS source],$F506,TblApplications[Action],"À migrer",TblApplications[Mois prov (calc)],"&lt;="&amp;$E506)-SUMIFS(TblApplications[CPU IKS libérable (vCPU)],TblApplications[Cluster IKS source],$F506,TblApplications[Action],"À décommissionner",TblApplications[Mois lib (calc)],"&lt;="&amp;$E506)))))</f>
        <v/>
      </c>
      <c r="Y506" s="19" t="str">
        <f>IF($D506&lt;&gt;1,"",IF($G506="ROKS",$S506,IF($AI506=1,0,MAX($O506,$M506-SUMIFS(TblApplications[RAM IKS libérable (Go)],TblApplications[Cluster IKS source],$F506,TblApplications[Action],"À migrer",TblApplications[Mois prov (calc)],"&lt;="&amp;$E506)-SUMIFS(TblApplications[RAM IKS libérable (Go)],TblApplications[Cluster IKS source],$F506,TblApplications[Action],"À décommissionner",TblApplications[Mois lib (calc)],"&lt;="&amp;$E506)))))</f>
        <v/>
      </c>
      <c r="Z506" s="19" t="str">
        <f t="shared" si="128"/>
        <v/>
      </c>
      <c r="AA506" s="73" t="str">
        <f t="shared" si="129"/>
        <v/>
      </c>
      <c r="AB506" s="19" t="str">
        <f t="shared" si="130"/>
        <v/>
      </c>
      <c r="AC506" s="73" t="str">
        <f t="shared" si="131"/>
        <v/>
      </c>
      <c r="AD506" s="19" t="str">
        <f t="shared" si="132"/>
        <v/>
      </c>
      <c r="AE506" s="19" t="str">
        <f t="shared" si="133"/>
        <v/>
      </c>
      <c r="AF506" s="19" t="str">
        <f>IF($D506&lt;&gt;1,"",IF(INDEX(TblClusters[Environnement],$B506)="","(vide)",INDEX(TblClusters[Environnement],$B506)))</f>
        <v/>
      </c>
      <c r="AG506" s="19" t="str">
        <f t="shared" si="134"/>
        <v/>
      </c>
      <c r="AH506" s="19" t="str">
        <f t="shared" si="135"/>
        <v/>
      </c>
      <c r="AI506" s="19" t="str">
        <f>IF($D506&lt;&gt;1,"",IF(AND($G506="IKS",ISNUMBER(INDEX(TblClusters[Fermeture retenue],$B506))),IF($E506&gt;=INDEX(TblClusters[Fermeture retenue],$B506),1,0),0))</f>
        <v/>
      </c>
    </row>
    <row r="507" spans="1:35" x14ac:dyDescent="0.2">
      <c r="A507" s="19">
        <v>502</v>
      </c>
      <c r="B507" s="19">
        <f t="shared" si="119"/>
        <v>14</v>
      </c>
      <c r="C507" s="19">
        <f t="shared" si="120"/>
        <v>34</v>
      </c>
      <c r="D507" s="19">
        <f>IF($C507&gt;p_horizon,0,IFERROR(IF(AND(INDEX(TblClusters[Cluster],$B507)&lt;&gt;"",ISNUMBER(INDEX(TblClusters[CPU initial (vCPU)],$B507)),ISNUMBER(INDEX(TblClusters[CPU min (vCPU)],$B507)),OR(INDEX(TblClusters[Plateforme],$B507)="IKS",INDEX(TblClusters[Plateforme],$B507)="ROKS")),1,0),0))</f>
        <v>0</v>
      </c>
      <c r="E507" s="72" t="str">
        <f t="shared" si="121"/>
        <v/>
      </c>
      <c r="F507" s="19" t="str">
        <f>IF($D507=1,INDEX(TblClusters[Cluster],$B507),"")</f>
        <v/>
      </c>
      <c r="G507" s="19" t="str">
        <f>IF($D507=1,INDEX(TblClusters[Plateforme],$B507),"")</f>
        <v/>
      </c>
      <c r="H507" s="19" t="str">
        <f>IF($D507=1,INDEX(TblClusters[vCPU par nœud],$B507),"")</f>
        <v/>
      </c>
      <c r="I507" s="19" t="str">
        <f>IF($D507=1,INDEX(TblClusters[RAM par nœud (Go)],$B507),"")</f>
        <v/>
      </c>
      <c r="J507" s="19" t="str">
        <f>IF($D507=1,INDEX(TblClusters[Workers min],$B507),"")</f>
        <v/>
      </c>
      <c r="K507" s="73" t="str">
        <f>IF($D507=1,INDEX(TblClusters[Tarif par nœud],$B507),"")</f>
        <v/>
      </c>
      <c r="L507" s="19" t="str">
        <f>IF($D507=1,INDEX(TblClusters[CPU initial (vCPU)],$B507),"")</f>
        <v/>
      </c>
      <c r="M507" s="19" t="str">
        <f>IF($D507=1,INDEX(TblClusters[RAM initiale (Go)],$B507),"")</f>
        <v/>
      </c>
      <c r="N507" s="19" t="str">
        <f>IF($D507=1,INDEX(TblClusters[CPU min (vCPU)],$B507),"")</f>
        <v/>
      </c>
      <c r="O507" s="19" t="str">
        <f>IF($D507=1,INDEX(TblClusters[RAM min (Go)],$B507),"")</f>
        <v/>
      </c>
      <c r="P507" s="19" t="str">
        <f>IF($D507&lt;&gt;1,"",IF($G507="ROKS",SUMIFS(TblApplications[Besoin ROKS CPU (vCPU)],TblApplications[Cluster ROKS cible],$F507,TblApplications[Action],"À migrer",TblApplications[Déjà incluse ROKS],"Non",TblApplications[Mois prov (calc)],"&lt;="&amp;$E507),SUMIFS(TblApplications[CPU IKS libérable (vCPU)],TblApplications[Cluster IKS source],$F507,TblApplications[Mois lib (calc)],"&lt;="&amp;$E507)))</f>
        <v/>
      </c>
      <c r="Q507" s="19" t="str">
        <f>IF($D507&lt;&gt;1,"",IF($G507="ROKS",SUMIFS(TblApplications[Besoin ROKS RAM (Go)],TblApplications[Cluster ROKS cible],$F507,TblApplications[Action],"À migrer",TblApplications[Déjà incluse ROKS],"Non",TblApplications[Mois prov (calc)],"&lt;="&amp;$E507),SUMIFS(TblApplications[RAM IKS libérable (Go)],TblApplications[Cluster IKS source],$F507,TblApplications[Mois lib (calc)],"&lt;="&amp;$E507)))</f>
        <v/>
      </c>
      <c r="R507" s="19" t="str">
        <f t="shared" si="122"/>
        <v/>
      </c>
      <c r="S507" s="19" t="str">
        <f t="shared" si="123"/>
        <v/>
      </c>
      <c r="T507" s="19" t="str">
        <f t="shared" si="124"/>
        <v/>
      </c>
      <c r="U507" s="19" t="str">
        <f t="shared" si="125"/>
        <v/>
      </c>
      <c r="V507" s="19" t="str">
        <f t="shared" si="126"/>
        <v/>
      </c>
      <c r="W507" s="73" t="str">
        <f t="shared" si="127"/>
        <v/>
      </c>
      <c r="X507" s="19" t="str">
        <f>IF($D507&lt;&gt;1,"",IF($G507="ROKS",$R507,IF($AI507=1,0,MAX($N507,$L507-SUMIFS(TblApplications[CPU IKS libérable (vCPU)],TblApplications[Cluster IKS source],$F507,TblApplications[Action],"À migrer",TblApplications[Mois prov (calc)],"&lt;="&amp;$E507)-SUMIFS(TblApplications[CPU IKS libérable (vCPU)],TblApplications[Cluster IKS source],$F507,TblApplications[Action],"À décommissionner",TblApplications[Mois lib (calc)],"&lt;="&amp;$E507)))))</f>
        <v/>
      </c>
      <c r="Y507" s="19" t="str">
        <f>IF($D507&lt;&gt;1,"",IF($G507="ROKS",$S507,IF($AI507=1,0,MAX($O507,$M507-SUMIFS(TblApplications[RAM IKS libérable (Go)],TblApplications[Cluster IKS source],$F507,TblApplications[Action],"À migrer",TblApplications[Mois prov (calc)],"&lt;="&amp;$E507)-SUMIFS(TblApplications[RAM IKS libérable (Go)],TblApplications[Cluster IKS source],$F507,TblApplications[Action],"À décommissionner",TblApplications[Mois lib (calc)],"&lt;="&amp;$E507)))))</f>
        <v/>
      </c>
      <c r="Z507" s="19" t="str">
        <f t="shared" si="128"/>
        <v/>
      </c>
      <c r="AA507" s="73" t="str">
        <f t="shared" si="129"/>
        <v/>
      </c>
      <c r="AB507" s="19" t="str">
        <f t="shared" si="130"/>
        <v/>
      </c>
      <c r="AC507" s="73" t="str">
        <f t="shared" si="131"/>
        <v/>
      </c>
      <c r="AD507" s="19" t="str">
        <f t="shared" si="132"/>
        <v/>
      </c>
      <c r="AE507" s="19" t="str">
        <f t="shared" si="133"/>
        <v/>
      </c>
      <c r="AF507" s="19" t="str">
        <f>IF($D507&lt;&gt;1,"",IF(INDEX(TblClusters[Environnement],$B507)="","(vide)",INDEX(TblClusters[Environnement],$B507)))</f>
        <v/>
      </c>
      <c r="AG507" s="19" t="str">
        <f t="shared" si="134"/>
        <v/>
      </c>
      <c r="AH507" s="19" t="str">
        <f t="shared" si="135"/>
        <v/>
      </c>
      <c r="AI507" s="19" t="str">
        <f>IF($D507&lt;&gt;1,"",IF(AND($G507="IKS",ISNUMBER(INDEX(TblClusters[Fermeture retenue],$B507))),IF($E507&gt;=INDEX(TblClusters[Fermeture retenue],$B507),1,0),0))</f>
        <v/>
      </c>
    </row>
    <row r="508" spans="1:35" x14ac:dyDescent="0.2">
      <c r="A508" s="19">
        <v>503</v>
      </c>
      <c r="B508" s="19">
        <f t="shared" si="119"/>
        <v>14</v>
      </c>
      <c r="C508" s="19">
        <f t="shared" si="120"/>
        <v>35</v>
      </c>
      <c r="D508" s="19">
        <f>IF($C508&gt;p_horizon,0,IFERROR(IF(AND(INDEX(TblClusters[Cluster],$B508)&lt;&gt;"",ISNUMBER(INDEX(TblClusters[CPU initial (vCPU)],$B508)),ISNUMBER(INDEX(TblClusters[CPU min (vCPU)],$B508)),OR(INDEX(TblClusters[Plateforme],$B508)="IKS",INDEX(TblClusters[Plateforme],$B508)="ROKS")),1,0),0))</f>
        <v>0</v>
      </c>
      <c r="E508" s="72" t="str">
        <f t="shared" si="121"/>
        <v/>
      </c>
      <c r="F508" s="19" t="str">
        <f>IF($D508=1,INDEX(TblClusters[Cluster],$B508),"")</f>
        <v/>
      </c>
      <c r="G508" s="19" t="str">
        <f>IF($D508=1,INDEX(TblClusters[Plateforme],$B508),"")</f>
        <v/>
      </c>
      <c r="H508" s="19" t="str">
        <f>IF($D508=1,INDEX(TblClusters[vCPU par nœud],$B508),"")</f>
        <v/>
      </c>
      <c r="I508" s="19" t="str">
        <f>IF($D508=1,INDEX(TblClusters[RAM par nœud (Go)],$B508),"")</f>
        <v/>
      </c>
      <c r="J508" s="19" t="str">
        <f>IF($D508=1,INDEX(TblClusters[Workers min],$B508),"")</f>
        <v/>
      </c>
      <c r="K508" s="73" t="str">
        <f>IF($D508=1,INDEX(TblClusters[Tarif par nœud],$B508),"")</f>
        <v/>
      </c>
      <c r="L508" s="19" t="str">
        <f>IF($D508=1,INDEX(TblClusters[CPU initial (vCPU)],$B508),"")</f>
        <v/>
      </c>
      <c r="M508" s="19" t="str">
        <f>IF($D508=1,INDEX(TblClusters[RAM initiale (Go)],$B508),"")</f>
        <v/>
      </c>
      <c r="N508" s="19" t="str">
        <f>IF($D508=1,INDEX(TblClusters[CPU min (vCPU)],$B508),"")</f>
        <v/>
      </c>
      <c r="O508" s="19" t="str">
        <f>IF($D508=1,INDEX(TblClusters[RAM min (Go)],$B508),"")</f>
        <v/>
      </c>
      <c r="P508" s="19" t="str">
        <f>IF($D508&lt;&gt;1,"",IF($G508="ROKS",SUMIFS(TblApplications[Besoin ROKS CPU (vCPU)],TblApplications[Cluster ROKS cible],$F508,TblApplications[Action],"À migrer",TblApplications[Déjà incluse ROKS],"Non",TblApplications[Mois prov (calc)],"&lt;="&amp;$E508),SUMIFS(TblApplications[CPU IKS libérable (vCPU)],TblApplications[Cluster IKS source],$F508,TblApplications[Mois lib (calc)],"&lt;="&amp;$E508)))</f>
        <v/>
      </c>
      <c r="Q508" s="19" t="str">
        <f>IF($D508&lt;&gt;1,"",IF($G508="ROKS",SUMIFS(TblApplications[Besoin ROKS RAM (Go)],TblApplications[Cluster ROKS cible],$F508,TblApplications[Action],"À migrer",TblApplications[Déjà incluse ROKS],"Non",TblApplications[Mois prov (calc)],"&lt;="&amp;$E508),SUMIFS(TblApplications[RAM IKS libérable (Go)],TblApplications[Cluster IKS source],$F508,TblApplications[Mois lib (calc)],"&lt;="&amp;$E508)))</f>
        <v/>
      </c>
      <c r="R508" s="19" t="str">
        <f t="shared" si="122"/>
        <v/>
      </c>
      <c r="S508" s="19" t="str">
        <f t="shared" si="123"/>
        <v/>
      </c>
      <c r="T508" s="19" t="str">
        <f t="shared" si="124"/>
        <v/>
      </c>
      <c r="U508" s="19" t="str">
        <f t="shared" si="125"/>
        <v/>
      </c>
      <c r="V508" s="19" t="str">
        <f t="shared" si="126"/>
        <v/>
      </c>
      <c r="W508" s="73" t="str">
        <f t="shared" si="127"/>
        <v/>
      </c>
      <c r="X508" s="19" t="str">
        <f>IF($D508&lt;&gt;1,"",IF($G508="ROKS",$R508,IF($AI508=1,0,MAX($N508,$L508-SUMIFS(TblApplications[CPU IKS libérable (vCPU)],TblApplications[Cluster IKS source],$F508,TblApplications[Action],"À migrer",TblApplications[Mois prov (calc)],"&lt;="&amp;$E508)-SUMIFS(TblApplications[CPU IKS libérable (vCPU)],TblApplications[Cluster IKS source],$F508,TblApplications[Action],"À décommissionner",TblApplications[Mois lib (calc)],"&lt;="&amp;$E508)))))</f>
        <v/>
      </c>
      <c r="Y508" s="19" t="str">
        <f>IF($D508&lt;&gt;1,"",IF($G508="ROKS",$S508,IF($AI508=1,0,MAX($O508,$M508-SUMIFS(TblApplications[RAM IKS libérable (Go)],TblApplications[Cluster IKS source],$F508,TblApplications[Action],"À migrer",TblApplications[Mois prov (calc)],"&lt;="&amp;$E508)-SUMIFS(TblApplications[RAM IKS libérable (Go)],TblApplications[Cluster IKS source],$F508,TblApplications[Action],"À décommissionner",TblApplications[Mois lib (calc)],"&lt;="&amp;$E508)))))</f>
        <v/>
      </c>
      <c r="Z508" s="19" t="str">
        <f t="shared" si="128"/>
        <v/>
      </c>
      <c r="AA508" s="73" t="str">
        <f t="shared" si="129"/>
        <v/>
      </c>
      <c r="AB508" s="19" t="str">
        <f t="shared" si="130"/>
        <v/>
      </c>
      <c r="AC508" s="73" t="str">
        <f t="shared" si="131"/>
        <v/>
      </c>
      <c r="AD508" s="19" t="str">
        <f t="shared" si="132"/>
        <v/>
      </c>
      <c r="AE508" s="19" t="str">
        <f t="shared" si="133"/>
        <v/>
      </c>
      <c r="AF508" s="19" t="str">
        <f>IF($D508&lt;&gt;1,"",IF(INDEX(TblClusters[Environnement],$B508)="","(vide)",INDEX(TblClusters[Environnement],$B508)))</f>
        <v/>
      </c>
      <c r="AG508" s="19" t="str">
        <f t="shared" si="134"/>
        <v/>
      </c>
      <c r="AH508" s="19" t="str">
        <f t="shared" si="135"/>
        <v/>
      </c>
      <c r="AI508" s="19" t="str">
        <f>IF($D508&lt;&gt;1,"",IF(AND($G508="IKS",ISNUMBER(INDEX(TblClusters[Fermeture retenue],$B508))),IF($E508&gt;=INDEX(TblClusters[Fermeture retenue],$B508),1,0),0))</f>
        <v/>
      </c>
    </row>
    <row r="509" spans="1:35" x14ac:dyDescent="0.2">
      <c r="A509" s="19">
        <v>504</v>
      </c>
      <c r="B509" s="19">
        <f t="shared" si="119"/>
        <v>14</v>
      </c>
      <c r="C509" s="19">
        <f t="shared" si="120"/>
        <v>36</v>
      </c>
      <c r="D509" s="19">
        <f>IF($C509&gt;p_horizon,0,IFERROR(IF(AND(INDEX(TblClusters[Cluster],$B509)&lt;&gt;"",ISNUMBER(INDEX(TblClusters[CPU initial (vCPU)],$B509)),ISNUMBER(INDEX(TblClusters[CPU min (vCPU)],$B509)),OR(INDEX(TblClusters[Plateforme],$B509)="IKS",INDEX(TblClusters[Plateforme],$B509)="ROKS")),1,0),0))</f>
        <v>0</v>
      </c>
      <c r="E509" s="72" t="str">
        <f t="shared" si="121"/>
        <v/>
      </c>
      <c r="F509" s="19" t="str">
        <f>IF($D509=1,INDEX(TblClusters[Cluster],$B509),"")</f>
        <v/>
      </c>
      <c r="G509" s="19" t="str">
        <f>IF($D509=1,INDEX(TblClusters[Plateforme],$B509),"")</f>
        <v/>
      </c>
      <c r="H509" s="19" t="str">
        <f>IF($D509=1,INDEX(TblClusters[vCPU par nœud],$B509),"")</f>
        <v/>
      </c>
      <c r="I509" s="19" t="str">
        <f>IF($D509=1,INDEX(TblClusters[RAM par nœud (Go)],$B509),"")</f>
        <v/>
      </c>
      <c r="J509" s="19" t="str">
        <f>IF($D509=1,INDEX(TblClusters[Workers min],$B509),"")</f>
        <v/>
      </c>
      <c r="K509" s="73" t="str">
        <f>IF($D509=1,INDEX(TblClusters[Tarif par nœud],$B509),"")</f>
        <v/>
      </c>
      <c r="L509" s="19" t="str">
        <f>IF($D509=1,INDEX(TblClusters[CPU initial (vCPU)],$B509),"")</f>
        <v/>
      </c>
      <c r="M509" s="19" t="str">
        <f>IF($D509=1,INDEX(TblClusters[RAM initiale (Go)],$B509),"")</f>
        <v/>
      </c>
      <c r="N509" s="19" t="str">
        <f>IF($D509=1,INDEX(TblClusters[CPU min (vCPU)],$B509),"")</f>
        <v/>
      </c>
      <c r="O509" s="19" t="str">
        <f>IF($D509=1,INDEX(TblClusters[RAM min (Go)],$B509),"")</f>
        <v/>
      </c>
      <c r="P509" s="19" t="str">
        <f>IF($D509&lt;&gt;1,"",IF($G509="ROKS",SUMIFS(TblApplications[Besoin ROKS CPU (vCPU)],TblApplications[Cluster ROKS cible],$F509,TblApplications[Action],"À migrer",TblApplications[Déjà incluse ROKS],"Non",TblApplications[Mois prov (calc)],"&lt;="&amp;$E509),SUMIFS(TblApplications[CPU IKS libérable (vCPU)],TblApplications[Cluster IKS source],$F509,TblApplications[Mois lib (calc)],"&lt;="&amp;$E509)))</f>
        <v/>
      </c>
      <c r="Q509" s="19" t="str">
        <f>IF($D509&lt;&gt;1,"",IF($G509="ROKS",SUMIFS(TblApplications[Besoin ROKS RAM (Go)],TblApplications[Cluster ROKS cible],$F509,TblApplications[Action],"À migrer",TblApplications[Déjà incluse ROKS],"Non",TblApplications[Mois prov (calc)],"&lt;="&amp;$E509),SUMIFS(TblApplications[RAM IKS libérable (Go)],TblApplications[Cluster IKS source],$F509,TblApplications[Mois lib (calc)],"&lt;="&amp;$E509)))</f>
        <v/>
      </c>
      <c r="R509" s="19" t="str">
        <f t="shared" si="122"/>
        <v/>
      </c>
      <c r="S509" s="19" t="str">
        <f t="shared" si="123"/>
        <v/>
      </c>
      <c r="T509" s="19" t="str">
        <f t="shared" si="124"/>
        <v/>
      </c>
      <c r="U509" s="19" t="str">
        <f t="shared" si="125"/>
        <v/>
      </c>
      <c r="V509" s="19" t="str">
        <f t="shared" si="126"/>
        <v/>
      </c>
      <c r="W509" s="73" t="str">
        <f t="shared" si="127"/>
        <v/>
      </c>
      <c r="X509" s="19" t="str">
        <f>IF($D509&lt;&gt;1,"",IF($G509="ROKS",$R509,IF($AI509=1,0,MAX($N509,$L509-SUMIFS(TblApplications[CPU IKS libérable (vCPU)],TblApplications[Cluster IKS source],$F509,TblApplications[Action],"À migrer",TblApplications[Mois prov (calc)],"&lt;="&amp;$E509)-SUMIFS(TblApplications[CPU IKS libérable (vCPU)],TblApplications[Cluster IKS source],$F509,TblApplications[Action],"À décommissionner",TblApplications[Mois lib (calc)],"&lt;="&amp;$E509)))))</f>
        <v/>
      </c>
      <c r="Y509" s="19" t="str">
        <f>IF($D509&lt;&gt;1,"",IF($G509="ROKS",$S509,IF($AI509=1,0,MAX($O509,$M509-SUMIFS(TblApplications[RAM IKS libérable (Go)],TblApplications[Cluster IKS source],$F509,TblApplications[Action],"À migrer",TblApplications[Mois prov (calc)],"&lt;="&amp;$E509)-SUMIFS(TblApplications[RAM IKS libérable (Go)],TblApplications[Cluster IKS source],$F509,TblApplications[Action],"À décommissionner",TblApplications[Mois lib (calc)],"&lt;="&amp;$E509)))))</f>
        <v/>
      </c>
      <c r="Z509" s="19" t="str">
        <f t="shared" si="128"/>
        <v/>
      </c>
      <c r="AA509" s="73" t="str">
        <f t="shared" si="129"/>
        <v/>
      </c>
      <c r="AB509" s="19" t="str">
        <f t="shared" si="130"/>
        <v/>
      </c>
      <c r="AC509" s="73" t="str">
        <f t="shared" si="131"/>
        <v/>
      </c>
      <c r="AD509" s="19" t="str">
        <f t="shared" si="132"/>
        <v/>
      </c>
      <c r="AE509" s="19" t="str">
        <f t="shared" si="133"/>
        <v/>
      </c>
      <c r="AF509" s="19" t="str">
        <f>IF($D509&lt;&gt;1,"",IF(INDEX(TblClusters[Environnement],$B509)="","(vide)",INDEX(TblClusters[Environnement],$B509)))</f>
        <v/>
      </c>
      <c r="AG509" s="19" t="str">
        <f t="shared" si="134"/>
        <v/>
      </c>
      <c r="AH509" s="19" t="str">
        <f t="shared" si="135"/>
        <v/>
      </c>
      <c r="AI509" s="19" t="str">
        <f>IF($D509&lt;&gt;1,"",IF(AND($G509="IKS",ISNUMBER(INDEX(TblClusters[Fermeture retenue],$B509))),IF($E509&gt;=INDEX(TblClusters[Fermeture retenue],$B509),1,0),0))</f>
        <v/>
      </c>
    </row>
    <row r="510" spans="1:35" x14ac:dyDescent="0.2">
      <c r="A510" s="19">
        <v>505</v>
      </c>
      <c r="B510" s="19">
        <f t="shared" si="119"/>
        <v>15</v>
      </c>
      <c r="C510" s="19">
        <f t="shared" si="120"/>
        <v>1</v>
      </c>
      <c r="D510" s="19">
        <f>IF($C510&gt;p_horizon,0,IFERROR(IF(AND(INDEX(TblClusters[Cluster],$B510)&lt;&gt;"",ISNUMBER(INDEX(TblClusters[CPU initial (vCPU)],$B510)),ISNUMBER(INDEX(TblClusters[CPU min (vCPU)],$B510)),OR(INDEX(TblClusters[Plateforme],$B510)="IKS",INDEX(TblClusters[Plateforme],$B510)="ROKS")),1,0),0))</f>
        <v>0</v>
      </c>
      <c r="E510" s="72" t="str">
        <f t="shared" si="121"/>
        <v/>
      </c>
      <c r="F510" s="19" t="str">
        <f>IF($D510=1,INDEX(TblClusters[Cluster],$B510),"")</f>
        <v/>
      </c>
      <c r="G510" s="19" t="str">
        <f>IF($D510=1,INDEX(TblClusters[Plateforme],$B510),"")</f>
        <v/>
      </c>
      <c r="H510" s="19" t="str">
        <f>IF($D510=1,INDEX(TblClusters[vCPU par nœud],$B510),"")</f>
        <v/>
      </c>
      <c r="I510" s="19" t="str">
        <f>IF($D510=1,INDEX(TblClusters[RAM par nœud (Go)],$B510),"")</f>
        <v/>
      </c>
      <c r="J510" s="19" t="str">
        <f>IF($D510=1,INDEX(TblClusters[Workers min],$B510),"")</f>
        <v/>
      </c>
      <c r="K510" s="73" t="str">
        <f>IF($D510=1,INDEX(TblClusters[Tarif par nœud],$B510),"")</f>
        <v/>
      </c>
      <c r="L510" s="19" t="str">
        <f>IF($D510=1,INDEX(TblClusters[CPU initial (vCPU)],$B510),"")</f>
        <v/>
      </c>
      <c r="M510" s="19" t="str">
        <f>IF($D510=1,INDEX(TblClusters[RAM initiale (Go)],$B510),"")</f>
        <v/>
      </c>
      <c r="N510" s="19" t="str">
        <f>IF($D510=1,INDEX(TblClusters[CPU min (vCPU)],$B510),"")</f>
        <v/>
      </c>
      <c r="O510" s="19" t="str">
        <f>IF($D510=1,INDEX(TblClusters[RAM min (Go)],$B510),"")</f>
        <v/>
      </c>
      <c r="P510" s="19" t="str">
        <f>IF($D510&lt;&gt;1,"",IF($G510="ROKS",SUMIFS(TblApplications[Besoin ROKS CPU (vCPU)],TblApplications[Cluster ROKS cible],$F510,TblApplications[Action],"À migrer",TblApplications[Déjà incluse ROKS],"Non",TblApplications[Mois prov (calc)],"&lt;="&amp;$E510),SUMIFS(TblApplications[CPU IKS libérable (vCPU)],TblApplications[Cluster IKS source],$F510,TblApplications[Mois lib (calc)],"&lt;="&amp;$E510)))</f>
        <v/>
      </c>
      <c r="Q510" s="19" t="str">
        <f>IF($D510&lt;&gt;1,"",IF($G510="ROKS",SUMIFS(TblApplications[Besoin ROKS RAM (Go)],TblApplications[Cluster ROKS cible],$F510,TblApplications[Action],"À migrer",TblApplications[Déjà incluse ROKS],"Non",TblApplications[Mois prov (calc)],"&lt;="&amp;$E510),SUMIFS(TblApplications[RAM IKS libérable (Go)],TblApplications[Cluster IKS source],$F510,TblApplications[Mois lib (calc)],"&lt;="&amp;$E510)))</f>
        <v/>
      </c>
      <c r="R510" s="19" t="str">
        <f t="shared" si="122"/>
        <v/>
      </c>
      <c r="S510" s="19" t="str">
        <f t="shared" si="123"/>
        <v/>
      </c>
      <c r="T510" s="19" t="str">
        <f t="shared" si="124"/>
        <v/>
      </c>
      <c r="U510" s="19" t="str">
        <f t="shared" si="125"/>
        <v/>
      </c>
      <c r="V510" s="19" t="str">
        <f t="shared" si="126"/>
        <v/>
      </c>
      <c r="W510" s="73" t="str">
        <f t="shared" si="127"/>
        <v/>
      </c>
      <c r="X510" s="19" t="str">
        <f>IF($D510&lt;&gt;1,"",IF($G510="ROKS",$R510,IF($AI510=1,0,MAX($N510,$L510-SUMIFS(TblApplications[CPU IKS libérable (vCPU)],TblApplications[Cluster IKS source],$F510,TblApplications[Action],"À migrer",TblApplications[Mois prov (calc)],"&lt;="&amp;$E510)-SUMIFS(TblApplications[CPU IKS libérable (vCPU)],TblApplications[Cluster IKS source],$F510,TblApplications[Action],"À décommissionner",TblApplications[Mois lib (calc)],"&lt;="&amp;$E510)))))</f>
        <v/>
      </c>
      <c r="Y510" s="19" t="str">
        <f>IF($D510&lt;&gt;1,"",IF($G510="ROKS",$S510,IF($AI510=1,0,MAX($O510,$M510-SUMIFS(TblApplications[RAM IKS libérable (Go)],TblApplications[Cluster IKS source],$F510,TblApplications[Action],"À migrer",TblApplications[Mois prov (calc)],"&lt;="&amp;$E510)-SUMIFS(TblApplications[RAM IKS libérable (Go)],TblApplications[Cluster IKS source],$F510,TblApplications[Action],"À décommissionner",TblApplications[Mois lib (calc)],"&lt;="&amp;$E510)))))</f>
        <v/>
      </c>
      <c r="Z510" s="19" t="str">
        <f t="shared" si="128"/>
        <v/>
      </c>
      <c r="AA510" s="73" t="str">
        <f t="shared" si="129"/>
        <v/>
      </c>
      <c r="AB510" s="19" t="str">
        <f t="shared" si="130"/>
        <v/>
      </c>
      <c r="AC510" s="73" t="str">
        <f t="shared" si="131"/>
        <v/>
      </c>
      <c r="AD510" s="19" t="str">
        <f t="shared" si="132"/>
        <v/>
      </c>
      <c r="AE510" s="19" t="str">
        <f t="shared" si="133"/>
        <v/>
      </c>
      <c r="AF510" s="19" t="str">
        <f>IF($D510&lt;&gt;1,"",IF(INDEX(TblClusters[Environnement],$B510)="","(vide)",INDEX(TblClusters[Environnement],$B510)))</f>
        <v/>
      </c>
      <c r="AG510" s="19" t="str">
        <f t="shared" si="134"/>
        <v/>
      </c>
      <c r="AH510" s="19" t="str">
        <f t="shared" si="135"/>
        <v/>
      </c>
      <c r="AI510" s="19" t="str">
        <f>IF($D510&lt;&gt;1,"",IF(AND($G510="IKS",ISNUMBER(INDEX(TblClusters[Fermeture retenue],$B510))),IF($E510&gt;=INDEX(TblClusters[Fermeture retenue],$B510),1,0),0))</f>
        <v/>
      </c>
    </row>
    <row r="511" spans="1:35" x14ac:dyDescent="0.2">
      <c r="A511" s="19">
        <v>506</v>
      </c>
      <c r="B511" s="19">
        <f t="shared" si="119"/>
        <v>15</v>
      </c>
      <c r="C511" s="19">
        <f t="shared" si="120"/>
        <v>2</v>
      </c>
      <c r="D511" s="19">
        <f>IF($C511&gt;p_horizon,0,IFERROR(IF(AND(INDEX(TblClusters[Cluster],$B511)&lt;&gt;"",ISNUMBER(INDEX(TblClusters[CPU initial (vCPU)],$B511)),ISNUMBER(INDEX(TblClusters[CPU min (vCPU)],$B511)),OR(INDEX(TblClusters[Plateforme],$B511)="IKS",INDEX(TblClusters[Plateforme],$B511)="ROKS")),1,0),0))</f>
        <v>0</v>
      </c>
      <c r="E511" s="72" t="str">
        <f t="shared" si="121"/>
        <v/>
      </c>
      <c r="F511" s="19" t="str">
        <f>IF($D511=1,INDEX(TblClusters[Cluster],$B511),"")</f>
        <v/>
      </c>
      <c r="G511" s="19" t="str">
        <f>IF($D511=1,INDEX(TblClusters[Plateforme],$B511),"")</f>
        <v/>
      </c>
      <c r="H511" s="19" t="str">
        <f>IF($D511=1,INDEX(TblClusters[vCPU par nœud],$B511),"")</f>
        <v/>
      </c>
      <c r="I511" s="19" t="str">
        <f>IF($D511=1,INDEX(TblClusters[RAM par nœud (Go)],$B511),"")</f>
        <v/>
      </c>
      <c r="J511" s="19" t="str">
        <f>IF($D511=1,INDEX(TblClusters[Workers min],$B511),"")</f>
        <v/>
      </c>
      <c r="K511" s="73" t="str">
        <f>IF($D511=1,INDEX(TblClusters[Tarif par nœud],$B511),"")</f>
        <v/>
      </c>
      <c r="L511" s="19" t="str">
        <f>IF($D511=1,INDEX(TblClusters[CPU initial (vCPU)],$B511),"")</f>
        <v/>
      </c>
      <c r="M511" s="19" t="str">
        <f>IF($D511=1,INDEX(TblClusters[RAM initiale (Go)],$B511),"")</f>
        <v/>
      </c>
      <c r="N511" s="19" t="str">
        <f>IF($D511=1,INDEX(TblClusters[CPU min (vCPU)],$B511),"")</f>
        <v/>
      </c>
      <c r="O511" s="19" t="str">
        <f>IF($D511=1,INDEX(TblClusters[RAM min (Go)],$B511),"")</f>
        <v/>
      </c>
      <c r="P511" s="19" t="str">
        <f>IF($D511&lt;&gt;1,"",IF($G511="ROKS",SUMIFS(TblApplications[Besoin ROKS CPU (vCPU)],TblApplications[Cluster ROKS cible],$F511,TblApplications[Action],"À migrer",TblApplications[Déjà incluse ROKS],"Non",TblApplications[Mois prov (calc)],"&lt;="&amp;$E511),SUMIFS(TblApplications[CPU IKS libérable (vCPU)],TblApplications[Cluster IKS source],$F511,TblApplications[Mois lib (calc)],"&lt;="&amp;$E511)))</f>
        <v/>
      </c>
      <c r="Q511" s="19" t="str">
        <f>IF($D511&lt;&gt;1,"",IF($G511="ROKS",SUMIFS(TblApplications[Besoin ROKS RAM (Go)],TblApplications[Cluster ROKS cible],$F511,TblApplications[Action],"À migrer",TblApplications[Déjà incluse ROKS],"Non",TblApplications[Mois prov (calc)],"&lt;="&amp;$E511),SUMIFS(TblApplications[RAM IKS libérable (Go)],TblApplications[Cluster IKS source],$F511,TblApplications[Mois lib (calc)],"&lt;="&amp;$E511)))</f>
        <v/>
      </c>
      <c r="R511" s="19" t="str">
        <f t="shared" si="122"/>
        <v/>
      </c>
      <c r="S511" s="19" t="str">
        <f t="shared" si="123"/>
        <v/>
      </c>
      <c r="T511" s="19" t="str">
        <f t="shared" si="124"/>
        <v/>
      </c>
      <c r="U511" s="19" t="str">
        <f t="shared" si="125"/>
        <v/>
      </c>
      <c r="V511" s="19" t="str">
        <f t="shared" si="126"/>
        <v/>
      </c>
      <c r="W511" s="73" t="str">
        <f t="shared" si="127"/>
        <v/>
      </c>
      <c r="X511" s="19" t="str">
        <f>IF($D511&lt;&gt;1,"",IF($G511="ROKS",$R511,IF($AI511=1,0,MAX($N511,$L511-SUMIFS(TblApplications[CPU IKS libérable (vCPU)],TblApplications[Cluster IKS source],$F511,TblApplications[Action],"À migrer",TblApplications[Mois prov (calc)],"&lt;="&amp;$E511)-SUMIFS(TblApplications[CPU IKS libérable (vCPU)],TblApplications[Cluster IKS source],$F511,TblApplications[Action],"À décommissionner",TblApplications[Mois lib (calc)],"&lt;="&amp;$E511)))))</f>
        <v/>
      </c>
      <c r="Y511" s="19" t="str">
        <f>IF($D511&lt;&gt;1,"",IF($G511="ROKS",$S511,IF($AI511=1,0,MAX($O511,$M511-SUMIFS(TblApplications[RAM IKS libérable (Go)],TblApplications[Cluster IKS source],$F511,TblApplications[Action],"À migrer",TblApplications[Mois prov (calc)],"&lt;="&amp;$E511)-SUMIFS(TblApplications[RAM IKS libérable (Go)],TblApplications[Cluster IKS source],$F511,TblApplications[Action],"À décommissionner",TblApplications[Mois lib (calc)],"&lt;="&amp;$E511)))))</f>
        <v/>
      </c>
      <c r="Z511" s="19" t="str">
        <f t="shared" si="128"/>
        <v/>
      </c>
      <c r="AA511" s="73" t="str">
        <f t="shared" si="129"/>
        <v/>
      </c>
      <c r="AB511" s="19" t="str">
        <f t="shared" si="130"/>
        <v/>
      </c>
      <c r="AC511" s="73" t="str">
        <f t="shared" si="131"/>
        <v/>
      </c>
      <c r="AD511" s="19" t="str">
        <f t="shared" si="132"/>
        <v/>
      </c>
      <c r="AE511" s="19" t="str">
        <f t="shared" si="133"/>
        <v/>
      </c>
      <c r="AF511" s="19" t="str">
        <f>IF($D511&lt;&gt;1,"",IF(INDEX(TblClusters[Environnement],$B511)="","(vide)",INDEX(TblClusters[Environnement],$B511)))</f>
        <v/>
      </c>
      <c r="AG511" s="19" t="str">
        <f t="shared" si="134"/>
        <v/>
      </c>
      <c r="AH511" s="19" t="str">
        <f t="shared" si="135"/>
        <v/>
      </c>
      <c r="AI511" s="19" t="str">
        <f>IF($D511&lt;&gt;1,"",IF(AND($G511="IKS",ISNUMBER(INDEX(TblClusters[Fermeture retenue],$B511))),IF($E511&gt;=INDEX(TblClusters[Fermeture retenue],$B511),1,0),0))</f>
        <v/>
      </c>
    </row>
    <row r="512" spans="1:35" x14ac:dyDescent="0.2">
      <c r="A512" s="19">
        <v>507</v>
      </c>
      <c r="B512" s="19">
        <f t="shared" si="119"/>
        <v>15</v>
      </c>
      <c r="C512" s="19">
        <f t="shared" si="120"/>
        <v>3</v>
      </c>
      <c r="D512" s="19">
        <f>IF($C512&gt;p_horizon,0,IFERROR(IF(AND(INDEX(TblClusters[Cluster],$B512)&lt;&gt;"",ISNUMBER(INDEX(TblClusters[CPU initial (vCPU)],$B512)),ISNUMBER(INDEX(TblClusters[CPU min (vCPU)],$B512)),OR(INDEX(TblClusters[Plateforme],$B512)="IKS",INDEX(TblClusters[Plateforme],$B512)="ROKS")),1,0),0))</f>
        <v>0</v>
      </c>
      <c r="E512" s="72" t="str">
        <f t="shared" si="121"/>
        <v/>
      </c>
      <c r="F512" s="19" t="str">
        <f>IF($D512=1,INDEX(TblClusters[Cluster],$B512),"")</f>
        <v/>
      </c>
      <c r="G512" s="19" t="str">
        <f>IF($D512=1,INDEX(TblClusters[Plateforme],$B512),"")</f>
        <v/>
      </c>
      <c r="H512" s="19" t="str">
        <f>IF($D512=1,INDEX(TblClusters[vCPU par nœud],$B512),"")</f>
        <v/>
      </c>
      <c r="I512" s="19" t="str">
        <f>IF($D512=1,INDEX(TblClusters[RAM par nœud (Go)],$B512),"")</f>
        <v/>
      </c>
      <c r="J512" s="19" t="str">
        <f>IF($D512=1,INDEX(TblClusters[Workers min],$B512),"")</f>
        <v/>
      </c>
      <c r="K512" s="73" t="str">
        <f>IF($D512=1,INDEX(TblClusters[Tarif par nœud],$B512),"")</f>
        <v/>
      </c>
      <c r="L512" s="19" t="str">
        <f>IF($D512=1,INDEX(TblClusters[CPU initial (vCPU)],$B512),"")</f>
        <v/>
      </c>
      <c r="M512" s="19" t="str">
        <f>IF($D512=1,INDEX(TblClusters[RAM initiale (Go)],$B512),"")</f>
        <v/>
      </c>
      <c r="N512" s="19" t="str">
        <f>IF($D512=1,INDEX(TblClusters[CPU min (vCPU)],$B512),"")</f>
        <v/>
      </c>
      <c r="O512" s="19" t="str">
        <f>IF($D512=1,INDEX(TblClusters[RAM min (Go)],$B512),"")</f>
        <v/>
      </c>
      <c r="P512" s="19" t="str">
        <f>IF($D512&lt;&gt;1,"",IF($G512="ROKS",SUMIFS(TblApplications[Besoin ROKS CPU (vCPU)],TblApplications[Cluster ROKS cible],$F512,TblApplications[Action],"À migrer",TblApplications[Déjà incluse ROKS],"Non",TblApplications[Mois prov (calc)],"&lt;="&amp;$E512),SUMIFS(TblApplications[CPU IKS libérable (vCPU)],TblApplications[Cluster IKS source],$F512,TblApplications[Mois lib (calc)],"&lt;="&amp;$E512)))</f>
        <v/>
      </c>
      <c r="Q512" s="19" t="str">
        <f>IF($D512&lt;&gt;1,"",IF($G512="ROKS",SUMIFS(TblApplications[Besoin ROKS RAM (Go)],TblApplications[Cluster ROKS cible],$F512,TblApplications[Action],"À migrer",TblApplications[Déjà incluse ROKS],"Non",TblApplications[Mois prov (calc)],"&lt;="&amp;$E512),SUMIFS(TblApplications[RAM IKS libérable (Go)],TblApplications[Cluster IKS source],$F512,TblApplications[Mois lib (calc)],"&lt;="&amp;$E512)))</f>
        <v/>
      </c>
      <c r="R512" s="19" t="str">
        <f t="shared" si="122"/>
        <v/>
      </c>
      <c r="S512" s="19" t="str">
        <f t="shared" si="123"/>
        <v/>
      </c>
      <c r="T512" s="19" t="str">
        <f t="shared" si="124"/>
        <v/>
      </c>
      <c r="U512" s="19" t="str">
        <f t="shared" si="125"/>
        <v/>
      </c>
      <c r="V512" s="19" t="str">
        <f t="shared" si="126"/>
        <v/>
      </c>
      <c r="W512" s="73" t="str">
        <f t="shared" si="127"/>
        <v/>
      </c>
      <c r="X512" s="19" t="str">
        <f>IF($D512&lt;&gt;1,"",IF($G512="ROKS",$R512,IF($AI512=1,0,MAX($N512,$L512-SUMIFS(TblApplications[CPU IKS libérable (vCPU)],TblApplications[Cluster IKS source],$F512,TblApplications[Action],"À migrer",TblApplications[Mois prov (calc)],"&lt;="&amp;$E512)-SUMIFS(TblApplications[CPU IKS libérable (vCPU)],TblApplications[Cluster IKS source],$F512,TblApplications[Action],"À décommissionner",TblApplications[Mois lib (calc)],"&lt;="&amp;$E512)))))</f>
        <v/>
      </c>
      <c r="Y512" s="19" t="str">
        <f>IF($D512&lt;&gt;1,"",IF($G512="ROKS",$S512,IF($AI512=1,0,MAX($O512,$M512-SUMIFS(TblApplications[RAM IKS libérable (Go)],TblApplications[Cluster IKS source],$F512,TblApplications[Action],"À migrer",TblApplications[Mois prov (calc)],"&lt;="&amp;$E512)-SUMIFS(TblApplications[RAM IKS libérable (Go)],TblApplications[Cluster IKS source],$F512,TblApplications[Action],"À décommissionner",TblApplications[Mois lib (calc)],"&lt;="&amp;$E512)))))</f>
        <v/>
      </c>
      <c r="Z512" s="19" t="str">
        <f t="shared" si="128"/>
        <v/>
      </c>
      <c r="AA512" s="73" t="str">
        <f t="shared" si="129"/>
        <v/>
      </c>
      <c r="AB512" s="19" t="str">
        <f t="shared" si="130"/>
        <v/>
      </c>
      <c r="AC512" s="73" t="str">
        <f t="shared" si="131"/>
        <v/>
      </c>
      <c r="AD512" s="19" t="str">
        <f t="shared" si="132"/>
        <v/>
      </c>
      <c r="AE512" s="19" t="str">
        <f t="shared" si="133"/>
        <v/>
      </c>
      <c r="AF512" s="19" t="str">
        <f>IF($D512&lt;&gt;1,"",IF(INDEX(TblClusters[Environnement],$B512)="","(vide)",INDEX(TblClusters[Environnement],$B512)))</f>
        <v/>
      </c>
      <c r="AG512" s="19" t="str">
        <f t="shared" si="134"/>
        <v/>
      </c>
      <c r="AH512" s="19" t="str">
        <f t="shared" si="135"/>
        <v/>
      </c>
      <c r="AI512" s="19" t="str">
        <f>IF($D512&lt;&gt;1,"",IF(AND($G512="IKS",ISNUMBER(INDEX(TblClusters[Fermeture retenue],$B512))),IF($E512&gt;=INDEX(TblClusters[Fermeture retenue],$B512),1,0),0))</f>
        <v/>
      </c>
    </row>
    <row r="513" spans="1:35" x14ac:dyDescent="0.2">
      <c r="A513" s="19">
        <v>508</v>
      </c>
      <c r="B513" s="19">
        <f t="shared" si="119"/>
        <v>15</v>
      </c>
      <c r="C513" s="19">
        <f t="shared" si="120"/>
        <v>4</v>
      </c>
      <c r="D513" s="19">
        <f>IF($C513&gt;p_horizon,0,IFERROR(IF(AND(INDEX(TblClusters[Cluster],$B513)&lt;&gt;"",ISNUMBER(INDEX(TblClusters[CPU initial (vCPU)],$B513)),ISNUMBER(INDEX(TblClusters[CPU min (vCPU)],$B513)),OR(INDEX(TblClusters[Plateforme],$B513)="IKS",INDEX(TblClusters[Plateforme],$B513)="ROKS")),1,0),0))</f>
        <v>0</v>
      </c>
      <c r="E513" s="72" t="str">
        <f t="shared" si="121"/>
        <v/>
      </c>
      <c r="F513" s="19" t="str">
        <f>IF($D513=1,INDEX(TblClusters[Cluster],$B513),"")</f>
        <v/>
      </c>
      <c r="G513" s="19" t="str">
        <f>IF($D513=1,INDEX(TblClusters[Plateforme],$B513),"")</f>
        <v/>
      </c>
      <c r="H513" s="19" t="str">
        <f>IF($D513=1,INDEX(TblClusters[vCPU par nœud],$B513),"")</f>
        <v/>
      </c>
      <c r="I513" s="19" t="str">
        <f>IF($D513=1,INDEX(TblClusters[RAM par nœud (Go)],$B513),"")</f>
        <v/>
      </c>
      <c r="J513" s="19" t="str">
        <f>IF($D513=1,INDEX(TblClusters[Workers min],$B513),"")</f>
        <v/>
      </c>
      <c r="K513" s="73" t="str">
        <f>IF($D513=1,INDEX(TblClusters[Tarif par nœud],$B513),"")</f>
        <v/>
      </c>
      <c r="L513" s="19" t="str">
        <f>IF($D513=1,INDEX(TblClusters[CPU initial (vCPU)],$B513),"")</f>
        <v/>
      </c>
      <c r="M513" s="19" t="str">
        <f>IF($D513=1,INDEX(TblClusters[RAM initiale (Go)],$B513),"")</f>
        <v/>
      </c>
      <c r="N513" s="19" t="str">
        <f>IF($D513=1,INDEX(TblClusters[CPU min (vCPU)],$B513),"")</f>
        <v/>
      </c>
      <c r="O513" s="19" t="str">
        <f>IF($D513=1,INDEX(TblClusters[RAM min (Go)],$B513),"")</f>
        <v/>
      </c>
      <c r="P513" s="19" t="str">
        <f>IF($D513&lt;&gt;1,"",IF($G513="ROKS",SUMIFS(TblApplications[Besoin ROKS CPU (vCPU)],TblApplications[Cluster ROKS cible],$F513,TblApplications[Action],"À migrer",TblApplications[Déjà incluse ROKS],"Non",TblApplications[Mois prov (calc)],"&lt;="&amp;$E513),SUMIFS(TblApplications[CPU IKS libérable (vCPU)],TblApplications[Cluster IKS source],$F513,TblApplications[Mois lib (calc)],"&lt;="&amp;$E513)))</f>
        <v/>
      </c>
      <c r="Q513" s="19" t="str">
        <f>IF($D513&lt;&gt;1,"",IF($G513="ROKS",SUMIFS(TblApplications[Besoin ROKS RAM (Go)],TblApplications[Cluster ROKS cible],$F513,TblApplications[Action],"À migrer",TblApplications[Déjà incluse ROKS],"Non",TblApplications[Mois prov (calc)],"&lt;="&amp;$E513),SUMIFS(TblApplications[RAM IKS libérable (Go)],TblApplications[Cluster IKS source],$F513,TblApplications[Mois lib (calc)],"&lt;="&amp;$E513)))</f>
        <v/>
      </c>
      <c r="R513" s="19" t="str">
        <f t="shared" si="122"/>
        <v/>
      </c>
      <c r="S513" s="19" t="str">
        <f t="shared" si="123"/>
        <v/>
      </c>
      <c r="T513" s="19" t="str">
        <f t="shared" si="124"/>
        <v/>
      </c>
      <c r="U513" s="19" t="str">
        <f t="shared" si="125"/>
        <v/>
      </c>
      <c r="V513" s="19" t="str">
        <f t="shared" si="126"/>
        <v/>
      </c>
      <c r="W513" s="73" t="str">
        <f t="shared" si="127"/>
        <v/>
      </c>
      <c r="X513" s="19" t="str">
        <f>IF($D513&lt;&gt;1,"",IF($G513="ROKS",$R513,IF($AI513=1,0,MAX($N513,$L513-SUMIFS(TblApplications[CPU IKS libérable (vCPU)],TblApplications[Cluster IKS source],$F513,TblApplications[Action],"À migrer",TblApplications[Mois prov (calc)],"&lt;="&amp;$E513)-SUMIFS(TblApplications[CPU IKS libérable (vCPU)],TblApplications[Cluster IKS source],$F513,TblApplications[Action],"À décommissionner",TblApplications[Mois lib (calc)],"&lt;="&amp;$E513)))))</f>
        <v/>
      </c>
      <c r="Y513" s="19" t="str">
        <f>IF($D513&lt;&gt;1,"",IF($G513="ROKS",$S513,IF($AI513=1,0,MAX($O513,$M513-SUMIFS(TblApplications[RAM IKS libérable (Go)],TblApplications[Cluster IKS source],$F513,TblApplications[Action],"À migrer",TblApplications[Mois prov (calc)],"&lt;="&amp;$E513)-SUMIFS(TblApplications[RAM IKS libérable (Go)],TblApplications[Cluster IKS source],$F513,TblApplications[Action],"À décommissionner",TblApplications[Mois lib (calc)],"&lt;="&amp;$E513)))))</f>
        <v/>
      </c>
      <c r="Z513" s="19" t="str">
        <f t="shared" si="128"/>
        <v/>
      </c>
      <c r="AA513" s="73" t="str">
        <f t="shared" si="129"/>
        <v/>
      </c>
      <c r="AB513" s="19" t="str">
        <f t="shared" si="130"/>
        <v/>
      </c>
      <c r="AC513" s="73" t="str">
        <f t="shared" si="131"/>
        <v/>
      </c>
      <c r="AD513" s="19" t="str">
        <f t="shared" si="132"/>
        <v/>
      </c>
      <c r="AE513" s="19" t="str">
        <f t="shared" si="133"/>
        <v/>
      </c>
      <c r="AF513" s="19" t="str">
        <f>IF($D513&lt;&gt;1,"",IF(INDEX(TblClusters[Environnement],$B513)="","(vide)",INDEX(TblClusters[Environnement],$B513)))</f>
        <v/>
      </c>
      <c r="AG513" s="19" t="str">
        <f t="shared" si="134"/>
        <v/>
      </c>
      <c r="AH513" s="19" t="str">
        <f t="shared" si="135"/>
        <v/>
      </c>
      <c r="AI513" s="19" t="str">
        <f>IF($D513&lt;&gt;1,"",IF(AND($G513="IKS",ISNUMBER(INDEX(TblClusters[Fermeture retenue],$B513))),IF($E513&gt;=INDEX(TblClusters[Fermeture retenue],$B513),1,0),0))</f>
        <v/>
      </c>
    </row>
    <row r="514" spans="1:35" x14ac:dyDescent="0.2">
      <c r="A514" s="19">
        <v>509</v>
      </c>
      <c r="B514" s="19">
        <f t="shared" si="119"/>
        <v>15</v>
      </c>
      <c r="C514" s="19">
        <f t="shared" si="120"/>
        <v>5</v>
      </c>
      <c r="D514" s="19">
        <f>IF($C514&gt;p_horizon,0,IFERROR(IF(AND(INDEX(TblClusters[Cluster],$B514)&lt;&gt;"",ISNUMBER(INDEX(TblClusters[CPU initial (vCPU)],$B514)),ISNUMBER(INDEX(TblClusters[CPU min (vCPU)],$B514)),OR(INDEX(TblClusters[Plateforme],$B514)="IKS",INDEX(TblClusters[Plateforme],$B514)="ROKS")),1,0),0))</f>
        <v>0</v>
      </c>
      <c r="E514" s="72" t="str">
        <f t="shared" si="121"/>
        <v/>
      </c>
      <c r="F514" s="19" t="str">
        <f>IF($D514=1,INDEX(TblClusters[Cluster],$B514),"")</f>
        <v/>
      </c>
      <c r="G514" s="19" t="str">
        <f>IF($D514=1,INDEX(TblClusters[Plateforme],$B514),"")</f>
        <v/>
      </c>
      <c r="H514" s="19" t="str">
        <f>IF($D514=1,INDEX(TblClusters[vCPU par nœud],$B514),"")</f>
        <v/>
      </c>
      <c r="I514" s="19" t="str">
        <f>IF($D514=1,INDEX(TblClusters[RAM par nœud (Go)],$B514),"")</f>
        <v/>
      </c>
      <c r="J514" s="19" t="str">
        <f>IF($D514=1,INDEX(TblClusters[Workers min],$B514),"")</f>
        <v/>
      </c>
      <c r="K514" s="73" t="str">
        <f>IF($D514=1,INDEX(TblClusters[Tarif par nœud],$B514),"")</f>
        <v/>
      </c>
      <c r="L514" s="19" t="str">
        <f>IF($D514=1,INDEX(TblClusters[CPU initial (vCPU)],$B514),"")</f>
        <v/>
      </c>
      <c r="M514" s="19" t="str">
        <f>IF($D514=1,INDEX(TblClusters[RAM initiale (Go)],$B514),"")</f>
        <v/>
      </c>
      <c r="N514" s="19" t="str">
        <f>IF($D514=1,INDEX(TblClusters[CPU min (vCPU)],$B514),"")</f>
        <v/>
      </c>
      <c r="O514" s="19" t="str">
        <f>IF($D514=1,INDEX(TblClusters[RAM min (Go)],$B514),"")</f>
        <v/>
      </c>
      <c r="P514" s="19" t="str">
        <f>IF($D514&lt;&gt;1,"",IF($G514="ROKS",SUMIFS(TblApplications[Besoin ROKS CPU (vCPU)],TblApplications[Cluster ROKS cible],$F514,TblApplications[Action],"À migrer",TblApplications[Déjà incluse ROKS],"Non",TblApplications[Mois prov (calc)],"&lt;="&amp;$E514),SUMIFS(TblApplications[CPU IKS libérable (vCPU)],TblApplications[Cluster IKS source],$F514,TblApplications[Mois lib (calc)],"&lt;="&amp;$E514)))</f>
        <v/>
      </c>
      <c r="Q514" s="19" t="str">
        <f>IF($D514&lt;&gt;1,"",IF($G514="ROKS",SUMIFS(TblApplications[Besoin ROKS RAM (Go)],TblApplications[Cluster ROKS cible],$F514,TblApplications[Action],"À migrer",TblApplications[Déjà incluse ROKS],"Non",TblApplications[Mois prov (calc)],"&lt;="&amp;$E514),SUMIFS(TblApplications[RAM IKS libérable (Go)],TblApplications[Cluster IKS source],$F514,TblApplications[Mois lib (calc)],"&lt;="&amp;$E514)))</f>
        <v/>
      </c>
      <c r="R514" s="19" t="str">
        <f t="shared" si="122"/>
        <v/>
      </c>
      <c r="S514" s="19" t="str">
        <f t="shared" si="123"/>
        <v/>
      </c>
      <c r="T514" s="19" t="str">
        <f t="shared" si="124"/>
        <v/>
      </c>
      <c r="U514" s="19" t="str">
        <f t="shared" si="125"/>
        <v/>
      </c>
      <c r="V514" s="19" t="str">
        <f t="shared" si="126"/>
        <v/>
      </c>
      <c r="W514" s="73" t="str">
        <f t="shared" si="127"/>
        <v/>
      </c>
      <c r="X514" s="19" t="str">
        <f>IF($D514&lt;&gt;1,"",IF($G514="ROKS",$R514,IF($AI514=1,0,MAX($N514,$L514-SUMIFS(TblApplications[CPU IKS libérable (vCPU)],TblApplications[Cluster IKS source],$F514,TblApplications[Action],"À migrer",TblApplications[Mois prov (calc)],"&lt;="&amp;$E514)-SUMIFS(TblApplications[CPU IKS libérable (vCPU)],TblApplications[Cluster IKS source],$F514,TblApplications[Action],"À décommissionner",TblApplications[Mois lib (calc)],"&lt;="&amp;$E514)))))</f>
        <v/>
      </c>
      <c r="Y514" s="19" t="str">
        <f>IF($D514&lt;&gt;1,"",IF($G514="ROKS",$S514,IF($AI514=1,0,MAX($O514,$M514-SUMIFS(TblApplications[RAM IKS libérable (Go)],TblApplications[Cluster IKS source],$F514,TblApplications[Action],"À migrer",TblApplications[Mois prov (calc)],"&lt;="&amp;$E514)-SUMIFS(TblApplications[RAM IKS libérable (Go)],TblApplications[Cluster IKS source],$F514,TblApplications[Action],"À décommissionner",TblApplications[Mois lib (calc)],"&lt;="&amp;$E514)))))</f>
        <v/>
      </c>
      <c r="Z514" s="19" t="str">
        <f t="shared" si="128"/>
        <v/>
      </c>
      <c r="AA514" s="73" t="str">
        <f t="shared" si="129"/>
        <v/>
      </c>
      <c r="AB514" s="19" t="str">
        <f t="shared" si="130"/>
        <v/>
      </c>
      <c r="AC514" s="73" t="str">
        <f t="shared" si="131"/>
        <v/>
      </c>
      <c r="AD514" s="19" t="str">
        <f t="shared" si="132"/>
        <v/>
      </c>
      <c r="AE514" s="19" t="str">
        <f t="shared" si="133"/>
        <v/>
      </c>
      <c r="AF514" s="19" t="str">
        <f>IF($D514&lt;&gt;1,"",IF(INDEX(TblClusters[Environnement],$B514)="","(vide)",INDEX(TblClusters[Environnement],$B514)))</f>
        <v/>
      </c>
      <c r="AG514" s="19" t="str">
        <f t="shared" si="134"/>
        <v/>
      </c>
      <c r="AH514" s="19" t="str">
        <f t="shared" si="135"/>
        <v/>
      </c>
      <c r="AI514" s="19" t="str">
        <f>IF($D514&lt;&gt;1,"",IF(AND($G514="IKS",ISNUMBER(INDEX(TblClusters[Fermeture retenue],$B514))),IF($E514&gt;=INDEX(TblClusters[Fermeture retenue],$B514),1,0),0))</f>
        <v/>
      </c>
    </row>
    <row r="515" spans="1:35" x14ac:dyDescent="0.2">
      <c r="A515" s="19">
        <v>510</v>
      </c>
      <c r="B515" s="19">
        <f t="shared" si="119"/>
        <v>15</v>
      </c>
      <c r="C515" s="19">
        <f t="shared" si="120"/>
        <v>6</v>
      </c>
      <c r="D515" s="19">
        <f>IF($C515&gt;p_horizon,0,IFERROR(IF(AND(INDEX(TblClusters[Cluster],$B515)&lt;&gt;"",ISNUMBER(INDEX(TblClusters[CPU initial (vCPU)],$B515)),ISNUMBER(INDEX(TblClusters[CPU min (vCPU)],$B515)),OR(INDEX(TblClusters[Plateforme],$B515)="IKS",INDEX(TblClusters[Plateforme],$B515)="ROKS")),1,0),0))</f>
        <v>0</v>
      </c>
      <c r="E515" s="72" t="str">
        <f t="shared" si="121"/>
        <v/>
      </c>
      <c r="F515" s="19" t="str">
        <f>IF($D515=1,INDEX(TblClusters[Cluster],$B515),"")</f>
        <v/>
      </c>
      <c r="G515" s="19" t="str">
        <f>IF($D515=1,INDEX(TblClusters[Plateforme],$B515),"")</f>
        <v/>
      </c>
      <c r="H515" s="19" t="str">
        <f>IF($D515=1,INDEX(TblClusters[vCPU par nœud],$B515),"")</f>
        <v/>
      </c>
      <c r="I515" s="19" t="str">
        <f>IF($D515=1,INDEX(TblClusters[RAM par nœud (Go)],$B515),"")</f>
        <v/>
      </c>
      <c r="J515" s="19" t="str">
        <f>IF($D515=1,INDEX(TblClusters[Workers min],$B515),"")</f>
        <v/>
      </c>
      <c r="K515" s="73" t="str">
        <f>IF($D515=1,INDEX(TblClusters[Tarif par nœud],$B515),"")</f>
        <v/>
      </c>
      <c r="L515" s="19" t="str">
        <f>IF($D515=1,INDEX(TblClusters[CPU initial (vCPU)],$B515),"")</f>
        <v/>
      </c>
      <c r="M515" s="19" t="str">
        <f>IF($D515=1,INDEX(TblClusters[RAM initiale (Go)],$B515),"")</f>
        <v/>
      </c>
      <c r="N515" s="19" t="str">
        <f>IF($D515=1,INDEX(TblClusters[CPU min (vCPU)],$B515),"")</f>
        <v/>
      </c>
      <c r="O515" s="19" t="str">
        <f>IF($D515=1,INDEX(TblClusters[RAM min (Go)],$B515),"")</f>
        <v/>
      </c>
      <c r="P515" s="19" t="str">
        <f>IF($D515&lt;&gt;1,"",IF($G515="ROKS",SUMIFS(TblApplications[Besoin ROKS CPU (vCPU)],TblApplications[Cluster ROKS cible],$F515,TblApplications[Action],"À migrer",TblApplications[Déjà incluse ROKS],"Non",TblApplications[Mois prov (calc)],"&lt;="&amp;$E515),SUMIFS(TblApplications[CPU IKS libérable (vCPU)],TblApplications[Cluster IKS source],$F515,TblApplications[Mois lib (calc)],"&lt;="&amp;$E515)))</f>
        <v/>
      </c>
      <c r="Q515" s="19" t="str">
        <f>IF($D515&lt;&gt;1,"",IF($G515="ROKS",SUMIFS(TblApplications[Besoin ROKS RAM (Go)],TblApplications[Cluster ROKS cible],$F515,TblApplications[Action],"À migrer",TblApplications[Déjà incluse ROKS],"Non",TblApplications[Mois prov (calc)],"&lt;="&amp;$E515),SUMIFS(TblApplications[RAM IKS libérable (Go)],TblApplications[Cluster IKS source],$F515,TblApplications[Mois lib (calc)],"&lt;="&amp;$E515)))</f>
        <v/>
      </c>
      <c r="R515" s="19" t="str">
        <f t="shared" si="122"/>
        <v/>
      </c>
      <c r="S515" s="19" t="str">
        <f t="shared" si="123"/>
        <v/>
      </c>
      <c r="T515" s="19" t="str">
        <f t="shared" si="124"/>
        <v/>
      </c>
      <c r="U515" s="19" t="str">
        <f t="shared" si="125"/>
        <v/>
      </c>
      <c r="V515" s="19" t="str">
        <f t="shared" si="126"/>
        <v/>
      </c>
      <c r="W515" s="73" t="str">
        <f t="shared" si="127"/>
        <v/>
      </c>
      <c r="X515" s="19" t="str">
        <f>IF($D515&lt;&gt;1,"",IF($G515="ROKS",$R515,IF($AI515=1,0,MAX($N515,$L515-SUMIFS(TblApplications[CPU IKS libérable (vCPU)],TblApplications[Cluster IKS source],$F515,TblApplications[Action],"À migrer",TblApplications[Mois prov (calc)],"&lt;="&amp;$E515)-SUMIFS(TblApplications[CPU IKS libérable (vCPU)],TblApplications[Cluster IKS source],$F515,TblApplications[Action],"À décommissionner",TblApplications[Mois lib (calc)],"&lt;="&amp;$E515)))))</f>
        <v/>
      </c>
      <c r="Y515" s="19" t="str">
        <f>IF($D515&lt;&gt;1,"",IF($G515="ROKS",$S515,IF($AI515=1,0,MAX($O515,$M515-SUMIFS(TblApplications[RAM IKS libérable (Go)],TblApplications[Cluster IKS source],$F515,TblApplications[Action],"À migrer",TblApplications[Mois prov (calc)],"&lt;="&amp;$E515)-SUMIFS(TblApplications[RAM IKS libérable (Go)],TblApplications[Cluster IKS source],$F515,TblApplications[Action],"À décommissionner",TblApplications[Mois lib (calc)],"&lt;="&amp;$E515)))))</f>
        <v/>
      </c>
      <c r="Z515" s="19" t="str">
        <f t="shared" si="128"/>
        <v/>
      </c>
      <c r="AA515" s="73" t="str">
        <f t="shared" si="129"/>
        <v/>
      </c>
      <c r="AB515" s="19" t="str">
        <f t="shared" si="130"/>
        <v/>
      </c>
      <c r="AC515" s="73" t="str">
        <f t="shared" si="131"/>
        <v/>
      </c>
      <c r="AD515" s="19" t="str">
        <f t="shared" si="132"/>
        <v/>
      </c>
      <c r="AE515" s="19" t="str">
        <f t="shared" si="133"/>
        <v/>
      </c>
      <c r="AF515" s="19" t="str">
        <f>IF($D515&lt;&gt;1,"",IF(INDEX(TblClusters[Environnement],$B515)="","(vide)",INDEX(TblClusters[Environnement],$B515)))</f>
        <v/>
      </c>
      <c r="AG515" s="19" t="str">
        <f t="shared" si="134"/>
        <v/>
      </c>
      <c r="AH515" s="19" t="str">
        <f t="shared" si="135"/>
        <v/>
      </c>
      <c r="AI515" s="19" t="str">
        <f>IF($D515&lt;&gt;1,"",IF(AND($G515="IKS",ISNUMBER(INDEX(TblClusters[Fermeture retenue],$B515))),IF($E515&gt;=INDEX(TblClusters[Fermeture retenue],$B515),1,0),0))</f>
        <v/>
      </c>
    </row>
    <row r="516" spans="1:35" x14ac:dyDescent="0.2">
      <c r="A516" s="19">
        <v>511</v>
      </c>
      <c r="B516" s="19">
        <f t="shared" si="119"/>
        <v>15</v>
      </c>
      <c r="C516" s="19">
        <f t="shared" si="120"/>
        <v>7</v>
      </c>
      <c r="D516" s="19">
        <f>IF($C516&gt;p_horizon,0,IFERROR(IF(AND(INDEX(TblClusters[Cluster],$B516)&lt;&gt;"",ISNUMBER(INDEX(TblClusters[CPU initial (vCPU)],$B516)),ISNUMBER(INDEX(TblClusters[CPU min (vCPU)],$B516)),OR(INDEX(TblClusters[Plateforme],$B516)="IKS",INDEX(TblClusters[Plateforme],$B516)="ROKS")),1,0),0))</f>
        <v>0</v>
      </c>
      <c r="E516" s="72" t="str">
        <f t="shared" si="121"/>
        <v/>
      </c>
      <c r="F516" s="19" t="str">
        <f>IF($D516=1,INDEX(TblClusters[Cluster],$B516),"")</f>
        <v/>
      </c>
      <c r="G516" s="19" t="str">
        <f>IF($D516=1,INDEX(TblClusters[Plateforme],$B516),"")</f>
        <v/>
      </c>
      <c r="H516" s="19" t="str">
        <f>IF($D516=1,INDEX(TblClusters[vCPU par nœud],$B516),"")</f>
        <v/>
      </c>
      <c r="I516" s="19" t="str">
        <f>IF($D516=1,INDEX(TblClusters[RAM par nœud (Go)],$B516),"")</f>
        <v/>
      </c>
      <c r="J516" s="19" t="str">
        <f>IF($D516=1,INDEX(TblClusters[Workers min],$B516),"")</f>
        <v/>
      </c>
      <c r="K516" s="73" t="str">
        <f>IF($D516=1,INDEX(TblClusters[Tarif par nœud],$B516),"")</f>
        <v/>
      </c>
      <c r="L516" s="19" t="str">
        <f>IF($D516=1,INDEX(TblClusters[CPU initial (vCPU)],$B516),"")</f>
        <v/>
      </c>
      <c r="M516" s="19" t="str">
        <f>IF($D516=1,INDEX(TblClusters[RAM initiale (Go)],$B516),"")</f>
        <v/>
      </c>
      <c r="N516" s="19" t="str">
        <f>IF($D516=1,INDEX(TblClusters[CPU min (vCPU)],$B516),"")</f>
        <v/>
      </c>
      <c r="O516" s="19" t="str">
        <f>IF($D516=1,INDEX(TblClusters[RAM min (Go)],$B516),"")</f>
        <v/>
      </c>
      <c r="P516" s="19" t="str">
        <f>IF($D516&lt;&gt;1,"",IF($G516="ROKS",SUMIFS(TblApplications[Besoin ROKS CPU (vCPU)],TblApplications[Cluster ROKS cible],$F516,TblApplications[Action],"À migrer",TblApplications[Déjà incluse ROKS],"Non",TblApplications[Mois prov (calc)],"&lt;="&amp;$E516),SUMIFS(TblApplications[CPU IKS libérable (vCPU)],TblApplications[Cluster IKS source],$F516,TblApplications[Mois lib (calc)],"&lt;="&amp;$E516)))</f>
        <v/>
      </c>
      <c r="Q516" s="19" t="str">
        <f>IF($D516&lt;&gt;1,"",IF($G516="ROKS",SUMIFS(TblApplications[Besoin ROKS RAM (Go)],TblApplications[Cluster ROKS cible],$F516,TblApplications[Action],"À migrer",TblApplications[Déjà incluse ROKS],"Non",TblApplications[Mois prov (calc)],"&lt;="&amp;$E516),SUMIFS(TblApplications[RAM IKS libérable (Go)],TblApplications[Cluster IKS source],$F516,TblApplications[Mois lib (calc)],"&lt;="&amp;$E516)))</f>
        <v/>
      </c>
      <c r="R516" s="19" t="str">
        <f t="shared" si="122"/>
        <v/>
      </c>
      <c r="S516" s="19" t="str">
        <f t="shared" si="123"/>
        <v/>
      </c>
      <c r="T516" s="19" t="str">
        <f t="shared" si="124"/>
        <v/>
      </c>
      <c r="U516" s="19" t="str">
        <f t="shared" si="125"/>
        <v/>
      </c>
      <c r="V516" s="19" t="str">
        <f t="shared" si="126"/>
        <v/>
      </c>
      <c r="W516" s="73" t="str">
        <f t="shared" si="127"/>
        <v/>
      </c>
      <c r="X516" s="19" t="str">
        <f>IF($D516&lt;&gt;1,"",IF($G516="ROKS",$R516,IF($AI516=1,0,MAX($N516,$L516-SUMIFS(TblApplications[CPU IKS libérable (vCPU)],TblApplications[Cluster IKS source],$F516,TblApplications[Action],"À migrer",TblApplications[Mois prov (calc)],"&lt;="&amp;$E516)-SUMIFS(TblApplications[CPU IKS libérable (vCPU)],TblApplications[Cluster IKS source],$F516,TblApplications[Action],"À décommissionner",TblApplications[Mois lib (calc)],"&lt;="&amp;$E516)))))</f>
        <v/>
      </c>
      <c r="Y516" s="19" t="str">
        <f>IF($D516&lt;&gt;1,"",IF($G516="ROKS",$S516,IF($AI516=1,0,MAX($O516,$M516-SUMIFS(TblApplications[RAM IKS libérable (Go)],TblApplications[Cluster IKS source],$F516,TblApplications[Action],"À migrer",TblApplications[Mois prov (calc)],"&lt;="&amp;$E516)-SUMIFS(TblApplications[RAM IKS libérable (Go)],TblApplications[Cluster IKS source],$F516,TblApplications[Action],"À décommissionner",TblApplications[Mois lib (calc)],"&lt;="&amp;$E516)))))</f>
        <v/>
      </c>
      <c r="Z516" s="19" t="str">
        <f t="shared" si="128"/>
        <v/>
      </c>
      <c r="AA516" s="73" t="str">
        <f t="shared" si="129"/>
        <v/>
      </c>
      <c r="AB516" s="19" t="str">
        <f t="shared" si="130"/>
        <v/>
      </c>
      <c r="AC516" s="73" t="str">
        <f t="shared" si="131"/>
        <v/>
      </c>
      <c r="AD516" s="19" t="str">
        <f t="shared" si="132"/>
        <v/>
      </c>
      <c r="AE516" s="19" t="str">
        <f t="shared" si="133"/>
        <v/>
      </c>
      <c r="AF516" s="19" t="str">
        <f>IF($D516&lt;&gt;1,"",IF(INDEX(TblClusters[Environnement],$B516)="","(vide)",INDEX(TblClusters[Environnement],$B516)))</f>
        <v/>
      </c>
      <c r="AG516" s="19" t="str">
        <f t="shared" si="134"/>
        <v/>
      </c>
      <c r="AH516" s="19" t="str">
        <f t="shared" si="135"/>
        <v/>
      </c>
      <c r="AI516" s="19" t="str">
        <f>IF($D516&lt;&gt;1,"",IF(AND($G516="IKS",ISNUMBER(INDEX(TblClusters[Fermeture retenue],$B516))),IF($E516&gt;=INDEX(TblClusters[Fermeture retenue],$B516),1,0),0))</f>
        <v/>
      </c>
    </row>
    <row r="517" spans="1:35" x14ac:dyDescent="0.2">
      <c r="A517" s="19">
        <v>512</v>
      </c>
      <c r="B517" s="19">
        <f t="shared" si="119"/>
        <v>15</v>
      </c>
      <c r="C517" s="19">
        <f t="shared" si="120"/>
        <v>8</v>
      </c>
      <c r="D517" s="19">
        <f>IF($C517&gt;p_horizon,0,IFERROR(IF(AND(INDEX(TblClusters[Cluster],$B517)&lt;&gt;"",ISNUMBER(INDEX(TblClusters[CPU initial (vCPU)],$B517)),ISNUMBER(INDEX(TblClusters[CPU min (vCPU)],$B517)),OR(INDEX(TblClusters[Plateforme],$B517)="IKS",INDEX(TblClusters[Plateforme],$B517)="ROKS")),1,0),0))</f>
        <v>0</v>
      </c>
      <c r="E517" s="72" t="str">
        <f t="shared" si="121"/>
        <v/>
      </c>
      <c r="F517" s="19" t="str">
        <f>IF($D517=1,INDEX(TblClusters[Cluster],$B517),"")</f>
        <v/>
      </c>
      <c r="G517" s="19" t="str">
        <f>IF($D517=1,INDEX(TblClusters[Plateforme],$B517),"")</f>
        <v/>
      </c>
      <c r="H517" s="19" t="str">
        <f>IF($D517=1,INDEX(TblClusters[vCPU par nœud],$B517),"")</f>
        <v/>
      </c>
      <c r="I517" s="19" t="str">
        <f>IF($D517=1,INDEX(TblClusters[RAM par nœud (Go)],$B517),"")</f>
        <v/>
      </c>
      <c r="J517" s="19" t="str">
        <f>IF($D517=1,INDEX(TblClusters[Workers min],$B517),"")</f>
        <v/>
      </c>
      <c r="K517" s="73" t="str">
        <f>IF($D517=1,INDEX(TblClusters[Tarif par nœud],$B517),"")</f>
        <v/>
      </c>
      <c r="L517" s="19" t="str">
        <f>IF($D517=1,INDEX(TblClusters[CPU initial (vCPU)],$B517),"")</f>
        <v/>
      </c>
      <c r="M517" s="19" t="str">
        <f>IF($D517=1,INDEX(TblClusters[RAM initiale (Go)],$B517),"")</f>
        <v/>
      </c>
      <c r="N517" s="19" t="str">
        <f>IF($D517=1,INDEX(TblClusters[CPU min (vCPU)],$B517),"")</f>
        <v/>
      </c>
      <c r="O517" s="19" t="str">
        <f>IF($D517=1,INDEX(TblClusters[RAM min (Go)],$B517),"")</f>
        <v/>
      </c>
      <c r="P517" s="19" t="str">
        <f>IF($D517&lt;&gt;1,"",IF($G517="ROKS",SUMIFS(TblApplications[Besoin ROKS CPU (vCPU)],TblApplications[Cluster ROKS cible],$F517,TblApplications[Action],"À migrer",TblApplications[Déjà incluse ROKS],"Non",TblApplications[Mois prov (calc)],"&lt;="&amp;$E517),SUMIFS(TblApplications[CPU IKS libérable (vCPU)],TblApplications[Cluster IKS source],$F517,TblApplications[Mois lib (calc)],"&lt;="&amp;$E517)))</f>
        <v/>
      </c>
      <c r="Q517" s="19" t="str">
        <f>IF($D517&lt;&gt;1,"",IF($G517="ROKS",SUMIFS(TblApplications[Besoin ROKS RAM (Go)],TblApplications[Cluster ROKS cible],$F517,TblApplications[Action],"À migrer",TblApplications[Déjà incluse ROKS],"Non",TblApplications[Mois prov (calc)],"&lt;="&amp;$E517),SUMIFS(TblApplications[RAM IKS libérable (Go)],TblApplications[Cluster IKS source],$F517,TblApplications[Mois lib (calc)],"&lt;="&amp;$E517)))</f>
        <v/>
      </c>
      <c r="R517" s="19" t="str">
        <f t="shared" si="122"/>
        <v/>
      </c>
      <c r="S517" s="19" t="str">
        <f t="shared" si="123"/>
        <v/>
      </c>
      <c r="T517" s="19" t="str">
        <f t="shared" si="124"/>
        <v/>
      </c>
      <c r="U517" s="19" t="str">
        <f t="shared" si="125"/>
        <v/>
      </c>
      <c r="V517" s="19" t="str">
        <f t="shared" si="126"/>
        <v/>
      </c>
      <c r="W517" s="73" t="str">
        <f t="shared" si="127"/>
        <v/>
      </c>
      <c r="X517" s="19" t="str">
        <f>IF($D517&lt;&gt;1,"",IF($G517="ROKS",$R517,IF($AI517=1,0,MAX($N517,$L517-SUMIFS(TblApplications[CPU IKS libérable (vCPU)],TblApplications[Cluster IKS source],$F517,TblApplications[Action],"À migrer",TblApplications[Mois prov (calc)],"&lt;="&amp;$E517)-SUMIFS(TblApplications[CPU IKS libérable (vCPU)],TblApplications[Cluster IKS source],$F517,TblApplications[Action],"À décommissionner",TblApplications[Mois lib (calc)],"&lt;="&amp;$E517)))))</f>
        <v/>
      </c>
      <c r="Y517" s="19" t="str">
        <f>IF($D517&lt;&gt;1,"",IF($G517="ROKS",$S517,IF($AI517=1,0,MAX($O517,$M517-SUMIFS(TblApplications[RAM IKS libérable (Go)],TblApplications[Cluster IKS source],$F517,TblApplications[Action],"À migrer",TblApplications[Mois prov (calc)],"&lt;="&amp;$E517)-SUMIFS(TblApplications[RAM IKS libérable (Go)],TblApplications[Cluster IKS source],$F517,TblApplications[Action],"À décommissionner",TblApplications[Mois lib (calc)],"&lt;="&amp;$E517)))))</f>
        <v/>
      </c>
      <c r="Z517" s="19" t="str">
        <f t="shared" si="128"/>
        <v/>
      </c>
      <c r="AA517" s="73" t="str">
        <f t="shared" si="129"/>
        <v/>
      </c>
      <c r="AB517" s="19" t="str">
        <f t="shared" si="130"/>
        <v/>
      </c>
      <c r="AC517" s="73" t="str">
        <f t="shared" si="131"/>
        <v/>
      </c>
      <c r="AD517" s="19" t="str">
        <f t="shared" si="132"/>
        <v/>
      </c>
      <c r="AE517" s="19" t="str">
        <f t="shared" si="133"/>
        <v/>
      </c>
      <c r="AF517" s="19" t="str">
        <f>IF($D517&lt;&gt;1,"",IF(INDEX(TblClusters[Environnement],$B517)="","(vide)",INDEX(TblClusters[Environnement],$B517)))</f>
        <v/>
      </c>
      <c r="AG517" s="19" t="str">
        <f t="shared" si="134"/>
        <v/>
      </c>
      <c r="AH517" s="19" t="str">
        <f t="shared" si="135"/>
        <v/>
      </c>
      <c r="AI517" s="19" t="str">
        <f>IF($D517&lt;&gt;1,"",IF(AND($G517="IKS",ISNUMBER(INDEX(TblClusters[Fermeture retenue],$B517))),IF($E517&gt;=INDEX(TblClusters[Fermeture retenue],$B517),1,0),0))</f>
        <v/>
      </c>
    </row>
    <row r="518" spans="1:35" x14ac:dyDescent="0.2">
      <c r="A518" s="19">
        <v>513</v>
      </c>
      <c r="B518" s="19">
        <f t="shared" ref="B518:B581" si="136">INT(($A518-1)/36)+1</f>
        <v>15</v>
      </c>
      <c r="C518" s="19">
        <f t="shared" ref="C518:C581" si="137">MOD($A518-1,36)+1</f>
        <v>9</v>
      </c>
      <c r="D518" s="19">
        <f>IF($C518&gt;p_horizon,0,IFERROR(IF(AND(INDEX(TblClusters[Cluster],$B518)&lt;&gt;"",ISNUMBER(INDEX(TblClusters[CPU initial (vCPU)],$B518)),ISNUMBER(INDEX(TblClusters[CPU min (vCPU)],$B518)),OR(INDEX(TblClusters[Plateforme],$B518)="IKS",INDEX(TblClusters[Plateforme],$B518)="ROKS")),1,0),0))</f>
        <v>0</v>
      </c>
      <c r="E518" s="72" t="str">
        <f t="shared" ref="E518:E581" si="138">IF($D518=1,EDATE(p_debut,$C518-1),"")</f>
        <v/>
      </c>
      <c r="F518" s="19" t="str">
        <f>IF($D518=1,INDEX(TblClusters[Cluster],$B518),"")</f>
        <v/>
      </c>
      <c r="G518" s="19" t="str">
        <f>IF($D518=1,INDEX(TblClusters[Plateforme],$B518),"")</f>
        <v/>
      </c>
      <c r="H518" s="19" t="str">
        <f>IF($D518=1,INDEX(TblClusters[vCPU par nœud],$B518),"")</f>
        <v/>
      </c>
      <c r="I518" s="19" t="str">
        <f>IF($D518=1,INDEX(TblClusters[RAM par nœud (Go)],$B518),"")</f>
        <v/>
      </c>
      <c r="J518" s="19" t="str">
        <f>IF($D518=1,INDEX(TblClusters[Workers min],$B518),"")</f>
        <v/>
      </c>
      <c r="K518" s="73" t="str">
        <f>IF($D518=1,INDEX(TblClusters[Tarif par nœud],$B518),"")</f>
        <v/>
      </c>
      <c r="L518" s="19" t="str">
        <f>IF($D518=1,INDEX(TblClusters[CPU initial (vCPU)],$B518),"")</f>
        <v/>
      </c>
      <c r="M518" s="19" t="str">
        <f>IF($D518=1,INDEX(TblClusters[RAM initiale (Go)],$B518),"")</f>
        <v/>
      </c>
      <c r="N518" s="19" t="str">
        <f>IF($D518=1,INDEX(TblClusters[CPU min (vCPU)],$B518),"")</f>
        <v/>
      </c>
      <c r="O518" s="19" t="str">
        <f>IF($D518=1,INDEX(TblClusters[RAM min (Go)],$B518),"")</f>
        <v/>
      </c>
      <c r="P518" s="19" t="str">
        <f>IF($D518&lt;&gt;1,"",IF($G518="ROKS",SUMIFS(TblApplications[Besoin ROKS CPU (vCPU)],TblApplications[Cluster ROKS cible],$F518,TblApplications[Action],"À migrer",TblApplications[Déjà incluse ROKS],"Non",TblApplications[Mois prov (calc)],"&lt;="&amp;$E518),SUMIFS(TblApplications[CPU IKS libérable (vCPU)],TblApplications[Cluster IKS source],$F518,TblApplications[Mois lib (calc)],"&lt;="&amp;$E518)))</f>
        <v/>
      </c>
      <c r="Q518" s="19" t="str">
        <f>IF($D518&lt;&gt;1,"",IF($G518="ROKS",SUMIFS(TblApplications[Besoin ROKS RAM (Go)],TblApplications[Cluster ROKS cible],$F518,TblApplications[Action],"À migrer",TblApplications[Déjà incluse ROKS],"Non",TblApplications[Mois prov (calc)],"&lt;="&amp;$E518),SUMIFS(TblApplications[RAM IKS libérable (Go)],TblApplications[Cluster IKS source],$F518,TblApplications[Mois lib (calc)],"&lt;="&amp;$E518)))</f>
        <v/>
      </c>
      <c r="R518" s="19" t="str">
        <f t="shared" ref="R518:R581" si="139">IF($D518&lt;&gt;1,"",IF($G518="ROKS",$L518+$P518,IF($AI518=1,0,MAX($N518,$L518-$P518))))</f>
        <v/>
      </c>
      <c r="S518" s="19" t="str">
        <f t="shared" ref="S518:S581" si="140">IF($D518&lt;&gt;1,"",IF($G518="ROKS",$M518+$Q518,IF($AI518=1,0,MAX($O518,$M518-$Q518))))</f>
        <v/>
      </c>
      <c r="T518" s="19" t="str">
        <f t="shared" ref="T518:T581" si="141">IF($D518&lt;&gt;1,"",IF($AI518=1,0,MAX($J518,ROUNDUP(MAX($R518/$H518,$S518/$I518),0))))</f>
        <v/>
      </c>
      <c r="U518" s="19" t="str">
        <f t="shared" ref="U518:U581" si="142">IF($D518&lt;&gt;1,"",IF(p_mode="Nœud",$T518*$H518,$R518))</f>
        <v/>
      </c>
      <c r="V518" s="19" t="str">
        <f t="shared" ref="V518:V581" si="143">IF($D518&lt;&gt;1,"",IF(p_mode="Nœud",$T518*$I518,$S518))</f>
        <v/>
      </c>
      <c r="W518" s="73" t="str">
        <f t="shared" ref="W518:W581" si="144">IF($D518&lt;&gt;1,"",IF(p_mode="Nœud",$T518*$K518,$R518*IF($G518="IKS",p_iks_cpu,p_roks_cpu)+$S518*IF($G518="IKS",p_iks_ram,p_roks_ram))*p_facteur)</f>
        <v/>
      </c>
      <c r="X518" s="19" t="str">
        <f>IF($D518&lt;&gt;1,"",IF($G518="ROKS",$R518,IF($AI518=1,0,MAX($N518,$L518-SUMIFS(TblApplications[CPU IKS libérable (vCPU)],TblApplications[Cluster IKS source],$F518,TblApplications[Action],"À migrer",TblApplications[Mois prov (calc)],"&lt;="&amp;$E518)-SUMIFS(TblApplications[CPU IKS libérable (vCPU)],TblApplications[Cluster IKS source],$F518,TblApplications[Action],"À décommissionner",TblApplications[Mois lib (calc)],"&lt;="&amp;$E518)))))</f>
        <v/>
      </c>
      <c r="Y518" s="19" t="str">
        <f>IF($D518&lt;&gt;1,"",IF($G518="ROKS",$S518,IF($AI518=1,0,MAX($O518,$M518-SUMIFS(TblApplications[RAM IKS libérable (Go)],TblApplications[Cluster IKS source],$F518,TblApplications[Action],"À migrer",TblApplications[Mois prov (calc)],"&lt;="&amp;$E518)-SUMIFS(TblApplications[RAM IKS libérable (Go)],TblApplications[Cluster IKS source],$F518,TblApplications[Action],"À décommissionner",TblApplications[Mois lib (calc)],"&lt;="&amp;$E518)))))</f>
        <v/>
      </c>
      <c r="Z518" s="19" t="str">
        <f t="shared" ref="Z518:Z581" si="145">IF($D518&lt;&gt;1,"",IF($AI518=1,0,MAX($J518,ROUNDUP(MAX($X518/$H518,$Y518/$I518),0))))</f>
        <v/>
      </c>
      <c r="AA518" s="73" t="str">
        <f t="shared" ref="AA518:AA581" si="146">IF($D518&lt;&gt;1,"",IF(p_mode="Nœud",$Z518*$K518,$X518*IF($G518="IKS",p_iks_cpu,p_roks_cpu)+$Y518*IF($G518="IKS",p_iks_ram,p_roks_ram))*p_facteur)</f>
        <v/>
      </c>
      <c r="AB518" s="19" t="str">
        <f t="shared" ref="AB518:AB581" si="147">IF($D518&lt;&gt;1,"",MAX($J518,ROUNDUP(MAX($L518/$H518,$M518/$I518),0)))</f>
        <v/>
      </c>
      <c r="AC518" s="73" t="str">
        <f t="shared" ref="AC518:AC581" si="148">IF($D518&lt;&gt;1,"",IF(p_mode="Nœud",$AB518*$K518,$L518*IF($G518="IKS",p_iks_cpu,p_roks_cpu)+$M518*IF($G518="IKS",p_iks_ram,p_roks_ram))*p_facteur)</f>
        <v/>
      </c>
      <c r="AD518" s="19" t="str">
        <f t="shared" ref="AD518:AD581" si="149">IF($D518&lt;&gt;1,"",IF(AND($G518="IKS",$AI518&lt;&gt;1,OR($L518-$P518&lt;$N518,$M518-$Q518&lt;$O518)),1,0))</f>
        <v/>
      </c>
      <c r="AE518" s="19" t="str">
        <f t="shared" ref="AE518:AE581" si="150">IF($D518&lt;&gt;1,"",IF(AND($G518="ROKS",$T518&gt;p_maxworkers),1,0))</f>
        <v/>
      </c>
      <c r="AF518" s="19" t="str">
        <f>IF($D518&lt;&gt;1,"",IF(INDEX(TblClusters[Environnement],$B518)="","(vide)",INDEX(TblClusters[Environnement],$B518)))</f>
        <v/>
      </c>
      <c r="AG518" s="19" t="str">
        <f t="shared" ref="AG518:AG581" si="151">IF($D518&lt;&gt;1,"",$R518+p_poidsram*$S518)</f>
        <v/>
      </c>
      <c r="AH518" s="19" t="str">
        <f t="shared" ref="AH518:AH581" si="152">IF($D518&lt;&gt;1,"",IFERROR($W518/$AG518,0))</f>
        <v/>
      </c>
      <c r="AI518" s="19" t="str">
        <f>IF($D518&lt;&gt;1,"",IF(AND($G518="IKS",ISNUMBER(INDEX(TblClusters[Fermeture retenue],$B518))),IF($E518&gt;=INDEX(TblClusters[Fermeture retenue],$B518),1,0),0))</f>
        <v/>
      </c>
    </row>
    <row r="519" spans="1:35" x14ac:dyDescent="0.2">
      <c r="A519" s="19">
        <v>514</v>
      </c>
      <c r="B519" s="19">
        <f t="shared" si="136"/>
        <v>15</v>
      </c>
      <c r="C519" s="19">
        <f t="shared" si="137"/>
        <v>10</v>
      </c>
      <c r="D519" s="19">
        <f>IF($C519&gt;p_horizon,0,IFERROR(IF(AND(INDEX(TblClusters[Cluster],$B519)&lt;&gt;"",ISNUMBER(INDEX(TblClusters[CPU initial (vCPU)],$B519)),ISNUMBER(INDEX(TblClusters[CPU min (vCPU)],$B519)),OR(INDEX(TblClusters[Plateforme],$B519)="IKS",INDEX(TblClusters[Plateforme],$B519)="ROKS")),1,0),0))</f>
        <v>0</v>
      </c>
      <c r="E519" s="72" t="str">
        <f t="shared" si="138"/>
        <v/>
      </c>
      <c r="F519" s="19" t="str">
        <f>IF($D519=1,INDEX(TblClusters[Cluster],$B519),"")</f>
        <v/>
      </c>
      <c r="G519" s="19" t="str">
        <f>IF($D519=1,INDEX(TblClusters[Plateforme],$B519),"")</f>
        <v/>
      </c>
      <c r="H519" s="19" t="str">
        <f>IF($D519=1,INDEX(TblClusters[vCPU par nœud],$B519),"")</f>
        <v/>
      </c>
      <c r="I519" s="19" t="str">
        <f>IF($D519=1,INDEX(TblClusters[RAM par nœud (Go)],$B519),"")</f>
        <v/>
      </c>
      <c r="J519" s="19" t="str">
        <f>IF($D519=1,INDEX(TblClusters[Workers min],$B519),"")</f>
        <v/>
      </c>
      <c r="K519" s="73" t="str">
        <f>IF($D519=1,INDEX(TblClusters[Tarif par nœud],$B519),"")</f>
        <v/>
      </c>
      <c r="L519" s="19" t="str">
        <f>IF($D519=1,INDEX(TblClusters[CPU initial (vCPU)],$B519),"")</f>
        <v/>
      </c>
      <c r="M519" s="19" t="str">
        <f>IF($D519=1,INDEX(TblClusters[RAM initiale (Go)],$B519),"")</f>
        <v/>
      </c>
      <c r="N519" s="19" t="str">
        <f>IF($D519=1,INDEX(TblClusters[CPU min (vCPU)],$B519),"")</f>
        <v/>
      </c>
      <c r="O519" s="19" t="str">
        <f>IF($D519=1,INDEX(TblClusters[RAM min (Go)],$B519),"")</f>
        <v/>
      </c>
      <c r="P519" s="19" t="str">
        <f>IF($D519&lt;&gt;1,"",IF($G519="ROKS",SUMIFS(TblApplications[Besoin ROKS CPU (vCPU)],TblApplications[Cluster ROKS cible],$F519,TblApplications[Action],"À migrer",TblApplications[Déjà incluse ROKS],"Non",TblApplications[Mois prov (calc)],"&lt;="&amp;$E519),SUMIFS(TblApplications[CPU IKS libérable (vCPU)],TblApplications[Cluster IKS source],$F519,TblApplications[Mois lib (calc)],"&lt;="&amp;$E519)))</f>
        <v/>
      </c>
      <c r="Q519" s="19" t="str">
        <f>IF($D519&lt;&gt;1,"",IF($G519="ROKS",SUMIFS(TblApplications[Besoin ROKS RAM (Go)],TblApplications[Cluster ROKS cible],$F519,TblApplications[Action],"À migrer",TblApplications[Déjà incluse ROKS],"Non",TblApplications[Mois prov (calc)],"&lt;="&amp;$E519),SUMIFS(TblApplications[RAM IKS libérable (Go)],TblApplications[Cluster IKS source],$F519,TblApplications[Mois lib (calc)],"&lt;="&amp;$E519)))</f>
        <v/>
      </c>
      <c r="R519" s="19" t="str">
        <f t="shared" si="139"/>
        <v/>
      </c>
      <c r="S519" s="19" t="str">
        <f t="shared" si="140"/>
        <v/>
      </c>
      <c r="T519" s="19" t="str">
        <f t="shared" si="141"/>
        <v/>
      </c>
      <c r="U519" s="19" t="str">
        <f t="shared" si="142"/>
        <v/>
      </c>
      <c r="V519" s="19" t="str">
        <f t="shared" si="143"/>
        <v/>
      </c>
      <c r="W519" s="73" t="str">
        <f t="shared" si="144"/>
        <v/>
      </c>
      <c r="X519" s="19" t="str">
        <f>IF($D519&lt;&gt;1,"",IF($G519="ROKS",$R519,IF($AI519=1,0,MAX($N519,$L519-SUMIFS(TblApplications[CPU IKS libérable (vCPU)],TblApplications[Cluster IKS source],$F519,TblApplications[Action],"À migrer",TblApplications[Mois prov (calc)],"&lt;="&amp;$E519)-SUMIFS(TblApplications[CPU IKS libérable (vCPU)],TblApplications[Cluster IKS source],$F519,TblApplications[Action],"À décommissionner",TblApplications[Mois lib (calc)],"&lt;="&amp;$E519)))))</f>
        <v/>
      </c>
      <c r="Y519" s="19" t="str">
        <f>IF($D519&lt;&gt;1,"",IF($G519="ROKS",$S519,IF($AI519=1,0,MAX($O519,$M519-SUMIFS(TblApplications[RAM IKS libérable (Go)],TblApplications[Cluster IKS source],$F519,TblApplications[Action],"À migrer",TblApplications[Mois prov (calc)],"&lt;="&amp;$E519)-SUMIFS(TblApplications[RAM IKS libérable (Go)],TblApplications[Cluster IKS source],$F519,TblApplications[Action],"À décommissionner",TblApplications[Mois lib (calc)],"&lt;="&amp;$E519)))))</f>
        <v/>
      </c>
      <c r="Z519" s="19" t="str">
        <f t="shared" si="145"/>
        <v/>
      </c>
      <c r="AA519" s="73" t="str">
        <f t="shared" si="146"/>
        <v/>
      </c>
      <c r="AB519" s="19" t="str">
        <f t="shared" si="147"/>
        <v/>
      </c>
      <c r="AC519" s="73" t="str">
        <f t="shared" si="148"/>
        <v/>
      </c>
      <c r="AD519" s="19" t="str">
        <f t="shared" si="149"/>
        <v/>
      </c>
      <c r="AE519" s="19" t="str">
        <f t="shared" si="150"/>
        <v/>
      </c>
      <c r="AF519" s="19" t="str">
        <f>IF($D519&lt;&gt;1,"",IF(INDEX(TblClusters[Environnement],$B519)="","(vide)",INDEX(TblClusters[Environnement],$B519)))</f>
        <v/>
      </c>
      <c r="AG519" s="19" t="str">
        <f t="shared" si="151"/>
        <v/>
      </c>
      <c r="AH519" s="19" t="str">
        <f t="shared" si="152"/>
        <v/>
      </c>
      <c r="AI519" s="19" t="str">
        <f>IF($D519&lt;&gt;1,"",IF(AND($G519="IKS",ISNUMBER(INDEX(TblClusters[Fermeture retenue],$B519))),IF($E519&gt;=INDEX(TblClusters[Fermeture retenue],$B519),1,0),0))</f>
        <v/>
      </c>
    </row>
    <row r="520" spans="1:35" x14ac:dyDescent="0.2">
      <c r="A520" s="19">
        <v>515</v>
      </c>
      <c r="B520" s="19">
        <f t="shared" si="136"/>
        <v>15</v>
      </c>
      <c r="C520" s="19">
        <f t="shared" si="137"/>
        <v>11</v>
      </c>
      <c r="D520" s="19">
        <f>IF($C520&gt;p_horizon,0,IFERROR(IF(AND(INDEX(TblClusters[Cluster],$B520)&lt;&gt;"",ISNUMBER(INDEX(TblClusters[CPU initial (vCPU)],$B520)),ISNUMBER(INDEX(TblClusters[CPU min (vCPU)],$B520)),OR(INDEX(TblClusters[Plateforme],$B520)="IKS",INDEX(TblClusters[Plateforme],$B520)="ROKS")),1,0),0))</f>
        <v>0</v>
      </c>
      <c r="E520" s="72" t="str">
        <f t="shared" si="138"/>
        <v/>
      </c>
      <c r="F520" s="19" t="str">
        <f>IF($D520=1,INDEX(TblClusters[Cluster],$B520),"")</f>
        <v/>
      </c>
      <c r="G520" s="19" t="str">
        <f>IF($D520=1,INDEX(TblClusters[Plateforme],$B520),"")</f>
        <v/>
      </c>
      <c r="H520" s="19" t="str">
        <f>IF($D520=1,INDEX(TblClusters[vCPU par nœud],$B520),"")</f>
        <v/>
      </c>
      <c r="I520" s="19" t="str">
        <f>IF($D520=1,INDEX(TblClusters[RAM par nœud (Go)],$B520),"")</f>
        <v/>
      </c>
      <c r="J520" s="19" t="str">
        <f>IF($D520=1,INDEX(TblClusters[Workers min],$B520),"")</f>
        <v/>
      </c>
      <c r="K520" s="73" t="str">
        <f>IF($D520=1,INDEX(TblClusters[Tarif par nœud],$B520),"")</f>
        <v/>
      </c>
      <c r="L520" s="19" t="str">
        <f>IF($D520=1,INDEX(TblClusters[CPU initial (vCPU)],$B520),"")</f>
        <v/>
      </c>
      <c r="M520" s="19" t="str">
        <f>IF($D520=1,INDEX(TblClusters[RAM initiale (Go)],$B520),"")</f>
        <v/>
      </c>
      <c r="N520" s="19" t="str">
        <f>IF($D520=1,INDEX(TblClusters[CPU min (vCPU)],$B520),"")</f>
        <v/>
      </c>
      <c r="O520" s="19" t="str">
        <f>IF($D520=1,INDEX(TblClusters[RAM min (Go)],$B520),"")</f>
        <v/>
      </c>
      <c r="P520" s="19" t="str">
        <f>IF($D520&lt;&gt;1,"",IF($G520="ROKS",SUMIFS(TblApplications[Besoin ROKS CPU (vCPU)],TblApplications[Cluster ROKS cible],$F520,TblApplications[Action],"À migrer",TblApplications[Déjà incluse ROKS],"Non",TblApplications[Mois prov (calc)],"&lt;="&amp;$E520),SUMIFS(TblApplications[CPU IKS libérable (vCPU)],TblApplications[Cluster IKS source],$F520,TblApplications[Mois lib (calc)],"&lt;="&amp;$E520)))</f>
        <v/>
      </c>
      <c r="Q520" s="19" t="str">
        <f>IF($D520&lt;&gt;1,"",IF($G520="ROKS",SUMIFS(TblApplications[Besoin ROKS RAM (Go)],TblApplications[Cluster ROKS cible],$F520,TblApplications[Action],"À migrer",TblApplications[Déjà incluse ROKS],"Non",TblApplications[Mois prov (calc)],"&lt;="&amp;$E520),SUMIFS(TblApplications[RAM IKS libérable (Go)],TblApplications[Cluster IKS source],$F520,TblApplications[Mois lib (calc)],"&lt;="&amp;$E520)))</f>
        <v/>
      </c>
      <c r="R520" s="19" t="str">
        <f t="shared" si="139"/>
        <v/>
      </c>
      <c r="S520" s="19" t="str">
        <f t="shared" si="140"/>
        <v/>
      </c>
      <c r="T520" s="19" t="str">
        <f t="shared" si="141"/>
        <v/>
      </c>
      <c r="U520" s="19" t="str">
        <f t="shared" si="142"/>
        <v/>
      </c>
      <c r="V520" s="19" t="str">
        <f t="shared" si="143"/>
        <v/>
      </c>
      <c r="W520" s="73" t="str">
        <f t="shared" si="144"/>
        <v/>
      </c>
      <c r="X520" s="19" t="str">
        <f>IF($D520&lt;&gt;1,"",IF($G520="ROKS",$R520,IF($AI520=1,0,MAX($N520,$L520-SUMIFS(TblApplications[CPU IKS libérable (vCPU)],TblApplications[Cluster IKS source],$F520,TblApplications[Action],"À migrer",TblApplications[Mois prov (calc)],"&lt;="&amp;$E520)-SUMIFS(TblApplications[CPU IKS libérable (vCPU)],TblApplications[Cluster IKS source],$F520,TblApplications[Action],"À décommissionner",TblApplications[Mois lib (calc)],"&lt;="&amp;$E520)))))</f>
        <v/>
      </c>
      <c r="Y520" s="19" t="str">
        <f>IF($D520&lt;&gt;1,"",IF($G520="ROKS",$S520,IF($AI520=1,0,MAX($O520,$M520-SUMIFS(TblApplications[RAM IKS libérable (Go)],TblApplications[Cluster IKS source],$F520,TblApplications[Action],"À migrer",TblApplications[Mois prov (calc)],"&lt;="&amp;$E520)-SUMIFS(TblApplications[RAM IKS libérable (Go)],TblApplications[Cluster IKS source],$F520,TblApplications[Action],"À décommissionner",TblApplications[Mois lib (calc)],"&lt;="&amp;$E520)))))</f>
        <v/>
      </c>
      <c r="Z520" s="19" t="str">
        <f t="shared" si="145"/>
        <v/>
      </c>
      <c r="AA520" s="73" t="str">
        <f t="shared" si="146"/>
        <v/>
      </c>
      <c r="AB520" s="19" t="str">
        <f t="shared" si="147"/>
        <v/>
      </c>
      <c r="AC520" s="73" t="str">
        <f t="shared" si="148"/>
        <v/>
      </c>
      <c r="AD520" s="19" t="str">
        <f t="shared" si="149"/>
        <v/>
      </c>
      <c r="AE520" s="19" t="str">
        <f t="shared" si="150"/>
        <v/>
      </c>
      <c r="AF520" s="19" t="str">
        <f>IF($D520&lt;&gt;1,"",IF(INDEX(TblClusters[Environnement],$B520)="","(vide)",INDEX(TblClusters[Environnement],$B520)))</f>
        <v/>
      </c>
      <c r="AG520" s="19" t="str">
        <f t="shared" si="151"/>
        <v/>
      </c>
      <c r="AH520" s="19" t="str">
        <f t="shared" si="152"/>
        <v/>
      </c>
      <c r="AI520" s="19" t="str">
        <f>IF($D520&lt;&gt;1,"",IF(AND($G520="IKS",ISNUMBER(INDEX(TblClusters[Fermeture retenue],$B520))),IF($E520&gt;=INDEX(TblClusters[Fermeture retenue],$B520),1,0),0))</f>
        <v/>
      </c>
    </row>
    <row r="521" spans="1:35" x14ac:dyDescent="0.2">
      <c r="A521" s="19">
        <v>516</v>
      </c>
      <c r="B521" s="19">
        <f t="shared" si="136"/>
        <v>15</v>
      </c>
      <c r="C521" s="19">
        <f t="shared" si="137"/>
        <v>12</v>
      </c>
      <c r="D521" s="19">
        <f>IF($C521&gt;p_horizon,0,IFERROR(IF(AND(INDEX(TblClusters[Cluster],$B521)&lt;&gt;"",ISNUMBER(INDEX(TblClusters[CPU initial (vCPU)],$B521)),ISNUMBER(INDEX(TblClusters[CPU min (vCPU)],$B521)),OR(INDEX(TblClusters[Plateforme],$B521)="IKS",INDEX(TblClusters[Plateforme],$B521)="ROKS")),1,0),0))</f>
        <v>0</v>
      </c>
      <c r="E521" s="72" t="str">
        <f t="shared" si="138"/>
        <v/>
      </c>
      <c r="F521" s="19" t="str">
        <f>IF($D521=1,INDEX(TblClusters[Cluster],$B521),"")</f>
        <v/>
      </c>
      <c r="G521" s="19" t="str">
        <f>IF($D521=1,INDEX(TblClusters[Plateforme],$B521),"")</f>
        <v/>
      </c>
      <c r="H521" s="19" t="str">
        <f>IF($D521=1,INDEX(TblClusters[vCPU par nœud],$B521),"")</f>
        <v/>
      </c>
      <c r="I521" s="19" t="str">
        <f>IF($D521=1,INDEX(TblClusters[RAM par nœud (Go)],$B521),"")</f>
        <v/>
      </c>
      <c r="J521" s="19" t="str">
        <f>IF($D521=1,INDEX(TblClusters[Workers min],$B521),"")</f>
        <v/>
      </c>
      <c r="K521" s="73" t="str">
        <f>IF($D521=1,INDEX(TblClusters[Tarif par nœud],$B521),"")</f>
        <v/>
      </c>
      <c r="L521" s="19" t="str">
        <f>IF($D521=1,INDEX(TblClusters[CPU initial (vCPU)],$B521),"")</f>
        <v/>
      </c>
      <c r="M521" s="19" t="str">
        <f>IF($D521=1,INDEX(TblClusters[RAM initiale (Go)],$B521),"")</f>
        <v/>
      </c>
      <c r="N521" s="19" t="str">
        <f>IF($D521=1,INDEX(TblClusters[CPU min (vCPU)],$B521),"")</f>
        <v/>
      </c>
      <c r="O521" s="19" t="str">
        <f>IF($D521=1,INDEX(TblClusters[RAM min (Go)],$B521),"")</f>
        <v/>
      </c>
      <c r="P521" s="19" t="str">
        <f>IF($D521&lt;&gt;1,"",IF($G521="ROKS",SUMIFS(TblApplications[Besoin ROKS CPU (vCPU)],TblApplications[Cluster ROKS cible],$F521,TblApplications[Action],"À migrer",TblApplications[Déjà incluse ROKS],"Non",TblApplications[Mois prov (calc)],"&lt;="&amp;$E521),SUMIFS(TblApplications[CPU IKS libérable (vCPU)],TblApplications[Cluster IKS source],$F521,TblApplications[Mois lib (calc)],"&lt;="&amp;$E521)))</f>
        <v/>
      </c>
      <c r="Q521" s="19" t="str">
        <f>IF($D521&lt;&gt;1,"",IF($G521="ROKS",SUMIFS(TblApplications[Besoin ROKS RAM (Go)],TblApplications[Cluster ROKS cible],$F521,TblApplications[Action],"À migrer",TblApplications[Déjà incluse ROKS],"Non",TblApplications[Mois prov (calc)],"&lt;="&amp;$E521),SUMIFS(TblApplications[RAM IKS libérable (Go)],TblApplications[Cluster IKS source],$F521,TblApplications[Mois lib (calc)],"&lt;="&amp;$E521)))</f>
        <v/>
      </c>
      <c r="R521" s="19" t="str">
        <f t="shared" si="139"/>
        <v/>
      </c>
      <c r="S521" s="19" t="str">
        <f t="shared" si="140"/>
        <v/>
      </c>
      <c r="T521" s="19" t="str">
        <f t="shared" si="141"/>
        <v/>
      </c>
      <c r="U521" s="19" t="str">
        <f t="shared" si="142"/>
        <v/>
      </c>
      <c r="V521" s="19" t="str">
        <f t="shared" si="143"/>
        <v/>
      </c>
      <c r="W521" s="73" t="str">
        <f t="shared" si="144"/>
        <v/>
      </c>
      <c r="X521" s="19" t="str">
        <f>IF($D521&lt;&gt;1,"",IF($G521="ROKS",$R521,IF($AI521=1,0,MAX($N521,$L521-SUMIFS(TblApplications[CPU IKS libérable (vCPU)],TblApplications[Cluster IKS source],$F521,TblApplications[Action],"À migrer",TblApplications[Mois prov (calc)],"&lt;="&amp;$E521)-SUMIFS(TblApplications[CPU IKS libérable (vCPU)],TblApplications[Cluster IKS source],$F521,TblApplications[Action],"À décommissionner",TblApplications[Mois lib (calc)],"&lt;="&amp;$E521)))))</f>
        <v/>
      </c>
      <c r="Y521" s="19" t="str">
        <f>IF($D521&lt;&gt;1,"",IF($G521="ROKS",$S521,IF($AI521=1,0,MAX($O521,$M521-SUMIFS(TblApplications[RAM IKS libérable (Go)],TblApplications[Cluster IKS source],$F521,TblApplications[Action],"À migrer",TblApplications[Mois prov (calc)],"&lt;="&amp;$E521)-SUMIFS(TblApplications[RAM IKS libérable (Go)],TblApplications[Cluster IKS source],$F521,TblApplications[Action],"À décommissionner",TblApplications[Mois lib (calc)],"&lt;="&amp;$E521)))))</f>
        <v/>
      </c>
      <c r="Z521" s="19" t="str">
        <f t="shared" si="145"/>
        <v/>
      </c>
      <c r="AA521" s="73" t="str">
        <f t="shared" si="146"/>
        <v/>
      </c>
      <c r="AB521" s="19" t="str">
        <f t="shared" si="147"/>
        <v/>
      </c>
      <c r="AC521" s="73" t="str">
        <f t="shared" si="148"/>
        <v/>
      </c>
      <c r="AD521" s="19" t="str">
        <f t="shared" si="149"/>
        <v/>
      </c>
      <c r="AE521" s="19" t="str">
        <f t="shared" si="150"/>
        <v/>
      </c>
      <c r="AF521" s="19" t="str">
        <f>IF($D521&lt;&gt;1,"",IF(INDEX(TblClusters[Environnement],$B521)="","(vide)",INDEX(TblClusters[Environnement],$B521)))</f>
        <v/>
      </c>
      <c r="AG521" s="19" t="str">
        <f t="shared" si="151"/>
        <v/>
      </c>
      <c r="AH521" s="19" t="str">
        <f t="shared" si="152"/>
        <v/>
      </c>
      <c r="AI521" s="19" t="str">
        <f>IF($D521&lt;&gt;1,"",IF(AND($G521="IKS",ISNUMBER(INDEX(TblClusters[Fermeture retenue],$B521))),IF($E521&gt;=INDEX(TblClusters[Fermeture retenue],$B521),1,0),0))</f>
        <v/>
      </c>
    </row>
    <row r="522" spans="1:35" x14ac:dyDescent="0.2">
      <c r="A522" s="19">
        <v>517</v>
      </c>
      <c r="B522" s="19">
        <f t="shared" si="136"/>
        <v>15</v>
      </c>
      <c r="C522" s="19">
        <f t="shared" si="137"/>
        <v>13</v>
      </c>
      <c r="D522" s="19">
        <f>IF($C522&gt;p_horizon,0,IFERROR(IF(AND(INDEX(TblClusters[Cluster],$B522)&lt;&gt;"",ISNUMBER(INDEX(TblClusters[CPU initial (vCPU)],$B522)),ISNUMBER(INDEX(TblClusters[CPU min (vCPU)],$B522)),OR(INDEX(TblClusters[Plateforme],$B522)="IKS",INDEX(TblClusters[Plateforme],$B522)="ROKS")),1,0),0))</f>
        <v>0</v>
      </c>
      <c r="E522" s="72" t="str">
        <f t="shared" si="138"/>
        <v/>
      </c>
      <c r="F522" s="19" t="str">
        <f>IF($D522=1,INDEX(TblClusters[Cluster],$B522),"")</f>
        <v/>
      </c>
      <c r="G522" s="19" t="str">
        <f>IF($D522=1,INDEX(TblClusters[Plateforme],$B522),"")</f>
        <v/>
      </c>
      <c r="H522" s="19" t="str">
        <f>IF($D522=1,INDEX(TblClusters[vCPU par nœud],$B522),"")</f>
        <v/>
      </c>
      <c r="I522" s="19" t="str">
        <f>IF($D522=1,INDEX(TblClusters[RAM par nœud (Go)],$B522),"")</f>
        <v/>
      </c>
      <c r="J522" s="19" t="str">
        <f>IF($D522=1,INDEX(TblClusters[Workers min],$B522),"")</f>
        <v/>
      </c>
      <c r="K522" s="73" t="str">
        <f>IF($D522=1,INDEX(TblClusters[Tarif par nœud],$B522),"")</f>
        <v/>
      </c>
      <c r="L522" s="19" t="str">
        <f>IF($D522=1,INDEX(TblClusters[CPU initial (vCPU)],$B522),"")</f>
        <v/>
      </c>
      <c r="M522" s="19" t="str">
        <f>IF($D522=1,INDEX(TblClusters[RAM initiale (Go)],$B522),"")</f>
        <v/>
      </c>
      <c r="N522" s="19" t="str">
        <f>IF($D522=1,INDEX(TblClusters[CPU min (vCPU)],$B522),"")</f>
        <v/>
      </c>
      <c r="O522" s="19" t="str">
        <f>IF($D522=1,INDEX(TblClusters[RAM min (Go)],$B522),"")</f>
        <v/>
      </c>
      <c r="P522" s="19" t="str">
        <f>IF($D522&lt;&gt;1,"",IF($G522="ROKS",SUMIFS(TblApplications[Besoin ROKS CPU (vCPU)],TblApplications[Cluster ROKS cible],$F522,TblApplications[Action],"À migrer",TblApplications[Déjà incluse ROKS],"Non",TblApplications[Mois prov (calc)],"&lt;="&amp;$E522),SUMIFS(TblApplications[CPU IKS libérable (vCPU)],TblApplications[Cluster IKS source],$F522,TblApplications[Mois lib (calc)],"&lt;="&amp;$E522)))</f>
        <v/>
      </c>
      <c r="Q522" s="19" t="str">
        <f>IF($D522&lt;&gt;1,"",IF($G522="ROKS",SUMIFS(TblApplications[Besoin ROKS RAM (Go)],TblApplications[Cluster ROKS cible],$F522,TblApplications[Action],"À migrer",TblApplications[Déjà incluse ROKS],"Non",TblApplications[Mois prov (calc)],"&lt;="&amp;$E522),SUMIFS(TblApplications[RAM IKS libérable (Go)],TblApplications[Cluster IKS source],$F522,TblApplications[Mois lib (calc)],"&lt;="&amp;$E522)))</f>
        <v/>
      </c>
      <c r="R522" s="19" t="str">
        <f t="shared" si="139"/>
        <v/>
      </c>
      <c r="S522" s="19" t="str">
        <f t="shared" si="140"/>
        <v/>
      </c>
      <c r="T522" s="19" t="str">
        <f t="shared" si="141"/>
        <v/>
      </c>
      <c r="U522" s="19" t="str">
        <f t="shared" si="142"/>
        <v/>
      </c>
      <c r="V522" s="19" t="str">
        <f t="shared" si="143"/>
        <v/>
      </c>
      <c r="W522" s="73" t="str">
        <f t="shared" si="144"/>
        <v/>
      </c>
      <c r="X522" s="19" t="str">
        <f>IF($D522&lt;&gt;1,"",IF($G522="ROKS",$R522,IF($AI522=1,0,MAX($N522,$L522-SUMIFS(TblApplications[CPU IKS libérable (vCPU)],TblApplications[Cluster IKS source],$F522,TblApplications[Action],"À migrer",TblApplications[Mois prov (calc)],"&lt;="&amp;$E522)-SUMIFS(TblApplications[CPU IKS libérable (vCPU)],TblApplications[Cluster IKS source],$F522,TblApplications[Action],"À décommissionner",TblApplications[Mois lib (calc)],"&lt;="&amp;$E522)))))</f>
        <v/>
      </c>
      <c r="Y522" s="19" t="str">
        <f>IF($D522&lt;&gt;1,"",IF($G522="ROKS",$S522,IF($AI522=1,0,MAX($O522,$M522-SUMIFS(TblApplications[RAM IKS libérable (Go)],TblApplications[Cluster IKS source],$F522,TblApplications[Action],"À migrer",TblApplications[Mois prov (calc)],"&lt;="&amp;$E522)-SUMIFS(TblApplications[RAM IKS libérable (Go)],TblApplications[Cluster IKS source],$F522,TblApplications[Action],"À décommissionner",TblApplications[Mois lib (calc)],"&lt;="&amp;$E522)))))</f>
        <v/>
      </c>
      <c r="Z522" s="19" t="str">
        <f t="shared" si="145"/>
        <v/>
      </c>
      <c r="AA522" s="73" t="str">
        <f t="shared" si="146"/>
        <v/>
      </c>
      <c r="AB522" s="19" t="str">
        <f t="shared" si="147"/>
        <v/>
      </c>
      <c r="AC522" s="73" t="str">
        <f t="shared" si="148"/>
        <v/>
      </c>
      <c r="AD522" s="19" t="str">
        <f t="shared" si="149"/>
        <v/>
      </c>
      <c r="AE522" s="19" t="str">
        <f t="shared" si="150"/>
        <v/>
      </c>
      <c r="AF522" s="19" t="str">
        <f>IF($D522&lt;&gt;1,"",IF(INDEX(TblClusters[Environnement],$B522)="","(vide)",INDEX(TblClusters[Environnement],$B522)))</f>
        <v/>
      </c>
      <c r="AG522" s="19" t="str">
        <f t="shared" si="151"/>
        <v/>
      </c>
      <c r="AH522" s="19" t="str">
        <f t="shared" si="152"/>
        <v/>
      </c>
      <c r="AI522" s="19" t="str">
        <f>IF($D522&lt;&gt;1,"",IF(AND($G522="IKS",ISNUMBER(INDEX(TblClusters[Fermeture retenue],$B522))),IF($E522&gt;=INDEX(TblClusters[Fermeture retenue],$B522),1,0),0))</f>
        <v/>
      </c>
    </row>
    <row r="523" spans="1:35" x14ac:dyDescent="0.2">
      <c r="A523" s="19">
        <v>518</v>
      </c>
      <c r="B523" s="19">
        <f t="shared" si="136"/>
        <v>15</v>
      </c>
      <c r="C523" s="19">
        <f t="shared" si="137"/>
        <v>14</v>
      </c>
      <c r="D523" s="19">
        <f>IF($C523&gt;p_horizon,0,IFERROR(IF(AND(INDEX(TblClusters[Cluster],$B523)&lt;&gt;"",ISNUMBER(INDEX(TblClusters[CPU initial (vCPU)],$B523)),ISNUMBER(INDEX(TblClusters[CPU min (vCPU)],$B523)),OR(INDEX(TblClusters[Plateforme],$B523)="IKS",INDEX(TblClusters[Plateforme],$B523)="ROKS")),1,0),0))</f>
        <v>0</v>
      </c>
      <c r="E523" s="72" t="str">
        <f t="shared" si="138"/>
        <v/>
      </c>
      <c r="F523" s="19" t="str">
        <f>IF($D523=1,INDEX(TblClusters[Cluster],$B523),"")</f>
        <v/>
      </c>
      <c r="G523" s="19" t="str">
        <f>IF($D523=1,INDEX(TblClusters[Plateforme],$B523),"")</f>
        <v/>
      </c>
      <c r="H523" s="19" t="str">
        <f>IF($D523=1,INDEX(TblClusters[vCPU par nœud],$B523),"")</f>
        <v/>
      </c>
      <c r="I523" s="19" t="str">
        <f>IF($D523=1,INDEX(TblClusters[RAM par nœud (Go)],$B523),"")</f>
        <v/>
      </c>
      <c r="J523" s="19" t="str">
        <f>IF($D523=1,INDEX(TblClusters[Workers min],$B523),"")</f>
        <v/>
      </c>
      <c r="K523" s="73" t="str">
        <f>IF($D523=1,INDEX(TblClusters[Tarif par nœud],$B523),"")</f>
        <v/>
      </c>
      <c r="L523" s="19" t="str">
        <f>IF($D523=1,INDEX(TblClusters[CPU initial (vCPU)],$B523),"")</f>
        <v/>
      </c>
      <c r="M523" s="19" t="str">
        <f>IF($D523=1,INDEX(TblClusters[RAM initiale (Go)],$B523),"")</f>
        <v/>
      </c>
      <c r="N523" s="19" t="str">
        <f>IF($D523=1,INDEX(TblClusters[CPU min (vCPU)],$B523),"")</f>
        <v/>
      </c>
      <c r="O523" s="19" t="str">
        <f>IF($D523=1,INDEX(TblClusters[RAM min (Go)],$B523),"")</f>
        <v/>
      </c>
      <c r="P523" s="19" t="str">
        <f>IF($D523&lt;&gt;1,"",IF($G523="ROKS",SUMIFS(TblApplications[Besoin ROKS CPU (vCPU)],TblApplications[Cluster ROKS cible],$F523,TblApplications[Action],"À migrer",TblApplications[Déjà incluse ROKS],"Non",TblApplications[Mois prov (calc)],"&lt;="&amp;$E523),SUMIFS(TblApplications[CPU IKS libérable (vCPU)],TblApplications[Cluster IKS source],$F523,TblApplications[Mois lib (calc)],"&lt;="&amp;$E523)))</f>
        <v/>
      </c>
      <c r="Q523" s="19" t="str">
        <f>IF($D523&lt;&gt;1,"",IF($G523="ROKS",SUMIFS(TblApplications[Besoin ROKS RAM (Go)],TblApplications[Cluster ROKS cible],$F523,TblApplications[Action],"À migrer",TblApplications[Déjà incluse ROKS],"Non",TblApplications[Mois prov (calc)],"&lt;="&amp;$E523),SUMIFS(TblApplications[RAM IKS libérable (Go)],TblApplications[Cluster IKS source],$F523,TblApplications[Mois lib (calc)],"&lt;="&amp;$E523)))</f>
        <v/>
      </c>
      <c r="R523" s="19" t="str">
        <f t="shared" si="139"/>
        <v/>
      </c>
      <c r="S523" s="19" t="str">
        <f t="shared" si="140"/>
        <v/>
      </c>
      <c r="T523" s="19" t="str">
        <f t="shared" si="141"/>
        <v/>
      </c>
      <c r="U523" s="19" t="str">
        <f t="shared" si="142"/>
        <v/>
      </c>
      <c r="V523" s="19" t="str">
        <f t="shared" si="143"/>
        <v/>
      </c>
      <c r="W523" s="73" t="str">
        <f t="shared" si="144"/>
        <v/>
      </c>
      <c r="X523" s="19" t="str">
        <f>IF($D523&lt;&gt;1,"",IF($G523="ROKS",$R523,IF($AI523=1,0,MAX($N523,$L523-SUMIFS(TblApplications[CPU IKS libérable (vCPU)],TblApplications[Cluster IKS source],$F523,TblApplications[Action],"À migrer",TblApplications[Mois prov (calc)],"&lt;="&amp;$E523)-SUMIFS(TblApplications[CPU IKS libérable (vCPU)],TblApplications[Cluster IKS source],$F523,TblApplications[Action],"À décommissionner",TblApplications[Mois lib (calc)],"&lt;="&amp;$E523)))))</f>
        <v/>
      </c>
      <c r="Y523" s="19" t="str">
        <f>IF($D523&lt;&gt;1,"",IF($G523="ROKS",$S523,IF($AI523=1,0,MAX($O523,$M523-SUMIFS(TblApplications[RAM IKS libérable (Go)],TblApplications[Cluster IKS source],$F523,TblApplications[Action],"À migrer",TblApplications[Mois prov (calc)],"&lt;="&amp;$E523)-SUMIFS(TblApplications[RAM IKS libérable (Go)],TblApplications[Cluster IKS source],$F523,TblApplications[Action],"À décommissionner",TblApplications[Mois lib (calc)],"&lt;="&amp;$E523)))))</f>
        <v/>
      </c>
      <c r="Z523" s="19" t="str">
        <f t="shared" si="145"/>
        <v/>
      </c>
      <c r="AA523" s="73" t="str">
        <f t="shared" si="146"/>
        <v/>
      </c>
      <c r="AB523" s="19" t="str">
        <f t="shared" si="147"/>
        <v/>
      </c>
      <c r="AC523" s="73" t="str">
        <f t="shared" si="148"/>
        <v/>
      </c>
      <c r="AD523" s="19" t="str">
        <f t="shared" si="149"/>
        <v/>
      </c>
      <c r="AE523" s="19" t="str">
        <f t="shared" si="150"/>
        <v/>
      </c>
      <c r="AF523" s="19" t="str">
        <f>IF($D523&lt;&gt;1,"",IF(INDEX(TblClusters[Environnement],$B523)="","(vide)",INDEX(TblClusters[Environnement],$B523)))</f>
        <v/>
      </c>
      <c r="AG523" s="19" t="str">
        <f t="shared" si="151"/>
        <v/>
      </c>
      <c r="AH523" s="19" t="str">
        <f t="shared" si="152"/>
        <v/>
      </c>
      <c r="AI523" s="19" t="str">
        <f>IF($D523&lt;&gt;1,"",IF(AND($G523="IKS",ISNUMBER(INDEX(TblClusters[Fermeture retenue],$B523))),IF($E523&gt;=INDEX(TblClusters[Fermeture retenue],$B523),1,0),0))</f>
        <v/>
      </c>
    </row>
    <row r="524" spans="1:35" x14ac:dyDescent="0.2">
      <c r="A524" s="19">
        <v>519</v>
      </c>
      <c r="B524" s="19">
        <f t="shared" si="136"/>
        <v>15</v>
      </c>
      <c r="C524" s="19">
        <f t="shared" si="137"/>
        <v>15</v>
      </c>
      <c r="D524" s="19">
        <f>IF($C524&gt;p_horizon,0,IFERROR(IF(AND(INDEX(TblClusters[Cluster],$B524)&lt;&gt;"",ISNUMBER(INDEX(TblClusters[CPU initial (vCPU)],$B524)),ISNUMBER(INDEX(TblClusters[CPU min (vCPU)],$B524)),OR(INDEX(TblClusters[Plateforme],$B524)="IKS",INDEX(TblClusters[Plateforme],$B524)="ROKS")),1,0),0))</f>
        <v>0</v>
      </c>
      <c r="E524" s="72" t="str">
        <f t="shared" si="138"/>
        <v/>
      </c>
      <c r="F524" s="19" t="str">
        <f>IF($D524=1,INDEX(TblClusters[Cluster],$B524),"")</f>
        <v/>
      </c>
      <c r="G524" s="19" t="str">
        <f>IF($D524=1,INDEX(TblClusters[Plateforme],$B524),"")</f>
        <v/>
      </c>
      <c r="H524" s="19" t="str">
        <f>IF($D524=1,INDEX(TblClusters[vCPU par nœud],$B524),"")</f>
        <v/>
      </c>
      <c r="I524" s="19" t="str">
        <f>IF($D524=1,INDEX(TblClusters[RAM par nœud (Go)],$B524),"")</f>
        <v/>
      </c>
      <c r="J524" s="19" t="str">
        <f>IF($D524=1,INDEX(TblClusters[Workers min],$B524),"")</f>
        <v/>
      </c>
      <c r="K524" s="73" t="str">
        <f>IF($D524=1,INDEX(TblClusters[Tarif par nœud],$B524),"")</f>
        <v/>
      </c>
      <c r="L524" s="19" t="str">
        <f>IF($D524=1,INDEX(TblClusters[CPU initial (vCPU)],$B524),"")</f>
        <v/>
      </c>
      <c r="M524" s="19" t="str">
        <f>IF($D524=1,INDEX(TblClusters[RAM initiale (Go)],$B524),"")</f>
        <v/>
      </c>
      <c r="N524" s="19" t="str">
        <f>IF($D524=1,INDEX(TblClusters[CPU min (vCPU)],$B524),"")</f>
        <v/>
      </c>
      <c r="O524" s="19" t="str">
        <f>IF($D524=1,INDEX(TblClusters[RAM min (Go)],$B524),"")</f>
        <v/>
      </c>
      <c r="P524" s="19" t="str">
        <f>IF($D524&lt;&gt;1,"",IF($G524="ROKS",SUMIFS(TblApplications[Besoin ROKS CPU (vCPU)],TblApplications[Cluster ROKS cible],$F524,TblApplications[Action],"À migrer",TblApplications[Déjà incluse ROKS],"Non",TblApplications[Mois prov (calc)],"&lt;="&amp;$E524),SUMIFS(TblApplications[CPU IKS libérable (vCPU)],TblApplications[Cluster IKS source],$F524,TblApplications[Mois lib (calc)],"&lt;="&amp;$E524)))</f>
        <v/>
      </c>
      <c r="Q524" s="19" t="str">
        <f>IF($D524&lt;&gt;1,"",IF($G524="ROKS",SUMIFS(TblApplications[Besoin ROKS RAM (Go)],TblApplications[Cluster ROKS cible],$F524,TblApplications[Action],"À migrer",TblApplications[Déjà incluse ROKS],"Non",TblApplications[Mois prov (calc)],"&lt;="&amp;$E524),SUMIFS(TblApplications[RAM IKS libérable (Go)],TblApplications[Cluster IKS source],$F524,TblApplications[Mois lib (calc)],"&lt;="&amp;$E524)))</f>
        <v/>
      </c>
      <c r="R524" s="19" t="str">
        <f t="shared" si="139"/>
        <v/>
      </c>
      <c r="S524" s="19" t="str">
        <f t="shared" si="140"/>
        <v/>
      </c>
      <c r="T524" s="19" t="str">
        <f t="shared" si="141"/>
        <v/>
      </c>
      <c r="U524" s="19" t="str">
        <f t="shared" si="142"/>
        <v/>
      </c>
      <c r="V524" s="19" t="str">
        <f t="shared" si="143"/>
        <v/>
      </c>
      <c r="W524" s="73" t="str">
        <f t="shared" si="144"/>
        <v/>
      </c>
      <c r="X524" s="19" t="str">
        <f>IF($D524&lt;&gt;1,"",IF($G524="ROKS",$R524,IF($AI524=1,0,MAX($N524,$L524-SUMIFS(TblApplications[CPU IKS libérable (vCPU)],TblApplications[Cluster IKS source],$F524,TblApplications[Action],"À migrer",TblApplications[Mois prov (calc)],"&lt;="&amp;$E524)-SUMIFS(TblApplications[CPU IKS libérable (vCPU)],TblApplications[Cluster IKS source],$F524,TblApplications[Action],"À décommissionner",TblApplications[Mois lib (calc)],"&lt;="&amp;$E524)))))</f>
        <v/>
      </c>
      <c r="Y524" s="19" t="str">
        <f>IF($D524&lt;&gt;1,"",IF($G524="ROKS",$S524,IF($AI524=1,0,MAX($O524,$M524-SUMIFS(TblApplications[RAM IKS libérable (Go)],TblApplications[Cluster IKS source],$F524,TblApplications[Action],"À migrer",TblApplications[Mois prov (calc)],"&lt;="&amp;$E524)-SUMIFS(TblApplications[RAM IKS libérable (Go)],TblApplications[Cluster IKS source],$F524,TblApplications[Action],"À décommissionner",TblApplications[Mois lib (calc)],"&lt;="&amp;$E524)))))</f>
        <v/>
      </c>
      <c r="Z524" s="19" t="str">
        <f t="shared" si="145"/>
        <v/>
      </c>
      <c r="AA524" s="73" t="str">
        <f t="shared" si="146"/>
        <v/>
      </c>
      <c r="AB524" s="19" t="str">
        <f t="shared" si="147"/>
        <v/>
      </c>
      <c r="AC524" s="73" t="str">
        <f t="shared" si="148"/>
        <v/>
      </c>
      <c r="AD524" s="19" t="str">
        <f t="shared" si="149"/>
        <v/>
      </c>
      <c r="AE524" s="19" t="str">
        <f t="shared" si="150"/>
        <v/>
      </c>
      <c r="AF524" s="19" t="str">
        <f>IF($D524&lt;&gt;1,"",IF(INDEX(TblClusters[Environnement],$B524)="","(vide)",INDEX(TblClusters[Environnement],$B524)))</f>
        <v/>
      </c>
      <c r="AG524" s="19" t="str">
        <f t="shared" si="151"/>
        <v/>
      </c>
      <c r="AH524" s="19" t="str">
        <f t="shared" si="152"/>
        <v/>
      </c>
      <c r="AI524" s="19" t="str">
        <f>IF($D524&lt;&gt;1,"",IF(AND($G524="IKS",ISNUMBER(INDEX(TblClusters[Fermeture retenue],$B524))),IF($E524&gt;=INDEX(TblClusters[Fermeture retenue],$B524),1,0),0))</f>
        <v/>
      </c>
    </row>
    <row r="525" spans="1:35" x14ac:dyDescent="0.2">
      <c r="A525" s="19">
        <v>520</v>
      </c>
      <c r="B525" s="19">
        <f t="shared" si="136"/>
        <v>15</v>
      </c>
      <c r="C525" s="19">
        <f t="shared" si="137"/>
        <v>16</v>
      </c>
      <c r="D525" s="19">
        <f>IF($C525&gt;p_horizon,0,IFERROR(IF(AND(INDEX(TblClusters[Cluster],$B525)&lt;&gt;"",ISNUMBER(INDEX(TblClusters[CPU initial (vCPU)],$B525)),ISNUMBER(INDEX(TblClusters[CPU min (vCPU)],$B525)),OR(INDEX(TblClusters[Plateforme],$B525)="IKS",INDEX(TblClusters[Plateforme],$B525)="ROKS")),1,0),0))</f>
        <v>0</v>
      </c>
      <c r="E525" s="72" t="str">
        <f t="shared" si="138"/>
        <v/>
      </c>
      <c r="F525" s="19" t="str">
        <f>IF($D525=1,INDEX(TblClusters[Cluster],$B525),"")</f>
        <v/>
      </c>
      <c r="G525" s="19" t="str">
        <f>IF($D525=1,INDEX(TblClusters[Plateforme],$B525),"")</f>
        <v/>
      </c>
      <c r="H525" s="19" t="str">
        <f>IF($D525=1,INDEX(TblClusters[vCPU par nœud],$B525),"")</f>
        <v/>
      </c>
      <c r="I525" s="19" t="str">
        <f>IF($D525=1,INDEX(TblClusters[RAM par nœud (Go)],$B525),"")</f>
        <v/>
      </c>
      <c r="J525" s="19" t="str">
        <f>IF($D525=1,INDEX(TblClusters[Workers min],$B525),"")</f>
        <v/>
      </c>
      <c r="K525" s="73" t="str">
        <f>IF($D525=1,INDEX(TblClusters[Tarif par nœud],$B525),"")</f>
        <v/>
      </c>
      <c r="L525" s="19" t="str">
        <f>IF($D525=1,INDEX(TblClusters[CPU initial (vCPU)],$B525),"")</f>
        <v/>
      </c>
      <c r="M525" s="19" t="str">
        <f>IF($D525=1,INDEX(TblClusters[RAM initiale (Go)],$B525),"")</f>
        <v/>
      </c>
      <c r="N525" s="19" t="str">
        <f>IF($D525=1,INDEX(TblClusters[CPU min (vCPU)],$B525),"")</f>
        <v/>
      </c>
      <c r="O525" s="19" t="str">
        <f>IF($D525=1,INDEX(TblClusters[RAM min (Go)],$B525),"")</f>
        <v/>
      </c>
      <c r="P525" s="19" t="str">
        <f>IF($D525&lt;&gt;1,"",IF($G525="ROKS",SUMIFS(TblApplications[Besoin ROKS CPU (vCPU)],TblApplications[Cluster ROKS cible],$F525,TblApplications[Action],"À migrer",TblApplications[Déjà incluse ROKS],"Non",TblApplications[Mois prov (calc)],"&lt;="&amp;$E525),SUMIFS(TblApplications[CPU IKS libérable (vCPU)],TblApplications[Cluster IKS source],$F525,TblApplications[Mois lib (calc)],"&lt;="&amp;$E525)))</f>
        <v/>
      </c>
      <c r="Q525" s="19" t="str">
        <f>IF($D525&lt;&gt;1,"",IF($G525="ROKS",SUMIFS(TblApplications[Besoin ROKS RAM (Go)],TblApplications[Cluster ROKS cible],$F525,TblApplications[Action],"À migrer",TblApplications[Déjà incluse ROKS],"Non",TblApplications[Mois prov (calc)],"&lt;="&amp;$E525),SUMIFS(TblApplications[RAM IKS libérable (Go)],TblApplications[Cluster IKS source],$F525,TblApplications[Mois lib (calc)],"&lt;="&amp;$E525)))</f>
        <v/>
      </c>
      <c r="R525" s="19" t="str">
        <f t="shared" si="139"/>
        <v/>
      </c>
      <c r="S525" s="19" t="str">
        <f t="shared" si="140"/>
        <v/>
      </c>
      <c r="T525" s="19" t="str">
        <f t="shared" si="141"/>
        <v/>
      </c>
      <c r="U525" s="19" t="str">
        <f t="shared" si="142"/>
        <v/>
      </c>
      <c r="V525" s="19" t="str">
        <f t="shared" si="143"/>
        <v/>
      </c>
      <c r="W525" s="73" t="str">
        <f t="shared" si="144"/>
        <v/>
      </c>
      <c r="X525" s="19" t="str">
        <f>IF($D525&lt;&gt;1,"",IF($G525="ROKS",$R525,IF($AI525=1,0,MAX($N525,$L525-SUMIFS(TblApplications[CPU IKS libérable (vCPU)],TblApplications[Cluster IKS source],$F525,TblApplications[Action],"À migrer",TblApplications[Mois prov (calc)],"&lt;="&amp;$E525)-SUMIFS(TblApplications[CPU IKS libérable (vCPU)],TblApplications[Cluster IKS source],$F525,TblApplications[Action],"À décommissionner",TblApplications[Mois lib (calc)],"&lt;="&amp;$E525)))))</f>
        <v/>
      </c>
      <c r="Y525" s="19" t="str">
        <f>IF($D525&lt;&gt;1,"",IF($G525="ROKS",$S525,IF($AI525=1,0,MAX($O525,$M525-SUMIFS(TblApplications[RAM IKS libérable (Go)],TblApplications[Cluster IKS source],$F525,TblApplications[Action],"À migrer",TblApplications[Mois prov (calc)],"&lt;="&amp;$E525)-SUMIFS(TblApplications[RAM IKS libérable (Go)],TblApplications[Cluster IKS source],$F525,TblApplications[Action],"À décommissionner",TblApplications[Mois lib (calc)],"&lt;="&amp;$E525)))))</f>
        <v/>
      </c>
      <c r="Z525" s="19" t="str">
        <f t="shared" si="145"/>
        <v/>
      </c>
      <c r="AA525" s="73" t="str">
        <f t="shared" si="146"/>
        <v/>
      </c>
      <c r="AB525" s="19" t="str">
        <f t="shared" si="147"/>
        <v/>
      </c>
      <c r="AC525" s="73" t="str">
        <f t="shared" si="148"/>
        <v/>
      </c>
      <c r="AD525" s="19" t="str">
        <f t="shared" si="149"/>
        <v/>
      </c>
      <c r="AE525" s="19" t="str">
        <f t="shared" si="150"/>
        <v/>
      </c>
      <c r="AF525" s="19" t="str">
        <f>IF($D525&lt;&gt;1,"",IF(INDEX(TblClusters[Environnement],$B525)="","(vide)",INDEX(TblClusters[Environnement],$B525)))</f>
        <v/>
      </c>
      <c r="AG525" s="19" t="str">
        <f t="shared" si="151"/>
        <v/>
      </c>
      <c r="AH525" s="19" t="str">
        <f t="shared" si="152"/>
        <v/>
      </c>
      <c r="AI525" s="19" t="str">
        <f>IF($D525&lt;&gt;1,"",IF(AND($G525="IKS",ISNUMBER(INDEX(TblClusters[Fermeture retenue],$B525))),IF($E525&gt;=INDEX(TblClusters[Fermeture retenue],$B525),1,0),0))</f>
        <v/>
      </c>
    </row>
    <row r="526" spans="1:35" x14ac:dyDescent="0.2">
      <c r="A526" s="19">
        <v>521</v>
      </c>
      <c r="B526" s="19">
        <f t="shared" si="136"/>
        <v>15</v>
      </c>
      <c r="C526" s="19">
        <f t="shared" si="137"/>
        <v>17</v>
      </c>
      <c r="D526" s="19">
        <f>IF($C526&gt;p_horizon,0,IFERROR(IF(AND(INDEX(TblClusters[Cluster],$B526)&lt;&gt;"",ISNUMBER(INDEX(TblClusters[CPU initial (vCPU)],$B526)),ISNUMBER(INDEX(TblClusters[CPU min (vCPU)],$B526)),OR(INDEX(TblClusters[Plateforme],$B526)="IKS",INDEX(TblClusters[Plateforme],$B526)="ROKS")),1,0),0))</f>
        <v>0</v>
      </c>
      <c r="E526" s="72" t="str">
        <f t="shared" si="138"/>
        <v/>
      </c>
      <c r="F526" s="19" t="str">
        <f>IF($D526=1,INDEX(TblClusters[Cluster],$B526),"")</f>
        <v/>
      </c>
      <c r="G526" s="19" t="str">
        <f>IF($D526=1,INDEX(TblClusters[Plateforme],$B526),"")</f>
        <v/>
      </c>
      <c r="H526" s="19" t="str">
        <f>IF($D526=1,INDEX(TblClusters[vCPU par nœud],$B526),"")</f>
        <v/>
      </c>
      <c r="I526" s="19" t="str">
        <f>IF($D526=1,INDEX(TblClusters[RAM par nœud (Go)],$B526),"")</f>
        <v/>
      </c>
      <c r="J526" s="19" t="str">
        <f>IF($D526=1,INDEX(TblClusters[Workers min],$B526),"")</f>
        <v/>
      </c>
      <c r="K526" s="73" t="str">
        <f>IF($D526=1,INDEX(TblClusters[Tarif par nœud],$B526),"")</f>
        <v/>
      </c>
      <c r="L526" s="19" t="str">
        <f>IF($D526=1,INDEX(TblClusters[CPU initial (vCPU)],$B526),"")</f>
        <v/>
      </c>
      <c r="M526" s="19" t="str">
        <f>IF($D526=1,INDEX(TblClusters[RAM initiale (Go)],$B526),"")</f>
        <v/>
      </c>
      <c r="N526" s="19" t="str">
        <f>IF($D526=1,INDEX(TblClusters[CPU min (vCPU)],$B526),"")</f>
        <v/>
      </c>
      <c r="O526" s="19" t="str">
        <f>IF($D526=1,INDEX(TblClusters[RAM min (Go)],$B526),"")</f>
        <v/>
      </c>
      <c r="P526" s="19" t="str">
        <f>IF($D526&lt;&gt;1,"",IF($G526="ROKS",SUMIFS(TblApplications[Besoin ROKS CPU (vCPU)],TblApplications[Cluster ROKS cible],$F526,TblApplications[Action],"À migrer",TblApplications[Déjà incluse ROKS],"Non",TblApplications[Mois prov (calc)],"&lt;="&amp;$E526),SUMIFS(TblApplications[CPU IKS libérable (vCPU)],TblApplications[Cluster IKS source],$F526,TblApplications[Mois lib (calc)],"&lt;="&amp;$E526)))</f>
        <v/>
      </c>
      <c r="Q526" s="19" t="str">
        <f>IF($D526&lt;&gt;1,"",IF($G526="ROKS",SUMIFS(TblApplications[Besoin ROKS RAM (Go)],TblApplications[Cluster ROKS cible],$F526,TblApplications[Action],"À migrer",TblApplications[Déjà incluse ROKS],"Non",TblApplications[Mois prov (calc)],"&lt;="&amp;$E526),SUMIFS(TblApplications[RAM IKS libérable (Go)],TblApplications[Cluster IKS source],$F526,TblApplications[Mois lib (calc)],"&lt;="&amp;$E526)))</f>
        <v/>
      </c>
      <c r="R526" s="19" t="str">
        <f t="shared" si="139"/>
        <v/>
      </c>
      <c r="S526" s="19" t="str">
        <f t="shared" si="140"/>
        <v/>
      </c>
      <c r="T526" s="19" t="str">
        <f t="shared" si="141"/>
        <v/>
      </c>
      <c r="U526" s="19" t="str">
        <f t="shared" si="142"/>
        <v/>
      </c>
      <c r="V526" s="19" t="str">
        <f t="shared" si="143"/>
        <v/>
      </c>
      <c r="W526" s="73" t="str">
        <f t="shared" si="144"/>
        <v/>
      </c>
      <c r="X526" s="19" t="str">
        <f>IF($D526&lt;&gt;1,"",IF($G526="ROKS",$R526,IF($AI526=1,0,MAX($N526,$L526-SUMIFS(TblApplications[CPU IKS libérable (vCPU)],TblApplications[Cluster IKS source],$F526,TblApplications[Action],"À migrer",TblApplications[Mois prov (calc)],"&lt;="&amp;$E526)-SUMIFS(TblApplications[CPU IKS libérable (vCPU)],TblApplications[Cluster IKS source],$F526,TblApplications[Action],"À décommissionner",TblApplications[Mois lib (calc)],"&lt;="&amp;$E526)))))</f>
        <v/>
      </c>
      <c r="Y526" s="19" t="str">
        <f>IF($D526&lt;&gt;1,"",IF($G526="ROKS",$S526,IF($AI526=1,0,MAX($O526,$M526-SUMIFS(TblApplications[RAM IKS libérable (Go)],TblApplications[Cluster IKS source],$F526,TblApplications[Action],"À migrer",TblApplications[Mois prov (calc)],"&lt;="&amp;$E526)-SUMIFS(TblApplications[RAM IKS libérable (Go)],TblApplications[Cluster IKS source],$F526,TblApplications[Action],"À décommissionner",TblApplications[Mois lib (calc)],"&lt;="&amp;$E526)))))</f>
        <v/>
      </c>
      <c r="Z526" s="19" t="str">
        <f t="shared" si="145"/>
        <v/>
      </c>
      <c r="AA526" s="73" t="str">
        <f t="shared" si="146"/>
        <v/>
      </c>
      <c r="AB526" s="19" t="str">
        <f t="shared" si="147"/>
        <v/>
      </c>
      <c r="AC526" s="73" t="str">
        <f t="shared" si="148"/>
        <v/>
      </c>
      <c r="AD526" s="19" t="str">
        <f t="shared" si="149"/>
        <v/>
      </c>
      <c r="AE526" s="19" t="str">
        <f t="shared" si="150"/>
        <v/>
      </c>
      <c r="AF526" s="19" t="str">
        <f>IF($D526&lt;&gt;1,"",IF(INDEX(TblClusters[Environnement],$B526)="","(vide)",INDEX(TblClusters[Environnement],$B526)))</f>
        <v/>
      </c>
      <c r="AG526" s="19" t="str">
        <f t="shared" si="151"/>
        <v/>
      </c>
      <c r="AH526" s="19" t="str">
        <f t="shared" si="152"/>
        <v/>
      </c>
      <c r="AI526" s="19" t="str">
        <f>IF($D526&lt;&gt;1,"",IF(AND($G526="IKS",ISNUMBER(INDEX(TblClusters[Fermeture retenue],$B526))),IF($E526&gt;=INDEX(TblClusters[Fermeture retenue],$B526),1,0),0))</f>
        <v/>
      </c>
    </row>
    <row r="527" spans="1:35" x14ac:dyDescent="0.2">
      <c r="A527" s="19">
        <v>522</v>
      </c>
      <c r="B527" s="19">
        <f t="shared" si="136"/>
        <v>15</v>
      </c>
      <c r="C527" s="19">
        <f t="shared" si="137"/>
        <v>18</v>
      </c>
      <c r="D527" s="19">
        <f>IF($C527&gt;p_horizon,0,IFERROR(IF(AND(INDEX(TblClusters[Cluster],$B527)&lt;&gt;"",ISNUMBER(INDEX(TblClusters[CPU initial (vCPU)],$B527)),ISNUMBER(INDEX(TblClusters[CPU min (vCPU)],$B527)),OR(INDEX(TblClusters[Plateforme],$B527)="IKS",INDEX(TblClusters[Plateforme],$B527)="ROKS")),1,0),0))</f>
        <v>0</v>
      </c>
      <c r="E527" s="72" t="str">
        <f t="shared" si="138"/>
        <v/>
      </c>
      <c r="F527" s="19" t="str">
        <f>IF($D527=1,INDEX(TblClusters[Cluster],$B527),"")</f>
        <v/>
      </c>
      <c r="G527" s="19" t="str">
        <f>IF($D527=1,INDEX(TblClusters[Plateforme],$B527),"")</f>
        <v/>
      </c>
      <c r="H527" s="19" t="str">
        <f>IF($D527=1,INDEX(TblClusters[vCPU par nœud],$B527),"")</f>
        <v/>
      </c>
      <c r="I527" s="19" t="str">
        <f>IF($D527=1,INDEX(TblClusters[RAM par nœud (Go)],$B527),"")</f>
        <v/>
      </c>
      <c r="J527" s="19" t="str">
        <f>IF($D527=1,INDEX(TblClusters[Workers min],$B527),"")</f>
        <v/>
      </c>
      <c r="K527" s="73" t="str">
        <f>IF($D527=1,INDEX(TblClusters[Tarif par nœud],$B527),"")</f>
        <v/>
      </c>
      <c r="L527" s="19" t="str">
        <f>IF($D527=1,INDEX(TblClusters[CPU initial (vCPU)],$B527),"")</f>
        <v/>
      </c>
      <c r="M527" s="19" t="str">
        <f>IF($D527=1,INDEX(TblClusters[RAM initiale (Go)],$B527),"")</f>
        <v/>
      </c>
      <c r="N527" s="19" t="str">
        <f>IF($D527=1,INDEX(TblClusters[CPU min (vCPU)],$B527),"")</f>
        <v/>
      </c>
      <c r="O527" s="19" t="str">
        <f>IF($D527=1,INDEX(TblClusters[RAM min (Go)],$B527),"")</f>
        <v/>
      </c>
      <c r="P527" s="19" t="str">
        <f>IF($D527&lt;&gt;1,"",IF($G527="ROKS",SUMIFS(TblApplications[Besoin ROKS CPU (vCPU)],TblApplications[Cluster ROKS cible],$F527,TblApplications[Action],"À migrer",TblApplications[Déjà incluse ROKS],"Non",TblApplications[Mois prov (calc)],"&lt;="&amp;$E527),SUMIFS(TblApplications[CPU IKS libérable (vCPU)],TblApplications[Cluster IKS source],$F527,TblApplications[Mois lib (calc)],"&lt;="&amp;$E527)))</f>
        <v/>
      </c>
      <c r="Q527" s="19" t="str">
        <f>IF($D527&lt;&gt;1,"",IF($G527="ROKS",SUMIFS(TblApplications[Besoin ROKS RAM (Go)],TblApplications[Cluster ROKS cible],$F527,TblApplications[Action],"À migrer",TblApplications[Déjà incluse ROKS],"Non",TblApplications[Mois prov (calc)],"&lt;="&amp;$E527),SUMIFS(TblApplications[RAM IKS libérable (Go)],TblApplications[Cluster IKS source],$F527,TblApplications[Mois lib (calc)],"&lt;="&amp;$E527)))</f>
        <v/>
      </c>
      <c r="R527" s="19" t="str">
        <f t="shared" si="139"/>
        <v/>
      </c>
      <c r="S527" s="19" t="str">
        <f t="shared" si="140"/>
        <v/>
      </c>
      <c r="T527" s="19" t="str">
        <f t="shared" si="141"/>
        <v/>
      </c>
      <c r="U527" s="19" t="str">
        <f t="shared" si="142"/>
        <v/>
      </c>
      <c r="V527" s="19" t="str">
        <f t="shared" si="143"/>
        <v/>
      </c>
      <c r="W527" s="73" t="str">
        <f t="shared" si="144"/>
        <v/>
      </c>
      <c r="X527" s="19" t="str">
        <f>IF($D527&lt;&gt;1,"",IF($G527="ROKS",$R527,IF($AI527=1,0,MAX($N527,$L527-SUMIFS(TblApplications[CPU IKS libérable (vCPU)],TblApplications[Cluster IKS source],$F527,TblApplications[Action],"À migrer",TblApplications[Mois prov (calc)],"&lt;="&amp;$E527)-SUMIFS(TblApplications[CPU IKS libérable (vCPU)],TblApplications[Cluster IKS source],$F527,TblApplications[Action],"À décommissionner",TblApplications[Mois lib (calc)],"&lt;="&amp;$E527)))))</f>
        <v/>
      </c>
      <c r="Y527" s="19" t="str">
        <f>IF($D527&lt;&gt;1,"",IF($G527="ROKS",$S527,IF($AI527=1,0,MAX($O527,$M527-SUMIFS(TblApplications[RAM IKS libérable (Go)],TblApplications[Cluster IKS source],$F527,TblApplications[Action],"À migrer",TblApplications[Mois prov (calc)],"&lt;="&amp;$E527)-SUMIFS(TblApplications[RAM IKS libérable (Go)],TblApplications[Cluster IKS source],$F527,TblApplications[Action],"À décommissionner",TblApplications[Mois lib (calc)],"&lt;="&amp;$E527)))))</f>
        <v/>
      </c>
      <c r="Z527" s="19" t="str">
        <f t="shared" si="145"/>
        <v/>
      </c>
      <c r="AA527" s="73" t="str">
        <f t="shared" si="146"/>
        <v/>
      </c>
      <c r="AB527" s="19" t="str">
        <f t="shared" si="147"/>
        <v/>
      </c>
      <c r="AC527" s="73" t="str">
        <f t="shared" si="148"/>
        <v/>
      </c>
      <c r="AD527" s="19" t="str">
        <f t="shared" si="149"/>
        <v/>
      </c>
      <c r="AE527" s="19" t="str">
        <f t="shared" si="150"/>
        <v/>
      </c>
      <c r="AF527" s="19" t="str">
        <f>IF($D527&lt;&gt;1,"",IF(INDEX(TblClusters[Environnement],$B527)="","(vide)",INDEX(TblClusters[Environnement],$B527)))</f>
        <v/>
      </c>
      <c r="AG527" s="19" t="str">
        <f t="shared" si="151"/>
        <v/>
      </c>
      <c r="AH527" s="19" t="str">
        <f t="shared" si="152"/>
        <v/>
      </c>
      <c r="AI527" s="19" t="str">
        <f>IF($D527&lt;&gt;1,"",IF(AND($G527="IKS",ISNUMBER(INDEX(TblClusters[Fermeture retenue],$B527))),IF($E527&gt;=INDEX(TblClusters[Fermeture retenue],$B527),1,0),0))</f>
        <v/>
      </c>
    </row>
    <row r="528" spans="1:35" x14ac:dyDescent="0.2">
      <c r="A528" s="19">
        <v>523</v>
      </c>
      <c r="B528" s="19">
        <f t="shared" si="136"/>
        <v>15</v>
      </c>
      <c r="C528" s="19">
        <f t="shared" si="137"/>
        <v>19</v>
      </c>
      <c r="D528" s="19">
        <f>IF($C528&gt;p_horizon,0,IFERROR(IF(AND(INDEX(TblClusters[Cluster],$B528)&lt;&gt;"",ISNUMBER(INDEX(TblClusters[CPU initial (vCPU)],$B528)),ISNUMBER(INDEX(TblClusters[CPU min (vCPU)],$B528)),OR(INDEX(TblClusters[Plateforme],$B528)="IKS",INDEX(TblClusters[Plateforme],$B528)="ROKS")),1,0),0))</f>
        <v>0</v>
      </c>
      <c r="E528" s="72" t="str">
        <f t="shared" si="138"/>
        <v/>
      </c>
      <c r="F528" s="19" t="str">
        <f>IF($D528=1,INDEX(TblClusters[Cluster],$B528),"")</f>
        <v/>
      </c>
      <c r="G528" s="19" t="str">
        <f>IF($D528=1,INDEX(TblClusters[Plateforme],$B528),"")</f>
        <v/>
      </c>
      <c r="H528" s="19" t="str">
        <f>IF($D528=1,INDEX(TblClusters[vCPU par nœud],$B528),"")</f>
        <v/>
      </c>
      <c r="I528" s="19" t="str">
        <f>IF($D528=1,INDEX(TblClusters[RAM par nœud (Go)],$B528),"")</f>
        <v/>
      </c>
      <c r="J528" s="19" t="str">
        <f>IF($D528=1,INDEX(TblClusters[Workers min],$B528),"")</f>
        <v/>
      </c>
      <c r="K528" s="73" t="str">
        <f>IF($D528=1,INDEX(TblClusters[Tarif par nœud],$B528),"")</f>
        <v/>
      </c>
      <c r="L528" s="19" t="str">
        <f>IF($D528=1,INDEX(TblClusters[CPU initial (vCPU)],$B528),"")</f>
        <v/>
      </c>
      <c r="M528" s="19" t="str">
        <f>IF($D528=1,INDEX(TblClusters[RAM initiale (Go)],$B528),"")</f>
        <v/>
      </c>
      <c r="N528" s="19" t="str">
        <f>IF($D528=1,INDEX(TblClusters[CPU min (vCPU)],$B528),"")</f>
        <v/>
      </c>
      <c r="O528" s="19" t="str">
        <f>IF($D528=1,INDEX(TblClusters[RAM min (Go)],$B528),"")</f>
        <v/>
      </c>
      <c r="P528" s="19" t="str">
        <f>IF($D528&lt;&gt;1,"",IF($G528="ROKS",SUMIFS(TblApplications[Besoin ROKS CPU (vCPU)],TblApplications[Cluster ROKS cible],$F528,TblApplications[Action],"À migrer",TblApplications[Déjà incluse ROKS],"Non",TblApplications[Mois prov (calc)],"&lt;="&amp;$E528),SUMIFS(TblApplications[CPU IKS libérable (vCPU)],TblApplications[Cluster IKS source],$F528,TblApplications[Mois lib (calc)],"&lt;="&amp;$E528)))</f>
        <v/>
      </c>
      <c r="Q528" s="19" t="str">
        <f>IF($D528&lt;&gt;1,"",IF($G528="ROKS",SUMIFS(TblApplications[Besoin ROKS RAM (Go)],TblApplications[Cluster ROKS cible],$F528,TblApplications[Action],"À migrer",TblApplications[Déjà incluse ROKS],"Non",TblApplications[Mois prov (calc)],"&lt;="&amp;$E528),SUMIFS(TblApplications[RAM IKS libérable (Go)],TblApplications[Cluster IKS source],$F528,TblApplications[Mois lib (calc)],"&lt;="&amp;$E528)))</f>
        <v/>
      </c>
      <c r="R528" s="19" t="str">
        <f t="shared" si="139"/>
        <v/>
      </c>
      <c r="S528" s="19" t="str">
        <f t="shared" si="140"/>
        <v/>
      </c>
      <c r="T528" s="19" t="str">
        <f t="shared" si="141"/>
        <v/>
      </c>
      <c r="U528" s="19" t="str">
        <f t="shared" si="142"/>
        <v/>
      </c>
      <c r="V528" s="19" t="str">
        <f t="shared" si="143"/>
        <v/>
      </c>
      <c r="W528" s="73" t="str">
        <f t="shared" si="144"/>
        <v/>
      </c>
      <c r="X528" s="19" t="str">
        <f>IF($D528&lt;&gt;1,"",IF($G528="ROKS",$R528,IF($AI528=1,0,MAX($N528,$L528-SUMIFS(TblApplications[CPU IKS libérable (vCPU)],TblApplications[Cluster IKS source],$F528,TblApplications[Action],"À migrer",TblApplications[Mois prov (calc)],"&lt;="&amp;$E528)-SUMIFS(TblApplications[CPU IKS libérable (vCPU)],TblApplications[Cluster IKS source],$F528,TblApplications[Action],"À décommissionner",TblApplications[Mois lib (calc)],"&lt;="&amp;$E528)))))</f>
        <v/>
      </c>
      <c r="Y528" s="19" t="str">
        <f>IF($D528&lt;&gt;1,"",IF($G528="ROKS",$S528,IF($AI528=1,0,MAX($O528,$M528-SUMIFS(TblApplications[RAM IKS libérable (Go)],TblApplications[Cluster IKS source],$F528,TblApplications[Action],"À migrer",TblApplications[Mois prov (calc)],"&lt;="&amp;$E528)-SUMIFS(TblApplications[RAM IKS libérable (Go)],TblApplications[Cluster IKS source],$F528,TblApplications[Action],"À décommissionner",TblApplications[Mois lib (calc)],"&lt;="&amp;$E528)))))</f>
        <v/>
      </c>
      <c r="Z528" s="19" t="str">
        <f t="shared" si="145"/>
        <v/>
      </c>
      <c r="AA528" s="73" t="str">
        <f t="shared" si="146"/>
        <v/>
      </c>
      <c r="AB528" s="19" t="str">
        <f t="shared" si="147"/>
        <v/>
      </c>
      <c r="AC528" s="73" t="str">
        <f t="shared" si="148"/>
        <v/>
      </c>
      <c r="AD528" s="19" t="str">
        <f t="shared" si="149"/>
        <v/>
      </c>
      <c r="AE528" s="19" t="str">
        <f t="shared" si="150"/>
        <v/>
      </c>
      <c r="AF528" s="19" t="str">
        <f>IF($D528&lt;&gt;1,"",IF(INDEX(TblClusters[Environnement],$B528)="","(vide)",INDEX(TblClusters[Environnement],$B528)))</f>
        <v/>
      </c>
      <c r="AG528" s="19" t="str">
        <f t="shared" si="151"/>
        <v/>
      </c>
      <c r="AH528" s="19" t="str">
        <f t="shared" si="152"/>
        <v/>
      </c>
      <c r="AI528" s="19" t="str">
        <f>IF($D528&lt;&gt;1,"",IF(AND($G528="IKS",ISNUMBER(INDEX(TblClusters[Fermeture retenue],$B528))),IF($E528&gt;=INDEX(TblClusters[Fermeture retenue],$B528),1,0),0))</f>
        <v/>
      </c>
    </row>
    <row r="529" spans="1:35" x14ac:dyDescent="0.2">
      <c r="A529" s="19">
        <v>524</v>
      </c>
      <c r="B529" s="19">
        <f t="shared" si="136"/>
        <v>15</v>
      </c>
      <c r="C529" s="19">
        <f t="shared" si="137"/>
        <v>20</v>
      </c>
      <c r="D529" s="19">
        <f>IF($C529&gt;p_horizon,0,IFERROR(IF(AND(INDEX(TblClusters[Cluster],$B529)&lt;&gt;"",ISNUMBER(INDEX(TblClusters[CPU initial (vCPU)],$B529)),ISNUMBER(INDEX(TblClusters[CPU min (vCPU)],$B529)),OR(INDEX(TblClusters[Plateforme],$B529)="IKS",INDEX(TblClusters[Plateforme],$B529)="ROKS")),1,0),0))</f>
        <v>0</v>
      </c>
      <c r="E529" s="72" t="str">
        <f t="shared" si="138"/>
        <v/>
      </c>
      <c r="F529" s="19" t="str">
        <f>IF($D529=1,INDEX(TblClusters[Cluster],$B529),"")</f>
        <v/>
      </c>
      <c r="G529" s="19" t="str">
        <f>IF($D529=1,INDEX(TblClusters[Plateforme],$B529),"")</f>
        <v/>
      </c>
      <c r="H529" s="19" t="str">
        <f>IF($D529=1,INDEX(TblClusters[vCPU par nœud],$B529),"")</f>
        <v/>
      </c>
      <c r="I529" s="19" t="str">
        <f>IF($D529=1,INDEX(TblClusters[RAM par nœud (Go)],$B529),"")</f>
        <v/>
      </c>
      <c r="J529" s="19" t="str">
        <f>IF($D529=1,INDEX(TblClusters[Workers min],$B529),"")</f>
        <v/>
      </c>
      <c r="K529" s="73" t="str">
        <f>IF($D529=1,INDEX(TblClusters[Tarif par nœud],$B529),"")</f>
        <v/>
      </c>
      <c r="L529" s="19" t="str">
        <f>IF($D529=1,INDEX(TblClusters[CPU initial (vCPU)],$B529),"")</f>
        <v/>
      </c>
      <c r="M529" s="19" t="str">
        <f>IF($D529=1,INDEX(TblClusters[RAM initiale (Go)],$B529),"")</f>
        <v/>
      </c>
      <c r="N529" s="19" t="str">
        <f>IF($D529=1,INDEX(TblClusters[CPU min (vCPU)],$B529),"")</f>
        <v/>
      </c>
      <c r="O529" s="19" t="str">
        <f>IF($D529=1,INDEX(TblClusters[RAM min (Go)],$B529),"")</f>
        <v/>
      </c>
      <c r="P529" s="19" t="str">
        <f>IF($D529&lt;&gt;1,"",IF($G529="ROKS",SUMIFS(TblApplications[Besoin ROKS CPU (vCPU)],TblApplications[Cluster ROKS cible],$F529,TblApplications[Action],"À migrer",TblApplications[Déjà incluse ROKS],"Non",TblApplications[Mois prov (calc)],"&lt;="&amp;$E529),SUMIFS(TblApplications[CPU IKS libérable (vCPU)],TblApplications[Cluster IKS source],$F529,TblApplications[Mois lib (calc)],"&lt;="&amp;$E529)))</f>
        <v/>
      </c>
      <c r="Q529" s="19" t="str">
        <f>IF($D529&lt;&gt;1,"",IF($G529="ROKS",SUMIFS(TblApplications[Besoin ROKS RAM (Go)],TblApplications[Cluster ROKS cible],$F529,TblApplications[Action],"À migrer",TblApplications[Déjà incluse ROKS],"Non",TblApplications[Mois prov (calc)],"&lt;="&amp;$E529),SUMIFS(TblApplications[RAM IKS libérable (Go)],TblApplications[Cluster IKS source],$F529,TblApplications[Mois lib (calc)],"&lt;="&amp;$E529)))</f>
        <v/>
      </c>
      <c r="R529" s="19" t="str">
        <f t="shared" si="139"/>
        <v/>
      </c>
      <c r="S529" s="19" t="str">
        <f t="shared" si="140"/>
        <v/>
      </c>
      <c r="T529" s="19" t="str">
        <f t="shared" si="141"/>
        <v/>
      </c>
      <c r="U529" s="19" t="str">
        <f t="shared" si="142"/>
        <v/>
      </c>
      <c r="V529" s="19" t="str">
        <f t="shared" si="143"/>
        <v/>
      </c>
      <c r="W529" s="73" t="str">
        <f t="shared" si="144"/>
        <v/>
      </c>
      <c r="X529" s="19" t="str">
        <f>IF($D529&lt;&gt;1,"",IF($G529="ROKS",$R529,IF($AI529=1,0,MAX($N529,$L529-SUMIFS(TblApplications[CPU IKS libérable (vCPU)],TblApplications[Cluster IKS source],$F529,TblApplications[Action],"À migrer",TblApplications[Mois prov (calc)],"&lt;="&amp;$E529)-SUMIFS(TblApplications[CPU IKS libérable (vCPU)],TblApplications[Cluster IKS source],$F529,TblApplications[Action],"À décommissionner",TblApplications[Mois lib (calc)],"&lt;="&amp;$E529)))))</f>
        <v/>
      </c>
      <c r="Y529" s="19" t="str">
        <f>IF($D529&lt;&gt;1,"",IF($G529="ROKS",$S529,IF($AI529=1,0,MAX($O529,$M529-SUMIFS(TblApplications[RAM IKS libérable (Go)],TblApplications[Cluster IKS source],$F529,TblApplications[Action],"À migrer",TblApplications[Mois prov (calc)],"&lt;="&amp;$E529)-SUMIFS(TblApplications[RAM IKS libérable (Go)],TblApplications[Cluster IKS source],$F529,TblApplications[Action],"À décommissionner",TblApplications[Mois lib (calc)],"&lt;="&amp;$E529)))))</f>
        <v/>
      </c>
      <c r="Z529" s="19" t="str">
        <f t="shared" si="145"/>
        <v/>
      </c>
      <c r="AA529" s="73" t="str">
        <f t="shared" si="146"/>
        <v/>
      </c>
      <c r="AB529" s="19" t="str">
        <f t="shared" si="147"/>
        <v/>
      </c>
      <c r="AC529" s="73" t="str">
        <f t="shared" si="148"/>
        <v/>
      </c>
      <c r="AD529" s="19" t="str">
        <f t="shared" si="149"/>
        <v/>
      </c>
      <c r="AE529" s="19" t="str">
        <f t="shared" si="150"/>
        <v/>
      </c>
      <c r="AF529" s="19" t="str">
        <f>IF($D529&lt;&gt;1,"",IF(INDEX(TblClusters[Environnement],$B529)="","(vide)",INDEX(TblClusters[Environnement],$B529)))</f>
        <v/>
      </c>
      <c r="AG529" s="19" t="str">
        <f t="shared" si="151"/>
        <v/>
      </c>
      <c r="AH529" s="19" t="str">
        <f t="shared" si="152"/>
        <v/>
      </c>
      <c r="AI529" s="19" t="str">
        <f>IF($D529&lt;&gt;1,"",IF(AND($G529="IKS",ISNUMBER(INDEX(TblClusters[Fermeture retenue],$B529))),IF($E529&gt;=INDEX(TblClusters[Fermeture retenue],$B529),1,0),0))</f>
        <v/>
      </c>
    </row>
    <row r="530" spans="1:35" x14ac:dyDescent="0.2">
      <c r="A530" s="19">
        <v>525</v>
      </c>
      <c r="B530" s="19">
        <f t="shared" si="136"/>
        <v>15</v>
      </c>
      <c r="C530" s="19">
        <f t="shared" si="137"/>
        <v>21</v>
      </c>
      <c r="D530" s="19">
        <f>IF($C530&gt;p_horizon,0,IFERROR(IF(AND(INDEX(TblClusters[Cluster],$B530)&lt;&gt;"",ISNUMBER(INDEX(TblClusters[CPU initial (vCPU)],$B530)),ISNUMBER(INDEX(TblClusters[CPU min (vCPU)],$B530)),OR(INDEX(TblClusters[Plateforme],$B530)="IKS",INDEX(TblClusters[Plateforme],$B530)="ROKS")),1,0),0))</f>
        <v>0</v>
      </c>
      <c r="E530" s="72" t="str">
        <f t="shared" si="138"/>
        <v/>
      </c>
      <c r="F530" s="19" t="str">
        <f>IF($D530=1,INDEX(TblClusters[Cluster],$B530),"")</f>
        <v/>
      </c>
      <c r="G530" s="19" t="str">
        <f>IF($D530=1,INDEX(TblClusters[Plateforme],$B530),"")</f>
        <v/>
      </c>
      <c r="H530" s="19" t="str">
        <f>IF($D530=1,INDEX(TblClusters[vCPU par nœud],$B530),"")</f>
        <v/>
      </c>
      <c r="I530" s="19" t="str">
        <f>IF($D530=1,INDEX(TblClusters[RAM par nœud (Go)],$B530),"")</f>
        <v/>
      </c>
      <c r="J530" s="19" t="str">
        <f>IF($D530=1,INDEX(TblClusters[Workers min],$B530),"")</f>
        <v/>
      </c>
      <c r="K530" s="73" t="str">
        <f>IF($D530=1,INDEX(TblClusters[Tarif par nœud],$B530),"")</f>
        <v/>
      </c>
      <c r="L530" s="19" t="str">
        <f>IF($D530=1,INDEX(TblClusters[CPU initial (vCPU)],$B530),"")</f>
        <v/>
      </c>
      <c r="M530" s="19" t="str">
        <f>IF($D530=1,INDEX(TblClusters[RAM initiale (Go)],$B530),"")</f>
        <v/>
      </c>
      <c r="N530" s="19" t="str">
        <f>IF($D530=1,INDEX(TblClusters[CPU min (vCPU)],$B530),"")</f>
        <v/>
      </c>
      <c r="O530" s="19" t="str">
        <f>IF($D530=1,INDEX(TblClusters[RAM min (Go)],$B530),"")</f>
        <v/>
      </c>
      <c r="P530" s="19" t="str">
        <f>IF($D530&lt;&gt;1,"",IF($G530="ROKS",SUMIFS(TblApplications[Besoin ROKS CPU (vCPU)],TblApplications[Cluster ROKS cible],$F530,TblApplications[Action],"À migrer",TblApplications[Déjà incluse ROKS],"Non",TblApplications[Mois prov (calc)],"&lt;="&amp;$E530),SUMIFS(TblApplications[CPU IKS libérable (vCPU)],TblApplications[Cluster IKS source],$F530,TblApplications[Mois lib (calc)],"&lt;="&amp;$E530)))</f>
        <v/>
      </c>
      <c r="Q530" s="19" t="str">
        <f>IF($D530&lt;&gt;1,"",IF($G530="ROKS",SUMIFS(TblApplications[Besoin ROKS RAM (Go)],TblApplications[Cluster ROKS cible],$F530,TblApplications[Action],"À migrer",TblApplications[Déjà incluse ROKS],"Non",TblApplications[Mois prov (calc)],"&lt;="&amp;$E530),SUMIFS(TblApplications[RAM IKS libérable (Go)],TblApplications[Cluster IKS source],$F530,TblApplications[Mois lib (calc)],"&lt;="&amp;$E530)))</f>
        <v/>
      </c>
      <c r="R530" s="19" t="str">
        <f t="shared" si="139"/>
        <v/>
      </c>
      <c r="S530" s="19" t="str">
        <f t="shared" si="140"/>
        <v/>
      </c>
      <c r="T530" s="19" t="str">
        <f t="shared" si="141"/>
        <v/>
      </c>
      <c r="U530" s="19" t="str">
        <f t="shared" si="142"/>
        <v/>
      </c>
      <c r="V530" s="19" t="str">
        <f t="shared" si="143"/>
        <v/>
      </c>
      <c r="W530" s="73" t="str">
        <f t="shared" si="144"/>
        <v/>
      </c>
      <c r="X530" s="19" t="str">
        <f>IF($D530&lt;&gt;1,"",IF($G530="ROKS",$R530,IF($AI530=1,0,MAX($N530,$L530-SUMIFS(TblApplications[CPU IKS libérable (vCPU)],TblApplications[Cluster IKS source],$F530,TblApplications[Action],"À migrer",TblApplications[Mois prov (calc)],"&lt;="&amp;$E530)-SUMIFS(TblApplications[CPU IKS libérable (vCPU)],TblApplications[Cluster IKS source],$F530,TblApplications[Action],"À décommissionner",TblApplications[Mois lib (calc)],"&lt;="&amp;$E530)))))</f>
        <v/>
      </c>
      <c r="Y530" s="19" t="str">
        <f>IF($D530&lt;&gt;1,"",IF($G530="ROKS",$S530,IF($AI530=1,0,MAX($O530,$M530-SUMIFS(TblApplications[RAM IKS libérable (Go)],TblApplications[Cluster IKS source],$F530,TblApplications[Action],"À migrer",TblApplications[Mois prov (calc)],"&lt;="&amp;$E530)-SUMIFS(TblApplications[RAM IKS libérable (Go)],TblApplications[Cluster IKS source],$F530,TblApplications[Action],"À décommissionner",TblApplications[Mois lib (calc)],"&lt;="&amp;$E530)))))</f>
        <v/>
      </c>
      <c r="Z530" s="19" t="str">
        <f t="shared" si="145"/>
        <v/>
      </c>
      <c r="AA530" s="73" t="str">
        <f t="shared" si="146"/>
        <v/>
      </c>
      <c r="AB530" s="19" t="str">
        <f t="shared" si="147"/>
        <v/>
      </c>
      <c r="AC530" s="73" t="str">
        <f t="shared" si="148"/>
        <v/>
      </c>
      <c r="AD530" s="19" t="str">
        <f t="shared" si="149"/>
        <v/>
      </c>
      <c r="AE530" s="19" t="str">
        <f t="shared" si="150"/>
        <v/>
      </c>
      <c r="AF530" s="19" t="str">
        <f>IF($D530&lt;&gt;1,"",IF(INDEX(TblClusters[Environnement],$B530)="","(vide)",INDEX(TblClusters[Environnement],$B530)))</f>
        <v/>
      </c>
      <c r="AG530" s="19" t="str">
        <f t="shared" si="151"/>
        <v/>
      </c>
      <c r="AH530" s="19" t="str">
        <f t="shared" si="152"/>
        <v/>
      </c>
      <c r="AI530" s="19" t="str">
        <f>IF($D530&lt;&gt;1,"",IF(AND($G530="IKS",ISNUMBER(INDEX(TblClusters[Fermeture retenue],$B530))),IF($E530&gt;=INDEX(TblClusters[Fermeture retenue],$B530),1,0),0))</f>
        <v/>
      </c>
    </row>
    <row r="531" spans="1:35" x14ac:dyDescent="0.2">
      <c r="A531" s="19">
        <v>526</v>
      </c>
      <c r="B531" s="19">
        <f t="shared" si="136"/>
        <v>15</v>
      </c>
      <c r="C531" s="19">
        <f t="shared" si="137"/>
        <v>22</v>
      </c>
      <c r="D531" s="19">
        <f>IF($C531&gt;p_horizon,0,IFERROR(IF(AND(INDEX(TblClusters[Cluster],$B531)&lt;&gt;"",ISNUMBER(INDEX(TblClusters[CPU initial (vCPU)],$B531)),ISNUMBER(INDEX(TblClusters[CPU min (vCPU)],$B531)),OR(INDEX(TblClusters[Plateforme],$B531)="IKS",INDEX(TblClusters[Plateforme],$B531)="ROKS")),1,0),0))</f>
        <v>0</v>
      </c>
      <c r="E531" s="72" t="str">
        <f t="shared" si="138"/>
        <v/>
      </c>
      <c r="F531" s="19" t="str">
        <f>IF($D531=1,INDEX(TblClusters[Cluster],$B531),"")</f>
        <v/>
      </c>
      <c r="G531" s="19" t="str">
        <f>IF($D531=1,INDEX(TblClusters[Plateforme],$B531),"")</f>
        <v/>
      </c>
      <c r="H531" s="19" t="str">
        <f>IF($D531=1,INDEX(TblClusters[vCPU par nœud],$B531),"")</f>
        <v/>
      </c>
      <c r="I531" s="19" t="str">
        <f>IF($D531=1,INDEX(TblClusters[RAM par nœud (Go)],$B531),"")</f>
        <v/>
      </c>
      <c r="J531" s="19" t="str">
        <f>IF($D531=1,INDEX(TblClusters[Workers min],$B531),"")</f>
        <v/>
      </c>
      <c r="K531" s="73" t="str">
        <f>IF($D531=1,INDEX(TblClusters[Tarif par nœud],$B531),"")</f>
        <v/>
      </c>
      <c r="L531" s="19" t="str">
        <f>IF($D531=1,INDEX(TblClusters[CPU initial (vCPU)],$B531),"")</f>
        <v/>
      </c>
      <c r="M531" s="19" t="str">
        <f>IF($D531=1,INDEX(TblClusters[RAM initiale (Go)],$B531),"")</f>
        <v/>
      </c>
      <c r="N531" s="19" t="str">
        <f>IF($D531=1,INDEX(TblClusters[CPU min (vCPU)],$B531),"")</f>
        <v/>
      </c>
      <c r="O531" s="19" t="str">
        <f>IF($D531=1,INDEX(TblClusters[RAM min (Go)],$B531),"")</f>
        <v/>
      </c>
      <c r="P531" s="19" t="str">
        <f>IF($D531&lt;&gt;1,"",IF($G531="ROKS",SUMIFS(TblApplications[Besoin ROKS CPU (vCPU)],TblApplications[Cluster ROKS cible],$F531,TblApplications[Action],"À migrer",TblApplications[Déjà incluse ROKS],"Non",TblApplications[Mois prov (calc)],"&lt;="&amp;$E531),SUMIFS(TblApplications[CPU IKS libérable (vCPU)],TblApplications[Cluster IKS source],$F531,TblApplications[Mois lib (calc)],"&lt;="&amp;$E531)))</f>
        <v/>
      </c>
      <c r="Q531" s="19" t="str">
        <f>IF($D531&lt;&gt;1,"",IF($G531="ROKS",SUMIFS(TblApplications[Besoin ROKS RAM (Go)],TblApplications[Cluster ROKS cible],$F531,TblApplications[Action],"À migrer",TblApplications[Déjà incluse ROKS],"Non",TblApplications[Mois prov (calc)],"&lt;="&amp;$E531),SUMIFS(TblApplications[RAM IKS libérable (Go)],TblApplications[Cluster IKS source],$F531,TblApplications[Mois lib (calc)],"&lt;="&amp;$E531)))</f>
        <v/>
      </c>
      <c r="R531" s="19" t="str">
        <f t="shared" si="139"/>
        <v/>
      </c>
      <c r="S531" s="19" t="str">
        <f t="shared" si="140"/>
        <v/>
      </c>
      <c r="T531" s="19" t="str">
        <f t="shared" si="141"/>
        <v/>
      </c>
      <c r="U531" s="19" t="str">
        <f t="shared" si="142"/>
        <v/>
      </c>
      <c r="V531" s="19" t="str">
        <f t="shared" si="143"/>
        <v/>
      </c>
      <c r="W531" s="73" t="str">
        <f t="shared" si="144"/>
        <v/>
      </c>
      <c r="X531" s="19" t="str">
        <f>IF($D531&lt;&gt;1,"",IF($G531="ROKS",$R531,IF($AI531=1,0,MAX($N531,$L531-SUMIFS(TblApplications[CPU IKS libérable (vCPU)],TblApplications[Cluster IKS source],$F531,TblApplications[Action],"À migrer",TblApplications[Mois prov (calc)],"&lt;="&amp;$E531)-SUMIFS(TblApplications[CPU IKS libérable (vCPU)],TblApplications[Cluster IKS source],$F531,TblApplications[Action],"À décommissionner",TblApplications[Mois lib (calc)],"&lt;="&amp;$E531)))))</f>
        <v/>
      </c>
      <c r="Y531" s="19" t="str">
        <f>IF($D531&lt;&gt;1,"",IF($G531="ROKS",$S531,IF($AI531=1,0,MAX($O531,$M531-SUMIFS(TblApplications[RAM IKS libérable (Go)],TblApplications[Cluster IKS source],$F531,TblApplications[Action],"À migrer",TblApplications[Mois prov (calc)],"&lt;="&amp;$E531)-SUMIFS(TblApplications[RAM IKS libérable (Go)],TblApplications[Cluster IKS source],$F531,TblApplications[Action],"À décommissionner",TblApplications[Mois lib (calc)],"&lt;="&amp;$E531)))))</f>
        <v/>
      </c>
      <c r="Z531" s="19" t="str">
        <f t="shared" si="145"/>
        <v/>
      </c>
      <c r="AA531" s="73" t="str">
        <f t="shared" si="146"/>
        <v/>
      </c>
      <c r="AB531" s="19" t="str">
        <f t="shared" si="147"/>
        <v/>
      </c>
      <c r="AC531" s="73" t="str">
        <f t="shared" si="148"/>
        <v/>
      </c>
      <c r="AD531" s="19" t="str">
        <f t="shared" si="149"/>
        <v/>
      </c>
      <c r="AE531" s="19" t="str">
        <f t="shared" si="150"/>
        <v/>
      </c>
      <c r="AF531" s="19" t="str">
        <f>IF($D531&lt;&gt;1,"",IF(INDEX(TblClusters[Environnement],$B531)="","(vide)",INDEX(TblClusters[Environnement],$B531)))</f>
        <v/>
      </c>
      <c r="AG531" s="19" t="str">
        <f t="shared" si="151"/>
        <v/>
      </c>
      <c r="AH531" s="19" t="str">
        <f t="shared" si="152"/>
        <v/>
      </c>
      <c r="AI531" s="19" t="str">
        <f>IF($D531&lt;&gt;1,"",IF(AND($G531="IKS",ISNUMBER(INDEX(TblClusters[Fermeture retenue],$B531))),IF($E531&gt;=INDEX(TblClusters[Fermeture retenue],$B531),1,0),0))</f>
        <v/>
      </c>
    </row>
    <row r="532" spans="1:35" x14ac:dyDescent="0.2">
      <c r="A532" s="19">
        <v>527</v>
      </c>
      <c r="B532" s="19">
        <f t="shared" si="136"/>
        <v>15</v>
      </c>
      <c r="C532" s="19">
        <f t="shared" si="137"/>
        <v>23</v>
      </c>
      <c r="D532" s="19">
        <f>IF($C532&gt;p_horizon,0,IFERROR(IF(AND(INDEX(TblClusters[Cluster],$B532)&lt;&gt;"",ISNUMBER(INDEX(TblClusters[CPU initial (vCPU)],$B532)),ISNUMBER(INDEX(TblClusters[CPU min (vCPU)],$B532)),OR(INDEX(TblClusters[Plateforme],$B532)="IKS",INDEX(TblClusters[Plateforme],$B532)="ROKS")),1,0),0))</f>
        <v>0</v>
      </c>
      <c r="E532" s="72" t="str">
        <f t="shared" si="138"/>
        <v/>
      </c>
      <c r="F532" s="19" t="str">
        <f>IF($D532=1,INDEX(TblClusters[Cluster],$B532),"")</f>
        <v/>
      </c>
      <c r="G532" s="19" t="str">
        <f>IF($D532=1,INDEX(TblClusters[Plateforme],$B532),"")</f>
        <v/>
      </c>
      <c r="H532" s="19" t="str">
        <f>IF($D532=1,INDEX(TblClusters[vCPU par nœud],$B532),"")</f>
        <v/>
      </c>
      <c r="I532" s="19" t="str">
        <f>IF($D532=1,INDEX(TblClusters[RAM par nœud (Go)],$B532),"")</f>
        <v/>
      </c>
      <c r="J532" s="19" t="str">
        <f>IF($D532=1,INDEX(TblClusters[Workers min],$B532),"")</f>
        <v/>
      </c>
      <c r="K532" s="73" t="str">
        <f>IF($D532=1,INDEX(TblClusters[Tarif par nœud],$B532),"")</f>
        <v/>
      </c>
      <c r="L532" s="19" t="str">
        <f>IF($D532=1,INDEX(TblClusters[CPU initial (vCPU)],$B532),"")</f>
        <v/>
      </c>
      <c r="M532" s="19" t="str">
        <f>IF($D532=1,INDEX(TblClusters[RAM initiale (Go)],$B532),"")</f>
        <v/>
      </c>
      <c r="N532" s="19" t="str">
        <f>IF($D532=1,INDEX(TblClusters[CPU min (vCPU)],$B532),"")</f>
        <v/>
      </c>
      <c r="O532" s="19" t="str">
        <f>IF($D532=1,INDEX(TblClusters[RAM min (Go)],$B532),"")</f>
        <v/>
      </c>
      <c r="P532" s="19" t="str">
        <f>IF($D532&lt;&gt;1,"",IF($G532="ROKS",SUMIFS(TblApplications[Besoin ROKS CPU (vCPU)],TblApplications[Cluster ROKS cible],$F532,TblApplications[Action],"À migrer",TblApplications[Déjà incluse ROKS],"Non",TblApplications[Mois prov (calc)],"&lt;="&amp;$E532),SUMIFS(TblApplications[CPU IKS libérable (vCPU)],TblApplications[Cluster IKS source],$F532,TblApplications[Mois lib (calc)],"&lt;="&amp;$E532)))</f>
        <v/>
      </c>
      <c r="Q532" s="19" t="str">
        <f>IF($D532&lt;&gt;1,"",IF($G532="ROKS",SUMIFS(TblApplications[Besoin ROKS RAM (Go)],TblApplications[Cluster ROKS cible],$F532,TblApplications[Action],"À migrer",TblApplications[Déjà incluse ROKS],"Non",TblApplications[Mois prov (calc)],"&lt;="&amp;$E532),SUMIFS(TblApplications[RAM IKS libérable (Go)],TblApplications[Cluster IKS source],$F532,TblApplications[Mois lib (calc)],"&lt;="&amp;$E532)))</f>
        <v/>
      </c>
      <c r="R532" s="19" t="str">
        <f t="shared" si="139"/>
        <v/>
      </c>
      <c r="S532" s="19" t="str">
        <f t="shared" si="140"/>
        <v/>
      </c>
      <c r="T532" s="19" t="str">
        <f t="shared" si="141"/>
        <v/>
      </c>
      <c r="U532" s="19" t="str">
        <f t="shared" si="142"/>
        <v/>
      </c>
      <c r="V532" s="19" t="str">
        <f t="shared" si="143"/>
        <v/>
      </c>
      <c r="W532" s="73" t="str">
        <f t="shared" si="144"/>
        <v/>
      </c>
      <c r="X532" s="19" t="str">
        <f>IF($D532&lt;&gt;1,"",IF($G532="ROKS",$R532,IF($AI532=1,0,MAX($N532,$L532-SUMIFS(TblApplications[CPU IKS libérable (vCPU)],TblApplications[Cluster IKS source],$F532,TblApplications[Action],"À migrer",TblApplications[Mois prov (calc)],"&lt;="&amp;$E532)-SUMIFS(TblApplications[CPU IKS libérable (vCPU)],TblApplications[Cluster IKS source],$F532,TblApplications[Action],"À décommissionner",TblApplications[Mois lib (calc)],"&lt;="&amp;$E532)))))</f>
        <v/>
      </c>
      <c r="Y532" s="19" t="str">
        <f>IF($D532&lt;&gt;1,"",IF($G532="ROKS",$S532,IF($AI532=1,0,MAX($O532,$M532-SUMIFS(TblApplications[RAM IKS libérable (Go)],TblApplications[Cluster IKS source],$F532,TblApplications[Action],"À migrer",TblApplications[Mois prov (calc)],"&lt;="&amp;$E532)-SUMIFS(TblApplications[RAM IKS libérable (Go)],TblApplications[Cluster IKS source],$F532,TblApplications[Action],"À décommissionner",TblApplications[Mois lib (calc)],"&lt;="&amp;$E532)))))</f>
        <v/>
      </c>
      <c r="Z532" s="19" t="str">
        <f t="shared" si="145"/>
        <v/>
      </c>
      <c r="AA532" s="73" t="str">
        <f t="shared" si="146"/>
        <v/>
      </c>
      <c r="AB532" s="19" t="str">
        <f t="shared" si="147"/>
        <v/>
      </c>
      <c r="AC532" s="73" t="str">
        <f t="shared" si="148"/>
        <v/>
      </c>
      <c r="AD532" s="19" t="str">
        <f t="shared" si="149"/>
        <v/>
      </c>
      <c r="AE532" s="19" t="str">
        <f t="shared" si="150"/>
        <v/>
      </c>
      <c r="AF532" s="19" t="str">
        <f>IF($D532&lt;&gt;1,"",IF(INDEX(TblClusters[Environnement],$B532)="","(vide)",INDEX(TblClusters[Environnement],$B532)))</f>
        <v/>
      </c>
      <c r="AG532" s="19" t="str">
        <f t="shared" si="151"/>
        <v/>
      </c>
      <c r="AH532" s="19" t="str">
        <f t="shared" si="152"/>
        <v/>
      </c>
      <c r="AI532" s="19" t="str">
        <f>IF($D532&lt;&gt;1,"",IF(AND($G532="IKS",ISNUMBER(INDEX(TblClusters[Fermeture retenue],$B532))),IF($E532&gt;=INDEX(TblClusters[Fermeture retenue],$B532),1,0),0))</f>
        <v/>
      </c>
    </row>
    <row r="533" spans="1:35" x14ac:dyDescent="0.2">
      <c r="A533" s="19">
        <v>528</v>
      </c>
      <c r="B533" s="19">
        <f t="shared" si="136"/>
        <v>15</v>
      </c>
      <c r="C533" s="19">
        <f t="shared" si="137"/>
        <v>24</v>
      </c>
      <c r="D533" s="19">
        <f>IF($C533&gt;p_horizon,0,IFERROR(IF(AND(INDEX(TblClusters[Cluster],$B533)&lt;&gt;"",ISNUMBER(INDEX(TblClusters[CPU initial (vCPU)],$B533)),ISNUMBER(INDEX(TblClusters[CPU min (vCPU)],$B533)),OR(INDEX(TblClusters[Plateforme],$B533)="IKS",INDEX(TblClusters[Plateforme],$B533)="ROKS")),1,0),0))</f>
        <v>0</v>
      </c>
      <c r="E533" s="72" t="str">
        <f t="shared" si="138"/>
        <v/>
      </c>
      <c r="F533" s="19" t="str">
        <f>IF($D533=1,INDEX(TblClusters[Cluster],$B533),"")</f>
        <v/>
      </c>
      <c r="G533" s="19" t="str">
        <f>IF($D533=1,INDEX(TblClusters[Plateforme],$B533),"")</f>
        <v/>
      </c>
      <c r="H533" s="19" t="str">
        <f>IF($D533=1,INDEX(TblClusters[vCPU par nœud],$B533),"")</f>
        <v/>
      </c>
      <c r="I533" s="19" t="str">
        <f>IF($D533=1,INDEX(TblClusters[RAM par nœud (Go)],$B533),"")</f>
        <v/>
      </c>
      <c r="J533" s="19" t="str">
        <f>IF($D533=1,INDEX(TblClusters[Workers min],$B533),"")</f>
        <v/>
      </c>
      <c r="K533" s="73" t="str">
        <f>IF($D533=1,INDEX(TblClusters[Tarif par nœud],$B533),"")</f>
        <v/>
      </c>
      <c r="L533" s="19" t="str">
        <f>IF($D533=1,INDEX(TblClusters[CPU initial (vCPU)],$B533),"")</f>
        <v/>
      </c>
      <c r="M533" s="19" t="str">
        <f>IF($D533=1,INDEX(TblClusters[RAM initiale (Go)],$B533),"")</f>
        <v/>
      </c>
      <c r="N533" s="19" t="str">
        <f>IF($D533=1,INDEX(TblClusters[CPU min (vCPU)],$B533),"")</f>
        <v/>
      </c>
      <c r="O533" s="19" t="str">
        <f>IF($D533=1,INDEX(TblClusters[RAM min (Go)],$B533),"")</f>
        <v/>
      </c>
      <c r="P533" s="19" t="str">
        <f>IF($D533&lt;&gt;1,"",IF($G533="ROKS",SUMIFS(TblApplications[Besoin ROKS CPU (vCPU)],TblApplications[Cluster ROKS cible],$F533,TblApplications[Action],"À migrer",TblApplications[Déjà incluse ROKS],"Non",TblApplications[Mois prov (calc)],"&lt;="&amp;$E533),SUMIFS(TblApplications[CPU IKS libérable (vCPU)],TblApplications[Cluster IKS source],$F533,TblApplications[Mois lib (calc)],"&lt;="&amp;$E533)))</f>
        <v/>
      </c>
      <c r="Q533" s="19" t="str">
        <f>IF($D533&lt;&gt;1,"",IF($G533="ROKS",SUMIFS(TblApplications[Besoin ROKS RAM (Go)],TblApplications[Cluster ROKS cible],$F533,TblApplications[Action],"À migrer",TblApplications[Déjà incluse ROKS],"Non",TblApplications[Mois prov (calc)],"&lt;="&amp;$E533),SUMIFS(TblApplications[RAM IKS libérable (Go)],TblApplications[Cluster IKS source],$F533,TblApplications[Mois lib (calc)],"&lt;="&amp;$E533)))</f>
        <v/>
      </c>
      <c r="R533" s="19" t="str">
        <f t="shared" si="139"/>
        <v/>
      </c>
      <c r="S533" s="19" t="str">
        <f t="shared" si="140"/>
        <v/>
      </c>
      <c r="T533" s="19" t="str">
        <f t="shared" si="141"/>
        <v/>
      </c>
      <c r="U533" s="19" t="str">
        <f t="shared" si="142"/>
        <v/>
      </c>
      <c r="V533" s="19" t="str">
        <f t="shared" si="143"/>
        <v/>
      </c>
      <c r="W533" s="73" t="str">
        <f t="shared" si="144"/>
        <v/>
      </c>
      <c r="X533" s="19" t="str">
        <f>IF($D533&lt;&gt;1,"",IF($G533="ROKS",$R533,IF($AI533=1,0,MAX($N533,$L533-SUMIFS(TblApplications[CPU IKS libérable (vCPU)],TblApplications[Cluster IKS source],$F533,TblApplications[Action],"À migrer",TblApplications[Mois prov (calc)],"&lt;="&amp;$E533)-SUMIFS(TblApplications[CPU IKS libérable (vCPU)],TblApplications[Cluster IKS source],$F533,TblApplications[Action],"À décommissionner",TblApplications[Mois lib (calc)],"&lt;="&amp;$E533)))))</f>
        <v/>
      </c>
      <c r="Y533" s="19" t="str">
        <f>IF($D533&lt;&gt;1,"",IF($G533="ROKS",$S533,IF($AI533=1,0,MAX($O533,$M533-SUMIFS(TblApplications[RAM IKS libérable (Go)],TblApplications[Cluster IKS source],$F533,TblApplications[Action],"À migrer",TblApplications[Mois prov (calc)],"&lt;="&amp;$E533)-SUMIFS(TblApplications[RAM IKS libérable (Go)],TblApplications[Cluster IKS source],$F533,TblApplications[Action],"À décommissionner",TblApplications[Mois lib (calc)],"&lt;="&amp;$E533)))))</f>
        <v/>
      </c>
      <c r="Z533" s="19" t="str">
        <f t="shared" si="145"/>
        <v/>
      </c>
      <c r="AA533" s="73" t="str">
        <f t="shared" si="146"/>
        <v/>
      </c>
      <c r="AB533" s="19" t="str">
        <f t="shared" si="147"/>
        <v/>
      </c>
      <c r="AC533" s="73" t="str">
        <f t="shared" si="148"/>
        <v/>
      </c>
      <c r="AD533" s="19" t="str">
        <f t="shared" si="149"/>
        <v/>
      </c>
      <c r="AE533" s="19" t="str">
        <f t="shared" si="150"/>
        <v/>
      </c>
      <c r="AF533" s="19" t="str">
        <f>IF($D533&lt;&gt;1,"",IF(INDEX(TblClusters[Environnement],$B533)="","(vide)",INDEX(TblClusters[Environnement],$B533)))</f>
        <v/>
      </c>
      <c r="AG533" s="19" t="str">
        <f t="shared" si="151"/>
        <v/>
      </c>
      <c r="AH533" s="19" t="str">
        <f t="shared" si="152"/>
        <v/>
      </c>
      <c r="AI533" s="19" t="str">
        <f>IF($D533&lt;&gt;1,"",IF(AND($G533="IKS",ISNUMBER(INDEX(TblClusters[Fermeture retenue],$B533))),IF($E533&gt;=INDEX(TblClusters[Fermeture retenue],$B533),1,0),0))</f>
        <v/>
      </c>
    </row>
    <row r="534" spans="1:35" x14ac:dyDescent="0.2">
      <c r="A534" s="19">
        <v>529</v>
      </c>
      <c r="B534" s="19">
        <f t="shared" si="136"/>
        <v>15</v>
      </c>
      <c r="C534" s="19">
        <f t="shared" si="137"/>
        <v>25</v>
      </c>
      <c r="D534" s="19">
        <f>IF($C534&gt;p_horizon,0,IFERROR(IF(AND(INDEX(TblClusters[Cluster],$B534)&lt;&gt;"",ISNUMBER(INDEX(TblClusters[CPU initial (vCPU)],$B534)),ISNUMBER(INDEX(TblClusters[CPU min (vCPU)],$B534)),OR(INDEX(TblClusters[Plateforme],$B534)="IKS",INDEX(TblClusters[Plateforme],$B534)="ROKS")),1,0),0))</f>
        <v>0</v>
      </c>
      <c r="E534" s="72" t="str">
        <f t="shared" si="138"/>
        <v/>
      </c>
      <c r="F534" s="19" t="str">
        <f>IF($D534=1,INDEX(TblClusters[Cluster],$B534),"")</f>
        <v/>
      </c>
      <c r="G534" s="19" t="str">
        <f>IF($D534=1,INDEX(TblClusters[Plateforme],$B534),"")</f>
        <v/>
      </c>
      <c r="H534" s="19" t="str">
        <f>IF($D534=1,INDEX(TblClusters[vCPU par nœud],$B534),"")</f>
        <v/>
      </c>
      <c r="I534" s="19" t="str">
        <f>IF($D534=1,INDEX(TblClusters[RAM par nœud (Go)],$B534),"")</f>
        <v/>
      </c>
      <c r="J534" s="19" t="str">
        <f>IF($D534=1,INDEX(TblClusters[Workers min],$B534),"")</f>
        <v/>
      </c>
      <c r="K534" s="73" t="str">
        <f>IF($D534=1,INDEX(TblClusters[Tarif par nœud],$B534),"")</f>
        <v/>
      </c>
      <c r="L534" s="19" t="str">
        <f>IF($D534=1,INDEX(TblClusters[CPU initial (vCPU)],$B534),"")</f>
        <v/>
      </c>
      <c r="M534" s="19" t="str">
        <f>IF($D534=1,INDEX(TblClusters[RAM initiale (Go)],$B534),"")</f>
        <v/>
      </c>
      <c r="N534" s="19" t="str">
        <f>IF($D534=1,INDEX(TblClusters[CPU min (vCPU)],$B534),"")</f>
        <v/>
      </c>
      <c r="O534" s="19" t="str">
        <f>IF($D534=1,INDEX(TblClusters[RAM min (Go)],$B534),"")</f>
        <v/>
      </c>
      <c r="P534" s="19" t="str">
        <f>IF($D534&lt;&gt;1,"",IF($G534="ROKS",SUMIFS(TblApplications[Besoin ROKS CPU (vCPU)],TblApplications[Cluster ROKS cible],$F534,TblApplications[Action],"À migrer",TblApplications[Déjà incluse ROKS],"Non",TblApplications[Mois prov (calc)],"&lt;="&amp;$E534),SUMIFS(TblApplications[CPU IKS libérable (vCPU)],TblApplications[Cluster IKS source],$F534,TblApplications[Mois lib (calc)],"&lt;="&amp;$E534)))</f>
        <v/>
      </c>
      <c r="Q534" s="19" t="str">
        <f>IF($D534&lt;&gt;1,"",IF($G534="ROKS",SUMIFS(TblApplications[Besoin ROKS RAM (Go)],TblApplications[Cluster ROKS cible],$F534,TblApplications[Action],"À migrer",TblApplications[Déjà incluse ROKS],"Non",TblApplications[Mois prov (calc)],"&lt;="&amp;$E534),SUMIFS(TblApplications[RAM IKS libérable (Go)],TblApplications[Cluster IKS source],$F534,TblApplications[Mois lib (calc)],"&lt;="&amp;$E534)))</f>
        <v/>
      </c>
      <c r="R534" s="19" t="str">
        <f t="shared" si="139"/>
        <v/>
      </c>
      <c r="S534" s="19" t="str">
        <f t="shared" si="140"/>
        <v/>
      </c>
      <c r="T534" s="19" t="str">
        <f t="shared" si="141"/>
        <v/>
      </c>
      <c r="U534" s="19" t="str">
        <f t="shared" si="142"/>
        <v/>
      </c>
      <c r="V534" s="19" t="str">
        <f t="shared" si="143"/>
        <v/>
      </c>
      <c r="W534" s="73" t="str">
        <f t="shared" si="144"/>
        <v/>
      </c>
      <c r="X534" s="19" t="str">
        <f>IF($D534&lt;&gt;1,"",IF($G534="ROKS",$R534,IF($AI534=1,0,MAX($N534,$L534-SUMIFS(TblApplications[CPU IKS libérable (vCPU)],TblApplications[Cluster IKS source],$F534,TblApplications[Action],"À migrer",TblApplications[Mois prov (calc)],"&lt;="&amp;$E534)-SUMIFS(TblApplications[CPU IKS libérable (vCPU)],TblApplications[Cluster IKS source],$F534,TblApplications[Action],"À décommissionner",TblApplications[Mois lib (calc)],"&lt;="&amp;$E534)))))</f>
        <v/>
      </c>
      <c r="Y534" s="19" t="str">
        <f>IF($D534&lt;&gt;1,"",IF($G534="ROKS",$S534,IF($AI534=1,0,MAX($O534,$M534-SUMIFS(TblApplications[RAM IKS libérable (Go)],TblApplications[Cluster IKS source],$F534,TblApplications[Action],"À migrer",TblApplications[Mois prov (calc)],"&lt;="&amp;$E534)-SUMIFS(TblApplications[RAM IKS libérable (Go)],TblApplications[Cluster IKS source],$F534,TblApplications[Action],"À décommissionner",TblApplications[Mois lib (calc)],"&lt;="&amp;$E534)))))</f>
        <v/>
      </c>
      <c r="Z534" s="19" t="str">
        <f t="shared" si="145"/>
        <v/>
      </c>
      <c r="AA534" s="73" t="str">
        <f t="shared" si="146"/>
        <v/>
      </c>
      <c r="AB534" s="19" t="str">
        <f t="shared" si="147"/>
        <v/>
      </c>
      <c r="AC534" s="73" t="str">
        <f t="shared" si="148"/>
        <v/>
      </c>
      <c r="AD534" s="19" t="str">
        <f t="shared" si="149"/>
        <v/>
      </c>
      <c r="AE534" s="19" t="str">
        <f t="shared" si="150"/>
        <v/>
      </c>
      <c r="AF534" s="19" t="str">
        <f>IF($D534&lt;&gt;1,"",IF(INDEX(TblClusters[Environnement],$B534)="","(vide)",INDEX(TblClusters[Environnement],$B534)))</f>
        <v/>
      </c>
      <c r="AG534" s="19" t="str">
        <f t="shared" si="151"/>
        <v/>
      </c>
      <c r="AH534" s="19" t="str">
        <f t="shared" si="152"/>
        <v/>
      </c>
      <c r="AI534" s="19" t="str">
        <f>IF($D534&lt;&gt;1,"",IF(AND($G534="IKS",ISNUMBER(INDEX(TblClusters[Fermeture retenue],$B534))),IF($E534&gt;=INDEX(TblClusters[Fermeture retenue],$B534),1,0),0))</f>
        <v/>
      </c>
    </row>
    <row r="535" spans="1:35" x14ac:dyDescent="0.2">
      <c r="A535" s="19">
        <v>530</v>
      </c>
      <c r="B535" s="19">
        <f t="shared" si="136"/>
        <v>15</v>
      </c>
      <c r="C535" s="19">
        <f t="shared" si="137"/>
        <v>26</v>
      </c>
      <c r="D535" s="19">
        <f>IF($C535&gt;p_horizon,0,IFERROR(IF(AND(INDEX(TblClusters[Cluster],$B535)&lt;&gt;"",ISNUMBER(INDEX(TblClusters[CPU initial (vCPU)],$B535)),ISNUMBER(INDEX(TblClusters[CPU min (vCPU)],$B535)),OR(INDEX(TblClusters[Plateforme],$B535)="IKS",INDEX(TblClusters[Plateforme],$B535)="ROKS")),1,0),0))</f>
        <v>0</v>
      </c>
      <c r="E535" s="72" t="str">
        <f t="shared" si="138"/>
        <v/>
      </c>
      <c r="F535" s="19" t="str">
        <f>IF($D535=1,INDEX(TblClusters[Cluster],$B535),"")</f>
        <v/>
      </c>
      <c r="G535" s="19" t="str">
        <f>IF($D535=1,INDEX(TblClusters[Plateforme],$B535),"")</f>
        <v/>
      </c>
      <c r="H535" s="19" t="str">
        <f>IF($D535=1,INDEX(TblClusters[vCPU par nœud],$B535),"")</f>
        <v/>
      </c>
      <c r="I535" s="19" t="str">
        <f>IF($D535=1,INDEX(TblClusters[RAM par nœud (Go)],$B535),"")</f>
        <v/>
      </c>
      <c r="J535" s="19" t="str">
        <f>IF($D535=1,INDEX(TblClusters[Workers min],$B535),"")</f>
        <v/>
      </c>
      <c r="K535" s="73" t="str">
        <f>IF($D535=1,INDEX(TblClusters[Tarif par nœud],$B535),"")</f>
        <v/>
      </c>
      <c r="L535" s="19" t="str">
        <f>IF($D535=1,INDEX(TblClusters[CPU initial (vCPU)],$B535),"")</f>
        <v/>
      </c>
      <c r="M535" s="19" t="str">
        <f>IF($D535=1,INDEX(TblClusters[RAM initiale (Go)],$B535),"")</f>
        <v/>
      </c>
      <c r="N535" s="19" t="str">
        <f>IF($D535=1,INDEX(TblClusters[CPU min (vCPU)],$B535),"")</f>
        <v/>
      </c>
      <c r="O535" s="19" t="str">
        <f>IF($D535=1,INDEX(TblClusters[RAM min (Go)],$B535),"")</f>
        <v/>
      </c>
      <c r="P535" s="19" t="str">
        <f>IF($D535&lt;&gt;1,"",IF($G535="ROKS",SUMIFS(TblApplications[Besoin ROKS CPU (vCPU)],TblApplications[Cluster ROKS cible],$F535,TblApplications[Action],"À migrer",TblApplications[Déjà incluse ROKS],"Non",TblApplications[Mois prov (calc)],"&lt;="&amp;$E535),SUMIFS(TblApplications[CPU IKS libérable (vCPU)],TblApplications[Cluster IKS source],$F535,TblApplications[Mois lib (calc)],"&lt;="&amp;$E535)))</f>
        <v/>
      </c>
      <c r="Q535" s="19" t="str">
        <f>IF($D535&lt;&gt;1,"",IF($G535="ROKS",SUMIFS(TblApplications[Besoin ROKS RAM (Go)],TblApplications[Cluster ROKS cible],$F535,TblApplications[Action],"À migrer",TblApplications[Déjà incluse ROKS],"Non",TblApplications[Mois prov (calc)],"&lt;="&amp;$E535),SUMIFS(TblApplications[RAM IKS libérable (Go)],TblApplications[Cluster IKS source],$F535,TblApplications[Mois lib (calc)],"&lt;="&amp;$E535)))</f>
        <v/>
      </c>
      <c r="R535" s="19" t="str">
        <f t="shared" si="139"/>
        <v/>
      </c>
      <c r="S535" s="19" t="str">
        <f t="shared" si="140"/>
        <v/>
      </c>
      <c r="T535" s="19" t="str">
        <f t="shared" si="141"/>
        <v/>
      </c>
      <c r="U535" s="19" t="str">
        <f t="shared" si="142"/>
        <v/>
      </c>
      <c r="V535" s="19" t="str">
        <f t="shared" si="143"/>
        <v/>
      </c>
      <c r="W535" s="73" t="str">
        <f t="shared" si="144"/>
        <v/>
      </c>
      <c r="X535" s="19" t="str">
        <f>IF($D535&lt;&gt;1,"",IF($G535="ROKS",$R535,IF($AI535=1,0,MAX($N535,$L535-SUMIFS(TblApplications[CPU IKS libérable (vCPU)],TblApplications[Cluster IKS source],$F535,TblApplications[Action],"À migrer",TblApplications[Mois prov (calc)],"&lt;="&amp;$E535)-SUMIFS(TblApplications[CPU IKS libérable (vCPU)],TblApplications[Cluster IKS source],$F535,TblApplications[Action],"À décommissionner",TblApplications[Mois lib (calc)],"&lt;="&amp;$E535)))))</f>
        <v/>
      </c>
      <c r="Y535" s="19" t="str">
        <f>IF($D535&lt;&gt;1,"",IF($G535="ROKS",$S535,IF($AI535=1,0,MAX($O535,$M535-SUMIFS(TblApplications[RAM IKS libérable (Go)],TblApplications[Cluster IKS source],$F535,TblApplications[Action],"À migrer",TblApplications[Mois prov (calc)],"&lt;="&amp;$E535)-SUMIFS(TblApplications[RAM IKS libérable (Go)],TblApplications[Cluster IKS source],$F535,TblApplications[Action],"À décommissionner",TblApplications[Mois lib (calc)],"&lt;="&amp;$E535)))))</f>
        <v/>
      </c>
      <c r="Z535" s="19" t="str">
        <f t="shared" si="145"/>
        <v/>
      </c>
      <c r="AA535" s="73" t="str">
        <f t="shared" si="146"/>
        <v/>
      </c>
      <c r="AB535" s="19" t="str">
        <f t="shared" si="147"/>
        <v/>
      </c>
      <c r="AC535" s="73" t="str">
        <f t="shared" si="148"/>
        <v/>
      </c>
      <c r="AD535" s="19" t="str">
        <f t="shared" si="149"/>
        <v/>
      </c>
      <c r="AE535" s="19" t="str">
        <f t="shared" si="150"/>
        <v/>
      </c>
      <c r="AF535" s="19" t="str">
        <f>IF($D535&lt;&gt;1,"",IF(INDEX(TblClusters[Environnement],$B535)="","(vide)",INDEX(TblClusters[Environnement],$B535)))</f>
        <v/>
      </c>
      <c r="AG535" s="19" t="str">
        <f t="shared" si="151"/>
        <v/>
      </c>
      <c r="AH535" s="19" t="str">
        <f t="shared" si="152"/>
        <v/>
      </c>
      <c r="AI535" s="19" t="str">
        <f>IF($D535&lt;&gt;1,"",IF(AND($G535="IKS",ISNUMBER(INDEX(TblClusters[Fermeture retenue],$B535))),IF($E535&gt;=INDEX(TblClusters[Fermeture retenue],$B535),1,0),0))</f>
        <v/>
      </c>
    </row>
    <row r="536" spans="1:35" x14ac:dyDescent="0.2">
      <c r="A536" s="19">
        <v>531</v>
      </c>
      <c r="B536" s="19">
        <f t="shared" si="136"/>
        <v>15</v>
      </c>
      <c r="C536" s="19">
        <f t="shared" si="137"/>
        <v>27</v>
      </c>
      <c r="D536" s="19">
        <f>IF($C536&gt;p_horizon,0,IFERROR(IF(AND(INDEX(TblClusters[Cluster],$B536)&lt;&gt;"",ISNUMBER(INDEX(TblClusters[CPU initial (vCPU)],$B536)),ISNUMBER(INDEX(TblClusters[CPU min (vCPU)],$B536)),OR(INDEX(TblClusters[Plateforme],$B536)="IKS",INDEX(TblClusters[Plateforme],$B536)="ROKS")),1,0),0))</f>
        <v>0</v>
      </c>
      <c r="E536" s="72" t="str">
        <f t="shared" si="138"/>
        <v/>
      </c>
      <c r="F536" s="19" t="str">
        <f>IF($D536=1,INDEX(TblClusters[Cluster],$B536),"")</f>
        <v/>
      </c>
      <c r="G536" s="19" t="str">
        <f>IF($D536=1,INDEX(TblClusters[Plateforme],$B536),"")</f>
        <v/>
      </c>
      <c r="H536" s="19" t="str">
        <f>IF($D536=1,INDEX(TblClusters[vCPU par nœud],$B536),"")</f>
        <v/>
      </c>
      <c r="I536" s="19" t="str">
        <f>IF($D536=1,INDEX(TblClusters[RAM par nœud (Go)],$B536),"")</f>
        <v/>
      </c>
      <c r="J536" s="19" t="str">
        <f>IF($D536=1,INDEX(TblClusters[Workers min],$B536),"")</f>
        <v/>
      </c>
      <c r="K536" s="73" t="str">
        <f>IF($D536=1,INDEX(TblClusters[Tarif par nœud],$B536),"")</f>
        <v/>
      </c>
      <c r="L536" s="19" t="str">
        <f>IF($D536=1,INDEX(TblClusters[CPU initial (vCPU)],$B536),"")</f>
        <v/>
      </c>
      <c r="M536" s="19" t="str">
        <f>IF($D536=1,INDEX(TblClusters[RAM initiale (Go)],$B536),"")</f>
        <v/>
      </c>
      <c r="N536" s="19" t="str">
        <f>IF($D536=1,INDEX(TblClusters[CPU min (vCPU)],$B536),"")</f>
        <v/>
      </c>
      <c r="O536" s="19" t="str">
        <f>IF($D536=1,INDEX(TblClusters[RAM min (Go)],$B536),"")</f>
        <v/>
      </c>
      <c r="P536" s="19" t="str">
        <f>IF($D536&lt;&gt;1,"",IF($G536="ROKS",SUMIFS(TblApplications[Besoin ROKS CPU (vCPU)],TblApplications[Cluster ROKS cible],$F536,TblApplications[Action],"À migrer",TblApplications[Déjà incluse ROKS],"Non",TblApplications[Mois prov (calc)],"&lt;="&amp;$E536),SUMIFS(TblApplications[CPU IKS libérable (vCPU)],TblApplications[Cluster IKS source],$F536,TblApplications[Mois lib (calc)],"&lt;="&amp;$E536)))</f>
        <v/>
      </c>
      <c r="Q536" s="19" t="str">
        <f>IF($D536&lt;&gt;1,"",IF($G536="ROKS",SUMIFS(TblApplications[Besoin ROKS RAM (Go)],TblApplications[Cluster ROKS cible],$F536,TblApplications[Action],"À migrer",TblApplications[Déjà incluse ROKS],"Non",TblApplications[Mois prov (calc)],"&lt;="&amp;$E536),SUMIFS(TblApplications[RAM IKS libérable (Go)],TblApplications[Cluster IKS source],$F536,TblApplications[Mois lib (calc)],"&lt;="&amp;$E536)))</f>
        <v/>
      </c>
      <c r="R536" s="19" t="str">
        <f t="shared" si="139"/>
        <v/>
      </c>
      <c r="S536" s="19" t="str">
        <f t="shared" si="140"/>
        <v/>
      </c>
      <c r="T536" s="19" t="str">
        <f t="shared" si="141"/>
        <v/>
      </c>
      <c r="U536" s="19" t="str">
        <f t="shared" si="142"/>
        <v/>
      </c>
      <c r="V536" s="19" t="str">
        <f t="shared" si="143"/>
        <v/>
      </c>
      <c r="W536" s="73" t="str">
        <f t="shared" si="144"/>
        <v/>
      </c>
      <c r="X536" s="19" t="str">
        <f>IF($D536&lt;&gt;1,"",IF($G536="ROKS",$R536,IF($AI536=1,0,MAX($N536,$L536-SUMIFS(TblApplications[CPU IKS libérable (vCPU)],TblApplications[Cluster IKS source],$F536,TblApplications[Action],"À migrer",TblApplications[Mois prov (calc)],"&lt;="&amp;$E536)-SUMIFS(TblApplications[CPU IKS libérable (vCPU)],TblApplications[Cluster IKS source],$F536,TblApplications[Action],"À décommissionner",TblApplications[Mois lib (calc)],"&lt;="&amp;$E536)))))</f>
        <v/>
      </c>
      <c r="Y536" s="19" t="str">
        <f>IF($D536&lt;&gt;1,"",IF($G536="ROKS",$S536,IF($AI536=1,0,MAX($O536,$M536-SUMIFS(TblApplications[RAM IKS libérable (Go)],TblApplications[Cluster IKS source],$F536,TblApplications[Action],"À migrer",TblApplications[Mois prov (calc)],"&lt;="&amp;$E536)-SUMIFS(TblApplications[RAM IKS libérable (Go)],TblApplications[Cluster IKS source],$F536,TblApplications[Action],"À décommissionner",TblApplications[Mois lib (calc)],"&lt;="&amp;$E536)))))</f>
        <v/>
      </c>
      <c r="Z536" s="19" t="str">
        <f t="shared" si="145"/>
        <v/>
      </c>
      <c r="AA536" s="73" t="str">
        <f t="shared" si="146"/>
        <v/>
      </c>
      <c r="AB536" s="19" t="str">
        <f t="shared" si="147"/>
        <v/>
      </c>
      <c r="AC536" s="73" t="str">
        <f t="shared" si="148"/>
        <v/>
      </c>
      <c r="AD536" s="19" t="str">
        <f t="shared" si="149"/>
        <v/>
      </c>
      <c r="AE536" s="19" t="str">
        <f t="shared" si="150"/>
        <v/>
      </c>
      <c r="AF536" s="19" t="str">
        <f>IF($D536&lt;&gt;1,"",IF(INDEX(TblClusters[Environnement],$B536)="","(vide)",INDEX(TblClusters[Environnement],$B536)))</f>
        <v/>
      </c>
      <c r="AG536" s="19" t="str">
        <f t="shared" si="151"/>
        <v/>
      </c>
      <c r="AH536" s="19" t="str">
        <f t="shared" si="152"/>
        <v/>
      </c>
      <c r="AI536" s="19" t="str">
        <f>IF($D536&lt;&gt;1,"",IF(AND($G536="IKS",ISNUMBER(INDEX(TblClusters[Fermeture retenue],$B536))),IF($E536&gt;=INDEX(TblClusters[Fermeture retenue],$B536),1,0),0))</f>
        <v/>
      </c>
    </row>
    <row r="537" spans="1:35" x14ac:dyDescent="0.2">
      <c r="A537" s="19">
        <v>532</v>
      </c>
      <c r="B537" s="19">
        <f t="shared" si="136"/>
        <v>15</v>
      </c>
      <c r="C537" s="19">
        <f t="shared" si="137"/>
        <v>28</v>
      </c>
      <c r="D537" s="19">
        <f>IF($C537&gt;p_horizon,0,IFERROR(IF(AND(INDEX(TblClusters[Cluster],$B537)&lt;&gt;"",ISNUMBER(INDEX(TblClusters[CPU initial (vCPU)],$B537)),ISNUMBER(INDEX(TblClusters[CPU min (vCPU)],$B537)),OR(INDEX(TblClusters[Plateforme],$B537)="IKS",INDEX(TblClusters[Plateforme],$B537)="ROKS")),1,0),0))</f>
        <v>0</v>
      </c>
      <c r="E537" s="72" t="str">
        <f t="shared" si="138"/>
        <v/>
      </c>
      <c r="F537" s="19" t="str">
        <f>IF($D537=1,INDEX(TblClusters[Cluster],$B537),"")</f>
        <v/>
      </c>
      <c r="G537" s="19" t="str">
        <f>IF($D537=1,INDEX(TblClusters[Plateforme],$B537),"")</f>
        <v/>
      </c>
      <c r="H537" s="19" t="str">
        <f>IF($D537=1,INDEX(TblClusters[vCPU par nœud],$B537),"")</f>
        <v/>
      </c>
      <c r="I537" s="19" t="str">
        <f>IF($D537=1,INDEX(TblClusters[RAM par nœud (Go)],$B537),"")</f>
        <v/>
      </c>
      <c r="J537" s="19" t="str">
        <f>IF($D537=1,INDEX(TblClusters[Workers min],$B537),"")</f>
        <v/>
      </c>
      <c r="K537" s="73" t="str">
        <f>IF($D537=1,INDEX(TblClusters[Tarif par nœud],$B537),"")</f>
        <v/>
      </c>
      <c r="L537" s="19" t="str">
        <f>IF($D537=1,INDEX(TblClusters[CPU initial (vCPU)],$B537),"")</f>
        <v/>
      </c>
      <c r="M537" s="19" t="str">
        <f>IF($D537=1,INDEX(TblClusters[RAM initiale (Go)],$B537),"")</f>
        <v/>
      </c>
      <c r="N537" s="19" t="str">
        <f>IF($D537=1,INDEX(TblClusters[CPU min (vCPU)],$B537),"")</f>
        <v/>
      </c>
      <c r="O537" s="19" t="str">
        <f>IF($D537=1,INDEX(TblClusters[RAM min (Go)],$B537),"")</f>
        <v/>
      </c>
      <c r="P537" s="19" t="str">
        <f>IF($D537&lt;&gt;1,"",IF($G537="ROKS",SUMIFS(TblApplications[Besoin ROKS CPU (vCPU)],TblApplications[Cluster ROKS cible],$F537,TblApplications[Action],"À migrer",TblApplications[Déjà incluse ROKS],"Non",TblApplications[Mois prov (calc)],"&lt;="&amp;$E537),SUMIFS(TblApplications[CPU IKS libérable (vCPU)],TblApplications[Cluster IKS source],$F537,TblApplications[Mois lib (calc)],"&lt;="&amp;$E537)))</f>
        <v/>
      </c>
      <c r="Q537" s="19" t="str">
        <f>IF($D537&lt;&gt;1,"",IF($G537="ROKS",SUMIFS(TblApplications[Besoin ROKS RAM (Go)],TblApplications[Cluster ROKS cible],$F537,TblApplications[Action],"À migrer",TblApplications[Déjà incluse ROKS],"Non",TblApplications[Mois prov (calc)],"&lt;="&amp;$E537),SUMIFS(TblApplications[RAM IKS libérable (Go)],TblApplications[Cluster IKS source],$F537,TblApplications[Mois lib (calc)],"&lt;="&amp;$E537)))</f>
        <v/>
      </c>
      <c r="R537" s="19" t="str">
        <f t="shared" si="139"/>
        <v/>
      </c>
      <c r="S537" s="19" t="str">
        <f t="shared" si="140"/>
        <v/>
      </c>
      <c r="T537" s="19" t="str">
        <f t="shared" si="141"/>
        <v/>
      </c>
      <c r="U537" s="19" t="str">
        <f t="shared" si="142"/>
        <v/>
      </c>
      <c r="V537" s="19" t="str">
        <f t="shared" si="143"/>
        <v/>
      </c>
      <c r="W537" s="73" t="str">
        <f t="shared" si="144"/>
        <v/>
      </c>
      <c r="X537" s="19" t="str">
        <f>IF($D537&lt;&gt;1,"",IF($G537="ROKS",$R537,IF($AI537=1,0,MAX($N537,$L537-SUMIFS(TblApplications[CPU IKS libérable (vCPU)],TblApplications[Cluster IKS source],$F537,TblApplications[Action],"À migrer",TblApplications[Mois prov (calc)],"&lt;="&amp;$E537)-SUMIFS(TblApplications[CPU IKS libérable (vCPU)],TblApplications[Cluster IKS source],$F537,TblApplications[Action],"À décommissionner",TblApplications[Mois lib (calc)],"&lt;="&amp;$E537)))))</f>
        <v/>
      </c>
      <c r="Y537" s="19" t="str">
        <f>IF($D537&lt;&gt;1,"",IF($G537="ROKS",$S537,IF($AI537=1,0,MAX($O537,$M537-SUMIFS(TblApplications[RAM IKS libérable (Go)],TblApplications[Cluster IKS source],$F537,TblApplications[Action],"À migrer",TblApplications[Mois prov (calc)],"&lt;="&amp;$E537)-SUMIFS(TblApplications[RAM IKS libérable (Go)],TblApplications[Cluster IKS source],$F537,TblApplications[Action],"À décommissionner",TblApplications[Mois lib (calc)],"&lt;="&amp;$E537)))))</f>
        <v/>
      </c>
      <c r="Z537" s="19" t="str">
        <f t="shared" si="145"/>
        <v/>
      </c>
      <c r="AA537" s="73" t="str">
        <f t="shared" si="146"/>
        <v/>
      </c>
      <c r="AB537" s="19" t="str">
        <f t="shared" si="147"/>
        <v/>
      </c>
      <c r="AC537" s="73" t="str">
        <f t="shared" si="148"/>
        <v/>
      </c>
      <c r="AD537" s="19" t="str">
        <f t="shared" si="149"/>
        <v/>
      </c>
      <c r="AE537" s="19" t="str">
        <f t="shared" si="150"/>
        <v/>
      </c>
      <c r="AF537" s="19" t="str">
        <f>IF($D537&lt;&gt;1,"",IF(INDEX(TblClusters[Environnement],$B537)="","(vide)",INDEX(TblClusters[Environnement],$B537)))</f>
        <v/>
      </c>
      <c r="AG537" s="19" t="str">
        <f t="shared" si="151"/>
        <v/>
      </c>
      <c r="AH537" s="19" t="str">
        <f t="shared" si="152"/>
        <v/>
      </c>
      <c r="AI537" s="19" t="str">
        <f>IF($D537&lt;&gt;1,"",IF(AND($G537="IKS",ISNUMBER(INDEX(TblClusters[Fermeture retenue],$B537))),IF($E537&gt;=INDEX(TblClusters[Fermeture retenue],$B537),1,0),0))</f>
        <v/>
      </c>
    </row>
    <row r="538" spans="1:35" x14ac:dyDescent="0.2">
      <c r="A538" s="19">
        <v>533</v>
      </c>
      <c r="B538" s="19">
        <f t="shared" si="136"/>
        <v>15</v>
      </c>
      <c r="C538" s="19">
        <f t="shared" si="137"/>
        <v>29</v>
      </c>
      <c r="D538" s="19">
        <f>IF($C538&gt;p_horizon,0,IFERROR(IF(AND(INDEX(TblClusters[Cluster],$B538)&lt;&gt;"",ISNUMBER(INDEX(TblClusters[CPU initial (vCPU)],$B538)),ISNUMBER(INDEX(TblClusters[CPU min (vCPU)],$B538)),OR(INDEX(TblClusters[Plateforme],$B538)="IKS",INDEX(TblClusters[Plateforme],$B538)="ROKS")),1,0),0))</f>
        <v>0</v>
      </c>
      <c r="E538" s="72" t="str">
        <f t="shared" si="138"/>
        <v/>
      </c>
      <c r="F538" s="19" t="str">
        <f>IF($D538=1,INDEX(TblClusters[Cluster],$B538),"")</f>
        <v/>
      </c>
      <c r="G538" s="19" t="str">
        <f>IF($D538=1,INDEX(TblClusters[Plateforme],$B538),"")</f>
        <v/>
      </c>
      <c r="H538" s="19" t="str">
        <f>IF($D538=1,INDEX(TblClusters[vCPU par nœud],$B538),"")</f>
        <v/>
      </c>
      <c r="I538" s="19" t="str">
        <f>IF($D538=1,INDEX(TblClusters[RAM par nœud (Go)],$B538),"")</f>
        <v/>
      </c>
      <c r="J538" s="19" t="str">
        <f>IF($D538=1,INDEX(TblClusters[Workers min],$B538),"")</f>
        <v/>
      </c>
      <c r="K538" s="73" t="str">
        <f>IF($D538=1,INDEX(TblClusters[Tarif par nœud],$B538),"")</f>
        <v/>
      </c>
      <c r="L538" s="19" t="str">
        <f>IF($D538=1,INDEX(TblClusters[CPU initial (vCPU)],$B538),"")</f>
        <v/>
      </c>
      <c r="M538" s="19" t="str">
        <f>IF($D538=1,INDEX(TblClusters[RAM initiale (Go)],$B538),"")</f>
        <v/>
      </c>
      <c r="N538" s="19" t="str">
        <f>IF($D538=1,INDEX(TblClusters[CPU min (vCPU)],$B538),"")</f>
        <v/>
      </c>
      <c r="O538" s="19" t="str">
        <f>IF($D538=1,INDEX(TblClusters[RAM min (Go)],$B538),"")</f>
        <v/>
      </c>
      <c r="P538" s="19" t="str">
        <f>IF($D538&lt;&gt;1,"",IF($G538="ROKS",SUMIFS(TblApplications[Besoin ROKS CPU (vCPU)],TblApplications[Cluster ROKS cible],$F538,TblApplications[Action],"À migrer",TblApplications[Déjà incluse ROKS],"Non",TblApplications[Mois prov (calc)],"&lt;="&amp;$E538),SUMIFS(TblApplications[CPU IKS libérable (vCPU)],TblApplications[Cluster IKS source],$F538,TblApplications[Mois lib (calc)],"&lt;="&amp;$E538)))</f>
        <v/>
      </c>
      <c r="Q538" s="19" t="str">
        <f>IF($D538&lt;&gt;1,"",IF($G538="ROKS",SUMIFS(TblApplications[Besoin ROKS RAM (Go)],TblApplications[Cluster ROKS cible],$F538,TblApplications[Action],"À migrer",TblApplications[Déjà incluse ROKS],"Non",TblApplications[Mois prov (calc)],"&lt;="&amp;$E538),SUMIFS(TblApplications[RAM IKS libérable (Go)],TblApplications[Cluster IKS source],$F538,TblApplications[Mois lib (calc)],"&lt;="&amp;$E538)))</f>
        <v/>
      </c>
      <c r="R538" s="19" t="str">
        <f t="shared" si="139"/>
        <v/>
      </c>
      <c r="S538" s="19" t="str">
        <f t="shared" si="140"/>
        <v/>
      </c>
      <c r="T538" s="19" t="str">
        <f t="shared" si="141"/>
        <v/>
      </c>
      <c r="U538" s="19" t="str">
        <f t="shared" si="142"/>
        <v/>
      </c>
      <c r="V538" s="19" t="str">
        <f t="shared" si="143"/>
        <v/>
      </c>
      <c r="W538" s="73" t="str">
        <f t="shared" si="144"/>
        <v/>
      </c>
      <c r="X538" s="19" t="str">
        <f>IF($D538&lt;&gt;1,"",IF($G538="ROKS",$R538,IF($AI538=1,0,MAX($N538,$L538-SUMIFS(TblApplications[CPU IKS libérable (vCPU)],TblApplications[Cluster IKS source],$F538,TblApplications[Action],"À migrer",TblApplications[Mois prov (calc)],"&lt;="&amp;$E538)-SUMIFS(TblApplications[CPU IKS libérable (vCPU)],TblApplications[Cluster IKS source],$F538,TblApplications[Action],"À décommissionner",TblApplications[Mois lib (calc)],"&lt;="&amp;$E538)))))</f>
        <v/>
      </c>
      <c r="Y538" s="19" t="str">
        <f>IF($D538&lt;&gt;1,"",IF($G538="ROKS",$S538,IF($AI538=1,0,MAX($O538,$M538-SUMIFS(TblApplications[RAM IKS libérable (Go)],TblApplications[Cluster IKS source],$F538,TblApplications[Action],"À migrer",TblApplications[Mois prov (calc)],"&lt;="&amp;$E538)-SUMIFS(TblApplications[RAM IKS libérable (Go)],TblApplications[Cluster IKS source],$F538,TblApplications[Action],"À décommissionner",TblApplications[Mois lib (calc)],"&lt;="&amp;$E538)))))</f>
        <v/>
      </c>
      <c r="Z538" s="19" t="str">
        <f t="shared" si="145"/>
        <v/>
      </c>
      <c r="AA538" s="73" t="str">
        <f t="shared" si="146"/>
        <v/>
      </c>
      <c r="AB538" s="19" t="str">
        <f t="shared" si="147"/>
        <v/>
      </c>
      <c r="AC538" s="73" t="str">
        <f t="shared" si="148"/>
        <v/>
      </c>
      <c r="AD538" s="19" t="str">
        <f t="shared" si="149"/>
        <v/>
      </c>
      <c r="AE538" s="19" t="str">
        <f t="shared" si="150"/>
        <v/>
      </c>
      <c r="AF538" s="19" t="str">
        <f>IF($D538&lt;&gt;1,"",IF(INDEX(TblClusters[Environnement],$B538)="","(vide)",INDEX(TblClusters[Environnement],$B538)))</f>
        <v/>
      </c>
      <c r="AG538" s="19" t="str">
        <f t="shared" si="151"/>
        <v/>
      </c>
      <c r="AH538" s="19" t="str">
        <f t="shared" si="152"/>
        <v/>
      </c>
      <c r="AI538" s="19" t="str">
        <f>IF($D538&lt;&gt;1,"",IF(AND($G538="IKS",ISNUMBER(INDEX(TblClusters[Fermeture retenue],$B538))),IF($E538&gt;=INDEX(TblClusters[Fermeture retenue],$B538),1,0),0))</f>
        <v/>
      </c>
    </row>
    <row r="539" spans="1:35" x14ac:dyDescent="0.2">
      <c r="A539" s="19">
        <v>534</v>
      </c>
      <c r="B539" s="19">
        <f t="shared" si="136"/>
        <v>15</v>
      </c>
      <c r="C539" s="19">
        <f t="shared" si="137"/>
        <v>30</v>
      </c>
      <c r="D539" s="19">
        <f>IF($C539&gt;p_horizon,0,IFERROR(IF(AND(INDEX(TblClusters[Cluster],$B539)&lt;&gt;"",ISNUMBER(INDEX(TblClusters[CPU initial (vCPU)],$B539)),ISNUMBER(INDEX(TblClusters[CPU min (vCPU)],$B539)),OR(INDEX(TblClusters[Plateforme],$B539)="IKS",INDEX(TblClusters[Plateforme],$B539)="ROKS")),1,0),0))</f>
        <v>0</v>
      </c>
      <c r="E539" s="72" t="str">
        <f t="shared" si="138"/>
        <v/>
      </c>
      <c r="F539" s="19" t="str">
        <f>IF($D539=1,INDEX(TblClusters[Cluster],$B539),"")</f>
        <v/>
      </c>
      <c r="G539" s="19" t="str">
        <f>IF($D539=1,INDEX(TblClusters[Plateforme],$B539),"")</f>
        <v/>
      </c>
      <c r="H539" s="19" t="str">
        <f>IF($D539=1,INDEX(TblClusters[vCPU par nœud],$B539),"")</f>
        <v/>
      </c>
      <c r="I539" s="19" t="str">
        <f>IF($D539=1,INDEX(TblClusters[RAM par nœud (Go)],$B539),"")</f>
        <v/>
      </c>
      <c r="J539" s="19" t="str">
        <f>IF($D539=1,INDEX(TblClusters[Workers min],$B539),"")</f>
        <v/>
      </c>
      <c r="K539" s="73" t="str">
        <f>IF($D539=1,INDEX(TblClusters[Tarif par nœud],$B539),"")</f>
        <v/>
      </c>
      <c r="L539" s="19" t="str">
        <f>IF($D539=1,INDEX(TblClusters[CPU initial (vCPU)],$B539),"")</f>
        <v/>
      </c>
      <c r="M539" s="19" t="str">
        <f>IF($D539=1,INDEX(TblClusters[RAM initiale (Go)],$B539),"")</f>
        <v/>
      </c>
      <c r="N539" s="19" t="str">
        <f>IF($D539=1,INDEX(TblClusters[CPU min (vCPU)],$B539),"")</f>
        <v/>
      </c>
      <c r="O539" s="19" t="str">
        <f>IF($D539=1,INDEX(TblClusters[RAM min (Go)],$B539),"")</f>
        <v/>
      </c>
      <c r="P539" s="19" t="str">
        <f>IF($D539&lt;&gt;1,"",IF($G539="ROKS",SUMIFS(TblApplications[Besoin ROKS CPU (vCPU)],TblApplications[Cluster ROKS cible],$F539,TblApplications[Action],"À migrer",TblApplications[Déjà incluse ROKS],"Non",TblApplications[Mois prov (calc)],"&lt;="&amp;$E539),SUMIFS(TblApplications[CPU IKS libérable (vCPU)],TblApplications[Cluster IKS source],$F539,TblApplications[Mois lib (calc)],"&lt;="&amp;$E539)))</f>
        <v/>
      </c>
      <c r="Q539" s="19" t="str">
        <f>IF($D539&lt;&gt;1,"",IF($G539="ROKS",SUMIFS(TblApplications[Besoin ROKS RAM (Go)],TblApplications[Cluster ROKS cible],$F539,TblApplications[Action],"À migrer",TblApplications[Déjà incluse ROKS],"Non",TblApplications[Mois prov (calc)],"&lt;="&amp;$E539),SUMIFS(TblApplications[RAM IKS libérable (Go)],TblApplications[Cluster IKS source],$F539,TblApplications[Mois lib (calc)],"&lt;="&amp;$E539)))</f>
        <v/>
      </c>
      <c r="R539" s="19" t="str">
        <f t="shared" si="139"/>
        <v/>
      </c>
      <c r="S539" s="19" t="str">
        <f t="shared" si="140"/>
        <v/>
      </c>
      <c r="T539" s="19" t="str">
        <f t="shared" si="141"/>
        <v/>
      </c>
      <c r="U539" s="19" t="str">
        <f t="shared" si="142"/>
        <v/>
      </c>
      <c r="V539" s="19" t="str">
        <f t="shared" si="143"/>
        <v/>
      </c>
      <c r="W539" s="73" t="str">
        <f t="shared" si="144"/>
        <v/>
      </c>
      <c r="X539" s="19" t="str">
        <f>IF($D539&lt;&gt;1,"",IF($G539="ROKS",$R539,IF($AI539=1,0,MAX($N539,$L539-SUMIFS(TblApplications[CPU IKS libérable (vCPU)],TblApplications[Cluster IKS source],$F539,TblApplications[Action],"À migrer",TblApplications[Mois prov (calc)],"&lt;="&amp;$E539)-SUMIFS(TblApplications[CPU IKS libérable (vCPU)],TblApplications[Cluster IKS source],$F539,TblApplications[Action],"À décommissionner",TblApplications[Mois lib (calc)],"&lt;="&amp;$E539)))))</f>
        <v/>
      </c>
      <c r="Y539" s="19" t="str">
        <f>IF($D539&lt;&gt;1,"",IF($G539="ROKS",$S539,IF($AI539=1,0,MAX($O539,$M539-SUMIFS(TblApplications[RAM IKS libérable (Go)],TblApplications[Cluster IKS source],$F539,TblApplications[Action],"À migrer",TblApplications[Mois prov (calc)],"&lt;="&amp;$E539)-SUMIFS(TblApplications[RAM IKS libérable (Go)],TblApplications[Cluster IKS source],$F539,TblApplications[Action],"À décommissionner",TblApplications[Mois lib (calc)],"&lt;="&amp;$E539)))))</f>
        <v/>
      </c>
      <c r="Z539" s="19" t="str">
        <f t="shared" si="145"/>
        <v/>
      </c>
      <c r="AA539" s="73" t="str">
        <f t="shared" si="146"/>
        <v/>
      </c>
      <c r="AB539" s="19" t="str">
        <f t="shared" si="147"/>
        <v/>
      </c>
      <c r="AC539" s="73" t="str">
        <f t="shared" si="148"/>
        <v/>
      </c>
      <c r="AD539" s="19" t="str">
        <f t="shared" si="149"/>
        <v/>
      </c>
      <c r="AE539" s="19" t="str">
        <f t="shared" si="150"/>
        <v/>
      </c>
      <c r="AF539" s="19" t="str">
        <f>IF($D539&lt;&gt;1,"",IF(INDEX(TblClusters[Environnement],$B539)="","(vide)",INDEX(TblClusters[Environnement],$B539)))</f>
        <v/>
      </c>
      <c r="AG539" s="19" t="str">
        <f t="shared" si="151"/>
        <v/>
      </c>
      <c r="AH539" s="19" t="str">
        <f t="shared" si="152"/>
        <v/>
      </c>
      <c r="AI539" s="19" t="str">
        <f>IF($D539&lt;&gt;1,"",IF(AND($G539="IKS",ISNUMBER(INDEX(TblClusters[Fermeture retenue],$B539))),IF($E539&gt;=INDEX(TblClusters[Fermeture retenue],$B539),1,0),0))</f>
        <v/>
      </c>
    </row>
    <row r="540" spans="1:35" x14ac:dyDescent="0.2">
      <c r="A540" s="19">
        <v>535</v>
      </c>
      <c r="B540" s="19">
        <f t="shared" si="136"/>
        <v>15</v>
      </c>
      <c r="C540" s="19">
        <f t="shared" si="137"/>
        <v>31</v>
      </c>
      <c r="D540" s="19">
        <f>IF($C540&gt;p_horizon,0,IFERROR(IF(AND(INDEX(TblClusters[Cluster],$B540)&lt;&gt;"",ISNUMBER(INDEX(TblClusters[CPU initial (vCPU)],$B540)),ISNUMBER(INDEX(TblClusters[CPU min (vCPU)],$B540)),OR(INDEX(TblClusters[Plateforme],$B540)="IKS",INDEX(TblClusters[Plateforme],$B540)="ROKS")),1,0),0))</f>
        <v>0</v>
      </c>
      <c r="E540" s="72" t="str">
        <f t="shared" si="138"/>
        <v/>
      </c>
      <c r="F540" s="19" t="str">
        <f>IF($D540=1,INDEX(TblClusters[Cluster],$B540),"")</f>
        <v/>
      </c>
      <c r="G540" s="19" t="str">
        <f>IF($D540=1,INDEX(TblClusters[Plateforme],$B540),"")</f>
        <v/>
      </c>
      <c r="H540" s="19" t="str">
        <f>IF($D540=1,INDEX(TblClusters[vCPU par nœud],$B540),"")</f>
        <v/>
      </c>
      <c r="I540" s="19" t="str">
        <f>IF($D540=1,INDEX(TblClusters[RAM par nœud (Go)],$B540),"")</f>
        <v/>
      </c>
      <c r="J540" s="19" t="str">
        <f>IF($D540=1,INDEX(TblClusters[Workers min],$B540),"")</f>
        <v/>
      </c>
      <c r="K540" s="73" t="str">
        <f>IF($D540=1,INDEX(TblClusters[Tarif par nœud],$B540),"")</f>
        <v/>
      </c>
      <c r="L540" s="19" t="str">
        <f>IF($D540=1,INDEX(TblClusters[CPU initial (vCPU)],$B540),"")</f>
        <v/>
      </c>
      <c r="M540" s="19" t="str">
        <f>IF($D540=1,INDEX(TblClusters[RAM initiale (Go)],$B540),"")</f>
        <v/>
      </c>
      <c r="N540" s="19" t="str">
        <f>IF($D540=1,INDEX(TblClusters[CPU min (vCPU)],$B540),"")</f>
        <v/>
      </c>
      <c r="O540" s="19" t="str">
        <f>IF($D540=1,INDEX(TblClusters[RAM min (Go)],$B540),"")</f>
        <v/>
      </c>
      <c r="P540" s="19" t="str">
        <f>IF($D540&lt;&gt;1,"",IF($G540="ROKS",SUMIFS(TblApplications[Besoin ROKS CPU (vCPU)],TblApplications[Cluster ROKS cible],$F540,TblApplications[Action],"À migrer",TblApplications[Déjà incluse ROKS],"Non",TblApplications[Mois prov (calc)],"&lt;="&amp;$E540),SUMIFS(TblApplications[CPU IKS libérable (vCPU)],TblApplications[Cluster IKS source],$F540,TblApplications[Mois lib (calc)],"&lt;="&amp;$E540)))</f>
        <v/>
      </c>
      <c r="Q540" s="19" t="str">
        <f>IF($D540&lt;&gt;1,"",IF($G540="ROKS",SUMIFS(TblApplications[Besoin ROKS RAM (Go)],TblApplications[Cluster ROKS cible],$F540,TblApplications[Action],"À migrer",TblApplications[Déjà incluse ROKS],"Non",TblApplications[Mois prov (calc)],"&lt;="&amp;$E540),SUMIFS(TblApplications[RAM IKS libérable (Go)],TblApplications[Cluster IKS source],$F540,TblApplications[Mois lib (calc)],"&lt;="&amp;$E540)))</f>
        <v/>
      </c>
      <c r="R540" s="19" t="str">
        <f t="shared" si="139"/>
        <v/>
      </c>
      <c r="S540" s="19" t="str">
        <f t="shared" si="140"/>
        <v/>
      </c>
      <c r="T540" s="19" t="str">
        <f t="shared" si="141"/>
        <v/>
      </c>
      <c r="U540" s="19" t="str">
        <f t="shared" si="142"/>
        <v/>
      </c>
      <c r="V540" s="19" t="str">
        <f t="shared" si="143"/>
        <v/>
      </c>
      <c r="W540" s="73" t="str">
        <f t="shared" si="144"/>
        <v/>
      </c>
      <c r="X540" s="19" t="str">
        <f>IF($D540&lt;&gt;1,"",IF($G540="ROKS",$R540,IF($AI540=1,0,MAX($N540,$L540-SUMIFS(TblApplications[CPU IKS libérable (vCPU)],TblApplications[Cluster IKS source],$F540,TblApplications[Action],"À migrer",TblApplications[Mois prov (calc)],"&lt;="&amp;$E540)-SUMIFS(TblApplications[CPU IKS libérable (vCPU)],TblApplications[Cluster IKS source],$F540,TblApplications[Action],"À décommissionner",TblApplications[Mois lib (calc)],"&lt;="&amp;$E540)))))</f>
        <v/>
      </c>
      <c r="Y540" s="19" t="str">
        <f>IF($D540&lt;&gt;1,"",IF($G540="ROKS",$S540,IF($AI540=1,0,MAX($O540,$M540-SUMIFS(TblApplications[RAM IKS libérable (Go)],TblApplications[Cluster IKS source],$F540,TblApplications[Action],"À migrer",TblApplications[Mois prov (calc)],"&lt;="&amp;$E540)-SUMIFS(TblApplications[RAM IKS libérable (Go)],TblApplications[Cluster IKS source],$F540,TblApplications[Action],"À décommissionner",TblApplications[Mois lib (calc)],"&lt;="&amp;$E540)))))</f>
        <v/>
      </c>
      <c r="Z540" s="19" t="str">
        <f t="shared" si="145"/>
        <v/>
      </c>
      <c r="AA540" s="73" t="str">
        <f t="shared" si="146"/>
        <v/>
      </c>
      <c r="AB540" s="19" t="str">
        <f t="shared" si="147"/>
        <v/>
      </c>
      <c r="AC540" s="73" t="str">
        <f t="shared" si="148"/>
        <v/>
      </c>
      <c r="AD540" s="19" t="str">
        <f t="shared" si="149"/>
        <v/>
      </c>
      <c r="AE540" s="19" t="str">
        <f t="shared" si="150"/>
        <v/>
      </c>
      <c r="AF540" s="19" t="str">
        <f>IF($D540&lt;&gt;1,"",IF(INDEX(TblClusters[Environnement],$B540)="","(vide)",INDEX(TblClusters[Environnement],$B540)))</f>
        <v/>
      </c>
      <c r="AG540" s="19" t="str">
        <f t="shared" si="151"/>
        <v/>
      </c>
      <c r="AH540" s="19" t="str">
        <f t="shared" si="152"/>
        <v/>
      </c>
      <c r="AI540" s="19" t="str">
        <f>IF($D540&lt;&gt;1,"",IF(AND($G540="IKS",ISNUMBER(INDEX(TblClusters[Fermeture retenue],$B540))),IF($E540&gt;=INDEX(TblClusters[Fermeture retenue],$B540),1,0),0))</f>
        <v/>
      </c>
    </row>
    <row r="541" spans="1:35" x14ac:dyDescent="0.2">
      <c r="A541" s="19">
        <v>536</v>
      </c>
      <c r="B541" s="19">
        <f t="shared" si="136"/>
        <v>15</v>
      </c>
      <c r="C541" s="19">
        <f t="shared" si="137"/>
        <v>32</v>
      </c>
      <c r="D541" s="19">
        <f>IF($C541&gt;p_horizon,0,IFERROR(IF(AND(INDEX(TblClusters[Cluster],$B541)&lt;&gt;"",ISNUMBER(INDEX(TblClusters[CPU initial (vCPU)],$B541)),ISNUMBER(INDEX(TblClusters[CPU min (vCPU)],$B541)),OR(INDEX(TblClusters[Plateforme],$B541)="IKS",INDEX(TblClusters[Plateforme],$B541)="ROKS")),1,0),0))</f>
        <v>0</v>
      </c>
      <c r="E541" s="72" t="str">
        <f t="shared" si="138"/>
        <v/>
      </c>
      <c r="F541" s="19" t="str">
        <f>IF($D541=1,INDEX(TblClusters[Cluster],$B541),"")</f>
        <v/>
      </c>
      <c r="G541" s="19" t="str">
        <f>IF($D541=1,INDEX(TblClusters[Plateforme],$B541),"")</f>
        <v/>
      </c>
      <c r="H541" s="19" t="str">
        <f>IF($D541=1,INDEX(TblClusters[vCPU par nœud],$B541),"")</f>
        <v/>
      </c>
      <c r="I541" s="19" t="str">
        <f>IF($D541=1,INDEX(TblClusters[RAM par nœud (Go)],$B541),"")</f>
        <v/>
      </c>
      <c r="J541" s="19" t="str">
        <f>IF($D541=1,INDEX(TblClusters[Workers min],$B541),"")</f>
        <v/>
      </c>
      <c r="K541" s="73" t="str">
        <f>IF($D541=1,INDEX(TblClusters[Tarif par nœud],$B541),"")</f>
        <v/>
      </c>
      <c r="L541" s="19" t="str">
        <f>IF($D541=1,INDEX(TblClusters[CPU initial (vCPU)],$B541),"")</f>
        <v/>
      </c>
      <c r="M541" s="19" t="str">
        <f>IF($D541=1,INDEX(TblClusters[RAM initiale (Go)],$B541),"")</f>
        <v/>
      </c>
      <c r="N541" s="19" t="str">
        <f>IF($D541=1,INDEX(TblClusters[CPU min (vCPU)],$B541),"")</f>
        <v/>
      </c>
      <c r="O541" s="19" t="str">
        <f>IF($D541=1,INDEX(TblClusters[RAM min (Go)],$B541),"")</f>
        <v/>
      </c>
      <c r="P541" s="19" t="str">
        <f>IF($D541&lt;&gt;1,"",IF($G541="ROKS",SUMIFS(TblApplications[Besoin ROKS CPU (vCPU)],TblApplications[Cluster ROKS cible],$F541,TblApplications[Action],"À migrer",TblApplications[Déjà incluse ROKS],"Non",TblApplications[Mois prov (calc)],"&lt;="&amp;$E541),SUMIFS(TblApplications[CPU IKS libérable (vCPU)],TblApplications[Cluster IKS source],$F541,TblApplications[Mois lib (calc)],"&lt;="&amp;$E541)))</f>
        <v/>
      </c>
      <c r="Q541" s="19" t="str">
        <f>IF($D541&lt;&gt;1,"",IF($G541="ROKS",SUMIFS(TblApplications[Besoin ROKS RAM (Go)],TblApplications[Cluster ROKS cible],$F541,TblApplications[Action],"À migrer",TblApplications[Déjà incluse ROKS],"Non",TblApplications[Mois prov (calc)],"&lt;="&amp;$E541),SUMIFS(TblApplications[RAM IKS libérable (Go)],TblApplications[Cluster IKS source],$F541,TblApplications[Mois lib (calc)],"&lt;="&amp;$E541)))</f>
        <v/>
      </c>
      <c r="R541" s="19" t="str">
        <f t="shared" si="139"/>
        <v/>
      </c>
      <c r="S541" s="19" t="str">
        <f t="shared" si="140"/>
        <v/>
      </c>
      <c r="T541" s="19" t="str">
        <f t="shared" si="141"/>
        <v/>
      </c>
      <c r="U541" s="19" t="str">
        <f t="shared" si="142"/>
        <v/>
      </c>
      <c r="V541" s="19" t="str">
        <f t="shared" si="143"/>
        <v/>
      </c>
      <c r="W541" s="73" t="str">
        <f t="shared" si="144"/>
        <v/>
      </c>
      <c r="X541" s="19" t="str">
        <f>IF($D541&lt;&gt;1,"",IF($G541="ROKS",$R541,IF($AI541=1,0,MAX($N541,$L541-SUMIFS(TblApplications[CPU IKS libérable (vCPU)],TblApplications[Cluster IKS source],$F541,TblApplications[Action],"À migrer",TblApplications[Mois prov (calc)],"&lt;="&amp;$E541)-SUMIFS(TblApplications[CPU IKS libérable (vCPU)],TblApplications[Cluster IKS source],$F541,TblApplications[Action],"À décommissionner",TblApplications[Mois lib (calc)],"&lt;="&amp;$E541)))))</f>
        <v/>
      </c>
      <c r="Y541" s="19" t="str">
        <f>IF($D541&lt;&gt;1,"",IF($G541="ROKS",$S541,IF($AI541=1,0,MAX($O541,$M541-SUMIFS(TblApplications[RAM IKS libérable (Go)],TblApplications[Cluster IKS source],$F541,TblApplications[Action],"À migrer",TblApplications[Mois prov (calc)],"&lt;="&amp;$E541)-SUMIFS(TblApplications[RAM IKS libérable (Go)],TblApplications[Cluster IKS source],$F541,TblApplications[Action],"À décommissionner",TblApplications[Mois lib (calc)],"&lt;="&amp;$E541)))))</f>
        <v/>
      </c>
      <c r="Z541" s="19" t="str">
        <f t="shared" si="145"/>
        <v/>
      </c>
      <c r="AA541" s="73" t="str">
        <f t="shared" si="146"/>
        <v/>
      </c>
      <c r="AB541" s="19" t="str">
        <f t="shared" si="147"/>
        <v/>
      </c>
      <c r="AC541" s="73" t="str">
        <f t="shared" si="148"/>
        <v/>
      </c>
      <c r="AD541" s="19" t="str">
        <f t="shared" si="149"/>
        <v/>
      </c>
      <c r="AE541" s="19" t="str">
        <f t="shared" si="150"/>
        <v/>
      </c>
      <c r="AF541" s="19" t="str">
        <f>IF($D541&lt;&gt;1,"",IF(INDEX(TblClusters[Environnement],$B541)="","(vide)",INDEX(TblClusters[Environnement],$B541)))</f>
        <v/>
      </c>
      <c r="AG541" s="19" t="str">
        <f t="shared" si="151"/>
        <v/>
      </c>
      <c r="AH541" s="19" t="str">
        <f t="shared" si="152"/>
        <v/>
      </c>
      <c r="AI541" s="19" t="str">
        <f>IF($D541&lt;&gt;1,"",IF(AND($G541="IKS",ISNUMBER(INDEX(TblClusters[Fermeture retenue],$B541))),IF($E541&gt;=INDEX(TblClusters[Fermeture retenue],$B541),1,0),0))</f>
        <v/>
      </c>
    </row>
    <row r="542" spans="1:35" x14ac:dyDescent="0.2">
      <c r="A542" s="19">
        <v>537</v>
      </c>
      <c r="B542" s="19">
        <f t="shared" si="136"/>
        <v>15</v>
      </c>
      <c r="C542" s="19">
        <f t="shared" si="137"/>
        <v>33</v>
      </c>
      <c r="D542" s="19">
        <f>IF($C542&gt;p_horizon,0,IFERROR(IF(AND(INDEX(TblClusters[Cluster],$B542)&lt;&gt;"",ISNUMBER(INDEX(TblClusters[CPU initial (vCPU)],$B542)),ISNUMBER(INDEX(TblClusters[CPU min (vCPU)],$B542)),OR(INDEX(TblClusters[Plateforme],$B542)="IKS",INDEX(TblClusters[Plateforme],$B542)="ROKS")),1,0),0))</f>
        <v>0</v>
      </c>
      <c r="E542" s="72" t="str">
        <f t="shared" si="138"/>
        <v/>
      </c>
      <c r="F542" s="19" t="str">
        <f>IF($D542=1,INDEX(TblClusters[Cluster],$B542),"")</f>
        <v/>
      </c>
      <c r="G542" s="19" t="str">
        <f>IF($D542=1,INDEX(TblClusters[Plateforme],$B542),"")</f>
        <v/>
      </c>
      <c r="H542" s="19" t="str">
        <f>IF($D542=1,INDEX(TblClusters[vCPU par nœud],$B542),"")</f>
        <v/>
      </c>
      <c r="I542" s="19" t="str">
        <f>IF($D542=1,INDEX(TblClusters[RAM par nœud (Go)],$B542),"")</f>
        <v/>
      </c>
      <c r="J542" s="19" t="str">
        <f>IF($D542=1,INDEX(TblClusters[Workers min],$B542),"")</f>
        <v/>
      </c>
      <c r="K542" s="73" t="str">
        <f>IF($D542=1,INDEX(TblClusters[Tarif par nœud],$B542),"")</f>
        <v/>
      </c>
      <c r="L542" s="19" t="str">
        <f>IF($D542=1,INDEX(TblClusters[CPU initial (vCPU)],$B542),"")</f>
        <v/>
      </c>
      <c r="M542" s="19" t="str">
        <f>IF($D542=1,INDEX(TblClusters[RAM initiale (Go)],$B542),"")</f>
        <v/>
      </c>
      <c r="N542" s="19" t="str">
        <f>IF($D542=1,INDEX(TblClusters[CPU min (vCPU)],$B542),"")</f>
        <v/>
      </c>
      <c r="O542" s="19" t="str">
        <f>IF($D542=1,INDEX(TblClusters[RAM min (Go)],$B542),"")</f>
        <v/>
      </c>
      <c r="P542" s="19" t="str">
        <f>IF($D542&lt;&gt;1,"",IF($G542="ROKS",SUMIFS(TblApplications[Besoin ROKS CPU (vCPU)],TblApplications[Cluster ROKS cible],$F542,TblApplications[Action],"À migrer",TblApplications[Déjà incluse ROKS],"Non",TblApplications[Mois prov (calc)],"&lt;="&amp;$E542),SUMIFS(TblApplications[CPU IKS libérable (vCPU)],TblApplications[Cluster IKS source],$F542,TblApplications[Mois lib (calc)],"&lt;="&amp;$E542)))</f>
        <v/>
      </c>
      <c r="Q542" s="19" t="str">
        <f>IF($D542&lt;&gt;1,"",IF($G542="ROKS",SUMIFS(TblApplications[Besoin ROKS RAM (Go)],TblApplications[Cluster ROKS cible],$F542,TblApplications[Action],"À migrer",TblApplications[Déjà incluse ROKS],"Non",TblApplications[Mois prov (calc)],"&lt;="&amp;$E542),SUMIFS(TblApplications[RAM IKS libérable (Go)],TblApplications[Cluster IKS source],$F542,TblApplications[Mois lib (calc)],"&lt;="&amp;$E542)))</f>
        <v/>
      </c>
      <c r="R542" s="19" t="str">
        <f t="shared" si="139"/>
        <v/>
      </c>
      <c r="S542" s="19" t="str">
        <f t="shared" si="140"/>
        <v/>
      </c>
      <c r="T542" s="19" t="str">
        <f t="shared" si="141"/>
        <v/>
      </c>
      <c r="U542" s="19" t="str">
        <f t="shared" si="142"/>
        <v/>
      </c>
      <c r="V542" s="19" t="str">
        <f t="shared" si="143"/>
        <v/>
      </c>
      <c r="W542" s="73" t="str">
        <f t="shared" si="144"/>
        <v/>
      </c>
      <c r="X542" s="19" t="str">
        <f>IF($D542&lt;&gt;1,"",IF($G542="ROKS",$R542,IF($AI542=1,0,MAX($N542,$L542-SUMIFS(TblApplications[CPU IKS libérable (vCPU)],TblApplications[Cluster IKS source],$F542,TblApplications[Action],"À migrer",TblApplications[Mois prov (calc)],"&lt;="&amp;$E542)-SUMIFS(TblApplications[CPU IKS libérable (vCPU)],TblApplications[Cluster IKS source],$F542,TblApplications[Action],"À décommissionner",TblApplications[Mois lib (calc)],"&lt;="&amp;$E542)))))</f>
        <v/>
      </c>
      <c r="Y542" s="19" t="str">
        <f>IF($D542&lt;&gt;1,"",IF($G542="ROKS",$S542,IF($AI542=1,0,MAX($O542,$M542-SUMIFS(TblApplications[RAM IKS libérable (Go)],TblApplications[Cluster IKS source],$F542,TblApplications[Action],"À migrer",TblApplications[Mois prov (calc)],"&lt;="&amp;$E542)-SUMIFS(TblApplications[RAM IKS libérable (Go)],TblApplications[Cluster IKS source],$F542,TblApplications[Action],"À décommissionner",TblApplications[Mois lib (calc)],"&lt;="&amp;$E542)))))</f>
        <v/>
      </c>
      <c r="Z542" s="19" t="str">
        <f t="shared" si="145"/>
        <v/>
      </c>
      <c r="AA542" s="73" t="str">
        <f t="shared" si="146"/>
        <v/>
      </c>
      <c r="AB542" s="19" t="str">
        <f t="shared" si="147"/>
        <v/>
      </c>
      <c r="AC542" s="73" t="str">
        <f t="shared" si="148"/>
        <v/>
      </c>
      <c r="AD542" s="19" t="str">
        <f t="shared" si="149"/>
        <v/>
      </c>
      <c r="AE542" s="19" t="str">
        <f t="shared" si="150"/>
        <v/>
      </c>
      <c r="AF542" s="19" t="str">
        <f>IF($D542&lt;&gt;1,"",IF(INDEX(TblClusters[Environnement],$B542)="","(vide)",INDEX(TblClusters[Environnement],$B542)))</f>
        <v/>
      </c>
      <c r="AG542" s="19" t="str">
        <f t="shared" si="151"/>
        <v/>
      </c>
      <c r="AH542" s="19" t="str">
        <f t="shared" si="152"/>
        <v/>
      </c>
      <c r="AI542" s="19" t="str">
        <f>IF($D542&lt;&gt;1,"",IF(AND($G542="IKS",ISNUMBER(INDEX(TblClusters[Fermeture retenue],$B542))),IF($E542&gt;=INDEX(TblClusters[Fermeture retenue],$B542),1,0),0))</f>
        <v/>
      </c>
    </row>
    <row r="543" spans="1:35" x14ac:dyDescent="0.2">
      <c r="A543" s="19">
        <v>538</v>
      </c>
      <c r="B543" s="19">
        <f t="shared" si="136"/>
        <v>15</v>
      </c>
      <c r="C543" s="19">
        <f t="shared" si="137"/>
        <v>34</v>
      </c>
      <c r="D543" s="19">
        <f>IF($C543&gt;p_horizon,0,IFERROR(IF(AND(INDEX(TblClusters[Cluster],$B543)&lt;&gt;"",ISNUMBER(INDEX(TblClusters[CPU initial (vCPU)],$B543)),ISNUMBER(INDEX(TblClusters[CPU min (vCPU)],$B543)),OR(INDEX(TblClusters[Plateforme],$B543)="IKS",INDEX(TblClusters[Plateforme],$B543)="ROKS")),1,0),0))</f>
        <v>0</v>
      </c>
      <c r="E543" s="72" t="str">
        <f t="shared" si="138"/>
        <v/>
      </c>
      <c r="F543" s="19" t="str">
        <f>IF($D543=1,INDEX(TblClusters[Cluster],$B543),"")</f>
        <v/>
      </c>
      <c r="G543" s="19" t="str">
        <f>IF($D543=1,INDEX(TblClusters[Plateforme],$B543),"")</f>
        <v/>
      </c>
      <c r="H543" s="19" t="str">
        <f>IF($D543=1,INDEX(TblClusters[vCPU par nœud],$B543),"")</f>
        <v/>
      </c>
      <c r="I543" s="19" t="str">
        <f>IF($D543=1,INDEX(TblClusters[RAM par nœud (Go)],$B543),"")</f>
        <v/>
      </c>
      <c r="J543" s="19" t="str">
        <f>IF($D543=1,INDEX(TblClusters[Workers min],$B543),"")</f>
        <v/>
      </c>
      <c r="K543" s="73" t="str">
        <f>IF($D543=1,INDEX(TblClusters[Tarif par nœud],$B543),"")</f>
        <v/>
      </c>
      <c r="L543" s="19" t="str">
        <f>IF($D543=1,INDEX(TblClusters[CPU initial (vCPU)],$B543),"")</f>
        <v/>
      </c>
      <c r="M543" s="19" t="str">
        <f>IF($D543=1,INDEX(TblClusters[RAM initiale (Go)],$B543),"")</f>
        <v/>
      </c>
      <c r="N543" s="19" t="str">
        <f>IF($D543=1,INDEX(TblClusters[CPU min (vCPU)],$B543),"")</f>
        <v/>
      </c>
      <c r="O543" s="19" t="str">
        <f>IF($D543=1,INDEX(TblClusters[RAM min (Go)],$B543),"")</f>
        <v/>
      </c>
      <c r="P543" s="19" t="str">
        <f>IF($D543&lt;&gt;1,"",IF($G543="ROKS",SUMIFS(TblApplications[Besoin ROKS CPU (vCPU)],TblApplications[Cluster ROKS cible],$F543,TblApplications[Action],"À migrer",TblApplications[Déjà incluse ROKS],"Non",TblApplications[Mois prov (calc)],"&lt;="&amp;$E543),SUMIFS(TblApplications[CPU IKS libérable (vCPU)],TblApplications[Cluster IKS source],$F543,TblApplications[Mois lib (calc)],"&lt;="&amp;$E543)))</f>
        <v/>
      </c>
      <c r="Q543" s="19" t="str">
        <f>IF($D543&lt;&gt;1,"",IF($G543="ROKS",SUMIFS(TblApplications[Besoin ROKS RAM (Go)],TblApplications[Cluster ROKS cible],$F543,TblApplications[Action],"À migrer",TblApplications[Déjà incluse ROKS],"Non",TblApplications[Mois prov (calc)],"&lt;="&amp;$E543),SUMIFS(TblApplications[RAM IKS libérable (Go)],TblApplications[Cluster IKS source],$F543,TblApplications[Mois lib (calc)],"&lt;="&amp;$E543)))</f>
        <v/>
      </c>
      <c r="R543" s="19" t="str">
        <f t="shared" si="139"/>
        <v/>
      </c>
      <c r="S543" s="19" t="str">
        <f t="shared" si="140"/>
        <v/>
      </c>
      <c r="T543" s="19" t="str">
        <f t="shared" si="141"/>
        <v/>
      </c>
      <c r="U543" s="19" t="str">
        <f t="shared" si="142"/>
        <v/>
      </c>
      <c r="V543" s="19" t="str">
        <f t="shared" si="143"/>
        <v/>
      </c>
      <c r="W543" s="73" t="str">
        <f t="shared" si="144"/>
        <v/>
      </c>
      <c r="X543" s="19" t="str">
        <f>IF($D543&lt;&gt;1,"",IF($G543="ROKS",$R543,IF($AI543=1,0,MAX($N543,$L543-SUMIFS(TblApplications[CPU IKS libérable (vCPU)],TblApplications[Cluster IKS source],$F543,TblApplications[Action],"À migrer",TblApplications[Mois prov (calc)],"&lt;="&amp;$E543)-SUMIFS(TblApplications[CPU IKS libérable (vCPU)],TblApplications[Cluster IKS source],$F543,TblApplications[Action],"À décommissionner",TblApplications[Mois lib (calc)],"&lt;="&amp;$E543)))))</f>
        <v/>
      </c>
      <c r="Y543" s="19" t="str">
        <f>IF($D543&lt;&gt;1,"",IF($G543="ROKS",$S543,IF($AI543=1,0,MAX($O543,$M543-SUMIFS(TblApplications[RAM IKS libérable (Go)],TblApplications[Cluster IKS source],$F543,TblApplications[Action],"À migrer",TblApplications[Mois prov (calc)],"&lt;="&amp;$E543)-SUMIFS(TblApplications[RAM IKS libérable (Go)],TblApplications[Cluster IKS source],$F543,TblApplications[Action],"À décommissionner",TblApplications[Mois lib (calc)],"&lt;="&amp;$E543)))))</f>
        <v/>
      </c>
      <c r="Z543" s="19" t="str">
        <f t="shared" si="145"/>
        <v/>
      </c>
      <c r="AA543" s="73" t="str">
        <f t="shared" si="146"/>
        <v/>
      </c>
      <c r="AB543" s="19" t="str">
        <f t="shared" si="147"/>
        <v/>
      </c>
      <c r="AC543" s="73" t="str">
        <f t="shared" si="148"/>
        <v/>
      </c>
      <c r="AD543" s="19" t="str">
        <f t="shared" si="149"/>
        <v/>
      </c>
      <c r="AE543" s="19" t="str">
        <f t="shared" si="150"/>
        <v/>
      </c>
      <c r="AF543" s="19" t="str">
        <f>IF($D543&lt;&gt;1,"",IF(INDEX(TblClusters[Environnement],$B543)="","(vide)",INDEX(TblClusters[Environnement],$B543)))</f>
        <v/>
      </c>
      <c r="AG543" s="19" t="str">
        <f t="shared" si="151"/>
        <v/>
      </c>
      <c r="AH543" s="19" t="str">
        <f t="shared" si="152"/>
        <v/>
      </c>
      <c r="AI543" s="19" t="str">
        <f>IF($D543&lt;&gt;1,"",IF(AND($G543="IKS",ISNUMBER(INDEX(TblClusters[Fermeture retenue],$B543))),IF($E543&gt;=INDEX(TblClusters[Fermeture retenue],$B543),1,0),0))</f>
        <v/>
      </c>
    </row>
    <row r="544" spans="1:35" x14ac:dyDescent="0.2">
      <c r="A544" s="19">
        <v>539</v>
      </c>
      <c r="B544" s="19">
        <f t="shared" si="136"/>
        <v>15</v>
      </c>
      <c r="C544" s="19">
        <f t="shared" si="137"/>
        <v>35</v>
      </c>
      <c r="D544" s="19">
        <f>IF($C544&gt;p_horizon,0,IFERROR(IF(AND(INDEX(TblClusters[Cluster],$B544)&lt;&gt;"",ISNUMBER(INDEX(TblClusters[CPU initial (vCPU)],$B544)),ISNUMBER(INDEX(TblClusters[CPU min (vCPU)],$B544)),OR(INDEX(TblClusters[Plateforme],$B544)="IKS",INDEX(TblClusters[Plateforme],$B544)="ROKS")),1,0),0))</f>
        <v>0</v>
      </c>
      <c r="E544" s="72" t="str">
        <f t="shared" si="138"/>
        <v/>
      </c>
      <c r="F544" s="19" t="str">
        <f>IF($D544=1,INDEX(TblClusters[Cluster],$B544),"")</f>
        <v/>
      </c>
      <c r="G544" s="19" t="str">
        <f>IF($D544=1,INDEX(TblClusters[Plateforme],$B544),"")</f>
        <v/>
      </c>
      <c r="H544" s="19" t="str">
        <f>IF($D544=1,INDEX(TblClusters[vCPU par nœud],$B544),"")</f>
        <v/>
      </c>
      <c r="I544" s="19" t="str">
        <f>IF($D544=1,INDEX(TblClusters[RAM par nœud (Go)],$B544),"")</f>
        <v/>
      </c>
      <c r="J544" s="19" t="str">
        <f>IF($D544=1,INDEX(TblClusters[Workers min],$B544),"")</f>
        <v/>
      </c>
      <c r="K544" s="73" t="str">
        <f>IF($D544=1,INDEX(TblClusters[Tarif par nœud],$B544),"")</f>
        <v/>
      </c>
      <c r="L544" s="19" t="str">
        <f>IF($D544=1,INDEX(TblClusters[CPU initial (vCPU)],$B544),"")</f>
        <v/>
      </c>
      <c r="M544" s="19" t="str">
        <f>IF($D544=1,INDEX(TblClusters[RAM initiale (Go)],$B544),"")</f>
        <v/>
      </c>
      <c r="N544" s="19" t="str">
        <f>IF($D544=1,INDEX(TblClusters[CPU min (vCPU)],$B544),"")</f>
        <v/>
      </c>
      <c r="O544" s="19" t="str">
        <f>IF($D544=1,INDEX(TblClusters[RAM min (Go)],$B544),"")</f>
        <v/>
      </c>
      <c r="P544" s="19" t="str">
        <f>IF($D544&lt;&gt;1,"",IF($G544="ROKS",SUMIFS(TblApplications[Besoin ROKS CPU (vCPU)],TblApplications[Cluster ROKS cible],$F544,TblApplications[Action],"À migrer",TblApplications[Déjà incluse ROKS],"Non",TblApplications[Mois prov (calc)],"&lt;="&amp;$E544),SUMIFS(TblApplications[CPU IKS libérable (vCPU)],TblApplications[Cluster IKS source],$F544,TblApplications[Mois lib (calc)],"&lt;="&amp;$E544)))</f>
        <v/>
      </c>
      <c r="Q544" s="19" t="str">
        <f>IF($D544&lt;&gt;1,"",IF($G544="ROKS",SUMIFS(TblApplications[Besoin ROKS RAM (Go)],TblApplications[Cluster ROKS cible],$F544,TblApplications[Action],"À migrer",TblApplications[Déjà incluse ROKS],"Non",TblApplications[Mois prov (calc)],"&lt;="&amp;$E544),SUMIFS(TblApplications[RAM IKS libérable (Go)],TblApplications[Cluster IKS source],$F544,TblApplications[Mois lib (calc)],"&lt;="&amp;$E544)))</f>
        <v/>
      </c>
      <c r="R544" s="19" t="str">
        <f t="shared" si="139"/>
        <v/>
      </c>
      <c r="S544" s="19" t="str">
        <f t="shared" si="140"/>
        <v/>
      </c>
      <c r="T544" s="19" t="str">
        <f t="shared" si="141"/>
        <v/>
      </c>
      <c r="U544" s="19" t="str">
        <f t="shared" si="142"/>
        <v/>
      </c>
      <c r="V544" s="19" t="str">
        <f t="shared" si="143"/>
        <v/>
      </c>
      <c r="W544" s="73" t="str">
        <f t="shared" si="144"/>
        <v/>
      </c>
      <c r="X544" s="19" t="str">
        <f>IF($D544&lt;&gt;1,"",IF($G544="ROKS",$R544,IF($AI544=1,0,MAX($N544,$L544-SUMIFS(TblApplications[CPU IKS libérable (vCPU)],TblApplications[Cluster IKS source],$F544,TblApplications[Action],"À migrer",TblApplications[Mois prov (calc)],"&lt;="&amp;$E544)-SUMIFS(TblApplications[CPU IKS libérable (vCPU)],TblApplications[Cluster IKS source],$F544,TblApplications[Action],"À décommissionner",TblApplications[Mois lib (calc)],"&lt;="&amp;$E544)))))</f>
        <v/>
      </c>
      <c r="Y544" s="19" t="str">
        <f>IF($D544&lt;&gt;1,"",IF($G544="ROKS",$S544,IF($AI544=1,0,MAX($O544,$M544-SUMIFS(TblApplications[RAM IKS libérable (Go)],TblApplications[Cluster IKS source],$F544,TblApplications[Action],"À migrer",TblApplications[Mois prov (calc)],"&lt;="&amp;$E544)-SUMIFS(TblApplications[RAM IKS libérable (Go)],TblApplications[Cluster IKS source],$F544,TblApplications[Action],"À décommissionner",TblApplications[Mois lib (calc)],"&lt;="&amp;$E544)))))</f>
        <v/>
      </c>
      <c r="Z544" s="19" t="str">
        <f t="shared" si="145"/>
        <v/>
      </c>
      <c r="AA544" s="73" t="str">
        <f t="shared" si="146"/>
        <v/>
      </c>
      <c r="AB544" s="19" t="str">
        <f t="shared" si="147"/>
        <v/>
      </c>
      <c r="AC544" s="73" t="str">
        <f t="shared" si="148"/>
        <v/>
      </c>
      <c r="AD544" s="19" t="str">
        <f t="shared" si="149"/>
        <v/>
      </c>
      <c r="AE544" s="19" t="str">
        <f t="shared" si="150"/>
        <v/>
      </c>
      <c r="AF544" s="19" t="str">
        <f>IF($D544&lt;&gt;1,"",IF(INDEX(TblClusters[Environnement],$B544)="","(vide)",INDEX(TblClusters[Environnement],$B544)))</f>
        <v/>
      </c>
      <c r="AG544" s="19" t="str">
        <f t="shared" si="151"/>
        <v/>
      </c>
      <c r="AH544" s="19" t="str">
        <f t="shared" si="152"/>
        <v/>
      </c>
      <c r="AI544" s="19" t="str">
        <f>IF($D544&lt;&gt;1,"",IF(AND($G544="IKS",ISNUMBER(INDEX(TblClusters[Fermeture retenue],$B544))),IF($E544&gt;=INDEX(TblClusters[Fermeture retenue],$B544),1,0),0))</f>
        <v/>
      </c>
    </row>
    <row r="545" spans="1:35" x14ac:dyDescent="0.2">
      <c r="A545" s="19">
        <v>540</v>
      </c>
      <c r="B545" s="19">
        <f t="shared" si="136"/>
        <v>15</v>
      </c>
      <c r="C545" s="19">
        <f t="shared" si="137"/>
        <v>36</v>
      </c>
      <c r="D545" s="19">
        <f>IF($C545&gt;p_horizon,0,IFERROR(IF(AND(INDEX(TblClusters[Cluster],$B545)&lt;&gt;"",ISNUMBER(INDEX(TblClusters[CPU initial (vCPU)],$B545)),ISNUMBER(INDEX(TblClusters[CPU min (vCPU)],$B545)),OR(INDEX(TblClusters[Plateforme],$B545)="IKS",INDEX(TblClusters[Plateforme],$B545)="ROKS")),1,0),0))</f>
        <v>0</v>
      </c>
      <c r="E545" s="72" t="str">
        <f t="shared" si="138"/>
        <v/>
      </c>
      <c r="F545" s="19" t="str">
        <f>IF($D545=1,INDEX(TblClusters[Cluster],$B545),"")</f>
        <v/>
      </c>
      <c r="G545" s="19" t="str">
        <f>IF($D545=1,INDEX(TblClusters[Plateforme],$B545),"")</f>
        <v/>
      </c>
      <c r="H545" s="19" t="str">
        <f>IF($D545=1,INDEX(TblClusters[vCPU par nœud],$B545),"")</f>
        <v/>
      </c>
      <c r="I545" s="19" t="str">
        <f>IF($D545=1,INDEX(TblClusters[RAM par nœud (Go)],$B545),"")</f>
        <v/>
      </c>
      <c r="J545" s="19" t="str">
        <f>IF($D545=1,INDEX(TblClusters[Workers min],$B545),"")</f>
        <v/>
      </c>
      <c r="K545" s="73" t="str">
        <f>IF($D545=1,INDEX(TblClusters[Tarif par nœud],$B545),"")</f>
        <v/>
      </c>
      <c r="L545" s="19" t="str">
        <f>IF($D545=1,INDEX(TblClusters[CPU initial (vCPU)],$B545),"")</f>
        <v/>
      </c>
      <c r="M545" s="19" t="str">
        <f>IF($D545=1,INDEX(TblClusters[RAM initiale (Go)],$B545),"")</f>
        <v/>
      </c>
      <c r="N545" s="19" t="str">
        <f>IF($D545=1,INDEX(TblClusters[CPU min (vCPU)],$B545),"")</f>
        <v/>
      </c>
      <c r="O545" s="19" t="str">
        <f>IF($D545=1,INDEX(TblClusters[RAM min (Go)],$B545),"")</f>
        <v/>
      </c>
      <c r="P545" s="19" t="str">
        <f>IF($D545&lt;&gt;1,"",IF($G545="ROKS",SUMIFS(TblApplications[Besoin ROKS CPU (vCPU)],TblApplications[Cluster ROKS cible],$F545,TblApplications[Action],"À migrer",TblApplications[Déjà incluse ROKS],"Non",TblApplications[Mois prov (calc)],"&lt;="&amp;$E545),SUMIFS(TblApplications[CPU IKS libérable (vCPU)],TblApplications[Cluster IKS source],$F545,TblApplications[Mois lib (calc)],"&lt;="&amp;$E545)))</f>
        <v/>
      </c>
      <c r="Q545" s="19" t="str">
        <f>IF($D545&lt;&gt;1,"",IF($G545="ROKS",SUMIFS(TblApplications[Besoin ROKS RAM (Go)],TblApplications[Cluster ROKS cible],$F545,TblApplications[Action],"À migrer",TblApplications[Déjà incluse ROKS],"Non",TblApplications[Mois prov (calc)],"&lt;="&amp;$E545),SUMIFS(TblApplications[RAM IKS libérable (Go)],TblApplications[Cluster IKS source],$F545,TblApplications[Mois lib (calc)],"&lt;="&amp;$E545)))</f>
        <v/>
      </c>
      <c r="R545" s="19" t="str">
        <f t="shared" si="139"/>
        <v/>
      </c>
      <c r="S545" s="19" t="str">
        <f t="shared" si="140"/>
        <v/>
      </c>
      <c r="T545" s="19" t="str">
        <f t="shared" si="141"/>
        <v/>
      </c>
      <c r="U545" s="19" t="str">
        <f t="shared" si="142"/>
        <v/>
      </c>
      <c r="V545" s="19" t="str">
        <f t="shared" si="143"/>
        <v/>
      </c>
      <c r="W545" s="73" t="str">
        <f t="shared" si="144"/>
        <v/>
      </c>
      <c r="X545" s="19" t="str">
        <f>IF($D545&lt;&gt;1,"",IF($G545="ROKS",$R545,IF($AI545=1,0,MAX($N545,$L545-SUMIFS(TblApplications[CPU IKS libérable (vCPU)],TblApplications[Cluster IKS source],$F545,TblApplications[Action],"À migrer",TblApplications[Mois prov (calc)],"&lt;="&amp;$E545)-SUMIFS(TblApplications[CPU IKS libérable (vCPU)],TblApplications[Cluster IKS source],$F545,TblApplications[Action],"À décommissionner",TblApplications[Mois lib (calc)],"&lt;="&amp;$E545)))))</f>
        <v/>
      </c>
      <c r="Y545" s="19" t="str">
        <f>IF($D545&lt;&gt;1,"",IF($G545="ROKS",$S545,IF($AI545=1,0,MAX($O545,$M545-SUMIFS(TblApplications[RAM IKS libérable (Go)],TblApplications[Cluster IKS source],$F545,TblApplications[Action],"À migrer",TblApplications[Mois prov (calc)],"&lt;="&amp;$E545)-SUMIFS(TblApplications[RAM IKS libérable (Go)],TblApplications[Cluster IKS source],$F545,TblApplications[Action],"À décommissionner",TblApplications[Mois lib (calc)],"&lt;="&amp;$E545)))))</f>
        <v/>
      </c>
      <c r="Z545" s="19" t="str">
        <f t="shared" si="145"/>
        <v/>
      </c>
      <c r="AA545" s="73" t="str">
        <f t="shared" si="146"/>
        <v/>
      </c>
      <c r="AB545" s="19" t="str">
        <f t="shared" si="147"/>
        <v/>
      </c>
      <c r="AC545" s="73" t="str">
        <f t="shared" si="148"/>
        <v/>
      </c>
      <c r="AD545" s="19" t="str">
        <f t="shared" si="149"/>
        <v/>
      </c>
      <c r="AE545" s="19" t="str">
        <f t="shared" si="150"/>
        <v/>
      </c>
      <c r="AF545" s="19" t="str">
        <f>IF($D545&lt;&gt;1,"",IF(INDEX(TblClusters[Environnement],$B545)="","(vide)",INDEX(TblClusters[Environnement],$B545)))</f>
        <v/>
      </c>
      <c r="AG545" s="19" t="str">
        <f t="shared" si="151"/>
        <v/>
      </c>
      <c r="AH545" s="19" t="str">
        <f t="shared" si="152"/>
        <v/>
      </c>
      <c r="AI545" s="19" t="str">
        <f>IF($D545&lt;&gt;1,"",IF(AND($G545="IKS",ISNUMBER(INDEX(TblClusters[Fermeture retenue],$B545))),IF($E545&gt;=INDEX(TblClusters[Fermeture retenue],$B545),1,0),0))</f>
        <v/>
      </c>
    </row>
    <row r="546" spans="1:35" x14ac:dyDescent="0.2">
      <c r="A546" s="19">
        <v>541</v>
      </c>
      <c r="B546" s="19">
        <f t="shared" si="136"/>
        <v>16</v>
      </c>
      <c r="C546" s="19">
        <f t="shared" si="137"/>
        <v>1</v>
      </c>
      <c r="D546" s="19">
        <f>IF($C546&gt;p_horizon,0,IFERROR(IF(AND(INDEX(TblClusters[Cluster],$B546)&lt;&gt;"",ISNUMBER(INDEX(TblClusters[CPU initial (vCPU)],$B546)),ISNUMBER(INDEX(TblClusters[CPU min (vCPU)],$B546)),OR(INDEX(TblClusters[Plateforme],$B546)="IKS",INDEX(TblClusters[Plateforme],$B546)="ROKS")),1,0),0))</f>
        <v>0</v>
      </c>
      <c r="E546" s="72" t="str">
        <f t="shared" si="138"/>
        <v/>
      </c>
      <c r="F546" s="19" t="str">
        <f>IF($D546=1,INDEX(TblClusters[Cluster],$B546),"")</f>
        <v/>
      </c>
      <c r="G546" s="19" t="str">
        <f>IF($D546=1,INDEX(TblClusters[Plateforme],$B546),"")</f>
        <v/>
      </c>
      <c r="H546" s="19" t="str">
        <f>IF($D546=1,INDEX(TblClusters[vCPU par nœud],$B546),"")</f>
        <v/>
      </c>
      <c r="I546" s="19" t="str">
        <f>IF($D546=1,INDEX(TblClusters[RAM par nœud (Go)],$B546),"")</f>
        <v/>
      </c>
      <c r="J546" s="19" t="str">
        <f>IF($D546=1,INDEX(TblClusters[Workers min],$B546),"")</f>
        <v/>
      </c>
      <c r="K546" s="73" t="str">
        <f>IF($D546=1,INDEX(TblClusters[Tarif par nœud],$B546),"")</f>
        <v/>
      </c>
      <c r="L546" s="19" t="str">
        <f>IF($D546=1,INDEX(TblClusters[CPU initial (vCPU)],$B546),"")</f>
        <v/>
      </c>
      <c r="M546" s="19" t="str">
        <f>IF($D546=1,INDEX(TblClusters[RAM initiale (Go)],$B546),"")</f>
        <v/>
      </c>
      <c r="N546" s="19" t="str">
        <f>IF($D546=1,INDEX(TblClusters[CPU min (vCPU)],$B546),"")</f>
        <v/>
      </c>
      <c r="O546" s="19" t="str">
        <f>IF($D546=1,INDEX(TblClusters[RAM min (Go)],$B546),"")</f>
        <v/>
      </c>
      <c r="P546" s="19" t="str">
        <f>IF($D546&lt;&gt;1,"",IF($G546="ROKS",SUMIFS(TblApplications[Besoin ROKS CPU (vCPU)],TblApplications[Cluster ROKS cible],$F546,TblApplications[Action],"À migrer",TblApplications[Déjà incluse ROKS],"Non",TblApplications[Mois prov (calc)],"&lt;="&amp;$E546),SUMIFS(TblApplications[CPU IKS libérable (vCPU)],TblApplications[Cluster IKS source],$F546,TblApplications[Mois lib (calc)],"&lt;="&amp;$E546)))</f>
        <v/>
      </c>
      <c r="Q546" s="19" t="str">
        <f>IF($D546&lt;&gt;1,"",IF($G546="ROKS",SUMIFS(TblApplications[Besoin ROKS RAM (Go)],TblApplications[Cluster ROKS cible],$F546,TblApplications[Action],"À migrer",TblApplications[Déjà incluse ROKS],"Non",TblApplications[Mois prov (calc)],"&lt;="&amp;$E546),SUMIFS(TblApplications[RAM IKS libérable (Go)],TblApplications[Cluster IKS source],$F546,TblApplications[Mois lib (calc)],"&lt;="&amp;$E546)))</f>
        <v/>
      </c>
      <c r="R546" s="19" t="str">
        <f t="shared" si="139"/>
        <v/>
      </c>
      <c r="S546" s="19" t="str">
        <f t="shared" si="140"/>
        <v/>
      </c>
      <c r="T546" s="19" t="str">
        <f t="shared" si="141"/>
        <v/>
      </c>
      <c r="U546" s="19" t="str">
        <f t="shared" si="142"/>
        <v/>
      </c>
      <c r="V546" s="19" t="str">
        <f t="shared" si="143"/>
        <v/>
      </c>
      <c r="W546" s="73" t="str">
        <f t="shared" si="144"/>
        <v/>
      </c>
      <c r="X546" s="19" t="str">
        <f>IF($D546&lt;&gt;1,"",IF($G546="ROKS",$R546,IF($AI546=1,0,MAX($N546,$L546-SUMIFS(TblApplications[CPU IKS libérable (vCPU)],TblApplications[Cluster IKS source],$F546,TblApplications[Action],"À migrer",TblApplications[Mois prov (calc)],"&lt;="&amp;$E546)-SUMIFS(TblApplications[CPU IKS libérable (vCPU)],TblApplications[Cluster IKS source],$F546,TblApplications[Action],"À décommissionner",TblApplications[Mois lib (calc)],"&lt;="&amp;$E546)))))</f>
        <v/>
      </c>
      <c r="Y546" s="19" t="str">
        <f>IF($D546&lt;&gt;1,"",IF($G546="ROKS",$S546,IF($AI546=1,0,MAX($O546,$M546-SUMIFS(TblApplications[RAM IKS libérable (Go)],TblApplications[Cluster IKS source],$F546,TblApplications[Action],"À migrer",TblApplications[Mois prov (calc)],"&lt;="&amp;$E546)-SUMIFS(TblApplications[RAM IKS libérable (Go)],TblApplications[Cluster IKS source],$F546,TblApplications[Action],"À décommissionner",TblApplications[Mois lib (calc)],"&lt;="&amp;$E546)))))</f>
        <v/>
      </c>
      <c r="Z546" s="19" t="str">
        <f t="shared" si="145"/>
        <v/>
      </c>
      <c r="AA546" s="73" t="str">
        <f t="shared" si="146"/>
        <v/>
      </c>
      <c r="AB546" s="19" t="str">
        <f t="shared" si="147"/>
        <v/>
      </c>
      <c r="AC546" s="73" t="str">
        <f t="shared" si="148"/>
        <v/>
      </c>
      <c r="AD546" s="19" t="str">
        <f t="shared" si="149"/>
        <v/>
      </c>
      <c r="AE546" s="19" t="str">
        <f t="shared" si="150"/>
        <v/>
      </c>
      <c r="AF546" s="19" t="str">
        <f>IF($D546&lt;&gt;1,"",IF(INDEX(TblClusters[Environnement],$B546)="","(vide)",INDEX(TblClusters[Environnement],$B546)))</f>
        <v/>
      </c>
      <c r="AG546" s="19" t="str">
        <f t="shared" si="151"/>
        <v/>
      </c>
      <c r="AH546" s="19" t="str">
        <f t="shared" si="152"/>
        <v/>
      </c>
      <c r="AI546" s="19" t="str">
        <f>IF($D546&lt;&gt;1,"",IF(AND($G546="IKS",ISNUMBER(INDEX(TblClusters[Fermeture retenue],$B546))),IF($E546&gt;=INDEX(TblClusters[Fermeture retenue],$B546),1,0),0))</f>
        <v/>
      </c>
    </row>
    <row r="547" spans="1:35" x14ac:dyDescent="0.2">
      <c r="A547" s="19">
        <v>542</v>
      </c>
      <c r="B547" s="19">
        <f t="shared" si="136"/>
        <v>16</v>
      </c>
      <c r="C547" s="19">
        <f t="shared" si="137"/>
        <v>2</v>
      </c>
      <c r="D547" s="19">
        <f>IF($C547&gt;p_horizon,0,IFERROR(IF(AND(INDEX(TblClusters[Cluster],$B547)&lt;&gt;"",ISNUMBER(INDEX(TblClusters[CPU initial (vCPU)],$B547)),ISNUMBER(INDEX(TblClusters[CPU min (vCPU)],$B547)),OR(INDEX(TblClusters[Plateforme],$B547)="IKS",INDEX(TblClusters[Plateforme],$B547)="ROKS")),1,0),0))</f>
        <v>0</v>
      </c>
      <c r="E547" s="72" t="str">
        <f t="shared" si="138"/>
        <v/>
      </c>
      <c r="F547" s="19" t="str">
        <f>IF($D547=1,INDEX(TblClusters[Cluster],$B547),"")</f>
        <v/>
      </c>
      <c r="G547" s="19" t="str">
        <f>IF($D547=1,INDEX(TblClusters[Plateforme],$B547),"")</f>
        <v/>
      </c>
      <c r="H547" s="19" t="str">
        <f>IF($D547=1,INDEX(TblClusters[vCPU par nœud],$B547),"")</f>
        <v/>
      </c>
      <c r="I547" s="19" t="str">
        <f>IF($D547=1,INDEX(TblClusters[RAM par nœud (Go)],$B547),"")</f>
        <v/>
      </c>
      <c r="J547" s="19" t="str">
        <f>IF($D547=1,INDEX(TblClusters[Workers min],$B547),"")</f>
        <v/>
      </c>
      <c r="K547" s="73" t="str">
        <f>IF($D547=1,INDEX(TblClusters[Tarif par nœud],$B547),"")</f>
        <v/>
      </c>
      <c r="L547" s="19" t="str">
        <f>IF($D547=1,INDEX(TblClusters[CPU initial (vCPU)],$B547),"")</f>
        <v/>
      </c>
      <c r="M547" s="19" t="str">
        <f>IF($D547=1,INDEX(TblClusters[RAM initiale (Go)],$B547),"")</f>
        <v/>
      </c>
      <c r="N547" s="19" t="str">
        <f>IF($D547=1,INDEX(TblClusters[CPU min (vCPU)],$B547),"")</f>
        <v/>
      </c>
      <c r="O547" s="19" t="str">
        <f>IF($D547=1,INDEX(TblClusters[RAM min (Go)],$B547),"")</f>
        <v/>
      </c>
      <c r="P547" s="19" t="str">
        <f>IF($D547&lt;&gt;1,"",IF($G547="ROKS",SUMIFS(TblApplications[Besoin ROKS CPU (vCPU)],TblApplications[Cluster ROKS cible],$F547,TblApplications[Action],"À migrer",TblApplications[Déjà incluse ROKS],"Non",TblApplications[Mois prov (calc)],"&lt;="&amp;$E547),SUMIFS(TblApplications[CPU IKS libérable (vCPU)],TblApplications[Cluster IKS source],$F547,TblApplications[Mois lib (calc)],"&lt;="&amp;$E547)))</f>
        <v/>
      </c>
      <c r="Q547" s="19" t="str">
        <f>IF($D547&lt;&gt;1,"",IF($G547="ROKS",SUMIFS(TblApplications[Besoin ROKS RAM (Go)],TblApplications[Cluster ROKS cible],$F547,TblApplications[Action],"À migrer",TblApplications[Déjà incluse ROKS],"Non",TblApplications[Mois prov (calc)],"&lt;="&amp;$E547),SUMIFS(TblApplications[RAM IKS libérable (Go)],TblApplications[Cluster IKS source],$F547,TblApplications[Mois lib (calc)],"&lt;="&amp;$E547)))</f>
        <v/>
      </c>
      <c r="R547" s="19" t="str">
        <f t="shared" si="139"/>
        <v/>
      </c>
      <c r="S547" s="19" t="str">
        <f t="shared" si="140"/>
        <v/>
      </c>
      <c r="T547" s="19" t="str">
        <f t="shared" si="141"/>
        <v/>
      </c>
      <c r="U547" s="19" t="str">
        <f t="shared" si="142"/>
        <v/>
      </c>
      <c r="V547" s="19" t="str">
        <f t="shared" si="143"/>
        <v/>
      </c>
      <c r="W547" s="73" t="str">
        <f t="shared" si="144"/>
        <v/>
      </c>
      <c r="X547" s="19" t="str">
        <f>IF($D547&lt;&gt;1,"",IF($G547="ROKS",$R547,IF($AI547=1,0,MAX($N547,$L547-SUMIFS(TblApplications[CPU IKS libérable (vCPU)],TblApplications[Cluster IKS source],$F547,TblApplications[Action],"À migrer",TblApplications[Mois prov (calc)],"&lt;="&amp;$E547)-SUMIFS(TblApplications[CPU IKS libérable (vCPU)],TblApplications[Cluster IKS source],$F547,TblApplications[Action],"À décommissionner",TblApplications[Mois lib (calc)],"&lt;="&amp;$E547)))))</f>
        <v/>
      </c>
      <c r="Y547" s="19" t="str">
        <f>IF($D547&lt;&gt;1,"",IF($G547="ROKS",$S547,IF($AI547=1,0,MAX($O547,$M547-SUMIFS(TblApplications[RAM IKS libérable (Go)],TblApplications[Cluster IKS source],$F547,TblApplications[Action],"À migrer",TblApplications[Mois prov (calc)],"&lt;="&amp;$E547)-SUMIFS(TblApplications[RAM IKS libérable (Go)],TblApplications[Cluster IKS source],$F547,TblApplications[Action],"À décommissionner",TblApplications[Mois lib (calc)],"&lt;="&amp;$E547)))))</f>
        <v/>
      </c>
      <c r="Z547" s="19" t="str">
        <f t="shared" si="145"/>
        <v/>
      </c>
      <c r="AA547" s="73" t="str">
        <f t="shared" si="146"/>
        <v/>
      </c>
      <c r="AB547" s="19" t="str">
        <f t="shared" si="147"/>
        <v/>
      </c>
      <c r="AC547" s="73" t="str">
        <f t="shared" si="148"/>
        <v/>
      </c>
      <c r="AD547" s="19" t="str">
        <f t="shared" si="149"/>
        <v/>
      </c>
      <c r="AE547" s="19" t="str">
        <f t="shared" si="150"/>
        <v/>
      </c>
      <c r="AF547" s="19" t="str">
        <f>IF($D547&lt;&gt;1,"",IF(INDEX(TblClusters[Environnement],$B547)="","(vide)",INDEX(TblClusters[Environnement],$B547)))</f>
        <v/>
      </c>
      <c r="AG547" s="19" t="str">
        <f t="shared" si="151"/>
        <v/>
      </c>
      <c r="AH547" s="19" t="str">
        <f t="shared" si="152"/>
        <v/>
      </c>
      <c r="AI547" s="19" t="str">
        <f>IF($D547&lt;&gt;1,"",IF(AND($G547="IKS",ISNUMBER(INDEX(TblClusters[Fermeture retenue],$B547))),IF($E547&gt;=INDEX(TblClusters[Fermeture retenue],$B547),1,0),0))</f>
        <v/>
      </c>
    </row>
    <row r="548" spans="1:35" x14ac:dyDescent="0.2">
      <c r="A548" s="19">
        <v>543</v>
      </c>
      <c r="B548" s="19">
        <f t="shared" si="136"/>
        <v>16</v>
      </c>
      <c r="C548" s="19">
        <f t="shared" si="137"/>
        <v>3</v>
      </c>
      <c r="D548" s="19">
        <f>IF($C548&gt;p_horizon,0,IFERROR(IF(AND(INDEX(TblClusters[Cluster],$B548)&lt;&gt;"",ISNUMBER(INDEX(TblClusters[CPU initial (vCPU)],$B548)),ISNUMBER(INDEX(TblClusters[CPU min (vCPU)],$B548)),OR(INDEX(TblClusters[Plateforme],$B548)="IKS",INDEX(TblClusters[Plateforme],$B548)="ROKS")),1,0),0))</f>
        <v>0</v>
      </c>
      <c r="E548" s="72" t="str">
        <f t="shared" si="138"/>
        <v/>
      </c>
      <c r="F548" s="19" t="str">
        <f>IF($D548=1,INDEX(TblClusters[Cluster],$B548),"")</f>
        <v/>
      </c>
      <c r="G548" s="19" t="str">
        <f>IF($D548=1,INDEX(TblClusters[Plateforme],$B548),"")</f>
        <v/>
      </c>
      <c r="H548" s="19" t="str">
        <f>IF($D548=1,INDEX(TblClusters[vCPU par nœud],$B548),"")</f>
        <v/>
      </c>
      <c r="I548" s="19" t="str">
        <f>IF($D548=1,INDEX(TblClusters[RAM par nœud (Go)],$B548),"")</f>
        <v/>
      </c>
      <c r="J548" s="19" t="str">
        <f>IF($D548=1,INDEX(TblClusters[Workers min],$B548),"")</f>
        <v/>
      </c>
      <c r="K548" s="73" t="str">
        <f>IF($D548=1,INDEX(TblClusters[Tarif par nœud],$B548),"")</f>
        <v/>
      </c>
      <c r="L548" s="19" t="str">
        <f>IF($D548=1,INDEX(TblClusters[CPU initial (vCPU)],$B548),"")</f>
        <v/>
      </c>
      <c r="M548" s="19" t="str">
        <f>IF($D548=1,INDEX(TblClusters[RAM initiale (Go)],$B548),"")</f>
        <v/>
      </c>
      <c r="N548" s="19" t="str">
        <f>IF($D548=1,INDEX(TblClusters[CPU min (vCPU)],$B548),"")</f>
        <v/>
      </c>
      <c r="O548" s="19" t="str">
        <f>IF($D548=1,INDEX(TblClusters[RAM min (Go)],$B548),"")</f>
        <v/>
      </c>
      <c r="P548" s="19" t="str">
        <f>IF($D548&lt;&gt;1,"",IF($G548="ROKS",SUMIFS(TblApplications[Besoin ROKS CPU (vCPU)],TblApplications[Cluster ROKS cible],$F548,TblApplications[Action],"À migrer",TblApplications[Déjà incluse ROKS],"Non",TblApplications[Mois prov (calc)],"&lt;="&amp;$E548),SUMIFS(TblApplications[CPU IKS libérable (vCPU)],TblApplications[Cluster IKS source],$F548,TblApplications[Mois lib (calc)],"&lt;="&amp;$E548)))</f>
        <v/>
      </c>
      <c r="Q548" s="19" t="str">
        <f>IF($D548&lt;&gt;1,"",IF($G548="ROKS",SUMIFS(TblApplications[Besoin ROKS RAM (Go)],TblApplications[Cluster ROKS cible],$F548,TblApplications[Action],"À migrer",TblApplications[Déjà incluse ROKS],"Non",TblApplications[Mois prov (calc)],"&lt;="&amp;$E548),SUMIFS(TblApplications[RAM IKS libérable (Go)],TblApplications[Cluster IKS source],$F548,TblApplications[Mois lib (calc)],"&lt;="&amp;$E548)))</f>
        <v/>
      </c>
      <c r="R548" s="19" t="str">
        <f t="shared" si="139"/>
        <v/>
      </c>
      <c r="S548" s="19" t="str">
        <f t="shared" si="140"/>
        <v/>
      </c>
      <c r="T548" s="19" t="str">
        <f t="shared" si="141"/>
        <v/>
      </c>
      <c r="U548" s="19" t="str">
        <f t="shared" si="142"/>
        <v/>
      </c>
      <c r="V548" s="19" t="str">
        <f t="shared" si="143"/>
        <v/>
      </c>
      <c r="W548" s="73" t="str">
        <f t="shared" si="144"/>
        <v/>
      </c>
      <c r="X548" s="19" t="str">
        <f>IF($D548&lt;&gt;1,"",IF($G548="ROKS",$R548,IF($AI548=1,0,MAX($N548,$L548-SUMIFS(TblApplications[CPU IKS libérable (vCPU)],TblApplications[Cluster IKS source],$F548,TblApplications[Action],"À migrer",TblApplications[Mois prov (calc)],"&lt;="&amp;$E548)-SUMIFS(TblApplications[CPU IKS libérable (vCPU)],TblApplications[Cluster IKS source],$F548,TblApplications[Action],"À décommissionner",TblApplications[Mois lib (calc)],"&lt;="&amp;$E548)))))</f>
        <v/>
      </c>
      <c r="Y548" s="19" t="str">
        <f>IF($D548&lt;&gt;1,"",IF($G548="ROKS",$S548,IF($AI548=1,0,MAX($O548,$M548-SUMIFS(TblApplications[RAM IKS libérable (Go)],TblApplications[Cluster IKS source],$F548,TblApplications[Action],"À migrer",TblApplications[Mois prov (calc)],"&lt;="&amp;$E548)-SUMIFS(TblApplications[RAM IKS libérable (Go)],TblApplications[Cluster IKS source],$F548,TblApplications[Action],"À décommissionner",TblApplications[Mois lib (calc)],"&lt;="&amp;$E548)))))</f>
        <v/>
      </c>
      <c r="Z548" s="19" t="str">
        <f t="shared" si="145"/>
        <v/>
      </c>
      <c r="AA548" s="73" t="str">
        <f t="shared" si="146"/>
        <v/>
      </c>
      <c r="AB548" s="19" t="str">
        <f t="shared" si="147"/>
        <v/>
      </c>
      <c r="AC548" s="73" t="str">
        <f t="shared" si="148"/>
        <v/>
      </c>
      <c r="AD548" s="19" t="str">
        <f t="shared" si="149"/>
        <v/>
      </c>
      <c r="AE548" s="19" t="str">
        <f t="shared" si="150"/>
        <v/>
      </c>
      <c r="AF548" s="19" t="str">
        <f>IF($D548&lt;&gt;1,"",IF(INDEX(TblClusters[Environnement],$B548)="","(vide)",INDEX(TblClusters[Environnement],$B548)))</f>
        <v/>
      </c>
      <c r="AG548" s="19" t="str">
        <f t="shared" si="151"/>
        <v/>
      </c>
      <c r="AH548" s="19" t="str">
        <f t="shared" si="152"/>
        <v/>
      </c>
      <c r="AI548" s="19" t="str">
        <f>IF($D548&lt;&gt;1,"",IF(AND($G548="IKS",ISNUMBER(INDEX(TblClusters[Fermeture retenue],$B548))),IF($E548&gt;=INDEX(TblClusters[Fermeture retenue],$B548),1,0),0))</f>
        <v/>
      </c>
    </row>
    <row r="549" spans="1:35" x14ac:dyDescent="0.2">
      <c r="A549" s="19">
        <v>544</v>
      </c>
      <c r="B549" s="19">
        <f t="shared" si="136"/>
        <v>16</v>
      </c>
      <c r="C549" s="19">
        <f t="shared" si="137"/>
        <v>4</v>
      </c>
      <c r="D549" s="19">
        <f>IF($C549&gt;p_horizon,0,IFERROR(IF(AND(INDEX(TblClusters[Cluster],$B549)&lt;&gt;"",ISNUMBER(INDEX(TblClusters[CPU initial (vCPU)],$B549)),ISNUMBER(INDEX(TblClusters[CPU min (vCPU)],$B549)),OR(INDEX(TblClusters[Plateforme],$B549)="IKS",INDEX(TblClusters[Plateforme],$B549)="ROKS")),1,0),0))</f>
        <v>0</v>
      </c>
      <c r="E549" s="72" t="str">
        <f t="shared" si="138"/>
        <v/>
      </c>
      <c r="F549" s="19" t="str">
        <f>IF($D549=1,INDEX(TblClusters[Cluster],$B549),"")</f>
        <v/>
      </c>
      <c r="G549" s="19" t="str">
        <f>IF($D549=1,INDEX(TblClusters[Plateforme],$B549),"")</f>
        <v/>
      </c>
      <c r="H549" s="19" t="str">
        <f>IF($D549=1,INDEX(TblClusters[vCPU par nœud],$B549),"")</f>
        <v/>
      </c>
      <c r="I549" s="19" t="str">
        <f>IF($D549=1,INDEX(TblClusters[RAM par nœud (Go)],$B549),"")</f>
        <v/>
      </c>
      <c r="J549" s="19" t="str">
        <f>IF($D549=1,INDEX(TblClusters[Workers min],$B549),"")</f>
        <v/>
      </c>
      <c r="K549" s="73" t="str">
        <f>IF($D549=1,INDEX(TblClusters[Tarif par nœud],$B549),"")</f>
        <v/>
      </c>
      <c r="L549" s="19" t="str">
        <f>IF($D549=1,INDEX(TblClusters[CPU initial (vCPU)],$B549),"")</f>
        <v/>
      </c>
      <c r="M549" s="19" t="str">
        <f>IF($D549=1,INDEX(TblClusters[RAM initiale (Go)],$B549),"")</f>
        <v/>
      </c>
      <c r="N549" s="19" t="str">
        <f>IF($D549=1,INDEX(TblClusters[CPU min (vCPU)],$B549),"")</f>
        <v/>
      </c>
      <c r="O549" s="19" t="str">
        <f>IF($D549=1,INDEX(TblClusters[RAM min (Go)],$B549),"")</f>
        <v/>
      </c>
      <c r="P549" s="19" t="str">
        <f>IF($D549&lt;&gt;1,"",IF($G549="ROKS",SUMIFS(TblApplications[Besoin ROKS CPU (vCPU)],TblApplications[Cluster ROKS cible],$F549,TblApplications[Action],"À migrer",TblApplications[Déjà incluse ROKS],"Non",TblApplications[Mois prov (calc)],"&lt;="&amp;$E549),SUMIFS(TblApplications[CPU IKS libérable (vCPU)],TblApplications[Cluster IKS source],$F549,TblApplications[Mois lib (calc)],"&lt;="&amp;$E549)))</f>
        <v/>
      </c>
      <c r="Q549" s="19" t="str">
        <f>IF($D549&lt;&gt;1,"",IF($G549="ROKS",SUMIFS(TblApplications[Besoin ROKS RAM (Go)],TblApplications[Cluster ROKS cible],$F549,TblApplications[Action],"À migrer",TblApplications[Déjà incluse ROKS],"Non",TblApplications[Mois prov (calc)],"&lt;="&amp;$E549),SUMIFS(TblApplications[RAM IKS libérable (Go)],TblApplications[Cluster IKS source],$F549,TblApplications[Mois lib (calc)],"&lt;="&amp;$E549)))</f>
        <v/>
      </c>
      <c r="R549" s="19" t="str">
        <f t="shared" si="139"/>
        <v/>
      </c>
      <c r="S549" s="19" t="str">
        <f t="shared" si="140"/>
        <v/>
      </c>
      <c r="T549" s="19" t="str">
        <f t="shared" si="141"/>
        <v/>
      </c>
      <c r="U549" s="19" t="str">
        <f t="shared" si="142"/>
        <v/>
      </c>
      <c r="V549" s="19" t="str">
        <f t="shared" si="143"/>
        <v/>
      </c>
      <c r="W549" s="73" t="str">
        <f t="shared" si="144"/>
        <v/>
      </c>
      <c r="X549" s="19" t="str">
        <f>IF($D549&lt;&gt;1,"",IF($G549="ROKS",$R549,IF($AI549=1,0,MAX($N549,$L549-SUMIFS(TblApplications[CPU IKS libérable (vCPU)],TblApplications[Cluster IKS source],$F549,TblApplications[Action],"À migrer",TblApplications[Mois prov (calc)],"&lt;="&amp;$E549)-SUMIFS(TblApplications[CPU IKS libérable (vCPU)],TblApplications[Cluster IKS source],$F549,TblApplications[Action],"À décommissionner",TblApplications[Mois lib (calc)],"&lt;="&amp;$E549)))))</f>
        <v/>
      </c>
      <c r="Y549" s="19" t="str">
        <f>IF($D549&lt;&gt;1,"",IF($G549="ROKS",$S549,IF($AI549=1,0,MAX($O549,$M549-SUMIFS(TblApplications[RAM IKS libérable (Go)],TblApplications[Cluster IKS source],$F549,TblApplications[Action],"À migrer",TblApplications[Mois prov (calc)],"&lt;="&amp;$E549)-SUMIFS(TblApplications[RAM IKS libérable (Go)],TblApplications[Cluster IKS source],$F549,TblApplications[Action],"À décommissionner",TblApplications[Mois lib (calc)],"&lt;="&amp;$E549)))))</f>
        <v/>
      </c>
      <c r="Z549" s="19" t="str">
        <f t="shared" si="145"/>
        <v/>
      </c>
      <c r="AA549" s="73" t="str">
        <f t="shared" si="146"/>
        <v/>
      </c>
      <c r="AB549" s="19" t="str">
        <f t="shared" si="147"/>
        <v/>
      </c>
      <c r="AC549" s="73" t="str">
        <f t="shared" si="148"/>
        <v/>
      </c>
      <c r="AD549" s="19" t="str">
        <f t="shared" si="149"/>
        <v/>
      </c>
      <c r="AE549" s="19" t="str">
        <f t="shared" si="150"/>
        <v/>
      </c>
      <c r="AF549" s="19" t="str">
        <f>IF($D549&lt;&gt;1,"",IF(INDEX(TblClusters[Environnement],$B549)="","(vide)",INDEX(TblClusters[Environnement],$B549)))</f>
        <v/>
      </c>
      <c r="AG549" s="19" t="str">
        <f t="shared" si="151"/>
        <v/>
      </c>
      <c r="AH549" s="19" t="str">
        <f t="shared" si="152"/>
        <v/>
      </c>
      <c r="AI549" s="19" t="str">
        <f>IF($D549&lt;&gt;1,"",IF(AND($G549="IKS",ISNUMBER(INDEX(TblClusters[Fermeture retenue],$B549))),IF($E549&gt;=INDEX(TblClusters[Fermeture retenue],$B549),1,0),0))</f>
        <v/>
      </c>
    </row>
    <row r="550" spans="1:35" x14ac:dyDescent="0.2">
      <c r="A550" s="19">
        <v>545</v>
      </c>
      <c r="B550" s="19">
        <f t="shared" si="136"/>
        <v>16</v>
      </c>
      <c r="C550" s="19">
        <f t="shared" si="137"/>
        <v>5</v>
      </c>
      <c r="D550" s="19">
        <f>IF($C550&gt;p_horizon,0,IFERROR(IF(AND(INDEX(TblClusters[Cluster],$B550)&lt;&gt;"",ISNUMBER(INDEX(TblClusters[CPU initial (vCPU)],$B550)),ISNUMBER(INDEX(TblClusters[CPU min (vCPU)],$B550)),OR(INDEX(TblClusters[Plateforme],$B550)="IKS",INDEX(TblClusters[Plateforme],$B550)="ROKS")),1,0),0))</f>
        <v>0</v>
      </c>
      <c r="E550" s="72" t="str">
        <f t="shared" si="138"/>
        <v/>
      </c>
      <c r="F550" s="19" t="str">
        <f>IF($D550=1,INDEX(TblClusters[Cluster],$B550),"")</f>
        <v/>
      </c>
      <c r="G550" s="19" t="str">
        <f>IF($D550=1,INDEX(TblClusters[Plateforme],$B550),"")</f>
        <v/>
      </c>
      <c r="H550" s="19" t="str">
        <f>IF($D550=1,INDEX(TblClusters[vCPU par nœud],$B550),"")</f>
        <v/>
      </c>
      <c r="I550" s="19" t="str">
        <f>IF($D550=1,INDEX(TblClusters[RAM par nœud (Go)],$B550),"")</f>
        <v/>
      </c>
      <c r="J550" s="19" t="str">
        <f>IF($D550=1,INDEX(TblClusters[Workers min],$B550),"")</f>
        <v/>
      </c>
      <c r="K550" s="73" t="str">
        <f>IF($D550=1,INDEX(TblClusters[Tarif par nœud],$B550),"")</f>
        <v/>
      </c>
      <c r="L550" s="19" t="str">
        <f>IF($D550=1,INDEX(TblClusters[CPU initial (vCPU)],$B550),"")</f>
        <v/>
      </c>
      <c r="M550" s="19" t="str">
        <f>IF($D550=1,INDEX(TblClusters[RAM initiale (Go)],$B550),"")</f>
        <v/>
      </c>
      <c r="N550" s="19" t="str">
        <f>IF($D550=1,INDEX(TblClusters[CPU min (vCPU)],$B550),"")</f>
        <v/>
      </c>
      <c r="O550" s="19" t="str">
        <f>IF($D550=1,INDEX(TblClusters[RAM min (Go)],$B550),"")</f>
        <v/>
      </c>
      <c r="P550" s="19" t="str">
        <f>IF($D550&lt;&gt;1,"",IF($G550="ROKS",SUMIFS(TblApplications[Besoin ROKS CPU (vCPU)],TblApplications[Cluster ROKS cible],$F550,TblApplications[Action],"À migrer",TblApplications[Déjà incluse ROKS],"Non",TblApplications[Mois prov (calc)],"&lt;="&amp;$E550),SUMIFS(TblApplications[CPU IKS libérable (vCPU)],TblApplications[Cluster IKS source],$F550,TblApplications[Mois lib (calc)],"&lt;="&amp;$E550)))</f>
        <v/>
      </c>
      <c r="Q550" s="19" t="str">
        <f>IF($D550&lt;&gt;1,"",IF($G550="ROKS",SUMIFS(TblApplications[Besoin ROKS RAM (Go)],TblApplications[Cluster ROKS cible],$F550,TblApplications[Action],"À migrer",TblApplications[Déjà incluse ROKS],"Non",TblApplications[Mois prov (calc)],"&lt;="&amp;$E550),SUMIFS(TblApplications[RAM IKS libérable (Go)],TblApplications[Cluster IKS source],$F550,TblApplications[Mois lib (calc)],"&lt;="&amp;$E550)))</f>
        <v/>
      </c>
      <c r="R550" s="19" t="str">
        <f t="shared" si="139"/>
        <v/>
      </c>
      <c r="S550" s="19" t="str">
        <f t="shared" si="140"/>
        <v/>
      </c>
      <c r="T550" s="19" t="str">
        <f t="shared" si="141"/>
        <v/>
      </c>
      <c r="U550" s="19" t="str">
        <f t="shared" si="142"/>
        <v/>
      </c>
      <c r="V550" s="19" t="str">
        <f t="shared" si="143"/>
        <v/>
      </c>
      <c r="W550" s="73" t="str">
        <f t="shared" si="144"/>
        <v/>
      </c>
      <c r="X550" s="19" t="str">
        <f>IF($D550&lt;&gt;1,"",IF($G550="ROKS",$R550,IF($AI550=1,0,MAX($N550,$L550-SUMIFS(TblApplications[CPU IKS libérable (vCPU)],TblApplications[Cluster IKS source],$F550,TblApplications[Action],"À migrer",TblApplications[Mois prov (calc)],"&lt;="&amp;$E550)-SUMIFS(TblApplications[CPU IKS libérable (vCPU)],TblApplications[Cluster IKS source],$F550,TblApplications[Action],"À décommissionner",TblApplications[Mois lib (calc)],"&lt;="&amp;$E550)))))</f>
        <v/>
      </c>
      <c r="Y550" s="19" t="str">
        <f>IF($D550&lt;&gt;1,"",IF($G550="ROKS",$S550,IF($AI550=1,0,MAX($O550,$M550-SUMIFS(TblApplications[RAM IKS libérable (Go)],TblApplications[Cluster IKS source],$F550,TblApplications[Action],"À migrer",TblApplications[Mois prov (calc)],"&lt;="&amp;$E550)-SUMIFS(TblApplications[RAM IKS libérable (Go)],TblApplications[Cluster IKS source],$F550,TblApplications[Action],"À décommissionner",TblApplications[Mois lib (calc)],"&lt;="&amp;$E550)))))</f>
        <v/>
      </c>
      <c r="Z550" s="19" t="str">
        <f t="shared" si="145"/>
        <v/>
      </c>
      <c r="AA550" s="73" t="str">
        <f t="shared" si="146"/>
        <v/>
      </c>
      <c r="AB550" s="19" t="str">
        <f t="shared" si="147"/>
        <v/>
      </c>
      <c r="AC550" s="73" t="str">
        <f t="shared" si="148"/>
        <v/>
      </c>
      <c r="AD550" s="19" t="str">
        <f t="shared" si="149"/>
        <v/>
      </c>
      <c r="AE550" s="19" t="str">
        <f t="shared" si="150"/>
        <v/>
      </c>
      <c r="AF550" s="19" t="str">
        <f>IF($D550&lt;&gt;1,"",IF(INDEX(TblClusters[Environnement],$B550)="","(vide)",INDEX(TblClusters[Environnement],$B550)))</f>
        <v/>
      </c>
      <c r="AG550" s="19" t="str">
        <f t="shared" si="151"/>
        <v/>
      </c>
      <c r="AH550" s="19" t="str">
        <f t="shared" si="152"/>
        <v/>
      </c>
      <c r="AI550" s="19" t="str">
        <f>IF($D550&lt;&gt;1,"",IF(AND($G550="IKS",ISNUMBER(INDEX(TblClusters[Fermeture retenue],$B550))),IF($E550&gt;=INDEX(TblClusters[Fermeture retenue],$B550),1,0),0))</f>
        <v/>
      </c>
    </row>
    <row r="551" spans="1:35" x14ac:dyDescent="0.2">
      <c r="A551" s="19">
        <v>546</v>
      </c>
      <c r="B551" s="19">
        <f t="shared" si="136"/>
        <v>16</v>
      </c>
      <c r="C551" s="19">
        <f t="shared" si="137"/>
        <v>6</v>
      </c>
      <c r="D551" s="19">
        <f>IF($C551&gt;p_horizon,0,IFERROR(IF(AND(INDEX(TblClusters[Cluster],$B551)&lt;&gt;"",ISNUMBER(INDEX(TblClusters[CPU initial (vCPU)],$B551)),ISNUMBER(INDEX(TblClusters[CPU min (vCPU)],$B551)),OR(INDEX(TblClusters[Plateforme],$B551)="IKS",INDEX(TblClusters[Plateforme],$B551)="ROKS")),1,0),0))</f>
        <v>0</v>
      </c>
      <c r="E551" s="72" t="str">
        <f t="shared" si="138"/>
        <v/>
      </c>
      <c r="F551" s="19" t="str">
        <f>IF($D551=1,INDEX(TblClusters[Cluster],$B551),"")</f>
        <v/>
      </c>
      <c r="G551" s="19" t="str">
        <f>IF($D551=1,INDEX(TblClusters[Plateforme],$B551),"")</f>
        <v/>
      </c>
      <c r="H551" s="19" t="str">
        <f>IF($D551=1,INDEX(TblClusters[vCPU par nœud],$B551),"")</f>
        <v/>
      </c>
      <c r="I551" s="19" t="str">
        <f>IF($D551=1,INDEX(TblClusters[RAM par nœud (Go)],$B551),"")</f>
        <v/>
      </c>
      <c r="J551" s="19" t="str">
        <f>IF($D551=1,INDEX(TblClusters[Workers min],$B551),"")</f>
        <v/>
      </c>
      <c r="K551" s="73" t="str">
        <f>IF($D551=1,INDEX(TblClusters[Tarif par nœud],$B551),"")</f>
        <v/>
      </c>
      <c r="L551" s="19" t="str">
        <f>IF($D551=1,INDEX(TblClusters[CPU initial (vCPU)],$B551),"")</f>
        <v/>
      </c>
      <c r="M551" s="19" t="str">
        <f>IF($D551=1,INDEX(TblClusters[RAM initiale (Go)],$B551),"")</f>
        <v/>
      </c>
      <c r="N551" s="19" t="str">
        <f>IF($D551=1,INDEX(TblClusters[CPU min (vCPU)],$B551),"")</f>
        <v/>
      </c>
      <c r="O551" s="19" t="str">
        <f>IF($D551=1,INDEX(TblClusters[RAM min (Go)],$B551),"")</f>
        <v/>
      </c>
      <c r="P551" s="19" t="str">
        <f>IF($D551&lt;&gt;1,"",IF($G551="ROKS",SUMIFS(TblApplications[Besoin ROKS CPU (vCPU)],TblApplications[Cluster ROKS cible],$F551,TblApplications[Action],"À migrer",TblApplications[Déjà incluse ROKS],"Non",TblApplications[Mois prov (calc)],"&lt;="&amp;$E551),SUMIFS(TblApplications[CPU IKS libérable (vCPU)],TblApplications[Cluster IKS source],$F551,TblApplications[Mois lib (calc)],"&lt;="&amp;$E551)))</f>
        <v/>
      </c>
      <c r="Q551" s="19" t="str">
        <f>IF($D551&lt;&gt;1,"",IF($G551="ROKS",SUMIFS(TblApplications[Besoin ROKS RAM (Go)],TblApplications[Cluster ROKS cible],$F551,TblApplications[Action],"À migrer",TblApplications[Déjà incluse ROKS],"Non",TblApplications[Mois prov (calc)],"&lt;="&amp;$E551),SUMIFS(TblApplications[RAM IKS libérable (Go)],TblApplications[Cluster IKS source],$F551,TblApplications[Mois lib (calc)],"&lt;="&amp;$E551)))</f>
        <v/>
      </c>
      <c r="R551" s="19" t="str">
        <f t="shared" si="139"/>
        <v/>
      </c>
      <c r="S551" s="19" t="str">
        <f t="shared" si="140"/>
        <v/>
      </c>
      <c r="T551" s="19" t="str">
        <f t="shared" si="141"/>
        <v/>
      </c>
      <c r="U551" s="19" t="str">
        <f t="shared" si="142"/>
        <v/>
      </c>
      <c r="V551" s="19" t="str">
        <f t="shared" si="143"/>
        <v/>
      </c>
      <c r="W551" s="73" t="str">
        <f t="shared" si="144"/>
        <v/>
      </c>
      <c r="X551" s="19" t="str">
        <f>IF($D551&lt;&gt;1,"",IF($G551="ROKS",$R551,IF($AI551=1,0,MAX($N551,$L551-SUMIFS(TblApplications[CPU IKS libérable (vCPU)],TblApplications[Cluster IKS source],$F551,TblApplications[Action],"À migrer",TblApplications[Mois prov (calc)],"&lt;="&amp;$E551)-SUMIFS(TblApplications[CPU IKS libérable (vCPU)],TblApplications[Cluster IKS source],$F551,TblApplications[Action],"À décommissionner",TblApplications[Mois lib (calc)],"&lt;="&amp;$E551)))))</f>
        <v/>
      </c>
      <c r="Y551" s="19" t="str">
        <f>IF($D551&lt;&gt;1,"",IF($G551="ROKS",$S551,IF($AI551=1,0,MAX($O551,$M551-SUMIFS(TblApplications[RAM IKS libérable (Go)],TblApplications[Cluster IKS source],$F551,TblApplications[Action],"À migrer",TblApplications[Mois prov (calc)],"&lt;="&amp;$E551)-SUMIFS(TblApplications[RAM IKS libérable (Go)],TblApplications[Cluster IKS source],$F551,TblApplications[Action],"À décommissionner",TblApplications[Mois lib (calc)],"&lt;="&amp;$E551)))))</f>
        <v/>
      </c>
      <c r="Z551" s="19" t="str">
        <f t="shared" si="145"/>
        <v/>
      </c>
      <c r="AA551" s="73" t="str">
        <f t="shared" si="146"/>
        <v/>
      </c>
      <c r="AB551" s="19" t="str">
        <f t="shared" si="147"/>
        <v/>
      </c>
      <c r="AC551" s="73" t="str">
        <f t="shared" si="148"/>
        <v/>
      </c>
      <c r="AD551" s="19" t="str">
        <f t="shared" si="149"/>
        <v/>
      </c>
      <c r="AE551" s="19" t="str">
        <f t="shared" si="150"/>
        <v/>
      </c>
      <c r="AF551" s="19" t="str">
        <f>IF($D551&lt;&gt;1,"",IF(INDEX(TblClusters[Environnement],$B551)="","(vide)",INDEX(TblClusters[Environnement],$B551)))</f>
        <v/>
      </c>
      <c r="AG551" s="19" t="str">
        <f t="shared" si="151"/>
        <v/>
      </c>
      <c r="AH551" s="19" t="str">
        <f t="shared" si="152"/>
        <v/>
      </c>
      <c r="AI551" s="19" t="str">
        <f>IF($D551&lt;&gt;1,"",IF(AND($G551="IKS",ISNUMBER(INDEX(TblClusters[Fermeture retenue],$B551))),IF($E551&gt;=INDEX(TblClusters[Fermeture retenue],$B551),1,0),0))</f>
        <v/>
      </c>
    </row>
    <row r="552" spans="1:35" x14ac:dyDescent="0.2">
      <c r="A552" s="19">
        <v>547</v>
      </c>
      <c r="B552" s="19">
        <f t="shared" si="136"/>
        <v>16</v>
      </c>
      <c r="C552" s="19">
        <f t="shared" si="137"/>
        <v>7</v>
      </c>
      <c r="D552" s="19">
        <f>IF($C552&gt;p_horizon,0,IFERROR(IF(AND(INDEX(TblClusters[Cluster],$B552)&lt;&gt;"",ISNUMBER(INDEX(TblClusters[CPU initial (vCPU)],$B552)),ISNUMBER(INDEX(TblClusters[CPU min (vCPU)],$B552)),OR(INDEX(TblClusters[Plateforme],$B552)="IKS",INDEX(TblClusters[Plateforme],$B552)="ROKS")),1,0),0))</f>
        <v>0</v>
      </c>
      <c r="E552" s="72" t="str">
        <f t="shared" si="138"/>
        <v/>
      </c>
      <c r="F552" s="19" t="str">
        <f>IF($D552=1,INDEX(TblClusters[Cluster],$B552),"")</f>
        <v/>
      </c>
      <c r="G552" s="19" t="str">
        <f>IF($D552=1,INDEX(TblClusters[Plateforme],$B552),"")</f>
        <v/>
      </c>
      <c r="H552" s="19" t="str">
        <f>IF($D552=1,INDEX(TblClusters[vCPU par nœud],$B552),"")</f>
        <v/>
      </c>
      <c r="I552" s="19" t="str">
        <f>IF($D552=1,INDEX(TblClusters[RAM par nœud (Go)],$B552),"")</f>
        <v/>
      </c>
      <c r="J552" s="19" t="str">
        <f>IF($D552=1,INDEX(TblClusters[Workers min],$B552),"")</f>
        <v/>
      </c>
      <c r="K552" s="73" t="str">
        <f>IF($D552=1,INDEX(TblClusters[Tarif par nœud],$B552),"")</f>
        <v/>
      </c>
      <c r="L552" s="19" t="str">
        <f>IF($D552=1,INDEX(TblClusters[CPU initial (vCPU)],$B552),"")</f>
        <v/>
      </c>
      <c r="M552" s="19" t="str">
        <f>IF($D552=1,INDEX(TblClusters[RAM initiale (Go)],$B552),"")</f>
        <v/>
      </c>
      <c r="N552" s="19" t="str">
        <f>IF($D552=1,INDEX(TblClusters[CPU min (vCPU)],$B552),"")</f>
        <v/>
      </c>
      <c r="O552" s="19" t="str">
        <f>IF($D552=1,INDEX(TblClusters[RAM min (Go)],$B552),"")</f>
        <v/>
      </c>
      <c r="P552" s="19" t="str">
        <f>IF($D552&lt;&gt;1,"",IF($G552="ROKS",SUMIFS(TblApplications[Besoin ROKS CPU (vCPU)],TblApplications[Cluster ROKS cible],$F552,TblApplications[Action],"À migrer",TblApplications[Déjà incluse ROKS],"Non",TblApplications[Mois prov (calc)],"&lt;="&amp;$E552),SUMIFS(TblApplications[CPU IKS libérable (vCPU)],TblApplications[Cluster IKS source],$F552,TblApplications[Mois lib (calc)],"&lt;="&amp;$E552)))</f>
        <v/>
      </c>
      <c r="Q552" s="19" t="str">
        <f>IF($D552&lt;&gt;1,"",IF($G552="ROKS",SUMIFS(TblApplications[Besoin ROKS RAM (Go)],TblApplications[Cluster ROKS cible],$F552,TblApplications[Action],"À migrer",TblApplications[Déjà incluse ROKS],"Non",TblApplications[Mois prov (calc)],"&lt;="&amp;$E552),SUMIFS(TblApplications[RAM IKS libérable (Go)],TblApplications[Cluster IKS source],$F552,TblApplications[Mois lib (calc)],"&lt;="&amp;$E552)))</f>
        <v/>
      </c>
      <c r="R552" s="19" t="str">
        <f t="shared" si="139"/>
        <v/>
      </c>
      <c r="S552" s="19" t="str">
        <f t="shared" si="140"/>
        <v/>
      </c>
      <c r="T552" s="19" t="str">
        <f t="shared" si="141"/>
        <v/>
      </c>
      <c r="U552" s="19" t="str">
        <f t="shared" si="142"/>
        <v/>
      </c>
      <c r="V552" s="19" t="str">
        <f t="shared" si="143"/>
        <v/>
      </c>
      <c r="W552" s="73" t="str">
        <f t="shared" si="144"/>
        <v/>
      </c>
      <c r="X552" s="19" t="str">
        <f>IF($D552&lt;&gt;1,"",IF($G552="ROKS",$R552,IF($AI552=1,0,MAX($N552,$L552-SUMIFS(TblApplications[CPU IKS libérable (vCPU)],TblApplications[Cluster IKS source],$F552,TblApplications[Action],"À migrer",TblApplications[Mois prov (calc)],"&lt;="&amp;$E552)-SUMIFS(TblApplications[CPU IKS libérable (vCPU)],TblApplications[Cluster IKS source],$F552,TblApplications[Action],"À décommissionner",TblApplications[Mois lib (calc)],"&lt;="&amp;$E552)))))</f>
        <v/>
      </c>
      <c r="Y552" s="19" t="str">
        <f>IF($D552&lt;&gt;1,"",IF($G552="ROKS",$S552,IF($AI552=1,0,MAX($O552,$M552-SUMIFS(TblApplications[RAM IKS libérable (Go)],TblApplications[Cluster IKS source],$F552,TblApplications[Action],"À migrer",TblApplications[Mois prov (calc)],"&lt;="&amp;$E552)-SUMIFS(TblApplications[RAM IKS libérable (Go)],TblApplications[Cluster IKS source],$F552,TblApplications[Action],"À décommissionner",TblApplications[Mois lib (calc)],"&lt;="&amp;$E552)))))</f>
        <v/>
      </c>
      <c r="Z552" s="19" t="str">
        <f t="shared" si="145"/>
        <v/>
      </c>
      <c r="AA552" s="73" t="str">
        <f t="shared" si="146"/>
        <v/>
      </c>
      <c r="AB552" s="19" t="str">
        <f t="shared" si="147"/>
        <v/>
      </c>
      <c r="AC552" s="73" t="str">
        <f t="shared" si="148"/>
        <v/>
      </c>
      <c r="AD552" s="19" t="str">
        <f t="shared" si="149"/>
        <v/>
      </c>
      <c r="AE552" s="19" t="str">
        <f t="shared" si="150"/>
        <v/>
      </c>
      <c r="AF552" s="19" t="str">
        <f>IF($D552&lt;&gt;1,"",IF(INDEX(TblClusters[Environnement],$B552)="","(vide)",INDEX(TblClusters[Environnement],$B552)))</f>
        <v/>
      </c>
      <c r="AG552" s="19" t="str">
        <f t="shared" si="151"/>
        <v/>
      </c>
      <c r="AH552" s="19" t="str">
        <f t="shared" si="152"/>
        <v/>
      </c>
      <c r="AI552" s="19" t="str">
        <f>IF($D552&lt;&gt;1,"",IF(AND($G552="IKS",ISNUMBER(INDEX(TblClusters[Fermeture retenue],$B552))),IF($E552&gt;=INDEX(TblClusters[Fermeture retenue],$B552),1,0),0))</f>
        <v/>
      </c>
    </row>
    <row r="553" spans="1:35" x14ac:dyDescent="0.2">
      <c r="A553" s="19">
        <v>548</v>
      </c>
      <c r="B553" s="19">
        <f t="shared" si="136"/>
        <v>16</v>
      </c>
      <c r="C553" s="19">
        <f t="shared" si="137"/>
        <v>8</v>
      </c>
      <c r="D553" s="19">
        <f>IF($C553&gt;p_horizon,0,IFERROR(IF(AND(INDEX(TblClusters[Cluster],$B553)&lt;&gt;"",ISNUMBER(INDEX(TblClusters[CPU initial (vCPU)],$B553)),ISNUMBER(INDEX(TblClusters[CPU min (vCPU)],$B553)),OR(INDEX(TblClusters[Plateforme],$B553)="IKS",INDEX(TblClusters[Plateforme],$B553)="ROKS")),1,0),0))</f>
        <v>0</v>
      </c>
      <c r="E553" s="72" t="str">
        <f t="shared" si="138"/>
        <v/>
      </c>
      <c r="F553" s="19" t="str">
        <f>IF($D553=1,INDEX(TblClusters[Cluster],$B553),"")</f>
        <v/>
      </c>
      <c r="G553" s="19" t="str">
        <f>IF($D553=1,INDEX(TblClusters[Plateforme],$B553),"")</f>
        <v/>
      </c>
      <c r="H553" s="19" t="str">
        <f>IF($D553=1,INDEX(TblClusters[vCPU par nœud],$B553),"")</f>
        <v/>
      </c>
      <c r="I553" s="19" t="str">
        <f>IF($D553=1,INDEX(TblClusters[RAM par nœud (Go)],$B553),"")</f>
        <v/>
      </c>
      <c r="J553" s="19" t="str">
        <f>IF($D553=1,INDEX(TblClusters[Workers min],$B553),"")</f>
        <v/>
      </c>
      <c r="K553" s="73" t="str">
        <f>IF($D553=1,INDEX(TblClusters[Tarif par nœud],$B553),"")</f>
        <v/>
      </c>
      <c r="L553" s="19" t="str">
        <f>IF($D553=1,INDEX(TblClusters[CPU initial (vCPU)],$B553),"")</f>
        <v/>
      </c>
      <c r="M553" s="19" t="str">
        <f>IF($D553=1,INDEX(TblClusters[RAM initiale (Go)],$B553),"")</f>
        <v/>
      </c>
      <c r="N553" s="19" t="str">
        <f>IF($D553=1,INDEX(TblClusters[CPU min (vCPU)],$B553),"")</f>
        <v/>
      </c>
      <c r="O553" s="19" t="str">
        <f>IF($D553=1,INDEX(TblClusters[RAM min (Go)],$B553),"")</f>
        <v/>
      </c>
      <c r="P553" s="19" t="str">
        <f>IF($D553&lt;&gt;1,"",IF($G553="ROKS",SUMIFS(TblApplications[Besoin ROKS CPU (vCPU)],TblApplications[Cluster ROKS cible],$F553,TblApplications[Action],"À migrer",TblApplications[Déjà incluse ROKS],"Non",TblApplications[Mois prov (calc)],"&lt;="&amp;$E553),SUMIFS(TblApplications[CPU IKS libérable (vCPU)],TblApplications[Cluster IKS source],$F553,TblApplications[Mois lib (calc)],"&lt;="&amp;$E553)))</f>
        <v/>
      </c>
      <c r="Q553" s="19" t="str">
        <f>IF($D553&lt;&gt;1,"",IF($G553="ROKS",SUMIFS(TblApplications[Besoin ROKS RAM (Go)],TblApplications[Cluster ROKS cible],$F553,TblApplications[Action],"À migrer",TblApplications[Déjà incluse ROKS],"Non",TblApplications[Mois prov (calc)],"&lt;="&amp;$E553),SUMIFS(TblApplications[RAM IKS libérable (Go)],TblApplications[Cluster IKS source],$F553,TblApplications[Mois lib (calc)],"&lt;="&amp;$E553)))</f>
        <v/>
      </c>
      <c r="R553" s="19" t="str">
        <f t="shared" si="139"/>
        <v/>
      </c>
      <c r="S553" s="19" t="str">
        <f t="shared" si="140"/>
        <v/>
      </c>
      <c r="T553" s="19" t="str">
        <f t="shared" si="141"/>
        <v/>
      </c>
      <c r="U553" s="19" t="str">
        <f t="shared" si="142"/>
        <v/>
      </c>
      <c r="V553" s="19" t="str">
        <f t="shared" si="143"/>
        <v/>
      </c>
      <c r="W553" s="73" t="str">
        <f t="shared" si="144"/>
        <v/>
      </c>
      <c r="X553" s="19" t="str">
        <f>IF($D553&lt;&gt;1,"",IF($G553="ROKS",$R553,IF($AI553=1,0,MAX($N553,$L553-SUMIFS(TblApplications[CPU IKS libérable (vCPU)],TblApplications[Cluster IKS source],$F553,TblApplications[Action],"À migrer",TblApplications[Mois prov (calc)],"&lt;="&amp;$E553)-SUMIFS(TblApplications[CPU IKS libérable (vCPU)],TblApplications[Cluster IKS source],$F553,TblApplications[Action],"À décommissionner",TblApplications[Mois lib (calc)],"&lt;="&amp;$E553)))))</f>
        <v/>
      </c>
      <c r="Y553" s="19" t="str">
        <f>IF($D553&lt;&gt;1,"",IF($G553="ROKS",$S553,IF($AI553=1,0,MAX($O553,$M553-SUMIFS(TblApplications[RAM IKS libérable (Go)],TblApplications[Cluster IKS source],$F553,TblApplications[Action],"À migrer",TblApplications[Mois prov (calc)],"&lt;="&amp;$E553)-SUMIFS(TblApplications[RAM IKS libérable (Go)],TblApplications[Cluster IKS source],$F553,TblApplications[Action],"À décommissionner",TblApplications[Mois lib (calc)],"&lt;="&amp;$E553)))))</f>
        <v/>
      </c>
      <c r="Z553" s="19" t="str">
        <f t="shared" si="145"/>
        <v/>
      </c>
      <c r="AA553" s="73" t="str">
        <f t="shared" si="146"/>
        <v/>
      </c>
      <c r="AB553" s="19" t="str">
        <f t="shared" si="147"/>
        <v/>
      </c>
      <c r="AC553" s="73" t="str">
        <f t="shared" si="148"/>
        <v/>
      </c>
      <c r="AD553" s="19" t="str">
        <f t="shared" si="149"/>
        <v/>
      </c>
      <c r="AE553" s="19" t="str">
        <f t="shared" si="150"/>
        <v/>
      </c>
      <c r="AF553" s="19" t="str">
        <f>IF($D553&lt;&gt;1,"",IF(INDEX(TblClusters[Environnement],$B553)="","(vide)",INDEX(TblClusters[Environnement],$B553)))</f>
        <v/>
      </c>
      <c r="AG553" s="19" t="str">
        <f t="shared" si="151"/>
        <v/>
      </c>
      <c r="AH553" s="19" t="str">
        <f t="shared" si="152"/>
        <v/>
      </c>
      <c r="AI553" s="19" t="str">
        <f>IF($D553&lt;&gt;1,"",IF(AND($G553="IKS",ISNUMBER(INDEX(TblClusters[Fermeture retenue],$B553))),IF($E553&gt;=INDEX(TblClusters[Fermeture retenue],$B553),1,0),0))</f>
        <v/>
      </c>
    </row>
    <row r="554" spans="1:35" x14ac:dyDescent="0.2">
      <c r="A554" s="19">
        <v>549</v>
      </c>
      <c r="B554" s="19">
        <f t="shared" si="136"/>
        <v>16</v>
      </c>
      <c r="C554" s="19">
        <f t="shared" si="137"/>
        <v>9</v>
      </c>
      <c r="D554" s="19">
        <f>IF($C554&gt;p_horizon,0,IFERROR(IF(AND(INDEX(TblClusters[Cluster],$B554)&lt;&gt;"",ISNUMBER(INDEX(TblClusters[CPU initial (vCPU)],$B554)),ISNUMBER(INDEX(TblClusters[CPU min (vCPU)],$B554)),OR(INDEX(TblClusters[Plateforme],$B554)="IKS",INDEX(TblClusters[Plateforme],$B554)="ROKS")),1,0),0))</f>
        <v>0</v>
      </c>
      <c r="E554" s="72" t="str">
        <f t="shared" si="138"/>
        <v/>
      </c>
      <c r="F554" s="19" t="str">
        <f>IF($D554=1,INDEX(TblClusters[Cluster],$B554),"")</f>
        <v/>
      </c>
      <c r="G554" s="19" t="str">
        <f>IF($D554=1,INDEX(TblClusters[Plateforme],$B554),"")</f>
        <v/>
      </c>
      <c r="H554" s="19" t="str">
        <f>IF($D554=1,INDEX(TblClusters[vCPU par nœud],$B554),"")</f>
        <v/>
      </c>
      <c r="I554" s="19" t="str">
        <f>IF($D554=1,INDEX(TblClusters[RAM par nœud (Go)],$B554),"")</f>
        <v/>
      </c>
      <c r="J554" s="19" t="str">
        <f>IF($D554=1,INDEX(TblClusters[Workers min],$B554),"")</f>
        <v/>
      </c>
      <c r="K554" s="73" t="str">
        <f>IF($D554=1,INDEX(TblClusters[Tarif par nœud],$B554),"")</f>
        <v/>
      </c>
      <c r="L554" s="19" t="str">
        <f>IF($D554=1,INDEX(TblClusters[CPU initial (vCPU)],$B554),"")</f>
        <v/>
      </c>
      <c r="M554" s="19" t="str">
        <f>IF($D554=1,INDEX(TblClusters[RAM initiale (Go)],$B554),"")</f>
        <v/>
      </c>
      <c r="N554" s="19" t="str">
        <f>IF($D554=1,INDEX(TblClusters[CPU min (vCPU)],$B554),"")</f>
        <v/>
      </c>
      <c r="O554" s="19" t="str">
        <f>IF($D554=1,INDEX(TblClusters[RAM min (Go)],$B554),"")</f>
        <v/>
      </c>
      <c r="P554" s="19" t="str">
        <f>IF($D554&lt;&gt;1,"",IF($G554="ROKS",SUMIFS(TblApplications[Besoin ROKS CPU (vCPU)],TblApplications[Cluster ROKS cible],$F554,TblApplications[Action],"À migrer",TblApplications[Déjà incluse ROKS],"Non",TblApplications[Mois prov (calc)],"&lt;="&amp;$E554),SUMIFS(TblApplications[CPU IKS libérable (vCPU)],TblApplications[Cluster IKS source],$F554,TblApplications[Mois lib (calc)],"&lt;="&amp;$E554)))</f>
        <v/>
      </c>
      <c r="Q554" s="19" t="str">
        <f>IF($D554&lt;&gt;1,"",IF($G554="ROKS",SUMIFS(TblApplications[Besoin ROKS RAM (Go)],TblApplications[Cluster ROKS cible],$F554,TblApplications[Action],"À migrer",TblApplications[Déjà incluse ROKS],"Non",TblApplications[Mois prov (calc)],"&lt;="&amp;$E554),SUMIFS(TblApplications[RAM IKS libérable (Go)],TblApplications[Cluster IKS source],$F554,TblApplications[Mois lib (calc)],"&lt;="&amp;$E554)))</f>
        <v/>
      </c>
      <c r="R554" s="19" t="str">
        <f t="shared" si="139"/>
        <v/>
      </c>
      <c r="S554" s="19" t="str">
        <f t="shared" si="140"/>
        <v/>
      </c>
      <c r="T554" s="19" t="str">
        <f t="shared" si="141"/>
        <v/>
      </c>
      <c r="U554" s="19" t="str">
        <f t="shared" si="142"/>
        <v/>
      </c>
      <c r="V554" s="19" t="str">
        <f t="shared" si="143"/>
        <v/>
      </c>
      <c r="W554" s="73" t="str">
        <f t="shared" si="144"/>
        <v/>
      </c>
      <c r="X554" s="19" t="str">
        <f>IF($D554&lt;&gt;1,"",IF($G554="ROKS",$R554,IF($AI554=1,0,MAX($N554,$L554-SUMIFS(TblApplications[CPU IKS libérable (vCPU)],TblApplications[Cluster IKS source],$F554,TblApplications[Action],"À migrer",TblApplications[Mois prov (calc)],"&lt;="&amp;$E554)-SUMIFS(TblApplications[CPU IKS libérable (vCPU)],TblApplications[Cluster IKS source],$F554,TblApplications[Action],"À décommissionner",TblApplications[Mois lib (calc)],"&lt;="&amp;$E554)))))</f>
        <v/>
      </c>
      <c r="Y554" s="19" t="str">
        <f>IF($D554&lt;&gt;1,"",IF($G554="ROKS",$S554,IF($AI554=1,0,MAX($O554,$M554-SUMIFS(TblApplications[RAM IKS libérable (Go)],TblApplications[Cluster IKS source],$F554,TblApplications[Action],"À migrer",TblApplications[Mois prov (calc)],"&lt;="&amp;$E554)-SUMIFS(TblApplications[RAM IKS libérable (Go)],TblApplications[Cluster IKS source],$F554,TblApplications[Action],"À décommissionner",TblApplications[Mois lib (calc)],"&lt;="&amp;$E554)))))</f>
        <v/>
      </c>
      <c r="Z554" s="19" t="str">
        <f t="shared" si="145"/>
        <v/>
      </c>
      <c r="AA554" s="73" t="str">
        <f t="shared" si="146"/>
        <v/>
      </c>
      <c r="AB554" s="19" t="str">
        <f t="shared" si="147"/>
        <v/>
      </c>
      <c r="AC554" s="73" t="str">
        <f t="shared" si="148"/>
        <v/>
      </c>
      <c r="AD554" s="19" t="str">
        <f t="shared" si="149"/>
        <v/>
      </c>
      <c r="AE554" s="19" t="str">
        <f t="shared" si="150"/>
        <v/>
      </c>
      <c r="AF554" s="19" t="str">
        <f>IF($D554&lt;&gt;1,"",IF(INDEX(TblClusters[Environnement],$B554)="","(vide)",INDEX(TblClusters[Environnement],$B554)))</f>
        <v/>
      </c>
      <c r="AG554" s="19" t="str">
        <f t="shared" si="151"/>
        <v/>
      </c>
      <c r="AH554" s="19" t="str">
        <f t="shared" si="152"/>
        <v/>
      </c>
      <c r="AI554" s="19" t="str">
        <f>IF($D554&lt;&gt;1,"",IF(AND($G554="IKS",ISNUMBER(INDEX(TblClusters[Fermeture retenue],$B554))),IF($E554&gt;=INDEX(TblClusters[Fermeture retenue],$B554),1,0),0))</f>
        <v/>
      </c>
    </row>
    <row r="555" spans="1:35" x14ac:dyDescent="0.2">
      <c r="A555" s="19">
        <v>550</v>
      </c>
      <c r="B555" s="19">
        <f t="shared" si="136"/>
        <v>16</v>
      </c>
      <c r="C555" s="19">
        <f t="shared" si="137"/>
        <v>10</v>
      </c>
      <c r="D555" s="19">
        <f>IF($C555&gt;p_horizon,0,IFERROR(IF(AND(INDEX(TblClusters[Cluster],$B555)&lt;&gt;"",ISNUMBER(INDEX(TblClusters[CPU initial (vCPU)],$B555)),ISNUMBER(INDEX(TblClusters[CPU min (vCPU)],$B555)),OR(INDEX(TblClusters[Plateforme],$B555)="IKS",INDEX(TblClusters[Plateforme],$B555)="ROKS")),1,0),0))</f>
        <v>0</v>
      </c>
      <c r="E555" s="72" t="str">
        <f t="shared" si="138"/>
        <v/>
      </c>
      <c r="F555" s="19" t="str">
        <f>IF($D555=1,INDEX(TblClusters[Cluster],$B555),"")</f>
        <v/>
      </c>
      <c r="G555" s="19" t="str">
        <f>IF($D555=1,INDEX(TblClusters[Plateforme],$B555),"")</f>
        <v/>
      </c>
      <c r="H555" s="19" t="str">
        <f>IF($D555=1,INDEX(TblClusters[vCPU par nœud],$B555),"")</f>
        <v/>
      </c>
      <c r="I555" s="19" t="str">
        <f>IF($D555=1,INDEX(TblClusters[RAM par nœud (Go)],$B555),"")</f>
        <v/>
      </c>
      <c r="J555" s="19" t="str">
        <f>IF($D555=1,INDEX(TblClusters[Workers min],$B555),"")</f>
        <v/>
      </c>
      <c r="K555" s="73" t="str">
        <f>IF($D555=1,INDEX(TblClusters[Tarif par nœud],$B555),"")</f>
        <v/>
      </c>
      <c r="L555" s="19" t="str">
        <f>IF($D555=1,INDEX(TblClusters[CPU initial (vCPU)],$B555),"")</f>
        <v/>
      </c>
      <c r="M555" s="19" t="str">
        <f>IF($D555=1,INDEX(TblClusters[RAM initiale (Go)],$B555),"")</f>
        <v/>
      </c>
      <c r="N555" s="19" t="str">
        <f>IF($D555=1,INDEX(TblClusters[CPU min (vCPU)],$B555),"")</f>
        <v/>
      </c>
      <c r="O555" s="19" t="str">
        <f>IF($D555=1,INDEX(TblClusters[RAM min (Go)],$B555),"")</f>
        <v/>
      </c>
      <c r="P555" s="19" t="str">
        <f>IF($D555&lt;&gt;1,"",IF($G555="ROKS",SUMIFS(TblApplications[Besoin ROKS CPU (vCPU)],TblApplications[Cluster ROKS cible],$F555,TblApplications[Action],"À migrer",TblApplications[Déjà incluse ROKS],"Non",TblApplications[Mois prov (calc)],"&lt;="&amp;$E555),SUMIFS(TblApplications[CPU IKS libérable (vCPU)],TblApplications[Cluster IKS source],$F555,TblApplications[Mois lib (calc)],"&lt;="&amp;$E555)))</f>
        <v/>
      </c>
      <c r="Q555" s="19" t="str">
        <f>IF($D555&lt;&gt;1,"",IF($G555="ROKS",SUMIFS(TblApplications[Besoin ROKS RAM (Go)],TblApplications[Cluster ROKS cible],$F555,TblApplications[Action],"À migrer",TblApplications[Déjà incluse ROKS],"Non",TblApplications[Mois prov (calc)],"&lt;="&amp;$E555),SUMIFS(TblApplications[RAM IKS libérable (Go)],TblApplications[Cluster IKS source],$F555,TblApplications[Mois lib (calc)],"&lt;="&amp;$E555)))</f>
        <v/>
      </c>
      <c r="R555" s="19" t="str">
        <f t="shared" si="139"/>
        <v/>
      </c>
      <c r="S555" s="19" t="str">
        <f t="shared" si="140"/>
        <v/>
      </c>
      <c r="T555" s="19" t="str">
        <f t="shared" si="141"/>
        <v/>
      </c>
      <c r="U555" s="19" t="str">
        <f t="shared" si="142"/>
        <v/>
      </c>
      <c r="V555" s="19" t="str">
        <f t="shared" si="143"/>
        <v/>
      </c>
      <c r="W555" s="73" t="str">
        <f t="shared" si="144"/>
        <v/>
      </c>
      <c r="X555" s="19" t="str">
        <f>IF($D555&lt;&gt;1,"",IF($G555="ROKS",$R555,IF($AI555=1,0,MAX($N555,$L555-SUMIFS(TblApplications[CPU IKS libérable (vCPU)],TblApplications[Cluster IKS source],$F555,TblApplications[Action],"À migrer",TblApplications[Mois prov (calc)],"&lt;="&amp;$E555)-SUMIFS(TblApplications[CPU IKS libérable (vCPU)],TblApplications[Cluster IKS source],$F555,TblApplications[Action],"À décommissionner",TblApplications[Mois lib (calc)],"&lt;="&amp;$E555)))))</f>
        <v/>
      </c>
      <c r="Y555" s="19" t="str">
        <f>IF($D555&lt;&gt;1,"",IF($G555="ROKS",$S555,IF($AI555=1,0,MAX($O555,$M555-SUMIFS(TblApplications[RAM IKS libérable (Go)],TblApplications[Cluster IKS source],$F555,TblApplications[Action],"À migrer",TblApplications[Mois prov (calc)],"&lt;="&amp;$E555)-SUMIFS(TblApplications[RAM IKS libérable (Go)],TblApplications[Cluster IKS source],$F555,TblApplications[Action],"À décommissionner",TblApplications[Mois lib (calc)],"&lt;="&amp;$E555)))))</f>
        <v/>
      </c>
      <c r="Z555" s="19" t="str">
        <f t="shared" si="145"/>
        <v/>
      </c>
      <c r="AA555" s="73" t="str">
        <f t="shared" si="146"/>
        <v/>
      </c>
      <c r="AB555" s="19" t="str">
        <f t="shared" si="147"/>
        <v/>
      </c>
      <c r="AC555" s="73" t="str">
        <f t="shared" si="148"/>
        <v/>
      </c>
      <c r="AD555" s="19" t="str">
        <f t="shared" si="149"/>
        <v/>
      </c>
      <c r="AE555" s="19" t="str">
        <f t="shared" si="150"/>
        <v/>
      </c>
      <c r="AF555" s="19" t="str">
        <f>IF($D555&lt;&gt;1,"",IF(INDEX(TblClusters[Environnement],$B555)="","(vide)",INDEX(TblClusters[Environnement],$B555)))</f>
        <v/>
      </c>
      <c r="AG555" s="19" t="str">
        <f t="shared" si="151"/>
        <v/>
      </c>
      <c r="AH555" s="19" t="str">
        <f t="shared" si="152"/>
        <v/>
      </c>
      <c r="AI555" s="19" t="str">
        <f>IF($D555&lt;&gt;1,"",IF(AND($G555="IKS",ISNUMBER(INDEX(TblClusters[Fermeture retenue],$B555))),IF($E555&gt;=INDEX(TblClusters[Fermeture retenue],$B555),1,0),0))</f>
        <v/>
      </c>
    </row>
    <row r="556" spans="1:35" x14ac:dyDescent="0.2">
      <c r="A556" s="19">
        <v>551</v>
      </c>
      <c r="B556" s="19">
        <f t="shared" si="136"/>
        <v>16</v>
      </c>
      <c r="C556" s="19">
        <f t="shared" si="137"/>
        <v>11</v>
      </c>
      <c r="D556" s="19">
        <f>IF($C556&gt;p_horizon,0,IFERROR(IF(AND(INDEX(TblClusters[Cluster],$B556)&lt;&gt;"",ISNUMBER(INDEX(TblClusters[CPU initial (vCPU)],$B556)),ISNUMBER(INDEX(TblClusters[CPU min (vCPU)],$B556)),OR(INDEX(TblClusters[Plateforme],$B556)="IKS",INDEX(TblClusters[Plateforme],$B556)="ROKS")),1,0),0))</f>
        <v>0</v>
      </c>
      <c r="E556" s="72" t="str">
        <f t="shared" si="138"/>
        <v/>
      </c>
      <c r="F556" s="19" t="str">
        <f>IF($D556=1,INDEX(TblClusters[Cluster],$B556),"")</f>
        <v/>
      </c>
      <c r="G556" s="19" t="str">
        <f>IF($D556=1,INDEX(TblClusters[Plateforme],$B556),"")</f>
        <v/>
      </c>
      <c r="H556" s="19" t="str">
        <f>IF($D556=1,INDEX(TblClusters[vCPU par nœud],$B556),"")</f>
        <v/>
      </c>
      <c r="I556" s="19" t="str">
        <f>IF($D556=1,INDEX(TblClusters[RAM par nœud (Go)],$B556),"")</f>
        <v/>
      </c>
      <c r="J556" s="19" t="str">
        <f>IF($D556=1,INDEX(TblClusters[Workers min],$B556),"")</f>
        <v/>
      </c>
      <c r="K556" s="73" t="str">
        <f>IF($D556=1,INDEX(TblClusters[Tarif par nœud],$B556),"")</f>
        <v/>
      </c>
      <c r="L556" s="19" t="str">
        <f>IF($D556=1,INDEX(TblClusters[CPU initial (vCPU)],$B556),"")</f>
        <v/>
      </c>
      <c r="M556" s="19" t="str">
        <f>IF($D556=1,INDEX(TblClusters[RAM initiale (Go)],$B556),"")</f>
        <v/>
      </c>
      <c r="N556" s="19" t="str">
        <f>IF($D556=1,INDEX(TblClusters[CPU min (vCPU)],$B556),"")</f>
        <v/>
      </c>
      <c r="O556" s="19" t="str">
        <f>IF($D556=1,INDEX(TblClusters[RAM min (Go)],$B556),"")</f>
        <v/>
      </c>
      <c r="P556" s="19" t="str">
        <f>IF($D556&lt;&gt;1,"",IF($G556="ROKS",SUMIFS(TblApplications[Besoin ROKS CPU (vCPU)],TblApplications[Cluster ROKS cible],$F556,TblApplications[Action],"À migrer",TblApplications[Déjà incluse ROKS],"Non",TblApplications[Mois prov (calc)],"&lt;="&amp;$E556),SUMIFS(TblApplications[CPU IKS libérable (vCPU)],TblApplications[Cluster IKS source],$F556,TblApplications[Mois lib (calc)],"&lt;="&amp;$E556)))</f>
        <v/>
      </c>
      <c r="Q556" s="19" t="str">
        <f>IF($D556&lt;&gt;1,"",IF($G556="ROKS",SUMIFS(TblApplications[Besoin ROKS RAM (Go)],TblApplications[Cluster ROKS cible],$F556,TblApplications[Action],"À migrer",TblApplications[Déjà incluse ROKS],"Non",TblApplications[Mois prov (calc)],"&lt;="&amp;$E556),SUMIFS(TblApplications[RAM IKS libérable (Go)],TblApplications[Cluster IKS source],$F556,TblApplications[Mois lib (calc)],"&lt;="&amp;$E556)))</f>
        <v/>
      </c>
      <c r="R556" s="19" t="str">
        <f t="shared" si="139"/>
        <v/>
      </c>
      <c r="S556" s="19" t="str">
        <f t="shared" si="140"/>
        <v/>
      </c>
      <c r="T556" s="19" t="str">
        <f t="shared" si="141"/>
        <v/>
      </c>
      <c r="U556" s="19" t="str">
        <f t="shared" si="142"/>
        <v/>
      </c>
      <c r="V556" s="19" t="str">
        <f t="shared" si="143"/>
        <v/>
      </c>
      <c r="W556" s="73" t="str">
        <f t="shared" si="144"/>
        <v/>
      </c>
      <c r="X556" s="19" t="str">
        <f>IF($D556&lt;&gt;1,"",IF($G556="ROKS",$R556,IF($AI556=1,0,MAX($N556,$L556-SUMIFS(TblApplications[CPU IKS libérable (vCPU)],TblApplications[Cluster IKS source],$F556,TblApplications[Action],"À migrer",TblApplications[Mois prov (calc)],"&lt;="&amp;$E556)-SUMIFS(TblApplications[CPU IKS libérable (vCPU)],TblApplications[Cluster IKS source],$F556,TblApplications[Action],"À décommissionner",TblApplications[Mois lib (calc)],"&lt;="&amp;$E556)))))</f>
        <v/>
      </c>
      <c r="Y556" s="19" t="str">
        <f>IF($D556&lt;&gt;1,"",IF($G556="ROKS",$S556,IF($AI556=1,0,MAX($O556,$M556-SUMIFS(TblApplications[RAM IKS libérable (Go)],TblApplications[Cluster IKS source],$F556,TblApplications[Action],"À migrer",TblApplications[Mois prov (calc)],"&lt;="&amp;$E556)-SUMIFS(TblApplications[RAM IKS libérable (Go)],TblApplications[Cluster IKS source],$F556,TblApplications[Action],"À décommissionner",TblApplications[Mois lib (calc)],"&lt;="&amp;$E556)))))</f>
        <v/>
      </c>
      <c r="Z556" s="19" t="str">
        <f t="shared" si="145"/>
        <v/>
      </c>
      <c r="AA556" s="73" t="str">
        <f t="shared" si="146"/>
        <v/>
      </c>
      <c r="AB556" s="19" t="str">
        <f t="shared" si="147"/>
        <v/>
      </c>
      <c r="AC556" s="73" t="str">
        <f t="shared" si="148"/>
        <v/>
      </c>
      <c r="AD556" s="19" t="str">
        <f t="shared" si="149"/>
        <v/>
      </c>
      <c r="AE556" s="19" t="str">
        <f t="shared" si="150"/>
        <v/>
      </c>
      <c r="AF556" s="19" t="str">
        <f>IF($D556&lt;&gt;1,"",IF(INDEX(TblClusters[Environnement],$B556)="","(vide)",INDEX(TblClusters[Environnement],$B556)))</f>
        <v/>
      </c>
      <c r="AG556" s="19" t="str">
        <f t="shared" si="151"/>
        <v/>
      </c>
      <c r="AH556" s="19" t="str">
        <f t="shared" si="152"/>
        <v/>
      </c>
      <c r="AI556" s="19" t="str">
        <f>IF($D556&lt;&gt;1,"",IF(AND($G556="IKS",ISNUMBER(INDEX(TblClusters[Fermeture retenue],$B556))),IF($E556&gt;=INDEX(TblClusters[Fermeture retenue],$B556),1,0),0))</f>
        <v/>
      </c>
    </row>
    <row r="557" spans="1:35" x14ac:dyDescent="0.2">
      <c r="A557" s="19">
        <v>552</v>
      </c>
      <c r="B557" s="19">
        <f t="shared" si="136"/>
        <v>16</v>
      </c>
      <c r="C557" s="19">
        <f t="shared" si="137"/>
        <v>12</v>
      </c>
      <c r="D557" s="19">
        <f>IF($C557&gt;p_horizon,0,IFERROR(IF(AND(INDEX(TblClusters[Cluster],$B557)&lt;&gt;"",ISNUMBER(INDEX(TblClusters[CPU initial (vCPU)],$B557)),ISNUMBER(INDEX(TblClusters[CPU min (vCPU)],$B557)),OR(INDEX(TblClusters[Plateforme],$B557)="IKS",INDEX(TblClusters[Plateforme],$B557)="ROKS")),1,0),0))</f>
        <v>0</v>
      </c>
      <c r="E557" s="72" t="str">
        <f t="shared" si="138"/>
        <v/>
      </c>
      <c r="F557" s="19" t="str">
        <f>IF($D557=1,INDEX(TblClusters[Cluster],$B557),"")</f>
        <v/>
      </c>
      <c r="G557" s="19" t="str">
        <f>IF($D557=1,INDEX(TblClusters[Plateforme],$B557),"")</f>
        <v/>
      </c>
      <c r="H557" s="19" t="str">
        <f>IF($D557=1,INDEX(TblClusters[vCPU par nœud],$B557),"")</f>
        <v/>
      </c>
      <c r="I557" s="19" t="str">
        <f>IF($D557=1,INDEX(TblClusters[RAM par nœud (Go)],$B557),"")</f>
        <v/>
      </c>
      <c r="J557" s="19" t="str">
        <f>IF($D557=1,INDEX(TblClusters[Workers min],$B557),"")</f>
        <v/>
      </c>
      <c r="K557" s="73" t="str">
        <f>IF($D557=1,INDEX(TblClusters[Tarif par nœud],$B557),"")</f>
        <v/>
      </c>
      <c r="L557" s="19" t="str">
        <f>IF($D557=1,INDEX(TblClusters[CPU initial (vCPU)],$B557),"")</f>
        <v/>
      </c>
      <c r="M557" s="19" t="str">
        <f>IF($D557=1,INDEX(TblClusters[RAM initiale (Go)],$B557),"")</f>
        <v/>
      </c>
      <c r="N557" s="19" t="str">
        <f>IF($D557=1,INDEX(TblClusters[CPU min (vCPU)],$B557),"")</f>
        <v/>
      </c>
      <c r="O557" s="19" t="str">
        <f>IF($D557=1,INDEX(TblClusters[RAM min (Go)],$B557),"")</f>
        <v/>
      </c>
      <c r="P557" s="19" t="str">
        <f>IF($D557&lt;&gt;1,"",IF($G557="ROKS",SUMIFS(TblApplications[Besoin ROKS CPU (vCPU)],TblApplications[Cluster ROKS cible],$F557,TblApplications[Action],"À migrer",TblApplications[Déjà incluse ROKS],"Non",TblApplications[Mois prov (calc)],"&lt;="&amp;$E557),SUMIFS(TblApplications[CPU IKS libérable (vCPU)],TblApplications[Cluster IKS source],$F557,TblApplications[Mois lib (calc)],"&lt;="&amp;$E557)))</f>
        <v/>
      </c>
      <c r="Q557" s="19" t="str">
        <f>IF($D557&lt;&gt;1,"",IF($G557="ROKS",SUMIFS(TblApplications[Besoin ROKS RAM (Go)],TblApplications[Cluster ROKS cible],$F557,TblApplications[Action],"À migrer",TblApplications[Déjà incluse ROKS],"Non",TblApplications[Mois prov (calc)],"&lt;="&amp;$E557),SUMIFS(TblApplications[RAM IKS libérable (Go)],TblApplications[Cluster IKS source],$F557,TblApplications[Mois lib (calc)],"&lt;="&amp;$E557)))</f>
        <v/>
      </c>
      <c r="R557" s="19" t="str">
        <f t="shared" si="139"/>
        <v/>
      </c>
      <c r="S557" s="19" t="str">
        <f t="shared" si="140"/>
        <v/>
      </c>
      <c r="T557" s="19" t="str">
        <f t="shared" si="141"/>
        <v/>
      </c>
      <c r="U557" s="19" t="str">
        <f t="shared" si="142"/>
        <v/>
      </c>
      <c r="V557" s="19" t="str">
        <f t="shared" si="143"/>
        <v/>
      </c>
      <c r="W557" s="73" t="str">
        <f t="shared" si="144"/>
        <v/>
      </c>
      <c r="X557" s="19" t="str">
        <f>IF($D557&lt;&gt;1,"",IF($G557="ROKS",$R557,IF($AI557=1,0,MAX($N557,$L557-SUMIFS(TblApplications[CPU IKS libérable (vCPU)],TblApplications[Cluster IKS source],$F557,TblApplications[Action],"À migrer",TblApplications[Mois prov (calc)],"&lt;="&amp;$E557)-SUMIFS(TblApplications[CPU IKS libérable (vCPU)],TblApplications[Cluster IKS source],$F557,TblApplications[Action],"À décommissionner",TblApplications[Mois lib (calc)],"&lt;="&amp;$E557)))))</f>
        <v/>
      </c>
      <c r="Y557" s="19" t="str">
        <f>IF($D557&lt;&gt;1,"",IF($G557="ROKS",$S557,IF($AI557=1,0,MAX($O557,$M557-SUMIFS(TblApplications[RAM IKS libérable (Go)],TblApplications[Cluster IKS source],$F557,TblApplications[Action],"À migrer",TblApplications[Mois prov (calc)],"&lt;="&amp;$E557)-SUMIFS(TblApplications[RAM IKS libérable (Go)],TblApplications[Cluster IKS source],$F557,TblApplications[Action],"À décommissionner",TblApplications[Mois lib (calc)],"&lt;="&amp;$E557)))))</f>
        <v/>
      </c>
      <c r="Z557" s="19" t="str">
        <f t="shared" si="145"/>
        <v/>
      </c>
      <c r="AA557" s="73" t="str">
        <f t="shared" si="146"/>
        <v/>
      </c>
      <c r="AB557" s="19" t="str">
        <f t="shared" si="147"/>
        <v/>
      </c>
      <c r="AC557" s="73" t="str">
        <f t="shared" si="148"/>
        <v/>
      </c>
      <c r="AD557" s="19" t="str">
        <f t="shared" si="149"/>
        <v/>
      </c>
      <c r="AE557" s="19" t="str">
        <f t="shared" si="150"/>
        <v/>
      </c>
      <c r="AF557" s="19" t="str">
        <f>IF($D557&lt;&gt;1,"",IF(INDEX(TblClusters[Environnement],$B557)="","(vide)",INDEX(TblClusters[Environnement],$B557)))</f>
        <v/>
      </c>
      <c r="AG557" s="19" t="str">
        <f t="shared" si="151"/>
        <v/>
      </c>
      <c r="AH557" s="19" t="str">
        <f t="shared" si="152"/>
        <v/>
      </c>
      <c r="AI557" s="19" t="str">
        <f>IF($D557&lt;&gt;1,"",IF(AND($G557="IKS",ISNUMBER(INDEX(TblClusters[Fermeture retenue],$B557))),IF($E557&gt;=INDEX(TblClusters[Fermeture retenue],$B557),1,0),0))</f>
        <v/>
      </c>
    </row>
    <row r="558" spans="1:35" x14ac:dyDescent="0.2">
      <c r="A558" s="19">
        <v>553</v>
      </c>
      <c r="B558" s="19">
        <f t="shared" si="136"/>
        <v>16</v>
      </c>
      <c r="C558" s="19">
        <f t="shared" si="137"/>
        <v>13</v>
      </c>
      <c r="D558" s="19">
        <f>IF($C558&gt;p_horizon,0,IFERROR(IF(AND(INDEX(TblClusters[Cluster],$B558)&lt;&gt;"",ISNUMBER(INDEX(TblClusters[CPU initial (vCPU)],$B558)),ISNUMBER(INDEX(TblClusters[CPU min (vCPU)],$B558)),OR(INDEX(TblClusters[Plateforme],$B558)="IKS",INDEX(TblClusters[Plateforme],$B558)="ROKS")),1,0),0))</f>
        <v>0</v>
      </c>
      <c r="E558" s="72" t="str">
        <f t="shared" si="138"/>
        <v/>
      </c>
      <c r="F558" s="19" t="str">
        <f>IF($D558=1,INDEX(TblClusters[Cluster],$B558),"")</f>
        <v/>
      </c>
      <c r="G558" s="19" t="str">
        <f>IF($D558=1,INDEX(TblClusters[Plateforme],$B558),"")</f>
        <v/>
      </c>
      <c r="H558" s="19" t="str">
        <f>IF($D558=1,INDEX(TblClusters[vCPU par nœud],$B558),"")</f>
        <v/>
      </c>
      <c r="I558" s="19" t="str">
        <f>IF($D558=1,INDEX(TblClusters[RAM par nœud (Go)],$B558),"")</f>
        <v/>
      </c>
      <c r="J558" s="19" t="str">
        <f>IF($D558=1,INDEX(TblClusters[Workers min],$B558),"")</f>
        <v/>
      </c>
      <c r="K558" s="73" t="str">
        <f>IF($D558=1,INDEX(TblClusters[Tarif par nœud],$B558),"")</f>
        <v/>
      </c>
      <c r="L558" s="19" t="str">
        <f>IF($D558=1,INDEX(TblClusters[CPU initial (vCPU)],$B558),"")</f>
        <v/>
      </c>
      <c r="M558" s="19" t="str">
        <f>IF($D558=1,INDEX(TblClusters[RAM initiale (Go)],$B558),"")</f>
        <v/>
      </c>
      <c r="N558" s="19" t="str">
        <f>IF($D558=1,INDEX(TblClusters[CPU min (vCPU)],$B558),"")</f>
        <v/>
      </c>
      <c r="O558" s="19" t="str">
        <f>IF($D558=1,INDEX(TblClusters[RAM min (Go)],$B558),"")</f>
        <v/>
      </c>
      <c r="P558" s="19" t="str">
        <f>IF($D558&lt;&gt;1,"",IF($G558="ROKS",SUMIFS(TblApplications[Besoin ROKS CPU (vCPU)],TblApplications[Cluster ROKS cible],$F558,TblApplications[Action],"À migrer",TblApplications[Déjà incluse ROKS],"Non",TblApplications[Mois prov (calc)],"&lt;="&amp;$E558),SUMIFS(TblApplications[CPU IKS libérable (vCPU)],TblApplications[Cluster IKS source],$F558,TblApplications[Mois lib (calc)],"&lt;="&amp;$E558)))</f>
        <v/>
      </c>
      <c r="Q558" s="19" t="str">
        <f>IF($D558&lt;&gt;1,"",IF($G558="ROKS",SUMIFS(TblApplications[Besoin ROKS RAM (Go)],TblApplications[Cluster ROKS cible],$F558,TblApplications[Action],"À migrer",TblApplications[Déjà incluse ROKS],"Non",TblApplications[Mois prov (calc)],"&lt;="&amp;$E558),SUMIFS(TblApplications[RAM IKS libérable (Go)],TblApplications[Cluster IKS source],$F558,TblApplications[Mois lib (calc)],"&lt;="&amp;$E558)))</f>
        <v/>
      </c>
      <c r="R558" s="19" t="str">
        <f t="shared" si="139"/>
        <v/>
      </c>
      <c r="S558" s="19" t="str">
        <f t="shared" si="140"/>
        <v/>
      </c>
      <c r="T558" s="19" t="str">
        <f t="shared" si="141"/>
        <v/>
      </c>
      <c r="U558" s="19" t="str">
        <f t="shared" si="142"/>
        <v/>
      </c>
      <c r="V558" s="19" t="str">
        <f t="shared" si="143"/>
        <v/>
      </c>
      <c r="W558" s="73" t="str">
        <f t="shared" si="144"/>
        <v/>
      </c>
      <c r="X558" s="19" t="str">
        <f>IF($D558&lt;&gt;1,"",IF($G558="ROKS",$R558,IF($AI558=1,0,MAX($N558,$L558-SUMIFS(TblApplications[CPU IKS libérable (vCPU)],TblApplications[Cluster IKS source],$F558,TblApplications[Action],"À migrer",TblApplications[Mois prov (calc)],"&lt;="&amp;$E558)-SUMIFS(TblApplications[CPU IKS libérable (vCPU)],TblApplications[Cluster IKS source],$F558,TblApplications[Action],"À décommissionner",TblApplications[Mois lib (calc)],"&lt;="&amp;$E558)))))</f>
        <v/>
      </c>
      <c r="Y558" s="19" t="str">
        <f>IF($D558&lt;&gt;1,"",IF($G558="ROKS",$S558,IF($AI558=1,0,MAX($O558,$M558-SUMIFS(TblApplications[RAM IKS libérable (Go)],TblApplications[Cluster IKS source],$F558,TblApplications[Action],"À migrer",TblApplications[Mois prov (calc)],"&lt;="&amp;$E558)-SUMIFS(TblApplications[RAM IKS libérable (Go)],TblApplications[Cluster IKS source],$F558,TblApplications[Action],"À décommissionner",TblApplications[Mois lib (calc)],"&lt;="&amp;$E558)))))</f>
        <v/>
      </c>
      <c r="Z558" s="19" t="str">
        <f t="shared" si="145"/>
        <v/>
      </c>
      <c r="AA558" s="73" t="str">
        <f t="shared" si="146"/>
        <v/>
      </c>
      <c r="AB558" s="19" t="str">
        <f t="shared" si="147"/>
        <v/>
      </c>
      <c r="AC558" s="73" t="str">
        <f t="shared" si="148"/>
        <v/>
      </c>
      <c r="AD558" s="19" t="str">
        <f t="shared" si="149"/>
        <v/>
      </c>
      <c r="AE558" s="19" t="str">
        <f t="shared" si="150"/>
        <v/>
      </c>
      <c r="AF558" s="19" t="str">
        <f>IF($D558&lt;&gt;1,"",IF(INDEX(TblClusters[Environnement],$B558)="","(vide)",INDEX(TblClusters[Environnement],$B558)))</f>
        <v/>
      </c>
      <c r="AG558" s="19" t="str">
        <f t="shared" si="151"/>
        <v/>
      </c>
      <c r="AH558" s="19" t="str">
        <f t="shared" si="152"/>
        <v/>
      </c>
      <c r="AI558" s="19" t="str">
        <f>IF($D558&lt;&gt;1,"",IF(AND($G558="IKS",ISNUMBER(INDEX(TblClusters[Fermeture retenue],$B558))),IF($E558&gt;=INDEX(TblClusters[Fermeture retenue],$B558),1,0),0))</f>
        <v/>
      </c>
    </row>
    <row r="559" spans="1:35" x14ac:dyDescent="0.2">
      <c r="A559" s="19">
        <v>554</v>
      </c>
      <c r="B559" s="19">
        <f t="shared" si="136"/>
        <v>16</v>
      </c>
      <c r="C559" s="19">
        <f t="shared" si="137"/>
        <v>14</v>
      </c>
      <c r="D559" s="19">
        <f>IF($C559&gt;p_horizon,0,IFERROR(IF(AND(INDEX(TblClusters[Cluster],$B559)&lt;&gt;"",ISNUMBER(INDEX(TblClusters[CPU initial (vCPU)],$B559)),ISNUMBER(INDEX(TblClusters[CPU min (vCPU)],$B559)),OR(INDEX(TblClusters[Plateforme],$B559)="IKS",INDEX(TblClusters[Plateforme],$B559)="ROKS")),1,0),0))</f>
        <v>0</v>
      </c>
      <c r="E559" s="72" t="str">
        <f t="shared" si="138"/>
        <v/>
      </c>
      <c r="F559" s="19" t="str">
        <f>IF($D559=1,INDEX(TblClusters[Cluster],$B559),"")</f>
        <v/>
      </c>
      <c r="G559" s="19" t="str">
        <f>IF($D559=1,INDEX(TblClusters[Plateforme],$B559),"")</f>
        <v/>
      </c>
      <c r="H559" s="19" t="str">
        <f>IF($D559=1,INDEX(TblClusters[vCPU par nœud],$B559),"")</f>
        <v/>
      </c>
      <c r="I559" s="19" t="str">
        <f>IF($D559=1,INDEX(TblClusters[RAM par nœud (Go)],$B559),"")</f>
        <v/>
      </c>
      <c r="J559" s="19" t="str">
        <f>IF($D559=1,INDEX(TblClusters[Workers min],$B559),"")</f>
        <v/>
      </c>
      <c r="K559" s="73" t="str">
        <f>IF($D559=1,INDEX(TblClusters[Tarif par nœud],$B559),"")</f>
        <v/>
      </c>
      <c r="L559" s="19" t="str">
        <f>IF($D559=1,INDEX(TblClusters[CPU initial (vCPU)],$B559),"")</f>
        <v/>
      </c>
      <c r="M559" s="19" t="str">
        <f>IF($D559=1,INDEX(TblClusters[RAM initiale (Go)],$B559),"")</f>
        <v/>
      </c>
      <c r="N559" s="19" t="str">
        <f>IF($D559=1,INDEX(TblClusters[CPU min (vCPU)],$B559),"")</f>
        <v/>
      </c>
      <c r="O559" s="19" t="str">
        <f>IF($D559=1,INDEX(TblClusters[RAM min (Go)],$B559),"")</f>
        <v/>
      </c>
      <c r="P559" s="19" t="str">
        <f>IF($D559&lt;&gt;1,"",IF($G559="ROKS",SUMIFS(TblApplications[Besoin ROKS CPU (vCPU)],TblApplications[Cluster ROKS cible],$F559,TblApplications[Action],"À migrer",TblApplications[Déjà incluse ROKS],"Non",TblApplications[Mois prov (calc)],"&lt;="&amp;$E559),SUMIFS(TblApplications[CPU IKS libérable (vCPU)],TblApplications[Cluster IKS source],$F559,TblApplications[Mois lib (calc)],"&lt;="&amp;$E559)))</f>
        <v/>
      </c>
      <c r="Q559" s="19" t="str">
        <f>IF($D559&lt;&gt;1,"",IF($G559="ROKS",SUMIFS(TblApplications[Besoin ROKS RAM (Go)],TblApplications[Cluster ROKS cible],$F559,TblApplications[Action],"À migrer",TblApplications[Déjà incluse ROKS],"Non",TblApplications[Mois prov (calc)],"&lt;="&amp;$E559),SUMIFS(TblApplications[RAM IKS libérable (Go)],TblApplications[Cluster IKS source],$F559,TblApplications[Mois lib (calc)],"&lt;="&amp;$E559)))</f>
        <v/>
      </c>
      <c r="R559" s="19" t="str">
        <f t="shared" si="139"/>
        <v/>
      </c>
      <c r="S559" s="19" t="str">
        <f t="shared" si="140"/>
        <v/>
      </c>
      <c r="T559" s="19" t="str">
        <f t="shared" si="141"/>
        <v/>
      </c>
      <c r="U559" s="19" t="str">
        <f t="shared" si="142"/>
        <v/>
      </c>
      <c r="V559" s="19" t="str">
        <f t="shared" si="143"/>
        <v/>
      </c>
      <c r="W559" s="73" t="str">
        <f t="shared" si="144"/>
        <v/>
      </c>
      <c r="X559" s="19" t="str">
        <f>IF($D559&lt;&gt;1,"",IF($G559="ROKS",$R559,IF($AI559=1,0,MAX($N559,$L559-SUMIFS(TblApplications[CPU IKS libérable (vCPU)],TblApplications[Cluster IKS source],$F559,TblApplications[Action],"À migrer",TblApplications[Mois prov (calc)],"&lt;="&amp;$E559)-SUMIFS(TblApplications[CPU IKS libérable (vCPU)],TblApplications[Cluster IKS source],$F559,TblApplications[Action],"À décommissionner",TblApplications[Mois lib (calc)],"&lt;="&amp;$E559)))))</f>
        <v/>
      </c>
      <c r="Y559" s="19" t="str">
        <f>IF($D559&lt;&gt;1,"",IF($G559="ROKS",$S559,IF($AI559=1,0,MAX($O559,$M559-SUMIFS(TblApplications[RAM IKS libérable (Go)],TblApplications[Cluster IKS source],$F559,TblApplications[Action],"À migrer",TblApplications[Mois prov (calc)],"&lt;="&amp;$E559)-SUMIFS(TblApplications[RAM IKS libérable (Go)],TblApplications[Cluster IKS source],$F559,TblApplications[Action],"À décommissionner",TblApplications[Mois lib (calc)],"&lt;="&amp;$E559)))))</f>
        <v/>
      </c>
      <c r="Z559" s="19" t="str">
        <f t="shared" si="145"/>
        <v/>
      </c>
      <c r="AA559" s="73" t="str">
        <f t="shared" si="146"/>
        <v/>
      </c>
      <c r="AB559" s="19" t="str">
        <f t="shared" si="147"/>
        <v/>
      </c>
      <c r="AC559" s="73" t="str">
        <f t="shared" si="148"/>
        <v/>
      </c>
      <c r="AD559" s="19" t="str">
        <f t="shared" si="149"/>
        <v/>
      </c>
      <c r="AE559" s="19" t="str">
        <f t="shared" si="150"/>
        <v/>
      </c>
      <c r="AF559" s="19" t="str">
        <f>IF($D559&lt;&gt;1,"",IF(INDEX(TblClusters[Environnement],$B559)="","(vide)",INDEX(TblClusters[Environnement],$B559)))</f>
        <v/>
      </c>
      <c r="AG559" s="19" t="str">
        <f t="shared" si="151"/>
        <v/>
      </c>
      <c r="AH559" s="19" t="str">
        <f t="shared" si="152"/>
        <v/>
      </c>
      <c r="AI559" s="19" t="str">
        <f>IF($D559&lt;&gt;1,"",IF(AND($G559="IKS",ISNUMBER(INDEX(TblClusters[Fermeture retenue],$B559))),IF($E559&gt;=INDEX(TblClusters[Fermeture retenue],$B559),1,0),0))</f>
        <v/>
      </c>
    </row>
    <row r="560" spans="1:35" x14ac:dyDescent="0.2">
      <c r="A560" s="19">
        <v>555</v>
      </c>
      <c r="B560" s="19">
        <f t="shared" si="136"/>
        <v>16</v>
      </c>
      <c r="C560" s="19">
        <f t="shared" si="137"/>
        <v>15</v>
      </c>
      <c r="D560" s="19">
        <f>IF($C560&gt;p_horizon,0,IFERROR(IF(AND(INDEX(TblClusters[Cluster],$B560)&lt;&gt;"",ISNUMBER(INDEX(TblClusters[CPU initial (vCPU)],$B560)),ISNUMBER(INDEX(TblClusters[CPU min (vCPU)],$B560)),OR(INDEX(TblClusters[Plateforme],$B560)="IKS",INDEX(TblClusters[Plateforme],$B560)="ROKS")),1,0),0))</f>
        <v>0</v>
      </c>
      <c r="E560" s="72" t="str">
        <f t="shared" si="138"/>
        <v/>
      </c>
      <c r="F560" s="19" t="str">
        <f>IF($D560=1,INDEX(TblClusters[Cluster],$B560),"")</f>
        <v/>
      </c>
      <c r="G560" s="19" t="str">
        <f>IF($D560=1,INDEX(TblClusters[Plateforme],$B560),"")</f>
        <v/>
      </c>
      <c r="H560" s="19" t="str">
        <f>IF($D560=1,INDEX(TblClusters[vCPU par nœud],$B560),"")</f>
        <v/>
      </c>
      <c r="I560" s="19" t="str">
        <f>IF($D560=1,INDEX(TblClusters[RAM par nœud (Go)],$B560),"")</f>
        <v/>
      </c>
      <c r="J560" s="19" t="str">
        <f>IF($D560=1,INDEX(TblClusters[Workers min],$B560),"")</f>
        <v/>
      </c>
      <c r="K560" s="73" t="str">
        <f>IF($D560=1,INDEX(TblClusters[Tarif par nœud],$B560),"")</f>
        <v/>
      </c>
      <c r="L560" s="19" t="str">
        <f>IF($D560=1,INDEX(TblClusters[CPU initial (vCPU)],$B560),"")</f>
        <v/>
      </c>
      <c r="M560" s="19" t="str">
        <f>IF($D560=1,INDEX(TblClusters[RAM initiale (Go)],$B560),"")</f>
        <v/>
      </c>
      <c r="N560" s="19" t="str">
        <f>IF($D560=1,INDEX(TblClusters[CPU min (vCPU)],$B560),"")</f>
        <v/>
      </c>
      <c r="O560" s="19" t="str">
        <f>IF($D560=1,INDEX(TblClusters[RAM min (Go)],$B560),"")</f>
        <v/>
      </c>
      <c r="P560" s="19" t="str">
        <f>IF($D560&lt;&gt;1,"",IF($G560="ROKS",SUMIFS(TblApplications[Besoin ROKS CPU (vCPU)],TblApplications[Cluster ROKS cible],$F560,TblApplications[Action],"À migrer",TblApplications[Déjà incluse ROKS],"Non",TblApplications[Mois prov (calc)],"&lt;="&amp;$E560),SUMIFS(TblApplications[CPU IKS libérable (vCPU)],TblApplications[Cluster IKS source],$F560,TblApplications[Mois lib (calc)],"&lt;="&amp;$E560)))</f>
        <v/>
      </c>
      <c r="Q560" s="19" t="str">
        <f>IF($D560&lt;&gt;1,"",IF($G560="ROKS",SUMIFS(TblApplications[Besoin ROKS RAM (Go)],TblApplications[Cluster ROKS cible],$F560,TblApplications[Action],"À migrer",TblApplications[Déjà incluse ROKS],"Non",TblApplications[Mois prov (calc)],"&lt;="&amp;$E560),SUMIFS(TblApplications[RAM IKS libérable (Go)],TblApplications[Cluster IKS source],$F560,TblApplications[Mois lib (calc)],"&lt;="&amp;$E560)))</f>
        <v/>
      </c>
      <c r="R560" s="19" t="str">
        <f t="shared" si="139"/>
        <v/>
      </c>
      <c r="S560" s="19" t="str">
        <f t="shared" si="140"/>
        <v/>
      </c>
      <c r="T560" s="19" t="str">
        <f t="shared" si="141"/>
        <v/>
      </c>
      <c r="U560" s="19" t="str">
        <f t="shared" si="142"/>
        <v/>
      </c>
      <c r="V560" s="19" t="str">
        <f t="shared" si="143"/>
        <v/>
      </c>
      <c r="W560" s="73" t="str">
        <f t="shared" si="144"/>
        <v/>
      </c>
      <c r="X560" s="19" t="str">
        <f>IF($D560&lt;&gt;1,"",IF($G560="ROKS",$R560,IF($AI560=1,0,MAX($N560,$L560-SUMIFS(TblApplications[CPU IKS libérable (vCPU)],TblApplications[Cluster IKS source],$F560,TblApplications[Action],"À migrer",TblApplications[Mois prov (calc)],"&lt;="&amp;$E560)-SUMIFS(TblApplications[CPU IKS libérable (vCPU)],TblApplications[Cluster IKS source],$F560,TblApplications[Action],"À décommissionner",TblApplications[Mois lib (calc)],"&lt;="&amp;$E560)))))</f>
        <v/>
      </c>
      <c r="Y560" s="19" t="str">
        <f>IF($D560&lt;&gt;1,"",IF($G560="ROKS",$S560,IF($AI560=1,0,MAX($O560,$M560-SUMIFS(TblApplications[RAM IKS libérable (Go)],TblApplications[Cluster IKS source],$F560,TblApplications[Action],"À migrer",TblApplications[Mois prov (calc)],"&lt;="&amp;$E560)-SUMIFS(TblApplications[RAM IKS libérable (Go)],TblApplications[Cluster IKS source],$F560,TblApplications[Action],"À décommissionner",TblApplications[Mois lib (calc)],"&lt;="&amp;$E560)))))</f>
        <v/>
      </c>
      <c r="Z560" s="19" t="str">
        <f t="shared" si="145"/>
        <v/>
      </c>
      <c r="AA560" s="73" t="str">
        <f t="shared" si="146"/>
        <v/>
      </c>
      <c r="AB560" s="19" t="str">
        <f t="shared" si="147"/>
        <v/>
      </c>
      <c r="AC560" s="73" t="str">
        <f t="shared" si="148"/>
        <v/>
      </c>
      <c r="AD560" s="19" t="str">
        <f t="shared" si="149"/>
        <v/>
      </c>
      <c r="AE560" s="19" t="str">
        <f t="shared" si="150"/>
        <v/>
      </c>
      <c r="AF560" s="19" t="str">
        <f>IF($D560&lt;&gt;1,"",IF(INDEX(TblClusters[Environnement],$B560)="","(vide)",INDEX(TblClusters[Environnement],$B560)))</f>
        <v/>
      </c>
      <c r="AG560" s="19" t="str">
        <f t="shared" si="151"/>
        <v/>
      </c>
      <c r="AH560" s="19" t="str">
        <f t="shared" si="152"/>
        <v/>
      </c>
      <c r="AI560" s="19" t="str">
        <f>IF($D560&lt;&gt;1,"",IF(AND($G560="IKS",ISNUMBER(INDEX(TblClusters[Fermeture retenue],$B560))),IF($E560&gt;=INDEX(TblClusters[Fermeture retenue],$B560),1,0),0))</f>
        <v/>
      </c>
    </row>
    <row r="561" spans="1:35" x14ac:dyDescent="0.2">
      <c r="A561" s="19">
        <v>556</v>
      </c>
      <c r="B561" s="19">
        <f t="shared" si="136"/>
        <v>16</v>
      </c>
      <c r="C561" s="19">
        <f t="shared" si="137"/>
        <v>16</v>
      </c>
      <c r="D561" s="19">
        <f>IF($C561&gt;p_horizon,0,IFERROR(IF(AND(INDEX(TblClusters[Cluster],$B561)&lt;&gt;"",ISNUMBER(INDEX(TblClusters[CPU initial (vCPU)],$B561)),ISNUMBER(INDEX(TblClusters[CPU min (vCPU)],$B561)),OR(INDEX(TblClusters[Plateforme],$B561)="IKS",INDEX(TblClusters[Plateforme],$B561)="ROKS")),1,0),0))</f>
        <v>0</v>
      </c>
      <c r="E561" s="72" t="str">
        <f t="shared" si="138"/>
        <v/>
      </c>
      <c r="F561" s="19" t="str">
        <f>IF($D561=1,INDEX(TblClusters[Cluster],$B561),"")</f>
        <v/>
      </c>
      <c r="G561" s="19" t="str">
        <f>IF($D561=1,INDEX(TblClusters[Plateforme],$B561),"")</f>
        <v/>
      </c>
      <c r="H561" s="19" t="str">
        <f>IF($D561=1,INDEX(TblClusters[vCPU par nœud],$B561),"")</f>
        <v/>
      </c>
      <c r="I561" s="19" t="str">
        <f>IF($D561=1,INDEX(TblClusters[RAM par nœud (Go)],$B561),"")</f>
        <v/>
      </c>
      <c r="J561" s="19" t="str">
        <f>IF($D561=1,INDEX(TblClusters[Workers min],$B561),"")</f>
        <v/>
      </c>
      <c r="K561" s="73" t="str">
        <f>IF($D561=1,INDEX(TblClusters[Tarif par nœud],$B561),"")</f>
        <v/>
      </c>
      <c r="L561" s="19" t="str">
        <f>IF($D561=1,INDEX(TblClusters[CPU initial (vCPU)],$B561),"")</f>
        <v/>
      </c>
      <c r="M561" s="19" t="str">
        <f>IF($D561=1,INDEX(TblClusters[RAM initiale (Go)],$B561),"")</f>
        <v/>
      </c>
      <c r="N561" s="19" t="str">
        <f>IF($D561=1,INDEX(TblClusters[CPU min (vCPU)],$B561),"")</f>
        <v/>
      </c>
      <c r="O561" s="19" t="str">
        <f>IF($D561=1,INDEX(TblClusters[RAM min (Go)],$B561),"")</f>
        <v/>
      </c>
      <c r="P561" s="19" t="str">
        <f>IF($D561&lt;&gt;1,"",IF($G561="ROKS",SUMIFS(TblApplications[Besoin ROKS CPU (vCPU)],TblApplications[Cluster ROKS cible],$F561,TblApplications[Action],"À migrer",TblApplications[Déjà incluse ROKS],"Non",TblApplications[Mois prov (calc)],"&lt;="&amp;$E561),SUMIFS(TblApplications[CPU IKS libérable (vCPU)],TblApplications[Cluster IKS source],$F561,TblApplications[Mois lib (calc)],"&lt;="&amp;$E561)))</f>
        <v/>
      </c>
      <c r="Q561" s="19" t="str">
        <f>IF($D561&lt;&gt;1,"",IF($G561="ROKS",SUMIFS(TblApplications[Besoin ROKS RAM (Go)],TblApplications[Cluster ROKS cible],$F561,TblApplications[Action],"À migrer",TblApplications[Déjà incluse ROKS],"Non",TblApplications[Mois prov (calc)],"&lt;="&amp;$E561),SUMIFS(TblApplications[RAM IKS libérable (Go)],TblApplications[Cluster IKS source],$F561,TblApplications[Mois lib (calc)],"&lt;="&amp;$E561)))</f>
        <v/>
      </c>
      <c r="R561" s="19" t="str">
        <f t="shared" si="139"/>
        <v/>
      </c>
      <c r="S561" s="19" t="str">
        <f t="shared" si="140"/>
        <v/>
      </c>
      <c r="T561" s="19" t="str">
        <f t="shared" si="141"/>
        <v/>
      </c>
      <c r="U561" s="19" t="str">
        <f t="shared" si="142"/>
        <v/>
      </c>
      <c r="V561" s="19" t="str">
        <f t="shared" si="143"/>
        <v/>
      </c>
      <c r="W561" s="73" t="str">
        <f t="shared" si="144"/>
        <v/>
      </c>
      <c r="X561" s="19" t="str">
        <f>IF($D561&lt;&gt;1,"",IF($G561="ROKS",$R561,IF($AI561=1,0,MAX($N561,$L561-SUMIFS(TblApplications[CPU IKS libérable (vCPU)],TblApplications[Cluster IKS source],$F561,TblApplications[Action],"À migrer",TblApplications[Mois prov (calc)],"&lt;="&amp;$E561)-SUMIFS(TblApplications[CPU IKS libérable (vCPU)],TblApplications[Cluster IKS source],$F561,TblApplications[Action],"À décommissionner",TblApplications[Mois lib (calc)],"&lt;="&amp;$E561)))))</f>
        <v/>
      </c>
      <c r="Y561" s="19" t="str">
        <f>IF($D561&lt;&gt;1,"",IF($G561="ROKS",$S561,IF($AI561=1,0,MAX($O561,$M561-SUMIFS(TblApplications[RAM IKS libérable (Go)],TblApplications[Cluster IKS source],$F561,TblApplications[Action],"À migrer",TblApplications[Mois prov (calc)],"&lt;="&amp;$E561)-SUMIFS(TblApplications[RAM IKS libérable (Go)],TblApplications[Cluster IKS source],$F561,TblApplications[Action],"À décommissionner",TblApplications[Mois lib (calc)],"&lt;="&amp;$E561)))))</f>
        <v/>
      </c>
      <c r="Z561" s="19" t="str">
        <f t="shared" si="145"/>
        <v/>
      </c>
      <c r="AA561" s="73" t="str">
        <f t="shared" si="146"/>
        <v/>
      </c>
      <c r="AB561" s="19" t="str">
        <f t="shared" si="147"/>
        <v/>
      </c>
      <c r="AC561" s="73" t="str">
        <f t="shared" si="148"/>
        <v/>
      </c>
      <c r="AD561" s="19" t="str">
        <f t="shared" si="149"/>
        <v/>
      </c>
      <c r="AE561" s="19" t="str">
        <f t="shared" si="150"/>
        <v/>
      </c>
      <c r="AF561" s="19" t="str">
        <f>IF($D561&lt;&gt;1,"",IF(INDEX(TblClusters[Environnement],$B561)="","(vide)",INDEX(TblClusters[Environnement],$B561)))</f>
        <v/>
      </c>
      <c r="AG561" s="19" t="str">
        <f t="shared" si="151"/>
        <v/>
      </c>
      <c r="AH561" s="19" t="str">
        <f t="shared" si="152"/>
        <v/>
      </c>
      <c r="AI561" s="19" t="str">
        <f>IF($D561&lt;&gt;1,"",IF(AND($G561="IKS",ISNUMBER(INDEX(TblClusters[Fermeture retenue],$B561))),IF($E561&gt;=INDEX(TblClusters[Fermeture retenue],$B561),1,0),0))</f>
        <v/>
      </c>
    </row>
    <row r="562" spans="1:35" x14ac:dyDescent="0.2">
      <c r="A562" s="19">
        <v>557</v>
      </c>
      <c r="B562" s="19">
        <f t="shared" si="136"/>
        <v>16</v>
      </c>
      <c r="C562" s="19">
        <f t="shared" si="137"/>
        <v>17</v>
      </c>
      <c r="D562" s="19">
        <f>IF($C562&gt;p_horizon,0,IFERROR(IF(AND(INDEX(TblClusters[Cluster],$B562)&lt;&gt;"",ISNUMBER(INDEX(TblClusters[CPU initial (vCPU)],$B562)),ISNUMBER(INDEX(TblClusters[CPU min (vCPU)],$B562)),OR(INDEX(TblClusters[Plateforme],$B562)="IKS",INDEX(TblClusters[Plateforme],$B562)="ROKS")),1,0),0))</f>
        <v>0</v>
      </c>
      <c r="E562" s="72" t="str">
        <f t="shared" si="138"/>
        <v/>
      </c>
      <c r="F562" s="19" t="str">
        <f>IF($D562=1,INDEX(TblClusters[Cluster],$B562),"")</f>
        <v/>
      </c>
      <c r="G562" s="19" t="str">
        <f>IF($D562=1,INDEX(TblClusters[Plateforme],$B562),"")</f>
        <v/>
      </c>
      <c r="H562" s="19" t="str">
        <f>IF($D562=1,INDEX(TblClusters[vCPU par nœud],$B562),"")</f>
        <v/>
      </c>
      <c r="I562" s="19" t="str">
        <f>IF($D562=1,INDEX(TblClusters[RAM par nœud (Go)],$B562),"")</f>
        <v/>
      </c>
      <c r="J562" s="19" t="str">
        <f>IF($D562=1,INDEX(TblClusters[Workers min],$B562),"")</f>
        <v/>
      </c>
      <c r="K562" s="73" t="str">
        <f>IF($D562=1,INDEX(TblClusters[Tarif par nœud],$B562),"")</f>
        <v/>
      </c>
      <c r="L562" s="19" t="str">
        <f>IF($D562=1,INDEX(TblClusters[CPU initial (vCPU)],$B562),"")</f>
        <v/>
      </c>
      <c r="M562" s="19" t="str">
        <f>IF($D562=1,INDEX(TblClusters[RAM initiale (Go)],$B562),"")</f>
        <v/>
      </c>
      <c r="N562" s="19" t="str">
        <f>IF($D562=1,INDEX(TblClusters[CPU min (vCPU)],$B562),"")</f>
        <v/>
      </c>
      <c r="O562" s="19" t="str">
        <f>IF($D562=1,INDEX(TblClusters[RAM min (Go)],$B562),"")</f>
        <v/>
      </c>
      <c r="P562" s="19" t="str">
        <f>IF($D562&lt;&gt;1,"",IF($G562="ROKS",SUMIFS(TblApplications[Besoin ROKS CPU (vCPU)],TblApplications[Cluster ROKS cible],$F562,TblApplications[Action],"À migrer",TblApplications[Déjà incluse ROKS],"Non",TblApplications[Mois prov (calc)],"&lt;="&amp;$E562),SUMIFS(TblApplications[CPU IKS libérable (vCPU)],TblApplications[Cluster IKS source],$F562,TblApplications[Mois lib (calc)],"&lt;="&amp;$E562)))</f>
        <v/>
      </c>
      <c r="Q562" s="19" t="str">
        <f>IF($D562&lt;&gt;1,"",IF($G562="ROKS",SUMIFS(TblApplications[Besoin ROKS RAM (Go)],TblApplications[Cluster ROKS cible],$F562,TblApplications[Action],"À migrer",TblApplications[Déjà incluse ROKS],"Non",TblApplications[Mois prov (calc)],"&lt;="&amp;$E562),SUMIFS(TblApplications[RAM IKS libérable (Go)],TblApplications[Cluster IKS source],$F562,TblApplications[Mois lib (calc)],"&lt;="&amp;$E562)))</f>
        <v/>
      </c>
      <c r="R562" s="19" t="str">
        <f t="shared" si="139"/>
        <v/>
      </c>
      <c r="S562" s="19" t="str">
        <f t="shared" si="140"/>
        <v/>
      </c>
      <c r="T562" s="19" t="str">
        <f t="shared" si="141"/>
        <v/>
      </c>
      <c r="U562" s="19" t="str">
        <f t="shared" si="142"/>
        <v/>
      </c>
      <c r="V562" s="19" t="str">
        <f t="shared" si="143"/>
        <v/>
      </c>
      <c r="W562" s="73" t="str">
        <f t="shared" si="144"/>
        <v/>
      </c>
      <c r="X562" s="19" t="str">
        <f>IF($D562&lt;&gt;1,"",IF($G562="ROKS",$R562,IF($AI562=1,0,MAX($N562,$L562-SUMIFS(TblApplications[CPU IKS libérable (vCPU)],TblApplications[Cluster IKS source],$F562,TblApplications[Action],"À migrer",TblApplications[Mois prov (calc)],"&lt;="&amp;$E562)-SUMIFS(TblApplications[CPU IKS libérable (vCPU)],TblApplications[Cluster IKS source],$F562,TblApplications[Action],"À décommissionner",TblApplications[Mois lib (calc)],"&lt;="&amp;$E562)))))</f>
        <v/>
      </c>
      <c r="Y562" s="19" t="str">
        <f>IF($D562&lt;&gt;1,"",IF($G562="ROKS",$S562,IF($AI562=1,0,MAX($O562,$M562-SUMIFS(TblApplications[RAM IKS libérable (Go)],TblApplications[Cluster IKS source],$F562,TblApplications[Action],"À migrer",TblApplications[Mois prov (calc)],"&lt;="&amp;$E562)-SUMIFS(TblApplications[RAM IKS libérable (Go)],TblApplications[Cluster IKS source],$F562,TblApplications[Action],"À décommissionner",TblApplications[Mois lib (calc)],"&lt;="&amp;$E562)))))</f>
        <v/>
      </c>
      <c r="Z562" s="19" t="str">
        <f t="shared" si="145"/>
        <v/>
      </c>
      <c r="AA562" s="73" t="str">
        <f t="shared" si="146"/>
        <v/>
      </c>
      <c r="AB562" s="19" t="str">
        <f t="shared" si="147"/>
        <v/>
      </c>
      <c r="AC562" s="73" t="str">
        <f t="shared" si="148"/>
        <v/>
      </c>
      <c r="AD562" s="19" t="str">
        <f t="shared" si="149"/>
        <v/>
      </c>
      <c r="AE562" s="19" t="str">
        <f t="shared" si="150"/>
        <v/>
      </c>
      <c r="AF562" s="19" t="str">
        <f>IF($D562&lt;&gt;1,"",IF(INDEX(TblClusters[Environnement],$B562)="","(vide)",INDEX(TblClusters[Environnement],$B562)))</f>
        <v/>
      </c>
      <c r="AG562" s="19" t="str">
        <f t="shared" si="151"/>
        <v/>
      </c>
      <c r="AH562" s="19" t="str">
        <f t="shared" si="152"/>
        <v/>
      </c>
      <c r="AI562" s="19" t="str">
        <f>IF($D562&lt;&gt;1,"",IF(AND($G562="IKS",ISNUMBER(INDEX(TblClusters[Fermeture retenue],$B562))),IF($E562&gt;=INDEX(TblClusters[Fermeture retenue],$B562),1,0),0))</f>
        <v/>
      </c>
    </row>
    <row r="563" spans="1:35" x14ac:dyDescent="0.2">
      <c r="A563" s="19">
        <v>558</v>
      </c>
      <c r="B563" s="19">
        <f t="shared" si="136"/>
        <v>16</v>
      </c>
      <c r="C563" s="19">
        <f t="shared" si="137"/>
        <v>18</v>
      </c>
      <c r="D563" s="19">
        <f>IF($C563&gt;p_horizon,0,IFERROR(IF(AND(INDEX(TblClusters[Cluster],$B563)&lt;&gt;"",ISNUMBER(INDEX(TblClusters[CPU initial (vCPU)],$B563)),ISNUMBER(INDEX(TblClusters[CPU min (vCPU)],$B563)),OR(INDEX(TblClusters[Plateforme],$B563)="IKS",INDEX(TblClusters[Plateforme],$B563)="ROKS")),1,0),0))</f>
        <v>0</v>
      </c>
      <c r="E563" s="72" t="str">
        <f t="shared" si="138"/>
        <v/>
      </c>
      <c r="F563" s="19" t="str">
        <f>IF($D563=1,INDEX(TblClusters[Cluster],$B563),"")</f>
        <v/>
      </c>
      <c r="G563" s="19" t="str">
        <f>IF($D563=1,INDEX(TblClusters[Plateforme],$B563),"")</f>
        <v/>
      </c>
      <c r="H563" s="19" t="str">
        <f>IF($D563=1,INDEX(TblClusters[vCPU par nœud],$B563),"")</f>
        <v/>
      </c>
      <c r="I563" s="19" t="str">
        <f>IF($D563=1,INDEX(TblClusters[RAM par nœud (Go)],$B563),"")</f>
        <v/>
      </c>
      <c r="J563" s="19" t="str">
        <f>IF($D563=1,INDEX(TblClusters[Workers min],$B563),"")</f>
        <v/>
      </c>
      <c r="K563" s="73" t="str">
        <f>IF($D563=1,INDEX(TblClusters[Tarif par nœud],$B563),"")</f>
        <v/>
      </c>
      <c r="L563" s="19" t="str">
        <f>IF($D563=1,INDEX(TblClusters[CPU initial (vCPU)],$B563),"")</f>
        <v/>
      </c>
      <c r="M563" s="19" t="str">
        <f>IF($D563=1,INDEX(TblClusters[RAM initiale (Go)],$B563),"")</f>
        <v/>
      </c>
      <c r="N563" s="19" t="str">
        <f>IF($D563=1,INDEX(TblClusters[CPU min (vCPU)],$B563),"")</f>
        <v/>
      </c>
      <c r="O563" s="19" t="str">
        <f>IF($D563=1,INDEX(TblClusters[RAM min (Go)],$B563),"")</f>
        <v/>
      </c>
      <c r="P563" s="19" t="str">
        <f>IF($D563&lt;&gt;1,"",IF($G563="ROKS",SUMIFS(TblApplications[Besoin ROKS CPU (vCPU)],TblApplications[Cluster ROKS cible],$F563,TblApplications[Action],"À migrer",TblApplications[Déjà incluse ROKS],"Non",TblApplications[Mois prov (calc)],"&lt;="&amp;$E563),SUMIFS(TblApplications[CPU IKS libérable (vCPU)],TblApplications[Cluster IKS source],$F563,TblApplications[Mois lib (calc)],"&lt;="&amp;$E563)))</f>
        <v/>
      </c>
      <c r="Q563" s="19" t="str">
        <f>IF($D563&lt;&gt;1,"",IF($G563="ROKS",SUMIFS(TblApplications[Besoin ROKS RAM (Go)],TblApplications[Cluster ROKS cible],$F563,TblApplications[Action],"À migrer",TblApplications[Déjà incluse ROKS],"Non",TblApplications[Mois prov (calc)],"&lt;="&amp;$E563),SUMIFS(TblApplications[RAM IKS libérable (Go)],TblApplications[Cluster IKS source],$F563,TblApplications[Mois lib (calc)],"&lt;="&amp;$E563)))</f>
        <v/>
      </c>
      <c r="R563" s="19" t="str">
        <f t="shared" si="139"/>
        <v/>
      </c>
      <c r="S563" s="19" t="str">
        <f t="shared" si="140"/>
        <v/>
      </c>
      <c r="T563" s="19" t="str">
        <f t="shared" si="141"/>
        <v/>
      </c>
      <c r="U563" s="19" t="str">
        <f t="shared" si="142"/>
        <v/>
      </c>
      <c r="V563" s="19" t="str">
        <f t="shared" si="143"/>
        <v/>
      </c>
      <c r="W563" s="73" t="str">
        <f t="shared" si="144"/>
        <v/>
      </c>
      <c r="X563" s="19" t="str">
        <f>IF($D563&lt;&gt;1,"",IF($G563="ROKS",$R563,IF($AI563=1,0,MAX($N563,$L563-SUMIFS(TblApplications[CPU IKS libérable (vCPU)],TblApplications[Cluster IKS source],$F563,TblApplications[Action],"À migrer",TblApplications[Mois prov (calc)],"&lt;="&amp;$E563)-SUMIFS(TblApplications[CPU IKS libérable (vCPU)],TblApplications[Cluster IKS source],$F563,TblApplications[Action],"À décommissionner",TblApplications[Mois lib (calc)],"&lt;="&amp;$E563)))))</f>
        <v/>
      </c>
      <c r="Y563" s="19" t="str">
        <f>IF($D563&lt;&gt;1,"",IF($G563="ROKS",$S563,IF($AI563=1,0,MAX($O563,$M563-SUMIFS(TblApplications[RAM IKS libérable (Go)],TblApplications[Cluster IKS source],$F563,TblApplications[Action],"À migrer",TblApplications[Mois prov (calc)],"&lt;="&amp;$E563)-SUMIFS(TblApplications[RAM IKS libérable (Go)],TblApplications[Cluster IKS source],$F563,TblApplications[Action],"À décommissionner",TblApplications[Mois lib (calc)],"&lt;="&amp;$E563)))))</f>
        <v/>
      </c>
      <c r="Z563" s="19" t="str">
        <f t="shared" si="145"/>
        <v/>
      </c>
      <c r="AA563" s="73" t="str">
        <f t="shared" si="146"/>
        <v/>
      </c>
      <c r="AB563" s="19" t="str">
        <f t="shared" si="147"/>
        <v/>
      </c>
      <c r="AC563" s="73" t="str">
        <f t="shared" si="148"/>
        <v/>
      </c>
      <c r="AD563" s="19" t="str">
        <f t="shared" si="149"/>
        <v/>
      </c>
      <c r="AE563" s="19" t="str">
        <f t="shared" si="150"/>
        <v/>
      </c>
      <c r="AF563" s="19" t="str">
        <f>IF($D563&lt;&gt;1,"",IF(INDEX(TblClusters[Environnement],$B563)="","(vide)",INDEX(TblClusters[Environnement],$B563)))</f>
        <v/>
      </c>
      <c r="AG563" s="19" t="str">
        <f t="shared" si="151"/>
        <v/>
      </c>
      <c r="AH563" s="19" t="str">
        <f t="shared" si="152"/>
        <v/>
      </c>
      <c r="AI563" s="19" t="str">
        <f>IF($D563&lt;&gt;1,"",IF(AND($G563="IKS",ISNUMBER(INDEX(TblClusters[Fermeture retenue],$B563))),IF($E563&gt;=INDEX(TblClusters[Fermeture retenue],$B563),1,0),0))</f>
        <v/>
      </c>
    </row>
    <row r="564" spans="1:35" x14ac:dyDescent="0.2">
      <c r="A564" s="19">
        <v>559</v>
      </c>
      <c r="B564" s="19">
        <f t="shared" si="136"/>
        <v>16</v>
      </c>
      <c r="C564" s="19">
        <f t="shared" si="137"/>
        <v>19</v>
      </c>
      <c r="D564" s="19">
        <f>IF($C564&gt;p_horizon,0,IFERROR(IF(AND(INDEX(TblClusters[Cluster],$B564)&lt;&gt;"",ISNUMBER(INDEX(TblClusters[CPU initial (vCPU)],$B564)),ISNUMBER(INDEX(TblClusters[CPU min (vCPU)],$B564)),OR(INDEX(TblClusters[Plateforme],$B564)="IKS",INDEX(TblClusters[Plateforme],$B564)="ROKS")),1,0),0))</f>
        <v>0</v>
      </c>
      <c r="E564" s="72" t="str">
        <f t="shared" si="138"/>
        <v/>
      </c>
      <c r="F564" s="19" t="str">
        <f>IF($D564=1,INDEX(TblClusters[Cluster],$B564),"")</f>
        <v/>
      </c>
      <c r="G564" s="19" t="str">
        <f>IF($D564=1,INDEX(TblClusters[Plateforme],$B564),"")</f>
        <v/>
      </c>
      <c r="H564" s="19" t="str">
        <f>IF($D564=1,INDEX(TblClusters[vCPU par nœud],$B564),"")</f>
        <v/>
      </c>
      <c r="I564" s="19" t="str">
        <f>IF($D564=1,INDEX(TblClusters[RAM par nœud (Go)],$B564),"")</f>
        <v/>
      </c>
      <c r="J564" s="19" t="str">
        <f>IF($D564=1,INDEX(TblClusters[Workers min],$B564),"")</f>
        <v/>
      </c>
      <c r="K564" s="73" t="str">
        <f>IF($D564=1,INDEX(TblClusters[Tarif par nœud],$B564),"")</f>
        <v/>
      </c>
      <c r="L564" s="19" t="str">
        <f>IF($D564=1,INDEX(TblClusters[CPU initial (vCPU)],$B564),"")</f>
        <v/>
      </c>
      <c r="M564" s="19" t="str">
        <f>IF($D564=1,INDEX(TblClusters[RAM initiale (Go)],$B564),"")</f>
        <v/>
      </c>
      <c r="N564" s="19" t="str">
        <f>IF($D564=1,INDEX(TblClusters[CPU min (vCPU)],$B564),"")</f>
        <v/>
      </c>
      <c r="O564" s="19" t="str">
        <f>IF($D564=1,INDEX(TblClusters[RAM min (Go)],$B564),"")</f>
        <v/>
      </c>
      <c r="P564" s="19" t="str">
        <f>IF($D564&lt;&gt;1,"",IF($G564="ROKS",SUMIFS(TblApplications[Besoin ROKS CPU (vCPU)],TblApplications[Cluster ROKS cible],$F564,TblApplications[Action],"À migrer",TblApplications[Déjà incluse ROKS],"Non",TblApplications[Mois prov (calc)],"&lt;="&amp;$E564),SUMIFS(TblApplications[CPU IKS libérable (vCPU)],TblApplications[Cluster IKS source],$F564,TblApplications[Mois lib (calc)],"&lt;="&amp;$E564)))</f>
        <v/>
      </c>
      <c r="Q564" s="19" t="str">
        <f>IF($D564&lt;&gt;1,"",IF($G564="ROKS",SUMIFS(TblApplications[Besoin ROKS RAM (Go)],TblApplications[Cluster ROKS cible],$F564,TblApplications[Action],"À migrer",TblApplications[Déjà incluse ROKS],"Non",TblApplications[Mois prov (calc)],"&lt;="&amp;$E564),SUMIFS(TblApplications[RAM IKS libérable (Go)],TblApplications[Cluster IKS source],$F564,TblApplications[Mois lib (calc)],"&lt;="&amp;$E564)))</f>
        <v/>
      </c>
      <c r="R564" s="19" t="str">
        <f t="shared" si="139"/>
        <v/>
      </c>
      <c r="S564" s="19" t="str">
        <f t="shared" si="140"/>
        <v/>
      </c>
      <c r="T564" s="19" t="str">
        <f t="shared" si="141"/>
        <v/>
      </c>
      <c r="U564" s="19" t="str">
        <f t="shared" si="142"/>
        <v/>
      </c>
      <c r="V564" s="19" t="str">
        <f t="shared" si="143"/>
        <v/>
      </c>
      <c r="W564" s="73" t="str">
        <f t="shared" si="144"/>
        <v/>
      </c>
      <c r="X564" s="19" t="str">
        <f>IF($D564&lt;&gt;1,"",IF($G564="ROKS",$R564,IF($AI564=1,0,MAX($N564,$L564-SUMIFS(TblApplications[CPU IKS libérable (vCPU)],TblApplications[Cluster IKS source],$F564,TblApplications[Action],"À migrer",TblApplications[Mois prov (calc)],"&lt;="&amp;$E564)-SUMIFS(TblApplications[CPU IKS libérable (vCPU)],TblApplications[Cluster IKS source],$F564,TblApplications[Action],"À décommissionner",TblApplications[Mois lib (calc)],"&lt;="&amp;$E564)))))</f>
        <v/>
      </c>
      <c r="Y564" s="19" t="str">
        <f>IF($D564&lt;&gt;1,"",IF($G564="ROKS",$S564,IF($AI564=1,0,MAX($O564,$M564-SUMIFS(TblApplications[RAM IKS libérable (Go)],TblApplications[Cluster IKS source],$F564,TblApplications[Action],"À migrer",TblApplications[Mois prov (calc)],"&lt;="&amp;$E564)-SUMIFS(TblApplications[RAM IKS libérable (Go)],TblApplications[Cluster IKS source],$F564,TblApplications[Action],"À décommissionner",TblApplications[Mois lib (calc)],"&lt;="&amp;$E564)))))</f>
        <v/>
      </c>
      <c r="Z564" s="19" t="str">
        <f t="shared" si="145"/>
        <v/>
      </c>
      <c r="AA564" s="73" t="str">
        <f t="shared" si="146"/>
        <v/>
      </c>
      <c r="AB564" s="19" t="str">
        <f t="shared" si="147"/>
        <v/>
      </c>
      <c r="AC564" s="73" t="str">
        <f t="shared" si="148"/>
        <v/>
      </c>
      <c r="AD564" s="19" t="str">
        <f t="shared" si="149"/>
        <v/>
      </c>
      <c r="AE564" s="19" t="str">
        <f t="shared" si="150"/>
        <v/>
      </c>
      <c r="AF564" s="19" t="str">
        <f>IF($D564&lt;&gt;1,"",IF(INDEX(TblClusters[Environnement],$B564)="","(vide)",INDEX(TblClusters[Environnement],$B564)))</f>
        <v/>
      </c>
      <c r="AG564" s="19" t="str">
        <f t="shared" si="151"/>
        <v/>
      </c>
      <c r="AH564" s="19" t="str">
        <f t="shared" si="152"/>
        <v/>
      </c>
      <c r="AI564" s="19" t="str">
        <f>IF($D564&lt;&gt;1,"",IF(AND($G564="IKS",ISNUMBER(INDEX(TblClusters[Fermeture retenue],$B564))),IF($E564&gt;=INDEX(TblClusters[Fermeture retenue],$B564),1,0),0))</f>
        <v/>
      </c>
    </row>
    <row r="565" spans="1:35" x14ac:dyDescent="0.2">
      <c r="A565" s="19">
        <v>560</v>
      </c>
      <c r="B565" s="19">
        <f t="shared" si="136"/>
        <v>16</v>
      </c>
      <c r="C565" s="19">
        <f t="shared" si="137"/>
        <v>20</v>
      </c>
      <c r="D565" s="19">
        <f>IF($C565&gt;p_horizon,0,IFERROR(IF(AND(INDEX(TblClusters[Cluster],$B565)&lt;&gt;"",ISNUMBER(INDEX(TblClusters[CPU initial (vCPU)],$B565)),ISNUMBER(INDEX(TblClusters[CPU min (vCPU)],$B565)),OR(INDEX(TblClusters[Plateforme],$B565)="IKS",INDEX(TblClusters[Plateforme],$B565)="ROKS")),1,0),0))</f>
        <v>0</v>
      </c>
      <c r="E565" s="72" t="str">
        <f t="shared" si="138"/>
        <v/>
      </c>
      <c r="F565" s="19" t="str">
        <f>IF($D565=1,INDEX(TblClusters[Cluster],$B565),"")</f>
        <v/>
      </c>
      <c r="G565" s="19" t="str">
        <f>IF($D565=1,INDEX(TblClusters[Plateforme],$B565),"")</f>
        <v/>
      </c>
      <c r="H565" s="19" t="str">
        <f>IF($D565=1,INDEX(TblClusters[vCPU par nœud],$B565),"")</f>
        <v/>
      </c>
      <c r="I565" s="19" t="str">
        <f>IF($D565=1,INDEX(TblClusters[RAM par nœud (Go)],$B565),"")</f>
        <v/>
      </c>
      <c r="J565" s="19" t="str">
        <f>IF($D565=1,INDEX(TblClusters[Workers min],$B565),"")</f>
        <v/>
      </c>
      <c r="K565" s="73" t="str">
        <f>IF($D565=1,INDEX(TblClusters[Tarif par nœud],$B565),"")</f>
        <v/>
      </c>
      <c r="L565" s="19" t="str">
        <f>IF($D565=1,INDEX(TblClusters[CPU initial (vCPU)],$B565),"")</f>
        <v/>
      </c>
      <c r="M565" s="19" t="str">
        <f>IF($D565=1,INDEX(TblClusters[RAM initiale (Go)],$B565),"")</f>
        <v/>
      </c>
      <c r="N565" s="19" t="str">
        <f>IF($D565=1,INDEX(TblClusters[CPU min (vCPU)],$B565),"")</f>
        <v/>
      </c>
      <c r="O565" s="19" t="str">
        <f>IF($D565=1,INDEX(TblClusters[RAM min (Go)],$B565),"")</f>
        <v/>
      </c>
      <c r="P565" s="19" t="str">
        <f>IF($D565&lt;&gt;1,"",IF($G565="ROKS",SUMIFS(TblApplications[Besoin ROKS CPU (vCPU)],TblApplications[Cluster ROKS cible],$F565,TblApplications[Action],"À migrer",TblApplications[Déjà incluse ROKS],"Non",TblApplications[Mois prov (calc)],"&lt;="&amp;$E565),SUMIFS(TblApplications[CPU IKS libérable (vCPU)],TblApplications[Cluster IKS source],$F565,TblApplications[Mois lib (calc)],"&lt;="&amp;$E565)))</f>
        <v/>
      </c>
      <c r="Q565" s="19" t="str">
        <f>IF($D565&lt;&gt;1,"",IF($G565="ROKS",SUMIFS(TblApplications[Besoin ROKS RAM (Go)],TblApplications[Cluster ROKS cible],$F565,TblApplications[Action],"À migrer",TblApplications[Déjà incluse ROKS],"Non",TblApplications[Mois prov (calc)],"&lt;="&amp;$E565),SUMIFS(TblApplications[RAM IKS libérable (Go)],TblApplications[Cluster IKS source],$F565,TblApplications[Mois lib (calc)],"&lt;="&amp;$E565)))</f>
        <v/>
      </c>
      <c r="R565" s="19" t="str">
        <f t="shared" si="139"/>
        <v/>
      </c>
      <c r="S565" s="19" t="str">
        <f t="shared" si="140"/>
        <v/>
      </c>
      <c r="T565" s="19" t="str">
        <f t="shared" si="141"/>
        <v/>
      </c>
      <c r="U565" s="19" t="str">
        <f t="shared" si="142"/>
        <v/>
      </c>
      <c r="V565" s="19" t="str">
        <f t="shared" si="143"/>
        <v/>
      </c>
      <c r="W565" s="73" t="str">
        <f t="shared" si="144"/>
        <v/>
      </c>
      <c r="X565" s="19" t="str">
        <f>IF($D565&lt;&gt;1,"",IF($G565="ROKS",$R565,IF($AI565=1,0,MAX($N565,$L565-SUMIFS(TblApplications[CPU IKS libérable (vCPU)],TblApplications[Cluster IKS source],$F565,TblApplications[Action],"À migrer",TblApplications[Mois prov (calc)],"&lt;="&amp;$E565)-SUMIFS(TblApplications[CPU IKS libérable (vCPU)],TblApplications[Cluster IKS source],$F565,TblApplications[Action],"À décommissionner",TblApplications[Mois lib (calc)],"&lt;="&amp;$E565)))))</f>
        <v/>
      </c>
      <c r="Y565" s="19" t="str">
        <f>IF($D565&lt;&gt;1,"",IF($G565="ROKS",$S565,IF($AI565=1,0,MAX($O565,$M565-SUMIFS(TblApplications[RAM IKS libérable (Go)],TblApplications[Cluster IKS source],$F565,TblApplications[Action],"À migrer",TblApplications[Mois prov (calc)],"&lt;="&amp;$E565)-SUMIFS(TblApplications[RAM IKS libérable (Go)],TblApplications[Cluster IKS source],$F565,TblApplications[Action],"À décommissionner",TblApplications[Mois lib (calc)],"&lt;="&amp;$E565)))))</f>
        <v/>
      </c>
      <c r="Z565" s="19" t="str">
        <f t="shared" si="145"/>
        <v/>
      </c>
      <c r="AA565" s="73" t="str">
        <f t="shared" si="146"/>
        <v/>
      </c>
      <c r="AB565" s="19" t="str">
        <f t="shared" si="147"/>
        <v/>
      </c>
      <c r="AC565" s="73" t="str">
        <f t="shared" si="148"/>
        <v/>
      </c>
      <c r="AD565" s="19" t="str">
        <f t="shared" si="149"/>
        <v/>
      </c>
      <c r="AE565" s="19" t="str">
        <f t="shared" si="150"/>
        <v/>
      </c>
      <c r="AF565" s="19" t="str">
        <f>IF($D565&lt;&gt;1,"",IF(INDEX(TblClusters[Environnement],$B565)="","(vide)",INDEX(TblClusters[Environnement],$B565)))</f>
        <v/>
      </c>
      <c r="AG565" s="19" t="str">
        <f t="shared" si="151"/>
        <v/>
      </c>
      <c r="AH565" s="19" t="str">
        <f t="shared" si="152"/>
        <v/>
      </c>
      <c r="AI565" s="19" t="str">
        <f>IF($D565&lt;&gt;1,"",IF(AND($G565="IKS",ISNUMBER(INDEX(TblClusters[Fermeture retenue],$B565))),IF($E565&gt;=INDEX(TblClusters[Fermeture retenue],$B565),1,0),0))</f>
        <v/>
      </c>
    </row>
    <row r="566" spans="1:35" x14ac:dyDescent="0.2">
      <c r="A566" s="19">
        <v>561</v>
      </c>
      <c r="B566" s="19">
        <f t="shared" si="136"/>
        <v>16</v>
      </c>
      <c r="C566" s="19">
        <f t="shared" si="137"/>
        <v>21</v>
      </c>
      <c r="D566" s="19">
        <f>IF($C566&gt;p_horizon,0,IFERROR(IF(AND(INDEX(TblClusters[Cluster],$B566)&lt;&gt;"",ISNUMBER(INDEX(TblClusters[CPU initial (vCPU)],$B566)),ISNUMBER(INDEX(TblClusters[CPU min (vCPU)],$B566)),OR(INDEX(TblClusters[Plateforme],$B566)="IKS",INDEX(TblClusters[Plateforme],$B566)="ROKS")),1,0),0))</f>
        <v>0</v>
      </c>
      <c r="E566" s="72" t="str">
        <f t="shared" si="138"/>
        <v/>
      </c>
      <c r="F566" s="19" t="str">
        <f>IF($D566=1,INDEX(TblClusters[Cluster],$B566),"")</f>
        <v/>
      </c>
      <c r="G566" s="19" t="str">
        <f>IF($D566=1,INDEX(TblClusters[Plateforme],$B566),"")</f>
        <v/>
      </c>
      <c r="H566" s="19" t="str">
        <f>IF($D566=1,INDEX(TblClusters[vCPU par nœud],$B566),"")</f>
        <v/>
      </c>
      <c r="I566" s="19" t="str">
        <f>IF($D566=1,INDEX(TblClusters[RAM par nœud (Go)],$B566),"")</f>
        <v/>
      </c>
      <c r="J566" s="19" t="str">
        <f>IF($D566=1,INDEX(TblClusters[Workers min],$B566),"")</f>
        <v/>
      </c>
      <c r="K566" s="73" t="str">
        <f>IF($D566=1,INDEX(TblClusters[Tarif par nœud],$B566),"")</f>
        <v/>
      </c>
      <c r="L566" s="19" t="str">
        <f>IF($D566=1,INDEX(TblClusters[CPU initial (vCPU)],$B566),"")</f>
        <v/>
      </c>
      <c r="M566" s="19" t="str">
        <f>IF($D566=1,INDEX(TblClusters[RAM initiale (Go)],$B566),"")</f>
        <v/>
      </c>
      <c r="N566" s="19" t="str">
        <f>IF($D566=1,INDEX(TblClusters[CPU min (vCPU)],$B566),"")</f>
        <v/>
      </c>
      <c r="O566" s="19" t="str">
        <f>IF($D566=1,INDEX(TblClusters[RAM min (Go)],$B566),"")</f>
        <v/>
      </c>
      <c r="P566" s="19" t="str">
        <f>IF($D566&lt;&gt;1,"",IF($G566="ROKS",SUMIFS(TblApplications[Besoin ROKS CPU (vCPU)],TblApplications[Cluster ROKS cible],$F566,TblApplications[Action],"À migrer",TblApplications[Déjà incluse ROKS],"Non",TblApplications[Mois prov (calc)],"&lt;="&amp;$E566),SUMIFS(TblApplications[CPU IKS libérable (vCPU)],TblApplications[Cluster IKS source],$F566,TblApplications[Mois lib (calc)],"&lt;="&amp;$E566)))</f>
        <v/>
      </c>
      <c r="Q566" s="19" t="str">
        <f>IF($D566&lt;&gt;1,"",IF($G566="ROKS",SUMIFS(TblApplications[Besoin ROKS RAM (Go)],TblApplications[Cluster ROKS cible],$F566,TblApplications[Action],"À migrer",TblApplications[Déjà incluse ROKS],"Non",TblApplications[Mois prov (calc)],"&lt;="&amp;$E566),SUMIFS(TblApplications[RAM IKS libérable (Go)],TblApplications[Cluster IKS source],$F566,TblApplications[Mois lib (calc)],"&lt;="&amp;$E566)))</f>
        <v/>
      </c>
      <c r="R566" s="19" t="str">
        <f t="shared" si="139"/>
        <v/>
      </c>
      <c r="S566" s="19" t="str">
        <f t="shared" si="140"/>
        <v/>
      </c>
      <c r="T566" s="19" t="str">
        <f t="shared" si="141"/>
        <v/>
      </c>
      <c r="U566" s="19" t="str">
        <f t="shared" si="142"/>
        <v/>
      </c>
      <c r="V566" s="19" t="str">
        <f t="shared" si="143"/>
        <v/>
      </c>
      <c r="W566" s="73" t="str">
        <f t="shared" si="144"/>
        <v/>
      </c>
      <c r="X566" s="19" t="str">
        <f>IF($D566&lt;&gt;1,"",IF($G566="ROKS",$R566,IF($AI566=1,0,MAX($N566,$L566-SUMIFS(TblApplications[CPU IKS libérable (vCPU)],TblApplications[Cluster IKS source],$F566,TblApplications[Action],"À migrer",TblApplications[Mois prov (calc)],"&lt;="&amp;$E566)-SUMIFS(TblApplications[CPU IKS libérable (vCPU)],TblApplications[Cluster IKS source],$F566,TblApplications[Action],"À décommissionner",TblApplications[Mois lib (calc)],"&lt;="&amp;$E566)))))</f>
        <v/>
      </c>
      <c r="Y566" s="19" t="str">
        <f>IF($D566&lt;&gt;1,"",IF($G566="ROKS",$S566,IF($AI566=1,0,MAX($O566,$M566-SUMIFS(TblApplications[RAM IKS libérable (Go)],TblApplications[Cluster IKS source],$F566,TblApplications[Action],"À migrer",TblApplications[Mois prov (calc)],"&lt;="&amp;$E566)-SUMIFS(TblApplications[RAM IKS libérable (Go)],TblApplications[Cluster IKS source],$F566,TblApplications[Action],"À décommissionner",TblApplications[Mois lib (calc)],"&lt;="&amp;$E566)))))</f>
        <v/>
      </c>
      <c r="Z566" s="19" t="str">
        <f t="shared" si="145"/>
        <v/>
      </c>
      <c r="AA566" s="73" t="str">
        <f t="shared" si="146"/>
        <v/>
      </c>
      <c r="AB566" s="19" t="str">
        <f t="shared" si="147"/>
        <v/>
      </c>
      <c r="AC566" s="73" t="str">
        <f t="shared" si="148"/>
        <v/>
      </c>
      <c r="AD566" s="19" t="str">
        <f t="shared" si="149"/>
        <v/>
      </c>
      <c r="AE566" s="19" t="str">
        <f t="shared" si="150"/>
        <v/>
      </c>
      <c r="AF566" s="19" t="str">
        <f>IF($D566&lt;&gt;1,"",IF(INDEX(TblClusters[Environnement],$B566)="","(vide)",INDEX(TblClusters[Environnement],$B566)))</f>
        <v/>
      </c>
      <c r="AG566" s="19" t="str">
        <f t="shared" si="151"/>
        <v/>
      </c>
      <c r="AH566" s="19" t="str">
        <f t="shared" si="152"/>
        <v/>
      </c>
      <c r="AI566" s="19" t="str">
        <f>IF($D566&lt;&gt;1,"",IF(AND($G566="IKS",ISNUMBER(INDEX(TblClusters[Fermeture retenue],$B566))),IF($E566&gt;=INDEX(TblClusters[Fermeture retenue],$B566),1,0),0))</f>
        <v/>
      </c>
    </row>
    <row r="567" spans="1:35" x14ac:dyDescent="0.2">
      <c r="A567" s="19">
        <v>562</v>
      </c>
      <c r="B567" s="19">
        <f t="shared" si="136"/>
        <v>16</v>
      </c>
      <c r="C567" s="19">
        <f t="shared" si="137"/>
        <v>22</v>
      </c>
      <c r="D567" s="19">
        <f>IF($C567&gt;p_horizon,0,IFERROR(IF(AND(INDEX(TblClusters[Cluster],$B567)&lt;&gt;"",ISNUMBER(INDEX(TblClusters[CPU initial (vCPU)],$B567)),ISNUMBER(INDEX(TblClusters[CPU min (vCPU)],$B567)),OR(INDEX(TblClusters[Plateforme],$B567)="IKS",INDEX(TblClusters[Plateforme],$B567)="ROKS")),1,0),0))</f>
        <v>0</v>
      </c>
      <c r="E567" s="72" t="str">
        <f t="shared" si="138"/>
        <v/>
      </c>
      <c r="F567" s="19" t="str">
        <f>IF($D567=1,INDEX(TblClusters[Cluster],$B567),"")</f>
        <v/>
      </c>
      <c r="G567" s="19" t="str">
        <f>IF($D567=1,INDEX(TblClusters[Plateforme],$B567),"")</f>
        <v/>
      </c>
      <c r="H567" s="19" t="str">
        <f>IF($D567=1,INDEX(TblClusters[vCPU par nœud],$B567),"")</f>
        <v/>
      </c>
      <c r="I567" s="19" t="str">
        <f>IF($D567=1,INDEX(TblClusters[RAM par nœud (Go)],$B567),"")</f>
        <v/>
      </c>
      <c r="J567" s="19" t="str">
        <f>IF($D567=1,INDEX(TblClusters[Workers min],$B567),"")</f>
        <v/>
      </c>
      <c r="K567" s="73" t="str">
        <f>IF($D567=1,INDEX(TblClusters[Tarif par nœud],$B567),"")</f>
        <v/>
      </c>
      <c r="L567" s="19" t="str">
        <f>IF($D567=1,INDEX(TblClusters[CPU initial (vCPU)],$B567),"")</f>
        <v/>
      </c>
      <c r="M567" s="19" t="str">
        <f>IF($D567=1,INDEX(TblClusters[RAM initiale (Go)],$B567),"")</f>
        <v/>
      </c>
      <c r="N567" s="19" t="str">
        <f>IF($D567=1,INDEX(TblClusters[CPU min (vCPU)],$B567),"")</f>
        <v/>
      </c>
      <c r="O567" s="19" t="str">
        <f>IF($D567=1,INDEX(TblClusters[RAM min (Go)],$B567),"")</f>
        <v/>
      </c>
      <c r="P567" s="19" t="str">
        <f>IF($D567&lt;&gt;1,"",IF($G567="ROKS",SUMIFS(TblApplications[Besoin ROKS CPU (vCPU)],TblApplications[Cluster ROKS cible],$F567,TblApplications[Action],"À migrer",TblApplications[Déjà incluse ROKS],"Non",TblApplications[Mois prov (calc)],"&lt;="&amp;$E567),SUMIFS(TblApplications[CPU IKS libérable (vCPU)],TblApplications[Cluster IKS source],$F567,TblApplications[Mois lib (calc)],"&lt;="&amp;$E567)))</f>
        <v/>
      </c>
      <c r="Q567" s="19" t="str">
        <f>IF($D567&lt;&gt;1,"",IF($G567="ROKS",SUMIFS(TblApplications[Besoin ROKS RAM (Go)],TblApplications[Cluster ROKS cible],$F567,TblApplications[Action],"À migrer",TblApplications[Déjà incluse ROKS],"Non",TblApplications[Mois prov (calc)],"&lt;="&amp;$E567),SUMIFS(TblApplications[RAM IKS libérable (Go)],TblApplications[Cluster IKS source],$F567,TblApplications[Mois lib (calc)],"&lt;="&amp;$E567)))</f>
        <v/>
      </c>
      <c r="R567" s="19" t="str">
        <f t="shared" si="139"/>
        <v/>
      </c>
      <c r="S567" s="19" t="str">
        <f t="shared" si="140"/>
        <v/>
      </c>
      <c r="T567" s="19" t="str">
        <f t="shared" si="141"/>
        <v/>
      </c>
      <c r="U567" s="19" t="str">
        <f t="shared" si="142"/>
        <v/>
      </c>
      <c r="V567" s="19" t="str">
        <f t="shared" si="143"/>
        <v/>
      </c>
      <c r="W567" s="73" t="str">
        <f t="shared" si="144"/>
        <v/>
      </c>
      <c r="X567" s="19" t="str">
        <f>IF($D567&lt;&gt;1,"",IF($G567="ROKS",$R567,IF($AI567=1,0,MAX($N567,$L567-SUMIFS(TblApplications[CPU IKS libérable (vCPU)],TblApplications[Cluster IKS source],$F567,TblApplications[Action],"À migrer",TblApplications[Mois prov (calc)],"&lt;="&amp;$E567)-SUMIFS(TblApplications[CPU IKS libérable (vCPU)],TblApplications[Cluster IKS source],$F567,TblApplications[Action],"À décommissionner",TblApplications[Mois lib (calc)],"&lt;="&amp;$E567)))))</f>
        <v/>
      </c>
      <c r="Y567" s="19" t="str">
        <f>IF($D567&lt;&gt;1,"",IF($G567="ROKS",$S567,IF($AI567=1,0,MAX($O567,$M567-SUMIFS(TblApplications[RAM IKS libérable (Go)],TblApplications[Cluster IKS source],$F567,TblApplications[Action],"À migrer",TblApplications[Mois prov (calc)],"&lt;="&amp;$E567)-SUMIFS(TblApplications[RAM IKS libérable (Go)],TblApplications[Cluster IKS source],$F567,TblApplications[Action],"À décommissionner",TblApplications[Mois lib (calc)],"&lt;="&amp;$E567)))))</f>
        <v/>
      </c>
      <c r="Z567" s="19" t="str">
        <f t="shared" si="145"/>
        <v/>
      </c>
      <c r="AA567" s="73" t="str">
        <f t="shared" si="146"/>
        <v/>
      </c>
      <c r="AB567" s="19" t="str">
        <f t="shared" si="147"/>
        <v/>
      </c>
      <c r="AC567" s="73" t="str">
        <f t="shared" si="148"/>
        <v/>
      </c>
      <c r="AD567" s="19" t="str">
        <f t="shared" si="149"/>
        <v/>
      </c>
      <c r="AE567" s="19" t="str">
        <f t="shared" si="150"/>
        <v/>
      </c>
      <c r="AF567" s="19" t="str">
        <f>IF($D567&lt;&gt;1,"",IF(INDEX(TblClusters[Environnement],$B567)="","(vide)",INDEX(TblClusters[Environnement],$B567)))</f>
        <v/>
      </c>
      <c r="AG567" s="19" t="str">
        <f t="shared" si="151"/>
        <v/>
      </c>
      <c r="AH567" s="19" t="str">
        <f t="shared" si="152"/>
        <v/>
      </c>
      <c r="AI567" s="19" t="str">
        <f>IF($D567&lt;&gt;1,"",IF(AND($G567="IKS",ISNUMBER(INDEX(TblClusters[Fermeture retenue],$B567))),IF($E567&gt;=INDEX(TblClusters[Fermeture retenue],$B567),1,0),0))</f>
        <v/>
      </c>
    </row>
    <row r="568" spans="1:35" x14ac:dyDescent="0.2">
      <c r="A568" s="19">
        <v>563</v>
      </c>
      <c r="B568" s="19">
        <f t="shared" si="136"/>
        <v>16</v>
      </c>
      <c r="C568" s="19">
        <f t="shared" si="137"/>
        <v>23</v>
      </c>
      <c r="D568" s="19">
        <f>IF($C568&gt;p_horizon,0,IFERROR(IF(AND(INDEX(TblClusters[Cluster],$B568)&lt;&gt;"",ISNUMBER(INDEX(TblClusters[CPU initial (vCPU)],$B568)),ISNUMBER(INDEX(TblClusters[CPU min (vCPU)],$B568)),OR(INDEX(TblClusters[Plateforme],$B568)="IKS",INDEX(TblClusters[Plateforme],$B568)="ROKS")),1,0),0))</f>
        <v>0</v>
      </c>
      <c r="E568" s="72" t="str">
        <f t="shared" si="138"/>
        <v/>
      </c>
      <c r="F568" s="19" t="str">
        <f>IF($D568=1,INDEX(TblClusters[Cluster],$B568),"")</f>
        <v/>
      </c>
      <c r="G568" s="19" t="str">
        <f>IF($D568=1,INDEX(TblClusters[Plateforme],$B568),"")</f>
        <v/>
      </c>
      <c r="H568" s="19" t="str">
        <f>IF($D568=1,INDEX(TblClusters[vCPU par nœud],$B568),"")</f>
        <v/>
      </c>
      <c r="I568" s="19" t="str">
        <f>IF($D568=1,INDEX(TblClusters[RAM par nœud (Go)],$B568),"")</f>
        <v/>
      </c>
      <c r="J568" s="19" t="str">
        <f>IF($D568=1,INDEX(TblClusters[Workers min],$B568),"")</f>
        <v/>
      </c>
      <c r="K568" s="73" t="str">
        <f>IF($D568=1,INDEX(TblClusters[Tarif par nœud],$B568),"")</f>
        <v/>
      </c>
      <c r="L568" s="19" t="str">
        <f>IF($D568=1,INDEX(TblClusters[CPU initial (vCPU)],$B568),"")</f>
        <v/>
      </c>
      <c r="M568" s="19" t="str">
        <f>IF($D568=1,INDEX(TblClusters[RAM initiale (Go)],$B568),"")</f>
        <v/>
      </c>
      <c r="N568" s="19" t="str">
        <f>IF($D568=1,INDEX(TblClusters[CPU min (vCPU)],$B568),"")</f>
        <v/>
      </c>
      <c r="O568" s="19" t="str">
        <f>IF($D568=1,INDEX(TblClusters[RAM min (Go)],$B568),"")</f>
        <v/>
      </c>
      <c r="P568" s="19" t="str">
        <f>IF($D568&lt;&gt;1,"",IF($G568="ROKS",SUMIFS(TblApplications[Besoin ROKS CPU (vCPU)],TblApplications[Cluster ROKS cible],$F568,TblApplications[Action],"À migrer",TblApplications[Déjà incluse ROKS],"Non",TblApplications[Mois prov (calc)],"&lt;="&amp;$E568),SUMIFS(TblApplications[CPU IKS libérable (vCPU)],TblApplications[Cluster IKS source],$F568,TblApplications[Mois lib (calc)],"&lt;="&amp;$E568)))</f>
        <v/>
      </c>
      <c r="Q568" s="19" t="str">
        <f>IF($D568&lt;&gt;1,"",IF($G568="ROKS",SUMIFS(TblApplications[Besoin ROKS RAM (Go)],TblApplications[Cluster ROKS cible],$F568,TblApplications[Action],"À migrer",TblApplications[Déjà incluse ROKS],"Non",TblApplications[Mois prov (calc)],"&lt;="&amp;$E568),SUMIFS(TblApplications[RAM IKS libérable (Go)],TblApplications[Cluster IKS source],$F568,TblApplications[Mois lib (calc)],"&lt;="&amp;$E568)))</f>
        <v/>
      </c>
      <c r="R568" s="19" t="str">
        <f t="shared" si="139"/>
        <v/>
      </c>
      <c r="S568" s="19" t="str">
        <f t="shared" si="140"/>
        <v/>
      </c>
      <c r="T568" s="19" t="str">
        <f t="shared" si="141"/>
        <v/>
      </c>
      <c r="U568" s="19" t="str">
        <f t="shared" si="142"/>
        <v/>
      </c>
      <c r="V568" s="19" t="str">
        <f t="shared" si="143"/>
        <v/>
      </c>
      <c r="W568" s="73" t="str">
        <f t="shared" si="144"/>
        <v/>
      </c>
      <c r="X568" s="19" t="str">
        <f>IF($D568&lt;&gt;1,"",IF($G568="ROKS",$R568,IF($AI568=1,0,MAX($N568,$L568-SUMIFS(TblApplications[CPU IKS libérable (vCPU)],TblApplications[Cluster IKS source],$F568,TblApplications[Action],"À migrer",TblApplications[Mois prov (calc)],"&lt;="&amp;$E568)-SUMIFS(TblApplications[CPU IKS libérable (vCPU)],TblApplications[Cluster IKS source],$F568,TblApplications[Action],"À décommissionner",TblApplications[Mois lib (calc)],"&lt;="&amp;$E568)))))</f>
        <v/>
      </c>
      <c r="Y568" s="19" t="str">
        <f>IF($D568&lt;&gt;1,"",IF($G568="ROKS",$S568,IF($AI568=1,0,MAX($O568,$M568-SUMIFS(TblApplications[RAM IKS libérable (Go)],TblApplications[Cluster IKS source],$F568,TblApplications[Action],"À migrer",TblApplications[Mois prov (calc)],"&lt;="&amp;$E568)-SUMIFS(TblApplications[RAM IKS libérable (Go)],TblApplications[Cluster IKS source],$F568,TblApplications[Action],"À décommissionner",TblApplications[Mois lib (calc)],"&lt;="&amp;$E568)))))</f>
        <v/>
      </c>
      <c r="Z568" s="19" t="str">
        <f t="shared" si="145"/>
        <v/>
      </c>
      <c r="AA568" s="73" t="str">
        <f t="shared" si="146"/>
        <v/>
      </c>
      <c r="AB568" s="19" t="str">
        <f t="shared" si="147"/>
        <v/>
      </c>
      <c r="AC568" s="73" t="str">
        <f t="shared" si="148"/>
        <v/>
      </c>
      <c r="AD568" s="19" t="str">
        <f t="shared" si="149"/>
        <v/>
      </c>
      <c r="AE568" s="19" t="str">
        <f t="shared" si="150"/>
        <v/>
      </c>
      <c r="AF568" s="19" t="str">
        <f>IF($D568&lt;&gt;1,"",IF(INDEX(TblClusters[Environnement],$B568)="","(vide)",INDEX(TblClusters[Environnement],$B568)))</f>
        <v/>
      </c>
      <c r="AG568" s="19" t="str">
        <f t="shared" si="151"/>
        <v/>
      </c>
      <c r="AH568" s="19" t="str">
        <f t="shared" si="152"/>
        <v/>
      </c>
      <c r="AI568" s="19" t="str">
        <f>IF($D568&lt;&gt;1,"",IF(AND($G568="IKS",ISNUMBER(INDEX(TblClusters[Fermeture retenue],$B568))),IF($E568&gt;=INDEX(TblClusters[Fermeture retenue],$B568),1,0),0))</f>
        <v/>
      </c>
    </row>
    <row r="569" spans="1:35" x14ac:dyDescent="0.2">
      <c r="A569" s="19">
        <v>564</v>
      </c>
      <c r="B569" s="19">
        <f t="shared" si="136"/>
        <v>16</v>
      </c>
      <c r="C569" s="19">
        <f t="shared" si="137"/>
        <v>24</v>
      </c>
      <c r="D569" s="19">
        <f>IF($C569&gt;p_horizon,0,IFERROR(IF(AND(INDEX(TblClusters[Cluster],$B569)&lt;&gt;"",ISNUMBER(INDEX(TblClusters[CPU initial (vCPU)],$B569)),ISNUMBER(INDEX(TblClusters[CPU min (vCPU)],$B569)),OR(INDEX(TblClusters[Plateforme],$B569)="IKS",INDEX(TblClusters[Plateforme],$B569)="ROKS")),1,0),0))</f>
        <v>0</v>
      </c>
      <c r="E569" s="72" t="str">
        <f t="shared" si="138"/>
        <v/>
      </c>
      <c r="F569" s="19" t="str">
        <f>IF($D569=1,INDEX(TblClusters[Cluster],$B569),"")</f>
        <v/>
      </c>
      <c r="G569" s="19" t="str">
        <f>IF($D569=1,INDEX(TblClusters[Plateforme],$B569),"")</f>
        <v/>
      </c>
      <c r="H569" s="19" t="str">
        <f>IF($D569=1,INDEX(TblClusters[vCPU par nœud],$B569),"")</f>
        <v/>
      </c>
      <c r="I569" s="19" t="str">
        <f>IF($D569=1,INDEX(TblClusters[RAM par nœud (Go)],$B569),"")</f>
        <v/>
      </c>
      <c r="J569" s="19" t="str">
        <f>IF($D569=1,INDEX(TblClusters[Workers min],$B569),"")</f>
        <v/>
      </c>
      <c r="K569" s="73" t="str">
        <f>IF($D569=1,INDEX(TblClusters[Tarif par nœud],$B569),"")</f>
        <v/>
      </c>
      <c r="L569" s="19" t="str">
        <f>IF($D569=1,INDEX(TblClusters[CPU initial (vCPU)],$B569),"")</f>
        <v/>
      </c>
      <c r="M569" s="19" t="str">
        <f>IF($D569=1,INDEX(TblClusters[RAM initiale (Go)],$B569),"")</f>
        <v/>
      </c>
      <c r="N569" s="19" t="str">
        <f>IF($D569=1,INDEX(TblClusters[CPU min (vCPU)],$B569),"")</f>
        <v/>
      </c>
      <c r="O569" s="19" t="str">
        <f>IF($D569=1,INDEX(TblClusters[RAM min (Go)],$B569),"")</f>
        <v/>
      </c>
      <c r="P569" s="19" t="str">
        <f>IF($D569&lt;&gt;1,"",IF($G569="ROKS",SUMIFS(TblApplications[Besoin ROKS CPU (vCPU)],TblApplications[Cluster ROKS cible],$F569,TblApplications[Action],"À migrer",TblApplications[Déjà incluse ROKS],"Non",TblApplications[Mois prov (calc)],"&lt;="&amp;$E569),SUMIFS(TblApplications[CPU IKS libérable (vCPU)],TblApplications[Cluster IKS source],$F569,TblApplications[Mois lib (calc)],"&lt;="&amp;$E569)))</f>
        <v/>
      </c>
      <c r="Q569" s="19" t="str">
        <f>IF($D569&lt;&gt;1,"",IF($G569="ROKS",SUMIFS(TblApplications[Besoin ROKS RAM (Go)],TblApplications[Cluster ROKS cible],$F569,TblApplications[Action],"À migrer",TblApplications[Déjà incluse ROKS],"Non",TblApplications[Mois prov (calc)],"&lt;="&amp;$E569),SUMIFS(TblApplications[RAM IKS libérable (Go)],TblApplications[Cluster IKS source],$F569,TblApplications[Mois lib (calc)],"&lt;="&amp;$E569)))</f>
        <v/>
      </c>
      <c r="R569" s="19" t="str">
        <f t="shared" si="139"/>
        <v/>
      </c>
      <c r="S569" s="19" t="str">
        <f t="shared" si="140"/>
        <v/>
      </c>
      <c r="T569" s="19" t="str">
        <f t="shared" si="141"/>
        <v/>
      </c>
      <c r="U569" s="19" t="str">
        <f t="shared" si="142"/>
        <v/>
      </c>
      <c r="V569" s="19" t="str">
        <f t="shared" si="143"/>
        <v/>
      </c>
      <c r="W569" s="73" t="str">
        <f t="shared" si="144"/>
        <v/>
      </c>
      <c r="X569" s="19" t="str">
        <f>IF($D569&lt;&gt;1,"",IF($G569="ROKS",$R569,IF($AI569=1,0,MAX($N569,$L569-SUMIFS(TblApplications[CPU IKS libérable (vCPU)],TblApplications[Cluster IKS source],$F569,TblApplications[Action],"À migrer",TblApplications[Mois prov (calc)],"&lt;="&amp;$E569)-SUMIFS(TblApplications[CPU IKS libérable (vCPU)],TblApplications[Cluster IKS source],$F569,TblApplications[Action],"À décommissionner",TblApplications[Mois lib (calc)],"&lt;="&amp;$E569)))))</f>
        <v/>
      </c>
      <c r="Y569" s="19" t="str">
        <f>IF($D569&lt;&gt;1,"",IF($G569="ROKS",$S569,IF($AI569=1,0,MAX($O569,$M569-SUMIFS(TblApplications[RAM IKS libérable (Go)],TblApplications[Cluster IKS source],$F569,TblApplications[Action],"À migrer",TblApplications[Mois prov (calc)],"&lt;="&amp;$E569)-SUMIFS(TblApplications[RAM IKS libérable (Go)],TblApplications[Cluster IKS source],$F569,TblApplications[Action],"À décommissionner",TblApplications[Mois lib (calc)],"&lt;="&amp;$E569)))))</f>
        <v/>
      </c>
      <c r="Z569" s="19" t="str">
        <f t="shared" si="145"/>
        <v/>
      </c>
      <c r="AA569" s="73" t="str">
        <f t="shared" si="146"/>
        <v/>
      </c>
      <c r="AB569" s="19" t="str">
        <f t="shared" si="147"/>
        <v/>
      </c>
      <c r="AC569" s="73" t="str">
        <f t="shared" si="148"/>
        <v/>
      </c>
      <c r="AD569" s="19" t="str">
        <f t="shared" si="149"/>
        <v/>
      </c>
      <c r="AE569" s="19" t="str">
        <f t="shared" si="150"/>
        <v/>
      </c>
      <c r="AF569" s="19" t="str">
        <f>IF($D569&lt;&gt;1,"",IF(INDEX(TblClusters[Environnement],$B569)="","(vide)",INDEX(TblClusters[Environnement],$B569)))</f>
        <v/>
      </c>
      <c r="AG569" s="19" t="str">
        <f t="shared" si="151"/>
        <v/>
      </c>
      <c r="AH569" s="19" t="str">
        <f t="shared" si="152"/>
        <v/>
      </c>
      <c r="AI569" s="19" t="str">
        <f>IF($D569&lt;&gt;1,"",IF(AND($G569="IKS",ISNUMBER(INDEX(TblClusters[Fermeture retenue],$B569))),IF($E569&gt;=INDEX(TblClusters[Fermeture retenue],$B569),1,0),0))</f>
        <v/>
      </c>
    </row>
    <row r="570" spans="1:35" x14ac:dyDescent="0.2">
      <c r="A570" s="19">
        <v>565</v>
      </c>
      <c r="B570" s="19">
        <f t="shared" si="136"/>
        <v>16</v>
      </c>
      <c r="C570" s="19">
        <f t="shared" si="137"/>
        <v>25</v>
      </c>
      <c r="D570" s="19">
        <f>IF($C570&gt;p_horizon,0,IFERROR(IF(AND(INDEX(TblClusters[Cluster],$B570)&lt;&gt;"",ISNUMBER(INDEX(TblClusters[CPU initial (vCPU)],$B570)),ISNUMBER(INDEX(TblClusters[CPU min (vCPU)],$B570)),OR(INDEX(TblClusters[Plateforme],$B570)="IKS",INDEX(TblClusters[Plateforme],$B570)="ROKS")),1,0),0))</f>
        <v>0</v>
      </c>
      <c r="E570" s="72" t="str">
        <f t="shared" si="138"/>
        <v/>
      </c>
      <c r="F570" s="19" t="str">
        <f>IF($D570=1,INDEX(TblClusters[Cluster],$B570),"")</f>
        <v/>
      </c>
      <c r="G570" s="19" t="str">
        <f>IF($D570=1,INDEX(TblClusters[Plateforme],$B570),"")</f>
        <v/>
      </c>
      <c r="H570" s="19" t="str">
        <f>IF($D570=1,INDEX(TblClusters[vCPU par nœud],$B570),"")</f>
        <v/>
      </c>
      <c r="I570" s="19" t="str">
        <f>IF($D570=1,INDEX(TblClusters[RAM par nœud (Go)],$B570),"")</f>
        <v/>
      </c>
      <c r="J570" s="19" t="str">
        <f>IF($D570=1,INDEX(TblClusters[Workers min],$B570),"")</f>
        <v/>
      </c>
      <c r="K570" s="73" t="str">
        <f>IF($D570=1,INDEX(TblClusters[Tarif par nœud],$B570),"")</f>
        <v/>
      </c>
      <c r="L570" s="19" t="str">
        <f>IF($D570=1,INDEX(TblClusters[CPU initial (vCPU)],$B570),"")</f>
        <v/>
      </c>
      <c r="M570" s="19" t="str">
        <f>IF($D570=1,INDEX(TblClusters[RAM initiale (Go)],$B570),"")</f>
        <v/>
      </c>
      <c r="N570" s="19" t="str">
        <f>IF($D570=1,INDEX(TblClusters[CPU min (vCPU)],$B570),"")</f>
        <v/>
      </c>
      <c r="O570" s="19" t="str">
        <f>IF($D570=1,INDEX(TblClusters[RAM min (Go)],$B570),"")</f>
        <v/>
      </c>
      <c r="P570" s="19" t="str">
        <f>IF($D570&lt;&gt;1,"",IF($G570="ROKS",SUMIFS(TblApplications[Besoin ROKS CPU (vCPU)],TblApplications[Cluster ROKS cible],$F570,TblApplications[Action],"À migrer",TblApplications[Déjà incluse ROKS],"Non",TblApplications[Mois prov (calc)],"&lt;="&amp;$E570),SUMIFS(TblApplications[CPU IKS libérable (vCPU)],TblApplications[Cluster IKS source],$F570,TblApplications[Mois lib (calc)],"&lt;="&amp;$E570)))</f>
        <v/>
      </c>
      <c r="Q570" s="19" t="str">
        <f>IF($D570&lt;&gt;1,"",IF($G570="ROKS",SUMIFS(TblApplications[Besoin ROKS RAM (Go)],TblApplications[Cluster ROKS cible],$F570,TblApplications[Action],"À migrer",TblApplications[Déjà incluse ROKS],"Non",TblApplications[Mois prov (calc)],"&lt;="&amp;$E570),SUMIFS(TblApplications[RAM IKS libérable (Go)],TblApplications[Cluster IKS source],$F570,TblApplications[Mois lib (calc)],"&lt;="&amp;$E570)))</f>
        <v/>
      </c>
      <c r="R570" s="19" t="str">
        <f t="shared" si="139"/>
        <v/>
      </c>
      <c r="S570" s="19" t="str">
        <f t="shared" si="140"/>
        <v/>
      </c>
      <c r="T570" s="19" t="str">
        <f t="shared" si="141"/>
        <v/>
      </c>
      <c r="U570" s="19" t="str">
        <f t="shared" si="142"/>
        <v/>
      </c>
      <c r="V570" s="19" t="str">
        <f t="shared" si="143"/>
        <v/>
      </c>
      <c r="W570" s="73" t="str">
        <f t="shared" si="144"/>
        <v/>
      </c>
      <c r="X570" s="19" t="str">
        <f>IF($D570&lt;&gt;1,"",IF($G570="ROKS",$R570,IF($AI570=1,0,MAX($N570,$L570-SUMIFS(TblApplications[CPU IKS libérable (vCPU)],TblApplications[Cluster IKS source],$F570,TblApplications[Action],"À migrer",TblApplications[Mois prov (calc)],"&lt;="&amp;$E570)-SUMIFS(TblApplications[CPU IKS libérable (vCPU)],TblApplications[Cluster IKS source],$F570,TblApplications[Action],"À décommissionner",TblApplications[Mois lib (calc)],"&lt;="&amp;$E570)))))</f>
        <v/>
      </c>
      <c r="Y570" s="19" t="str">
        <f>IF($D570&lt;&gt;1,"",IF($G570="ROKS",$S570,IF($AI570=1,0,MAX($O570,$M570-SUMIFS(TblApplications[RAM IKS libérable (Go)],TblApplications[Cluster IKS source],$F570,TblApplications[Action],"À migrer",TblApplications[Mois prov (calc)],"&lt;="&amp;$E570)-SUMIFS(TblApplications[RAM IKS libérable (Go)],TblApplications[Cluster IKS source],$F570,TblApplications[Action],"À décommissionner",TblApplications[Mois lib (calc)],"&lt;="&amp;$E570)))))</f>
        <v/>
      </c>
      <c r="Z570" s="19" t="str">
        <f t="shared" si="145"/>
        <v/>
      </c>
      <c r="AA570" s="73" t="str">
        <f t="shared" si="146"/>
        <v/>
      </c>
      <c r="AB570" s="19" t="str">
        <f t="shared" si="147"/>
        <v/>
      </c>
      <c r="AC570" s="73" t="str">
        <f t="shared" si="148"/>
        <v/>
      </c>
      <c r="AD570" s="19" t="str">
        <f t="shared" si="149"/>
        <v/>
      </c>
      <c r="AE570" s="19" t="str">
        <f t="shared" si="150"/>
        <v/>
      </c>
      <c r="AF570" s="19" t="str">
        <f>IF($D570&lt;&gt;1,"",IF(INDEX(TblClusters[Environnement],$B570)="","(vide)",INDEX(TblClusters[Environnement],$B570)))</f>
        <v/>
      </c>
      <c r="AG570" s="19" t="str">
        <f t="shared" si="151"/>
        <v/>
      </c>
      <c r="AH570" s="19" t="str">
        <f t="shared" si="152"/>
        <v/>
      </c>
      <c r="AI570" s="19" t="str">
        <f>IF($D570&lt;&gt;1,"",IF(AND($G570="IKS",ISNUMBER(INDEX(TblClusters[Fermeture retenue],$B570))),IF($E570&gt;=INDEX(TblClusters[Fermeture retenue],$B570),1,0),0))</f>
        <v/>
      </c>
    </row>
    <row r="571" spans="1:35" x14ac:dyDescent="0.2">
      <c r="A571" s="19">
        <v>566</v>
      </c>
      <c r="B571" s="19">
        <f t="shared" si="136"/>
        <v>16</v>
      </c>
      <c r="C571" s="19">
        <f t="shared" si="137"/>
        <v>26</v>
      </c>
      <c r="D571" s="19">
        <f>IF($C571&gt;p_horizon,0,IFERROR(IF(AND(INDEX(TblClusters[Cluster],$B571)&lt;&gt;"",ISNUMBER(INDEX(TblClusters[CPU initial (vCPU)],$B571)),ISNUMBER(INDEX(TblClusters[CPU min (vCPU)],$B571)),OR(INDEX(TblClusters[Plateforme],$B571)="IKS",INDEX(TblClusters[Plateforme],$B571)="ROKS")),1,0),0))</f>
        <v>0</v>
      </c>
      <c r="E571" s="72" t="str">
        <f t="shared" si="138"/>
        <v/>
      </c>
      <c r="F571" s="19" t="str">
        <f>IF($D571=1,INDEX(TblClusters[Cluster],$B571),"")</f>
        <v/>
      </c>
      <c r="G571" s="19" t="str">
        <f>IF($D571=1,INDEX(TblClusters[Plateforme],$B571),"")</f>
        <v/>
      </c>
      <c r="H571" s="19" t="str">
        <f>IF($D571=1,INDEX(TblClusters[vCPU par nœud],$B571),"")</f>
        <v/>
      </c>
      <c r="I571" s="19" t="str">
        <f>IF($D571=1,INDEX(TblClusters[RAM par nœud (Go)],$B571),"")</f>
        <v/>
      </c>
      <c r="J571" s="19" t="str">
        <f>IF($D571=1,INDEX(TblClusters[Workers min],$B571),"")</f>
        <v/>
      </c>
      <c r="K571" s="73" t="str">
        <f>IF($D571=1,INDEX(TblClusters[Tarif par nœud],$B571),"")</f>
        <v/>
      </c>
      <c r="L571" s="19" t="str">
        <f>IF($D571=1,INDEX(TblClusters[CPU initial (vCPU)],$B571),"")</f>
        <v/>
      </c>
      <c r="M571" s="19" t="str">
        <f>IF($D571=1,INDEX(TblClusters[RAM initiale (Go)],$B571),"")</f>
        <v/>
      </c>
      <c r="N571" s="19" t="str">
        <f>IF($D571=1,INDEX(TblClusters[CPU min (vCPU)],$B571),"")</f>
        <v/>
      </c>
      <c r="O571" s="19" t="str">
        <f>IF($D571=1,INDEX(TblClusters[RAM min (Go)],$B571),"")</f>
        <v/>
      </c>
      <c r="P571" s="19" t="str">
        <f>IF($D571&lt;&gt;1,"",IF($G571="ROKS",SUMIFS(TblApplications[Besoin ROKS CPU (vCPU)],TblApplications[Cluster ROKS cible],$F571,TblApplications[Action],"À migrer",TblApplications[Déjà incluse ROKS],"Non",TblApplications[Mois prov (calc)],"&lt;="&amp;$E571),SUMIFS(TblApplications[CPU IKS libérable (vCPU)],TblApplications[Cluster IKS source],$F571,TblApplications[Mois lib (calc)],"&lt;="&amp;$E571)))</f>
        <v/>
      </c>
      <c r="Q571" s="19" t="str">
        <f>IF($D571&lt;&gt;1,"",IF($G571="ROKS",SUMIFS(TblApplications[Besoin ROKS RAM (Go)],TblApplications[Cluster ROKS cible],$F571,TblApplications[Action],"À migrer",TblApplications[Déjà incluse ROKS],"Non",TblApplications[Mois prov (calc)],"&lt;="&amp;$E571),SUMIFS(TblApplications[RAM IKS libérable (Go)],TblApplications[Cluster IKS source],$F571,TblApplications[Mois lib (calc)],"&lt;="&amp;$E571)))</f>
        <v/>
      </c>
      <c r="R571" s="19" t="str">
        <f t="shared" si="139"/>
        <v/>
      </c>
      <c r="S571" s="19" t="str">
        <f t="shared" si="140"/>
        <v/>
      </c>
      <c r="T571" s="19" t="str">
        <f t="shared" si="141"/>
        <v/>
      </c>
      <c r="U571" s="19" t="str">
        <f t="shared" si="142"/>
        <v/>
      </c>
      <c r="V571" s="19" t="str">
        <f t="shared" si="143"/>
        <v/>
      </c>
      <c r="W571" s="73" t="str">
        <f t="shared" si="144"/>
        <v/>
      </c>
      <c r="X571" s="19" t="str">
        <f>IF($D571&lt;&gt;1,"",IF($G571="ROKS",$R571,IF($AI571=1,0,MAX($N571,$L571-SUMIFS(TblApplications[CPU IKS libérable (vCPU)],TblApplications[Cluster IKS source],$F571,TblApplications[Action],"À migrer",TblApplications[Mois prov (calc)],"&lt;="&amp;$E571)-SUMIFS(TblApplications[CPU IKS libérable (vCPU)],TblApplications[Cluster IKS source],$F571,TblApplications[Action],"À décommissionner",TblApplications[Mois lib (calc)],"&lt;="&amp;$E571)))))</f>
        <v/>
      </c>
      <c r="Y571" s="19" t="str">
        <f>IF($D571&lt;&gt;1,"",IF($G571="ROKS",$S571,IF($AI571=1,0,MAX($O571,$M571-SUMIFS(TblApplications[RAM IKS libérable (Go)],TblApplications[Cluster IKS source],$F571,TblApplications[Action],"À migrer",TblApplications[Mois prov (calc)],"&lt;="&amp;$E571)-SUMIFS(TblApplications[RAM IKS libérable (Go)],TblApplications[Cluster IKS source],$F571,TblApplications[Action],"À décommissionner",TblApplications[Mois lib (calc)],"&lt;="&amp;$E571)))))</f>
        <v/>
      </c>
      <c r="Z571" s="19" t="str">
        <f t="shared" si="145"/>
        <v/>
      </c>
      <c r="AA571" s="73" t="str">
        <f t="shared" si="146"/>
        <v/>
      </c>
      <c r="AB571" s="19" t="str">
        <f t="shared" si="147"/>
        <v/>
      </c>
      <c r="AC571" s="73" t="str">
        <f t="shared" si="148"/>
        <v/>
      </c>
      <c r="AD571" s="19" t="str">
        <f t="shared" si="149"/>
        <v/>
      </c>
      <c r="AE571" s="19" t="str">
        <f t="shared" si="150"/>
        <v/>
      </c>
      <c r="AF571" s="19" t="str">
        <f>IF($D571&lt;&gt;1,"",IF(INDEX(TblClusters[Environnement],$B571)="","(vide)",INDEX(TblClusters[Environnement],$B571)))</f>
        <v/>
      </c>
      <c r="AG571" s="19" t="str">
        <f t="shared" si="151"/>
        <v/>
      </c>
      <c r="AH571" s="19" t="str">
        <f t="shared" si="152"/>
        <v/>
      </c>
      <c r="AI571" s="19" t="str">
        <f>IF($D571&lt;&gt;1,"",IF(AND($G571="IKS",ISNUMBER(INDEX(TblClusters[Fermeture retenue],$B571))),IF($E571&gt;=INDEX(TblClusters[Fermeture retenue],$B571),1,0),0))</f>
        <v/>
      </c>
    </row>
    <row r="572" spans="1:35" x14ac:dyDescent="0.2">
      <c r="A572" s="19">
        <v>567</v>
      </c>
      <c r="B572" s="19">
        <f t="shared" si="136"/>
        <v>16</v>
      </c>
      <c r="C572" s="19">
        <f t="shared" si="137"/>
        <v>27</v>
      </c>
      <c r="D572" s="19">
        <f>IF($C572&gt;p_horizon,0,IFERROR(IF(AND(INDEX(TblClusters[Cluster],$B572)&lt;&gt;"",ISNUMBER(INDEX(TblClusters[CPU initial (vCPU)],$B572)),ISNUMBER(INDEX(TblClusters[CPU min (vCPU)],$B572)),OR(INDEX(TblClusters[Plateforme],$B572)="IKS",INDEX(TblClusters[Plateforme],$B572)="ROKS")),1,0),0))</f>
        <v>0</v>
      </c>
      <c r="E572" s="72" t="str">
        <f t="shared" si="138"/>
        <v/>
      </c>
      <c r="F572" s="19" t="str">
        <f>IF($D572=1,INDEX(TblClusters[Cluster],$B572),"")</f>
        <v/>
      </c>
      <c r="G572" s="19" t="str">
        <f>IF($D572=1,INDEX(TblClusters[Plateforme],$B572),"")</f>
        <v/>
      </c>
      <c r="H572" s="19" t="str">
        <f>IF($D572=1,INDEX(TblClusters[vCPU par nœud],$B572),"")</f>
        <v/>
      </c>
      <c r="I572" s="19" t="str">
        <f>IF($D572=1,INDEX(TblClusters[RAM par nœud (Go)],$B572),"")</f>
        <v/>
      </c>
      <c r="J572" s="19" t="str">
        <f>IF($D572=1,INDEX(TblClusters[Workers min],$B572),"")</f>
        <v/>
      </c>
      <c r="K572" s="73" t="str">
        <f>IF($D572=1,INDEX(TblClusters[Tarif par nœud],$B572),"")</f>
        <v/>
      </c>
      <c r="L572" s="19" t="str">
        <f>IF($D572=1,INDEX(TblClusters[CPU initial (vCPU)],$B572),"")</f>
        <v/>
      </c>
      <c r="M572" s="19" t="str">
        <f>IF($D572=1,INDEX(TblClusters[RAM initiale (Go)],$B572),"")</f>
        <v/>
      </c>
      <c r="N572" s="19" t="str">
        <f>IF($D572=1,INDEX(TblClusters[CPU min (vCPU)],$B572),"")</f>
        <v/>
      </c>
      <c r="O572" s="19" t="str">
        <f>IF($D572=1,INDEX(TblClusters[RAM min (Go)],$B572),"")</f>
        <v/>
      </c>
      <c r="P572" s="19" t="str">
        <f>IF($D572&lt;&gt;1,"",IF($G572="ROKS",SUMIFS(TblApplications[Besoin ROKS CPU (vCPU)],TblApplications[Cluster ROKS cible],$F572,TblApplications[Action],"À migrer",TblApplications[Déjà incluse ROKS],"Non",TblApplications[Mois prov (calc)],"&lt;="&amp;$E572),SUMIFS(TblApplications[CPU IKS libérable (vCPU)],TblApplications[Cluster IKS source],$F572,TblApplications[Mois lib (calc)],"&lt;="&amp;$E572)))</f>
        <v/>
      </c>
      <c r="Q572" s="19" t="str">
        <f>IF($D572&lt;&gt;1,"",IF($G572="ROKS",SUMIFS(TblApplications[Besoin ROKS RAM (Go)],TblApplications[Cluster ROKS cible],$F572,TblApplications[Action],"À migrer",TblApplications[Déjà incluse ROKS],"Non",TblApplications[Mois prov (calc)],"&lt;="&amp;$E572),SUMIFS(TblApplications[RAM IKS libérable (Go)],TblApplications[Cluster IKS source],$F572,TblApplications[Mois lib (calc)],"&lt;="&amp;$E572)))</f>
        <v/>
      </c>
      <c r="R572" s="19" t="str">
        <f t="shared" si="139"/>
        <v/>
      </c>
      <c r="S572" s="19" t="str">
        <f t="shared" si="140"/>
        <v/>
      </c>
      <c r="T572" s="19" t="str">
        <f t="shared" si="141"/>
        <v/>
      </c>
      <c r="U572" s="19" t="str">
        <f t="shared" si="142"/>
        <v/>
      </c>
      <c r="V572" s="19" t="str">
        <f t="shared" si="143"/>
        <v/>
      </c>
      <c r="W572" s="73" t="str">
        <f t="shared" si="144"/>
        <v/>
      </c>
      <c r="X572" s="19" t="str">
        <f>IF($D572&lt;&gt;1,"",IF($G572="ROKS",$R572,IF($AI572=1,0,MAX($N572,$L572-SUMIFS(TblApplications[CPU IKS libérable (vCPU)],TblApplications[Cluster IKS source],$F572,TblApplications[Action],"À migrer",TblApplications[Mois prov (calc)],"&lt;="&amp;$E572)-SUMIFS(TblApplications[CPU IKS libérable (vCPU)],TblApplications[Cluster IKS source],$F572,TblApplications[Action],"À décommissionner",TblApplications[Mois lib (calc)],"&lt;="&amp;$E572)))))</f>
        <v/>
      </c>
      <c r="Y572" s="19" t="str">
        <f>IF($D572&lt;&gt;1,"",IF($G572="ROKS",$S572,IF($AI572=1,0,MAX($O572,$M572-SUMIFS(TblApplications[RAM IKS libérable (Go)],TblApplications[Cluster IKS source],$F572,TblApplications[Action],"À migrer",TblApplications[Mois prov (calc)],"&lt;="&amp;$E572)-SUMIFS(TblApplications[RAM IKS libérable (Go)],TblApplications[Cluster IKS source],$F572,TblApplications[Action],"À décommissionner",TblApplications[Mois lib (calc)],"&lt;="&amp;$E572)))))</f>
        <v/>
      </c>
      <c r="Z572" s="19" t="str">
        <f t="shared" si="145"/>
        <v/>
      </c>
      <c r="AA572" s="73" t="str">
        <f t="shared" si="146"/>
        <v/>
      </c>
      <c r="AB572" s="19" t="str">
        <f t="shared" si="147"/>
        <v/>
      </c>
      <c r="AC572" s="73" t="str">
        <f t="shared" si="148"/>
        <v/>
      </c>
      <c r="AD572" s="19" t="str">
        <f t="shared" si="149"/>
        <v/>
      </c>
      <c r="AE572" s="19" t="str">
        <f t="shared" si="150"/>
        <v/>
      </c>
      <c r="AF572" s="19" t="str">
        <f>IF($D572&lt;&gt;1,"",IF(INDEX(TblClusters[Environnement],$B572)="","(vide)",INDEX(TblClusters[Environnement],$B572)))</f>
        <v/>
      </c>
      <c r="AG572" s="19" t="str">
        <f t="shared" si="151"/>
        <v/>
      </c>
      <c r="AH572" s="19" t="str">
        <f t="shared" si="152"/>
        <v/>
      </c>
      <c r="AI572" s="19" t="str">
        <f>IF($D572&lt;&gt;1,"",IF(AND($G572="IKS",ISNUMBER(INDEX(TblClusters[Fermeture retenue],$B572))),IF($E572&gt;=INDEX(TblClusters[Fermeture retenue],$B572),1,0),0))</f>
        <v/>
      </c>
    </row>
    <row r="573" spans="1:35" x14ac:dyDescent="0.2">
      <c r="A573" s="19">
        <v>568</v>
      </c>
      <c r="B573" s="19">
        <f t="shared" si="136"/>
        <v>16</v>
      </c>
      <c r="C573" s="19">
        <f t="shared" si="137"/>
        <v>28</v>
      </c>
      <c r="D573" s="19">
        <f>IF($C573&gt;p_horizon,0,IFERROR(IF(AND(INDEX(TblClusters[Cluster],$B573)&lt;&gt;"",ISNUMBER(INDEX(TblClusters[CPU initial (vCPU)],$B573)),ISNUMBER(INDEX(TblClusters[CPU min (vCPU)],$B573)),OR(INDEX(TblClusters[Plateforme],$B573)="IKS",INDEX(TblClusters[Plateforme],$B573)="ROKS")),1,0),0))</f>
        <v>0</v>
      </c>
      <c r="E573" s="72" t="str">
        <f t="shared" si="138"/>
        <v/>
      </c>
      <c r="F573" s="19" t="str">
        <f>IF($D573=1,INDEX(TblClusters[Cluster],$B573),"")</f>
        <v/>
      </c>
      <c r="G573" s="19" t="str">
        <f>IF($D573=1,INDEX(TblClusters[Plateforme],$B573),"")</f>
        <v/>
      </c>
      <c r="H573" s="19" t="str">
        <f>IF($D573=1,INDEX(TblClusters[vCPU par nœud],$B573),"")</f>
        <v/>
      </c>
      <c r="I573" s="19" t="str">
        <f>IF($D573=1,INDEX(TblClusters[RAM par nœud (Go)],$B573),"")</f>
        <v/>
      </c>
      <c r="J573" s="19" t="str">
        <f>IF($D573=1,INDEX(TblClusters[Workers min],$B573),"")</f>
        <v/>
      </c>
      <c r="K573" s="73" t="str">
        <f>IF($D573=1,INDEX(TblClusters[Tarif par nœud],$B573),"")</f>
        <v/>
      </c>
      <c r="L573" s="19" t="str">
        <f>IF($D573=1,INDEX(TblClusters[CPU initial (vCPU)],$B573),"")</f>
        <v/>
      </c>
      <c r="M573" s="19" t="str">
        <f>IF($D573=1,INDEX(TblClusters[RAM initiale (Go)],$B573),"")</f>
        <v/>
      </c>
      <c r="N573" s="19" t="str">
        <f>IF($D573=1,INDEX(TblClusters[CPU min (vCPU)],$B573),"")</f>
        <v/>
      </c>
      <c r="O573" s="19" t="str">
        <f>IF($D573=1,INDEX(TblClusters[RAM min (Go)],$B573),"")</f>
        <v/>
      </c>
      <c r="P573" s="19" t="str">
        <f>IF($D573&lt;&gt;1,"",IF($G573="ROKS",SUMIFS(TblApplications[Besoin ROKS CPU (vCPU)],TblApplications[Cluster ROKS cible],$F573,TblApplications[Action],"À migrer",TblApplications[Déjà incluse ROKS],"Non",TblApplications[Mois prov (calc)],"&lt;="&amp;$E573),SUMIFS(TblApplications[CPU IKS libérable (vCPU)],TblApplications[Cluster IKS source],$F573,TblApplications[Mois lib (calc)],"&lt;="&amp;$E573)))</f>
        <v/>
      </c>
      <c r="Q573" s="19" t="str">
        <f>IF($D573&lt;&gt;1,"",IF($G573="ROKS",SUMIFS(TblApplications[Besoin ROKS RAM (Go)],TblApplications[Cluster ROKS cible],$F573,TblApplications[Action],"À migrer",TblApplications[Déjà incluse ROKS],"Non",TblApplications[Mois prov (calc)],"&lt;="&amp;$E573),SUMIFS(TblApplications[RAM IKS libérable (Go)],TblApplications[Cluster IKS source],$F573,TblApplications[Mois lib (calc)],"&lt;="&amp;$E573)))</f>
        <v/>
      </c>
      <c r="R573" s="19" t="str">
        <f t="shared" si="139"/>
        <v/>
      </c>
      <c r="S573" s="19" t="str">
        <f t="shared" si="140"/>
        <v/>
      </c>
      <c r="T573" s="19" t="str">
        <f t="shared" si="141"/>
        <v/>
      </c>
      <c r="U573" s="19" t="str">
        <f t="shared" si="142"/>
        <v/>
      </c>
      <c r="V573" s="19" t="str">
        <f t="shared" si="143"/>
        <v/>
      </c>
      <c r="W573" s="73" t="str">
        <f t="shared" si="144"/>
        <v/>
      </c>
      <c r="X573" s="19" t="str">
        <f>IF($D573&lt;&gt;1,"",IF($G573="ROKS",$R573,IF($AI573=1,0,MAX($N573,$L573-SUMIFS(TblApplications[CPU IKS libérable (vCPU)],TblApplications[Cluster IKS source],$F573,TblApplications[Action],"À migrer",TblApplications[Mois prov (calc)],"&lt;="&amp;$E573)-SUMIFS(TblApplications[CPU IKS libérable (vCPU)],TblApplications[Cluster IKS source],$F573,TblApplications[Action],"À décommissionner",TblApplications[Mois lib (calc)],"&lt;="&amp;$E573)))))</f>
        <v/>
      </c>
      <c r="Y573" s="19" t="str">
        <f>IF($D573&lt;&gt;1,"",IF($G573="ROKS",$S573,IF($AI573=1,0,MAX($O573,$M573-SUMIFS(TblApplications[RAM IKS libérable (Go)],TblApplications[Cluster IKS source],$F573,TblApplications[Action],"À migrer",TblApplications[Mois prov (calc)],"&lt;="&amp;$E573)-SUMIFS(TblApplications[RAM IKS libérable (Go)],TblApplications[Cluster IKS source],$F573,TblApplications[Action],"À décommissionner",TblApplications[Mois lib (calc)],"&lt;="&amp;$E573)))))</f>
        <v/>
      </c>
      <c r="Z573" s="19" t="str">
        <f t="shared" si="145"/>
        <v/>
      </c>
      <c r="AA573" s="73" t="str">
        <f t="shared" si="146"/>
        <v/>
      </c>
      <c r="AB573" s="19" t="str">
        <f t="shared" si="147"/>
        <v/>
      </c>
      <c r="AC573" s="73" t="str">
        <f t="shared" si="148"/>
        <v/>
      </c>
      <c r="AD573" s="19" t="str">
        <f t="shared" si="149"/>
        <v/>
      </c>
      <c r="AE573" s="19" t="str">
        <f t="shared" si="150"/>
        <v/>
      </c>
      <c r="AF573" s="19" t="str">
        <f>IF($D573&lt;&gt;1,"",IF(INDEX(TblClusters[Environnement],$B573)="","(vide)",INDEX(TblClusters[Environnement],$B573)))</f>
        <v/>
      </c>
      <c r="AG573" s="19" t="str">
        <f t="shared" si="151"/>
        <v/>
      </c>
      <c r="AH573" s="19" t="str">
        <f t="shared" si="152"/>
        <v/>
      </c>
      <c r="AI573" s="19" t="str">
        <f>IF($D573&lt;&gt;1,"",IF(AND($G573="IKS",ISNUMBER(INDEX(TblClusters[Fermeture retenue],$B573))),IF($E573&gt;=INDEX(TblClusters[Fermeture retenue],$B573),1,0),0))</f>
        <v/>
      </c>
    </row>
    <row r="574" spans="1:35" x14ac:dyDescent="0.2">
      <c r="A574" s="19">
        <v>569</v>
      </c>
      <c r="B574" s="19">
        <f t="shared" si="136"/>
        <v>16</v>
      </c>
      <c r="C574" s="19">
        <f t="shared" si="137"/>
        <v>29</v>
      </c>
      <c r="D574" s="19">
        <f>IF($C574&gt;p_horizon,0,IFERROR(IF(AND(INDEX(TblClusters[Cluster],$B574)&lt;&gt;"",ISNUMBER(INDEX(TblClusters[CPU initial (vCPU)],$B574)),ISNUMBER(INDEX(TblClusters[CPU min (vCPU)],$B574)),OR(INDEX(TblClusters[Plateforme],$B574)="IKS",INDEX(TblClusters[Plateforme],$B574)="ROKS")),1,0),0))</f>
        <v>0</v>
      </c>
      <c r="E574" s="72" t="str">
        <f t="shared" si="138"/>
        <v/>
      </c>
      <c r="F574" s="19" t="str">
        <f>IF($D574=1,INDEX(TblClusters[Cluster],$B574),"")</f>
        <v/>
      </c>
      <c r="G574" s="19" t="str">
        <f>IF($D574=1,INDEX(TblClusters[Plateforme],$B574),"")</f>
        <v/>
      </c>
      <c r="H574" s="19" t="str">
        <f>IF($D574=1,INDEX(TblClusters[vCPU par nœud],$B574),"")</f>
        <v/>
      </c>
      <c r="I574" s="19" t="str">
        <f>IF($D574=1,INDEX(TblClusters[RAM par nœud (Go)],$B574),"")</f>
        <v/>
      </c>
      <c r="J574" s="19" t="str">
        <f>IF($D574=1,INDEX(TblClusters[Workers min],$B574),"")</f>
        <v/>
      </c>
      <c r="K574" s="73" t="str">
        <f>IF($D574=1,INDEX(TblClusters[Tarif par nœud],$B574),"")</f>
        <v/>
      </c>
      <c r="L574" s="19" t="str">
        <f>IF($D574=1,INDEX(TblClusters[CPU initial (vCPU)],$B574),"")</f>
        <v/>
      </c>
      <c r="M574" s="19" t="str">
        <f>IF($D574=1,INDEX(TblClusters[RAM initiale (Go)],$B574),"")</f>
        <v/>
      </c>
      <c r="N574" s="19" t="str">
        <f>IF($D574=1,INDEX(TblClusters[CPU min (vCPU)],$B574),"")</f>
        <v/>
      </c>
      <c r="O574" s="19" t="str">
        <f>IF($D574=1,INDEX(TblClusters[RAM min (Go)],$B574),"")</f>
        <v/>
      </c>
      <c r="P574" s="19" t="str">
        <f>IF($D574&lt;&gt;1,"",IF($G574="ROKS",SUMIFS(TblApplications[Besoin ROKS CPU (vCPU)],TblApplications[Cluster ROKS cible],$F574,TblApplications[Action],"À migrer",TblApplications[Déjà incluse ROKS],"Non",TblApplications[Mois prov (calc)],"&lt;="&amp;$E574),SUMIFS(TblApplications[CPU IKS libérable (vCPU)],TblApplications[Cluster IKS source],$F574,TblApplications[Mois lib (calc)],"&lt;="&amp;$E574)))</f>
        <v/>
      </c>
      <c r="Q574" s="19" t="str">
        <f>IF($D574&lt;&gt;1,"",IF($G574="ROKS",SUMIFS(TblApplications[Besoin ROKS RAM (Go)],TblApplications[Cluster ROKS cible],$F574,TblApplications[Action],"À migrer",TblApplications[Déjà incluse ROKS],"Non",TblApplications[Mois prov (calc)],"&lt;="&amp;$E574),SUMIFS(TblApplications[RAM IKS libérable (Go)],TblApplications[Cluster IKS source],$F574,TblApplications[Mois lib (calc)],"&lt;="&amp;$E574)))</f>
        <v/>
      </c>
      <c r="R574" s="19" t="str">
        <f t="shared" si="139"/>
        <v/>
      </c>
      <c r="S574" s="19" t="str">
        <f t="shared" si="140"/>
        <v/>
      </c>
      <c r="T574" s="19" t="str">
        <f t="shared" si="141"/>
        <v/>
      </c>
      <c r="U574" s="19" t="str">
        <f t="shared" si="142"/>
        <v/>
      </c>
      <c r="V574" s="19" t="str">
        <f t="shared" si="143"/>
        <v/>
      </c>
      <c r="W574" s="73" t="str">
        <f t="shared" si="144"/>
        <v/>
      </c>
      <c r="X574" s="19" t="str">
        <f>IF($D574&lt;&gt;1,"",IF($G574="ROKS",$R574,IF($AI574=1,0,MAX($N574,$L574-SUMIFS(TblApplications[CPU IKS libérable (vCPU)],TblApplications[Cluster IKS source],$F574,TblApplications[Action],"À migrer",TblApplications[Mois prov (calc)],"&lt;="&amp;$E574)-SUMIFS(TblApplications[CPU IKS libérable (vCPU)],TblApplications[Cluster IKS source],$F574,TblApplications[Action],"À décommissionner",TblApplications[Mois lib (calc)],"&lt;="&amp;$E574)))))</f>
        <v/>
      </c>
      <c r="Y574" s="19" t="str">
        <f>IF($D574&lt;&gt;1,"",IF($G574="ROKS",$S574,IF($AI574=1,0,MAX($O574,$M574-SUMIFS(TblApplications[RAM IKS libérable (Go)],TblApplications[Cluster IKS source],$F574,TblApplications[Action],"À migrer",TblApplications[Mois prov (calc)],"&lt;="&amp;$E574)-SUMIFS(TblApplications[RAM IKS libérable (Go)],TblApplications[Cluster IKS source],$F574,TblApplications[Action],"À décommissionner",TblApplications[Mois lib (calc)],"&lt;="&amp;$E574)))))</f>
        <v/>
      </c>
      <c r="Z574" s="19" t="str">
        <f t="shared" si="145"/>
        <v/>
      </c>
      <c r="AA574" s="73" t="str">
        <f t="shared" si="146"/>
        <v/>
      </c>
      <c r="AB574" s="19" t="str">
        <f t="shared" si="147"/>
        <v/>
      </c>
      <c r="AC574" s="73" t="str">
        <f t="shared" si="148"/>
        <v/>
      </c>
      <c r="AD574" s="19" t="str">
        <f t="shared" si="149"/>
        <v/>
      </c>
      <c r="AE574" s="19" t="str">
        <f t="shared" si="150"/>
        <v/>
      </c>
      <c r="AF574" s="19" t="str">
        <f>IF($D574&lt;&gt;1,"",IF(INDEX(TblClusters[Environnement],$B574)="","(vide)",INDEX(TblClusters[Environnement],$B574)))</f>
        <v/>
      </c>
      <c r="AG574" s="19" t="str">
        <f t="shared" si="151"/>
        <v/>
      </c>
      <c r="AH574" s="19" t="str">
        <f t="shared" si="152"/>
        <v/>
      </c>
      <c r="AI574" s="19" t="str">
        <f>IF($D574&lt;&gt;1,"",IF(AND($G574="IKS",ISNUMBER(INDEX(TblClusters[Fermeture retenue],$B574))),IF($E574&gt;=INDEX(TblClusters[Fermeture retenue],$B574),1,0),0))</f>
        <v/>
      </c>
    </row>
    <row r="575" spans="1:35" x14ac:dyDescent="0.2">
      <c r="A575" s="19">
        <v>570</v>
      </c>
      <c r="B575" s="19">
        <f t="shared" si="136"/>
        <v>16</v>
      </c>
      <c r="C575" s="19">
        <f t="shared" si="137"/>
        <v>30</v>
      </c>
      <c r="D575" s="19">
        <f>IF($C575&gt;p_horizon,0,IFERROR(IF(AND(INDEX(TblClusters[Cluster],$B575)&lt;&gt;"",ISNUMBER(INDEX(TblClusters[CPU initial (vCPU)],$B575)),ISNUMBER(INDEX(TblClusters[CPU min (vCPU)],$B575)),OR(INDEX(TblClusters[Plateforme],$B575)="IKS",INDEX(TblClusters[Plateforme],$B575)="ROKS")),1,0),0))</f>
        <v>0</v>
      </c>
      <c r="E575" s="72" t="str">
        <f t="shared" si="138"/>
        <v/>
      </c>
      <c r="F575" s="19" t="str">
        <f>IF($D575=1,INDEX(TblClusters[Cluster],$B575),"")</f>
        <v/>
      </c>
      <c r="G575" s="19" t="str">
        <f>IF($D575=1,INDEX(TblClusters[Plateforme],$B575),"")</f>
        <v/>
      </c>
      <c r="H575" s="19" t="str">
        <f>IF($D575=1,INDEX(TblClusters[vCPU par nœud],$B575),"")</f>
        <v/>
      </c>
      <c r="I575" s="19" t="str">
        <f>IF($D575=1,INDEX(TblClusters[RAM par nœud (Go)],$B575),"")</f>
        <v/>
      </c>
      <c r="J575" s="19" t="str">
        <f>IF($D575=1,INDEX(TblClusters[Workers min],$B575),"")</f>
        <v/>
      </c>
      <c r="K575" s="73" t="str">
        <f>IF($D575=1,INDEX(TblClusters[Tarif par nœud],$B575),"")</f>
        <v/>
      </c>
      <c r="L575" s="19" t="str">
        <f>IF($D575=1,INDEX(TblClusters[CPU initial (vCPU)],$B575),"")</f>
        <v/>
      </c>
      <c r="M575" s="19" t="str">
        <f>IF($D575=1,INDEX(TblClusters[RAM initiale (Go)],$B575),"")</f>
        <v/>
      </c>
      <c r="N575" s="19" t="str">
        <f>IF($D575=1,INDEX(TblClusters[CPU min (vCPU)],$B575),"")</f>
        <v/>
      </c>
      <c r="O575" s="19" t="str">
        <f>IF($D575=1,INDEX(TblClusters[RAM min (Go)],$B575),"")</f>
        <v/>
      </c>
      <c r="P575" s="19" t="str">
        <f>IF($D575&lt;&gt;1,"",IF($G575="ROKS",SUMIFS(TblApplications[Besoin ROKS CPU (vCPU)],TblApplications[Cluster ROKS cible],$F575,TblApplications[Action],"À migrer",TblApplications[Déjà incluse ROKS],"Non",TblApplications[Mois prov (calc)],"&lt;="&amp;$E575),SUMIFS(TblApplications[CPU IKS libérable (vCPU)],TblApplications[Cluster IKS source],$F575,TblApplications[Mois lib (calc)],"&lt;="&amp;$E575)))</f>
        <v/>
      </c>
      <c r="Q575" s="19" t="str">
        <f>IF($D575&lt;&gt;1,"",IF($G575="ROKS",SUMIFS(TblApplications[Besoin ROKS RAM (Go)],TblApplications[Cluster ROKS cible],$F575,TblApplications[Action],"À migrer",TblApplications[Déjà incluse ROKS],"Non",TblApplications[Mois prov (calc)],"&lt;="&amp;$E575),SUMIFS(TblApplications[RAM IKS libérable (Go)],TblApplications[Cluster IKS source],$F575,TblApplications[Mois lib (calc)],"&lt;="&amp;$E575)))</f>
        <v/>
      </c>
      <c r="R575" s="19" t="str">
        <f t="shared" si="139"/>
        <v/>
      </c>
      <c r="S575" s="19" t="str">
        <f t="shared" si="140"/>
        <v/>
      </c>
      <c r="T575" s="19" t="str">
        <f t="shared" si="141"/>
        <v/>
      </c>
      <c r="U575" s="19" t="str">
        <f t="shared" si="142"/>
        <v/>
      </c>
      <c r="V575" s="19" t="str">
        <f t="shared" si="143"/>
        <v/>
      </c>
      <c r="W575" s="73" t="str">
        <f t="shared" si="144"/>
        <v/>
      </c>
      <c r="X575" s="19" t="str">
        <f>IF($D575&lt;&gt;1,"",IF($G575="ROKS",$R575,IF($AI575=1,0,MAX($N575,$L575-SUMIFS(TblApplications[CPU IKS libérable (vCPU)],TblApplications[Cluster IKS source],$F575,TblApplications[Action],"À migrer",TblApplications[Mois prov (calc)],"&lt;="&amp;$E575)-SUMIFS(TblApplications[CPU IKS libérable (vCPU)],TblApplications[Cluster IKS source],$F575,TblApplications[Action],"À décommissionner",TblApplications[Mois lib (calc)],"&lt;="&amp;$E575)))))</f>
        <v/>
      </c>
      <c r="Y575" s="19" t="str">
        <f>IF($D575&lt;&gt;1,"",IF($G575="ROKS",$S575,IF($AI575=1,0,MAX($O575,$M575-SUMIFS(TblApplications[RAM IKS libérable (Go)],TblApplications[Cluster IKS source],$F575,TblApplications[Action],"À migrer",TblApplications[Mois prov (calc)],"&lt;="&amp;$E575)-SUMIFS(TblApplications[RAM IKS libérable (Go)],TblApplications[Cluster IKS source],$F575,TblApplications[Action],"À décommissionner",TblApplications[Mois lib (calc)],"&lt;="&amp;$E575)))))</f>
        <v/>
      </c>
      <c r="Z575" s="19" t="str">
        <f t="shared" si="145"/>
        <v/>
      </c>
      <c r="AA575" s="73" t="str">
        <f t="shared" si="146"/>
        <v/>
      </c>
      <c r="AB575" s="19" t="str">
        <f t="shared" si="147"/>
        <v/>
      </c>
      <c r="AC575" s="73" t="str">
        <f t="shared" si="148"/>
        <v/>
      </c>
      <c r="AD575" s="19" t="str">
        <f t="shared" si="149"/>
        <v/>
      </c>
      <c r="AE575" s="19" t="str">
        <f t="shared" si="150"/>
        <v/>
      </c>
      <c r="AF575" s="19" t="str">
        <f>IF($D575&lt;&gt;1,"",IF(INDEX(TblClusters[Environnement],$B575)="","(vide)",INDEX(TblClusters[Environnement],$B575)))</f>
        <v/>
      </c>
      <c r="AG575" s="19" t="str">
        <f t="shared" si="151"/>
        <v/>
      </c>
      <c r="AH575" s="19" t="str">
        <f t="shared" si="152"/>
        <v/>
      </c>
      <c r="AI575" s="19" t="str">
        <f>IF($D575&lt;&gt;1,"",IF(AND($G575="IKS",ISNUMBER(INDEX(TblClusters[Fermeture retenue],$B575))),IF($E575&gt;=INDEX(TblClusters[Fermeture retenue],$B575),1,0),0))</f>
        <v/>
      </c>
    </row>
    <row r="576" spans="1:35" x14ac:dyDescent="0.2">
      <c r="A576" s="19">
        <v>571</v>
      </c>
      <c r="B576" s="19">
        <f t="shared" si="136"/>
        <v>16</v>
      </c>
      <c r="C576" s="19">
        <f t="shared" si="137"/>
        <v>31</v>
      </c>
      <c r="D576" s="19">
        <f>IF($C576&gt;p_horizon,0,IFERROR(IF(AND(INDEX(TblClusters[Cluster],$B576)&lt;&gt;"",ISNUMBER(INDEX(TblClusters[CPU initial (vCPU)],$B576)),ISNUMBER(INDEX(TblClusters[CPU min (vCPU)],$B576)),OR(INDEX(TblClusters[Plateforme],$B576)="IKS",INDEX(TblClusters[Plateforme],$B576)="ROKS")),1,0),0))</f>
        <v>0</v>
      </c>
      <c r="E576" s="72" t="str">
        <f t="shared" si="138"/>
        <v/>
      </c>
      <c r="F576" s="19" t="str">
        <f>IF($D576=1,INDEX(TblClusters[Cluster],$B576),"")</f>
        <v/>
      </c>
      <c r="G576" s="19" t="str">
        <f>IF($D576=1,INDEX(TblClusters[Plateforme],$B576),"")</f>
        <v/>
      </c>
      <c r="H576" s="19" t="str">
        <f>IF($D576=1,INDEX(TblClusters[vCPU par nœud],$B576),"")</f>
        <v/>
      </c>
      <c r="I576" s="19" t="str">
        <f>IF($D576=1,INDEX(TblClusters[RAM par nœud (Go)],$B576),"")</f>
        <v/>
      </c>
      <c r="J576" s="19" t="str">
        <f>IF($D576=1,INDEX(TblClusters[Workers min],$B576),"")</f>
        <v/>
      </c>
      <c r="K576" s="73" t="str">
        <f>IF($D576=1,INDEX(TblClusters[Tarif par nœud],$B576),"")</f>
        <v/>
      </c>
      <c r="L576" s="19" t="str">
        <f>IF($D576=1,INDEX(TblClusters[CPU initial (vCPU)],$B576),"")</f>
        <v/>
      </c>
      <c r="M576" s="19" t="str">
        <f>IF($D576=1,INDEX(TblClusters[RAM initiale (Go)],$B576),"")</f>
        <v/>
      </c>
      <c r="N576" s="19" t="str">
        <f>IF($D576=1,INDEX(TblClusters[CPU min (vCPU)],$B576),"")</f>
        <v/>
      </c>
      <c r="O576" s="19" t="str">
        <f>IF($D576=1,INDEX(TblClusters[RAM min (Go)],$B576),"")</f>
        <v/>
      </c>
      <c r="P576" s="19" t="str">
        <f>IF($D576&lt;&gt;1,"",IF($G576="ROKS",SUMIFS(TblApplications[Besoin ROKS CPU (vCPU)],TblApplications[Cluster ROKS cible],$F576,TblApplications[Action],"À migrer",TblApplications[Déjà incluse ROKS],"Non",TblApplications[Mois prov (calc)],"&lt;="&amp;$E576),SUMIFS(TblApplications[CPU IKS libérable (vCPU)],TblApplications[Cluster IKS source],$F576,TblApplications[Mois lib (calc)],"&lt;="&amp;$E576)))</f>
        <v/>
      </c>
      <c r="Q576" s="19" t="str">
        <f>IF($D576&lt;&gt;1,"",IF($G576="ROKS",SUMIFS(TblApplications[Besoin ROKS RAM (Go)],TblApplications[Cluster ROKS cible],$F576,TblApplications[Action],"À migrer",TblApplications[Déjà incluse ROKS],"Non",TblApplications[Mois prov (calc)],"&lt;="&amp;$E576),SUMIFS(TblApplications[RAM IKS libérable (Go)],TblApplications[Cluster IKS source],$F576,TblApplications[Mois lib (calc)],"&lt;="&amp;$E576)))</f>
        <v/>
      </c>
      <c r="R576" s="19" t="str">
        <f t="shared" si="139"/>
        <v/>
      </c>
      <c r="S576" s="19" t="str">
        <f t="shared" si="140"/>
        <v/>
      </c>
      <c r="T576" s="19" t="str">
        <f t="shared" si="141"/>
        <v/>
      </c>
      <c r="U576" s="19" t="str">
        <f t="shared" si="142"/>
        <v/>
      </c>
      <c r="V576" s="19" t="str">
        <f t="shared" si="143"/>
        <v/>
      </c>
      <c r="W576" s="73" t="str">
        <f t="shared" si="144"/>
        <v/>
      </c>
      <c r="X576" s="19" t="str">
        <f>IF($D576&lt;&gt;1,"",IF($G576="ROKS",$R576,IF($AI576=1,0,MAX($N576,$L576-SUMIFS(TblApplications[CPU IKS libérable (vCPU)],TblApplications[Cluster IKS source],$F576,TblApplications[Action],"À migrer",TblApplications[Mois prov (calc)],"&lt;="&amp;$E576)-SUMIFS(TblApplications[CPU IKS libérable (vCPU)],TblApplications[Cluster IKS source],$F576,TblApplications[Action],"À décommissionner",TblApplications[Mois lib (calc)],"&lt;="&amp;$E576)))))</f>
        <v/>
      </c>
      <c r="Y576" s="19" t="str">
        <f>IF($D576&lt;&gt;1,"",IF($G576="ROKS",$S576,IF($AI576=1,0,MAX($O576,$M576-SUMIFS(TblApplications[RAM IKS libérable (Go)],TblApplications[Cluster IKS source],$F576,TblApplications[Action],"À migrer",TblApplications[Mois prov (calc)],"&lt;="&amp;$E576)-SUMIFS(TblApplications[RAM IKS libérable (Go)],TblApplications[Cluster IKS source],$F576,TblApplications[Action],"À décommissionner",TblApplications[Mois lib (calc)],"&lt;="&amp;$E576)))))</f>
        <v/>
      </c>
      <c r="Z576" s="19" t="str">
        <f t="shared" si="145"/>
        <v/>
      </c>
      <c r="AA576" s="73" t="str">
        <f t="shared" si="146"/>
        <v/>
      </c>
      <c r="AB576" s="19" t="str">
        <f t="shared" si="147"/>
        <v/>
      </c>
      <c r="AC576" s="73" t="str">
        <f t="shared" si="148"/>
        <v/>
      </c>
      <c r="AD576" s="19" t="str">
        <f t="shared" si="149"/>
        <v/>
      </c>
      <c r="AE576" s="19" t="str">
        <f t="shared" si="150"/>
        <v/>
      </c>
      <c r="AF576" s="19" t="str">
        <f>IF($D576&lt;&gt;1,"",IF(INDEX(TblClusters[Environnement],$B576)="","(vide)",INDEX(TblClusters[Environnement],$B576)))</f>
        <v/>
      </c>
      <c r="AG576" s="19" t="str">
        <f t="shared" si="151"/>
        <v/>
      </c>
      <c r="AH576" s="19" t="str">
        <f t="shared" si="152"/>
        <v/>
      </c>
      <c r="AI576" s="19" t="str">
        <f>IF($D576&lt;&gt;1,"",IF(AND($G576="IKS",ISNUMBER(INDEX(TblClusters[Fermeture retenue],$B576))),IF($E576&gt;=INDEX(TblClusters[Fermeture retenue],$B576),1,0),0))</f>
        <v/>
      </c>
    </row>
    <row r="577" spans="1:35" x14ac:dyDescent="0.2">
      <c r="A577" s="19">
        <v>572</v>
      </c>
      <c r="B577" s="19">
        <f t="shared" si="136"/>
        <v>16</v>
      </c>
      <c r="C577" s="19">
        <f t="shared" si="137"/>
        <v>32</v>
      </c>
      <c r="D577" s="19">
        <f>IF($C577&gt;p_horizon,0,IFERROR(IF(AND(INDEX(TblClusters[Cluster],$B577)&lt;&gt;"",ISNUMBER(INDEX(TblClusters[CPU initial (vCPU)],$B577)),ISNUMBER(INDEX(TblClusters[CPU min (vCPU)],$B577)),OR(INDEX(TblClusters[Plateforme],$B577)="IKS",INDEX(TblClusters[Plateforme],$B577)="ROKS")),1,0),0))</f>
        <v>0</v>
      </c>
      <c r="E577" s="72" t="str">
        <f t="shared" si="138"/>
        <v/>
      </c>
      <c r="F577" s="19" t="str">
        <f>IF($D577=1,INDEX(TblClusters[Cluster],$B577),"")</f>
        <v/>
      </c>
      <c r="G577" s="19" t="str">
        <f>IF($D577=1,INDEX(TblClusters[Plateforme],$B577),"")</f>
        <v/>
      </c>
      <c r="H577" s="19" t="str">
        <f>IF($D577=1,INDEX(TblClusters[vCPU par nœud],$B577),"")</f>
        <v/>
      </c>
      <c r="I577" s="19" t="str">
        <f>IF($D577=1,INDEX(TblClusters[RAM par nœud (Go)],$B577),"")</f>
        <v/>
      </c>
      <c r="J577" s="19" t="str">
        <f>IF($D577=1,INDEX(TblClusters[Workers min],$B577),"")</f>
        <v/>
      </c>
      <c r="K577" s="73" t="str">
        <f>IF($D577=1,INDEX(TblClusters[Tarif par nœud],$B577),"")</f>
        <v/>
      </c>
      <c r="L577" s="19" t="str">
        <f>IF($D577=1,INDEX(TblClusters[CPU initial (vCPU)],$B577),"")</f>
        <v/>
      </c>
      <c r="M577" s="19" t="str">
        <f>IF($D577=1,INDEX(TblClusters[RAM initiale (Go)],$B577),"")</f>
        <v/>
      </c>
      <c r="N577" s="19" t="str">
        <f>IF($D577=1,INDEX(TblClusters[CPU min (vCPU)],$B577),"")</f>
        <v/>
      </c>
      <c r="O577" s="19" t="str">
        <f>IF($D577=1,INDEX(TblClusters[RAM min (Go)],$B577),"")</f>
        <v/>
      </c>
      <c r="P577" s="19" t="str">
        <f>IF($D577&lt;&gt;1,"",IF($G577="ROKS",SUMIFS(TblApplications[Besoin ROKS CPU (vCPU)],TblApplications[Cluster ROKS cible],$F577,TblApplications[Action],"À migrer",TblApplications[Déjà incluse ROKS],"Non",TblApplications[Mois prov (calc)],"&lt;="&amp;$E577),SUMIFS(TblApplications[CPU IKS libérable (vCPU)],TblApplications[Cluster IKS source],$F577,TblApplications[Mois lib (calc)],"&lt;="&amp;$E577)))</f>
        <v/>
      </c>
      <c r="Q577" s="19" t="str">
        <f>IF($D577&lt;&gt;1,"",IF($G577="ROKS",SUMIFS(TblApplications[Besoin ROKS RAM (Go)],TblApplications[Cluster ROKS cible],$F577,TblApplications[Action],"À migrer",TblApplications[Déjà incluse ROKS],"Non",TblApplications[Mois prov (calc)],"&lt;="&amp;$E577),SUMIFS(TblApplications[RAM IKS libérable (Go)],TblApplications[Cluster IKS source],$F577,TblApplications[Mois lib (calc)],"&lt;="&amp;$E577)))</f>
        <v/>
      </c>
      <c r="R577" s="19" t="str">
        <f t="shared" si="139"/>
        <v/>
      </c>
      <c r="S577" s="19" t="str">
        <f t="shared" si="140"/>
        <v/>
      </c>
      <c r="T577" s="19" t="str">
        <f t="shared" si="141"/>
        <v/>
      </c>
      <c r="U577" s="19" t="str">
        <f t="shared" si="142"/>
        <v/>
      </c>
      <c r="V577" s="19" t="str">
        <f t="shared" si="143"/>
        <v/>
      </c>
      <c r="W577" s="73" t="str">
        <f t="shared" si="144"/>
        <v/>
      </c>
      <c r="X577" s="19" t="str">
        <f>IF($D577&lt;&gt;1,"",IF($G577="ROKS",$R577,IF($AI577=1,0,MAX($N577,$L577-SUMIFS(TblApplications[CPU IKS libérable (vCPU)],TblApplications[Cluster IKS source],$F577,TblApplications[Action],"À migrer",TblApplications[Mois prov (calc)],"&lt;="&amp;$E577)-SUMIFS(TblApplications[CPU IKS libérable (vCPU)],TblApplications[Cluster IKS source],$F577,TblApplications[Action],"À décommissionner",TblApplications[Mois lib (calc)],"&lt;="&amp;$E577)))))</f>
        <v/>
      </c>
      <c r="Y577" s="19" t="str">
        <f>IF($D577&lt;&gt;1,"",IF($G577="ROKS",$S577,IF($AI577=1,0,MAX($O577,$M577-SUMIFS(TblApplications[RAM IKS libérable (Go)],TblApplications[Cluster IKS source],$F577,TblApplications[Action],"À migrer",TblApplications[Mois prov (calc)],"&lt;="&amp;$E577)-SUMIFS(TblApplications[RAM IKS libérable (Go)],TblApplications[Cluster IKS source],$F577,TblApplications[Action],"À décommissionner",TblApplications[Mois lib (calc)],"&lt;="&amp;$E577)))))</f>
        <v/>
      </c>
      <c r="Z577" s="19" t="str">
        <f t="shared" si="145"/>
        <v/>
      </c>
      <c r="AA577" s="73" t="str">
        <f t="shared" si="146"/>
        <v/>
      </c>
      <c r="AB577" s="19" t="str">
        <f t="shared" si="147"/>
        <v/>
      </c>
      <c r="AC577" s="73" t="str">
        <f t="shared" si="148"/>
        <v/>
      </c>
      <c r="AD577" s="19" t="str">
        <f t="shared" si="149"/>
        <v/>
      </c>
      <c r="AE577" s="19" t="str">
        <f t="shared" si="150"/>
        <v/>
      </c>
      <c r="AF577" s="19" t="str">
        <f>IF($D577&lt;&gt;1,"",IF(INDEX(TblClusters[Environnement],$B577)="","(vide)",INDEX(TblClusters[Environnement],$B577)))</f>
        <v/>
      </c>
      <c r="AG577" s="19" t="str">
        <f t="shared" si="151"/>
        <v/>
      </c>
      <c r="AH577" s="19" t="str">
        <f t="shared" si="152"/>
        <v/>
      </c>
      <c r="AI577" s="19" t="str">
        <f>IF($D577&lt;&gt;1,"",IF(AND($G577="IKS",ISNUMBER(INDEX(TblClusters[Fermeture retenue],$B577))),IF($E577&gt;=INDEX(TblClusters[Fermeture retenue],$B577),1,0),0))</f>
        <v/>
      </c>
    </row>
    <row r="578" spans="1:35" x14ac:dyDescent="0.2">
      <c r="A578" s="19">
        <v>573</v>
      </c>
      <c r="B578" s="19">
        <f t="shared" si="136"/>
        <v>16</v>
      </c>
      <c r="C578" s="19">
        <f t="shared" si="137"/>
        <v>33</v>
      </c>
      <c r="D578" s="19">
        <f>IF($C578&gt;p_horizon,0,IFERROR(IF(AND(INDEX(TblClusters[Cluster],$B578)&lt;&gt;"",ISNUMBER(INDEX(TblClusters[CPU initial (vCPU)],$B578)),ISNUMBER(INDEX(TblClusters[CPU min (vCPU)],$B578)),OR(INDEX(TblClusters[Plateforme],$B578)="IKS",INDEX(TblClusters[Plateforme],$B578)="ROKS")),1,0),0))</f>
        <v>0</v>
      </c>
      <c r="E578" s="72" t="str">
        <f t="shared" si="138"/>
        <v/>
      </c>
      <c r="F578" s="19" t="str">
        <f>IF($D578=1,INDEX(TblClusters[Cluster],$B578),"")</f>
        <v/>
      </c>
      <c r="G578" s="19" t="str">
        <f>IF($D578=1,INDEX(TblClusters[Plateforme],$B578),"")</f>
        <v/>
      </c>
      <c r="H578" s="19" t="str">
        <f>IF($D578=1,INDEX(TblClusters[vCPU par nœud],$B578),"")</f>
        <v/>
      </c>
      <c r="I578" s="19" t="str">
        <f>IF($D578=1,INDEX(TblClusters[RAM par nœud (Go)],$B578),"")</f>
        <v/>
      </c>
      <c r="J578" s="19" t="str">
        <f>IF($D578=1,INDEX(TblClusters[Workers min],$B578),"")</f>
        <v/>
      </c>
      <c r="K578" s="73" t="str">
        <f>IF($D578=1,INDEX(TblClusters[Tarif par nœud],$B578),"")</f>
        <v/>
      </c>
      <c r="L578" s="19" t="str">
        <f>IF($D578=1,INDEX(TblClusters[CPU initial (vCPU)],$B578),"")</f>
        <v/>
      </c>
      <c r="M578" s="19" t="str">
        <f>IF($D578=1,INDEX(TblClusters[RAM initiale (Go)],$B578),"")</f>
        <v/>
      </c>
      <c r="N578" s="19" t="str">
        <f>IF($D578=1,INDEX(TblClusters[CPU min (vCPU)],$B578),"")</f>
        <v/>
      </c>
      <c r="O578" s="19" t="str">
        <f>IF($D578=1,INDEX(TblClusters[RAM min (Go)],$B578),"")</f>
        <v/>
      </c>
      <c r="P578" s="19" t="str">
        <f>IF($D578&lt;&gt;1,"",IF($G578="ROKS",SUMIFS(TblApplications[Besoin ROKS CPU (vCPU)],TblApplications[Cluster ROKS cible],$F578,TblApplications[Action],"À migrer",TblApplications[Déjà incluse ROKS],"Non",TblApplications[Mois prov (calc)],"&lt;="&amp;$E578),SUMIFS(TblApplications[CPU IKS libérable (vCPU)],TblApplications[Cluster IKS source],$F578,TblApplications[Mois lib (calc)],"&lt;="&amp;$E578)))</f>
        <v/>
      </c>
      <c r="Q578" s="19" t="str">
        <f>IF($D578&lt;&gt;1,"",IF($G578="ROKS",SUMIFS(TblApplications[Besoin ROKS RAM (Go)],TblApplications[Cluster ROKS cible],$F578,TblApplications[Action],"À migrer",TblApplications[Déjà incluse ROKS],"Non",TblApplications[Mois prov (calc)],"&lt;="&amp;$E578),SUMIFS(TblApplications[RAM IKS libérable (Go)],TblApplications[Cluster IKS source],$F578,TblApplications[Mois lib (calc)],"&lt;="&amp;$E578)))</f>
        <v/>
      </c>
      <c r="R578" s="19" t="str">
        <f t="shared" si="139"/>
        <v/>
      </c>
      <c r="S578" s="19" t="str">
        <f t="shared" si="140"/>
        <v/>
      </c>
      <c r="T578" s="19" t="str">
        <f t="shared" si="141"/>
        <v/>
      </c>
      <c r="U578" s="19" t="str">
        <f t="shared" si="142"/>
        <v/>
      </c>
      <c r="V578" s="19" t="str">
        <f t="shared" si="143"/>
        <v/>
      </c>
      <c r="W578" s="73" t="str">
        <f t="shared" si="144"/>
        <v/>
      </c>
      <c r="X578" s="19" t="str">
        <f>IF($D578&lt;&gt;1,"",IF($G578="ROKS",$R578,IF($AI578=1,0,MAX($N578,$L578-SUMIFS(TblApplications[CPU IKS libérable (vCPU)],TblApplications[Cluster IKS source],$F578,TblApplications[Action],"À migrer",TblApplications[Mois prov (calc)],"&lt;="&amp;$E578)-SUMIFS(TblApplications[CPU IKS libérable (vCPU)],TblApplications[Cluster IKS source],$F578,TblApplications[Action],"À décommissionner",TblApplications[Mois lib (calc)],"&lt;="&amp;$E578)))))</f>
        <v/>
      </c>
      <c r="Y578" s="19" t="str">
        <f>IF($D578&lt;&gt;1,"",IF($G578="ROKS",$S578,IF($AI578=1,0,MAX($O578,$M578-SUMIFS(TblApplications[RAM IKS libérable (Go)],TblApplications[Cluster IKS source],$F578,TblApplications[Action],"À migrer",TblApplications[Mois prov (calc)],"&lt;="&amp;$E578)-SUMIFS(TblApplications[RAM IKS libérable (Go)],TblApplications[Cluster IKS source],$F578,TblApplications[Action],"À décommissionner",TblApplications[Mois lib (calc)],"&lt;="&amp;$E578)))))</f>
        <v/>
      </c>
      <c r="Z578" s="19" t="str">
        <f t="shared" si="145"/>
        <v/>
      </c>
      <c r="AA578" s="73" t="str">
        <f t="shared" si="146"/>
        <v/>
      </c>
      <c r="AB578" s="19" t="str">
        <f t="shared" si="147"/>
        <v/>
      </c>
      <c r="AC578" s="73" t="str">
        <f t="shared" si="148"/>
        <v/>
      </c>
      <c r="AD578" s="19" t="str">
        <f t="shared" si="149"/>
        <v/>
      </c>
      <c r="AE578" s="19" t="str">
        <f t="shared" si="150"/>
        <v/>
      </c>
      <c r="AF578" s="19" t="str">
        <f>IF($D578&lt;&gt;1,"",IF(INDEX(TblClusters[Environnement],$B578)="","(vide)",INDEX(TblClusters[Environnement],$B578)))</f>
        <v/>
      </c>
      <c r="AG578" s="19" t="str">
        <f t="shared" si="151"/>
        <v/>
      </c>
      <c r="AH578" s="19" t="str">
        <f t="shared" si="152"/>
        <v/>
      </c>
      <c r="AI578" s="19" t="str">
        <f>IF($D578&lt;&gt;1,"",IF(AND($G578="IKS",ISNUMBER(INDEX(TblClusters[Fermeture retenue],$B578))),IF($E578&gt;=INDEX(TblClusters[Fermeture retenue],$B578),1,0),0))</f>
        <v/>
      </c>
    </row>
    <row r="579" spans="1:35" x14ac:dyDescent="0.2">
      <c r="A579" s="19">
        <v>574</v>
      </c>
      <c r="B579" s="19">
        <f t="shared" si="136"/>
        <v>16</v>
      </c>
      <c r="C579" s="19">
        <f t="shared" si="137"/>
        <v>34</v>
      </c>
      <c r="D579" s="19">
        <f>IF($C579&gt;p_horizon,0,IFERROR(IF(AND(INDEX(TblClusters[Cluster],$B579)&lt;&gt;"",ISNUMBER(INDEX(TblClusters[CPU initial (vCPU)],$B579)),ISNUMBER(INDEX(TblClusters[CPU min (vCPU)],$B579)),OR(INDEX(TblClusters[Plateforme],$B579)="IKS",INDEX(TblClusters[Plateforme],$B579)="ROKS")),1,0),0))</f>
        <v>0</v>
      </c>
      <c r="E579" s="72" t="str">
        <f t="shared" si="138"/>
        <v/>
      </c>
      <c r="F579" s="19" t="str">
        <f>IF($D579=1,INDEX(TblClusters[Cluster],$B579),"")</f>
        <v/>
      </c>
      <c r="G579" s="19" t="str">
        <f>IF($D579=1,INDEX(TblClusters[Plateforme],$B579),"")</f>
        <v/>
      </c>
      <c r="H579" s="19" t="str">
        <f>IF($D579=1,INDEX(TblClusters[vCPU par nœud],$B579),"")</f>
        <v/>
      </c>
      <c r="I579" s="19" t="str">
        <f>IF($D579=1,INDEX(TblClusters[RAM par nœud (Go)],$B579),"")</f>
        <v/>
      </c>
      <c r="J579" s="19" t="str">
        <f>IF($D579=1,INDEX(TblClusters[Workers min],$B579),"")</f>
        <v/>
      </c>
      <c r="K579" s="73" t="str">
        <f>IF($D579=1,INDEX(TblClusters[Tarif par nœud],$B579),"")</f>
        <v/>
      </c>
      <c r="L579" s="19" t="str">
        <f>IF($D579=1,INDEX(TblClusters[CPU initial (vCPU)],$B579),"")</f>
        <v/>
      </c>
      <c r="M579" s="19" t="str">
        <f>IF($D579=1,INDEX(TblClusters[RAM initiale (Go)],$B579),"")</f>
        <v/>
      </c>
      <c r="N579" s="19" t="str">
        <f>IF($D579=1,INDEX(TblClusters[CPU min (vCPU)],$B579),"")</f>
        <v/>
      </c>
      <c r="O579" s="19" t="str">
        <f>IF($D579=1,INDEX(TblClusters[RAM min (Go)],$B579),"")</f>
        <v/>
      </c>
      <c r="P579" s="19" t="str">
        <f>IF($D579&lt;&gt;1,"",IF($G579="ROKS",SUMIFS(TblApplications[Besoin ROKS CPU (vCPU)],TblApplications[Cluster ROKS cible],$F579,TblApplications[Action],"À migrer",TblApplications[Déjà incluse ROKS],"Non",TblApplications[Mois prov (calc)],"&lt;="&amp;$E579),SUMIFS(TblApplications[CPU IKS libérable (vCPU)],TblApplications[Cluster IKS source],$F579,TblApplications[Mois lib (calc)],"&lt;="&amp;$E579)))</f>
        <v/>
      </c>
      <c r="Q579" s="19" t="str">
        <f>IF($D579&lt;&gt;1,"",IF($G579="ROKS",SUMIFS(TblApplications[Besoin ROKS RAM (Go)],TblApplications[Cluster ROKS cible],$F579,TblApplications[Action],"À migrer",TblApplications[Déjà incluse ROKS],"Non",TblApplications[Mois prov (calc)],"&lt;="&amp;$E579),SUMIFS(TblApplications[RAM IKS libérable (Go)],TblApplications[Cluster IKS source],$F579,TblApplications[Mois lib (calc)],"&lt;="&amp;$E579)))</f>
        <v/>
      </c>
      <c r="R579" s="19" t="str">
        <f t="shared" si="139"/>
        <v/>
      </c>
      <c r="S579" s="19" t="str">
        <f t="shared" si="140"/>
        <v/>
      </c>
      <c r="T579" s="19" t="str">
        <f t="shared" si="141"/>
        <v/>
      </c>
      <c r="U579" s="19" t="str">
        <f t="shared" si="142"/>
        <v/>
      </c>
      <c r="V579" s="19" t="str">
        <f t="shared" si="143"/>
        <v/>
      </c>
      <c r="W579" s="73" t="str">
        <f t="shared" si="144"/>
        <v/>
      </c>
      <c r="X579" s="19" t="str">
        <f>IF($D579&lt;&gt;1,"",IF($G579="ROKS",$R579,IF($AI579=1,0,MAX($N579,$L579-SUMIFS(TblApplications[CPU IKS libérable (vCPU)],TblApplications[Cluster IKS source],$F579,TblApplications[Action],"À migrer",TblApplications[Mois prov (calc)],"&lt;="&amp;$E579)-SUMIFS(TblApplications[CPU IKS libérable (vCPU)],TblApplications[Cluster IKS source],$F579,TblApplications[Action],"À décommissionner",TblApplications[Mois lib (calc)],"&lt;="&amp;$E579)))))</f>
        <v/>
      </c>
      <c r="Y579" s="19" t="str">
        <f>IF($D579&lt;&gt;1,"",IF($G579="ROKS",$S579,IF($AI579=1,0,MAX($O579,$M579-SUMIFS(TblApplications[RAM IKS libérable (Go)],TblApplications[Cluster IKS source],$F579,TblApplications[Action],"À migrer",TblApplications[Mois prov (calc)],"&lt;="&amp;$E579)-SUMIFS(TblApplications[RAM IKS libérable (Go)],TblApplications[Cluster IKS source],$F579,TblApplications[Action],"À décommissionner",TblApplications[Mois lib (calc)],"&lt;="&amp;$E579)))))</f>
        <v/>
      </c>
      <c r="Z579" s="19" t="str">
        <f t="shared" si="145"/>
        <v/>
      </c>
      <c r="AA579" s="73" t="str">
        <f t="shared" si="146"/>
        <v/>
      </c>
      <c r="AB579" s="19" t="str">
        <f t="shared" si="147"/>
        <v/>
      </c>
      <c r="AC579" s="73" t="str">
        <f t="shared" si="148"/>
        <v/>
      </c>
      <c r="AD579" s="19" t="str">
        <f t="shared" si="149"/>
        <v/>
      </c>
      <c r="AE579" s="19" t="str">
        <f t="shared" si="150"/>
        <v/>
      </c>
      <c r="AF579" s="19" t="str">
        <f>IF($D579&lt;&gt;1,"",IF(INDEX(TblClusters[Environnement],$B579)="","(vide)",INDEX(TblClusters[Environnement],$B579)))</f>
        <v/>
      </c>
      <c r="AG579" s="19" t="str">
        <f t="shared" si="151"/>
        <v/>
      </c>
      <c r="AH579" s="19" t="str">
        <f t="shared" si="152"/>
        <v/>
      </c>
      <c r="AI579" s="19" t="str">
        <f>IF($D579&lt;&gt;1,"",IF(AND($G579="IKS",ISNUMBER(INDEX(TblClusters[Fermeture retenue],$B579))),IF($E579&gt;=INDEX(TblClusters[Fermeture retenue],$B579),1,0),0))</f>
        <v/>
      </c>
    </row>
    <row r="580" spans="1:35" x14ac:dyDescent="0.2">
      <c r="A580" s="19">
        <v>575</v>
      </c>
      <c r="B580" s="19">
        <f t="shared" si="136"/>
        <v>16</v>
      </c>
      <c r="C580" s="19">
        <f t="shared" si="137"/>
        <v>35</v>
      </c>
      <c r="D580" s="19">
        <f>IF($C580&gt;p_horizon,0,IFERROR(IF(AND(INDEX(TblClusters[Cluster],$B580)&lt;&gt;"",ISNUMBER(INDEX(TblClusters[CPU initial (vCPU)],$B580)),ISNUMBER(INDEX(TblClusters[CPU min (vCPU)],$B580)),OR(INDEX(TblClusters[Plateforme],$B580)="IKS",INDEX(TblClusters[Plateforme],$B580)="ROKS")),1,0),0))</f>
        <v>0</v>
      </c>
      <c r="E580" s="72" t="str">
        <f t="shared" si="138"/>
        <v/>
      </c>
      <c r="F580" s="19" t="str">
        <f>IF($D580=1,INDEX(TblClusters[Cluster],$B580),"")</f>
        <v/>
      </c>
      <c r="G580" s="19" t="str">
        <f>IF($D580=1,INDEX(TblClusters[Plateforme],$B580),"")</f>
        <v/>
      </c>
      <c r="H580" s="19" t="str">
        <f>IF($D580=1,INDEX(TblClusters[vCPU par nœud],$B580),"")</f>
        <v/>
      </c>
      <c r="I580" s="19" t="str">
        <f>IF($D580=1,INDEX(TblClusters[RAM par nœud (Go)],$B580),"")</f>
        <v/>
      </c>
      <c r="J580" s="19" t="str">
        <f>IF($D580=1,INDEX(TblClusters[Workers min],$B580),"")</f>
        <v/>
      </c>
      <c r="K580" s="73" t="str">
        <f>IF($D580=1,INDEX(TblClusters[Tarif par nœud],$B580),"")</f>
        <v/>
      </c>
      <c r="L580" s="19" t="str">
        <f>IF($D580=1,INDEX(TblClusters[CPU initial (vCPU)],$B580),"")</f>
        <v/>
      </c>
      <c r="M580" s="19" t="str">
        <f>IF($D580=1,INDEX(TblClusters[RAM initiale (Go)],$B580),"")</f>
        <v/>
      </c>
      <c r="N580" s="19" t="str">
        <f>IF($D580=1,INDEX(TblClusters[CPU min (vCPU)],$B580),"")</f>
        <v/>
      </c>
      <c r="O580" s="19" t="str">
        <f>IF($D580=1,INDEX(TblClusters[RAM min (Go)],$B580),"")</f>
        <v/>
      </c>
      <c r="P580" s="19" t="str">
        <f>IF($D580&lt;&gt;1,"",IF($G580="ROKS",SUMIFS(TblApplications[Besoin ROKS CPU (vCPU)],TblApplications[Cluster ROKS cible],$F580,TblApplications[Action],"À migrer",TblApplications[Déjà incluse ROKS],"Non",TblApplications[Mois prov (calc)],"&lt;="&amp;$E580),SUMIFS(TblApplications[CPU IKS libérable (vCPU)],TblApplications[Cluster IKS source],$F580,TblApplications[Mois lib (calc)],"&lt;="&amp;$E580)))</f>
        <v/>
      </c>
      <c r="Q580" s="19" t="str">
        <f>IF($D580&lt;&gt;1,"",IF($G580="ROKS",SUMIFS(TblApplications[Besoin ROKS RAM (Go)],TblApplications[Cluster ROKS cible],$F580,TblApplications[Action],"À migrer",TblApplications[Déjà incluse ROKS],"Non",TblApplications[Mois prov (calc)],"&lt;="&amp;$E580),SUMIFS(TblApplications[RAM IKS libérable (Go)],TblApplications[Cluster IKS source],$F580,TblApplications[Mois lib (calc)],"&lt;="&amp;$E580)))</f>
        <v/>
      </c>
      <c r="R580" s="19" t="str">
        <f t="shared" si="139"/>
        <v/>
      </c>
      <c r="S580" s="19" t="str">
        <f t="shared" si="140"/>
        <v/>
      </c>
      <c r="T580" s="19" t="str">
        <f t="shared" si="141"/>
        <v/>
      </c>
      <c r="U580" s="19" t="str">
        <f t="shared" si="142"/>
        <v/>
      </c>
      <c r="V580" s="19" t="str">
        <f t="shared" si="143"/>
        <v/>
      </c>
      <c r="W580" s="73" t="str">
        <f t="shared" si="144"/>
        <v/>
      </c>
      <c r="X580" s="19" t="str">
        <f>IF($D580&lt;&gt;1,"",IF($G580="ROKS",$R580,IF($AI580=1,0,MAX($N580,$L580-SUMIFS(TblApplications[CPU IKS libérable (vCPU)],TblApplications[Cluster IKS source],$F580,TblApplications[Action],"À migrer",TblApplications[Mois prov (calc)],"&lt;="&amp;$E580)-SUMIFS(TblApplications[CPU IKS libérable (vCPU)],TblApplications[Cluster IKS source],$F580,TblApplications[Action],"À décommissionner",TblApplications[Mois lib (calc)],"&lt;="&amp;$E580)))))</f>
        <v/>
      </c>
      <c r="Y580" s="19" t="str">
        <f>IF($D580&lt;&gt;1,"",IF($G580="ROKS",$S580,IF($AI580=1,0,MAX($O580,$M580-SUMIFS(TblApplications[RAM IKS libérable (Go)],TblApplications[Cluster IKS source],$F580,TblApplications[Action],"À migrer",TblApplications[Mois prov (calc)],"&lt;="&amp;$E580)-SUMIFS(TblApplications[RAM IKS libérable (Go)],TblApplications[Cluster IKS source],$F580,TblApplications[Action],"À décommissionner",TblApplications[Mois lib (calc)],"&lt;="&amp;$E580)))))</f>
        <v/>
      </c>
      <c r="Z580" s="19" t="str">
        <f t="shared" si="145"/>
        <v/>
      </c>
      <c r="AA580" s="73" t="str">
        <f t="shared" si="146"/>
        <v/>
      </c>
      <c r="AB580" s="19" t="str">
        <f t="shared" si="147"/>
        <v/>
      </c>
      <c r="AC580" s="73" t="str">
        <f t="shared" si="148"/>
        <v/>
      </c>
      <c r="AD580" s="19" t="str">
        <f t="shared" si="149"/>
        <v/>
      </c>
      <c r="AE580" s="19" t="str">
        <f t="shared" si="150"/>
        <v/>
      </c>
      <c r="AF580" s="19" t="str">
        <f>IF($D580&lt;&gt;1,"",IF(INDEX(TblClusters[Environnement],$B580)="","(vide)",INDEX(TblClusters[Environnement],$B580)))</f>
        <v/>
      </c>
      <c r="AG580" s="19" t="str">
        <f t="shared" si="151"/>
        <v/>
      </c>
      <c r="AH580" s="19" t="str">
        <f t="shared" si="152"/>
        <v/>
      </c>
      <c r="AI580" s="19" t="str">
        <f>IF($D580&lt;&gt;1,"",IF(AND($G580="IKS",ISNUMBER(INDEX(TblClusters[Fermeture retenue],$B580))),IF($E580&gt;=INDEX(TblClusters[Fermeture retenue],$B580),1,0),0))</f>
        <v/>
      </c>
    </row>
    <row r="581" spans="1:35" x14ac:dyDescent="0.2">
      <c r="A581" s="19">
        <v>576</v>
      </c>
      <c r="B581" s="19">
        <f t="shared" si="136"/>
        <v>16</v>
      </c>
      <c r="C581" s="19">
        <f t="shared" si="137"/>
        <v>36</v>
      </c>
      <c r="D581" s="19">
        <f>IF($C581&gt;p_horizon,0,IFERROR(IF(AND(INDEX(TblClusters[Cluster],$B581)&lt;&gt;"",ISNUMBER(INDEX(TblClusters[CPU initial (vCPU)],$B581)),ISNUMBER(INDEX(TblClusters[CPU min (vCPU)],$B581)),OR(INDEX(TblClusters[Plateforme],$B581)="IKS",INDEX(TblClusters[Plateforme],$B581)="ROKS")),1,0),0))</f>
        <v>0</v>
      </c>
      <c r="E581" s="72" t="str">
        <f t="shared" si="138"/>
        <v/>
      </c>
      <c r="F581" s="19" t="str">
        <f>IF($D581=1,INDEX(TblClusters[Cluster],$B581),"")</f>
        <v/>
      </c>
      <c r="G581" s="19" t="str">
        <f>IF($D581=1,INDEX(TblClusters[Plateforme],$B581),"")</f>
        <v/>
      </c>
      <c r="H581" s="19" t="str">
        <f>IF($D581=1,INDEX(TblClusters[vCPU par nœud],$B581),"")</f>
        <v/>
      </c>
      <c r="I581" s="19" t="str">
        <f>IF($D581=1,INDEX(TblClusters[RAM par nœud (Go)],$B581),"")</f>
        <v/>
      </c>
      <c r="J581" s="19" t="str">
        <f>IF($D581=1,INDEX(TblClusters[Workers min],$B581),"")</f>
        <v/>
      </c>
      <c r="K581" s="73" t="str">
        <f>IF($D581=1,INDEX(TblClusters[Tarif par nœud],$B581),"")</f>
        <v/>
      </c>
      <c r="L581" s="19" t="str">
        <f>IF($D581=1,INDEX(TblClusters[CPU initial (vCPU)],$B581),"")</f>
        <v/>
      </c>
      <c r="M581" s="19" t="str">
        <f>IF($D581=1,INDEX(TblClusters[RAM initiale (Go)],$B581),"")</f>
        <v/>
      </c>
      <c r="N581" s="19" t="str">
        <f>IF($D581=1,INDEX(TblClusters[CPU min (vCPU)],$B581),"")</f>
        <v/>
      </c>
      <c r="O581" s="19" t="str">
        <f>IF($D581=1,INDEX(TblClusters[RAM min (Go)],$B581),"")</f>
        <v/>
      </c>
      <c r="P581" s="19" t="str">
        <f>IF($D581&lt;&gt;1,"",IF($G581="ROKS",SUMIFS(TblApplications[Besoin ROKS CPU (vCPU)],TblApplications[Cluster ROKS cible],$F581,TblApplications[Action],"À migrer",TblApplications[Déjà incluse ROKS],"Non",TblApplications[Mois prov (calc)],"&lt;="&amp;$E581),SUMIFS(TblApplications[CPU IKS libérable (vCPU)],TblApplications[Cluster IKS source],$F581,TblApplications[Mois lib (calc)],"&lt;="&amp;$E581)))</f>
        <v/>
      </c>
      <c r="Q581" s="19" t="str">
        <f>IF($D581&lt;&gt;1,"",IF($G581="ROKS",SUMIFS(TblApplications[Besoin ROKS RAM (Go)],TblApplications[Cluster ROKS cible],$F581,TblApplications[Action],"À migrer",TblApplications[Déjà incluse ROKS],"Non",TblApplications[Mois prov (calc)],"&lt;="&amp;$E581),SUMIFS(TblApplications[RAM IKS libérable (Go)],TblApplications[Cluster IKS source],$F581,TblApplications[Mois lib (calc)],"&lt;="&amp;$E581)))</f>
        <v/>
      </c>
      <c r="R581" s="19" t="str">
        <f t="shared" si="139"/>
        <v/>
      </c>
      <c r="S581" s="19" t="str">
        <f t="shared" si="140"/>
        <v/>
      </c>
      <c r="T581" s="19" t="str">
        <f t="shared" si="141"/>
        <v/>
      </c>
      <c r="U581" s="19" t="str">
        <f t="shared" si="142"/>
        <v/>
      </c>
      <c r="V581" s="19" t="str">
        <f t="shared" si="143"/>
        <v/>
      </c>
      <c r="W581" s="73" t="str">
        <f t="shared" si="144"/>
        <v/>
      </c>
      <c r="X581" s="19" t="str">
        <f>IF($D581&lt;&gt;1,"",IF($G581="ROKS",$R581,IF($AI581=1,0,MAX($N581,$L581-SUMIFS(TblApplications[CPU IKS libérable (vCPU)],TblApplications[Cluster IKS source],$F581,TblApplications[Action],"À migrer",TblApplications[Mois prov (calc)],"&lt;="&amp;$E581)-SUMIFS(TblApplications[CPU IKS libérable (vCPU)],TblApplications[Cluster IKS source],$F581,TblApplications[Action],"À décommissionner",TblApplications[Mois lib (calc)],"&lt;="&amp;$E581)))))</f>
        <v/>
      </c>
      <c r="Y581" s="19" t="str">
        <f>IF($D581&lt;&gt;1,"",IF($G581="ROKS",$S581,IF($AI581=1,0,MAX($O581,$M581-SUMIFS(TblApplications[RAM IKS libérable (Go)],TblApplications[Cluster IKS source],$F581,TblApplications[Action],"À migrer",TblApplications[Mois prov (calc)],"&lt;="&amp;$E581)-SUMIFS(TblApplications[RAM IKS libérable (Go)],TblApplications[Cluster IKS source],$F581,TblApplications[Action],"À décommissionner",TblApplications[Mois lib (calc)],"&lt;="&amp;$E581)))))</f>
        <v/>
      </c>
      <c r="Z581" s="19" t="str">
        <f t="shared" si="145"/>
        <v/>
      </c>
      <c r="AA581" s="73" t="str">
        <f t="shared" si="146"/>
        <v/>
      </c>
      <c r="AB581" s="19" t="str">
        <f t="shared" si="147"/>
        <v/>
      </c>
      <c r="AC581" s="73" t="str">
        <f t="shared" si="148"/>
        <v/>
      </c>
      <c r="AD581" s="19" t="str">
        <f t="shared" si="149"/>
        <v/>
      </c>
      <c r="AE581" s="19" t="str">
        <f t="shared" si="150"/>
        <v/>
      </c>
      <c r="AF581" s="19" t="str">
        <f>IF($D581&lt;&gt;1,"",IF(INDEX(TblClusters[Environnement],$B581)="","(vide)",INDEX(TblClusters[Environnement],$B581)))</f>
        <v/>
      </c>
      <c r="AG581" s="19" t="str">
        <f t="shared" si="151"/>
        <v/>
      </c>
      <c r="AH581" s="19" t="str">
        <f t="shared" si="152"/>
        <v/>
      </c>
      <c r="AI581" s="19" t="str">
        <f>IF($D581&lt;&gt;1,"",IF(AND($G581="IKS",ISNUMBER(INDEX(TblClusters[Fermeture retenue],$B581))),IF($E581&gt;=INDEX(TblClusters[Fermeture retenue],$B581),1,0),0))</f>
        <v/>
      </c>
    </row>
    <row r="582" spans="1:35" x14ac:dyDescent="0.2">
      <c r="A582" s="19">
        <v>577</v>
      </c>
      <c r="B582" s="19">
        <f t="shared" ref="B582:B645" si="153">INT(($A582-1)/36)+1</f>
        <v>17</v>
      </c>
      <c r="C582" s="19">
        <f t="shared" ref="C582:C645" si="154">MOD($A582-1,36)+1</f>
        <v>1</v>
      </c>
      <c r="D582" s="19">
        <f>IF($C582&gt;p_horizon,0,IFERROR(IF(AND(INDEX(TblClusters[Cluster],$B582)&lt;&gt;"",ISNUMBER(INDEX(TblClusters[CPU initial (vCPU)],$B582)),ISNUMBER(INDEX(TblClusters[CPU min (vCPU)],$B582)),OR(INDEX(TblClusters[Plateforme],$B582)="IKS",INDEX(TblClusters[Plateforme],$B582)="ROKS")),1,0),0))</f>
        <v>0</v>
      </c>
      <c r="E582" s="72" t="str">
        <f t="shared" ref="E582:E645" si="155">IF($D582=1,EDATE(p_debut,$C582-1),"")</f>
        <v/>
      </c>
      <c r="F582" s="19" t="str">
        <f>IF($D582=1,INDEX(TblClusters[Cluster],$B582),"")</f>
        <v/>
      </c>
      <c r="G582" s="19" t="str">
        <f>IF($D582=1,INDEX(TblClusters[Plateforme],$B582),"")</f>
        <v/>
      </c>
      <c r="H582" s="19" t="str">
        <f>IF($D582=1,INDEX(TblClusters[vCPU par nœud],$B582),"")</f>
        <v/>
      </c>
      <c r="I582" s="19" t="str">
        <f>IF($D582=1,INDEX(TblClusters[RAM par nœud (Go)],$B582),"")</f>
        <v/>
      </c>
      <c r="J582" s="19" t="str">
        <f>IF($D582=1,INDEX(TblClusters[Workers min],$B582),"")</f>
        <v/>
      </c>
      <c r="K582" s="73" t="str">
        <f>IF($D582=1,INDEX(TblClusters[Tarif par nœud],$B582),"")</f>
        <v/>
      </c>
      <c r="L582" s="19" t="str">
        <f>IF($D582=1,INDEX(TblClusters[CPU initial (vCPU)],$B582),"")</f>
        <v/>
      </c>
      <c r="M582" s="19" t="str">
        <f>IF($D582=1,INDEX(TblClusters[RAM initiale (Go)],$B582),"")</f>
        <v/>
      </c>
      <c r="N582" s="19" t="str">
        <f>IF($D582=1,INDEX(TblClusters[CPU min (vCPU)],$B582),"")</f>
        <v/>
      </c>
      <c r="O582" s="19" t="str">
        <f>IF($D582=1,INDEX(TblClusters[RAM min (Go)],$B582),"")</f>
        <v/>
      </c>
      <c r="P582" s="19" t="str">
        <f>IF($D582&lt;&gt;1,"",IF($G582="ROKS",SUMIFS(TblApplications[Besoin ROKS CPU (vCPU)],TblApplications[Cluster ROKS cible],$F582,TblApplications[Action],"À migrer",TblApplications[Déjà incluse ROKS],"Non",TblApplications[Mois prov (calc)],"&lt;="&amp;$E582),SUMIFS(TblApplications[CPU IKS libérable (vCPU)],TblApplications[Cluster IKS source],$F582,TblApplications[Mois lib (calc)],"&lt;="&amp;$E582)))</f>
        <v/>
      </c>
      <c r="Q582" s="19" t="str">
        <f>IF($D582&lt;&gt;1,"",IF($G582="ROKS",SUMIFS(TblApplications[Besoin ROKS RAM (Go)],TblApplications[Cluster ROKS cible],$F582,TblApplications[Action],"À migrer",TblApplications[Déjà incluse ROKS],"Non",TblApplications[Mois prov (calc)],"&lt;="&amp;$E582),SUMIFS(TblApplications[RAM IKS libérable (Go)],TblApplications[Cluster IKS source],$F582,TblApplications[Mois lib (calc)],"&lt;="&amp;$E582)))</f>
        <v/>
      </c>
      <c r="R582" s="19" t="str">
        <f t="shared" ref="R582:R645" si="156">IF($D582&lt;&gt;1,"",IF($G582="ROKS",$L582+$P582,IF($AI582=1,0,MAX($N582,$L582-$P582))))</f>
        <v/>
      </c>
      <c r="S582" s="19" t="str">
        <f t="shared" ref="S582:S645" si="157">IF($D582&lt;&gt;1,"",IF($G582="ROKS",$M582+$Q582,IF($AI582=1,0,MAX($O582,$M582-$Q582))))</f>
        <v/>
      </c>
      <c r="T582" s="19" t="str">
        <f t="shared" ref="T582:T645" si="158">IF($D582&lt;&gt;1,"",IF($AI582=1,0,MAX($J582,ROUNDUP(MAX($R582/$H582,$S582/$I582),0))))</f>
        <v/>
      </c>
      <c r="U582" s="19" t="str">
        <f t="shared" ref="U582:U645" si="159">IF($D582&lt;&gt;1,"",IF(p_mode="Nœud",$T582*$H582,$R582))</f>
        <v/>
      </c>
      <c r="V582" s="19" t="str">
        <f t="shared" ref="V582:V645" si="160">IF($D582&lt;&gt;1,"",IF(p_mode="Nœud",$T582*$I582,$S582))</f>
        <v/>
      </c>
      <c r="W582" s="73" t="str">
        <f t="shared" ref="W582:W645" si="161">IF($D582&lt;&gt;1,"",IF(p_mode="Nœud",$T582*$K582,$R582*IF($G582="IKS",p_iks_cpu,p_roks_cpu)+$S582*IF($G582="IKS",p_iks_ram,p_roks_ram))*p_facteur)</f>
        <v/>
      </c>
      <c r="X582" s="19" t="str">
        <f>IF($D582&lt;&gt;1,"",IF($G582="ROKS",$R582,IF($AI582=1,0,MAX($N582,$L582-SUMIFS(TblApplications[CPU IKS libérable (vCPU)],TblApplications[Cluster IKS source],$F582,TblApplications[Action],"À migrer",TblApplications[Mois prov (calc)],"&lt;="&amp;$E582)-SUMIFS(TblApplications[CPU IKS libérable (vCPU)],TblApplications[Cluster IKS source],$F582,TblApplications[Action],"À décommissionner",TblApplications[Mois lib (calc)],"&lt;="&amp;$E582)))))</f>
        <v/>
      </c>
      <c r="Y582" s="19" t="str">
        <f>IF($D582&lt;&gt;1,"",IF($G582="ROKS",$S582,IF($AI582=1,0,MAX($O582,$M582-SUMIFS(TblApplications[RAM IKS libérable (Go)],TblApplications[Cluster IKS source],$F582,TblApplications[Action],"À migrer",TblApplications[Mois prov (calc)],"&lt;="&amp;$E582)-SUMIFS(TblApplications[RAM IKS libérable (Go)],TblApplications[Cluster IKS source],$F582,TblApplications[Action],"À décommissionner",TblApplications[Mois lib (calc)],"&lt;="&amp;$E582)))))</f>
        <v/>
      </c>
      <c r="Z582" s="19" t="str">
        <f t="shared" ref="Z582:Z645" si="162">IF($D582&lt;&gt;1,"",IF($AI582=1,0,MAX($J582,ROUNDUP(MAX($X582/$H582,$Y582/$I582),0))))</f>
        <v/>
      </c>
      <c r="AA582" s="73" t="str">
        <f t="shared" ref="AA582:AA645" si="163">IF($D582&lt;&gt;1,"",IF(p_mode="Nœud",$Z582*$K582,$X582*IF($G582="IKS",p_iks_cpu,p_roks_cpu)+$Y582*IF($G582="IKS",p_iks_ram,p_roks_ram))*p_facteur)</f>
        <v/>
      </c>
      <c r="AB582" s="19" t="str">
        <f t="shared" ref="AB582:AB645" si="164">IF($D582&lt;&gt;1,"",MAX($J582,ROUNDUP(MAX($L582/$H582,$M582/$I582),0)))</f>
        <v/>
      </c>
      <c r="AC582" s="73" t="str">
        <f t="shared" ref="AC582:AC645" si="165">IF($D582&lt;&gt;1,"",IF(p_mode="Nœud",$AB582*$K582,$L582*IF($G582="IKS",p_iks_cpu,p_roks_cpu)+$M582*IF($G582="IKS",p_iks_ram,p_roks_ram))*p_facteur)</f>
        <v/>
      </c>
      <c r="AD582" s="19" t="str">
        <f t="shared" ref="AD582:AD645" si="166">IF($D582&lt;&gt;1,"",IF(AND($G582="IKS",$AI582&lt;&gt;1,OR($L582-$P582&lt;$N582,$M582-$Q582&lt;$O582)),1,0))</f>
        <v/>
      </c>
      <c r="AE582" s="19" t="str">
        <f t="shared" ref="AE582:AE645" si="167">IF($D582&lt;&gt;1,"",IF(AND($G582="ROKS",$T582&gt;p_maxworkers),1,0))</f>
        <v/>
      </c>
      <c r="AF582" s="19" t="str">
        <f>IF($D582&lt;&gt;1,"",IF(INDEX(TblClusters[Environnement],$B582)="","(vide)",INDEX(TblClusters[Environnement],$B582)))</f>
        <v/>
      </c>
      <c r="AG582" s="19" t="str">
        <f t="shared" ref="AG582:AG645" si="168">IF($D582&lt;&gt;1,"",$R582+p_poidsram*$S582)</f>
        <v/>
      </c>
      <c r="AH582" s="19" t="str">
        <f t="shared" ref="AH582:AH645" si="169">IF($D582&lt;&gt;1,"",IFERROR($W582/$AG582,0))</f>
        <v/>
      </c>
      <c r="AI582" s="19" t="str">
        <f>IF($D582&lt;&gt;1,"",IF(AND($G582="IKS",ISNUMBER(INDEX(TblClusters[Fermeture retenue],$B582))),IF($E582&gt;=INDEX(TblClusters[Fermeture retenue],$B582),1,0),0))</f>
        <v/>
      </c>
    </row>
    <row r="583" spans="1:35" x14ac:dyDescent="0.2">
      <c r="A583" s="19">
        <v>578</v>
      </c>
      <c r="B583" s="19">
        <f t="shared" si="153"/>
        <v>17</v>
      </c>
      <c r="C583" s="19">
        <f t="shared" si="154"/>
        <v>2</v>
      </c>
      <c r="D583" s="19">
        <f>IF($C583&gt;p_horizon,0,IFERROR(IF(AND(INDEX(TblClusters[Cluster],$B583)&lt;&gt;"",ISNUMBER(INDEX(TblClusters[CPU initial (vCPU)],$B583)),ISNUMBER(INDEX(TblClusters[CPU min (vCPU)],$B583)),OR(INDEX(TblClusters[Plateforme],$B583)="IKS",INDEX(TblClusters[Plateforme],$B583)="ROKS")),1,0),0))</f>
        <v>0</v>
      </c>
      <c r="E583" s="72" t="str">
        <f t="shared" si="155"/>
        <v/>
      </c>
      <c r="F583" s="19" t="str">
        <f>IF($D583=1,INDEX(TblClusters[Cluster],$B583),"")</f>
        <v/>
      </c>
      <c r="G583" s="19" t="str">
        <f>IF($D583=1,INDEX(TblClusters[Plateforme],$B583),"")</f>
        <v/>
      </c>
      <c r="H583" s="19" t="str">
        <f>IF($D583=1,INDEX(TblClusters[vCPU par nœud],$B583),"")</f>
        <v/>
      </c>
      <c r="I583" s="19" t="str">
        <f>IF($D583=1,INDEX(TblClusters[RAM par nœud (Go)],$B583),"")</f>
        <v/>
      </c>
      <c r="J583" s="19" t="str">
        <f>IF($D583=1,INDEX(TblClusters[Workers min],$B583),"")</f>
        <v/>
      </c>
      <c r="K583" s="73" t="str">
        <f>IF($D583=1,INDEX(TblClusters[Tarif par nœud],$B583),"")</f>
        <v/>
      </c>
      <c r="L583" s="19" t="str">
        <f>IF($D583=1,INDEX(TblClusters[CPU initial (vCPU)],$B583),"")</f>
        <v/>
      </c>
      <c r="M583" s="19" t="str">
        <f>IF($D583=1,INDEX(TblClusters[RAM initiale (Go)],$B583),"")</f>
        <v/>
      </c>
      <c r="N583" s="19" t="str">
        <f>IF($D583=1,INDEX(TblClusters[CPU min (vCPU)],$B583),"")</f>
        <v/>
      </c>
      <c r="O583" s="19" t="str">
        <f>IF($D583=1,INDEX(TblClusters[RAM min (Go)],$B583),"")</f>
        <v/>
      </c>
      <c r="P583" s="19" t="str">
        <f>IF($D583&lt;&gt;1,"",IF($G583="ROKS",SUMIFS(TblApplications[Besoin ROKS CPU (vCPU)],TblApplications[Cluster ROKS cible],$F583,TblApplications[Action],"À migrer",TblApplications[Déjà incluse ROKS],"Non",TblApplications[Mois prov (calc)],"&lt;="&amp;$E583),SUMIFS(TblApplications[CPU IKS libérable (vCPU)],TblApplications[Cluster IKS source],$F583,TblApplications[Mois lib (calc)],"&lt;="&amp;$E583)))</f>
        <v/>
      </c>
      <c r="Q583" s="19" t="str">
        <f>IF($D583&lt;&gt;1,"",IF($G583="ROKS",SUMIFS(TblApplications[Besoin ROKS RAM (Go)],TblApplications[Cluster ROKS cible],$F583,TblApplications[Action],"À migrer",TblApplications[Déjà incluse ROKS],"Non",TblApplications[Mois prov (calc)],"&lt;="&amp;$E583),SUMIFS(TblApplications[RAM IKS libérable (Go)],TblApplications[Cluster IKS source],$F583,TblApplications[Mois lib (calc)],"&lt;="&amp;$E583)))</f>
        <v/>
      </c>
      <c r="R583" s="19" t="str">
        <f t="shared" si="156"/>
        <v/>
      </c>
      <c r="S583" s="19" t="str">
        <f t="shared" si="157"/>
        <v/>
      </c>
      <c r="T583" s="19" t="str">
        <f t="shared" si="158"/>
        <v/>
      </c>
      <c r="U583" s="19" t="str">
        <f t="shared" si="159"/>
        <v/>
      </c>
      <c r="V583" s="19" t="str">
        <f t="shared" si="160"/>
        <v/>
      </c>
      <c r="W583" s="73" t="str">
        <f t="shared" si="161"/>
        <v/>
      </c>
      <c r="X583" s="19" t="str">
        <f>IF($D583&lt;&gt;1,"",IF($G583="ROKS",$R583,IF($AI583=1,0,MAX($N583,$L583-SUMIFS(TblApplications[CPU IKS libérable (vCPU)],TblApplications[Cluster IKS source],$F583,TblApplications[Action],"À migrer",TblApplications[Mois prov (calc)],"&lt;="&amp;$E583)-SUMIFS(TblApplications[CPU IKS libérable (vCPU)],TblApplications[Cluster IKS source],$F583,TblApplications[Action],"À décommissionner",TblApplications[Mois lib (calc)],"&lt;="&amp;$E583)))))</f>
        <v/>
      </c>
      <c r="Y583" s="19" t="str">
        <f>IF($D583&lt;&gt;1,"",IF($G583="ROKS",$S583,IF($AI583=1,0,MAX($O583,$M583-SUMIFS(TblApplications[RAM IKS libérable (Go)],TblApplications[Cluster IKS source],$F583,TblApplications[Action],"À migrer",TblApplications[Mois prov (calc)],"&lt;="&amp;$E583)-SUMIFS(TblApplications[RAM IKS libérable (Go)],TblApplications[Cluster IKS source],$F583,TblApplications[Action],"À décommissionner",TblApplications[Mois lib (calc)],"&lt;="&amp;$E583)))))</f>
        <v/>
      </c>
      <c r="Z583" s="19" t="str">
        <f t="shared" si="162"/>
        <v/>
      </c>
      <c r="AA583" s="73" t="str">
        <f t="shared" si="163"/>
        <v/>
      </c>
      <c r="AB583" s="19" t="str">
        <f t="shared" si="164"/>
        <v/>
      </c>
      <c r="AC583" s="73" t="str">
        <f t="shared" si="165"/>
        <v/>
      </c>
      <c r="AD583" s="19" t="str">
        <f t="shared" si="166"/>
        <v/>
      </c>
      <c r="AE583" s="19" t="str">
        <f t="shared" si="167"/>
        <v/>
      </c>
      <c r="AF583" s="19" t="str">
        <f>IF($D583&lt;&gt;1,"",IF(INDEX(TblClusters[Environnement],$B583)="","(vide)",INDEX(TblClusters[Environnement],$B583)))</f>
        <v/>
      </c>
      <c r="AG583" s="19" t="str">
        <f t="shared" si="168"/>
        <v/>
      </c>
      <c r="AH583" s="19" t="str">
        <f t="shared" si="169"/>
        <v/>
      </c>
      <c r="AI583" s="19" t="str">
        <f>IF($D583&lt;&gt;1,"",IF(AND($G583="IKS",ISNUMBER(INDEX(TblClusters[Fermeture retenue],$B583))),IF($E583&gt;=INDEX(TblClusters[Fermeture retenue],$B583),1,0),0))</f>
        <v/>
      </c>
    </row>
    <row r="584" spans="1:35" x14ac:dyDescent="0.2">
      <c r="A584" s="19">
        <v>579</v>
      </c>
      <c r="B584" s="19">
        <f t="shared" si="153"/>
        <v>17</v>
      </c>
      <c r="C584" s="19">
        <f t="shared" si="154"/>
        <v>3</v>
      </c>
      <c r="D584" s="19">
        <f>IF($C584&gt;p_horizon,0,IFERROR(IF(AND(INDEX(TblClusters[Cluster],$B584)&lt;&gt;"",ISNUMBER(INDEX(TblClusters[CPU initial (vCPU)],$B584)),ISNUMBER(INDEX(TblClusters[CPU min (vCPU)],$B584)),OR(INDEX(TblClusters[Plateforme],$B584)="IKS",INDEX(TblClusters[Plateforme],$B584)="ROKS")),1,0),0))</f>
        <v>0</v>
      </c>
      <c r="E584" s="72" t="str">
        <f t="shared" si="155"/>
        <v/>
      </c>
      <c r="F584" s="19" t="str">
        <f>IF($D584=1,INDEX(TblClusters[Cluster],$B584),"")</f>
        <v/>
      </c>
      <c r="G584" s="19" t="str">
        <f>IF($D584=1,INDEX(TblClusters[Plateforme],$B584),"")</f>
        <v/>
      </c>
      <c r="H584" s="19" t="str">
        <f>IF($D584=1,INDEX(TblClusters[vCPU par nœud],$B584),"")</f>
        <v/>
      </c>
      <c r="I584" s="19" t="str">
        <f>IF($D584=1,INDEX(TblClusters[RAM par nœud (Go)],$B584),"")</f>
        <v/>
      </c>
      <c r="J584" s="19" t="str">
        <f>IF($D584=1,INDEX(TblClusters[Workers min],$B584),"")</f>
        <v/>
      </c>
      <c r="K584" s="73" t="str">
        <f>IF($D584=1,INDEX(TblClusters[Tarif par nœud],$B584),"")</f>
        <v/>
      </c>
      <c r="L584" s="19" t="str">
        <f>IF($D584=1,INDEX(TblClusters[CPU initial (vCPU)],$B584),"")</f>
        <v/>
      </c>
      <c r="M584" s="19" t="str">
        <f>IF($D584=1,INDEX(TblClusters[RAM initiale (Go)],$B584),"")</f>
        <v/>
      </c>
      <c r="N584" s="19" t="str">
        <f>IF($D584=1,INDEX(TblClusters[CPU min (vCPU)],$B584),"")</f>
        <v/>
      </c>
      <c r="O584" s="19" t="str">
        <f>IF($D584=1,INDEX(TblClusters[RAM min (Go)],$B584),"")</f>
        <v/>
      </c>
      <c r="P584" s="19" t="str">
        <f>IF($D584&lt;&gt;1,"",IF($G584="ROKS",SUMIFS(TblApplications[Besoin ROKS CPU (vCPU)],TblApplications[Cluster ROKS cible],$F584,TblApplications[Action],"À migrer",TblApplications[Déjà incluse ROKS],"Non",TblApplications[Mois prov (calc)],"&lt;="&amp;$E584),SUMIFS(TblApplications[CPU IKS libérable (vCPU)],TblApplications[Cluster IKS source],$F584,TblApplications[Mois lib (calc)],"&lt;="&amp;$E584)))</f>
        <v/>
      </c>
      <c r="Q584" s="19" t="str">
        <f>IF($D584&lt;&gt;1,"",IF($G584="ROKS",SUMIFS(TblApplications[Besoin ROKS RAM (Go)],TblApplications[Cluster ROKS cible],$F584,TblApplications[Action],"À migrer",TblApplications[Déjà incluse ROKS],"Non",TblApplications[Mois prov (calc)],"&lt;="&amp;$E584),SUMIFS(TblApplications[RAM IKS libérable (Go)],TblApplications[Cluster IKS source],$F584,TblApplications[Mois lib (calc)],"&lt;="&amp;$E584)))</f>
        <v/>
      </c>
      <c r="R584" s="19" t="str">
        <f t="shared" si="156"/>
        <v/>
      </c>
      <c r="S584" s="19" t="str">
        <f t="shared" si="157"/>
        <v/>
      </c>
      <c r="T584" s="19" t="str">
        <f t="shared" si="158"/>
        <v/>
      </c>
      <c r="U584" s="19" t="str">
        <f t="shared" si="159"/>
        <v/>
      </c>
      <c r="V584" s="19" t="str">
        <f t="shared" si="160"/>
        <v/>
      </c>
      <c r="W584" s="73" t="str">
        <f t="shared" si="161"/>
        <v/>
      </c>
      <c r="X584" s="19" t="str">
        <f>IF($D584&lt;&gt;1,"",IF($G584="ROKS",$R584,IF($AI584=1,0,MAX($N584,$L584-SUMIFS(TblApplications[CPU IKS libérable (vCPU)],TblApplications[Cluster IKS source],$F584,TblApplications[Action],"À migrer",TblApplications[Mois prov (calc)],"&lt;="&amp;$E584)-SUMIFS(TblApplications[CPU IKS libérable (vCPU)],TblApplications[Cluster IKS source],$F584,TblApplications[Action],"À décommissionner",TblApplications[Mois lib (calc)],"&lt;="&amp;$E584)))))</f>
        <v/>
      </c>
      <c r="Y584" s="19" t="str">
        <f>IF($D584&lt;&gt;1,"",IF($G584="ROKS",$S584,IF($AI584=1,0,MAX($O584,$M584-SUMIFS(TblApplications[RAM IKS libérable (Go)],TblApplications[Cluster IKS source],$F584,TblApplications[Action],"À migrer",TblApplications[Mois prov (calc)],"&lt;="&amp;$E584)-SUMIFS(TblApplications[RAM IKS libérable (Go)],TblApplications[Cluster IKS source],$F584,TblApplications[Action],"À décommissionner",TblApplications[Mois lib (calc)],"&lt;="&amp;$E584)))))</f>
        <v/>
      </c>
      <c r="Z584" s="19" t="str">
        <f t="shared" si="162"/>
        <v/>
      </c>
      <c r="AA584" s="73" t="str">
        <f t="shared" si="163"/>
        <v/>
      </c>
      <c r="AB584" s="19" t="str">
        <f t="shared" si="164"/>
        <v/>
      </c>
      <c r="AC584" s="73" t="str">
        <f t="shared" si="165"/>
        <v/>
      </c>
      <c r="AD584" s="19" t="str">
        <f t="shared" si="166"/>
        <v/>
      </c>
      <c r="AE584" s="19" t="str">
        <f t="shared" si="167"/>
        <v/>
      </c>
      <c r="AF584" s="19" t="str">
        <f>IF($D584&lt;&gt;1,"",IF(INDEX(TblClusters[Environnement],$B584)="","(vide)",INDEX(TblClusters[Environnement],$B584)))</f>
        <v/>
      </c>
      <c r="AG584" s="19" t="str">
        <f t="shared" si="168"/>
        <v/>
      </c>
      <c r="AH584" s="19" t="str">
        <f t="shared" si="169"/>
        <v/>
      </c>
      <c r="AI584" s="19" t="str">
        <f>IF($D584&lt;&gt;1,"",IF(AND($G584="IKS",ISNUMBER(INDEX(TblClusters[Fermeture retenue],$B584))),IF($E584&gt;=INDEX(TblClusters[Fermeture retenue],$B584),1,0),0))</f>
        <v/>
      </c>
    </row>
    <row r="585" spans="1:35" x14ac:dyDescent="0.2">
      <c r="A585" s="19">
        <v>580</v>
      </c>
      <c r="B585" s="19">
        <f t="shared" si="153"/>
        <v>17</v>
      </c>
      <c r="C585" s="19">
        <f t="shared" si="154"/>
        <v>4</v>
      </c>
      <c r="D585" s="19">
        <f>IF($C585&gt;p_horizon,0,IFERROR(IF(AND(INDEX(TblClusters[Cluster],$B585)&lt;&gt;"",ISNUMBER(INDEX(TblClusters[CPU initial (vCPU)],$B585)),ISNUMBER(INDEX(TblClusters[CPU min (vCPU)],$B585)),OR(INDEX(TblClusters[Plateforme],$B585)="IKS",INDEX(TblClusters[Plateforme],$B585)="ROKS")),1,0),0))</f>
        <v>0</v>
      </c>
      <c r="E585" s="72" t="str">
        <f t="shared" si="155"/>
        <v/>
      </c>
      <c r="F585" s="19" t="str">
        <f>IF($D585=1,INDEX(TblClusters[Cluster],$B585),"")</f>
        <v/>
      </c>
      <c r="G585" s="19" t="str">
        <f>IF($D585=1,INDEX(TblClusters[Plateforme],$B585),"")</f>
        <v/>
      </c>
      <c r="H585" s="19" t="str">
        <f>IF($D585=1,INDEX(TblClusters[vCPU par nœud],$B585),"")</f>
        <v/>
      </c>
      <c r="I585" s="19" t="str">
        <f>IF($D585=1,INDEX(TblClusters[RAM par nœud (Go)],$B585),"")</f>
        <v/>
      </c>
      <c r="J585" s="19" t="str">
        <f>IF($D585=1,INDEX(TblClusters[Workers min],$B585),"")</f>
        <v/>
      </c>
      <c r="K585" s="73" t="str">
        <f>IF($D585=1,INDEX(TblClusters[Tarif par nœud],$B585),"")</f>
        <v/>
      </c>
      <c r="L585" s="19" t="str">
        <f>IF($D585=1,INDEX(TblClusters[CPU initial (vCPU)],$B585),"")</f>
        <v/>
      </c>
      <c r="M585" s="19" t="str">
        <f>IF($D585=1,INDEX(TblClusters[RAM initiale (Go)],$B585),"")</f>
        <v/>
      </c>
      <c r="N585" s="19" t="str">
        <f>IF($D585=1,INDEX(TblClusters[CPU min (vCPU)],$B585),"")</f>
        <v/>
      </c>
      <c r="O585" s="19" t="str">
        <f>IF($D585=1,INDEX(TblClusters[RAM min (Go)],$B585),"")</f>
        <v/>
      </c>
      <c r="P585" s="19" t="str">
        <f>IF($D585&lt;&gt;1,"",IF($G585="ROKS",SUMIFS(TblApplications[Besoin ROKS CPU (vCPU)],TblApplications[Cluster ROKS cible],$F585,TblApplications[Action],"À migrer",TblApplications[Déjà incluse ROKS],"Non",TblApplications[Mois prov (calc)],"&lt;="&amp;$E585),SUMIFS(TblApplications[CPU IKS libérable (vCPU)],TblApplications[Cluster IKS source],$F585,TblApplications[Mois lib (calc)],"&lt;="&amp;$E585)))</f>
        <v/>
      </c>
      <c r="Q585" s="19" t="str">
        <f>IF($D585&lt;&gt;1,"",IF($G585="ROKS",SUMIFS(TblApplications[Besoin ROKS RAM (Go)],TblApplications[Cluster ROKS cible],$F585,TblApplications[Action],"À migrer",TblApplications[Déjà incluse ROKS],"Non",TblApplications[Mois prov (calc)],"&lt;="&amp;$E585),SUMIFS(TblApplications[RAM IKS libérable (Go)],TblApplications[Cluster IKS source],$F585,TblApplications[Mois lib (calc)],"&lt;="&amp;$E585)))</f>
        <v/>
      </c>
      <c r="R585" s="19" t="str">
        <f t="shared" si="156"/>
        <v/>
      </c>
      <c r="S585" s="19" t="str">
        <f t="shared" si="157"/>
        <v/>
      </c>
      <c r="T585" s="19" t="str">
        <f t="shared" si="158"/>
        <v/>
      </c>
      <c r="U585" s="19" t="str">
        <f t="shared" si="159"/>
        <v/>
      </c>
      <c r="V585" s="19" t="str">
        <f t="shared" si="160"/>
        <v/>
      </c>
      <c r="W585" s="73" t="str">
        <f t="shared" si="161"/>
        <v/>
      </c>
      <c r="X585" s="19" t="str">
        <f>IF($D585&lt;&gt;1,"",IF($G585="ROKS",$R585,IF($AI585=1,0,MAX($N585,$L585-SUMIFS(TblApplications[CPU IKS libérable (vCPU)],TblApplications[Cluster IKS source],$F585,TblApplications[Action],"À migrer",TblApplications[Mois prov (calc)],"&lt;="&amp;$E585)-SUMIFS(TblApplications[CPU IKS libérable (vCPU)],TblApplications[Cluster IKS source],$F585,TblApplications[Action],"À décommissionner",TblApplications[Mois lib (calc)],"&lt;="&amp;$E585)))))</f>
        <v/>
      </c>
      <c r="Y585" s="19" t="str">
        <f>IF($D585&lt;&gt;1,"",IF($G585="ROKS",$S585,IF($AI585=1,0,MAX($O585,$M585-SUMIFS(TblApplications[RAM IKS libérable (Go)],TblApplications[Cluster IKS source],$F585,TblApplications[Action],"À migrer",TblApplications[Mois prov (calc)],"&lt;="&amp;$E585)-SUMIFS(TblApplications[RAM IKS libérable (Go)],TblApplications[Cluster IKS source],$F585,TblApplications[Action],"À décommissionner",TblApplications[Mois lib (calc)],"&lt;="&amp;$E585)))))</f>
        <v/>
      </c>
      <c r="Z585" s="19" t="str">
        <f t="shared" si="162"/>
        <v/>
      </c>
      <c r="AA585" s="73" t="str">
        <f t="shared" si="163"/>
        <v/>
      </c>
      <c r="AB585" s="19" t="str">
        <f t="shared" si="164"/>
        <v/>
      </c>
      <c r="AC585" s="73" t="str">
        <f t="shared" si="165"/>
        <v/>
      </c>
      <c r="AD585" s="19" t="str">
        <f t="shared" si="166"/>
        <v/>
      </c>
      <c r="AE585" s="19" t="str">
        <f t="shared" si="167"/>
        <v/>
      </c>
      <c r="AF585" s="19" t="str">
        <f>IF($D585&lt;&gt;1,"",IF(INDEX(TblClusters[Environnement],$B585)="","(vide)",INDEX(TblClusters[Environnement],$B585)))</f>
        <v/>
      </c>
      <c r="AG585" s="19" t="str">
        <f t="shared" si="168"/>
        <v/>
      </c>
      <c r="AH585" s="19" t="str">
        <f t="shared" si="169"/>
        <v/>
      </c>
      <c r="AI585" s="19" t="str">
        <f>IF($D585&lt;&gt;1,"",IF(AND($G585="IKS",ISNUMBER(INDEX(TblClusters[Fermeture retenue],$B585))),IF($E585&gt;=INDEX(TblClusters[Fermeture retenue],$B585),1,0),0))</f>
        <v/>
      </c>
    </row>
    <row r="586" spans="1:35" x14ac:dyDescent="0.2">
      <c r="A586" s="19">
        <v>581</v>
      </c>
      <c r="B586" s="19">
        <f t="shared" si="153"/>
        <v>17</v>
      </c>
      <c r="C586" s="19">
        <f t="shared" si="154"/>
        <v>5</v>
      </c>
      <c r="D586" s="19">
        <f>IF($C586&gt;p_horizon,0,IFERROR(IF(AND(INDEX(TblClusters[Cluster],$B586)&lt;&gt;"",ISNUMBER(INDEX(TblClusters[CPU initial (vCPU)],$B586)),ISNUMBER(INDEX(TblClusters[CPU min (vCPU)],$B586)),OR(INDEX(TblClusters[Plateforme],$B586)="IKS",INDEX(TblClusters[Plateforme],$B586)="ROKS")),1,0),0))</f>
        <v>0</v>
      </c>
      <c r="E586" s="72" t="str">
        <f t="shared" si="155"/>
        <v/>
      </c>
      <c r="F586" s="19" t="str">
        <f>IF($D586=1,INDEX(TblClusters[Cluster],$B586),"")</f>
        <v/>
      </c>
      <c r="G586" s="19" t="str">
        <f>IF($D586=1,INDEX(TblClusters[Plateforme],$B586),"")</f>
        <v/>
      </c>
      <c r="H586" s="19" t="str">
        <f>IF($D586=1,INDEX(TblClusters[vCPU par nœud],$B586),"")</f>
        <v/>
      </c>
      <c r="I586" s="19" t="str">
        <f>IF($D586=1,INDEX(TblClusters[RAM par nœud (Go)],$B586),"")</f>
        <v/>
      </c>
      <c r="J586" s="19" t="str">
        <f>IF($D586=1,INDEX(TblClusters[Workers min],$B586),"")</f>
        <v/>
      </c>
      <c r="K586" s="73" t="str">
        <f>IF($D586=1,INDEX(TblClusters[Tarif par nœud],$B586),"")</f>
        <v/>
      </c>
      <c r="L586" s="19" t="str">
        <f>IF($D586=1,INDEX(TblClusters[CPU initial (vCPU)],$B586),"")</f>
        <v/>
      </c>
      <c r="M586" s="19" t="str">
        <f>IF($D586=1,INDEX(TblClusters[RAM initiale (Go)],$B586),"")</f>
        <v/>
      </c>
      <c r="N586" s="19" t="str">
        <f>IF($D586=1,INDEX(TblClusters[CPU min (vCPU)],$B586),"")</f>
        <v/>
      </c>
      <c r="O586" s="19" t="str">
        <f>IF($D586=1,INDEX(TblClusters[RAM min (Go)],$B586),"")</f>
        <v/>
      </c>
      <c r="P586" s="19" t="str">
        <f>IF($D586&lt;&gt;1,"",IF($G586="ROKS",SUMIFS(TblApplications[Besoin ROKS CPU (vCPU)],TblApplications[Cluster ROKS cible],$F586,TblApplications[Action],"À migrer",TblApplications[Déjà incluse ROKS],"Non",TblApplications[Mois prov (calc)],"&lt;="&amp;$E586),SUMIFS(TblApplications[CPU IKS libérable (vCPU)],TblApplications[Cluster IKS source],$F586,TblApplications[Mois lib (calc)],"&lt;="&amp;$E586)))</f>
        <v/>
      </c>
      <c r="Q586" s="19" t="str">
        <f>IF($D586&lt;&gt;1,"",IF($G586="ROKS",SUMIFS(TblApplications[Besoin ROKS RAM (Go)],TblApplications[Cluster ROKS cible],$F586,TblApplications[Action],"À migrer",TblApplications[Déjà incluse ROKS],"Non",TblApplications[Mois prov (calc)],"&lt;="&amp;$E586),SUMIFS(TblApplications[RAM IKS libérable (Go)],TblApplications[Cluster IKS source],$F586,TblApplications[Mois lib (calc)],"&lt;="&amp;$E586)))</f>
        <v/>
      </c>
      <c r="R586" s="19" t="str">
        <f t="shared" si="156"/>
        <v/>
      </c>
      <c r="S586" s="19" t="str">
        <f t="shared" si="157"/>
        <v/>
      </c>
      <c r="T586" s="19" t="str">
        <f t="shared" si="158"/>
        <v/>
      </c>
      <c r="U586" s="19" t="str">
        <f t="shared" si="159"/>
        <v/>
      </c>
      <c r="V586" s="19" t="str">
        <f t="shared" si="160"/>
        <v/>
      </c>
      <c r="W586" s="73" t="str">
        <f t="shared" si="161"/>
        <v/>
      </c>
      <c r="X586" s="19" t="str">
        <f>IF($D586&lt;&gt;1,"",IF($G586="ROKS",$R586,IF($AI586=1,0,MAX($N586,$L586-SUMIFS(TblApplications[CPU IKS libérable (vCPU)],TblApplications[Cluster IKS source],$F586,TblApplications[Action],"À migrer",TblApplications[Mois prov (calc)],"&lt;="&amp;$E586)-SUMIFS(TblApplications[CPU IKS libérable (vCPU)],TblApplications[Cluster IKS source],$F586,TblApplications[Action],"À décommissionner",TblApplications[Mois lib (calc)],"&lt;="&amp;$E586)))))</f>
        <v/>
      </c>
      <c r="Y586" s="19" t="str">
        <f>IF($D586&lt;&gt;1,"",IF($G586="ROKS",$S586,IF($AI586=1,0,MAX($O586,$M586-SUMIFS(TblApplications[RAM IKS libérable (Go)],TblApplications[Cluster IKS source],$F586,TblApplications[Action],"À migrer",TblApplications[Mois prov (calc)],"&lt;="&amp;$E586)-SUMIFS(TblApplications[RAM IKS libérable (Go)],TblApplications[Cluster IKS source],$F586,TblApplications[Action],"À décommissionner",TblApplications[Mois lib (calc)],"&lt;="&amp;$E586)))))</f>
        <v/>
      </c>
      <c r="Z586" s="19" t="str">
        <f t="shared" si="162"/>
        <v/>
      </c>
      <c r="AA586" s="73" t="str">
        <f t="shared" si="163"/>
        <v/>
      </c>
      <c r="AB586" s="19" t="str">
        <f t="shared" si="164"/>
        <v/>
      </c>
      <c r="AC586" s="73" t="str">
        <f t="shared" si="165"/>
        <v/>
      </c>
      <c r="AD586" s="19" t="str">
        <f t="shared" si="166"/>
        <v/>
      </c>
      <c r="AE586" s="19" t="str">
        <f t="shared" si="167"/>
        <v/>
      </c>
      <c r="AF586" s="19" t="str">
        <f>IF($D586&lt;&gt;1,"",IF(INDEX(TblClusters[Environnement],$B586)="","(vide)",INDEX(TblClusters[Environnement],$B586)))</f>
        <v/>
      </c>
      <c r="AG586" s="19" t="str">
        <f t="shared" si="168"/>
        <v/>
      </c>
      <c r="AH586" s="19" t="str">
        <f t="shared" si="169"/>
        <v/>
      </c>
      <c r="AI586" s="19" t="str">
        <f>IF($D586&lt;&gt;1,"",IF(AND($G586="IKS",ISNUMBER(INDEX(TblClusters[Fermeture retenue],$B586))),IF($E586&gt;=INDEX(TblClusters[Fermeture retenue],$B586),1,0),0))</f>
        <v/>
      </c>
    </row>
    <row r="587" spans="1:35" x14ac:dyDescent="0.2">
      <c r="A587" s="19">
        <v>582</v>
      </c>
      <c r="B587" s="19">
        <f t="shared" si="153"/>
        <v>17</v>
      </c>
      <c r="C587" s="19">
        <f t="shared" si="154"/>
        <v>6</v>
      </c>
      <c r="D587" s="19">
        <f>IF($C587&gt;p_horizon,0,IFERROR(IF(AND(INDEX(TblClusters[Cluster],$B587)&lt;&gt;"",ISNUMBER(INDEX(TblClusters[CPU initial (vCPU)],$B587)),ISNUMBER(INDEX(TblClusters[CPU min (vCPU)],$B587)),OR(INDEX(TblClusters[Plateforme],$B587)="IKS",INDEX(TblClusters[Plateforme],$B587)="ROKS")),1,0),0))</f>
        <v>0</v>
      </c>
      <c r="E587" s="72" t="str">
        <f t="shared" si="155"/>
        <v/>
      </c>
      <c r="F587" s="19" t="str">
        <f>IF($D587=1,INDEX(TblClusters[Cluster],$B587),"")</f>
        <v/>
      </c>
      <c r="G587" s="19" t="str">
        <f>IF($D587=1,INDEX(TblClusters[Plateforme],$B587),"")</f>
        <v/>
      </c>
      <c r="H587" s="19" t="str">
        <f>IF($D587=1,INDEX(TblClusters[vCPU par nœud],$B587),"")</f>
        <v/>
      </c>
      <c r="I587" s="19" t="str">
        <f>IF($D587=1,INDEX(TblClusters[RAM par nœud (Go)],$B587),"")</f>
        <v/>
      </c>
      <c r="J587" s="19" t="str">
        <f>IF($D587=1,INDEX(TblClusters[Workers min],$B587),"")</f>
        <v/>
      </c>
      <c r="K587" s="73" t="str">
        <f>IF($D587=1,INDEX(TblClusters[Tarif par nœud],$B587),"")</f>
        <v/>
      </c>
      <c r="L587" s="19" t="str">
        <f>IF($D587=1,INDEX(TblClusters[CPU initial (vCPU)],$B587),"")</f>
        <v/>
      </c>
      <c r="M587" s="19" t="str">
        <f>IF($D587=1,INDEX(TblClusters[RAM initiale (Go)],$B587),"")</f>
        <v/>
      </c>
      <c r="N587" s="19" t="str">
        <f>IF($D587=1,INDEX(TblClusters[CPU min (vCPU)],$B587),"")</f>
        <v/>
      </c>
      <c r="O587" s="19" t="str">
        <f>IF($D587=1,INDEX(TblClusters[RAM min (Go)],$B587),"")</f>
        <v/>
      </c>
      <c r="P587" s="19" t="str">
        <f>IF($D587&lt;&gt;1,"",IF($G587="ROKS",SUMIFS(TblApplications[Besoin ROKS CPU (vCPU)],TblApplications[Cluster ROKS cible],$F587,TblApplications[Action],"À migrer",TblApplications[Déjà incluse ROKS],"Non",TblApplications[Mois prov (calc)],"&lt;="&amp;$E587),SUMIFS(TblApplications[CPU IKS libérable (vCPU)],TblApplications[Cluster IKS source],$F587,TblApplications[Mois lib (calc)],"&lt;="&amp;$E587)))</f>
        <v/>
      </c>
      <c r="Q587" s="19" t="str">
        <f>IF($D587&lt;&gt;1,"",IF($G587="ROKS",SUMIFS(TblApplications[Besoin ROKS RAM (Go)],TblApplications[Cluster ROKS cible],$F587,TblApplications[Action],"À migrer",TblApplications[Déjà incluse ROKS],"Non",TblApplications[Mois prov (calc)],"&lt;="&amp;$E587),SUMIFS(TblApplications[RAM IKS libérable (Go)],TblApplications[Cluster IKS source],$F587,TblApplications[Mois lib (calc)],"&lt;="&amp;$E587)))</f>
        <v/>
      </c>
      <c r="R587" s="19" t="str">
        <f t="shared" si="156"/>
        <v/>
      </c>
      <c r="S587" s="19" t="str">
        <f t="shared" si="157"/>
        <v/>
      </c>
      <c r="T587" s="19" t="str">
        <f t="shared" si="158"/>
        <v/>
      </c>
      <c r="U587" s="19" t="str">
        <f t="shared" si="159"/>
        <v/>
      </c>
      <c r="V587" s="19" t="str">
        <f t="shared" si="160"/>
        <v/>
      </c>
      <c r="W587" s="73" t="str">
        <f t="shared" si="161"/>
        <v/>
      </c>
      <c r="X587" s="19" t="str">
        <f>IF($D587&lt;&gt;1,"",IF($G587="ROKS",$R587,IF($AI587=1,0,MAX($N587,$L587-SUMIFS(TblApplications[CPU IKS libérable (vCPU)],TblApplications[Cluster IKS source],$F587,TblApplications[Action],"À migrer",TblApplications[Mois prov (calc)],"&lt;="&amp;$E587)-SUMIFS(TblApplications[CPU IKS libérable (vCPU)],TblApplications[Cluster IKS source],$F587,TblApplications[Action],"À décommissionner",TblApplications[Mois lib (calc)],"&lt;="&amp;$E587)))))</f>
        <v/>
      </c>
      <c r="Y587" s="19" t="str">
        <f>IF($D587&lt;&gt;1,"",IF($G587="ROKS",$S587,IF($AI587=1,0,MAX($O587,$M587-SUMIFS(TblApplications[RAM IKS libérable (Go)],TblApplications[Cluster IKS source],$F587,TblApplications[Action],"À migrer",TblApplications[Mois prov (calc)],"&lt;="&amp;$E587)-SUMIFS(TblApplications[RAM IKS libérable (Go)],TblApplications[Cluster IKS source],$F587,TblApplications[Action],"À décommissionner",TblApplications[Mois lib (calc)],"&lt;="&amp;$E587)))))</f>
        <v/>
      </c>
      <c r="Z587" s="19" t="str">
        <f t="shared" si="162"/>
        <v/>
      </c>
      <c r="AA587" s="73" t="str">
        <f t="shared" si="163"/>
        <v/>
      </c>
      <c r="AB587" s="19" t="str">
        <f t="shared" si="164"/>
        <v/>
      </c>
      <c r="AC587" s="73" t="str">
        <f t="shared" si="165"/>
        <v/>
      </c>
      <c r="AD587" s="19" t="str">
        <f t="shared" si="166"/>
        <v/>
      </c>
      <c r="AE587" s="19" t="str">
        <f t="shared" si="167"/>
        <v/>
      </c>
      <c r="AF587" s="19" t="str">
        <f>IF($D587&lt;&gt;1,"",IF(INDEX(TblClusters[Environnement],$B587)="","(vide)",INDEX(TblClusters[Environnement],$B587)))</f>
        <v/>
      </c>
      <c r="AG587" s="19" t="str">
        <f t="shared" si="168"/>
        <v/>
      </c>
      <c r="AH587" s="19" t="str">
        <f t="shared" si="169"/>
        <v/>
      </c>
      <c r="AI587" s="19" t="str">
        <f>IF($D587&lt;&gt;1,"",IF(AND($G587="IKS",ISNUMBER(INDEX(TblClusters[Fermeture retenue],$B587))),IF($E587&gt;=INDEX(TblClusters[Fermeture retenue],$B587),1,0),0))</f>
        <v/>
      </c>
    </row>
    <row r="588" spans="1:35" x14ac:dyDescent="0.2">
      <c r="A588" s="19">
        <v>583</v>
      </c>
      <c r="B588" s="19">
        <f t="shared" si="153"/>
        <v>17</v>
      </c>
      <c r="C588" s="19">
        <f t="shared" si="154"/>
        <v>7</v>
      </c>
      <c r="D588" s="19">
        <f>IF($C588&gt;p_horizon,0,IFERROR(IF(AND(INDEX(TblClusters[Cluster],$B588)&lt;&gt;"",ISNUMBER(INDEX(TblClusters[CPU initial (vCPU)],$B588)),ISNUMBER(INDEX(TblClusters[CPU min (vCPU)],$B588)),OR(INDEX(TblClusters[Plateforme],$B588)="IKS",INDEX(TblClusters[Plateforme],$B588)="ROKS")),1,0),0))</f>
        <v>0</v>
      </c>
      <c r="E588" s="72" t="str">
        <f t="shared" si="155"/>
        <v/>
      </c>
      <c r="F588" s="19" t="str">
        <f>IF($D588=1,INDEX(TblClusters[Cluster],$B588),"")</f>
        <v/>
      </c>
      <c r="G588" s="19" t="str">
        <f>IF($D588=1,INDEX(TblClusters[Plateforme],$B588),"")</f>
        <v/>
      </c>
      <c r="H588" s="19" t="str">
        <f>IF($D588=1,INDEX(TblClusters[vCPU par nœud],$B588),"")</f>
        <v/>
      </c>
      <c r="I588" s="19" t="str">
        <f>IF($D588=1,INDEX(TblClusters[RAM par nœud (Go)],$B588),"")</f>
        <v/>
      </c>
      <c r="J588" s="19" t="str">
        <f>IF($D588=1,INDEX(TblClusters[Workers min],$B588),"")</f>
        <v/>
      </c>
      <c r="K588" s="73" t="str">
        <f>IF($D588=1,INDEX(TblClusters[Tarif par nœud],$B588),"")</f>
        <v/>
      </c>
      <c r="L588" s="19" t="str">
        <f>IF($D588=1,INDEX(TblClusters[CPU initial (vCPU)],$B588),"")</f>
        <v/>
      </c>
      <c r="M588" s="19" t="str">
        <f>IF($D588=1,INDEX(TblClusters[RAM initiale (Go)],$B588),"")</f>
        <v/>
      </c>
      <c r="N588" s="19" t="str">
        <f>IF($D588=1,INDEX(TblClusters[CPU min (vCPU)],$B588),"")</f>
        <v/>
      </c>
      <c r="O588" s="19" t="str">
        <f>IF($D588=1,INDEX(TblClusters[RAM min (Go)],$B588),"")</f>
        <v/>
      </c>
      <c r="P588" s="19" t="str">
        <f>IF($D588&lt;&gt;1,"",IF($G588="ROKS",SUMIFS(TblApplications[Besoin ROKS CPU (vCPU)],TblApplications[Cluster ROKS cible],$F588,TblApplications[Action],"À migrer",TblApplications[Déjà incluse ROKS],"Non",TblApplications[Mois prov (calc)],"&lt;="&amp;$E588),SUMIFS(TblApplications[CPU IKS libérable (vCPU)],TblApplications[Cluster IKS source],$F588,TblApplications[Mois lib (calc)],"&lt;="&amp;$E588)))</f>
        <v/>
      </c>
      <c r="Q588" s="19" t="str">
        <f>IF($D588&lt;&gt;1,"",IF($G588="ROKS",SUMIFS(TblApplications[Besoin ROKS RAM (Go)],TblApplications[Cluster ROKS cible],$F588,TblApplications[Action],"À migrer",TblApplications[Déjà incluse ROKS],"Non",TblApplications[Mois prov (calc)],"&lt;="&amp;$E588),SUMIFS(TblApplications[RAM IKS libérable (Go)],TblApplications[Cluster IKS source],$F588,TblApplications[Mois lib (calc)],"&lt;="&amp;$E588)))</f>
        <v/>
      </c>
      <c r="R588" s="19" t="str">
        <f t="shared" si="156"/>
        <v/>
      </c>
      <c r="S588" s="19" t="str">
        <f t="shared" si="157"/>
        <v/>
      </c>
      <c r="T588" s="19" t="str">
        <f t="shared" si="158"/>
        <v/>
      </c>
      <c r="U588" s="19" t="str">
        <f t="shared" si="159"/>
        <v/>
      </c>
      <c r="V588" s="19" t="str">
        <f t="shared" si="160"/>
        <v/>
      </c>
      <c r="W588" s="73" t="str">
        <f t="shared" si="161"/>
        <v/>
      </c>
      <c r="X588" s="19" t="str">
        <f>IF($D588&lt;&gt;1,"",IF($G588="ROKS",$R588,IF($AI588=1,0,MAX($N588,$L588-SUMIFS(TblApplications[CPU IKS libérable (vCPU)],TblApplications[Cluster IKS source],$F588,TblApplications[Action],"À migrer",TblApplications[Mois prov (calc)],"&lt;="&amp;$E588)-SUMIFS(TblApplications[CPU IKS libérable (vCPU)],TblApplications[Cluster IKS source],$F588,TblApplications[Action],"À décommissionner",TblApplications[Mois lib (calc)],"&lt;="&amp;$E588)))))</f>
        <v/>
      </c>
      <c r="Y588" s="19" t="str">
        <f>IF($D588&lt;&gt;1,"",IF($G588="ROKS",$S588,IF($AI588=1,0,MAX($O588,$M588-SUMIFS(TblApplications[RAM IKS libérable (Go)],TblApplications[Cluster IKS source],$F588,TblApplications[Action],"À migrer",TblApplications[Mois prov (calc)],"&lt;="&amp;$E588)-SUMIFS(TblApplications[RAM IKS libérable (Go)],TblApplications[Cluster IKS source],$F588,TblApplications[Action],"À décommissionner",TblApplications[Mois lib (calc)],"&lt;="&amp;$E588)))))</f>
        <v/>
      </c>
      <c r="Z588" s="19" t="str">
        <f t="shared" si="162"/>
        <v/>
      </c>
      <c r="AA588" s="73" t="str">
        <f t="shared" si="163"/>
        <v/>
      </c>
      <c r="AB588" s="19" t="str">
        <f t="shared" si="164"/>
        <v/>
      </c>
      <c r="AC588" s="73" t="str">
        <f t="shared" si="165"/>
        <v/>
      </c>
      <c r="AD588" s="19" t="str">
        <f t="shared" si="166"/>
        <v/>
      </c>
      <c r="AE588" s="19" t="str">
        <f t="shared" si="167"/>
        <v/>
      </c>
      <c r="AF588" s="19" t="str">
        <f>IF($D588&lt;&gt;1,"",IF(INDEX(TblClusters[Environnement],$B588)="","(vide)",INDEX(TblClusters[Environnement],$B588)))</f>
        <v/>
      </c>
      <c r="AG588" s="19" t="str">
        <f t="shared" si="168"/>
        <v/>
      </c>
      <c r="AH588" s="19" t="str">
        <f t="shared" si="169"/>
        <v/>
      </c>
      <c r="AI588" s="19" t="str">
        <f>IF($D588&lt;&gt;1,"",IF(AND($G588="IKS",ISNUMBER(INDEX(TblClusters[Fermeture retenue],$B588))),IF($E588&gt;=INDEX(TblClusters[Fermeture retenue],$B588),1,0),0))</f>
        <v/>
      </c>
    </row>
    <row r="589" spans="1:35" x14ac:dyDescent="0.2">
      <c r="A589" s="19">
        <v>584</v>
      </c>
      <c r="B589" s="19">
        <f t="shared" si="153"/>
        <v>17</v>
      </c>
      <c r="C589" s="19">
        <f t="shared" si="154"/>
        <v>8</v>
      </c>
      <c r="D589" s="19">
        <f>IF($C589&gt;p_horizon,0,IFERROR(IF(AND(INDEX(TblClusters[Cluster],$B589)&lt;&gt;"",ISNUMBER(INDEX(TblClusters[CPU initial (vCPU)],$B589)),ISNUMBER(INDEX(TblClusters[CPU min (vCPU)],$B589)),OR(INDEX(TblClusters[Plateforme],$B589)="IKS",INDEX(TblClusters[Plateforme],$B589)="ROKS")),1,0),0))</f>
        <v>0</v>
      </c>
      <c r="E589" s="72" t="str">
        <f t="shared" si="155"/>
        <v/>
      </c>
      <c r="F589" s="19" t="str">
        <f>IF($D589=1,INDEX(TblClusters[Cluster],$B589),"")</f>
        <v/>
      </c>
      <c r="G589" s="19" t="str">
        <f>IF($D589=1,INDEX(TblClusters[Plateforme],$B589),"")</f>
        <v/>
      </c>
      <c r="H589" s="19" t="str">
        <f>IF($D589=1,INDEX(TblClusters[vCPU par nœud],$B589),"")</f>
        <v/>
      </c>
      <c r="I589" s="19" t="str">
        <f>IF($D589=1,INDEX(TblClusters[RAM par nœud (Go)],$B589),"")</f>
        <v/>
      </c>
      <c r="J589" s="19" t="str">
        <f>IF($D589=1,INDEX(TblClusters[Workers min],$B589),"")</f>
        <v/>
      </c>
      <c r="K589" s="73" t="str">
        <f>IF($D589=1,INDEX(TblClusters[Tarif par nœud],$B589),"")</f>
        <v/>
      </c>
      <c r="L589" s="19" t="str">
        <f>IF($D589=1,INDEX(TblClusters[CPU initial (vCPU)],$B589),"")</f>
        <v/>
      </c>
      <c r="M589" s="19" t="str">
        <f>IF($D589=1,INDEX(TblClusters[RAM initiale (Go)],$B589),"")</f>
        <v/>
      </c>
      <c r="N589" s="19" t="str">
        <f>IF($D589=1,INDEX(TblClusters[CPU min (vCPU)],$B589),"")</f>
        <v/>
      </c>
      <c r="O589" s="19" t="str">
        <f>IF($D589=1,INDEX(TblClusters[RAM min (Go)],$B589),"")</f>
        <v/>
      </c>
      <c r="P589" s="19" t="str">
        <f>IF($D589&lt;&gt;1,"",IF($G589="ROKS",SUMIFS(TblApplications[Besoin ROKS CPU (vCPU)],TblApplications[Cluster ROKS cible],$F589,TblApplications[Action],"À migrer",TblApplications[Déjà incluse ROKS],"Non",TblApplications[Mois prov (calc)],"&lt;="&amp;$E589),SUMIFS(TblApplications[CPU IKS libérable (vCPU)],TblApplications[Cluster IKS source],$F589,TblApplications[Mois lib (calc)],"&lt;="&amp;$E589)))</f>
        <v/>
      </c>
      <c r="Q589" s="19" t="str">
        <f>IF($D589&lt;&gt;1,"",IF($G589="ROKS",SUMIFS(TblApplications[Besoin ROKS RAM (Go)],TblApplications[Cluster ROKS cible],$F589,TblApplications[Action],"À migrer",TblApplications[Déjà incluse ROKS],"Non",TblApplications[Mois prov (calc)],"&lt;="&amp;$E589),SUMIFS(TblApplications[RAM IKS libérable (Go)],TblApplications[Cluster IKS source],$F589,TblApplications[Mois lib (calc)],"&lt;="&amp;$E589)))</f>
        <v/>
      </c>
      <c r="R589" s="19" t="str">
        <f t="shared" si="156"/>
        <v/>
      </c>
      <c r="S589" s="19" t="str">
        <f t="shared" si="157"/>
        <v/>
      </c>
      <c r="T589" s="19" t="str">
        <f t="shared" si="158"/>
        <v/>
      </c>
      <c r="U589" s="19" t="str">
        <f t="shared" si="159"/>
        <v/>
      </c>
      <c r="V589" s="19" t="str">
        <f t="shared" si="160"/>
        <v/>
      </c>
      <c r="W589" s="73" t="str">
        <f t="shared" si="161"/>
        <v/>
      </c>
      <c r="X589" s="19" t="str">
        <f>IF($D589&lt;&gt;1,"",IF($G589="ROKS",$R589,IF($AI589=1,0,MAX($N589,$L589-SUMIFS(TblApplications[CPU IKS libérable (vCPU)],TblApplications[Cluster IKS source],$F589,TblApplications[Action],"À migrer",TblApplications[Mois prov (calc)],"&lt;="&amp;$E589)-SUMIFS(TblApplications[CPU IKS libérable (vCPU)],TblApplications[Cluster IKS source],$F589,TblApplications[Action],"À décommissionner",TblApplications[Mois lib (calc)],"&lt;="&amp;$E589)))))</f>
        <v/>
      </c>
      <c r="Y589" s="19" t="str">
        <f>IF($D589&lt;&gt;1,"",IF($G589="ROKS",$S589,IF($AI589=1,0,MAX($O589,$M589-SUMIFS(TblApplications[RAM IKS libérable (Go)],TblApplications[Cluster IKS source],$F589,TblApplications[Action],"À migrer",TblApplications[Mois prov (calc)],"&lt;="&amp;$E589)-SUMIFS(TblApplications[RAM IKS libérable (Go)],TblApplications[Cluster IKS source],$F589,TblApplications[Action],"À décommissionner",TblApplications[Mois lib (calc)],"&lt;="&amp;$E589)))))</f>
        <v/>
      </c>
      <c r="Z589" s="19" t="str">
        <f t="shared" si="162"/>
        <v/>
      </c>
      <c r="AA589" s="73" t="str">
        <f t="shared" si="163"/>
        <v/>
      </c>
      <c r="AB589" s="19" t="str">
        <f t="shared" si="164"/>
        <v/>
      </c>
      <c r="AC589" s="73" t="str">
        <f t="shared" si="165"/>
        <v/>
      </c>
      <c r="AD589" s="19" t="str">
        <f t="shared" si="166"/>
        <v/>
      </c>
      <c r="AE589" s="19" t="str">
        <f t="shared" si="167"/>
        <v/>
      </c>
      <c r="AF589" s="19" t="str">
        <f>IF($D589&lt;&gt;1,"",IF(INDEX(TblClusters[Environnement],$B589)="","(vide)",INDEX(TblClusters[Environnement],$B589)))</f>
        <v/>
      </c>
      <c r="AG589" s="19" t="str">
        <f t="shared" si="168"/>
        <v/>
      </c>
      <c r="AH589" s="19" t="str">
        <f t="shared" si="169"/>
        <v/>
      </c>
      <c r="AI589" s="19" t="str">
        <f>IF($D589&lt;&gt;1,"",IF(AND($G589="IKS",ISNUMBER(INDEX(TblClusters[Fermeture retenue],$B589))),IF($E589&gt;=INDEX(TblClusters[Fermeture retenue],$B589),1,0),0))</f>
        <v/>
      </c>
    </row>
    <row r="590" spans="1:35" x14ac:dyDescent="0.2">
      <c r="A590" s="19">
        <v>585</v>
      </c>
      <c r="B590" s="19">
        <f t="shared" si="153"/>
        <v>17</v>
      </c>
      <c r="C590" s="19">
        <f t="shared" si="154"/>
        <v>9</v>
      </c>
      <c r="D590" s="19">
        <f>IF($C590&gt;p_horizon,0,IFERROR(IF(AND(INDEX(TblClusters[Cluster],$B590)&lt;&gt;"",ISNUMBER(INDEX(TblClusters[CPU initial (vCPU)],$B590)),ISNUMBER(INDEX(TblClusters[CPU min (vCPU)],$B590)),OR(INDEX(TblClusters[Plateforme],$B590)="IKS",INDEX(TblClusters[Plateforme],$B590)="ROKS")),1,0),0))</f>
        <v>0</v>
      </c>
      <c r="E590" s="72" t="str">
        <f t="shared" si="155"/>
        <v/>
      </c>
      <c r="F590" s="19" t="str">
        <f>IF($D590=1,INDEX(TblClusters[Cluster],$B590),"")</f>
        <v/>
      </c>
      <c r="G590" s="19" t="str">
        <f>IF($D590=1,INDEX(TblClusters[Plateforme],$B590),"")</f>
        <v/>
      </c>
      <c r="H590" s="19" t="str">
        <f>IF($D590=1,INDEX(TblClusters[vCPU par nœud],$B590),"")</f>
        <v/>
      </c>
      <c r="I590" s="19" t="str">
        <f>IF($D590=1,INDEX(TblClusters[RAM par nœud (Go)],$B590),"")</f>
        <v/>
      </c>
      <c r="J590" s="19" t="str">
        <f>IF($D590=1,INDEX(TblClusters[Workers min],$B590),"")</f>
        <v/>
      </c>
      <c r="K590" s="73" t="str">
        <f>IF($D590=1,INDEX(TblClusters[Tarif par nœud],$B590),"")</f>
        <v/>
      </c>
      <c r="L590" s="19" t="str">
        <f>IF($D590=1,INDEX(TblClusters[CPU initial (vCPU)],$B590),"")</f>
        <v/>
      </c>
      <c r="M590" s="19" t="str">
        <f>IF($D590=1,INDEX(TblClusters[RAM initiale (Go)],$B590),"")</f>
        <v/>
      </c>
      <c r="N590" s="19" t="str">
        <f>IF($D590=1,INDEX(TblClusters[CPU min (vCPU)],$B590),"")</f>
        <v/>
      </c>
      <c r="O590" s="19" t="str">
        <f>IF($D590=1,INDEX(TblClusters[RAM min (Go)],$B590),"")</f>
        <v/>
      </c>
      <c r="P590" s="19" t="str">
        <f>IF($D590&lt;&gt;1,"",IF($G590="ROKS",SUMIFS(TblApplications[Besoin ROKS CPU (vCPU)],TblApplications[Cluster ROKS cible],$F590,TblApplications[Action],"À migrer",TblApplications[Déjà incluse ROKS],"Non",TblApplications[Mois prov (calc)],"&lt;="&amp;$E590),SUMIFS(TblApplications[CPU IKS libérable (vCPU)],TblApplications[Cluster IKS source],$F590,TblApplications[Mois lib (calc)],"&lt;="&amp;$E590)))</f>
        <v/>
      </c>
      <c r="Q590" s="19" t="str">
        <f>IF($D590&lt;&gt;1,"",IF($G590="ROKS",SUMIFS(TblApplications[Besoin ROKS RAM (Go)],TblApplications[Cluster ROKS cible],$F590,TblApplications[Action],"À migrer",TblApplications[Déjà incluse ROKS],"Non",TblApplications[Mois prov (calc)],"&lt;="&amp;$E590),SUMIFS(TblApplications[RAM IKS libérable (Go)],TblApplications[Cluster IKS source],$F590,TblApplications[Mois lib (calc)],"&lt;="&amp;$E590)))</f>
        <v/>
      </c>
      <c r="R590" s="19" t="str">
        <f t="shared" si="156"/>
        <v/>
      </c>
      <c r="S590" s="19" t="str">
        <f t="shared" si="157"/>
        <v/>
      </c>
      <c r="T590" s="19" t="str">
        <f t="shared" si="158"/>
        <v/>
      </c>
      <c r="U590" s="19" t="str">
        <f t="shared" si="159"/>
        <v/>
      </c>
      <c r="V590" s="19" t="str">
        <f t="shared" si="160"/>
        <v/>
      </c>
      <c r="W590" s="73" t="str">
        <f t="shared" si="161"/>
        <v/>
      </c>
      <c r="X590" s="19" t="str">
        <f>IF($D590&lt;&gt;1,"",IF($G590="ROKS",$R590,IF($AI590=1,0,MAX($N590,$L590-SUMIFS(TblApplications[CPU IKS libérable (vCPU)],TblApplications[Cluster IKS source],$F590,TblApplications[Action],"À migrer",TblApplications[Mois prov (calc)],"&lt;="&amp;$E590)-SUMIFS(TblApplications[CPU IKS libérable (vCPU)],TblApplications[Cluster IKS source],$F590,TblApplications[Action],"À décommissionner",TblApplications[Mois lib (calc)],"&lt;="&amp;$E590)))))</f>
        <v/>
      </c>
      <c r="Y590" s="19" t="str">
        <f>IF($D590&lt;&gt;1,"",IF($G590="ROKS",$S590,IF($AI590=1,0,MAX($O590,$M590-SUMIFS(TblApplications[RAM IKS libérable (Go)],TblApplications[Cluster IKS source],$F590,TblApplications[Action],"À migrer",TblApplications[Mois prov (calc)],"&lt;="&amp;$E590)-SUMIFS(TblApplications[RAM IKS libérable (Go)],TblApplications[Cluster IKS source],$F590,TblApplications[Action],"À décommissionner",TblApplications[Mois lib (calc)],"&lt;="&amp;$E590)))))</f>
        <v/>
      </c>
      <c r="Z590" s="19" t="str">
        <f t="shared" si="162"/>
        <v/>
      </c>
      <c r="AA590" s="73" t="str">
        <f t="shared" si="163"/>
        <v/>
      </c>
      <c r="AB590" s="19" t="str">
        <f t="shared" si="164"/>
        <v/>
      </c>
      <c r="AC590" s="73" t="str">
        <f t="shared" si="165"/>
        <v/>
      </c>
      <c r="AD590" s="19" t="str">
        <f t="shared" si="166"/>
        <v/>
      </c>
      <c r="AE590" s="19" t="str">
        <f t="shared" si="167"/>
        <v/>
      </c>
      <c r="AF590" s="19" t="str">
        <f>IF($D590&lt;&gt;1,"",IF(INDEX(TblClusters[Environnement],$B590)="","(vide)",INDEX(TblClusters[Environnement],$B590)))</f>
        <v/>
      </c>
      <c r="AG590" s="19" t="str">
        <f t="shared" si="168"/>
        <v/>
      </c>
      <c r="AH590" s="19" t="str">
        <f t="shared" si="169"/>
        <v/>
      </c>
      <c r="AI590" s="19" t="str">
        <f>IF($D590&lt;&gt;1,"",IF(AND($G590="IKS",ISNUMBER(INDEX(TblClusters[Fermeture retenue],$B590))),IF($E590&gt;=INDEX(TblClusters[Fermeture retenue],$B590),1,0),0))</f>
        <v/>
      </c>
    </row>
    <row r="591" spans="1:35" x14ac:dyDescent="0.2">
      <c r="A591" s="19">
        <v>586</v>
      </c>
      <c r="B591" s="19">
        <f t="shared" si="153"/>
        <v>17</v>
      </c>
      <c r="C591" s="19">
        <f t="shared" si="154"/>
        <v>10</v>
      </c>
      <c r="D591" s="19">
        <f>IF($C591&gt;p_horizon,0,IFERROR(IF(AND(INDEX(TblClusters[Cluster],$B591)&lt;&gt;"",ISNUMBER(INDEX(TblClusters[CPU initial (vCPU)],$B591)),ISNUMBER(INDEX(TblClusters[CPU min (vCPU)],$B591)),OR(INDEX(TblClusters[Plateforme],$B591)="IKS",INDEX(TblClusters[Plateforme],$B591)="ROKS")),1,0),0))</f>
        <v>0</v>
      </c>
      <c r="E591" s="72" t="str">
        <f t="shared" si="155"/>
        <v/>
      </c>
      <c r="F591" s="19" t="str">
        <f>IF($D591=1,INDEX(TblClusters[Cluster],$B591),"")</f>
        <v/>
      </c>
      <c r="G591" s="19" t="str">
        <f>IF($D591=1,INDEX(TblClusters[Plateforme],$B591),"")</f>
        <v/>
      </c>
      <c r="H591" s="19" t="str">
        <f>IF($D591=1,INDEX(TblClusters[vCPU par nœud],$B591),"")</f>
        <v/>
      </c>
      <c r="I591" s="19" t="str">
        <f>IF($D591=1,INDEX(TblClusters[RAM par nœud (Go)],$B591),"")</f>
        <v/>
      </c>
      <c r="J591" s="19" t="str">
        <f>IF($D591=1,INDEX(TblClusters[Workers min],$B591),"")</f>
        <v/>
      </c>
      <c r="K591" s="73" t="str">
        <f>IF($D591=1,INDEX(TblClusters[Tarif par nœud],$B591),"")</f>
        <v/>
      </c>
      <c r="L591" s="19" t="str">
        <f>IF($D591=1,INDEX(TblClusters[CPU initial (vCPU)],$B591),"")</f>
        <v/>
      </c>
      <c r="M591" s="19" t="str">
        <f>IF($D591=1,INDEX(TblClusters[RAM initiale (Go)],$B591),"")</f>
        <v/>
      </c>
      <c r="N591" s="19" t="str">
        <f>IF($D591=1,INDEX(TblClusters[CPU min (vCPU)],$B591),"")</f>
        <v/>
      </c>
      <c r="O591" s="19" t="str">
        <f>IF($D591=1,INDEX(TblClusters[RAM min (Go)],$B591),"")</f>
        <v/>
      </c>
      <c r="P591" s="19" t="str">
        <f>IF($D591&lt;&gt;1,"",IF($G591="ROKS",SUMIFS(TblApplications[Besoin ROKS CPU (vCPU)],TblApplications[Cluster ROKS cible],$F591,TblApplications[Action],"À migrer",TblApplications[Déjà incluse ROKS],"Non",TblApplications[Mois prov (calc)],"&lt;="&amp;$E591),SUMIFS(TblApplications[CPU IKS libérable (vCPU)],TblApplications[Cluster IKS source],$F591,TblApplications[Mois lib (calc)],"&lt;="&amp;$E591)))</f>
        <v/>
      </c>
      <c r="Q591" s="19" t="str">
        <f>IF($D591&lt;&gt;1,"",IF($G591="ROKS",SUMIFS(TblApplications[Besoin ROKS RAM (Go)],TblApplications[Cluster ROKS cible],$F591,TblApplications[Action],"À migrer",TblApplications[Déjà incluse ROKS],"Non",TblApplications[Mois prov (calc)],"&lt;="&amp;$E591),SUMIFS(TblApplications[RAM IKS libérable (Go)],TblApplications[Cluster IKS source],$F591,TblApplications[Mois lib (calc)],"&lt;="&amp;$E591)))</f>
        <v/>
      </c>
      <c r="R591" s="19" t="str">
        <f t="shared" si="156"/>
        <v/>
      </c>
      <c r="S591" s="19" t="str">
        <f t="shared" si="157"/>
        <v/>
      </c>
      <c r="T591" s="19" t="str">
        <f t="shared" si="158"/>
        <v/>
      </c>
      <c r="U591" s="19" t="str">
        <f t="shared" si="159"/>
        <v/>
      </c>
      <c r="V591" s="19" t="str">
        <f t="shared" si="160"/>
        <v/>
      </c>
      <c r="W591" s="73" t="str">
        <f t="shared" si="161"/>
        <v/>
      </c>
      <c r="X591" s="19" t="str">
        <f>IF($D591&lt;&gt;1,"",IF($G591="ROKS",$R591,IF($AI591=1,0,MAX($N591,$L591-SUMIFS(TblApplications[CPU IKS libérable (vCPU)],TblApplications[Cluster IKS source],$F591,TblApplications[Action],"À migrer",TblApplications[Mois prov (calc)],"&lt;="&amp;$E591)-SUMIFS(TblApplications[CPU IKS libérable (vCPU)],TblApplications[Cluster IKS source],$F591,TblApplications[Action],"À décommissionner",TblApplications[Mois lib (calc)],"&lt;="&amp;$E591)))))</f>
        <v/>
      </c>
      <c r="Y591" s="19" t="str">
        <f>IF($D591&lt;&gt;1,"",IF($G591="ROKS",$S591,IF($AI591=1,0,MAX($O591,$M591-SUMIFS(TblApplications[RAM IKS libérable (Go)],TblApplications[Cluster IKS source],$F591,TblApplications[Action],"À migrer",TblApplications[Mois prov (calc)],"&lt;="&amp;$E591)-SUMIFS(TblApplications[RAM IKS libérable (Go)],TblApplications[Cluster IKS source],$F591,TblApplications[Action],"À décommissionner",TblApplications[Mois lib (calc)],"&lt;="&amp;$E591)))))</f>
        <v/>
      </c>
      <c r="Z591" s="19" t="str">
        <f t="shared" si="162"/>
        <v/>
      </c>
      <c r="AA591" s="73" t="str">
        <f t="shared" si="163"/>
        <v/>
      </c>
      <c r="AB591" s="19" t="str">
        <f t="shared" si="164"/>
        <v/>
      </c>
      <c r="AC591" s="73" t="str">
        <f t="shared" si="165"/>
        <v/>
      </c>
      <c r="AD591" s="19" t="str">
        <f t="shared" si="166"/>
        <v/>
      </c>
      <c r="AE591" s="19" t="str">
        <f t="shared" si="167"/>
        <v/>
      </c>
      <c r="AF591" s="19" t="str">
        <f>IF($D591&lt;&gt;1,"",IF(INDEX(TblClusters[Environnement],$B591)="","(vide)",INDEX(TblClusters[Environnement],$B591)))</f>
        <v/>
      </c>
      <c r="AG591" s="19" t="str">
        <f t="shared" si="168"/>
        <v/>
      </c>
      <c r="AH591" s="19" t="str">
        <f t="shared" si="169"/>
        <v/>
      </c>
      <c r="AI591" s="19" t="str">
        <f>IF($D591&lt;&gt;1,"",IF(AND($G591="IKS",ISNUMBER(INDEX(TblClusters[Fermeture retenue],$B591))),IF($E591&gt;=INDEX(TblClusters[Fermeture retenue],$B591),1,0),0))</f>
        <v/>
      </c>
    </row>
    <row r="592" spans="1:35" x14ac:dyDescent="0.2">
      <c r="A592" s="19">
        <v>587</v>
      </c>
      <c r="B592" s="19">
        <f t="shared" si="153"/>
        <v>17</v>
      </c>
      <c r="C592" s="19">
        <f t="shared" si="154"/>
        <v>11</v>
      </c>
      <c r="D592" s="19">
        <f>IF($C592&gt;p_horizon,0,IFERROR(IF(AND(INDEX(TblClusters[Cluster],$B592)&lt;&gt;"",ISNUMBER(INDEX(TblClusters[CPU initial (vCPU)],$B592)),ISNUMBER(INDEX(TblClusters[CPU min (vCPU)],$B592)),OR(INDEX(TblClusters[Plateforme],$B592)="IKS",INDEX(TblClusters[Plateforme],$B592)="ROKS")),1,0),0))</f>
        <v>0</v>
      </c>
      <c r="E592" s="72" t="str">
        <f t="shared" si="155"/>
        <v/>
      </c>
      <c r="F592" s="19" t="str">
        <f>IF($D592=1,INDEX(TblClusters[Cluster],$B592),"")</f>
        <v/>
      </c>
      <c r="G592" s="19" t="str">
        <f>IF($D592=1,INDEX(TblClusters[Plateforme],$B592),"")</f>
        <v/>
      </c>
      <c r="H592" s="19" t="str">
        <f>IF($D592=1,INDEX(TblClusters[vCPU par nœud],$B592),"")</f>
        <v/>
      </c>
      <c r="I592" s="19" t="str">
        <f>IF($D592=1,INDEX(TblClusters[RAM par nœud (Go)],$B592),"")</f>
        <v/>
      </c>
      <c r="J592" s="19" t="str">
        <f>IF($D592=1,INDEX(TblClusters[Workers min],$B592),"")</f>
        <v/>
      </c>
      <c r="K592" s="73" t="str">
        <f>IF($D592=1,INDEX(TblClusters[Tarif par nœud],$B592),"")</f>
        <v/>
      </c>
      <c r="L592" s="19" t="str">
        <f>IF($D592=1,INDEX(TblClusters[CPU initial (vCPU)],$B592),"")</f>
        <v/>
      </c>
      <c r="M592" s="19" t="str">
        <f>IF($D592=1,INDEX(TblClusters[RAM initiale (Go)],$B592),"")</f>
        <v/>
      </c>
      <c r="N592" s="19" t="str">
        <f>IF($D592=1,INDEX(TblClusters[CPU min (vCPU)],$B592),"")</f>
        <v/>
      </c>
      <c r="O592" s="19" t="str">
        <f>IF($D592=1,INDEX(TblClusters[RAM min (Go)],$B592),"")</f>
        <v/>
      </c>
      <c r="P592" s="19" t="str">
        <f>IF($D592&lt;&gt;1,"",IF($G592="ROKS",SUMIFS(TblApplications[Besoin ROKS CPU (vCPU)],TblApplications[Cluster ROKS cible],$F592,TblApplications[Action],"À migrer",TblApplications[Déjà incluse ROKS],"Non",TblApplications[Mois prov (calc)],"&lt;="&amp;$E592),SUMIFS(TblApplications[CPU IKS libérable (vCPU)],TblApplications[Cluster IKS source],$F592,TblApplications[Mois lib (calc)],"&lt;="&amp;$E592)))</f>
        <v/>
      </c>
      <c r="Q592" s="19" t="str">
        <f>IF($D592&lt;&gt;1,"",IF($G592="ROKS",SUMIFS(TblApplications[Besoin ROKS RAM (Go)],TblApplications[Cluster ROKS cible],$F592,TblApplications[Action],"À migrer",TblApplications[Déjà incluse ROKS],"Non",TblApplications[Mois prov (calc)],"&lt;="&amp;$E592),SUMIFS(TblApplications[RAM IKS libérable (Go)],TblApplications[Cluster IKS source],$F592,TblApplications[Mois lib (calc)],"&lt;="&amp;$E592)))</f>
        <v/>
      </c>
      <c r="R592" s="19" t="str">
        <f t="shared" si="156"/>
        <v/>
      </c>
      <c r="S592" s="19" t="str">
        <f t="shared" si="157"/>
        <v/>
      </c>
      <c r="T592" s="19" t="str">
        <f t="shared" si="158"/>
        <v/>
      </c>
      <c r="U592" s="19" t="str">
        <f t="shared" si="159"/>
        <v/>
      </c>
      <c r="V592" s="19" t="str">
        <f t="shared" si="160"/>
        <v/>
      </c>
      <c r="W592" s="73" t="str">
        <f t="shared" si="161"/>
        <v/>
      </c>
      <c r="X592" s="19" t="str">
        <f>IF($D592&lt;&gt;1,"",IF($G592="ROKS",$R592,IF($AI592=1,0,MAX($N592,$L592-SUMIFS(TblApplications[CPU IKS libérable (vCPU)],TblApplications[Cluster IKS source],$F592,TblApplications[Action],"À migrer",TblApplications[Mois prov (calc)],"&lt;="&amp;$E592)-SUMIFS(TblApplications[CPU IKS libérable (vCPU)],TblApplications[Cluster IKS source],$F592,TblApplications[Action],"À décommissionner",TblApplications[Mois lib (calc)],"&lt;="&amp;$E592)))))</f>
        <v/>
      </c>
      <c r="Y592" s="19" t="str">
        <f>IF($D592&lt;&gt;1,"",IF($G592="ROKS",$S592,IF($AI592=1,0,MAX($O592,$M592-SUMIFS(TblApplications[RAM IKS libérable (Go)],TblApplications[Cluster IKS source],$F592,TblApplications[Action],"À migrer",TblApplications[Mois prov (calc)],"&lt;="&amp;$E592)-SUMIFS(TblApplications[RAM IKS libérable (Go)],TblApplications[Cluster IKS source],$F592,TblApplications[Action],"À décommissionner",TblApplications[Mois lib (calc)],"&lt;="&amp;$E592)))))</f>
        <v/>
      </c>
      <c r="Z592" s="19" t="str">
        <f t="shared" si="162"/>
        <v/>
      </c>
      <c r="AA592" s="73" t="str">
        <f t="shared" si="163"/>
        <v/>
      </c>
      <c r="AB592" s="19" t="str">
        <f t="shared" si="164"/>
        <v/>
      </c>
      <c r="AC592" s="73" t="str">
        <f t="shared" si="165"/>
        <v/>
      </c>
      <c r="AD592" s="19" t="str">
        <f t="shared" si="166"/>
        <v/>
      </c>
      <c r="AE592" s="19" t="str">
        <f t="shared" si="167"/>
        <v/>
      </c>
      <c r="AF592" s="19" t="str">
        <f>IF($D592&lt;&gt;1,"",IF(INDEX(TblClusters[Environnement],$B592)="","(vide)",INDEX(TblClusters[Environnement],$B592)))</f>
        <v/>
      </c>
      <c r="AG592" s="19" t="str">
        <f t="shared" si="168"/>
        <v/>
      </c>
      <c r="AH592" s="19" t="str">
        <f t="shared" si="169"/>
        <v/>
      </c>
      <c r="AI592" s="19" t="str">
        <f>IF($D592&lt;&gt;1,"",IF(AND($G592="IKS",ISNUMBER(INDEX(TblClusters[Fermeture retenue],$B592))),IF($E592&gt;=INDEX(TblClusters[Fermeture retenue],$B592),1,0),0))</f>
        <v/>
      </c>
    </row>
    <row r="593" spans="1:35" x14ac:dyDescent="0.2">
      <c r="A593" s="19">
        <v>588</v>
      </c>
      <c r="B593" s="19">
        <f t="shared" si="153"/>
        <v>17</v>
      </c>
      <c r="C593" s="19">
        <f t="shared" si="154"/>
        <v>12</v>
      </c>
      <c r="D593" s="19">
        <f>IF($C593&gt;p_horizon,0,IFERROR(IF(AND(INDEX(TblClusters[Cluster],$B593)&lt;&gt;"",ISNUMBER(INDEX(TblClusters[CPU initial (vCPU)],$B593)),ISNUMBER(INDEX(TblClusters[CPU min (vCPU)],$B593)),OR(INDEX(TblClusters[Plateforme],$B593)="IKS",INDEX(TblClusters[Plateforme],$B593)="ROKS")),1,0),0))</f>
        <v>0</v>
      </c>
      <c r="E593" s="72" t="str">
        <f t="shared" si="155"/>
        <v/>
      </c>
      <c r="F593" s="19" t="str">
        <f>IF($D593=1,INDEX(TblClusters[Cluster],$B593),"")</f>
        <v/>
      </c>
      <c r="G593" s="19" t="str">
        <f>IF($D593=1,INDEX(TblClusters[Plateforme],$B593),"")</f>
        <v/>
      </c>
      <c r="H593" s="19" t="str">
        <f>IF($D593=1,INDEX(TblClusters[vCPU par nœud],$B593),"")</f>
        <v/>
      </c>
      <c r="I593" s="19" t="str">
        <f>IF($D593=1,INDEX(TblClusters[RAM par nœud (Go)],$B593),"")</f>
        <v/>
      </c>
      <c r="J593" s="19" t="str">
        <f>IF($D593=1,INDEX(TblClusters[Workers min],$B593),"")</f>
        <v/>
      </c>
      <c r="K593" s="73" t="str">
        <f>IF($D593=1,INDEX(TblClusters[Tarif par nœud],$B593),"")</f>
        <v/>
      </c>
      <c r="L593" s="19" t="str">
        <f>IF($D593=1,INDEX(TblClusters[CPU initial (vCPU)],$B593),"")</f>
        <v/>
      </c>
      <c r="M593" s="19" t="str">
        <f>IF($D593=1,INDEX(TblClusters[RAM initiale (Go)],$B593),"")</f>
        <v/>
      </c>
      <c r="N593" s="19" t="str">
        <f>IF($D593=1,INDEX(TblClusters[CPU min (vCPU)],$B593),"")</f>
        <v/>
      </c>
      <c r="O593" s="19" t="str">
        <f>IF($D593=1,INDEX(TblClusters[RAM min (Go)],$B593),"")</f>
        <v/>
      </c>
      <c r="P593" s="19" t="str">
        <f>IF($D593&lt;&gt;1,"",IF($G593="ROKS",SUMIFS(TblApplications[Besoin ROKS CPU (vCPU)],TblApplications[Cluster ROKS cible],$F593,TblApplications[Action],"À migrer",TblApplications[Déjà incluse ROKS],"Non",TblApplications[Mois prov (calc)],"&lt;="&amp;$E593),SUMIFS(TblApplications[CPU IKS libérable (vCPU)],TblApplications[Cluster IKS source],$F593,TblApplications[Mois lib (calc)],"&lt;="&amp;$E593)))</f>
        <v/>
      </c>
      <c r="Q593" s="19" t="str">
        <f>IF($D593&lt;&gt;1,"",IF($G593="ROKS",SUMIFS(TblApplications[Besoin ROKS RAM (Go)],TblApplications[Cluster ROKS cible],$F593,TblApplications[Action],"À migrer",TblApplications[Déjà incluse ROKS],"Non",TblApplications[Mois prov (calc)],"&lt;="&amp;$E593),SUMIFS(TblApplications[RAM IKS libérable (Go)],TblApplications[Cluster IKS source],$F593,TblApplications[Mois lib (calc)],"&lt;="&amp;$E593)))</f>
        <v/>
      </c>
      <c r="R593" s="19" t="str">
        <f t="shared" si="156"/>
        <v/>
      </c>
      <c r="S593" s="19" t="str">
        <f t="shared" si="157"/>
        <v/>
      </c>
      <c r="T593" s="19" t="str">
        <f t="shared" si="158"/>
        <v/>
      </c>
      <c r="U593" s="19" t="str">
        <f t="shared" si="159"/>
        <v/>
      </c>
      <c r="V593" s="19" t="str">
        <f t="shared" si="160"/>
        <v/>
      </c>
      <c r="W593" s="73" t="str">
        <f t="shared" si="161"/>
        <v/>
      </c>
      <c r="X593" s="19" t="str">
        <f>IF($D593&lt;&gt;1,"",IF($G593="ROKS",$R593,IF($AI593=1,0,MAX($N593,$L593-SUMIFS(TblApplications[CPU IKS libérable (vCPU)],TblApplications[Cluster IKS source],$F593,TblApplications[Action],"À migrer",TblApplications[Mois prov (calc)],"&lt;="&amp;$E593)-SUMIFS(TblApplications[CPU IKS libérable (vCPU)],TblApplications[Cluster IKS source],$F593,TblApplications[Action],"À décommissionner",TblApplications[Mois lib (calc)],"&lt;="&amp;$E593)))))</f>
        <v/>
      </c>
      <c r="Y593" s="19" t="str">
        <f>IF($D593&lt;&gt;1,"",IF($G593="ROKS",$S593,IF($AI593=1,0,MAX($O593,$M593-SUMIFS(TblApplications[RAM IKS libérable (Go)],TblApplications[Cluster IKS source],$F593,TblApplications[Action],"À migrer",TblApplications[Mois prov (calc)],"&lt;="&amp;$E593)-SUMIFS(TblApplications[RAM IKS libérable (Go)],TblApplications[Cluster IKS source],$F593,TblApplications[Action],"À décommissionner",TblApplications[Mois lib (calc)],"&lt;="&amp;$E593)))))</f>
        <v/>
      </c>
      <c r="Z593" s="19" t="str">
        <f t="shared" si="162"/>
        <v/>
      </c>
      <c r="AA593" s="73" t="str">
        <f t="shared" si="163"/>
        <v/>
      </c>
      <c r="AB593" s="19" t="str">
        <f t="shared" si="164"/>
        <v/>
      </c>
      <c r="AC593" s="73" t="str">
        <f t="shared" si="165"/>
        <v/>
      </c>
      <c r="AD593" s="19" t="str">
        <f t="shared" si="166"/>
        <v/>
      </c>
      <c r="AE593" s="19" t="str">
        <f t="shared" si="167"/>
        <v/>
      </c>
      <c r="AF593" s="19" t="str">
        <f>IF($D593&lt;&gt;1,"",IF(INDEX(TblClusters[Environnement],$B593)="","(vide)",INDEX(TblClusters[Environnement],$B593)))</f>
        <v/>
      </c>
      <c r="AG593" s="19" t="str">
        <f t="shared" si="168"/>
        <v/>
      </c>
      <c r="AH593" s="19" t="str">
        <f t="shared" si="169"/>
        <v/>
      </c>
      <c r="AI593" s="19" t="str">
        <f>IF($D593&lt;&gt;1,"",IF(AND($G593="IKS",ISNUMBER(INDEX(TblClusters[Fermeture retenue],$B593))),IF($E593&gt;=INDEX(TblClusters[Fermeture retenue],$B593),1,0),0))</f>
        <v/>
      </c>
    </row>
    <row r="594" spans="1:35" x14ac:dyDescent="0.2">
      <c r="A594" s="19">
        <v>589</v>
      </c>
      <c r="B594" s="19">
        <f t="shared" si="153"/>
        <v>17</v>
      </c>
      <c r="C594" s="19">
        <f t="shared" si="154"/>
        <v>13</v>
      </c>
      <c r="D594" s="19">
        <f>IF($C594&gt;p_horizon,0,IFERROR(IF(AND(INDEX(TblClusters[Cluster],$B594)&lt;&gt;"",ISNUMBER(INDEX(TblClusters[CPU initial (vCPU)],$B594)),ISNUMBER(INDEX(TblClusters[CPU min (vCPU)],$B594)),OR(INDEX(TblClusters[Plateforme],$B594)="IKS",INDEX(TblClusters[Plateforme],$B594)="ROKS")),1,0),0))</f>
        <v>0</v>
      </c>
      <c r="E594" s="72" t="str">
        <f t="shared" si="155"/>
        <v/>
      </c>
      <c r="F594" s="19" t="str">
        <f>IF($D594=1,INDEX(TblClusters[Cluster],$B594),"")</f>
        <v/>
      </c>
      <c r="G594" s="19" t="str">
        <f>IF($D594=1,INDEX(TblClusters[Plateforme],$B594),"")</f>
        <v/>
      </c>
      <c r="H594" s="19" t="str">
        <f>IF($D594=1,INDEX(TblClusters[vCPU par nœud],$B594),"")</f>
        <v/>
      </c>
      <c r="I594" s="19" t="str">
        <f>IF($D594=1,INDEX(TblClusters[RAM par nœud (Go)],$B594),"")</f>
        <v/>
      </c>
      <c r="J594" s="19" t="str">
        <f>IF($D594=1,INDEX(TblClusters[Workers min],$B594),"")</f>
        <v/>
      </c>
      <c r="K594" s="73" t="str">
        <f>IF($D594=1,INDEX(TblClusters[Tarif par nœud],$B594),"")</f>
        <v/>
      </c>
      <c r="L594" s="19" t="str">
        <f>IF($D594=1,INDEX(TblClusters[CPU initial (vCPU)],$B594),"")</f>
        <v/>
      </c>
      <c r="M594" s="19" t="str">
        <f>IF($D594=1,INDEX(TblClusters[RAM initiale (Go)],$B594),"")</f>
        <v/>
      </c>
      <c r="N594" s="19" t="str">
        <f>IF($D594=1,INDEX(TblClusters[CPU min (vCPU)],$B594),"")</f>
        <v/>
      </c>
      <c r="O594" s="19" t="str">
        <f>IF($D594=1,INDEX(TblClusters[RAM min (Go)],$B594),"")</f>
        <v/>
      </c>
      <c r="P594" s="19" t="str">
        <f>IF($D594&lt;&gt;1,"",IF($G594="ROKS",SUMIFS(TblApplications[Besoin ROKS CPU (vCPU)],TblApplications[Cluster ROKS cible],$F594,TblApplications[Action],"À migrer",TblApplications[Déjà incluse ROKS],"Non",TblApplications[Mois prov (calc)],"&lt;="&amp;$E594),SUMIFS(TblApplications[CPU IKS libérable (vCPU)],TblApplications[Cluster IKS source],$F594,TblApplications[Mois lib (calc)],"&lt;="&amp;$E594)))</f>
        <v/>
      </c>
      <c r="Q594" s="19" t="str">
        <f>IF($D594&lt;&gt;1,"",IF($G594="ROKS",SUMIFS(TblApplications[Besoin ROKS RAM (Go)],TblApplications[Cluster ROKS cible],$F594,TblApplications[Action],"À migrer",TblApplications[Déjà incluse ROKS],"Non",TblApplications[Mois prov (calc)],"&lt;="&amp;$E594),SUMIFS(TblApplications[RAM IKS libérable (Go)],TblApplications[Cluster IKS source],$F594,TblApplications[Mois lib (calc)],"&lt;="&amp;$E594)))</f>
        <v/>
      </c>
      <c r="R594" s="19" t="str">
        <f t="shared" si="156"/>
        <v/>
      </c>
      <c r="S594" s="19" t="str">
        <f t="shared" si="157"/>
        <v/>
      </c>
      <c r="T594" s="19" t="str">
        <f t="shared" si="158"/>
        <v/>
      </c>
      <c r="U594" s="19" t="str">
        <f t="shared" si="159"/>
        <v/>
      </c>
      <c r="V594" s="19" t="str">
        <f t="shared" si="160"/>
        <v/>
      </c>
      <c r="W594" s="73" t="str">
        <f t="shared" si="161"/>
        <v/>
      </c>
      <c r="X594" s="19" t="str">
        <f>IF($D594&lt;&gt;1,"",IF($G594="ROKS",$R594,IF($AI594=1,0,MAX($N594,$L594-SUMIFS(TblApplications[CPU IKS libérable (vCPU)],TblApplications[Cluster IKS source],$F594,TblApplications[Action],"À migrer",TblApplications[Mois prov (calc)],"&lt;="&amp;$E594)-SUMIFS(TblApplications[CPU IKS libérable (vCPU)],TblApplications[Cluster IKS source],$F594,TblApplications[Action],"À décommissionner",TblApplications[Mois lib (calc)],"&lt;="&amp;$E594)))))</f>
        <v/>
      </c>
      <c r="Y594" s="19" t="str">
        <f>IF($D594&lt;&gt;1,"",IF($G594="ROKS",$S594,IF($AI594=1,0,MAX($O594,$M594-SUMIFS(TblApplications[RAM IKS libérable (Go)],TblApplications[Cluster IKS source],$F594,TblApplications[Action],"À migrer",TblApplications[Mois prov (calc)],"&lt;="&amp;$E594)-SUMIFS(TblApplications[RAM IKS libérable (Go)],TblApplications[Cluster IKS source],$F594,TblApplications[Action],"À décommissionner",TblApplications[Mois lib (calc)],"&lt;="&amp;$E594)))))</f>
        <v/>
      </c>
      <c r="Z594" s="19" t="str">
        <f t="shared" si="162"/>
        <v/>
      </c>
      <c r="AA594" s="73" t="str">
        <f t="shared" si="163"/>
        <v/>
      </c>
      <c r="AB594" s="19" t="str">
        <f t="shared" si="164"/>
        <v/>
      </c>
      <c r="AC594" s="73" t="str">
        <f t="shared" si="165"/>
        <v/>
      </c>
      <c r="AD594" s="19" t="str">
        <f t="shared" si="166"/>
        <v/>
      </c>
      <c r="AE594" s="19" t="str">
        <f t="shared" si="167"/>
        <v/>
      </c>
      <c r="AF594" s="19" t="str">
        <f>IF($D594&lt;&gt;1,"",IF(INDEX(TblClusters[Environnement],$B594)="","(vide)",INDEX(TblClusters[Environnement],$B594)))</f>
        <v/>
      </c>
      <c r="AG594" s="19" t="str">
        <f t="shared" si="168"/>
        <v/>
      </c>
      <c r="AH594" s="19" t="str">
        <f t="shared" si="169"/>
        <v/>
      </c>
      <c r="AI594" s="19" t="str">
        <f>IF($D594&lt;&gt;1,"",IF(AND($G594="IKS",ISNUMBER(INDEX(TblClusters[Fermeture retenue],$B594))),IF($E594&gt;=INDEX(TblClusters[Fermeture retenue],$B594),1,0),0))</f>
        <v/>
      </c>
    </row>
    <row r="595" spans="1:35" x14ac:dyDescent="0.2">
      <c r="A595" s="19">
        <v>590</v>
      </c>
      <c r="B595" s="19">
        <f t="shared" si="153"/>
        <v>17</v>
      </c>
      <c r="C595" s="19">
        <f t="shared" si="154"/>
        <v>14</v>
      </c>
      <c r="D595" s="19">
        <f>IF($C595&gt;p_horizon,0,IFERROR(IF(AND(INDEX(TblClusters[Cluster],$B595)&lt;&gt;"",ISNUMBER(INDEX(TblClusters[CPU initial (vCPU)],$B595)),ISNUMBER(INDEX(TblClusters[CPU min (vCPU)],$B595)),OR(INDEX(TblClusters[Plateforme],$B595)="IKS",INDEX(TblClusters[Plateforme],$B595)="ROKS")),1,0),0))</f>
        <v>0</v>
      </c>
      <c r="E595" s="72" t="str">
        <f t="shared" si="155"/>
        <v/>
      </c>
      <c r="F595" s="19" t="str">
        <f>IF($D595=1,INDEX(TblClusters[Cluster],$B595),"")</f>
        <v/>
      </c>
      <c r="G595" s="19" t="str">
        <f>IF($D595=1,INDEX(TblClusters[Plateforme],$B595),"")</f>
        <v/>
      </c>
      <c r="H595" s="19" t="str">
        <f>IF($D595=1,INDEX(TblClusters[vCPU par nœud],$B595),"")</f>
        <v/>
      </c>
      <c r="I595" s="19" t="str">
        <f>IF($D595=1,INDEX(TblClusters[RAM par nœud (Go)],$B595),"")</f>
        <v/>
      </c>
      <c r="J595" s="19" t="str">
        <f>IF($D595=1,INDEX(TblClusters[Workers min],$B595),"")</f>
        <v/>
      </c>
      <c r="K595" s="73" t="str">
        <f>IF($D595=1,INDEX(TblClusters[Tarif par nœud],$B595),"")</f>
        <v/>
      </c>
      <c r="L595" s="19" t="str">
        <f>IF($D595=1,INDEX(TblClusters[CPU initial (vCPU)],$B595),"")</f>
        <v/>
      </c>
      <c r="M595" s="19" t="str">
        <f>IF($D595=1,INDEX(TblClusters[RAM initiale (Go)],$B595),"")</f>
        <v/>
      </c>
      <c r="N595" s="19" t="str">
        <f>IF($D595=1,INDEX(TblClusters[CPU min (vCPU)],$B595),"")</f>
        <v/>
      </c>
      <c r="O595" s="19" t="str">
        <f>IF($D595=1,INDEX(TblClusters[RAM min (Go)],$B595),"")</f>
        <v/>
      </c>
      <c r="P595" s="19" t="str">
        <f>IF($D595&lt;&gt;1,"",IF($G595="ROKS",SUMIFS(TblApplications[Besoin ROKS CPU (vCPU)],TblApplications[Cluster ROKS cible],$F595,TblApplications[Action],"À migrer",TblApplications[Déjà incluse ROKS],"Non",TblApplications[Mois prov (calc)],"&lt;="&amp;$E595),SUMIFS(TblApplications[CPU IKS libérable (vCPU)],TblApplications[Cluster IKS source],$F595,TblApplications[Mois lib (calc)],"&lt;="&amp;$E595)))</f>
        <v/>
      </c>
      <c r="Q595" s="19" t="str">
        <f>IF($D595&lt;&gt;1,"",IF($G595="ROKS",SUMIFS(TblApplications[Besoin ROKS RAM (Go)],TblApplications[Cluster ROKS cible],$F595,TblApplications[Action],"À migrer",TblApplications[Déjà incluse ROKS],"Non",TblApplications[Mois prov (calc)],"&lt;="&amp;$E595),SUMIFS(TblApplications[RAM IKS libérable (Go)],TblApplications[Cluster IKS source],$F595,TblApplications[Mois lib (calc)],"&lt;="&amp;$E595)))</f>
        <v/>
      </c>
      <c r="R595" s="19" t="str">
        <f t="shared" si="156"/>
        <v/>
      </c>
      <c r="S595" s="19" t="str">
        <f t="shared" si="157"/>
        <v/>
      </c>
      <c r="T595" s="19" t="str">
        <f t="shared" si="158"/>
        <v/>
      </c>
      <c r="U595" s="19" t="str">
        <f t="shared" si="159"/>
        <v/>
      </c>
      <c r="V595" s="19" t="str">
        <f t="shared" si="160"/>
        <v/>
      </c>
      <c r="W595" s="73" t="str">
        <f t="shared" si="161"/>
        <v/>
      </c>
      <c r="X595" s="19" t="str">
        <f>IF($D595&lt;&gt;1,"",IF($G595="ROKS",$R595,IF($AI595=1,0,MAX($N595,$L595-SUMIFS(TblApplications[CPU IKS libérable (vCPU)],TblApplications[Cluster IKS source],$F595,TblApplications[Action],"À migrer",TblApplications[Mois prov (calc)],"&lt;="&amp;$E595)-SUMIFS(TblApplications[CPU IKS libérable (vCPU)],TblApplications[Cluster IKS source],$F595,TblApplications[Action],"À décommissionner",TblApplications[Mois lib (calc)],"&lt;="&amp;$E595)))))</f>
        <v/>
      </c>
      <c r="Y595" s="19" t="str">
        <f>IF($D595&lt;&gt;1,"",IF($G595="ROKS",$S595,IF($AI595=1,0,MAX($O595,$M595-SUMIFS(TblApplications[RAM IKS libérable (Go)],TblApplications[Cluster IKS source],$F595,TblApplications[Action],"À migrer",TblApplications[Mois prov (calc)],"&lt;="&amp;$E595)-SUMIFS(TblApplications[RAM IKS libérable (Go)],TblApplications[Cluster IKS source],$F595,TblApplications[Action],"À décommissionner",TblApplications[Mois lib (calc)],"&lt;="&amp;$E595)))))</f>
        <v/>
      </c>
      <c r="Z595" s="19" t="str">
        <f t="shared" si="162"/>
        <v/>
      </c>
      <c r="AA595" s="73" t="str">
        <f t="shared" si="163"/>
        <v/>
      </c>
      <c r="AB595" s="19" t="str">
        <f t="shared" si="164"/>
        <v/>
      </c>
      <c r="AC595" s="73" t="str">
        <f t="shared" si="165"/>
        <v/>
      </c>
      <c r="AD595" s="19" t="str">
        <f t="shared" si="166"/>
        <v/>
      </c>
      <c r="AE595" s="19" t="str">
        <f t="shared" si="167"/>
        <v/>
      </c>
      <c r="AF595" s="19" t="str">
        <f>IF($D595&lt;&gt;1,"",IF(INDEX(TblClusters[Environnement],$B595)="","(vide)",INDEX(TblClusters[Environnement],$B595)))</f>
        <v/>
      </c>
      <c r="AG595" s="19" t="str">
        <f t="shared" si="168"/>
        <v/>
      </c>
      <c r="AH595" s="19" t="str">
        <f t="shared" si="169"/>
        <v/>
      </c>
      <c r="AI595" s="19" t="str">
        <f>IF($D595&lt;&gt;1,"",IF(AND($G595="IKS",ISNUMBER(INDEX(TblClusters[Fermeture retenue],$B595))),IF($E595&gt;=INDEX(TblClusters[Fermeture retenue],$B595),1,0),0))</f>
        <v/>
      </c>
    </row>
    <row r="596" spans="1:35" x14ac:dyDescent="0.2">
      <c r="A596" s="19">
        <v>591</v>
      </c>
      <c r="B596" s="19">
        <f t="shared" si="153"/>
        <v>17</v>
      </c>
      <c r="C596" s="19">
        <f t="shared" si="154"/>
        <v>15</v>
      </c>
      <c r="D596" s="19">
        <f>IF($C596&gt;p_horizon,0,IFERROR(IF(AND(INDEX(TblClusters[Cluster],$B596)&lt;&gt;"",ISNUMBER(INDEX(TblClusters[CPU initial (vCPU)],$B596)),ISNUMBER(INDEX(TblClusters[CPU min (vCPU)],$B596)),OR(INDEX(TblClusters[Plateforme],$B596)="IKS",INDEX(TblClusters[Plateforme],$B596)="ROKS")),1,0),0))</f>
        <v>0</v>
      </c>
      <c r="E596" s="72" t="str">
        <f t="shared" si="155"/>
        <v/>
      </c>
      <c r="F596" s="19" t="str">
        <f>IF($D596=1,INDEX(TblClusters[Cluster],$B596),"")</f>
        <v/>
      </c>
      <c r="G596" s="19" t="str">
        <f>IF($D596=1,INDEX(TblClusters[Plateforme],$B596),"")</f>
        <v/>
      </c>
      <c r="H596" s="19" t="str">
        <f>IF($D596=1,INDEX(TblClusters[vCPU par nœud],$B596),"")</f>
        <v/>
      </c>
      <c r="I596" s="19" t="str">
        <f>IF($D596=1,INDEX(TblClusters[RAM par nœud (Go)],$B596),"")</f>
        <v/>
      </c>
      <c r="J596" s="19" t="str">
        <f>IF($D596=1,INDEX(TblClusters[Workers min],$B596),"")</f>
        <v/>
      </c>
      <c r="K596" s="73" t="str">
        <f>IF($D596=1,INDEX(TblClusters[Tarif par nœud],$B596),"")</f>
        <v/>
      </c>
      <c r="L596" s="19" t="str">
        <f>IF($D596=1,INDEX(TblClusters[CPU initial (vCPU)],$B596),"")</f>
        <v/>
      </c>
      <c r="M596" s="19" t="str">
        <f>IF($D596=1,INDEX(TblClusters[RAM initiale (Go)],$B596),"")</f>
        <v/>
      </c>
      <c r="N596" s="19" t="str">
        <f>IF($D596=1,INDEX(TblClusters[CPU min (vCPU)],$B596),"")</f>
        <v/>
      </c>
      <c r="O596" s="19" t="str">
        <f>IF($D596=1,INDEX(TblClusters[RAM min (Go)],$B596),"")</f>
        <v/>
      </c>
      <c r="P596" s="19" t="str">
        <f>IF($D596&lt;&gt;1,"",IF($G596="ROKS",SUMIFS(TblApplications[Besoin ROKS CPU (vCPU)],TblApplications[Cluster ROKS cible],$F596,TblApplications[Action],"À migrer",TblApplications[Déjà incluse ROKS],"Non",TblApplications[Mois prov (calc)],"&lt;="&amp;$E596),SUMIFS(TblApplications[CPU IKS libérable (vCPU)],TblApplications[Cluster IKS source],$F596,TblApplications[Mois lib (calc)],"&lt;="&amp;$E596)))</f>
        <v/>
      </c>
      <c r="Q596" s="19" t="str">
        <f>IF($D596&lt;&gt;1,"",IF($G596="ROKS",SUMIFS(TblApplications[Besoin ROKS RAM (Go)],TblApplications[Cluster ROKS cible],$F596,TblApplications[Action],"À migrer",TblApplications[Déjà incluse ROKS],"Non",TblApplications[Mois prov (calc)],"&lt;="&amp;$E596),SUMIFS(TblApplications[RAM IKS libérable (Go)],TblApplications[Cluster IKS source],$F596,TblApplications[Mois lib (calc)],"&lt;="&amp;$E596)))</f>
        <v/>
      </c>
      <c r="R596" s="19" t="str">
        <f t="shared" si="156"/>
        <v/>
      </c>
      <c r="S596" s="19" t="str">
        <f t="shared" si="157"/>
        <v/>
      </c>
      <c r="T596" s="19" t="str">
        <f t="shared" si="158"/>
        <v/>
      </c>
      <c r="U596" s="19" t="str">
        <f t="shared" si="159"/>
        <v/>
      </c>
      <c r="V596" s="19" t="str">
        <f t="shared" si="160"/>
        <v/>
      </c>
      <c r="W596" s="73" t="str">
        <f t="shared" si="161"/>
        <v/>
      </c>
      <c r="X596" s="19" t="str">
        <f>IF($D596&lt;&gt;1,"",IF($G596="ROKS",$R596,IF($AI596=1,0,MAX($N596,$L596-SUMIFS(TblApplications[CPU IKS libérable (vCPU)],TblApplications[Cluster IKS source],$F596,TblApplications[Action],"À migrer",TblApplications[Mois prov (calc)],"&lt;="&amp;$E596)-SUMIFS(TblApplications[CPU IKS libérable (vCPU)],TblApplications[Cluster IKS source],$F596,TblApplications[Action],"À décommissionner",TblApplications[Mois lib (calc)],"&lt;="&amp;$E596)))))</f>
        <v/>
      </c>
      <c r="Y596" s="19" t="str">
        <f>IF($D596&lt;&gt;1,"",IF($G596="ROKS",$S596,IF($AI596=1,0,MAX($O596,$M596-SUMIFS(TblApplications[RAM IKS libérable (Go)],TblApplications[Cluster IKS source],$F596,TblApplications[Action],"À migrer",TblApplications[Mois prov (calc)],"&lt;="&amp;$E596)-SUMIFS(TblApplications[RAM IKS libérable (Go)],TblApplications[Cluster IKS source],$F596,TblApplications[Action],"À décommissionner",TblApplications[Mois lib (calc)],"&lt;="&amp;$E596)))))</f>
        <v/>
      </c>
      <c r="Z596" s="19" t="str">
        <f t="shared" si="162"/>
        <v/>
      </c>
      <c r="AA596" s="73" t="str">
        <f t="shared" si="163"/>
        <v/>
      </c>
      <c r="AB596" s="19" t="str">
        <f t="shared" si="164"/>
        <v/>
      </c>
      <c r="AC596" s="73" t="str">
        <f t="shared" si="165"/>
        <v/>
      </c>
      <c r="AD596" s="19" t="str">
        <f t="shared" si="166"/>
        <v/>
      </c>
      <c r="AE596" s="19" t="str">
        <f t="shared" si="167"/>
        <v/>
      </c>
      <c r="AF596" s="19" t="str">
        <f>IF($D596&lt;&gt;1,"",IF(INDEX(TblClusters[Environnement],$B596)="","(vide)",INDEX(TblClusters[Environnement],$B596)))</f>
        <v/>
      </c>
      <c r="AG596" s="19" t="str">
        <f t="shared" si="168"/>
        <v/>
      </c>
      <c r="AH596" s="19" t="str">
        <f t="shared" si="169"/>
        <v/>
      </c>
      <c r="AI596" s="19" t="str">
        <f>IF($D596&lt;&gt;1,"",IF(AND($G596="IKS",ISNUMBER(INDEX(TblClusters[Fermeture retenue],$B596))),IF($E596&gt;=INDEX(TblClusters[Fermeture retenue],$B596),1,0),0))</f>
        <v/>
      </c>
    </row>
    <row r="597" spans="1:35" x14ac:dyDescent="0.2">
      <c r="A597" s="19">
        <v>592</v>
      </c>
      <c r="B597" s="19">
        <f t="shared" si="153"/>
        <v>17</v>
      </c>
      <c r="C597" s="19">
        <f t="shared" si="154"/>
        <v>16</v>
      </c>
      <c r="D597" s="19">
        <f>IF($C597&gt;p_horizon,0,IFERROR(IF(AND(INDEX(TblClusters[Cluster],$B597)&lt;&gt;"",ISNUMBER(INDEX(TblClusters[CPU initial (vCPU)],$B597)),ISNUMBER(INDEX(TblClusters[CPU min (vCPU)],$B597)),OR(INDEX(TblClusters[Plateforme],$B597)="IKS",INDEX(TblClusters[Plateforme],$B597)="ROKS")),1,0),0))</f>
        <v>0</v>
      </c>
      <c r="E597" s="72" t="str">
        <f t="shared" si="155"/>
        <v/>
      </c>
      <c r="F597" s="19" t="str">
        <f>IF($D597=1,INDEX(TblClusters[Cluster],$B597),"")</f>
        <v/>
      </c>
      <c r="G597" s="19" t="str">
        <f>IF($D597=1,INDEX(TblClusters[Plateforme],$B597),"")</f>
        <v/>
      </c>
      <c r="H597" s="19" t="str">
        <f>IF($D597=1,INDEX(TblClusters[vCPU par nœud],$B597),"")</f>
        <v/>
      </c>
      <c r="I597" s="19" t="str">
        <f>IF($D597=1,INDEX(TblClusters[RAM par nœud (Go)],$B597),"")</f>
        <v/>
      </c>
      <c r="J597" s="19" t="str">
        <f>IF($D597=1,INDEX(TblClusters[Workers min],$B597),"")</f>
        <v/>
      </c>
      <c r="K597" s="73" t="str">
        <f>IF($D597=1,INDEX(TblClusters[Tarif par nœud],$B597),"")</f>
        <v/>
      </c>
      <c r="L597" s="19" t="str">
        <f>IF($D597=1,INDEX(TblClusters[CPU initial (vCPU)],$B597),"")</f>
        <v/>
      </c>
      <c r="M597" s="19" t="str">
        <f>IF($D597=1,INDEX(TblClusters[RAM initiale (Go)],$B597),"")</f>
        <v/>
      </c>
      <c r="N597" s="19" t="str">
        <f>IF($D597=1,INDEX(TblClusters[CPU min (vCPU)],$B597),"")</f>
        <v/>
      </c>
      <c r="O597" s="19" t="str">
        <f>IF($D597=1,INDEX(TblClusters[RAM min (Go)],$B597),"")</f>
        <v/>
      </c>
      <c r="P597" s="19" t="str">
        <f>IF($D597&lt;&gt;1,"",IF($G597="ROKS",SUMIFS(TblApplications[Besoin ROKS CPU (vCPU)],TblApplications[Cluster ROKS cible],$F597,TblApplications[Action],"À migrer",TblApplications[Déjà incluse ROKS],"Non",TblApplications[Mois prov (calc)],"&lt;="&amp;$E597),SUMIFS(TblApplications[CPU IKS libérable (vCPU)],TblApplications[Cluster IKS source],$F597,TblApplications[Mois lib (calc)],"&lt;="&amp;$E597)))</f>
        <v/>
      </c>
      <c r="Q597" s="19" t="str">
        <f>IF($D597&lt;&gt;1,"",IF($G597="ROKS",SUMIFS(TblApplications[Besoin ROKS RAM (Go)],TblApplications[Cluster ROKS cible],$F597,TblApplications[Action],"À migrer",TblApplications[Déjà incluse ROKS],"Non",TblApplications[Mois prov (calc)],"&lt;="&amp;$E597),SUMIFS(TblApplications[RAM IKS libérable (Go)],TblApplications[Cluster IKS source],$F597,TblApplications[Mois lib (calc)],"&lt;="&amp;$E597)))</f>
        <v/>
      </c>
      <c r="R597" s="19" t="str">
        <f t="shared" si="156"/>
        <v/>
      </c>
      <c r="S597" s="19" t="str">
        <f t="shared" si="157"/>
        <v/>
      </c>
      <c r="T597" s="19" t="str">
        <f t="shared" si="158"/>
        <v/>
      </c>
      <c r="U597" s="19" t="str">
        <f t="shared" si="159"/>
        <v/>
      </c>
      <c r="V597" s="19" t="str">
        <f t="shared" si="160"/>
        <v/>
      </c>
      <c r="W597" s="73" t="str">
        <f t="shared" si="161"/>
        <v/>
      </c>
      <c r="X597" s="19" t="str">
        <f>IF($D597&lt;&gt;1,"",IF($G597="ROKS",$R597,IF($AI597=1,0,MAX($N597,$L597-SUMIFS(TblApplications[CPU IKS libérable (vCPU)],TblApplications[Cluster IKS source],$F597,TblApplications[Action],"À migrer",TblApplications[Mois prov (calc)],"&lt;="&amp;$E597)-SUMIFS(TblApplications[CPU IKS libérable (vCPU)],TblApplications[Cluster IKS source],$F597,TblApplications[Action],"À décommissionner",TblApplications[Mois lib (calc)],"&lt;="&amp;$E597)))))</f>
        <v/>
      </c>
      <c r="Y597" s="19" t="str">
        <f>IF($D597&lt;&gt;1,"",IF($G597="ROKS",$S597,IF($AI597=1,0,MAX($O597,$M597-SUMIFS(TblApplications[RAM IKS libérable (Go)],TblApplications[Cluster IKS source],$F597,TblApplications[Action],"À migrer",TblApplications[Mois prov (calc)],"&lt;="&amp;$E597)-SUMIFS(TblApplications[RAM IKS libérable (Go)],TblApplications[Cluster IKS source],$F597,TblApplications[Action],"À décommissionner",TblApplications[Mois lib (calc)],"&lt;="&amp;$E597)))))</f>
        <v/>
      </c>
      <c r="Z597" s="19" t="str">
        <f t="shared" si="162"/>
        <v/>
      </c>
      <c r="AA597" s="73" t="str">
        <f t="shared" si="163"/>
        <v/>
      </c>
      <c r="AB597" s="19" t="str">
        <f t="shared" si="164"/>
        <v/>
      </c>
      <c r="AC597" s="73" t="str">
        <f t="shared" si="165"/>
        <v/>
      </c>
      <c r="AD597" s="19" t="str">
        <f t="shared" si="166"/>
        <v/>
      </c>
      <c r="AE597" s="19" t="str">
        <f t="shared" si="167"/>
        <v/>
      </c>
      <c r="AF597" s="19" t="str">
        <f>IF($D597&lt;&gt;1,"",IF(INDEX(TblClusters[Environnement],$B597)="","(vide)",INDEX(TblClusters[Environnement],$B597)))</f>
        <v/>
      </c>
      <c r="AG597" s="19" t="str">
        <f t="shared" si="168"/>
        <v/>
      </c>
      <c r="AH597" s="19" t="str">
        <f t="shared" si="169"/>
        <v/>
      </c>
      <c r="AI597" s="19" t="str">
        <f>IF($D597&lt;&gt;1,"",IF(AND($G597="IKS",ISNUMBER(INDEX(TblClusters[Fermeture retenue],$B597))),IF($E597&gt;=INDEX(TblClusters[Fermeture retenue],$B597),1,0),0))</f>
        <v/>
      </c>
    </row>
    <row r="598" spans="1:35" x14ac:dyDescent="0.2">
      <c r="A598" s="19">
        <v>593</v>
      </c>
      <c r="B598" s="19">
        <f t="shared" si="153"/>
        <v>17</v>
      </c>
      <c r="C598" s="19">
        <f t="shared" si="154"/>
        <v>17</v>
      </c>
      <c r="D598" s="19">
        <f>IF($C598&gt;p_horizon,0,IFERROR(IF(AND(INDEX(TblClusters[Cluster],$B598)&lt;&gt;"",ISNUMBER(INDEX(TblClusters[CPU initial (vCPU)],$B598)),ISNUMBER(INDEX(TblClusters[CPU min (vCPU)],$B598)),OR(INDEX(TblClusters[Plateforme],$B598)="IKS",INDEX(TblClusters[Plateforme],$B598)="ROKS")),1,0),0))</f>
        <v>0</v>
      </c>
      <c r="E598" s="72" t="str">
        <f t="shared" si="155"/>
        <v/>
      </c>
      <c r="F598" s="19" t="str">
        <f>IF($D598=1,INDEX(TblClusters[Cluster],$B598),"")</f>
        <v/>
      </c>
      <c r="G598" s="19" t="str">
        <f>IF($D598=1,INDEX(TblClusters[Plateforme],$B598),"")</f>
        <v/>
      </c>
      <c r="H598" s="19" t="str">
        <f>IF($D598=1,INDEX(TblClusters[vCPU par nœud],$B598),"")</f>
        <v/>
      </c>
      <c r="I598" s="19" t="str">
        <f>IF($D598=1,INDEX(TblClusters[RAM par nœud (Go)],$B598),"")</f>
        <v/>
      </c>
      <c r="J598" s="19" t="str">
        <f>IF($D598=1,INDEX(TblClusters[Workers min],$B598),"")</f>
        <v/>
      </c>
      <c r="K598" s="73" t="str">
        <f>IF($D598=1,INDEX(TblClusters[Tarif par nœud],$B598),"")</f>
        <v/>
      </c>
      <c r="L598" s="19" t="str">
        <f>IF($D598=1,INDEX(TblClusters[CPU initial (vCPU)],$B598),"")</f>
        <v/>
      </c>
      <c r="M598" s="19" t="str">
        <f>IF($D598=1,INDEX(TblClusters[RAM initiale (Go)],$B598),"")</f>
        <v/>
      </c>
      <c r="N598" s="19" t="str">
        <f>IF($D598=1,INDEX(TblClusters[CPU min (vCPU)],$B598),"")</f>
        <v/>
      </c>
      <c r="O598" s="19" t="str">
        <f>IF($D598=1,INDEX(TblClusters[RAM min (Go)],$B598),"")</f>
        <v/>
      </c>
      <c r="P598" s="19" t="str">
        <f>IF($D598&lt;&gt;1,"",IF($G598="ROKS",SUMIFS(TblApplications[Besoin ROKS CPU (vCPU)],TblApplications[Cluster ROKS cible],$F598,TblApplications[Action],"À migrer",TblApplications[Déjà incluse ROKS],"Non",TblApplications[Mois prov (calc)],"&lt;="&amp;$E598),SUMIFS(TblApplications[CPU IKS libérable (vCPU)],TblApplications[Cluster IKS source],$F598,TblApplications[Mois lib (calc)],"&lt;="&amp;$E598)))</f>
        <v/>
      </c>
      <c r="Q598" s="19" t="str">
        <f>IF($D598&lt;&gt;1,"",IF($G598="ROKS",SUMIFS(TblApplications[Besoin ROKS RAM (Go)],TblApplications[Cluster ROKS cible],$F598,TblApplications[Action],"À migrer",TblApplications[Déjà incluse ROKS],"Non",TblApplications[Mois prov (calc)],"&lt;="&amp;$E598),SUMIFS(TblApplications[RAM IKS libérable (Go)],TblApplications[Cluster IKS source],$F598,TblApplications[Mois lib (calc)],"&lt;="&amp;$E598)))</f>
        <v/>
      </c>
      <c r="R598" s="19" t="str">
        <f t="shared" si="156"/>
        <v/>
      </c>
      <c r="S598" s="19" t="str">
        <f t="shared" si="157"/>
        <v/>
      </c>
      <c r="T598" s="19" t="str">
        <f t="shared" si="158"/>
        <v/>
      </c>
      <c r="U598" s="19" t="str">
        <f t="shared" si="159"/>
        <v/>
      </c>
      <c r="V598" s="19" t="str">
        <f t="shared" si="160"/>
        <v/>
      </c>
      <c r="W598" s="73" t="str">
        <f t="shared" si="161"/>
        <v/>
      </c>
      <c r="X598" s="19" t="str">
        <f>IF($D598&lt;&gt;1,"",IF($G598="ROKS",$R598,IF($AI598=1,0,MAX($N598,$L598-SUMIFS(TblApplications[CPU IKS libérable (vCPU)],TblApplications[Cluster IKS source],$F598,TblApplications[Action],"À migrer",TblApplications[Mois prov (calc)],"&lt;="&amp;$E598)-SUMIFS(TblApplications[CPU IKS libérable (vCPU)],TblApplications[Cluster IKS source],$F598,TblApplications[Action],"À décommissionner",TblApplications[Mois lib (calc)],"&lt;="&amp;$E598)))))</f>
        <v/>
      </c>
      <c r="Y598" s="19" t="str">
        <f>IF($D598&lt;&gt;1,"",IF($G598="ROKS",$S598,IF($AI598=1,0,MAX($O598,$M598-SUMIFS(TblApplications[RAM IKS libérable (Go)],TblApplications[Cluster IKS source],$F598,TblApplications[Action],"À migrer",TblApplications[Mois prov (calc)],"&lt;="&amp;$E598)-SUMIFS(TblApplications[RAM IKS libérable (Go)],TblApplications[Cluster IKS source],$F598,TblApplications[Action],"À décommissionner",TblApplications[Mois lib (calc)],"&lt;="&amp;$E598)))))</f>
        <v/>
      </c>
      <c r="Z598" s="19" t="str">
        <f t="shared" si="162"/>
        <v/>
      </c>
      <c r="AA598" s="73" t="str">
        <f t="shared" si="163"/>
        <v/>
      </c>
      <c r="AB598" s="19" t="str">
        <f t="shared" si="164"/>
        <v/>
      </c>
      <c r="AC598" s="73" t="str">
        <f t="shared" si="165"/>
        <v/>
      </c>
      <c r="AD598" s="19" t="str">
        <f t="shared" si="166"/>
        <v/>
      </c>
      <c r="AE598" s="19" t="str">
        <f t="shared" si="167"/>
        <v/>
      </c>
      <c r="AF598" s="19" t="str">
        <f>IF($D598&lt;&gt;1,"",IF(INDEX(TblClusters[Environnement],$B598)="","(vide)",INDEX(TblClusters[Environnement],$B598)))</f>
        <v/>
      </c>
      <c r="AG598" s="19" t="str">
        <f t="shared" si="168"/>
        <v/>
      </c>
      <c r="AH598" s="19" t="str">
        <f t="shared" si="169"/>
        <v/>
      </c>
      <c r="AI598" s="19" t="str">
        <f>IF($D598&lt;&gt;1,"",IF(AND($G598="IKS",ISNUMBER(INDEX(TblClusters[Fermeture retenue],$B598))),IF($E598&gt;=INDEX(TblClusters[Fermeture retenue],$B598),1,0),0))</f>
        <v/>
      </c>
    </row>
    <row r="599" spans="1:35" x14ac:dyDescent="0.2">
      <c r="A599" s="19">
        <v>594</v>
      </c>
      <c r="B599" s="19">
        <f t="shared" si="153"/>
        <v>17</v>
      </c>
      <c r="C599" s="19">
        <f t="shared" si="154"/>
        <v>18</v>
      </c>
      <c r="D599" s="19">
        <f>IF($C599&gt;p_horizon,0,IFERROR(IF(AND(INDEX(TblClusters[Cluster],$B599)&lt;&gt;"",ISNUMBER(INDEX(TblClusters[CPU initial (vCPU)],$B599)),ISNUMBER(INDEX(TblClusters[CPU min (vCPU)],$B599)),OR(INDEX(TblClusters[Plateforme],$B599)="IKS",INDEX(TblClusters[Plateforme],$B599)="ROKS")),1,0),0))</f>
        <v>0</v>
      </c>
      <c r="E599" s="72" t="str">
        <f t="shared" si="155"/>
        <v/>
      </c>
      <c r="F599" s="19" t="str">
        <f>IF($D599=1,INDEX(TblClusters[Cluster],$B599),"")</f>
        <v/>
      </c>
      <c r="G599" s="19" t="str">
        <f>IF($D599=1,INDEX(TblClusters[Plateforme],$B599),"")</f>
        <v/>
      </c>
      <c r="H599" s="19" t="str">
        <f>IF($D599=1,INDEX(TblClusters[vCPU par nœud],$B599),"")</f>
        <v/>
      </c>
      <c r="I599" s="19" t="str">
        <f>IF($D599=1,INDEX(TblClusters[RAM par nœud (Go)],$B599),"")</f>
        <v/>
      </c>
      <c r="J599" s="19" t="str">
        <f>IF($D599=1,INDEX(TblClusters[Workers min],$B599),"")</f>
        <v/>
      </c>
      <c r="K599" s="73" t="str">
        <f>IF($D599=1,INDEX(TblClusters[Tarif par nœud],$B599),"")</f>
        <v/>
      </c>
      <c r="L599" s="19" t="str">
        <f>IF($D599=1,INDEX(TblClusters[CPU initial (vCPU)],$B599),"")</f>
        <v/>
      </c>
      <c r="M599" s="19" t="str">
        <f>IF($D599=1,INDEX(TblClusters[RAM initiale (Go)],$B599),"")</f>
        <v/>
      </c>
      <c r="N599" s="19" t="str">
        <f>IF($D599=1,INDEX(TblClusters[CPU min (vCPU)],$B599),"")</f>
        <v/>
      </c>
      <c r="O599" s="19" t="str">
        <f>IF($D599=1,INDEX(TblClusters[RAM min (Go)],$B599),"")</f>
        <v/>
      </c>
      <c r="P599" s="19" t="str">
        <f>IF($D599&lt;&gt;1,"",IF($G599="ROKS",SUMIFS(TblApplications[Besoin ROKS CPU (vCPU)],TblApplications[Cluster ROKS cible],$F599,TblApplications[Action],"À migrer",TblApplications[Déjà incluse ROKS],"Non",TblApplications[Mois prov (calc)],"&lt;="&amp;$E599),SUMIFS(TblApplications[CPU IKS libérable (vCPU)],TblApplications[Cluster IKS source],$F599,TblApplications[Mois lib (calc)],"&lt;="&amp;$E599)))</f>
        <v/>
      </c>
      <c r="Q599" s="19" t="str">
        <f>IF($D599&lt;&gt;1,"",IF($G599="ROKS",SUMIFS(TblApplications[Besoin ROKS RAM (Go)],TblApplications[Cluster ROKS cible],$F599,TblApplications[Action],"À migrer",TblApplications[Déjà incluse ROKS],"Non",TblApplications[Mois prov (calc)],"&lt;="&amp;$E599),SUMIFS(TblApplications[RAM IKS libérable (Go)],TblApplications[Cluster IKS source],$F599,TblApplications[Mois lib (calc)],"&lt;="&amp;$E599)))</f>
        <v/>
      </c>
      <c r="R599" s="19" t="str">
        <f t="shared" si="156"/>
        <v/>
      </c>
      <c r="S599" s="19" t="str">
        <f t="shared" si="157"/>
        <v/>
      </c>
      <c r="T599" s="19" t="str">
        <f t="shared" si="158"/>
        <v/>
      </c>
      <c r="U599" s="19" t="str">
        <f t="shared" si="159"/>
        <v/>
      </c>
      <c r="V599" s="19" t="str">
        <f t="shared" si="160"/>
        <v/>
      </c>
      <c r="W599" s="73" t="str">
        <f t="shared" si="161"/>
        <v/>
      </c>
      <c r="X599" s="19" t="str">
        <f>IF($D599&lt;&gt;1,"",IF($G599="ROKS",$R599,IF($AI599=1,0,MAX($N599,$L599-SUMIFS(TblApplications[CPU IKS libérable (vCPU)],TblApplications[Cluster IKS source],$F599,TblApplications[Action],"À migrer",TblApplications[Mois prov (calc)],"&lt;="&amp;$E599)-SUMIFS(TblApplications[CPU IKS libérable (vCPU)],TblApplications[Cluster IKS source],$F599,TblApplications[Action],"À décommissionner",TblApplications[Mois lib (calc)],"&lt;="&amp;$E599)))))</f>
        <v/>
      </c>
      <c r="Y599" s="19" t="str">
        <f>IF($D599&lt;&gt;1,"",IF($G599="ROKS",$S599,IF($AI599=1,0,MAX($O599,$M599-SUMIFS(TblApplications[RAM IKS libérable (Go)],TblApplications[Cluster IKS source],$F599,TblApplications[Action],"À migrer",TblApplications[Mois prov (calc)],"&lt;="&amp;$E599)-SUMIFS(TblApplications[RAM IKS libérable (Go)],TblApplications[Cluster IKS source],$F599,TblApplications[Action],"À décommissionner",TblApplications[Mois lib (calc)],"&lt;="&amp;$E599)))))</f>
        <v/>
      </c>
      <c r="Z599" s="19" t="str">
        <f t="shared" si="162"/>
        <v/>
      </c>
      <c r="AA599" s="73" t="str">
        <f t="shared" si="163"/>
        <v/>
      </c>
      <c r="AB599" s="19" t="str">
        <f t="shared" si="164"/>
        <v/>
      </c>
      <c r="AC599" s="73" t="str">
        <f t="shared" si="165"/>
        <v/>
      </c>
      <c r="AD599" s="19" t="str">
        <f t="shared" si="166"/>
        <v/>
      </c>
      <c r="AE599" s="19" t="str">
        <f t="shared" si="167"/>
        <v/>
      </c>
      <c r="AF599" s="19" t="str">
        <f>IF($D599&lt;&gt;1,"",IF(INDEX(TblClusters[Environnement],$B599)="","(vide)",INDEX(TblClusters[Environnement],$B599)))</f>
        <v/>
      </c>
      <c r="AG599" s="19" t="str">
        <f t="shared" si="168"/>
        <v/>
      </c>
      <c r="AH599" s="19" t="str">
        <f t="shared" si="169"/>
        <v/>
      </c>
      <c r="AI599" s="19" t="str">
        <f>IF($D599&lt;&gt;1,"",IF(AND($G599="IKS",ISNUMBER(INDEX(TblClusters[Fermeture retenue],$B599))),IF($E599&gt;=INDEX(TblClusters[Fermeture retenue],$B599),1,0),0))</f>
        <v/>
      </c>
    </row>
    <row r="600" spans="1:35" x14ac:dyDescent="0.2">
      <c r="A600" s="19">
        <v>595</v>
      </c>
      <c r="B600" s="19">
        <f t="shared" si="153"/>
        <v>17</v>
      </c>
      <c r="C600" s="19">
        <f t="shared" si="154"/>
        <v>19</v>
      </c>
      <c r="D600" s="19">
        <f>IF($C600&gt;p_horizon,0,IFERROR(IF(AND(INDEX(TblClusters[Cluster],$B600)&lt;&gt;"",ISNUMBER(INDEX(TblClusters[CPU initial (vCPU)],$B600)),ISNUMBER(INDEX(TblClusters[CPU min (vCPU)],$B600)),OR(INDEX(TblClusters[Plateforme],$B600)="IKS",INDEX(TblClusters[Plateforme],$B600)="ROKS")),1,0),0))</f>
        <v>0</v>
      </c>
      <c r="E600" s="72" t="str">
        <f t="shared" si="155"/>
        <v/>
      </c>
      <c r="F600" s="19" t="str">
        <f>IF($D600=1,INDEX(TblClusters[Cluster],$B600),"")</f>
        <v/>
      </c>
      <c r="G600" s="19" t="str">
        <f>IF($D600=1,INDEX(TblClusters[Plateforme],$B600),"")</f>
        <v/>
      </c>
      <c r="H600" s="19" t="str">
        <f>IF($D600=1,INDEX(TblClusters[vCPU par nœud],$B600),"")</f>
        <v/>
      </c>
      <c r="I600" s="19" t="str">
        <f>IF($D600=1,INDEX(TblClusters[RAM par nœud (Go)],$B600),"")</f>
        <v/>
      </c>
      <c r="J600" s="19" t="str">
        <f>IF($D600=1,INDEX(TblClusters[Workers min],$B600),"")</f>
        <v/>
      </c>
      <c r="K600" s="73" t="str">
        <f>IF($D600=1,INDEX(TblClusters[Tarif par nœud],$B600),"")</f>
        <v/>
      </c>
      <c r="L600" s="19" t="str">
        <f>IF($D600=1,INDEX(TblClusters[CPU initial (vCPU)],$B600),"")</f>
        <v/>
      </c>
      <c r="M600" s="19" t="str">
        <f>IF($D600=1,INDEX(TblClusters[RAM initiale (Go)],$B600),"")</f>
        <v/>
      </c>
      <c r="N600" s="19" t="str">
        <f>IF($D600=1,INDEX(TblClusters[CPU min (vCPU)],$B600),"")</f>
        <v/>
      </c>
      <c r="O600" s="19" t="str">
        <f>IF($D600=1,INDEX(TblClusters[RAM min (Go)],$B600),"")</f>
        <v/>
      </c>
      <c r="P600" s="19" t="str">
        <f>IF($D600&lt;&gt;1,"",IF($G600="ROKS",SUMIFS(TblApplications[Besoin ROKS CPU (vCPU)],TblApplications[Cluster ROKS cible],$F600,TblApplications[Action],"À migrer",TblApplications[Déjà incluse ROKS],"Non",TblApplications[Mois prov (calc)],"&lt;="&amp;$E600),SUMIFS(TblApplications[CPU IKS libérable (vCPU)],TblApplications[Cluster IKS source],$F600,TblApplications[Mois lib (calc)],"&lt;="&amp;$E600)))</f>
        <v/>
      </c>
      <c r="Q600" s="19" t="str">
        <f>IF($D600&lt;&gt;1,"",IF($G600="ROKS",SUMIFS(TblApplications[Besoin ROKS RAM (Go)],TblApplications[Cluster ROKS cible],$F600,TblApplications[Action],"À migrer",TblApplications[Déjà incluse ROKS],"Non",TblApplications[Mois prov (calc)],"&lt;="&amp;$E600),SUMIFS(TblApplications[RAM IKS libérable (Go)],TblApplications[Cluster IKS source],$F600,TblApplications[Mois lib (calc)],"&lt;="&amp;$E600)))</f>
        <v/>
      </c>
      <c r="R600" s="19" t="str">
        <f t="shared" si="156"/>
        <v/>
      </c>
      <c r="S600" s="19" t="str">
        <f t="shared" si="157"/>
        <v/>
      </c>
      <c r="T600" s="19" t="str">
        <f t="shared" si="158"/>
        <v/>
      </c>
      <c r="U600" s="19" t="str">
        <f t="shared" si="159"/>
        <v/>
      </c>
      <c r="V600" s="19" t="str">
        <f t="shared" si="160"/>
        <v/>
      </c>
      <c r="W600" s="73" t="str">
        <f t="shared" si="161"/>
        <v/>
      </c>
      <c r="X600" s="19" t="str">
        <f>IF($D600&lt;&gt;1,"",IF($G600="ROKS",$R600,IF($AI600=1,0,MAX($N600,$L600-SUMIFS(TblApplications[CPU IKS libérable (vCPU)],TblApplications[Cluster IKS source],$F600,TblApplications[Action],"À migrer",TblApplications[Mois prov (calc)],"&lt;="&amp;$E600)-SUMIFS(TblApplications[CPU IKS libérable (vCPU)],TblApplications[Cluster IKS source],$F600,TblApplications[Action],"À décommissionner",TblApplications[Mois lib (calc)],"&lt;="&amp;$E600)))))</f>
        <v/>
      </c>
      <c r="Y600" s="19" t="str">
        <f>IF($D600&lt;&gt;1,"",IF($G600="ROKS",$S600,IF($AI600=1,0,MAX($O600,$M600-SUMIFS(TblApplications[RAM IKS libérable (Go)],TblApplications[Cluster IKS source],$F600,TblApplications[Action],"À migrer",TblApplications[Mois prov (calc)],"&lt;="&amp;$E600)-SUMIFS(TblApplications[RAM IKS libérable (Go)],TblApplications[Cluster IKS source],$F600,TblApplications[Action],"À décommissionner",TblApplications[Mois lib (calc)],"&lt;="&amp;$E600)))))</f>
        <v/>
      </c>
      <c r="Z600" s="19" t="str">
        <f t="shared" si="162"/>
        <v/>
      </c>
      <c r="AA600" s="73" t="str">
        <f t="shared" si="163"/>
        <v/>
      </c>
      <c r="AB600" s="19" t="str">
        <f t="shared" si="164"/>
        <v/>
      </c>
      <c r="AC600" s="73" t="str">
        <f t="shared" si="165"/>
        <v/>
      </c>
      <c r="AD600" s="19" t="str">
        <f t="shared" si="166"/>
        <v/>
      </c>
      <c r="AE600" s="19" t="str">
        <f t="shared" si="167"/>
        <v/>
      </c>
      <c r="AF600" s="19" t="str">
        <f>IF($D600&lt;&gt;1,"",IF(INDEX(TblClusters[Environnement],$B600)="","(vide)",INDEX(TblClusters[Environnement],$B600)))</f>
        <v/>
      </c>
      <c r="AG600" s="19" t="str">
        <f t="shared" si="168"/>
        <v/>
      </c>
      <c r="AH600" s="19" t="str">
        <f t="shared" si="169"/>
        <v/>
      </c>
      <c r="AI600" s="19" t="str">
        <f>IF($D600&lt;&gt;1,"",IF(AND($G600="IKS",ISNUMBER(INDEX(TblClusters[Fermeture retenue],$B600))),IF($E600&gt;=INDEX(TblClusters[Fermeture retenue],$B600),1,0),0))</f>
        <v/>
      </c>
    </row>
    <row r="601" spans="1:35" x14ac:dyDescent="0.2">
      <c r="A601" s="19">
        <v>596</v>
      </c>
      <c r="B601" s="19">
        <f t="shared" si="153"/>
        <v>17</v>
      </c>
      <c r="C601" s="19">
        <f t="shared" si="154"/>
        <v>20</v>
      </c>
      <c r="D601" s="19">
        <f>IF($C601&gt;p_horizon,0,IFERROR(IF(AND(INDEX(TblClusters[Cluster],$B601)&lt;&gt;"",ISNUMBER(INDEX(TblClusters[CPU initial (vCPU)],$B601)),ISNUMBER(INDEX(TblClusters[CPU min (vCPU)],$B601)),OR(INDEX(TblClusters[Plateforme],$B601)="IKS",INDEX(TblClusters[Plateforme],$B601)="ROKS")),1,0),0))</f>
        <v>0</v>
      </c>
      <c r="E601" s="72" t="str">
        <f t="shared" si="155"/>
        <v/>
      </c>
      <c r="F601" s="19" t="str">
        <f>IF($D601=1,INDEX(TblClusters[Cluster],$B601),"")</f>
        <v/>
      </c>
      <c r="G601" s="19" t="str">
        <f>IF($D601=1,INDEX(TblClusters[Plateforme],$B601),"")</f>
        <v/>
      </c>
      <c r="H601" s="19" t="str">
        <f>IF($D601=1,INDEX(TblClusters[vCPU par nœud],$B601),"")</f>
        <v/>
      </c>
      <c r="I601" s="19" t="str">
        <f>IF($D601=1,INDEX(TblClusters[RAM par nœud (Go)],$B601),"")</f>
        <v/>
      </c>
      <c r="J601" s="19" t="str">
        <f>IF($D601=1,INDEX(TblClusters[Workers min],$B601),"")</f>
        <v/>
      </c>
      <c r="K601" s="73" t="str">
        <f>IF($D601=1,INDEX(TblClusters[Tarif par nœud],$B601),"")</f>
        <v/>
      </c>
      <c r="L601" s="19" t="str">
        <f>IF($D601=1,INDEX(TblClusters[CPU initial (vCPU)],$B601),"")</f>
        <v/>
      </c>
      <c r="M601" s="19" t="str">
        <f>IF($D601=1,INDEX(TblClusters[RAM initiale (Go)],$B601),"")</f>
        <v/>
      </c>
      <c r="N601" s="19" t="str">
        <f>IF($D601=1,INDEX(TblClusters[CPU min (vCPU)],$B601),"")</f>
        <v/>
      </c>
      <c r="O601" s="19" t="str">
        <f>IF($D601=1,INDEX(TblClusters[RAM min (Go)],$B601),"")</f>
        <v/>
      </c>
      <c r="P601" s="19" t="str">
        <f>IF($D601&lt;&gt;1,"",IF($G601="ROKS",SUMIFS(TblApplications[Besoin ROKS CPU (vCPU)],TblApplications[Cluster ROKS cible],$F601,TblApplications[Action],"À migrer",TblApplications[Déjà incluse ROKS],"Non",TblApplications[Mois prov (calc)],"&lt;="&amp;$E601),SUMIFS(TblApplications[CPU IKS libérable (vCPU)],TblApplications[Cluster IKS source],$F601,TblApplications[Mois lib (calc)],"&lt;="&amp;$E601)))</f>
        <v/>
      </c>
      <c r="Q601" s="19" t="str">
        <f>IF($D601&lt;&gt;1,"",IF($G601="ROKS",SUMIFS(TblApplications[Besoin ROKS RAM (Go)],TblApplications[Cluster ROKS cible],$F601,TblApplications[Action],"À migrer",TblApplications[Déjà incluse ROKS],"Non",TblApplications[Mois prov (calc)],"&lt;="&amp;$E601),SUMIFS(TblApplications[RAM IKS libérable (Go)],TblApplications[Cluster IKS source],$F601,TblApplications[Mois lib (calc)],"&lt;="&amp;$E601)))</f>
        <v/>
      </c>
      <c r="R601" s="19" t="str">
        <f t="shared" si="156"/>
        <v/>
      </c>
      <c r="S601" s="19" t="str">
        <f t="shared" si="157"/>
        <v/>
      </c>
      <c r="T601" s="19" t="str">
        <f t="shared" si="158"/>
        <v/>
      </c>
      <c r="U601" s="19" t="str">
        <f t="shared" si="159"/>
        <v/>
      </c>
      <c r="V601" s="19" t="str">
        <f t="shared" si="160"/>
        <v/>
      </c>
      <c r="W601" s="73" t="str">
        <f t="shared" si="161"/>
        <v/>
      </c>
      <c r="X601" s="19" t="str">
        <f>IF($D601&lt;&gt;1,"",IF($G601="ROKS",$R601,IF($AI601=1,0,MAX($N601,$L601-SUMIFS(TblApplications[CPU IKS libérable (vCPU)],TblApplications[Cluster IKS source],$F601,TblApplications[Action],"À migrer",TblApplications[Mois prov (calc)],"&lt;="&amp;$E601)-SUMIFS(TblApplications[CPU IKS libérable (vCPU)],TblApplications[Cluster IKS source],$F601,TblApplications[Action],"À décommissionner",TblApplications[Mois lib (calc)],"&lt;="&amp;$E601)))))</f>
        <v/>
      </c>
      <c r="Y601" s="19" t="str">
        <f>IF($D601&lt;&gt;1,"",IF($G601="ROKS",$S601,IF($AI601=1,0,MAX($O601,$M601-SUMIFS(TblApplications[RAM IKS libérable (Go)],TblApplications[Cluster IKS source],$F601,TblApplications[Action],"À migrer",TblApplications[Mois prov (calc)],"&lt;="&amp;$E601)-SUMIFS(TblApplications[RAM IKS libérable (Go)],TblApplications[Cluster IKS source],$F601,TblApplications[Action],"À décommissionner",TblApplications[Mois lib (calc)],"&lt;="&amp;$E601)))))</f>
        <v/>
      </c>
      <c r="Z601" s="19" t="str">
        <f t="shared" si="162"/>
        <v/>
      </c>
      <c r="AA601" s="73" t="str">
        <f t="shared" si="163"/>
        <v/>
      </c>
      <c r="AB601" s="19" t="str">
        <f t="shared" si="164"/>
        <v/>
      </c>
      <c r="AC601" s="73" t="str">
        <f t="shared" si="165"/>
        <v/>
      </c>
      <c r="AD601" s="19" t="str">
        <f t="shared" si="166"/>
        <v/>
      </c>
      <c r="AE601" s="19" t="str">
        <f t="shared" si="167"/>
        <v/>
      </c>
      <c r="AF601" s="19" t="str">
        <f>IF($D601&lt;&gt;1,"",IF(INDEX(TblClusters[Environnement],$B601)="","(vide)",INDEX(TblClusters[Environnement],$B601)))</f>
        <v/>
      </c>
      <c r="AG601" s="19" t="str">
        <f t="shared" si="168"/>
        <v/>
      </c>
      <c r="AH601" s="19" t="str">
        <f t="shared" si="169"/>
        <v/>
      </c>
      <c r="AI601" s="19" t="str">
        <f>IF($D601&lt;&gt;1,"",IF(AND($G601="IKS",ISNUMBER(INDEX(TblClusters[Fermeture retenue],$B601))),IF($E601&gt;=INDEX(TblClusters[Fermeture retenue],$B601),1,0),0))</f>
        <v/>
      </c>
    </row>
    <row r="602" spans="1:35" x14ac:dyDescent="0.2">
      <c r="A602" s="19">
        <v>597</v>
      </c>
      <c r="B602" s="19">
        <f t="shared" si="153"/>
        <v>17</v>
      </c>
      <c r="C602" s="19">
        <f t="shared" si="154"/>
        <v>21</v>
      </c>
      <c r="D602" s="19">
        <f>IF($C602&gt;p_horizon,0,IFERROR(IF(AND(INDEX(TblClusters[Cluster],$B602)&lt;&gt;"",ISNUMBER(INDEX(TblClusters[CPU initial (vCPU)],$B602)),ISNUMBER(INDEX(TblClusters[CPU min (vCPU)],$B602)),OR(INDEX(TblClusters[Plateforme],$B602)="IKS",INDEX(TblClusters[Plateforme],$B602)="ROKS")),1,0),0))</f>
        <v>0</v>
      </c>
      <c r="E602" s="72" t="str">
        <f t="shared" si="155"/>
        <v/>
      </c>
      <c r="F602" s="19" t="str">
        <f>IF($D602=1,INDEX(TblClusters[Cluster],$B602),"")</f>
        <v/>
      </c>
      <c r="G602" s="19" t="str">
        <f>IF($D602=1,INDEX(TblClusters[Plateforme],$B602),"")</f>
        <v/>
      </c>
      <c r="H602" s="19" t="str">
        <f>IF($D602=1,INDEX(TblClusters[vCPU par nœud],$B602),"")</f>
        <v/>
      </c>
      <c r="I602" s="19" t="str">
        <f>IF($D602=1,INDEX(TblClusters[RAM par nœud (Go)],$B602),"")</f>
        <v/>
      </c>
      <c r="J602" s="19" t="str">
        <f>IF($D602=1,INDEX(TblClusters[Workers min],$B602),"")</f>
        <v/>
      </c>
      <c r="K602" s="73" t="str">
        <f>IF($D602=1,INDEX(TblClusters[Tarif par nœud],$B602),"")</f>
        <v/>
      </c>
      <c r="L602" s="19" t="str">
        <f>IF($D602=1,INDEX(TblClusters[CPU initial (vCPU)],$B602),"")</f>
        <v/>
      </c>
      <c r="M602" s="19" t="str">
        <f>IF($D602=1,INDEX(TblClusters[RAM initiale (Go)],$B602),"")</f>
        <v/>
      </c>
      <c r="N602" s="19" t="str">
        <f>IF($D602=1,INDEX(TblClusters[CPU min (vCPU)],$B602),"")</f>
        <v/>
      </c>
      <c r="O602" s="19" t="str">
        <f>IF($D602=1,INDEX(TblClusters[RAM min (Go)],$B602),"")</f>
        <v/>
      </c>
      <c r="P602" s="19" t="str">
        <f>IF($D602&lt;&gt;1,"",IF($G602="ROKS",SUMIFS(TblApplications[Besoin ROKS CPU (vCPU)],TblApplications[Cluster ROKS cible],$F602,TblApplications[Action],"À migrer",TblApplications[Déjà incluse ROKS],"Non",TblApplications[Mois prov (calc)],"&lt;="&amp;$E602),SUMIFS(TblApplications[CPU IKS libérable (vCPU)],TblApplications[Cluster IKS source],$F602,TblApplications[Mois lib (calc)],"&lt;="&amp;$E602)))</f>
        <v/>
      </c>
      <c r="Q602" s="19" t="str">
        <f>IF($D602&lt;&gt;1,"",IF($G602="ROKS",SUMIFS(TblApplications[Besoin ROKS RAM (Go)],TblApplications[Cluster ROKS cible],$F602,TblApplications[Action],"À migrer",TblApplications[Déjà incluse ROKS],"Non",TblApplications[Mois prov (calc)],"&lt;="&amp;$E602),SUMIFS(TblApplications[RAM IKS libérable (Go)],TblApplications[Cluster IKS source],$F602,TblApplications[Mois lib (calc)],"&lt;="&amp;$E602)))</f>
        <v/>
      </c>
      <c r="R602" s="19" t="str">
        <f t="shared" si="156"/>
        <v/>
      </c>
      <c r="S602" s="19" t="str">
        <f t="shared" si="157"/>
        <v/>
      </c>
      <c r="T602" s="19" t="str">
        <f t="shared" si="158"/>
        <v/>
      </c>
      <c r="U602" s="19" t="str">
        <f t="shared" si="159"/>
        <v/>
      </c>
      <c r="V602" s="19" t="str">
        <f t="shared" si="160"/>
        <v/>
      </c>
      <c r="W602" s="73" t="str">
        <f t="shared" si="161"/>
        <v/>
      </c>
      <c r="X602" s="19" t="str">
        <f>IF($D602&lt;&gt;1,"",IF($G602="ROKS",$R602,IF($AI602=1,0,MAX($N602,$L602-SUMIFS(TblApplications[CPU IKS libérable (vCPU)],TblApplications[Cluster IKS source],$F602,TblApplications[Action],"À migrer",TblApplications[Mois prov (calc)],"&lt;="&amp;$E602)-SUMIFS(TblApplications[CPU IKS libérable (vCPU)],TblApplications[Cluster IKS source],$F602,TblApplications[Action],"À décommissionner",TblApplications[Mois lib (calc)],"&lt;="&amp;$E602)))))</f>
        <v/>
      </c>
      <c r="Y602" s="19" t="str">
        <f>IF($D602&lt;&gt;1,"",IF($G602="ROKS",$S602,IF($AI602=1,0,MAX($O602,$M602-SUMIFS(TblApplications[RAM IKS libérable (Go)],TblApplications[Cluster IKS source],$F602,TblApplications[Action],"À migrer",TblApplications[Mois prov (calc)],"&lt;="&amp;$E602)-SUMIFS(TblApplications[RAM IKS libérable (Go)],TblApplications[Cluster IKS source],$F602,TblApplications[Action],"À décommissionner",TblApplications[Mois lib (calc)],"&lt;="&amp;$E602)))))</f>
        <v/>
      </c>
      <c r="Z602" s="19" t="str">
        <f t="shared" si="162"/>
        <v/>
      </c>
      <c r="AA602" s="73" t="str">
        <f t="shared" si="163"/>
        <v/>
      </c>
      <c r="AB602" s="19" t="str">
        <f t="shared" si="164"/>
        <v/>
      </c>
      <c r="AC602" s="73" t="str">
        <f t="shared" si="165"/>
        <v/>
      </c>
      <c r="AD602" s="19" t="str">
        <f t="shared" si="166"/>
        <v/>
      </c>
      <c r="AE602" s="19" t="str">
        <f t="shared" si="167"/>
        <v/>
      </c>
      <c r="AF602" s="19" t="str">
        <f>IF($D602&lt;&gt;1,"",IF(INDEX(TblClusters[Environnement],$B602)="","(vide)",INDEX(TblClusters[Environnement],$B602)))</f>
        <v/>
      </c>
      <c r="AG602" s="19" t="str">
        <f t="shared" si="168"/>
        <v/>
      </c>
      <c r="AH602" s="19" t="str">
        <f t="shared" si="169"/>
        <v/>
      </c>
      <c r="AI602" s="19" t="str">
        <f>IF($D602&lt;&gt;1,"",IF(AND($G602="IKS",ISNUMBER(INDEX(TblClusters[Fermeture retenue],$B602))),IF($E602&gt;=INDEX(TblClusters[Fermeture retenue],$B602),1,0),0))</f>
        <v/>
      </c>
    </row>
    <row r="603" spans="1:35" x14ac:dyDescent="0.2">
      <c r="A603" s="19">
        <v>598</v>
      </c>
      <c r="B603" s="19">
        <f t="shared" si="153"/>
        <v>17</v>
      </c>
      <c r="C603" s="19">
        <f t="shared" si="154"/>
        <v>22</v>
      </c>
      <c r="D603" s="19">
        <f>IF($C603&gt;p_horizon,0,IFERROR(IF(AND(INDEX(TblClusters[Cluster],$B603)&lt;&gt;"",ISNUMBER(INDEX(TblClusters[CPU initial (vCPU)],$B603)),ISNUMBER(INDEX(TblClusters[CPU min (vCPU)],$B603)),OR(INDEX(TblClusters[Plateforme],$B603)="IKS",INDEX(TblClusters[Plateforme],$B603)="ROKS")),1,0),0))</f>
        <v>0</v>
      </c>
      <c r="E603" s="72" t="str">
        <f t="shared" si="155"/>
        <v/>
      </c>
      <c r="F603" s="19" t="str">
        <f>IF($D603=1,INDEX(TblClusters[Cluster],$B603),"")</f>
        <v/>
      </c>
      <c r="G603" s="19" t="str">
        <f>IF($D603=1,INDEX(TblClusters[Plateforme],$B603),"")</f>
        <v/>
      </c>
      <c r="H603" s="19" t="str">
        <f>IF($D603=1,INDEX(TblClusters[vCPU par nœud],$B603),"")</f>
        <v/>
      </c>
      <c r="I603" s="19" t="str">
        <f>IF($D603=1,INDEX(TblClusters[RAM par nœud (Go)],$B603),"")</f>
        <v/>
      </c>
      <c r="J603" s="19" t="str">
        <f>IF($D603=1,INDEX(TblClusters[Workers min],$B603),"")</f>
        <v/>
      </c>
      <c r="K603" s="73" t="str">
        <f>IF($D603=1,INDEX(TblClusters[Tarif par nœud],$B603),"")</f>
        <v/>
      </c>
      <c r="L603" s="19" t="str">
        <f>IF($D603=1,INDEX(TblClusters[CPU initial (vCPU)],$B603),"")</f>
        <v/>
      </c>
      <c r="M603" s="19" t="str">
        <f>IF($D603=1,INDEX(TblClusters[RAM initiale (Go)],$B603),"")</f>
        <v/>
      </c>
      <c r="N603" s="19" t="str">
        <f>IF($D603=1,INDEX(TblClusters[CPU min (vCPU)],$B603),"")</f>
        <v/>
      </c>
      <c r="O603" s="19" t="str">
        <f>IF($D603=1,INDEX(TblClusters[RAM min (Go)],$B603),"")</f>
        <v/>
      </c>
      <c r="P603" s="19" t="str">
        <f>IF($D603&lt;&gt;1,"",IF($G603="ROKS",SUMIFS(TblApplications[Besoin ROKS CPU (vCPU)],TblApplications[Cluster ROKS cible],$F603,TblApplications[Action],"À migrer",TblApplications[Déjà incluse ROKS],"Non",TblApplications[Mois prov (calc)],"&lt;="&amp;$E603),SUMIFS(TblApplications[CPU IKS libérable (vCPU)],TblApplications[Cluster IKS source],$F603,TblApplications[Mois lib (calc)],"&lt;="&amp;$E603)))</f>
        <v/>
      </c>
      <c r="Q603" s="19" t="str">
        <f>IF($D603&lt;&gt;1,"",IF($G603="ROKS",SUMIFS(TblApplications[Besoin ROKS RAM (Go)],TblApplications[Cluster ROKS cible],$F603,TblApplications[Action],"À migrer",TblApplications[Déjà incluse ROKS],"Non",TblApplications[Mois prov (calc)],"&lt;="&amp;$E603),SUMIFS(TblApplications[RAM IKS libérable (Go)],TblApplications[Cluster IKS source],$F603,TblApplications[Mois lib (calc)],"&lt;="&amp;$E603)))</f>
        <v/>
      </c>
      <c r="R603" s="19" t="str">
        <f t="shared" si="156"/>
        <v/>
      </c>
      <c r="S603" s="19" t="str">
        <f t="shared" si="157"/>
        <v/>
      </c>
      <c r="T603" s="19" t="str">
        <f t="shared" si="158"/>
        <v/>
      </c>
      <c r="U603" s="19" t="str">
        <f t="shared" si="159"/>
        <v/>
      </c>
      <c r="V603" s="19" t="str">
        <f t="shared" si="160"/>
        <v/>
      </c>
      <c r="W603" s="73" t="str">
        <f t="shared" si="161"/>
        <v/>
      </c>
      <c r="X603" s="19" t="str">
        <f>IF($D603&lt;&gt;1,"",IF($G603="ROKS",$R603,IF($AI603=1,0,MAX($N603,$L603-SUMIFS(TblApplications[CPU IKS libérable (vCPU)],TblApplications[Cluster IKS source],$F603,TblApplications[Action],"À migrer",TblApplications[Mois prov (calc)],"&lt;="&amp;$E603)-SUMIFS(TblApplications[CPU IKS libérable (vCPU)],TblApplications[Cluster IKS source],$F603,TblApplications[Action],"À décommissionner",TblApplications[Mois lib (calc)],"&lt;="&amp;$E603)))))</f>
        <v/>
      </c>
      <c r="Y603" s="19" t="str">
        <f>IF($D603&lt;&gt;1,"",IF($G603="ROKS",$S603,IF($AI603=1,0,MAX($O603,$M603-SUMIFS(TblApplications[RAM IKS libérable (Go)],TblApplications[Cluster IKS source],$F603,TblApplications[Action],"À migrer",TblApplications[Mois prov (calc)],"&lt;="&amp;$E603)-SUMIFS(TblApplications[RAM IKS libérable (Go)],TblApplications[Cluster IKS source],$F603,TblApplications[Action],"À décommissionner",TblApplications[Mois lib (calc)],"&lt;="&amp;$E603)))))</f>
        <v/>
      </c>
      <c r="Z603" s="19" t="str">
        <f t="shared" si="162"/>
        <v/>
      </c>
      <c r="AA603" s="73" t="str">
        <f t="shared" si="163"/>
        <v/>
      </c>
      <c r="AB603" s="19" t="str">
        <f t="shared" si="164"/>
        <v/>
      </c>
      <c r="AC603" s="73" t="str">
        <f t="shared" si="165"/>
        <v/>
      </c>
      <c r="AD603" s="19" t="str">
        <f t="shared" si="166"/>
        <v/>
      </c>
      <c r="AE603" s="19" t="str">
        <f t="shared" si="167"/>
        <v/>
      </c>
      <c r="AF603" s="19" t="str">
        <f>IF($D603&lt;&gt;1,"",IF(INDEX(TblClusters[Environnement],$B603)="","(vide)",INDEX(TblClusters[Environnement],$B603)))</f>
        <v/>
      </c>
      <c r="AG603" s="19" t="str">
        <f t="shared" si="168"/>
        <v/>
      </c>
      <c r="AH603" s="19" t="str">
        <f t="shared" si="169"/>
        <v/>
      </c>
      <c r="AI603" s="19" t="str">
        <f>IF($D603&lt;&gt;1,"",IF(AND($G603="IKS",ISNUMBER(INDEX(TblClusters[Fermeture retenue],$B603))),IF($E603&gt;=INDEX(TblClusters[Fermeture retenue],$B603),1,0),0))</f>
        <v/>
      </c>
    </row>
    <row r="604" spans="1:35" x14ac:dyDescent="0.2">
      <c r="A604" s="19">
        <v>599</v>
      </c>
      <c r="B604" s="19">
        <f t="shared" si="153"/>
        <v>17</v>
      </c>
      <c r="C604" s="19">
        <f t="shared" si="154"/>
        <v>23</v>
      </c>
      <c r="D604" s="19">
        <f>IF($C604&gt;p_horizon,0,IFERROR(IF(AND(INDEX(TblClusters[Cluster],$B604)&lt;&gt;"",ISNUMBER(INDEX(TblClusters[CPU initial (vCPU)],$B604)),ISNUMBER(INDEX(TblClusters[CPU min (vCPU)],$B604)),OR(INDEX(TblClusters[Plateforme],$B604)="IKS",INDEX(TblClusters[Plateforme],$B604)="ROKS")),1,0),0))</f>
        <v>0</v>
      </c>
      <c r="E604" s="72" t="str">
        <f t="shared" si="155"/>
        <v/>
      </c>
      <c r="F604" s="19" t="str">
        <f>IF($D604=1,INDEX(TblClusters[Cluster],$B604),"")</f>
        <v/>
      </c>
      <c r="G604" s="19" t="str">
        <f>IF($D604=1,INDEX(TblClusters[Plateforme],$B604),"")</f>
        <v/>
      </c>
      <c r="H604" s="19" t="str">
        <f>IF($D604=1,INDEX(TblClusters[vCPU par nœud],$B604),"")</f>
        <v/>
      </c>
      <c r="I604" s="19" t="str">
        <f>IF($D604=1,INDEX(TblClusters[RAM par nœud (Go)],$B604),"")</f>
        <v/>
      </c>
      <c r="J604" s="19" t="str">
        <f>IF($D604=1,INDEX(TblClusters[Workers min],$B604),"")</f>
        <v/>
      </c>
      <c r="K604" s="73" t="str">
        <f>IF($D604=1,INDEX(TblClusters[Tarif par nœud],$B604),"")</f>
        <v/>
      </c>
      <c r="L604" s="19" t="str">
        <f>IF($D604=1,INDEX(TblClusters[CPU initial (vCPU)],$B604),"")</f>
        <v/>
      </c>
      <c r="M604" s="19" t="str">
        <f>IF($D604=1,INDEX(TblClusters[RAM initiale (Go)],$B604),"")</f>
        <v/>
      </c>
      <c r="N604" s="19" t="str">
        <f>IF($D604=1,INDEX(TblClusters[CPU min (vCPU)],$B604),"")</f>
        <v/>
      </c>
      <c r="O604" s="19" t="str">
        <f>IF($D604=1,INDEX(TblClusters[RAM min (Go)],$B604),"")</f>
        <v/>
      </c>
      <c r="P604" s="19" t="str">
        <f>IF($D604&lt;&gt;1,"",IF($G604="ROKS",SUMIFS(TblApplications[Besoin ROKS CPU (vCPU)],TblApplications[Cluster ROKS cible],$F604,TblApplications[Action],"À migrer",TblApplications[Déjà incluse ROKS],"Non",TblApplications[Mois prov (calc)],"&lt;="&amp;$E604),SUMIFS(TblApplications[CPU IKS libérable (vCPU)],TblApplications[Cluster IKS source],$F604,TblApplications[Mois lib (calc)],"&lt;="&amp;$E604)))</f>
        <v/>
      </c>
      <c r="Q604" s="19" t="str">
        <f>IF($D604&lt;&gt;1,"",IF($G604="ROKS",SUMIFS(TblApplications[Besoin ROKS RAM (Go)],TblApplications[Cluster ROKS cible],$F604,TblApplications[Action],"À migrer",TblApplications[Déjà incluse ROKS],"Non",TblApplications[Mois prov (calc)],"&lt;="&amp;$E604),SUMIFS(TblApplications[RAM IKS libérable (Go)],TblApplications[Cluster IKS source],$F604,TblApplications[Mois lib (calc)],"&lt;="&amp;$E604)))</f>
        <v/>
      </c>
      <c r="R604" s="19" t="str">
        <f t="shared" si="156"/>
        <v/>
      </c>
      <c r="S604" s="19" t="str">
        <f t="shared" si="157"/>
        <v/>
      </c>
      <c r="T604" s="19" t="str">
        <f t="shared" si="158"/>
        <v/>
      </c>
      <c r="U604" s="19" t="str">
        <f t="shared" si="159"/>
        <v/>
      </c>
      <c r="V604" s="19" t="str">
        <f t="shared" si="160"/>
        <v/>
      </c>
      <c r="W604" s="73" t="str">
        <f t="shared" si="161"/>
        <v/>
      </c>
      <c r="X604" s="19" t="str">
        <f>IF($D604&lt;&gt;1,"",IF($G604="ROKS",$R604,IF($AI604=1,0,MAX($N604,$L604-SUMIFS(TblApplications[CPU IKS libérable (vCPU)],TblApplications[Cluster IKS source],$F604,TblApplications[Action],"À migrer",TblApplications[Mois prov (calc)],"&lt;="&amp;$E604)-SUMIFS(TblApplications[CPU IKS libérable (vCPU)],TblApplications[Cluster IKS source],$F604,TblApplications[Action],"À décommissionner",TblApplications[Mois lib (calc)],"&lt;="&amp;$E604)))))</f>
        <v/>
      </c>
      <c r="Y604" s="19" t="str">
        <f>IF($D604&lt;&gt;1,"",IF($G604="ROKS",$S604,IF($AI604=1,0,MAX($O604,$M604-SUMIFS(TblApplications[RAM IKS libérable (Go)],TblApplications[Cluster IKS source],$F604,TblApplications[Action],"À migrer",TblApplications[Mois prov (calc)],"&lt;="&amp;$E604)-SUMIFS(TblApplications[RAM IKS libérable (Go)],TblApplications[Cluster IKS source],$F604,TblApplications[Action],"À décommissionner",TblApplications[Mois lib (calc)],"&lt;="&amp;$E604)))))</f>
        <v/>
      </c>
      <c r="Z604" s="19" t="str">
        <f t="shared" si="162"/>
        <v/>
      </c>
      <c r="AA604" s="73" t="str">
        <f t="shared" si="163"/>
        <v/>
      </c>
      <c r="AB604" s="19" t="str">
        <f t="shared" si="164"/>
        <v/>
      </c>
      <c r="AC604" s="73" t="str">
        <f t="shared" si="165"/>
        <v/>
      </c>
      <c r="AD604" s="19" t="str">
        <f t="shared" si="166"/>
        <v/>
      </c>
      <c r="AE604" s="19" t="str">
        <f t="shared" si="167"/>
        <v/>
      </c>
      <c r="AF604" s="19" t="str">
        <f>IF($D604&lt;&gt;1,"",IF(INDEX(TblClusters[Environnement],$B604)="","(vide)",INDEX(TblClusters[Environnement],$B604)))</f>
        <v/>
      </c>
      <c r="AG604" s="19" t="str">
        <f t="shared" si="168"/>
        <v/>
      </c>
      <c r="AH604" s="19" t="str">
        <f t="shared" si="169"/>
        <v/>
      </c>
      <c r="AI604" s="19" t="str">
        <f>IF($D604&lt;&gt;1,"",IF(AND($G604="IKS",ISNUMBER(INDEX(TblClusters[Fermeture retenue],$B604))),IF($E604&gt;=INDEX(TblClusters[Fermeture retenue],$B604),1,0),0))</f>
        <v/>
      </c>
    </row>
    <row r="605" spans="1:35" x14ac:dyDescent="0.2">
      <c r="A605" s="19">
        <v>600</v>
      </c>
      <c r="B605" s="19">
        <f t="shared" si="153"/>
        <v>17</v>
      </c>
      <c r="C605" s="19">
        <f t="shared" si="154"/>
        <v>24</v>
      </c>
      <c r="D605" s="19">
        <f>IF($C605&gt;p_horizon,0,IFERROR(IF(AND(INDEX(TblClusters[Cluster],$B605)&lt;&gt;"",ISNUMBER(INDEX(TblClusters[CPU initial (vCPU)],$B605)),ISNUMBER(INDEX(TblClusters[CPU min (vCPU)],$B605)),OR(INDEX(TblClusters[Plateforme],$B605)="IKS",INDEX(TblClusters[Plateforme],$B605)="ROKS")),1,0),0))</f>
        <v>0</v>
      </c>
      <c r="E605" s="72" t="str">
        <f t="shared" si="155"/>
        <v/>
      </c>
      <c r="F605" s="19" t="str">
        <f>IF($D605=1,INDEX(TblClusters[Cluster],$B605),"")</f>
        <v/>
      </c>
      <c r="G605" s="19" t="str">
        <f>IF($D605=1,INDEX(TblClusters[Plateforme],$B605),"")</f>
        <v/>
      </c>
      <c r="H605" s="19" t="str">
        <f>IF($D605=1,INDEX(TblClusters[vCPU par nœud],$B605),"")</f>
        <v/>
      </c>
      <c r="I605" s="19" t="str">
        <f>IF($D605=1,INDEX(TblClusters[RAM par nœud (Go)],$B605),"")</f>
        <v/>
      </c>
      <c r="J605" s="19" t="str">
        <f>IF($D605=1,INDEX(TblClusters[Workers min],$B605),"")</f>
        <v/>
      </c>
      <c r="K605" s="73" t="str">
        <f>IF($D605=1,INDEX(TblClusters[Tarif par nœud],$B605),"")</f>
        <v/>
      </c>
      <c r="L605" s="19" t="str">
        <f>IF($D605=1,INDEX(TblClusters[CPU initial (vCPU)],$B605),"")</f>
        <v/>
      </c>
      <c r="M605" s="19" t="str">
        <f>IF($D605=1,INDEX(TblClusters[RAM initiale (Go)],$B605),"")</f>
        <v/>
      </c>
      <c r="N605" s="19" t="str">
        <f>IF($D605=1,INDEX(TblClusters[CPU min (vCPU)],$B605),"")</f>
        <v/>
      </c>
      <c r="O605" s="19" t="str">
        <f>IF($D605=1,INDEX(TblClusters[RAM min (Go)],$B605),"")</f>
        <v/>
      </c>
      <c r="P605" s="19" t="str">
        <f>IF($D605&lt;&gt;1,"",IF($G605="ROKS",SUMIFS(TblApplications[Besoin ROKS CPU (vCPU)],TblApplications[Cluster ROKS cible],$F605,TblApplications[Action],"À migrer",TblApplications[Déjà incluse ROKS],"Non",TblApplications[Mois prov (calc)],"&lt;="&amp;$E605),SUMIFS(TblApplications[CPU IKS libérable (vCPU)],TblApplications[Cluster IKS source],$F605,TblApplications[Mois lib (calc)],"&lt;="&amp;$E605)))</f>
        <v/>
      </c>
      <c r="Q605" s="19" t="str">
        <f>IF($D605&lt;&gt;1,"",IF($G605="ROKS",SUMIFS(TblApplications[Besoin ROKS RAM (Go)],TblApplications[Cluster ROKS cible],$F605,TblApplications[Action],"À migrer",TblApplications[Déjà incluse ROKS],"Non",TblApplications[Mois prov (calc)],"&lt;="&amp;$E605),SUMIFS(TblApplications[RAM IKS libérable (Go)],TblApplications[Cluster IKS source],$F605,TblApplications[Mois lib (calc)],"&lt;="&amp;$E605)))</f>
        <v/>
      </c>
      <c r="R605" s="19" t="str">
        <f t="shared" si="156"/>
        <v/>
      </c>
      <c r="S605" s="19" t="str">
        <f t="shared" si="157"/>
        <v/>
      </c>
      <c r="T605" s="19" t="str">
        <f t="shared" si="158"/>
        <v/>
      </c>
      <c r="U605" s="19" t="str">
        <f t="shared" si="159"/>
        <v/>
      </c>
      <c r="V605" s="19" t="str">
        <f t="shared" si="160"/>
        <v/>
      </c>
      <c r="W605" s="73" t="str">
        <f t="shared" si="161"/>
        <v/>
      </c>
      <c r="X605" s="19" t="str">
        <f>IF($D605&lt;&gt;1,"",IF($G605="ROKS",$R605,IF($AI605=1,0,MAX($N605,$L605-SUMIFS(TblApplications[CPU IKS libérable (vCPU)],TblApplications[Cluster IKS source],$F605,TblApplications[Action],"À migrer",TblApplications[Mois prov (calc)],"&lt;="&amp;$E605)-SUMIFS(TblApplications[CPU IKS libérable (vCPU)],TblApplications[Cluster IKS source],$F605,TblApplications[Action],"À décommissionner",TblApplications[Mois lib (calc)],"&lt;="&amp;$E605)))))</f>
        <v/>
      </c>
      <c r="Y605" s="19" t="str">
        <f>IF($D605&lt;&gt;1,"",IF($G605="ROKS",$S605,IF($AI605=1,0,MAX($O605,$M605-SUMIFS(TblApplications[RAM IKS libérable (Go)],TblApplications[Cluster IKS source],$F605,TblApplications[Action],"À migrer",TblApplications[Mois prov (calc)],"&lt;="&amp;$E605)-SUMIFS(TblApplications[RAM IKS libérable (Go)],TblApplications[Cluster IKS source],$F605,TblApplications[Action],"À décommissionner",TblApplications[Mois lib (calc)],"&lt;="&amp;$E605)))))</f>
        <v/>
      </c>
      <c r="Z605" s="19" t="str">
        <f t="shared" si="162"/>
        <v/>
      </c>
      <c r="AA605" s="73" t="str">
        <f t="shared" si="163"/>
        <v/>
      </c>
      <c r="AB605" s="19" t="str">
        <f t="shared" si="164"/>
        <v/>
      </c>
      <c r="AC605" s="73" t="str">
        <f t="shared" si="165"/>
        <v/>
      </c>
      <c r="AD605" s="19" t="str">
        <f t="shared" si="166"/>
        <v/>
      </c>
      <c r="AE605" s="19" t="str">
        <f t="shared" si="167"/>
        <v/>
      </c>
      <c r="AF605" s="19" t="str">
        <f>IF($D605&lt;&gt;1,"",IF(INDEX(TblClusters[Environnement],$B605)="","(vide)",INDEX(TblClusters[Environnement],$B605)))</f>
        <v/>
      </c>
      <c r="AG605" s="19" t="str">
        <f t="shared" si="168"/>
        <v/>
      </c>
      <c r="AH605" s="19" t="str">
        <f t="shared" si="169"/>
        <v/>
      </c>
      <c r="AI605" s="19" t="str">
        <f>IF($D605&lt;&gt;1,"",IF(AND($G605="IKS",ISNUMBER(INDEX(TblClusters[Fermeture retenue],$B605))),IF($E605&gt;=INDEX(TblClusters[Fermeture retenue],$B605),1,0),0))</f>
        <v/>
      </c>
    </row>
    <row r="606" spans="1:35" x14ac:dyDescent="0.2">
      <c r="A606" s="19">
        <v>601</v>
      </c>
      <c r="B606" s="19">
        <f t="shared" si="153"/>
        <v>17</v>
      </c>
      <c r="C606" s="19">
        <f t="shared" si="154"/>
        <v>25</v>
      </c>
      <c r="D606" s="19">
        <f>IF($C606&gt;p_horizon,0,IFERROR(IF(AND(INDEX(TblClusters[Cluster],$B606)&lt;&gt;"",ISNUMBER(INDEX(TblClusters[CPU initial (vCPU)],$B606)),ISNUMBER(INDEX(TblClusters[CPU min (vCPU)],$B606)),OR(INDEX(TblClusters[Plateforme],$B606)="IKS",INDEX(TblClusters[Plateforme],$B606)="ROKS")),1,0),0))</f>
        <v>0</v>
      </c>
      <c r="E606" s="72" t="str">
        <f t="shared" si="155"/>
        <v/>
      </c>
      <c r="F606" s="19" t="str">
        <f>IF($D606=1,INDEX(TblClusters[Cluster],$B606),"")</f>
        <v/>
      </c>
      <c r="G606" s="19" t="str">
        <f>IF($D606=1,INDEX(TblClusters[Plateforme],$B606),"")</f>
        <v/>
      </c>
      <c r="H606" s="19" t="str">
        <f>IF($D606=1,INDEX(TblClusters[vCPU par nœud],$B606),"")</f>
        <v/>
      </c>
      <c r="I606" s="19" t="str">
        <f>IF($D606=1,INDEX(TblClusters[RAM par nœud (Go)],$B606),"")</f>
        <v/>
      </c>
      <c r="J606" s="19" t="str">
        <f>IF($D606=1,INDEX(TblClusters[Workers min],$B606),"")</f>
        <v/>
      </c>
      <c r="K606" s="73" t="str">
        <f>IF($D606=1,INDEX(TblClusters[Tarif par nœud],$B606),"")</f>
        <v/>
      </c>
      <c r="L606" s="19" t="str">
        <f>IF($D606=1,INDEX(TblClusters[CPU initial (vCPU)],$B606),"")</f>
        <v/>
      </c>
      <c r="M606" s="19" t="str">
        <f>IF($D606=1,INDEX(TblClusters[RAM initiale (Go)],$B606),"")</f>
        <v/>
      </c>
      <c r="N606" s="19" t="str">
        <f>IF($D606=1,INDEX(TblClusters[CPU min (vCPU)],$B606),"")</f>
        <v/>
      </c>
      <c r="O606" s="19" t="str">
        <f>IF($D606=1,INDEX(TblClusters[RAM min (Go)],$B606),"")</f>
        <v/>
      </c>
      <c r="P606" s="19" t="str">
        <f>IF($D606&lt;&gt;1,"",IF($G606="ROKS",SUMIFS(TblApplications[Besoin ROKS CPU (vCPU)],TblApplications[Cluster ROKS cible],$F606,TblApplications[Action],"À migrer",TblApplications[Déjà incluse ROKS],"Non",TblApplications[Mois prov (calc)],"&lt;="&amp;$E606),SUMIFS(TblApplications[CPU IKS libérable (vCPU)],TblApplications[Cluster IKS source],$F606,TblApplications[Mois lib (calc)],"&lt;="&amp;$E606)))</f>
        <v/>
      </c>
      <c r="Q606" s="19" t="str">
        <f>IF($D606&lt;&gt;1,"",IF($G606="ROKS",SUMIFS(TblApplications[Besoin ROKS RAM (Go)],TblApplications[Cluster ROKS cible],$F606,TblApplications[Action],"À migrer",TblApplications[Déjà incluse ROKS],"Non",TblApplications[Mois prov (calc)],"&lt;="&amp;$E606),SUMIFS(TblApplications[RAM IKS libérable (Go)],TblApplications[Cluster IKS source],$F606,TblApplications[Mois lib (calc)],"&lt;="&amp;$E606)))</f>
        <v/>
      </c>
      <c r="R606" s="19" t="str">
        <f t="shared" si="156"/>
        <v/>
      </c>
      <c r="S606" s="19" t="str">
        <f t="shared" si="157"/>
        <v/>
      </c>
      <c r="T606" s="19" t="str">
        <f t="shared" si="158"/>
        <v/>
      </c>
      <c r="U606" s="19" t="str">
        <f t="shared" si="159"/>
        <v/>
      </c>
      <c r="V606" s="19" t="str">
        <f t="shared" si="160"/>
        <v/>
      </c>
      <c r="W606" s="73" t="str">
        <f t="shared" si="161"/>
        <v/>
      </c>
      <c r="X606" s="19" t="str">
        <f>IF($D606&lt;&gt;1,"",IF($G606="ROKS",$R606,IF($AI606=1,0,MAX($N606,$L606-SUMIFS(TblApplications[CPU IKS libérable (vCPU)],TblApplications[Cluster IKS source],$F606,TblApplications[Action],"À migrer",TblApplications[Mois prov (calc)],"&lt;="&amp;$E606)-SUMIFS(TblApplications[CPU IKS libérable (vCPU)],TblApplications[Cluster IKS source],$F606,TblApplications[Action],"À décommissionner",TblApplications[Mois lib (calc)],"&lt;="&amp;$E606)))))</f>
        <v/>
      </c>
      <c r="Y606" s="19" t="str">
        <f>IF($D606&lt;&gt;1,"",IF($G606="ROKS",$S606,IF($AI606=1,0,MAX($O606,$M606-SUMIFS(TblApplications[RAM IKS libérable (Go)],TblApplications[Cluster IKS source],$F606,TblApplications[Action],"À migrer",TblApplications[Mois prov (calc)],"&lt;="&amp;$E606)-SUMIFS(TblApplications[RAM IKS libérable (Go)],TblApplications[Cluster IKS source],$F606,TblApplications[Action],"À décommissionner",TblApplications[Mois lib (calc)],"&lt;="&amp;$E606)))))</f>
        <v/>
      </c>
      <c r="Z606" s="19" t="str">
        <f t="shared" si="162"/>
        <v/>
      </c>
      <c r="AA606" s="73" t="str">
        <f t="shared" si="163"/>
        <v/>
      </c>
      <c r="AB606" s="19" t="str">
        <f t="shared" si="164"/>
        <v/>
      </c>
      <c r="AC606" s="73" t="str">
        <f t="shared" si="165"/>
        <v/>
      </c>
      <c r="AD606" s="19" t="str">
        <f t="shared" si="166"/>
        <v/>
      </c>
      <c r="AE606" s="19" t="str">
        <f t="shared" si="167"/>
        <v/>
      </c>
      <c r="AF606" s="19" t="str">
        <f>IF($D606&lt;&gt;1,"",IF(INDEX(TblClusters[Environnement],$B606)="","(vide)",INDEX(TblClusters[Environnement],$B606)))</f>
        <v/>
      </c>
      <c r="AG606" s="19" t="str">
        <f t="shared" si="168"/>
        <v/>
      </c>
      <c r="AH606" s="19" t="str">
        <f t="shared" si="169"/>
        <v/>
      </c>
      <c r="AI606" s="19" t="str">
        <f>IF($D606&lt;&gt;1,"",IF(AND($G606="IKS",ISNUMBER(INDEX(TblClusters[Fermeture retenue],$B606))),IF($E606&gt;=INDEX(TblClusters[Fermeture retenue],$B606),1,0),0))</f>
        <v/>
      </c>
    </row>
    <row r="607" spans="1:35" x14ac:dyDescent="0.2">
      <c r="A607" s="19">
        <v>602</v>
      </c>
      <c r="B607" s="19">
        <f t="shared" si="153"/>
        <v>17</v>
      </c>
      <c r="C607" s="19">
        <f t="shared" si="154"/>
        <v>26</v>
      </c>
      <c r="D607" s="19">
        <f>IF($C607&gt;p_horizon,0,IFERROR(IF(AND(INDEX(TblClusters[Cluster],$B607)&lt;&gt;"",ISNUMBER(INDEX(TblClusters[CPU initial (vCPU)],$B607)),ISNUMBER(INDEX(TblClusters[CPU min (vCPU)],$B607)),OR(INDEX(TblClusters[Plateforme],$B607)="IKS",INDEX(TblClusters[Plateforme],$B607)="ROKS")),1,0),0))</f>
        <v>0</v>
      </c>
      <c r="E607" s="72" t="str">
        <f t="shared" si="155"/>
        <v/>
      </c>
      <c r="F607" s="19" t="str">
        <f>IF($D607=1,INDEX(TblClusters[Cluster],$B607),"")</f>
        <v/>
      </c>
      <c r="G607" s="19" t="str">
        <f>IF($D607=1,INDEX(TblClusters[Plateforme],$B607),"")</f>
        <v/>
      </c>
      <c r="H607" s="19" t="str">
        <f>IF($D607=1,INDEX(TblClusters[vCPU par nœud],$B607),"")</f>
        <v/>
      </c>
      <c r="I607" s="19" t="str">
        <f>IF($D607=1,INDEX(TblClusters[RAM par nœud (Go)],$B607),"")</f>
        <v/>
      </c>
      <c r="J607" s="19" t="str">
        <f>IF($D607=1,INDEX(TblClusters[Workers min],$B607),"")</f>
        <v/>
      </c>
      <c r="K607" s="73" t="str">
        <f>IF($D607=1,INDEX(TblClusters[Tarif par nœud],$B607),"")</f>
        <v/>
      </c>
      <c r="L607" s="19" t="str">
        <f>IF($D607=1,INDEX(TblClusters[CPU initial (vCPU)],$B607),"")</f>
        <v/>
      </c>
      <c r="M607" s="19" t="str">
        <f>IF($D607=1,INDEX(TblClusters[RAM initiale (Go)],$B607),"")</f>
        <v/>
      </c>
      <c r="N607" s="19" t="str">
        <f>IF($D607=1,INDEX(TblClusters[CPU min (vCPU)],$B607),"")</f>
        <v/>
      </c>
      <c r="O607" s="19" t="str">
        <f>IF($D607=1,INDEX(TblClusters[RAM min (Go)],$B607),"")</f>
        <v/>
      </c>
      <c r="P607" s="19" t="str">
        <f>IF($D607&lt;&gt;1,"",IF($G607="ROKS",SUMIFS(TblApplications[Besoin ROKS CPU (vCPU)],TblApplications[Cluster ROKS cible],$F607,TblApplications[Action],"À migrer",TblApplications[Déjà incluse ROKS],"Non",TblApplications[Mois prov (calc)],"&lt;="&amp;$E607),SUMIFS(TblApplications[CPU IKS libérable (vCPU)],TblApplications[Cluster IKS source],$F607,TblApplications[Mois lib (calc)],"&lt;="&amp;$E607)))</f>
        <v/>
      </c>
      <c r="Q607" s="19" t="str">
        <f>IF($D607&lt;&gt;1,"",IF($G607="ROKS",SUMIFS(TblApplications[Besoin ROKS RAM (Go)],TblApplications[Cluster ROKS cible],$F607,TblApplications[Action],"À migrer",TblApplications[Déjà incluse ROKS],"Non",TblApplications[Mois prov (calc)],"&lt;="&amp;$E607),SUMIFS(TblApplications[RAM IKS libérable (Go)],TblApplications[Cluster IKS source],$F607,TblApplications[Mois lib (calc)],"&lt;="&amp;$E607)))</f>
        <v/>
      </c>
      <c r="R607" s="19" t="str">
        <f t="shared" si="156"/>
        <v/>
      </c>
      <c r="S607" s="19" t="str">
        <f t="shared" si="157"/>
        <v/>
      </c>
      <c r="T607" s="19" t="str">
        <f t="shared" si="158"/>
        <v/>
      </c>
      <c r="U607" s="19" t="str">
        <f t="shared" si="159"/>
        <v/>
      </c>
      <c r="V607" s="19" t="str">
        <f t="shared" si="160"/>
        <v/>
      </c>
      <c r="W607" s="73" t="str">
        <f t="shared" si="161"/>
        <v/>
      </c>
      <c r="X607" s="19" t="str">
        <f>IF($D607&lt;&gt;1,"",IF($G607="ROKS",$R607,IF($AI607=1,0,MAX($N607,$L607-SUMIFS(TblApplications[CPU IKS libérable (vCPU)],TblApplications[Cluster IKS source],$F607,TblApplications[Action],"À migrer",TblApplications[Mois prov (calc)],"&lt;="&amp;$E607)-SUMIFS(TblApplications[CPU IKS libérable (vCPU)],TblApplications[Cluster IKS source],$F607,TblApplications[Action],"À décommissionner",TblApplications[Mois lib (calc)],"&lt;="&amp;$E607)))))</f>
        <v/>
      </c>
      <c r="Y607" s="19" t="str">
        <f>IF($D607&lt;&gt;1,"",IF($G607="ROKS",$S607,IF($AI607=1,0,MAX($O607,$M607-SUMIFS(TblApplications[RAM IKS libérable (Go)],TblApplications[Cluster IKS source],$F607,TblApplications[Action],"À migrer",TblApplications[Mois prov (calc)],"&lt;="&amp;$E607)-SUMIFS(TblApplications[RAM IKS libérable (Go)],TblApplications[Cluster IKS source],$F607,TblApplications[Action],"À décommissionner",TblApplications[Mois lib (calc)],"&lt;="&amp;$E607)))))</f>
        <v/>
      </c>
      <c r="Z607" s="19" t="str">
        <f t="shared" si="162"/>
        <v/>
      </c>
      <c r="AA607" s="73" t="str">
        <f t="shared" si="163"/>
        <v/>
      </c>
      <c r="AB607" s="19" t="str">
        <f t="shared" si="164"/>
        <v/>
      </c>
      <c r="AC607" s="73" t="str">
        <f t="shared" si="165"/>
        <v/>
      </c>
      <c r="AD607" s="19" t="str">
        <f t="shared" si="166"/>
        <v/>
      </c>
      <c r="AE607" s="19" t="str">
        <f t="shared" si="167"/>
        <v/>
      </c>
      <c r="AF607" s="19" t="str">
        <f>IF($D607&lt;&gt;1,"",IF(INDEX(TblClusters[Environnement],$B607)="","(vide)",INDEX(TblClusters[Environnement],$B607)))</f>
        <v/>
      </c>
      <c r="AG607" s="19" t="str">
        <f t="shared" si="168"/>
        <v/>
      </c>
      <c r="AH607" s="19" t="str">
        <f t="shared" si="169"/>
        <v/>
      </c>
      <c r="AI607" s="19" t="str">
        <f>IF($D607&lt;&gt;1,"",IF(AND($G607="IKS",ISNUMBER(INDEX(TblClusters[Fermeture retenue],$B607))),IF($E607&gt;=INDEX(TblClusters[Fermeture retenue],$B607),1,0),0))</f>
        <v/>
      </c>
    </row>
    <row r="608" spans="1:35" x14ac:dyDescent="0.2">
      <c r="A608" s="19">
        <v>603</v>
      </c>
      <c r="B608" s="19">
        <f t="shared" si="153"/>
        <v>17</v>
      </c>
      <c r="C608" s="19">
        <f t="shared" si="154"/>
        <v>27</v>
      </c>
      <c r="D608" s="19">
        <f>IF($C608&gt;p_horizon,0,IFERROR(IF(AND(INDEX(TblClusters[Cluster],$B608)&lt;&gt;"",ISNUMBER(INDEX(TblClusters[CPU initial (vCPU)],$B608)),ISNUMBER(INDEX(TblClusters[CPU min (vCPU)],$B608)),OR(INDEX(TblClusters[Plateforme],$B608)="IKS",INDEX(TblClusters[Plateforme],$B608)="ROKS")),1,0),0))</f>
        <v>0</v>
      </c>
      <c r="E608" s="72" t="str">
        <f t="shared" si="155"/>
        <v/>
      </c>
      <c r="F608" s="19" t="str">
        <f>IF($D608=1,INDEX(TblClusters[Cluster],$B608),"")</f>
        <v/>
      </c>
      <c r="G608" s="19" t="str">
        <f>IF($D608=1,INDEX(TblClusters[Plateforme],$B608),"")</f>
        <v/>
      </c>
      <c r="H608" s="19" t="str">
        <f>IF($D608=1,INDEX(TblClusters[vCPU par nœud],$B608),"")</f>
        <v/>
      </c>
      <c r="I608" s="19" t="str">
        <f>IF($D608=1,INDEX(TblClusters[RAM par nœud (Go)],$B608),"")</f>
        <v/>
      </c>
      <c r="J608" s="19" t="str">
        <f>IF($D608=1,INDEX(TblClusters[Workers min],$B608),"")</f>
        <v/>
      </c>
      <c r="K608" s="73" t="str">
        <f>IF($D608=1,INDEX(TblClusters[Tarif par nœud],$B608),"")</f>
        <v/>
      </c>
      <c r="L608" s="19" t="str">
        <f>IF($D608=1,INDEX(TblClusters[CPU initial (vCPU)],$B608),"")</f>
        <v/>
      </c>
      <c r="M608" s="19" t="str">
        <f>IF($D608=1,INDEX(TblClusters[RAM initiale (Go)],$B608),"")</f>
        <v/>
      </c>
      <c r="N608" s="19" t="str">
        <f>IF($D608=1,INDEX(TblClusters[CPU min (vCPU)],$B608),"")</f>
        <v/>
      </c>
      <c r="O608" s="19" t="str">
        <f>IF($D608=1,INDEX(TblClusters[RAM min (Go)],$B608),"")</f>
        <v/>
      </c>
      <c r="P608" s="19" t="str">
        <f>IF($D608&lt;&gt;1,"",IF($G608="ROKS",SUMIFS(TblApplications[Besoin ROKS CPU (vCPU)],TblApplications[Cluster ROKS cible],$F608,TblApplications[Action],"À migrer",TblApplications[Déjà incluse ROKS],"Non",TblApplications[Mois prov (calc)],"&lt;="&amp;$E608),SUMIFS(TblApplications[CPU IKS libérable (vCPU)],TblApplications[Cluster IKS source],$F608,TblApplications[Mois lib (calc)],"&lt;="&amp;$E608)))</f>
        <v/>
      </c>
      <c r="Q608" s="19" t="str">
        <f>IF($D608&lt;&gt;1,"",IF($G608="ROKS",SUMIFS(TblApplications[Besoin ROKS RAM (Go)],TblApplications[Cluster ROKS cible],$F608,TblApplications[Action],"À migrer",TblApplications[Déjà incluse ROKS],"Non",TblApplications[Mois prov (calc)],"&lt;="&amp;$E608),SUMIFS(TblApplications[RAM IKS libérable (Go)],TblApplications[Cluster IKS source],$F608,TblApplications[Mois lib (calc)],"&lt;="&amp;$E608)))</f>
        <v/>
      </c>
      <c r="R608" s="19" t="str">
        <f t="shared" si="156"/>
        <v/>
      </c>
      <c r="S608" s="19" t="str">
        <f t="shared" si="157"/>
        <v/>
      </c>
      <c r="T608" s="19" t="str">
        <f t="shared" si="158"/>
        <v/>
      </c>
      <c r="U608" s="19" t="str">
        <f t="shared" si="159"/>
        <v/>
      </c>
      <c r="V608" s="19" t="str">
        <f t="shared" si="160"/>
        <v/>
      </c>
      <c r="W608" s="73" t="str">
        <f t="shared" si="161"/>
        <v/>
      </c>
      <c r="X608" s="19" t="str">
        <f>IF($D608&lt;&gt;1,"",IF($G608="ROKS",$R608,IF($AI608=1,0,MAX($N608,$L608-SUMIFS(TblApplications[CPU IKS libérable (vCPU)],TblApplications[Cluster IKS source],$F608,TblApplications[Action],"À migrer",TblApplications[Mois prov (calc)],"&lt;="&amp;$E608)-SUMIFS(TblApplications[CPU IKS libérable (vCPU)],TblApplications[Cluster IKS source],$F608,TblApplications[Action],"À décommissionner",TblApplications[Mois lib (calc)],"&lt;="&amp;$E608)))))</f>
        <v/>
      </c>
      <c r="Y608" s="19" t="str">
        <f>IF($D608&lt;&gt;1,"",IF($G608="ROKS",$S608,IF($AI608=1,0,MAX($O608,$M608-SUMIFS(TblApplications[RAM IKS libérable (Go)],TblApplications[Cluster IKS source],$F608,TblApplications[Action],"À migrer",TblApplications[Mois prov (calc)],"&lt;="&amp;$E608)-SUMIFS(TblApplications[RAM IKS libérable (Go)],TblApplications[Cluster IKS source],$F608,TblApplications[Action],"À décommissionner",TblApplications[Mois lib (calc)],"&lt;="&amp;$E608)))))</f>
        <v/>
      </c>
      <c r="Z608" s="19" t="str">
        <f t="shared" si="162"/>
        <v/>
      </c>
      <c r="AA608" s="73" t="str">
        <f t="shared" si="163"/>
        <v/>
      </c>
      <c r="AB608" s="19" t="str">
        <f t="shared" si="164"/>
        <v/>
      </c>
      <c r="AC608" s="73" t="str">
        <f t="shared" si="165"/>
        <v/>
      </c>
      <c r="AD608" s="19" t="str">
        <f t="shared" si="166"/>
        <v/>
      </c>
      <c r="AE608" s="19" t="str">
        <f t="shared" si="167"/>
        <v/>
      </c>
      <c r="AF608" s="19" t="str">
        <f>IF($D608&lt;&gt;1,"",IF(INDEX(TblClusters[Environnement],$B608)="","(vide)",INDEX(TblClusters[Environnement],$B608)))</f>
        <v/>
      </c>
      <c r="AG608" s="19" t="str">
        <f t="shared" si="168"/>
        <v/>
      </c>
      <c r="AH608" s="19" t="str">
        <f t="shared" si="169"/>
        <v/>
      </c>
      <c r="AI608" s="19" t="str">
        <f>IF($D608&lt;&gt;1,"",IF(AND($G608="IKS",ISNUMBER(INDEX(TblClusters[Fermeture retenue],$B608))),IF($E608&gt;=INDEX(TblClusters[Fermeture retenue],$B608),1,0),0))</f>
        <v/>
      </c>
    </row>
    <row r="609" spans="1:35" x14ac:dyDescent="0.2">
      <c r="A609" s="19">
        <v>604</v>
      </c>
      <c r="B609" s="19">
        <f t="shared" si="153"/>
        <v>17</v>
      </c>
      <c r="C609" s="19">
        <f t="shared" si="154"/>
        <v>28</v>
      </c>
      <c r="D609" s="19">
        <f>IF($C609&gt;p_horizon,0,IFERROR(IF(AND(INDEX(TblClusters[Cluster],$B609)&lt;&gt;"",ISNUMBER(INDEX(TblClusters[CPU initial (vCPU)],$B609)),ISNUMBER(INDEX(TblClusters[CPU min (vCPU)],$B609)),OR(INDEX(TblClusters[Plateforme],$B609)="IKS",INDEX(TblClusters[Plateforme],$B609)="ROKS")),1,0),0))</f>
        <v>0</v>
      </c>
      <c r="E609" s="72" t="str">
        <f t="shared" si="155"/>
        <v/>
      </c>
      <c r="F609" s="19" t="str">
        <f>IF($D609=1,INDEX(TblClusters[Cluster],$B609),"")</f>
        <v/>
      </c>
      <c r="G609" s="19" t="str">
        <f>IF($D609=1,INDEX(TblClusters[Plateforme],$B609),"")</f>
        <v/>
      </c>
      <c r="H609" s="19" t="str">
        <f>IF($D609=1,INDEX(TblClusters[vCPU par nœud],$B609),"")</f>
        <v/>
      </c>
      <c r="I609" s="19" t="str">
        <f>IF($D609=1,INDEX(TblClusters[RAM par nœud (Go)],$B609),"")</f>
        <v/>
      </c>
      <c r="J609" s="19" t="str">
        <f>IF($D609=1,INDEX(TblClusters[Workers min],$B609),"")</f>
        <v/>
      </c>
      <c r="K609" s="73" t="str">
        <f>IF($D609=1,INDEX(TblClusters[Tarif par nœud],$B609),"")</f>
        <v/>
      </c>
      <c r="L609" s="19" t="str">
        <f>IF($D609=1,INDEX(TblClusters[CPU initial (vCPU)],$B609),"")</f>
        <v/>
      </c>
      <c r="M609" s="19" t="str">
        <f>IF($D609=1,INDEX(TblClusters[RAM initiale (Go)],$B609),"")</f>
        <v/>
      </c>
      <c r="N609" s="19" t="str">
        <f>IF($D609=1,INDEX(TblClusters[CPU min (vCPU)],$B609),"")</f>
        <v/>
      </c>
      <c r="O609" s="19" t="str">
        <f>IF($D609=1,INDEX(TblClusters[RAM min (Go)],$B609),"")</f>
        <v/>
      </c>
      <c r="P609" s="19" t="str">
        <f>IF($D609&lt;&gt;1,"",IF($G609="ROKS",SUMIFS(TblApplications[Besoin ROKS CPU (vCPU)],TblApplications[Cluster ROKS cible],$F609,TblApplications[Action],"À migrer",TblApplications[Déjà incluse ROKS],"Non",TblApplications[Mois prov (calc)],"&lt;="&amp;$E609),SUMIFS(TblApplications[CPU IKS libérable (vCPU)],TblApplications[Cluster IKS source],$F609,TblApplications[Mois lib (calc)],"&lt;="&amp;$E609)))</f>
        <v/>
      </c>
      <c r="Q609" s="19" t="str">
        <f>IF($D609&lt;&gt;1,"",IF($G609="ROKS",SUMIFS(TblApplications[Besoin ROKS RAM (Go)],TblApplications[Cluster ROKS cible],$F609,TblApplications[Action],"À migrer",TblApplications[Déjà incluse ROKS],"Non",TblApplications[Mois prov (calc)],"&lt;="&amp;$E609),SUMIFS(TblApplications[RAM IKS libérable (Go)],TblApplications[Cluster IKS source],$F609,TblApplications[Mois lib (calc)],"&lt;="&amp;$E609)))</f>
        <v/>
      </c>
      <c r="R609" s="19" t="str">
        <f t="shared" si="156"/>
        <v/>
      </c>
      <c r="S609" s="19" t="str">
        <f t="shared" si="157"/>
        <v/>
      </c>
      <c r="T609" s="19" t="str">
        <f t="shared" si="158"/>
        <v/>
      </c>
      <c r="U609" s="19" t="str">
        <f t="shared" si="159"/>
        <v/>
      </c>
      <c r="V609" s="19" t="str">
        <f t="shared" si="160"/>
        <v/>
      </c>
      <c r="W609" s="73" t="str">
        <f t="shared" si="161"/>
        <v/>
      </c>
      <c r="X609" s="19" t="str">
        <f>IF($D609&lt;&gt;1,"",IF($G609="ROKS",$R609,IF($AI609=1,0,MAX($N609,$L609-SUMIFS(TblApplications[CPU IKS libérable (vCPU)],TblApplications[Cluster IKS source],$F609,TblApplications[Action],"À migrer",TblApplications[Mois prov (calc)],"&lt;="&amp;$E609)-SUMIFS(TblApplications[CPU IKS libérable (vCPU)],TblApplications[Cluster IKS source],$F609,TblApplications[Action],"À décommissionner",TblApplications[Mois lib (calc)],"&lt;="&amp;$E609)))))</f>
        <v/>
      </c>
      <c r="Y609" s="19" t="str">
        <f>IF($D609&lt;&gt;1,"",IF($G609="ROKS",$S609,IF($AI609=1,0,MAX($O609,$M609-SUMIFS(TblApplications[RAM IKS libérable (Go)],TblApplications[Cluster IKS source],$F609,TblApplications[Action],"À migrer",TblApplications[Mois prov (calc)],"&lt;="&amp;$E609)-SUMIFS(TblApplications[RAM IKS libérable (Go)],TblApplications[Cluster IKS source],$F609,TblApplications[Action],"À décommissionner",TblApplications[Mois lib (calc)],"&lt;="&amp;$E609)))))</f>
        <v/>
      </c>
      <c r="Z609" s="19" t="str">
        <f t="shared" si="162"/>
        <v/>
      </c>
      <c r="AA609" s="73" t="str">
        <f t="shared" si="163"/>
        <v/>
      </c>
      <c r="AB609" s="19" t="str">
        <f t="shared" si="164"/>
        <v/>
      </c>
      <c r="AC609" s="73" t="str">
        <f t="shared" si="165"/>
        <v/>
      </c>
      <c r="AD609" s="19" t="str">
        <f t="shared" si="166"/>
        <v/>
      </c>
      <c r="AE609" s="19" t="str">
        <f t="shared" si="167"/>
        <v/>
      </c>
      <c r="AF609" s="19" t="str">
        <f>IF($D609&lt;&gt;1,"",IF(INDEX(TblClusters[Environnement],$B609)="","(vide)",INDEX(TblClusters[Environnement],$B609)))</f>
        <v/>
      </c>
      <c r="AG609" s="19" t="str">
        <f t="shared" si="168"/>
        <v/>
      </c>
      <c r="AH609" s="19" t="str">
        <f t="shared" si="169"/>
        <v/>
      </c>
      <c r="AI609" s="19" t="str">
        <f>IF($D609&lt;&gt;1,"",IF(AND($G609="IKS",ISNUMBER(INDEX(TblClusters[Fermeture retenue],$B609))),IF($E609&gt;=INDEX(TblClusters[Fermeture retenue],$B609),1,0),0))</f>
        <v/>
      </c>
    </row>
    <row r="610" spans="1:35" x14ac:dyDescent="0.2">
      <c r="A610" s="19">
        <v>605</v>
      </c>
      <c r="B610" s="19">
        <f t="shared" si="153"/>
        <v>17</v>
      </c>
      <c r="C610" s="19">
        <f t="shared" si="154"/>
        <v>29</v>
      </c>
      <c r="D610" s="19">
        <f>IF($C610&gt;p_horizon,0,IFERROR(IF(AND(INDEX(TblClusters[Cluster],$B610)&lt;&gt;"",ISNUMBER(INDEX(TblClusters[CPU initial (vCPU)],$B610)),ISNUMBER(INDEX(TblClusters[CPU min (vCPU)],$B610)),OR(INDEX(TblClusters[Plateforme],$B610)="IKS",INDEX(TblClusters[Plateforme],$B610)="ROKS")),1,0),0))</f>
        <v>0</v>
      </c>
      <c r="E610" s="72" t="str">
        <f t="shared" si="155"/>
        <v/>
      </c>
      <c r="F610" s="19" t="str">
        <f>IF($D610=1,INDEX(TblClusters[Cluster],$B610),"")</f>
        <v/>
      </c>
      <c r="G610" s="19" t="str">
        <f>IF($D610=1,INDEX(TblClusters[Plateforme],$B610),"")</f>
        <v/>
      </c>
      <c r="H610" s="19" t="str">
        <f>IF($D610=1,INDEX(TblClusters[vCPU par nœud],$B610),"")</f>
        <v/>
      </c>
      <c r="I610" s="19" t="str">
        <f>IF($D610=1,INDEX(TblClusters[RAM par nœud (Go)],$B610),"")</f>
        <v/>
      </c>
      <c r="J610" s="19" t="str">
        <f>IF($D610=1,INDEX(TblClusters[Workers min],$B610),"")</f>
        <v/>
      </c>
      <c r="K610" s="73" t="str">
        <f>IF($D610=1,INDEX(TblClusters[Tarif par nœud],$B610),"")</f>
        <v/>
      </c>
      <c r="L610" s="19" t="str">
        <f>IF($D610=1,INDEX(TblClusters[CPU initial (vCPU)],$B610),"")</f>
        <v/>
      </c>
      <c r="M610" s="19" t="str">
        <f>IF($D610=1,INDEX(TblClusters[RAM initiale (Go)],$B610),"")</f>
        <v/>
      </c>
      <c r="N610" s="19" t="str">
        <f>IF($D610=1,INDEX(TblClusters[CPU min (vCPU)],$B610),"")</f>
        <v/>
      </c>
      <c r="O610" s="19" t="str">
        <f>IF($D610=1,INDEX(TblClusters[RAM min (Go)],$B610),"")</f>
        <v/>
      </c>
      <c r="P610" s="19" t="str">
        <f>IF($D610&lt;&gt;1,"",IF($G610="ROKS",SUMIFS(TblApplications[Besoin ROKS CPU (vCPU)],TblApplications[Cluster ROKS cible],$F610,TblApplications[Action],"À migrer",TblApplications[Déjà incluse ROKS],"Non",TblApplications[Mois prov (calc)],"&lt;="&amp;$E610),SUMIFS(TblApplications[CPU IKS libérable (vCPU)],TblApplications[Cluster IKS source],$F610,TblApplications[Mois lib (calc)],"&lt;="&amp;$E610)))</f>
        <v/>
      </c>
      <c r="Q610" s="19" t="str">
        <f>IF($D610&lt;&gt;1,"",IF($G610="ROKS",SUMIFS(TblApplications[Besoin ROKS RAM (Go)],TblApplications[Cluster ROKS cible],$F610,TblApplications[Action],"À migrer",TblApplications[Déjà incluse ROKS],"Non",TblApplications[Mois prov (calc)],"&lt;="&amp;$E610),SUMIFS(TblApplications[RAM IKS libérable (Go)],TblApplications[Cluster IKS source],$F610,TblApplications[Mois lib (calc)],"&lt;="&amp;$E610)))</f>
        <v/>
      </c>
      <c r="R610" s="19" t="str">
        <f t="shared" si="156"/>
        <v/>
      </c>
      <c r="S610" s="19" t="str">
        <f t="shared" si="157"/>
        <v/>
      </c>
      <c r="T610" s="19" t="str">
        <f t="shared" si="158"/>
        <v/>
      </c>
      <c r="U610" s="19" t="str">
        <f t="shared" si="159"/>
        <v/>
      </c>
      <c r="V610" s="19" t="str">
        <f t="shared" si="160"/>
        <v/>
      </c>
      <c r="W610" s="73" t="str">
        <f t="shared" si="161"/>
        <v/>
      </c>
      <c r="X610" s="19" t="str">
        <f>IF($D610&lt;&gt;1,"",IF($G610="ROKS",$R610,IF($AI610=1,0,MAX($N610,$L610-SUMIFS(TblApplications[CPU IKS libérable (vCPU)],TblApplications[Cluster IKS source],$F610,TblApplications[Action],"À migrer",TblApplications[Mois prov (calc)],"&lt;="&amp;$E610)-SUMIFS(TblApplications[CPU IKS libérable (vCPU)],TblApplications[Cluster IKS source],$F610,TblApplications[Action],"À décommissionner",TblApplications[Mois lib (calc)],"&lt;="&amp;$E610)))))</f>
        <v/>
      </c>
      <c r="Y610" s="19" t="str">
        <f>IF($D610&lt;&gt;1,"",IF($G610="ROKS",$S610,IF($AI610=1,0,MAX($O610,$M610-SUMIFS(TblApplications[RAM IKS libérable (Go)],TblApplications[Cluster IKS source],$F610,TblApplications[Action],"À migrer",TblApplications[Mois prov (calc)],"&lt;="&amp;$E610)-SUMIFS(TblApplications[RAM IKS libérable (Go)],TblApplications[Cluster IKS source],$F610,TblApplications[Action],"À décommissionner",TblApplications[Mois lib (calc)],"&lt;="&amp;$E610)))))</f>
        <v/>
      </c>
      <c r="Z610" s="19" t="str">
        <f t="shared" si="162"/>
        <v/>
      </c>
      <c r="AA610" s="73" t="str">
        <f t="shared" si="163"/>
        <v/>
      </c>
      <c r="AB610" s="19" t="str">
        <f t="shared" si="164"/>
        <v/>
      </c>
      <c r="AC610" s="73" t="str">
        <f t="shared" si="165"/>
        <v/>
      </c>
      <c r="AD610" s="19" t="str">
        <f t="shared" si="166"/>
        <v/>
      </c>
      <c r="AE610" s="19" t="str">
        <f t="shared" si="167"/>
        <v/>
      </c>
      <c r="AF610" s="19" t="str">
        <f>IF($D610&lt;&gt;1,"",IF(INDEX(TblClusters[Environnement],$B610)="","(vide)",INDEX(TblClusters[Environnement],$B610)))</f>
        <v/>
      </c>
      <c r="AG610" s="19" t="str">
        <f t="shared" si="168"/>
        <v/>
      </c>
      <c r="AH610" s="19" t="str">
        <f t="shared" si="169"/>
        <v/>
      </c>
      <c r="AI610" s="19" t="str">
        <f>IF($D610&lt;&gt;1,"",IF(AND($G610="IKS",ISNUMBER(INDEX(TblClusters[Fermeture retenue],$B610))),IF($E610&gt;=INDEX(TblClusters[Fermeture retenue],$B610),1,0),0))</f>
        <v/>
      </c>
    </row>
    <row r="611" spans="1:35" x14ac:dyDescent="0.2">
      <c r="A611" s="19">
        <v>606</v>
      </c>
      <c r="B611" s="19">
        <f t="shared" si="153"/>
        <v>17</v>
      </c>
      <c r="C611" s="19">
        <f t="shared" si="154"/>
        <v>30</v>
      </c>
      <c r="D611" s="19">
        <f>IF($C611&gt;p_horizon,0,IFERROR(IF(AND(INDEX(TblClusters[Cluster],$B611)&lt;&gt;"",ISNUMBER(INDEX(TblClusters[CPU initial (vCPU)],$B611)),ISNUMBER(INDEX(TblClusters[CPU min (vCPU)],$B611)),OR(INDEX(TblClusters[Plateforme],$B611)="IKS",INDEX(TblClusters[Plateforme],$B611)="ROKS")),1,0),0))</f>
        <v>0</v>
      </c>
      <c r="E611" s="72" t="str">
        <f t="shared" si="155"/>
        <v/>
      </c>
      <c r="F611" s="19" t="str">
        <f>IF($D611=1,INDEX(TblClusters[Cluster],$B611),"")</f>
        <v/>
      </c>
      <c r="G611" s="19" t="str">
        <f>IF($D611=1,INDEX(TblClusters[Plateforme],$B611),"")</f>
        <v/>
      </c>
      <c r="H611" s="19" t="str">
        <f>IF($D611=1,INDEX(TblClusters[vCPU par nœud],$B611),"")</f>
        <v/>
      </c>
      <c r="I611" s="19" t="str">
        <f>IF($D611=1,INDEX(TblClusters[RAM par nœud (Go)],$B611),"")</f>
        <v/>
      </c>
      <c r="J611" s="19" t="str">
        <f>IF($D611=1,INDEX(TblClusters[Workers min],$B611),"")</f>
        <v/>
      </c>
      <c r="K611" s="73" t="str">
        <f>IF($D611=1,INDEX(TblClusters[Tarif par nœud],$B611),"")</f>
        <v/>
      </c>
      <c r="L611" s="19" t="str">
        <f>IF($D611=1,INDEX(TblClusters[CPU initial (vCPU)],$B611),"")</f>
        <v/>
      </c>
      <c r="M611" s="19" t="str">
        <f>IF($D611=1,INDEX(TblClusters[RAM initiale (Go)],$B611),"")</f>
        <v/>
      </c>
      <c r="N611" s="19" t="str">
        <f>IF($D611=1,INDEX(TblClusters[CPU min (vCPU)],$B611),"")</f>
        <v/>
      </c>
      <c r="O611" s="19" t="str">
        <f>IF($D611=1,INDEX(TblClusters[RAM min (Go)],$B611),"")</f>
        <v/>
      </c>
      <c r="P611" s="19" t="str">
        <f>IF($D611&lt;&gt;1,"",IF($G611="ROKS",SUMIFS(TblApplications[Besoin ROKS CPU (vCPU)],TblApplications[Cluster ROKS cible],$F611,TblApplications[Action],"À migrer",TblApplications[Déjà incluse ROKS],"Non",TblApplications[Mois prov (calc)],"&lt;="&amp;$E611),SUMIFS(TblApplications[CPU IKS libérable (vCPU)],TblApplications[Cluster IKS source],$F611,TblApplications[Mois lib (calc)],"&lt;="&amp;$E611)))</f>
        <v/>
      </c>
      <c r="Q611" s="19" t="str">
        <f>IF($D611&lt;&gt;1,"",IF($G611="ROKS",SUMIFS(TblApplications[Besoin ROKS RAM (Go)],TblApplications[Cluster ROKS cible],$F611,TblApplications[Action],"À migrer",TblApplications[Déjà incluse ROKS],"Non",TblApplications[Mois prov (calc)],"&lt;="&amp;$E611),SUMIFS(TblApplications[RAM IKS libérable (Go)],TblApplications[Cluster IKS source],$F611,TblApplications[Mois lib (calc)],"&lt;="&amp;$E611)))</f>
        <v/>
      </c>
      <c r="R611" s="19" t="str">
        <f t="shared" si="156"/>
        <v/>
      </c>
      <c r="S611" s="19" t="str">
        <f t="shared" si="157"/>
        <v/>
      </c>
      <c r="T611" s="19" t="str">
        <f t="shared" si="158"/>
        <v/>
      </c>
      <c r="U611" s="19" t="str">
        <f t="shared" si="159"/>
        <v/>
      </c>
      <c r="V611" s="19" t="str">
        <f t="shared" si="160"/>
        <v/>
      </c>
      <c r="W611" s="73" t="str">
        <f t="shared" si="161"/>
        <v/>
      </c>
      <c r="X611" s="19" t="str">
        <f>IF($D611&lt;&gt;1,"",IF($G611="ROKS",$R611,IF($AI611=1,0,MAX($N611,$L611-SUMIFS(TblApplications[CPU IKS libérable (vCPU)],TblApplications[Cluster IKS source],$F611,TblApplications[Action],"À migrer",TblApplications[Mois prov (calc)],"&lt;="&amp;$E611)-SUMIFS(TblApplications[CPU IKS libérable (vCPU)],TblApplications[Cluster IKS source],$F611,TblApplications[Action],"À décommissionner",TblApplications[Mois lib (calc)],"&lt;="&amp;$E611)))))</f>
        <v/>
      </c>
      <c r="Y611" s="19" t="str">
        <f>IF($D611&lt;&gt;1,"",IF($G611="ROKS",$S611,IF($AI611=1,0,MAX($O611,$M611-SUMIFS(TblApplications[RAM IKS libérable (Go)],TblApplications[Cluster IKS source],$F611,TblApplications[Action],"À migrer",TblApplications[Mois prov (calc)],"&lt;="&amp;$E611)-SUMIFS(TblApplications[RAM IKS libérable (Go)],TblApplications[Cluster IKS source],$F611,TblApplications[Action],"À décommissionner",TblApplications[Mois lib (calc)],"&lt;="&amp;$E611)))))</f>
        <v/>
      </c>
      <c r="Z611" s="19" t="str">
        <f t="shared" si="162"/>
        <v/>
      </c>
      <c r="AA611" s="73" t="str">
        <f t="shared" si="163"/>
        <v/>
      </c>
      <c r="AB611" s="19" t="str">
        <f t="shared" si="164"/>
        <v/>
      </c>
      <c r="AC611" s="73" t="str">
        <f t="shared" si="165"/>
        <v/>
      </c>
      <c r="AD611" s="19" t="str">
        <f t="shared" si="166"/>
        <v/>
      </c>
      <c r="AE611" s="19" t="str">
        <f t="shared" si="167"/>
        <v/>
      </c>
      <c r="AF611" s="19" t="str">
        <f>IF($D611&lt;&gt;1,"",IF(INDEX(TblClusters[Environnement],$B611)="","(vide)",INDEX(TblClusters[Environnement],$B611)))</f>
        <v/>
      </c>
      <c r="AG611" s="19" t="str">
        <f t="shared" si="168"/>
        <v/>
      </c>
      <c r="AH611" s="19" t="str">
        <f t="shared" si="169"/>
        <v/>
      </c>
      <c r="AI611" s="19" t="str">
        <f>IF($D611&lt;&gt;1,"",IF(AND($G611="IKS",ISNUMBER(INDEX(TblClusters[Fermeture retenue],$B611))),IF($E611&gt;=INDEX(TblClusters[Fermeture retenue],$B611),1,0),0))</f>
        <v/>
      </c>
    </row>
    <row r="612" spans="1:35" x14ac:dyDescent="0.2">
      <c r="A612" s="19">
        <v>607</v>
      </c>
      <c r="B612" s="19">
        <f t="shared" si="153"/>
        <v>17</v>
      </c>
      <c r="C612" s="19">
        <f t="shared" si="154"/>
        <v>31</v>
      </c>
      <c r="D612" s="19">
        <f>IF($C612&gt;p_horizon,0,IFERROR(IF(AND(INDEX(TblClusters[Cluster],$B612)&lt;&gt;"",ISNUMBER(INDEX(TblClusters[CPU initial (vCPU)],$B612)),ISNUMBER(INDEX(TblClusters[CPU min (vCPU)],$B612)),OR(INDEX(TblClusters[Plateforme],$B612)="IKS",INDEX(TblClusters[Plateforme],$B612)="ROKS")),1,0),0))</f>
        <v>0</v>
      </c>
      <c r="E612" s="72" t="str">
        <f t="shared" si="155"/>
        <v/>
      </c>
      <c r="F612" s="19" t="str">
        <f>IF($D612=1,INDEX(TblClusters[Cluster],$B612),"")</f>
        <v/>
      </c>
      <c r="G612" s="19" t="str">
        <f>IF($D612=1,INDEX(TblClusters[Plateforme],$B612),"")</f>
        <v/>
      </c>
      <c r="H612" s="19" t="str">
        <f>IF($D612=1,INDEX(TblClusters[vCPU par nœud],$B612),"")</f>
        <v/>
      </c>
      <c r="I612" s="19" t="str">
        <f>IF($D612=1,INDEX(TblClusters[RAM par nœud (Go)],$B612),"")</f>
        <v/>
      </c>
      <c r="J612" s="19" t="str">
        <f>IF($D612=1,INDEX(TblClusters[Workers min],$B612),"")</f>
        <v/>
      </c>
      <c r="K612" s="73" t="str">
        <f>IF($D612=1,INDEX(TblClusters[Tarif par nœud],$B612),"")</f>
        <v/>
      </c>
      <c r="L612" s="19" t="str">
        <f>IF($D612=1,INDEX(TblClusters[CPU initial (vCPU)],$B612),"")</f>
        <v/>
      </c>
      <c r="M612" s="19" t="str">
        <f>IF($D612=1,INDEX(TblClusters[RAM initiale (Go)],$B612),"")</f>
        <v/>
      </c>
      <c r="N612" s="19" t="str">
        <f>IF($D612=1,INDEX(TblClusters[CPU min (vCPU)],$B612),"")</f>
        <v/>
      </c>
      <c r="O612" s="19" t="str">
        <f>IF($D612=1,INDEX(TblClusters[RAM min (Go)],$B612),"")</f>
        <v/>
      </c>
      <c r="P612" s="19" t="str">
        <f>IF($D612&lt;&gt;1,"",IF($G612="ROKS",SUMIFS(TblApplications[Besoin ROKS CPU (vCPU)],TblApplications[Cluster ROKS cible],$F612,TblApplications[Action],"À migrer",TblApplications[Déjà incluse ROKS],"Non",TblApplications[Mois prov (calc)],"&lt;="&amp;$E612),SUMIFS(TblApplications[CPU IKS libérable (vCPU)],TblApplications[Cluster IKS source],$F612,TblApplications[Mois lib (calc)],"&lt;="&amp;$E612)))</f>
        <v/>
      </c>
      <c r="Q612" s="19" t="str">
        <f>IF($D612&lt;&gt;1,"",IF($G612="ROKS",SUMIFS(TblApplications[Besoin ROKS RAM (Go)],TblApplications[Cluster ROKS cible],$F612,TblApplications[Action],"À migrer",TblApplications[Déjà incluse ROKS],"Non",TblApplications[Mois prov (calc)],"&lt;="&amp;$E612),SUMIFS(TblApplications[RAM IKS libérable (Go)],TblApplications[Cluster IKS source],$F612,TblApplications[Mois lib (calc)],"&lt;="&amp;$E612)))</f>
        <v/>
      </c>
      <c r="R612" s="19" t="str">
        <f t="shared" si="156"/>
        <v/>
      </c>
      <c r="S612" s="19" t="str">
        <f t="shared" si="157"/>
        <v/>
      </c>
      <c r="T612" s="19" t="str">
        <f t="shared" si="158"/>
        <v/>
      </c>
      <c r="U612" s="19" t="str">
        <f t="shared" si="159"/>
        <v/>
      </c>
      <c r="V612" s="19" t="str">
        <f t="shared" si="160"/>
        <v/>
      </c>
      <c r="W612" s="73" t="str">
        <f t="shared" si="161"/>
        <v/>
      </c>
      <c r="X612" s="19" t="str">
        <f>IF($D612&lt;&gt;1,"",IF($G612="ROKS",$R612,IF($AI612=1,0,MAX($N612,$L612-SUMIFS(TblApplications[CPU IKS libérable (vCPU)],TblApplications[Cluster IKS source],$F612,TblApplications[Action],"À migrer",TblApplications[Mois prov (calc)],"&lt;="&amp;$E612)-SUMIFS(TblApplications[CPU IKS libérable (vCPU)],TblApplications[Cluster IKS source],$F612,TblApplications[Action],"À décommissionner",TblApplications[Mois lib (calc)],"&lt;="&amp;$E612)))))</f>
        <v/>
      </c>
      <c r="Y612" s="19" t="str">
        <f>IF($D612&lt;&gt;1,"",IF($G612="ROKS",$S612,IF($AI612=1,0,MAX($O612,$M612-SUMIFS(TblApplications[RAM IKS libérable (Go)],TblApplications[Cluster IKS source],$F612,TblApplications[Action],"À migrer",TblApplications[Mois prov (calc)],"&lt;="&amp;$E612)-SUMIFS(TblApplications[RAM IKS libérable (Go)],TblApplications[Cluster IKS source],$F612,TblApplications[Action],"À décommissionner",TblApplications[Mois lib (calc)],"&lt;="&amp;$E612)))))</f>
        <v/>
      </c>
      <c r="Z612" s="19" t="str">
        <f t="shared" si="162"/>
        <v/>
      </c>
      <c r="AA612" s="73" t="str">
        <f t="shared" si="163"/>
        <v/>
      </c>
      <c r="AB612" s="19" t="str">
        <f t="shared" si="164"/>
        <v/>
      </c>
      <c r="AC612" s="73" t="str">
        <f t="shared" si="165"/>
        <v/>
      </c>
      <c r="AD612" s="19" t="str">
        <f t="shared" si="166"/>
        <v/>
      </c>
      <c r="AE612" s="19" t="str">
        <f t="shared" si="167"/>
        <v/>
      </c>
      <c r="AF612" s="19" t="str">
        <f>IF($D612&lt;&gt;1,"",IF(INDEX(TblClusters[Environnement],$B612)="","(vide)",INDEX(TblClusters[Environnement],$B612)))</f>
        <v/>
      </c>
      <c r="AG612" s="19" t="str">
        <f t="shared" si="168"/>
        <v/>
      </c>
      <c r="AH612" s="19" t="str">
        <f t="shared" si="169"/>
        <v/>
      </c>
      <c r="AI612" s="19" t="str">
        <f>IF($D612&lt;&gt;1,"",IF(AND($G612="IKS",ISNUMBER(INDEX(TblClusters[Fermeture retenue],$B612))),IF($E612&gt;=INDEX(TblClusters[Fermeture retenue],$B612),1,0),0))</f>
        <v/>
      </c>
    </row>
    <row r="613" spans="1:35" x14ac:dyDescent="0.2">
      <c r="A613" s="19">
        <v>608</v>
      </c>
      <c r="B613" s="19">
        <f t="shared" si="153"/>
        <v>17</v>
      </c>
      <c r="C613" s="19">
        <f t="shared" si="154"/>
        <v>32</v>
      </c>
      <c r="D613" s="19">
        <f>IF($C613&gt;p_horizon,0,IFERROR(IF(AND(INDEX(TblClusters[Cluster],$B613)&lt;&gt;"",ISNUMBER(INDEX(TblClusters[CPU initial (vCPU)],$B613)),ISNUMBER(INDEX(TblClusters[CPU min (vCPU)],$B613)),OR(INDEX(TblClusters[Plateforme],$B613)="IKS",INDEX(TblClusters[Plateforme],$B613)="ROKS")),1,0),0))</f>
        <v>0</v>
      </c>
      <c r="E613" s="72" t="str">
        <f t="shared" si="155"/>
        <v/>
      </c>
      <c r="F613" s="19" t="str">
        <f>IF($D613=1,INDEX(TblClusters[Cluster],$B613),"")</f>
        <v/>
      </c>
      <c r="G613" s="19" t="str">
        <f>IF($D613=1,INDEX(TblClusters[Plateforme],$B613),"")</f>
        <v/>
      </c>
      <c r="H613" s="19" t="str">
        <f>IF($D613=1,INDEX(TblClusters[vCPU par nœud],$B613),"")</f>
        <v/>
      </c>
      <c r="I613" s="19" t="str">
        <f>IF($D613=1,INDEX(TblClusters[RAM par nœud (Go)],$B613),"")</f>
        <v/>
      </c>
      <c r="J613" s="19" t="str">
        <f>IF($D613=1,INDEX(TblClusters[Workers min],$B613),"")</f>
        <v/>
      </c>
      <c r="K613" s="73" t="str">
        <f>IF($D613=1,INDEX(TblClusters[Tarif par nœud],$B613),"")</f>
        <v/>
      </c>
      <c r="L613" s="19" t="str">
        <f>IF($D613=1,INDEX(TblClusters[CPU initial (vCPU)],$B613),"")</f>
        <v/>
      </c>
      <c r="M613" s="19" t="str">
        <f>IF($D613=1,INDEX(TblClusters[RAM initiale (Go)],$B613),"")</f>
        <v/>
      </c>
      <c r="N613" s="19" t="str">
        <f>IF($D613=1,INDEX(TblClusters[CPU min (vCPU)],$B613),"")</f>
        <v/>
      </c>
      <c r="O613" s="19" t="str">
        <f>IF($D613=1,INDEX(TblClusters[RAM min (Go)],$B613),"")</f>
        <v/>
      </c>
      <c r="P613" s="19" t="str">
        <f>IF($D613&lt;&gt;1,"",IF($G613="ROKS",SUMIFS(TblApplications[Besoin ROKS CPU (vCPU)],TblApplications[Cluster ROKS cible],$F613,TblApplications[Action],"À migrer",TblApplications[Déjà incluse ROKS],"Non",TblApplications[Mois prov (calc)],"&lt;="&amp;$E613),SUMIFS(TblApplications[CPU IKS libérable (vCPU)],TblApplications[Cluster IKS source],$F613,TblApplications[Mois lib (calc)],"&lt;="&amp;$E613)))</f>
        <v/>
      </c>
      <c r="Q613" s="19" t="str">
        <f>IF($D613&lt;&gt;1,"",IF($G613="ROKS",SUMIFS(TblApplications[Besoin ROKS RAM (Go)],TblApplications[Cluster ROKS cible],$F613,TblApplications[Action],"À migrer",TblApplications[Déjà incluse ROKS],"Non",TblApplications[Mois prov (calc)],"&lt;="&amp;$E613),SUMIFS(TblApplications[RAM IKS libérable (Go)],TblApplications[Cluster IKS source],$F613,TblApplications[Mois lib (calc)],"&lt;="&amp;$E613)))</f>
        <v/>
      </c>
      <c r="R613" s="19" t="str">
        <f t="shared" si="156"/>
        <v/>
      </c>
      <c r="S613" s="19" t="str">
        <f t="shared" si="157"/>
        <v/>
      </c>
      <c r="T613" s="19" t="str">
        <f t="shared" si="158"/>
        <v/>
      </c>
      <c r="U613" s="19" t="str">
        <f t="shared" si="159"/>
        <v/>
      </c>
      <c r="V613" s="19" t="str">
        <f t="shared" si="160"/>
        <v/>
      </c>
      <c r="W613" s="73" t="str">
        <f t="shared" si="161"/>
        <v/>
      </c>
      <c r="X613" s="19" t="str">
        <f>IF($D613&lt;&gt;1,"",IF($G613="ROKS",$R613,IF($AI613=1,0,MAX($N613,$L613-SUMIFS(TblApplications[CPU IKS libérable (vCPU)],TblApplications[Cluster IKS source],$F613,TblApplications[Action],"À migrer",TblApplications[Mois prov (calc)],"&lt;="&amp;$E613)-SUMIFS(TblApplications[CPU IKS libérable (vCPU)],TblApplications[Cluster IKS source],$F613,TblApplications[Action],"À décommissionner",TblApplications[Mois lib (calc)],"&lt;="&amp;$E613)))))</f>
        <v/>
      </c>
      <c r="Y613" s="19" t="str">
        <f>IF($D613&lt;&gt;1,"",IF($G613="ROKS",$S613,IF($AI613=1,0,MAX($O613,$M613-SUMIFS(TblApplications[RAM IKS libérable (Go)],TblApplications[Cluster IKS source],$F613,TblApplications[Action],"À migrer",TblApplications[Mois prov (calc)],"&lt;="&amp;$E613)-SUMIFS(TblApplications[RAM IKS libérable (Go)],TblApplications[Cluster IKS source],$F613,TblApplications[Action],"À décommissionner",TblApplications[Mois lib (calc)],"&lt;="&amp;$E613)))))</f>
        <v/>
      </c>
      <c r="Z613" s="19" t="str">
        <f t="shared" si="162"/>
        <v/>
      </c>
      <c r="AA613" s="73" t="str">
        <f t="shared" si="163"/>
        <v/>
      </c>
      <c r="AB613" s="19" t="str">
        <f t="shared" si="164"/>
        <v/>
      </c>
      <c r="AC613" s="73" t="str">
        <f t="shared" si="165"/>
        <v/>
      </c>
      <c r="AD613" s="19" t="str">
        <f t="shared" si="166"/>
        <v/>
      </c>
      <c r="AE613" s="19" t="str">
        <f t="shared" si="167"/>
        <v/>
      </c>
      <c r="AF613" s="19" t="str">
        <f>IF($D613&lt;&gt;1,"",IF(INDEX(TblClusters[Environnement],$B613)="","(vide)",INDEX(TblClusters[Environnement],$B613)))</f>
        <v/>
      </c>
      <c r="AG613" s="19" t="str">
        <f t="shared" si="168"/>
        <v/>
      </c>
      <c r="AH613" s="19" t="str">
        <f t="shared" si="169"/>
        <v/>
      </c>
      <c r="AI613" s="19" t="str">
        <f>IF($D613&lt;&gt;1,"",IF(AND($G613="IKS",ISNUMBER(INDEX(TblClusters[Fermeture retenue],$B613))),IF($E613&gt;=INDEX(TblClusters[Fermeture retenue],$B613),1,0),0))</f>
        <v/>
      </c>
    </row>
    <row r="614" spans="1:35" x14ac:dyDescent="0.2">
      <c r="A614" s="19">
        <v>609</v>
      </c>
      <c r="B614" s="19">
        <f t="shared" si="153"/>
        <v>17</v>
      </c>
      <c r="C614" s="19">
        <f t="shared" si="154"/>
        <v>33</v>
      </c>
      <c r="D614" s="19">
        <f>IF($C614&gt;p_horizon,0,IFERROR(IF(AND(INDEX(TblClusters[Cluster],$B614)&lt;&gt;"",ISNUMBER(INDEX(TblClusters[CPU initial (vCPU)],$B614)),ISNUMBER(INDEX(TblClusters[CPU min (vCPU)],$B614)),OR(INDEX(TblClusters[Plateforme],$B614)="IKS",INDEX(TblClusters[Plateforme],$B614)="ROKS")),1,0),0))</f>
        <v>0</v>
      </c>
      <c r="E614" s="72" t="str">
        <f t="shared" si="155"/>
        <v/>
      </c>
      <c r="F614" s="19" t="str">
        <f>IF($D614=1,INDEX(TblClusters[Cluster],$B614),"")</f>
        <v/>
      </c>
      <c r="G614" s="19" t="str">
        <f>IF($D614=1,INDEX(TblClusters[Plateforme],$B614),"")</f>
        <v/>
      </c>
      <c r="H614" s="19" t="str">
        <f>IF($D614=1,INDEX(TblClusters[vCPU par nœud],$B614),"")</f>
        <v/>
      </c>
      <c r="I614" s="19" t="str">
        <f>IF($D614=1,INDEX(TblClusters[RAM par nœud (Go)],$B614),"")</f>
        <v/>
      </c>
      <c r="J614" s="19" t="str">
        <f>IF($D614=1,INDEX(TblClusters[Workers min],$B614),"")</f>
        <v/>
      </c>
      <c r="K614" s="73" t="str">
        <f>IF($D614=1,INDEX(TblClusters[Tarif par nœud],$B614),"")</f>
        <v/>
      </c>
      <c r="L614" s="19" t="str">
        <f>IF($D614=1,INDEX(TblClusters[CPU initial (vCPU)],$B614),"")</f>
        <v/>
      </c>
      <c r="M614" s="19" t="str">
        <f>IF($D614=1,INDEX(TblClusters[RAM initiale (Go)],$B614),"")</f>
        <v/>
      </c>
      <c r="N614" s="19" t="str">
        <f>IF($D614=1,INDEX(TblClusters[CPU min (vCPU)],$B614),"")</f>
        <v/>
      </c>
      <c r="O614" s="19" t="str">
        <f>IF($D614=1,INDEX(TblClusters[RAM min (Go)],$B614),"")</f>
        <v/>
      </c>
      <c r="P614" s="19" t="str">
        <f>IF($D614&lt;&gt;1,"",IF($G614="ROKS",SUMIFS(TblApplications[Besoin ROKS CPU (vCPU)],TblApplications[Cluster ROKS cible],$F614,TblApplications[Action],"À migrer",TblApplications[Déjà incluse ROKS],"Non",TblApplications[Mois prov (calc)],"&lt;="&amp;$E614),SUMIFS(TblApplications[CPU IKS libérable (vCPU)],TblApplications[Cluster IKS source],$F614,TblApplications[Mois lib (calc)],"&lt;="&amp;$E614)))</f>
        <v/>
      </c>
      <c r="Q614" s="19" t="str">
        <f>IF($D614&lt;&gt;1,"",IF($G614="ROKS",SUMIFS(TblApplications[Besoin ROKS RAM (Go)],TblApplications[Cluster ROKS cible],$F614,TblApplications[Action],"À migrer",TblApplications[Déjà incluse ROKS],"Non",TblApplications[Mois prov (calc)],"&lt;="&amp;$E614),SUMIFS(TblApplications[RAM IKS libérable (Go)],TblApplications[Cluster IKS source],$F614,TblApplications[Mois lib (calc)],"&lt;="&amp;$E614)))</f>
        <v/>
      </c>
      <c r="R614" s="19" t="str">
        <f t="shared" si="156"/>
        <v/>
      </c>
      <c r="S614" s="19" t="str">
        <f t="shared" si="157"/>
        <v/>
      </c>
      <c r="T614" s="19" t="str">
        <f t="shared" si="158"/>
        <v/>
      </c>
      <c r="U614" s="19" t="str">
        <f t="shared" si="159"/>
        <v/>
      </c>
      <c r="V614" s="19" t="str">
        <f t="shared" si="160"/>
        <v/>
      </c>
      <c r="W614" s="73" t="str">
        <f t="shared" si="161"/>
        <v/>
      </c>
      <c r="X614" s="19" t="str">
        <f>IF($D614&lt;&gt;1,"",IF($G614="ROKS",$R614,IF($AI614=1,0,MAX($N614,$L614-SUMIFS(TblApplications[CPU IKS libérable (vCPU)],TblApplications[Cluster IKS source],$F614,TblApplications[Action],"À migrer",TblApplications[Mois prov (calc)],"&lt;="&amp;$E614)-SUMIFS(TblApplications[CPU IKS libérable (vCPU)],TblApplications[Cluster IKS source],$F614,TblApplications[Action],"À décommissionner",TblApplications[Mois lib (calc)],"&lt;="&amp;$E614)))))</f>
        <v/>
      </c>
      <c r="Y614" s="19" t="str">
        <f>IF($D614&lt;&gt;1,"",IF($G614="ROKS",$S614,IF($AI614=1,0,MAX($O614,$M614-SUMIFS(TblApplications[RAM IKS libérable (Go)],TblApplications[Cluster IKS source],$F614,TblApplications[Action],"À migrer",TblApplications[Mois prov (calc)],"&lt;="&amp;$E614)-SUMIFS(TblApplications[RAM IKS libérable (Go)],TblApplications[Cluster IKS source],$F614,TblApplications[Action],"À décommissionner",TblApplications[Mois lib (calc)],"&lt;="&amp;$E614)))))</f>
        <v/>
      </c>
      <c r="Z614" s="19" t="str">
        <f t="shared" si="162"/>
        <v/>
      </c>
      <c r="AA614" s="73" t="str">
        <f t="shared" si="163"/>
        <v/>
      </c>
      <c r="AB614" s="19" t="str">
        <f t="shared" si="164"/>
        <v/>
      </c>
      <c r="AC614" s="73" t="str">
        <f t="shared" si="165"/>
        <v/>
      </c>
      <c r="AD614" s="19" t="str">
        <f t="shared" si="166"/>
        <v/>
      </c>
      <c r="AE614" s="19" t="str">
        <f t="shared" si="167"/>
        <v/>
      </c>
      <c r="AF614" s="19" t="str">
        <f>IF($D614&lt;&gt;1,"",IF(INDEX(TblClusters[Environnement],$B614)="","(vide)",INDEX(TblClusters[Environnement],$B614)))</f>
        <v/>
      </c>
      <c r="AG614" s="19" t="str">
        <f t="shared" si="168"/>
        <v/>
      </c>
      <c r="AH614" s="19" t="str">
        <f t="shared" si="169"/>
        <v/>
      </c>
      <c r="AI614" s="19" t="str">
        <f>IF($D614&lt;&gt;1,"",IF(AND($G614="IKS",ISNUMBER(INDEX(TblClusters[Fermeture retenue],$B614))),IF($E614&gt;=INDEX(TblClusters[Fermeture retenue],$B614),1,0),0))</f>
        <v/>
      </c>
    </row>
    <row r="615" spans="1:35" x14ac:dyDescent="0.2">
      <c r="A615" s="19">
        <v>610</v>
      </c>
      <c r="B615" s="19">
        <f t="shared" si="153"/>
        <v>17</v>
      </c>
      <c r="C615" s="19">
        <f t="shared" si="154"/>
        <v>34</v>
      </c>
      <c r="D615" s="19">
        <f>IF($C615&gt;p_horizon,0,IFERROR(IF(AND(INDEX(TblClusters[Cluster],$B615)&lt;&gt;"",ISNUMBER(INDEX(TblClusters[CPU initial (vCPU)],$B615)),ISNUMBER(INDEX(TblClusters[CPU min (vCPU)],$B615)),OR(INDEX(TblClusters[Plateforme],$B615)="IKS",INDEX(TblClusters[Plateforme],$B615)="ROKS")),1,0),0))</f>
        <v>0</v>
      </c>
      <c r="E615" s="72" t="str">
        <f t="shared" si="155"/>
        <v/>
      </c>
      <c r="F615" s="19" t="str">
        <f>IF($D615=1,INDEX(TblClusters[Cluster],$B615),"")</f>
        <v/>
      </c>
      <c r="G615" s="19" t="str">
        <f>IF($D615=1,INDEX(TblClusters[Plateforme],$B615),"")</f>
        <v/>
      </c>
      <c r="H615" s="19" t="str">
        <f>IF($D615=1,INDEX(TblClusters[vCPU par nœud],$B615),"")</f>
        <v/>
      </c>
      <c r="I615" s="19" t="str">
        <f>IF($D615=1,INDEX(TblClusters[RAM par nœud (Go)],$B615),"")</f>
        <v/>
      </c>
      <c r="J615" s="19" t="str">
        <f>IF($D615=1,INDEX(TblClusters[Workers min],$B615),"")</f>
        <v/>
      </c>
      <c r="K615" s="73" t="str">
        <f>IF($D615=1,INDEX(TblClusters[Tarif par nœud],$B615),"")</f>
        <v/>
      </c>
      <c r="L615" s="19" t="str">
        <f>IF($D615=1,INDEX(TblClusters[CPU initial (vCPU)],$B615),"")</f>
        <v/>
      </c>
      <c r="M615" s="19" t="str">
        <f>IF($D615=1,INDEX(TblClusters[RAM initiale (Go)],$B615),"")</f>
        <v/>
      </c>
      <c r="N615" s="19" t="str">
        <f>IF($D615=1,INDEX(TblClusters[CPU min (vCPU)],$B615),"")</f>
        <v/>
      </c>
      <c r="O615" s="19" t="str">
        <f>IF($D615=1,INDEX(TblClusters[RAM min (Go)],$B615),"")</f>
        <v/>
      </c>
      <c r="P615" s="19" t="str">
        <f>IF($D615&lt;&gt;1,"",IF($G615="ROKS",SUMIFS(TblApplications[Besoin ROKS CPU (vCPU)],TblApplications[Cluster ROKS cible],$F615,TblApplications[Action],"À migrer",TblApplications[Déjà incluse ROKS],"Non",TblApplications[Mois prov (calc)],"&lt;="&amp;$E615),SUMIFS(TblApplications[CPU IKS libérable (vCPU)],TblApplications[Cluster IKS source],$F615,TblApplications[Mois lib (calc)],"&lt;="&amp;$E615)))</f>
        <v/>
      </c>
      <c r="Q615" s="19" t="str">
        <f>IF($D615&lt;&gt;1,"",IF($G615="ROKS",SUMIFS(TblApplications[Besoin ROKS RAM (Go)],TblApplications[Cluster ROKS cible],$F615,TblApplications[Action],"À migrer",TblApplications[Déjà incluse ROKS],"Non",TblApplications[Mois prov (calc)],"&lt;="&amp;$E615),SUMIFS(TblApplications[RAM IKS libérable (Go)],TblApplications[Cluster IKS source],$F615,TblApplications[Mois lib (calc)],"&lt;="&amp;$E615)))</f>
        <v/>
      </c>
      <c r="R615" s="19" t="str">
        <f t="shared" si="156"/>
        <v/>
      </c>
      <c r="S615" s="19" t="str">
        <f t="shared" si="157"/>
        <v/>
      </c>
      <c r="T615" s="19" t="str">
        <f t="shared" si="158"/>
        <v/>
      </c>
      <c r="U615" s="19" t="str">
        <f t="shared" si="159"/>
        <v/>
      </c>
      <c r="V615" s="19" t="str">
        <f t="shared" si="160"/>
        <v/>
      </c>
      <c r="W615" s="73" t="str">
        <f t="shared" si="161"/>
        <v/>
      </c>
      <c r="X615" s="19" t="str">
        <f>IF($D615&lt;&gt;1,"",IF($G615="ROKS",$R615,IF($AI615=1,0,MAX($N615,$L615-SUMIFS(TblApplications[CPU IKS libérable (vCPU)],TblApplications[Cluster IKS source],$F615,TblApplications[Action],"À migrer",TblApplications[Mois prov (calc)],"&lt;="&amp;$E615)-SUMIFS(TblApplications[CPU IKS libérable (vCPU)],TblApplications[Cluster IKS source],$F615,TblApplications[Action],"À décommissionner",TblApplications[Mois lib (calc)],"&lt;="&amp;$E615)))))</f>
        <v/>
      </c>
      <c r="Y615" s="19" t="str">
        <f>IF($D615&lt;&gt;1,"",IF($G615="ROKS",$S615,IF($AI615=1,0,MAX($O615,$M615-SUMIFS(TblApplications[RAM IKS libérable (Go)],TblApplications[Cluster IKS source],$F615,TblApplications[Action],"À migrer",TblApplications[Mois prov (calc)],"&lt;="&amp;$E615)-SUMIFS(TblApplications[RAM IKS libérable (Go)],TblApplications[Cluster IKS source],$F615,TblApplications[Action],"À décommissionner",TblApplications[Mois lib (calc)],"&lt;="&amp;$E615)))))</f>
        <v/>
      </c>
      <c r="Z615" s="19" t="str">
        <f t="shared" si="162"/>
        <v/>
      </c>
      <c r="AA615" s="73" t="str">
        <f t="shared" si="163"/>
        <v/>
      </c>
      <c r="AB615" s="19" t="str">
        <f t="shared" si="164"/>
        <v/>
      </c>
      <c r="AC615" s="73" t="str">
        <f t="shared" si="165"/>
        <v/>
      </c>
      <c r="AD615" s="19" t="str">
        <f t="shared" si="166"/>
        <v/>
      </c>
      <c r="AE615" s="19" t="str">
        <f t="shared" si="167"/>
        <v/>
      </c>
      <c r="AF615" s="19" t="str">
        <f>IF($D615&lt;&gt;1,"",IF(INDEX(TblClusters[Environnement],$B615)="","(vide)",INDEX(TblClusters[Environnement],$B615)))</f>
        <v/>
      </c>
      <c r="AG615" s="19" t="str">
        <f t="shared" si="168"/>
        <v/>
      </c>
      <c r="AH615" s="19" t="str">
        <f t="shared" si="169"/>
        <v/>
      </c>
      <c r="AI615" s="19" t="str">
        <f>IF($D615&lt;&gt;1,"",IF(AND($G615="IKS",ISNUMBER(INDEX(TblClusters[Fermeture retenue],$B615))),IF($E615&gt;=INDEX(TblClusters[Fermeture retenue],$B615),1,0),0))</f>
        <v/>
      </c>
    </row>
    <row r="616" spans="1:35" x14ac:dyDescent="0.2">
      <c r="A616" s="19">
        <v>611</v>
      </c>
      <c r="B616" s="19">
        <f t="shared" si="153"/>
        <v>17</v>
      </c>
      <c r="C616" s="19">
        <f t="shared" si="154"/>
        <v>35</v>
      </c>
      <c r="D616" s="19">
        <f>IF($C616&gt;p_horizon,0,IFERROR(IF(AND(INDEX(TblClusters[Cluster],$B616)&lt;&gt;"",ISNUMBER(INDEX(TblClusters[CPU initial (vCPU)],$B616)),ISNUMBER(INDEX(TblClusters[CPU min (vCPU)],$B616)),OR(INDEX(TblClusters[Plateforme],$B616)="IKS",INDEX(TblClusters[Plateforme],$B616)="ROKS")),1,0),0))</f>
        <v>0</v>
      </c>
      <c r="E616" s="72" t="str">
        <f t="shared" si="155"/>
        <v/>
      </c>
      <c r="F616" s="19" t="str">
        <f>IF($D616=1,INDEX(TblClusters[Cluster],$B616),"")</f>
        <v/>
      </c>
      <c r="G616" s="19" t="str">
        <f>IF($D616=1,INDEX(TblClusters[Plateforme],$B616),"")</f>
        <v/>
      </c>
      <c r="H616" s="19" t="str">
        <f>IF($D616=1,INDEX(TblClusters[vCPU par nœud],$B616),"")</f>
        <v/>
      </c>
      <c r="I616" s="19" t="str">
        <f>IF($D616=1,INDEX(TblClusters[RAM par nœud (Go)],$B616),"")</f>
        <v/>
      </c>
      <c r="J616" s="19" t="str">
        <f>IF($D616=1,INDEX(TblClusters[Workers min],$B616),"")</f>
        <v/>
      </c>
      <c r="K616" s="73" t="str">
        <f>IF($D616=1,INDEX(TblClusters[Tarif par nœud],$B616),"")</f>
        <v/>
      </c>
      <c r="L616" s="19" t="str">
        <f>IF($D616=1,INDEX(TblClusters[CPU initial (vCPU)],$B616),"")</f>
        <v/>
      </c>
      <c r="M616" s="19" t="str">
        <f>IF($D616=1,INDEX(TblClusters[RAM initiale (Go)],$B616),"")</f>
        <v/>
      </c>
      <c r="N616" s="19" t="str">
        <f>IF($D616=1,INDEX(TblClusters[CPU min (vCPU)],$B616),"")</f>
        <v/>
      </c>
      <c r="O616" s="19" t="str">
        <f>IF($D616=1,INDEX(TblClusters[RAM min (Go)],$B616),"")</f>
        <v/>
      </c>
      <c r="P616" s="19" t="str">
        <f>IF($D616&lt;&gt;1,"",IF($G616="ROKS",SUMIFS(TblApplications[Besoin ROKS CPU (vCPU)],TblApplications[Cluster ROKS cible],$F616,TblApplications[Action],"À migrer",TblApplications[Déjà incluse ROKS],"Non",TblApplications[Mois prov (calc)],"&lt;="&amp;$E616),SUMIFS(TblApplications[CPU IKS libérable (vCPU)],TblApplications[Cluster IKS source],$F616,TblApplications[Mois lib (calc)],"&lt;="&amp;$E616)))</f>
        <v/>
      </c>
      <c r="Q616" s="19" t="str">
        <f>IF($D616&lt;&gt;1,"",IF($G616="ROKS",SUMIFS(TblApplications[Besoin ROKS RAM (Go)],TblApplications[Cluster ROKS cible],$F616,TblApplications[Action],"À migrer",TblApplications[Déjà incluse ROKS],"Non",TblApplications[Mois prov (calc)],"&lt;="&amp;$E616),SUMIFS(TblApplications[RAM IKS libérable (Go)],TblApplications[Cluster IKS source],$F616,TblApplications[Mois lib (calc)],"&lt;="&amp;$E616)))</f>
        <v/>
      </c>
      <c r="R616" s="19" t="str">
        <f t="shared" si="156"/>
        <v/>
      </c>
      <c r="S616" s="19" t="str">
        <f t="shared" si="157"/>
        <v/>
      </c>
      <c r="T616" s="19" t="str">
        <f t="shared" si="158"/>
        <v/>
      </c>
      <c r="U616" s="19" t="str">
        <f t="shared" si="159"/>
        <v/>
      </c>
      <c r="V616" s="19" t="str">
        <f t="shared" si="160"/>
        <v/>
      </c>
      <c r="W616" s="73" t="str">
        <f t="shared" si="161"/>
        <v/>
      </c>
      <c r="X616" s="19" t="str">
        <f>IF($D616&lt;&gt;1,"",IF($G616="ROKS",$R616,IF($AI616=1,0,MAX($N616,$L616-SUMIFS(TblApplications[CPU IKS libérable (vCPU)],TblApplications[Cluster IKS source],$F616,TblApplications[Action],"À migrer",TblApplications[Mois prov (calc)],"&lt;="&amp;$E616)-SUMIFS(TblApplications[CPU IKS libérable (vCPU)],TblApplications[Cluster IKS source],$F616,TblApplications[Action],"À décommissionner",TblApplications[Mois lib (calc)],"&lt;="&amp;$E616)))))</f>
        <v/>
      </c>
      <c r="Y616" s="19" t="str">
        <f>IF($D616&lt;&gt;1,"",IF($G616="ROKS",$S616,IF($AI616=1,0,MAX($O616,$M616-SUMIFS(TblApplications[RAM IKS libérable (Go)],TblApplications[Cluster IKS source],$F616,TblApplications[Action],"À migrer",TblApplications[Mois prov (calc)],"&lt;="&amp;$E616)-SUMIFS(TblApplications[RAM IKS libérable (Go)],TblApplications[Cluster IKS source],$F616,TblApplications[Action],"À décommissionner",TblApplications[Mois lib (calc)],"&lt;="&amp;$E616)))))</f>
        <v/>
      </c>
      <c r="Z616" s="19" t="str">
        <f t="shared" si="162"/>
        <v/>
      </c>
      <c r="AA616" s="73" t="str">
        <f t="shared" si="163"/>
        <v/>
      </c>
      <c r="AB616" s="19" t="str">
        <f t="shared" si="164"/>
        <v/>
      </c>
      <c r="AC616" s="73" t="str">
        <f t="shared" si="165"/>
        <v/>
      </c>
      <c r="AD616" s="19" t="str">
        <f t="shared" si="166"/>
        <v/>
      </c>
      <c r="AE616" s="19" t="str">
        <f t="shared" si="167"/>
        <v/>
      </c>
      <c r="AF616" s="19" t="str">
        <f>IF($D616&lt;&gt;1,"",IF(INDEX(TblClusters[Environnement],$B616)="","(vide)",INDEX(TblClusters[Environnement],$B616)))</f>
        <v/>
      </c>
      <c r="AG616" s="19" t="str">
        <f t="shared" si="168"/>
        <v/>
      </c>
      <c r="AH616" s="19" t="str">
        <f t="shared" si="169"/>
        <v/>
      </c>
      <c r="AI616" s="19" t="str">
        <f>IF($D616&lt;&gt;1,"",IF(AND($G616="IKS",ISNUMBER(INDEX(TblClusters[Fermeture retenue],$B616))),IF($E616&gt;=INDEX(TblClusters[Fermeture retenue],$B616),1,0),0))</f>
        <v/>
      </c>
    </row>
    <row r="617" spans="1:35" x14ac:dyDescent="0.2">
      <c r="A617" s="19">
        <v>612</v>
      </c>
      <c r="B617" s="19">
        <f t="shared" si="153"/>
        <v>17</v>
      </c>
      <c r="C617" s="19">
        <f t="shared" si="154"/>
        <v>36</v>
      </c>
      <c r="D617" s="19">
        <f>IF($C617&gt;p_horizon,0,IFERROR(IF(AND(INDEX(TblClusters[Cluster],$B617)&lt;&gt;"",ISNUMBER(INDEX(TblClusters[CPU initial (vCPU)],$B617)),ISNUMBER(INDEX(TblClusters[CPU min (vCPU)],$B617)),OR(INDEX(TblClusters[Plateforme],$B617)="IKS",INDEX(TblClusters[Plateforme],$B617)="ROKS")),1,0),0))</f>
        <v>0</v>
      </c>
      <c r="E617" s="72" t="str">
        <f t="shared" si="155"/>
        <v/>
      </c>
      <c r="F617" s="19" t="str">
        <f>IF($D617=1,INDEX(TblClusters[Cluster],$B617),"")</f>
        <v/>
      </c>
      <c r="G617" s="19" t="str">
        <f>IF($D617=1,INDEX(TblClusters[Plateforme],$B617),"")</f>
        <v/>
      </c>
      <c r="H617" s="19" t="str">
        <f>IF($D617=1,INDEX(TblClusters[vCPU par nœud],$B617),"")</f>
        <v/>
      </c>
      <c r="I617" s="19" t="str">
        <f>IF($D617=1,INDEX(TblClusters[RAM par nœud (Go)],$B617),"")</f>
        <v/>
      </c>
      <c r="J617" s="19" t="str">
        <f>IF($D617=1,INDEX(TblClusters[Workers min],$B617),"")</f>
        <v/>
      </c>
      <c r="K617" s="73" t="str">
        <f>IF($D617=1,INDEX(TblClusters[Tarif par nœud],$B617),"")</f>
        <v/>
      </c>
      <c r="L617" s="19" t="str">
        <f>IF($D617=1,INDEX(TblClusters[CPU initial (vCPU)],$B617),"")</f>
        <v/>
      </c>
      <c r="M617" s="19" t="str">
        <f>IF($D617=1,INDEX(TblClusters[RAM initiale (Go)],$B617),"")</f>
        <v/>
      </c>
      <c r="N617" s="19" t="str">
        <f>IF($D617=1,INDEX(TblClusters[CPU min (vCPU)],$B617),"")</f>
        <v/>
      </c>
      <c r="O617" s="19" t="str">
        <f>IF($D617=1,INDEX(TblClusters[RAM min (Go)],$B617),"")</f>
        <v/>
      </c>
      <c r="P617" s="19" t="str">
        <f>IF($D617&lt;&gt;1,"",IF($G617="ROKS",SUMIFS(TblApplications[Besoin ROKS CPU (vCPU)],TblApplications[Cluster ROKS cible],$F617,TblApplications[Action],"À migrer",TblApplications[Déjà incluse ROKS],"Non",TblApplications[Mois prov (calc)],"&lt;="&amp;$E617),SUMIFS(TblApplications[CPU IKS libérable (vCPU)],TblApplications[Cluster IKS source],$F617,TblApplications[Mois lib (calc)],"&lt;="&amp;$E617)))</f>
        <v/>
      </c>
      <c r="Q617" s="19" t="str">
        <f>IF($D617&lt;&gt;1,"",IF($G617="ROKS",SUMIFS(TblApplications[Besoin ROKS RAM (Go)],TblApplications[Cluster ROKS cible],$F617,TblApplications[Action],"À migrer",TblApplications[Déjà incluse ROKS],"Non",TblApplications[Mois prov (calc)],"&lt;="&amp;$E617),SUMIFS(TblApplications[RAM IKS libérable (Go)],TblApplications[Cluster IKS source],$F617,TblApplications[Mois lib (calc)],"&lt;="&amp;$E617)))</f>
        <v/>
      </c>
      <c r="R617" s="19" t="str">
        <f t="shared" si="156"/>
        <v/>
      </c>
      <c r="S617" s="19" t="str">
        <f t="shared" si="157"/>
        <v/>
      </c>
      <c r="T617" s="19" t="str">
        <f t="shared" si="158"/>
        <v/>
      </c>
      <c r="U617" s="19" t="str">
        <f t="shared" si="159"/>
        <v/>
      </c>
      <c r="V617" s="19" t="str">
        <f t="shared" si="160"/>
        <v/>
      </c>
      <c r="W617" s="73" t="str">
        <f t="shared" si="161"/>
        <v/>
      </c>
      <c r="X617" s="19" t="str">
        <f>IF($D617&lt;&gt;1,"",IF($G617="ROKS",$R617,IF($AI617=1,0,MAX($N617,$L617-SUMIFS(TblApplications[CPU IKS libérable (vCPU)],TblApplications[Cluster IKS source],$F617,TblApplications[Action],"À migrer",TblApplications[Mois prov (calc)],"&lt;="&amp;$E617)-SUMIFS(TblApplications[CPU IKS libérable (vCPU)],TblApplications[Cluster IKS source],$F617,TblApplications[Action],"À décommissionner",TblApplications[Mois lib (calc)],"&lt;="&amp;$E617)))))</f>
        <v/>
      </c>
      <c r="Y617" s="19" t="str">
        <f>IF($D617&lt;&gt;1,"",IF($G617="ROKS",$S617,IF($AI617=1,0,MAX($O617,$M617-SUMIFS(TblApplications[RAM IKS libérable (Go)],TblApplications[Cluster IKS source],$F617,TblApplications[Action],"À migrer",TblApplications[Mois prov (calc)],"&lt;="&amp;$E617)-SUMIFS(TblApplications[RAM IKS libérable (Go)],TblApplications[Cluster IKS source],$F617,TblApplications[Action],"À décommissionner",TblApplications[Mois lib (calc)],"&lt;="&amp;$E617)))))</f>
        <v/>
      </c>
      <c r="Z617" s="19" t="str">
        <f t="shared" si="162"/>
        <v/>
      </c>
      <c r="AA617" s="73" t="str">
        <f t="shared" si="163"/>
        <v/>
      </c>
      <c r="AB617" s="19" t="str">
        <f t="shared" si="164"/>
        <v/>
      </c>
      <c r="AC617" s="73" t="str">
        <f t="shared" si="165"/>
        <v/>
      </c>
      <c r="AD617" s="19" t="str">
        <f t="shared" si="166"/>
        <v/>
      </c>
      <c r="AE617" s="19" t="str">
        <f t="shared" si="167"/>
        <v/>
      </c>
      <c r="AF617" s="19" t="str">
        <f>IF($D617&lt;&gt;1,"",IF(INDEX(TblClusters[Environnement],$B617)="","(vide)",INDEX(TblClusters[Environnement],$B617)))</f>
        <v/>
      </c>
      <c r="AG617" s="19" t="str">
        <f t="shared" si="168"/>
        <v/>
      </c>
      <c r="AH617" s="19" t="str">
        <f t="shared" si="169"/>
        <v/>
      </c>
      <c r="AI617" s="19" t="str">
        <f>IF($D617&lt;&gt;1,"",IF(AND($G617="IKS",ISNUMBER(INDEX(TblClusters[Fermeture retenue],$B617))),IF($E617&gt;=INDEX(TblClusters[Fermeture retenue],$B617),1,0),0))</f>
        <v/>
      </c>
    </row>
    <row r="618" spans="1:35" x14ac:dyDescent="0.2">
      <c r="A618" s="19">
        <v>613</v>
      </c>
      <c r="B618" s="19">
        <f t="shared" si="153"/>
        <v>18</v>
      </c>
      <c r="C618" s="19">
        <f t="shared" si="154"/>
        <v>1</v>
      </c>
      <c r="D618" s="19">
        <f>IF($C618&gt;p_horizon,0,IFERROR(IF(AND(INDEX(TblClusters[Cluster],$B618)&lt;&gt;"",ISNUMBER(INDEX(TblClusters[CPU initial (vCPU)],$B618)),ISNUMBER(INDEX(TblClusters[CPU min (vCPU)],$B618)),OR(INDEX(TblClusters[Plateforme],$B618)="IKS",INDEX(TblClusters[Plateforme],$B618)="ROKS")),1,0),0))</f>
        <v>1</v>
      </c>
      <c r="E618" s="72">
        <f t="shared" si="155"/>
        <v>46296</v>
      </c>
      <c r="F618" s="19" t="str">
        <f>IF($D618=1,INDEX(TblClusters[Cluster],$B618),"")</f>
        <v>oc002i001021</v>
      </c>
      <c r="G618" s="19" t="str">
        <f>IF($D618=1,INDEX(TblClusters[Plateforme],$B618),"")</f>
        <v>ROKS</v>
      </c>
      <c r="H618" s="19">
        <f>IF($D618=1,INDEX(TblClusters[vCPU par nœud],$B618),"")</f>
        <v>8</v>
      </c>
      <c r="I618" s="19">
        <f>IF($D618=1,INDEX(TblClusters[RAM par nœud (Go)],$B618),"")</f>
        <v>40</v>
      </c>
      <c r="J618" s="19">
        <f>IF($D618=1,INDEX(TblClusters[Workers min],$B618),"")</f>
        <v>6</v>
      </c>
      <c r="K618" s="73">
        <f>IF($D618=1,INDEX(TblClusters[Tarif par nœud],$B618),"")</f>
        <v>368</v>
      </c>
      <c r="L618" s="19">
        <f>IF($D618=1,INDEX(TblClusters[CPU initial (vCPU)],$B618),"")</f>
        <v>48</v>
      </c>
      <c r="M618" s="19">
        <f>IF($D618=1,INDEX(TblClusters[RAM initiale (Go)],$B618),"")</f>
        <v>240</v>
      </c>
      <c r="N618" s="19">
        <f>IF($D618=1,INDEX(TblClusters[CPU min (vCPU)],$B618),"")</f>
        <v>48</v>
      </c>
      <c r="O618" s="19">
        <f>IF($D618=1,INDEX(TblClusters[RAM min (Go)],$B618),"")</f>
        <v>240</v>
      </c>
      <c r="P618" s="19">
        <f>IF($D618&lt;&gt;1,"",IF($G618="ROKS",SUMIFS(TblApplications[Besoin ROKS CPU (vCPU)],TblApplications[Cluster ROKS cible],$F618,TblApplications[Action],"À migrer",TblApplications[Déjà incluse ROKS],"Non",TblApplications[Mois prov (calc)],"&lt;="&amp;$E618),SUMIFS(TblApplications[CPU IKS libérable (vCPU)],TblApplications[Cluster IKS source],$F618,TblApplications[Mois lib (calc)],"&lt;="&amp;$E618)))</f>
        <v>0</v>
      </c>
      <c r="Q618" s="19">
        <f>IF($D618&lt;&gt;1,"",IF($G618="ROKS",SUMIFS(TblApplications[Besoin ROKS RAM (Go)],TblApplications[Cluster ROKS cible],$F618,TblApplications[Action],"À migrer",TblApplications[Déjà incluse ROKS],"Non",TblApplications[Mois prov (calc)],"&lt;="&amp;$E618),SUMIFS(TblApplications[RAM IKS libérable (Go)],TblApplications[Cluster IKS source],$F618,TblApplications[Mois lib (calc)],"&lt;="&amp;$E618)))</f>
        <v>0</v>
      </c>
      <c r="R618" s="19">
        <f t="shared" si="156"/>
        <v>48</v>
      </c>
      <c r="S618" s="19">
        <f t="shared" si="157"/>
        <v>240</v>
      </c>
      <c r="T618" s="19">
        <f t="shared" si="158"/>
        <v>6</v>
      </c>
      <c r="U618" s="19">
        <f t="shared" si="159"/>
        <v>48</v>
      </c>
      <c r="V618" s="19">
        <f t="shared" si="160"/>
        <v>240</v>
      </c>
      <c r="W618" s="73">
        <f t="shared" si="161"/>
        <v>2208</v>
      </c>
      <c r="X618" s="19">
        <f>IF($D618&lt;&gt;1,"",IF($G618="ROKS",$R618,IF($AI618=1,0,MAX($N618,$L618-SUMIFS(TblApplications[CPU IKS libérable (vCPU)],TblApplications[Cluster IKS source],$F618,TblApplications[Action],"À migrer",TblApplications[Mois prov (calc)],"&lt;="&amp;$E618)-SUMIFS(TblApplications[CPU IKS libérable (vCPU)],TblApplications[Cluster IKS source],$F618,TblApplications[Action],"À décommissionner",TblApplications[Mois lib (calc)],"&lt;="&amp;$E618)))))</f>
        <v>48</v>
      </c>
      <c r="Y618" s="19">
        <f>IF($D618&lt;&gt;1,"",IF($G618="ROKS",$S618,IF($AI618=1,0,MAX($O618,$M618-SUMIFS(TblApplications[RAM IKS libérable (Go)],TblApplications[Cluster IKS source],$F618,TblApplications[Action],"À migrer",TblApplications[Mois prov (calc)],"&lt;="&amp;$E618)-SUMIFS(TblApplications[RAM IKS libérable (Go)],TblApplications[Cluster IKS source],$F618,TblApplications[Action],"À décommissionner",TblApplications[Mois lib (calc)],"&lt;="&amp;$E618)))))</f>
        <v>240</v>
      </c>
      <c r="Z618" s="19">
        <f t="shared" si="162"/>
        <v>6</v>
      </c>
      <c r="AA618" s="73">
        <f t="shared" si="163"/>
        <v>2208</v>
      </c>
      <c r="AB618" s="19">
        <f t="shared" si="164"/>
        <v>6</v>
      </c>
      <c r="AC618" s="73">
        <f t="shared" si="165"/>
        <v>2208</v>
      </c>
      <c r="AD618" s="19">
        <f t="shared" si="166"/>
        <v>0</v>
      </c>
      <c r="AE618" s="19">
        <f t="shared" si="167"/>
        <v>0</v>
      </c>
      <c r="AF618" s="19" t="str">
        <f>IF($D618&lt;&gt;1,"",IF(INDEX(TblClusters[Environnement],$B618)="","(vide)",INDEX(TblClusters[Environnement],$B618)))</f>
        <v>PRD</v>
      </c>
      <c r="AG618" s="19">
        <f t="shared" si="168"/>
        <v>72</v>
      </c>
      <c r="AH618" s="19">
        <f t="shared" si="169"/>
        <v>30.666666666666668</v>
      </c>
      <c r="AI618" s="19">
        <f>IF($D618&lt;&gt;1,"",IF(AND($G618="IKS",ISNUMBER(INDEX(TblClusters[Fermeture retenue],$B618))),IF($E618&gt;=INDEX(TblClusters[Fermeture retenue],$B618),1,0),0))</f>
        <v>0</v>
      </c>
    </row>
    <row r="619" spans="1:35" x14ac:dyDescent="0.2">
      <c r="A619" s="19">
        <v>614</v>
      </c>
      <c r="B619" s="19">
        <f t="shared" si="153"/>
        <v>18</v>
      </c>
      <c r="C619" s="19">
        <f t="shared" si="154"/>
        <v>2</v>
      </c>
      <c r="D619" s="19">
        <f>IF($C619&gt;p_horizon,0,IFERROR(IF(AND(INDEX(TblClusters[Cluster],$B619)&lt;&gt;"",ISNUMBER(INDEX(TblClusters[CPU initial (vCPU)],$B619)),ISNUMBER(INDEX(TblClusters[CPU min (vCPU)],$B619)),OR(INDEX(TblClusters[Plateforme],$B619)="IKS",INDEX(TblClusters[Plateforme],$B619)="ROKS")),1,0),0))</f>
        <v>1</v>
      </c>
      <c r="E619" s="72">
        <f t="shared" si="155"/>
        <v>46327</v>
      </c>
      <c r="F619" s="19" t="str">
        <f>IF($D619=1,INDEX(TblClusters[Cluster],$B619),"")</f>
        <v>oc002i001021</v>
      </c>
      <c r="G619" s="19" t="str">
        <f>IF($D619=1,INDEX(TblClusters[Plateforme],$B619),"")</f>
        <v>ROKS</v>
      </c>
      <c r="H619" s="19">
        <f>IF($D619=1,INDEX(TblClusters[vCPU par nœud],$B619),"")</f>
        <v>8</v>
      </c>
      <c r="I619" s="19">
        <f>IF($D619=1,INDEX(TblClusters[RAM par nœud (Go)],$B619),"")</f>
        <v>40</v>
      </c>
      <c r="J619" s="19">
        <f>IF($D619=1,INDEX(TblClusters[Workers min],$B619),"")</f>
        <v>6</v>
      </c>
      <c r="K619" s="73">
        <f>IF($D619=1,INDEX(TblClusters[Tarif par nœud],$B619),"")</f>
        <v>368</v>
      </c>
      <c r="L619" s="19">
        <f>IF($D619=1,INDEX(TblClusters[CPU initial (vCPU)],$B619),"")</f>
        <v>48</v>
      </c>
      <c r="M619" s="19">
        <f>IF($D619=1,INDEX(TblClusters[RAM initiale (Go)],$B619),"")</f>
        <v>240</v>
      </c>
      <c r="N619" s="19">
        <f>IF($D619=1,INDEX(TblClusters[CPU min (vCPU)],$B619),"")</f>
        <v>48</v>
      </c>
      <c r="O619" s="19">
        <f>IF($D619=1,INDEX(TblClusters[RAM min (Go)],$B619),"")</f>
        <v>240</v>
      </c>
      <c r="P619" s="19">
        <f>IF($D619&lt;&gt;1,"",IF($G619="ROKS",SUMIFS(TblApplications[Besoin ROKS CPU (vCPU)],TblApplications[Cluster ROKS cible],$F619,TblApplications[Action],"À migrer",TblApplications[Déjà incluse ROKS],"Non",TblApplications[Mois prov (calc)],"&lt;="&amp;$E619),SUMIFS(TblApplications[CPU IKS libérable (vCPU)],TblApplications[Cluster IKS source],$F619,TblApplications[Mois lib (calc)],"&lt;="&amp;$E619)))</f>
        <v>0</v>
      </c>
      <c r="Q619" s="19">
        <f>IF($D619&lt;&gt;1,"",IF($G619="ROKS",SUMIFS(TblApplications[Besoin ROKS RAM (Go)],TblApplications[Cluster ROKS cible],$F619,TblApplications[Action],"À migrer",TblApplications[Déjà incluse ROKS],"Non",TblApplications[Mois prov (calc)],"&lt;="&amp;$E619),SUMIFS(TblApplications[RAM IKS libérable (Go)],TblApplications[Cluster IKS source],$F619,TblApplications[Mois lib (calc)],"&lt;="&amp;$E619)))</f>
        <v>0</v>
      </c>
      <c r="R619" s="19">
        <f t="shared" si="156"/>
        <v>48</v>
      </c>
      <c r="S619" s="19">
        <f t="shared" si="157"/>
        <v>240</v>
      </c>
      <c r="T619" s="19">
        <f t="shared" si="158"/>
        <v>6</v>
      </c>
      <c r="U619" s="19">
        <f t="shared" si="159"/>
        <v>48</v>
      </c>
      <c r="V619" s="19">
        <f t="shared" si="160"/>
        <v>240</v>
      </c>
      <c r="W619" s="73">
        <f t="shared" si="161"/>
        <v>2208</v>
      </c>
      <c r="X619" s="19">
        <f>IF($D619&lt;&gt;1,"",IF($G619="ROKS",$R619,IF($AI619=1,0,MAX($N619,$L619-SUMIFS(TblApplications[CPU IKS libérable (vCPU)],TblApplications[Cluster IKS source],$F619,TblApplications[Action],"À migrer",TblApplications[Mois prov (calc)],"&lt;="&amp;$E619)-SUMIFS(TblApplications[CPU IKS libérable (vCPU)],TblApplications[Cluster IKS source],$F619,TblApplications[Action],"À décommissionner",TblApplications[Mois lib (calc)],"&lt;="&amp;$E619)))))</f>
        <v>48</v>
      </c>
      <c r="Y619" s="19">
        <f>IF($D619&lt;&gt;1,"",IF($G619="ROKS",$S619,IF($AI619=1,0,MAX($O619,$M619-SUMIFS(TblApplications[RAM IKS libérable (Go)],TblApplications[Cluster IKS source],$F619,TblApplications[Action],"À migrer",TblApplications[Mois prov (calc)],"&lt;="&amp;$E619)-SUMIFS(TblApplications[RAM IKS libérable (Go)],TblApplications[Cluster IKS source],$F619,TblApplications[Action],"À décommissionner",TblApplications[Mois lib (calc)],"&lt;="&amp;$E619)))))</f>
        <v>240</v>
      </c>
      <c r="Z619" s="19">
        <f t="shared" si="162"/>
        <v>6</v>
      </c>
      <c r="AA619" s="73">
        <f t="shared" si="163"/>
        <v>2208</v>
      </c>
      <c r="AB619" s="19">
        <f t="shared" si="164"/>
        <v>6</v>
      </c>
      <c r="AC619" s="73">
        <f t="shared" si="165"/>
        <v>2208</v>
      </c>
      <c r="AD619" s="19">
        <f t="shared" si="166"/>
        <v>0</v>
      </c>
      <c r="AE619" s="19">
        <f t="shared" si="167"/>
        <v>0</v>
      </c>
      <c r="AF619" s="19" t="str">
        <f>IF($D619&lt;&gt;1,"",IF(INDEX(TblClusters[Environnement],$B619)="","(vide)",INDEX(TblClusters[Environnement],$B619)))</f>
        <v>PRD</v>
      </c>
      <c r="AG619" s="19">
        <f t="shared" si="168"/>
        <v>72</v>
      </c>
      <c r="AH619" s="19">
        <f t="shared" si="169"/>
        <v>30.666666666666668</v>
      </c>
      <c r="AI619" s="19">
        <f>IF($D619&lt;&gt;1,"",IF(AND($G619="IKS",ISNUMBER(INDEX(TblClusters[Fermeture retenue],$B619))),IF($E619&gt;=INDEX(TblClusters[Fermeture retenue],$B619),1,0),0))</f>
        <v>0</v>
      </c>
    </row>
    <row r="620" spans="1:35" x14ac:dyDescent="0.2">
      <c r="A620" s="19">
        <v>615</v>
      </c>
      <c r="B620" s="19">
        <f t="shared" si="153"/>
        <v>18</v>
      </c>
      <c r="C620" s="19">
        <f t="shared" si="154"/>
        <v>3</v>
      </c>
      <c r="D620" s="19">
        <f>IF($C620&gt;p_horizon,0,IFERROR(IF(AND(INDEX(TblClusters[Cluster],$B620)&lt;&gt;"",ISNUMBER(INDEX(TblClusters[CPU initial (vCPU)],$B620)),ISNUMBER(INDEX(TblClusters[CPU min (vCPU)],$B620)),OR(INDEX(TblClusters[Plateforme],$B620)="IKS",INDEX(TblClusters[Plateforme],$B620)="ROKS")),1,0),0))</f>
        <v>1</v>
      </c>
      <c r="E620" s="72">
        <f t="shared" si="155"/>
        <v>46357</v>
      </c>
      <c r="F620" s="19" t="str">
        <f>IF($D620=1,INDEX(TblClusters[Cluster],$B620),"")</f>
        <v>oc002i001021</v>
      </c>
      <c r="G620" s="19" t="str">
        <f>IF($D620=1,INDEX(TblClusters[Plateforme],$B620),"")</f>
        <v>ROKS</v>
      </c>
      <c r="H620" s="19">
        <f>IF($D620=1,INDEX(TblClusters[vCPU par nœud],$B620),"")</f>
        <v>8</v>
      </c>
      <c r="I620" s="19">
        <f>IF($D620=1,INDEX(TblClusters[RAM par nœud (Go)],$B620),"")</f>
        <v>40</v>
      </c>
      <c r="J620" s="19">
        <f>IF($D620=1,INDEX(TblClusters[Workers min],$B620),"")</f>
        <v>6</v>
      </c>
      <c r="K620" s="73">
        <f>IF($D620=1,INDEX(TblClusters[Tarif par nœud],$B620),"")</f>
        <v>368</v>
      </c>
      <c r="L620" s="19">
        <f>IF($D620=1,INDEX(TblClusters[CPU initial (vCPU)],$B620),"")</f>
        <v>48</v>
      </c>
      <c r="M620" s="19">
        <f>IF($D620=1,INDEX(TblClusters[RAM initiale (Go)],$B620),"")</f>
        <v>240</v>
      </c>
      <c r="N620" s="19">
        <f>IF($D620=1,INDEX(TblClusters[CPU min (vCPU)],$B620),"")</f>
        <v>48</v>
      </c>
      <c r="O620" s="19">
        <f>IF($D620=1,INDEX(TblClusters[RAM min (Go)],$B620),"")</f>
        <v>240</v>
      </c>
      <c r="P620" s="19">
        <f>IF($D620&lt;&gt;1,"",IF($G620="ROKS",SUMIFS(TblApplications[Besoin ROKS CPU (vCPU)],TblApplications[Cluster ROKS cible],$F620,TblApplications[Action],"À migrer",TblApplications[Déjà incluse ROKS],"Non",TblApplications[Mois prov (calc)],"&lt;="&amp;$E620),SUMIFS(TblApplications[CPU IKS libérable (vCPU)],TblApplications[Cluster IKS source],$F620,TblApplications[Mois lib (calc)],"&lt;="&amp;$E620)))</f>
        <v>0</v>
      </c>
      <c r="Q620" s="19">
        <f>IF($D620&lt;&gt;1,"",IF($G620="ROKS",SUMIFS(TblApplications[Besoin ROKS RAM (Go)],TblApplications[Cluster ROKS cible],$F620,TblApplications[Action],"À migrer",TblApplications[Déjà incluse ROKS],"Non",TblApplications[Mois prov (calc)],"&lt;="&amp;$E620),SUMIFS(TblApplications[RAM IKS libérable (Go)],TblApplications[Cluster IKS source],$F620,TblApplications[Mois lib (calc)],"&lt;="&amp;$E620)))</f>
        <v>0</v>
      </c>
      <c r="R620" s="19">
        <f t="shared" si="156"/>
        <v>48</v>
      </c>
      <c r="S620" s="19">
        <f t="shared" si="157"/>
        <v>240</v>
      </c>
      <c r="T620" s="19">
        <f t="shared" si="158"/>
        <v>6</v>
      </c>
      <c r="U620" s="19">
        <f t="shared" si="159"/>
        <v>48</v>
      </c>
      <c r="V620" s="19">
        <f t="shared" si="160"/>
        <v>240</v>
      </c>
      <c r="W620" s="73">
        <f t="shared" si="161"/>
        <v>2208</v>
      </c>
      <c r="X620" s="19">
        <f>IF($D620&lt;&gt;1,"",IF($G620="ROKS",$R620,IF($AI620=1,0,MAX($N620,$L620-SUMIFS(TblApplications[CPU IKS libérable (vCPU)],TblApplications[Cluster IKS source],$F620,TblApplications[Action],"À migrer",TblApplications[Mois prov (calc)],"&lt;="&amp;$E620)-SUMIFS(TblApplications[CPU IKS libérable (vCPU)],TblApplications[Cluster IKS source],$F620,TblApplications[Action],"À décommissionner",TblApplications[Mois lib (calc)],"&lt;="&amp;$E620)))))</f>
        <v>48</v>
      </c>
      <c r="Y620" s="19">
        <f>IF($D620&lt;&gt;1,"",IF($G620="ROKS",$S620,IF($AI620=1,0,MAX($O620,$M620-SUMIFS(TblApplications[RAM IKS libérable (Go)],TblApplications[Cluster IKS source],$F620,TblApplications[Action],"À migrer",TblApplications[Mois prov (calc)],"&lt;="&amp;$E620)-SUMIFS(TblApplications[RAM IKS libérable (Go)],TblApplications[Cluster IKS source],$F620,TblApplications[Action],"À décommissionner",TblApplications[Mois lib (calc)],"&lt;="&amp;$E620)))))</f>
        <v>240</v>
      </c>
      <c r="Z620" s="19">
        <f t="shared" si="162"/>
        <v>6</v>
      </c>
      <c r="AA620" s="73">
        <f t="shared" si="163"/>
        <v>2208</v>
      </c>
      <c r="AB620" s="19">
        <f t="shared" si="164"/>
        <v>6</v>
      </c>
      <c r="AC620" s="73">
        <f t="shared" si="165"/>
        <v>2208</v>
      </c>
      <c r="AD620" s="19">
        <f t="shared" si="166"/>
        <v>0</v>
      </c>
      <c r="AE620" s="19">
        <f t="shared" si="167"/>
        <v>0</v>
      </c>
      <c r="AF620" s="19" t="str">
        <f>IF($D620&lt;&gt;1,"",IF(INDEX(TblClusters[Environnement],$B620)="","(vide)",INDEX(TblClusters[Environnement],$B620)))</f>
        <v>PRD</v>
      </c>
      <c r="AG620" s="19">
        <f t="shared" si="168"/>
        <v>72</v>
      </c>
      <c r="AH620" s="19">
        <f t="shared" si="169"/>
        <v>30.666666666666668</v>
      </c>
      <c r="AI620" s="19">
        <f>IF($D620&lt;&gt;1,"",IF(AND($G620="IKS",ISNUMBER(INDEX(TblClusters[Fermeture retenue],$B620))),IF($E620&gt;=INDEX(TblClusters[Fermeture retenue],$B620),1,0),0))</f>
        <v>0</v>
      </c>
    </row>
    <row r="621" spans="1:35" x14ac:dyDescent="0.2">
      <c r="A621" s="19">
        <v>616</v>
      </c>
      <c r="B621" s="19">
        <f t="shared" si="153"/>
        <v>18</v>
      </c>
      <c r="C621" s="19">
        <f t="shared" si="154"/>
        <v>4</v>
      </c>
      <c r="D621" s="19">
        <f>IF($C621&gt;p_horizon,0,IFERROR(IF(AND(INDEX(TblClusters[Cluster],$B621)&lt;&gt;"",ISNUMBER(INDEX(TblClusters[CPU initial (vCPU)],$B621)),ISNUMBER(INDEX(TblClusters[CPU min (vCPU)],$B621)),OR(INDEX(TblClusters[Plateforme],$B621)="IKS",INDEX(TblClusters[Plateforme],$B621)="ROKS")),1,0),0))</f>
        <v>1</v>
      </c>
      <c r="E621" s="72">
        <f t="shared" si="155"/>
        <v>46388</v>
      </c>
      <c r="F621" s="19" t="str">
        <f>IF($D621=1,INDEX(TblClusters[Cluster],$B621),"")</f>
        <v>oc002i001021</v>
      </c>
      <c r="G621" s="19" t="str">
        <f>IF($D621=1,INDEX(TblClusters[Plateforme],$B621),"")</f>
        <v>ROKS</v>
      </c>
      <c r="H621" s="19">
        <f>IF($D621=1,INDEX(TblClusters[vCPU par nœud],$B621),"")</f>
        <v>8</v>
      </c>
      <c r="I621" s="19">
        <f>IF($D621=1,INDEX(TblClusters[RAM par nœud (Go)],$B621),"")</f>
        <v>40</v>
      </c>
      <c r="J621" s="19">
        <f>IF($D621=1,INDEX(TblClusters[Workers min],$B621),"")</f>
        <v>6</v>
      </c>
      <c r="K621" s="73">
        <f>IF($D621=1,INDEX(TblClusters[Tarif par nœud],$B621),"")</f>
        <v>368</v>
      </c>
      <c r="L621" s="19">
        <f>IF($D621=1,INDEX(TblClusters[CPU initial (vCPU)],$B621),"")</f>
        <v>48</v>
      </c>
      <c r="M621" s="19">
        <f>IF($D621=1,INDEX(TblClusters[RAM initiale (Go)],$B621),"")</f>
        <v>240</v>
      </c>
      <c r="N621" s="19">
        <f>IF($D621=1,INDEX(TblClusters[CPU min (vCPU)],$B621),"")</f>
        <v>48</v>
      </c>
      <c r="O621" s="19">
        <f>IF($D621=1,INDEX(TblClusters[RAM min (Go)],$B621),"")</f>
        <v>240</v>
      </c>
      <c r="P621" s="19">
        <f>IF($D621&lt;&gt;1,"",IF($G621="ROKS",SUMIFS(TblApplications[Besoin ROKS CPU (vCPU)],TblApplications[Cluster ROKS cible],$F621,TblApplications[Action],"À migrer",TblApplications[Déjà incluse ROKS],"Non",TblApplications[Mois prov (calc)],"&lt;="&amp;$E621),SUMIFS(TblApplications[CPU IKS libérable (vCPU)],TblApplications[Cluster IKS source],$F621,TblApplications[Mois lib (calc)],"&lt;="&amp;$E621)))</f>
        <v>0</v>
      </c>
      <c r="Q621" s="19">
        <f>IF($D621&lt;&gt;1,"",IF($G621="ROKS",SUMIFS(TblApplications[Besoin ROKS RAM (Go)],TblApplications[Cluster ROKS cible],$F621,TblApplications[Action],"À migrer",TblApplications[Déjà incluse ROKS],"Non",TblApplications[Mois prov (calc)],"&lt;="&amp;$E621),SUMIFS(TblApplications[RAM IKS libérable (Go)],TblApplications[Cluster IKS source],$F621,TblApplications[Mois lib (calc)],"&lt;="&amp;$E621)))</f>
        <v>0</v>
      </c>
      <c r="R621" s="19">
        <f t="shared" si="156"/>
        <v>48</v>
      </c>
      <c r="S621" s="19">
        <f t="shared" si="157"/>
        <v>240</v>
      </c>
      <c r="T621" s="19">
        <f t="shared" si="158"/>
        <v>6</v>
      </c>
      <c r="U621" s="19">
        <f t="shared" si="159"/>
        <v>48</v>
      </c>
      <c r="V621" s="19">
        <f t="shared" si="160"/>
        <v>240</v>
      </c>
      <c r="W621" s="73">
        <f t="shared" si="161"/>
        <v>2208</v>
      </c>
      <c r="X621" s="19">
        <f>IF($D621&lt;&gt;1,"",IF($G621="ROKS",$R621,IF($AI621=1,0,MAX($N621,$L621-SUMIFS(TblApplications[CPU IKS libérable (vCPU)],TblApplications[Cluster IKS source],$F621,TblApplications[Action],"À migrer",TblApplications[Mois prov (calc)],"&lt;="&amp;$E621)-SUMIFS(TblApplications[CPU IKS libérable (vCPU)],TblApplications[Cluster IKS source],$F621,TblApplications[Action],"À décommissionner",TblApplications[Mois lib (calc)],"&lt;="&amp;$E621)))))</f>
        <v>48</v>
      </c>
      <c r="Y621" s="19">
        <f>IF($D621&lt;&gt;1,"",IF($G621="ROKS",$S621,IF($AI621=1,0,MAX($O621,$M621-SUMIFS(TblApplications[RAM IKS libérable (Go)],TblApplications[Cluster IKS source],$F621,TblApplications[Action],"À migrer",TblApplications[Mois prov (calc)],"&lt;="&amp;$E621)-SUMIFS(TblApplications[RAM IKS libérable (Go)],TblApplications[Cluster IKS source],$F621,TblApplications[Action],"À décommissionner",TblApplications[Mois lib (calc)],"&lt;="&amp;$E621)))))</f>
        <v>240</v>
      </c>
      <c r="Z621" s="19">
        <f t="shared" si="162"/>
        <v>6</v>
      </c>
      <c r="AA621" s="73">
        <f t="shared" si="163"/>
        <v>2208</v>
      </c>
      <c r="AB621" s="19">
        <f t="shared" si="164"/>
        <v>6</v>
      </c>
      <c r="AC621" s="73">
        <f t="shared" si="165"/>
        <v>2208</v>
      </c>
      <c r="AD621" s="19">
        <f t="shared" si="166"/>
        <v>0</v>
      </c>
      <c r="AE621" s="19">
        <f t="shared" si="167"/>
        <v>0</v>
      </c>
      <c r="AF621" s="19" t="str">
        <f>IF($D621&lt;&gt;1,"",IF(INDEX(TblClusters[Environnement],$B621)="","(vide)",INDEX(TblClusters[Environnement],$B621)))</f>
        <v>PRD</v>
      </c>
      <c r="AG621" s="19">
        <f t="shared" si="168"/>
        <v>72</v>
      </c>
      <c r="AH621" s="19">
        <f t="shared" si="169"/>
        <v>30.666666666666668</v>
      </c>
      <c r="AI621" s="19">
        <f>IF($D621&lt;&gt;1,"",IF(AND($G621="IKS",ISNUMBER(INDEX(TblClusters[Fermeture retenue],$B621))),IF($E621&gt;=INDEX(TblClusters[Fermeture retenue],$B621),1,0),0))</f>
        <v>0</v>
      </c>
    </row>
    <row r="622" spans="1:35" x14ac:dyDescent="0.2">
      <c r="A622" s="19">
        <v>617</v>
      </c>
      <c r="B622" s="19">
        <f t="shared" si="153"/>
        <v>18</v>
      </c>
      <c r="C622" s="19">
        <f t="shared" si="154"/>
        <v>5</v>
      </c>
      <c r="D622" s="19">
        <f>IF($C622&gt;p_horizon,0,IFERROR(IF(AND(INDEX(TblClusters[Cluster],$B622)&lt;&gt;"",ISNUMBER(INDEX(TblClusters[CPU initial (vCPU)],$B622)),ISNUMBER(INDEX(TblClusters[CPU min (vCPU)],$B622)),OR(INDEX(TblClusters[Plateforme],$B622)="IKS",INDEX(TblClusters[Plateforme],$B622)="ROKS")),1,0),0))</f>
        <v>1</v>
      </c>
      <c r="E622" s="72">
        <f t="shared" si="155"/>
        <v>46419</v>
      </c>
      <c r="F622" s="19" t="str">
        <f>IF($D622=1,INDEX(TblClusters[Cluster],$B622),"")</f>
        <v>oc002i001021</v>
      </c>
      <c r="G622" s="19" t="str">
        <f>IF($D622=1,INDEX(TblClusters[Plateforme],$B622),"")</f>
        <v>ROKS</v>
      </c>
      <c r="H622" s="19">
        <f>IF($D622=1,INDEX(TblClusters[vCPU par nœud],$B622),"")</f>
        <v>8</v>
      </c>
      <c r="I622" s="19">
        <f>IF($D622=1,INDEX(TblClusters[RAM par nœud (Go)],$B622),"")</f>
        <v>40</v>
      </c>
      <c r="J622" s="19">
        <f>IF($D622=1,INDEX(TblClusters[Workers min],$B622),"")</f>
        <v>6</v>
      </c>
      <c r="K622" s="73">
        <f>IF($D622=1,INDEX(TblClusters[Tarif par nœud],$B622),"")</f>
        <v>368</v>
      </c>
      <c r="L622" s="19">
        <f>IF($D622=1,INDEX(TblClusters[CPU initial (vCPU)],$B622),"")</f>
        <v>48</v>
      </c>
      <c r="M622" s="19">
        <f>IF($D622=1,INDEX(TblClusters[RAM initiale (Go)],$B622),"")</f>
        <v>240</v>
      </c>
      <c r="N622" s="19">
        <f>IF($D622=1,INDEX(TblClusters[CPU min (vCPU)],$B622),"")</f>
        <v>48</v>
      </c>
      <c r="O622" s="19">
        <f>IF($D622=1,INDEX(TblClusters[RAM min (Go)],$B622),"")</f>
        <v>240</v>
      </c>
      <c r="P622" s="19">
        <f>IF($D622&lt;&gt;1,"",IF($G622="ROKS",SUMIFS(TblApplications[Besoin ROKS CPU (vCPU)],TblApplications[Cluster ROKS cible],$F622,TblApplications[Action],"À migrer",TblApplications[Déjà incluse ROKS],"Non",TblApplications[Mois prov (calc)],"&lt;="&amp;$E622),SUMIFS(TblApplications[CPU IKS libérable (vCPU)],TblApplications[Cluster IKS source],$F622,TblApplications[Mois lib (calc)],"&lt;="&amp;$E622)))</f>
        <v>0</v>
      </c>
      <c r="Q622" s="19">
        <f>IF($D622&lt;&gt;1,"",IF($G622="ROKS",SUMIFS(TblApplications[Besoin ROKS RAM (Go)],TblApplications[Cluster ROKS cible],$F622,TblApplications[Action],"À migrer",TblApplications[Déjà incluse ROKS],"Non",TblApplications[Mois prov (calc)],"&lt;="&amp;$E622),SUMIFS(TblApplications[RAM IKS libérable (Go)],TblApplications[Cluster IKS source],$F622,TblApplications[Mois lib (calc)],"&lt;="&amp;$E622)))</f>
        <v>0</v>
      </c>
      <c r="R622" s="19">
        <f t="shared" si="156"/>
        <v>48</v>
      </c>
      <c r="S622" s="19">
        <f t="shared" si="157"/>
        <v>240</v>
      </c>
      <c r="T622" s="19">
        <f t="shared" si="158"/>
        <v>6</v>
      </c>
      <c r="U622" s="19">
        <f t="shared" si="159"/>
        <v>48</v>
      </c>
      <c r="V622" s="19">
        <f t="shared" si="160"/>
        <v>240</v>
      </c>
      <c r="W622" s="73">
        <f t="shared" si="161"/>
        <v>2208</v>
      </c>
      <c r="X622" s="19">
        <f>IF($D622&lt;&gt;1,"",IF($G622="ROKS",$R622,IF($AI622=1,0,MAX($N622,$L622-SUMIFS(TblApplications[CPU IKS libérable (vCPU)],TblApplications[Cluster IKS source],$F622,TblApplications[Action],"À migrer",TblApplications[Mois prov (calc)],"&lt;="&amp;$E622)-SUMIFS(TblApplications[CPU IKS libérable (vCPU)],TblApplications[Cluster IKS source],$F622,TblApplications[Action],"À décommissionner",TblApplications[Mois lib (calc)],"&lt;="&amp;$E622)))))</f>
        <v>48</v>
      </c>
      <c r="Y622" s="19">
        <f>IF($D622&lt;&gt;1,"",IF($G622="ROKS",$S622,IF($AI622=1,0,MAX($O622,$M622-SUMIFS(TblApplications[RAM IKS libérable (Go)],TblApplications[Cluster IKS source],$F622,TblApplications[Action],"À migrer",TblApplications[Mois prov (calc)],"&lt;="&amp;$E622)-SUMIFS(TblApplications[RAM IKS libérable (Go)],TblApplications[Cluster IKS source],$F622,TblApplications[Action],"À décommissionner",TblApplications[Mois lib (calc)],"&lt;="&amp;$E622)))))</f>
        <v>240</v>
      </c>
      <c r="Z622" s="19">
        <f t="shared" si="162"/>
        <v>6</v>
      </c>
      <c r="AA622" s="73">
        <f t="shared" si="163"/>
        <v>2208</v>
      </c>
      <c r="AB622" s="19">
        <f t="shared" si="164"/>
        <v>6</v>
      </c>
      <c r="AC622" s="73">
        <f t="shared" si="165"/>
        <v>2208</v>
      </c>
      <c r="AD622" s="19">
        <f t="shared" si="166"/>
        <v>0</v>
      </c>
      <c r="AE622" s="19">
        <f t="shared" si="167"/>
        <v>0</v>
      </c>
      <c r="AF622" s="19" t="str">
        <f>IF($D622&lt;&gt;1,"",IF(INDEX(TblClusters[Environnement],$B622)="","(vide)",INDEX(TblClusters[Environnement],$B622)))</f>
        <v>PRD</v>
      </c>
      <c r="AG622" s="19">
        <f t="shared" si="168"/>
        <v>72</v>
      </c>
      <c r="AH622" s="19">
        <f t="shared" si="169"/>
        <v>30.666666666666668</v>
      </c>
      <c r="AI622" s="19">
        <f>IF($D622&lt;&gt;1,"",IF(AND($G622="IKS",ISNUMBER(INDEX(TblClusters[Fermeture retenue],$B622))),IF($E622&gt;=INDEX(TblClusters[Fermeture retenue],$B622),1,0),0))</f>
        <v>0</v>
      </c>
    </row>
    <row r="623" spans="1:35" x14ac:dyDescent="0.2">
      <c r="A623" s="19">
        <v>618</v>
      </c>
      <c r="B623" s="19">
        <f t="shared" si="153"/>
        <v>18</v>
      </c>
      <c r="C623" s="19">
        <f t="shared" si="154"/>
        <v>6</v>
      </c>
      <c r="D623" s="19">
        <f>IF($C623&gt;p_horizon,0,IFERROR(IF(AND(INDEX(TblClusters[Cluster],$B623)&lt;&gt;"",ISNUMBER(INDEX(TblClusters[CPU initial (vCPU)],$B623)),ISNUMBER(INDEX(TblClusters[CPU min (vCPU)],$B623)),OR(INDEX(TblClusters[Plateforme],$B623)="IKS",INDEX(TblClusters[Plateforme],$B623)="ROKS")),1,0),0))</f>
        <v>1</v>
      </c>
      <c r="E623" s="72">
        <f t="shared" si="155"/>
        <v>46447</v>
      </c>
      <c r="F623" s="19" t="str">
        <f>IF($D623=1,INDEX(TblClusters[Cluster],$B623),"")</f>
        <v>oc002i001021</v>
      </c>
      <c r="G623" s="19" t="str">
        <f>IF($D623=1,INDEX(TblClusters[Plateforme],$B623),"")</f>
        <v>ROKS</v>
      </c>
      <c r="H623" s="19">
        <f>IF($D623=1,INDEX(TblClusters[vCPU par nœud],$B623),"")</f>
        <v>8</v>
      </c>
      <c r="I623" s="19">
        <f>IF($D623=1,INDEX(TblClusters[RAM par nœud (Go)],$B623),"")</f>
        <v>40</v>
      </c>
      <c r="J623" s="19">
        <f>IF($D623=1,INDEX(TblClusters[Workers min],$B623),"")</f>
        <v>6</v>
      </c>
      <c r="K623" s="73">
        <f>IF($D623=1,INDEX(TblClusters[Tarif par nœud],$B623),"")</f>
        <v>368</v>
      </c>
      <c r="L623" s="19">
        <f>IF($D623=1,INDEX(TblClusters[CPU initial (vCPU)],$B623),"")</f>
        <v>48</v>
      </c>
      <c r="M623" s="19">
        <f>IF($D623=1,INDEX(TblClusters[RAM initiale (Go)],$B623),"")</f>
        <v>240</v>
      </c>
      <c r="N623" s="19">
        <f>IF($D623=1,INDEX(TblClusters[CPU min (vCPU)],$B623),"")</f>
        <v>48</v>
      </c>
      <c r="O623" s="19">
        <f>IF($D623=1,INDEX(TblClusters[RAM min (Go)],$B623),"")</f>
        <v>240</v>
      </c>
      <c r="P623" s="19">
        <f>IF($D623&lt;&gt;1,"",IF($G623="ROKS",SUMIFS(TblApplications[Besoin ROKS CPU (vCPU)],TblApplications[Cluster ROKS cible],$F623,TblApplications[Action],"À migrer",TblApplications[Déjà incluse ROKS],"Non",TblApplications[Mois prov (calc)],"&lt;="&amp;$E623),SUMIFS(TblApplications[CPU IKS libérable (vCPU)],TblApplications[Cluster IKS source],$F623,TblApplications[Mois lib (calc)],"&lt;="&amp;$E623)))</f>
        <v>0</v>
      </c>
      <c r="Q623" s="19">
        <f>IF($D623&lt;&gt;1,"",IF($G623="ROKS",SUMIFS(TblApplications[Besoin ROKS RAM (Go)],TblApplications[Cluster ROKS cible],$F623,TblApplications[Action],"À migrer",TblApplications[Déjà incluse ROKS],"Non",TblApplications[Mois prov (calc)],"&lt;="&amp;$E623),SUMIFS(TblApplications[RAM IKS libérable (Go)],TblApplications[Cluster IKS source],$F623,TblApplications[Mois lib (calc)],"&lt;="&amp;$E623)))</f>
        <v>0</v>
      </c>
      <c r="R623" s="19">
        <f t="shared" si="156"/>
        <v>48</v>
      </c>
      <c r="S623" s="19">
        <f t="shared" si="157"/>
        <v>240</v>
      </c>
      <c r="T623" s="19">
        <f t="shared" si="158"/>
        <v>6</v>
      </c>
      <c r="U623" s="19">
        <f t="shared" si="159"/>
        <v>48</v>
      </c>
      <c r="V623" s="19">
        <f t="shared" si="160"/>
        <v>240</v>
      </c>
      <c r="W623" s="73">
        <f t="shared" si="161"/>
        <v>2208</v>
      </c>
      <c r="X623" s="19">
        <f>IF($D623&lt;&gt;1,"",IF($G623="ROKS",$R623,IF($AI623=1,0,MAX($N623,$L623-SUMIFS(TblApplications[CPU IKS libérable (vCPU)],TblApplications[Cluster IKS source],$F623,TblApplications[Action],"À migrer",TblApplications[Mois prov (calc)],"&lt;="&amp;$E623)-SUMIFS(TblApplications[CPU IKS libérable (vCPU)],TblApplications[Cluster IKS source],$F623,TblApplications[Action],"À décommissionner",TblApplications[Mois lib (calc)],"&lt;="&amp;$E623)))))</f>
        <v>48</v>
      </c>
      <c r="Y623" s="19">
        <f>IF($D623&lt;&gt;1,"",IF($G623="ROKS",$S623,IF($AI623=1,0,MAX($O623,$M623-SUMIFS(TblApplications[RAM IKS libérable (Go)],TblApplications[Cluster IKS source],$F623,TblApplications[Action],"À migrer",TblApplications[Mois prov (calc)],"&lt;="&amp;$E623)-SUMIFS(TblApplications[RAM IKS libérable (Go)],TblApplications[Cluster IKS source],$F623,TblApplications[Action],"À décommissionner",TblApplications[Mois lib (calc)],"&lt;="&amp;$E623)))))</f>
        <v>240</v>
      </c>
      <c r="Z623" s="19">
        <f t="shared" si="162"/>
        <v>6</v>
      </c>
      <c r="AA623" s="73">
        <f t="shared" si="163"/>
        <v>2208</v>
      </c>
      <c r="AB623" s="19">
        <f t="shared" si="164"/>
        <v>6</v>
      </c>
      <c r="AC623" s="73">
        <f t="shared" si="165"/>
        <v>2208</v>
      </c>
      <c r="AD623" s="19">
        <f t="shared" si="166"/>
        <v>0</v>
      </c>
      <c r="AE623" s="19">
        <f t="shared" si="167"/>
        <v>0</v>
      </c>
      <c r="AF623" s="19" t="str">
        <f>IF($D623&lt;&gt;1,"",IF(INDEX(TblClusters[Environnement],$B623)="","(vide)",INDEX(TblClusters[Environnement],$B623)))</f>
        <v>PRD</v>
      </c>
      <c r="AG623" s="19">
        <f t="shared" si="168"/>
        <v>72</v>
      </c>
      <c r="AH623" s="19">
        <f t="shared" si="169"/>
        <v>30.666666666666668</v>
      </c>
      <c r="AI623" s="19">
        <f>IF($D623&lt;&gt;1,"",IF(AND($G623="IKS",ISNUMBER(INDEX(TblClusters[Fermeture retenue],$B623))),IF($E623&gt;=INDEX(TblClusters[Fermeture retenue],$B623),1,0),0))</f>
        <v>0</v>
      </c>
    </row>
    <row r="624" spans="1:35" x14ac:dyDescent="0.2">
      <c r="A624" s="19">
        <v>619</v>
      </c>
      <c r="B624" s="19">
        <f t="shared" si="153"/>
        <v>18</v>
      </c>
      <c r="C624" s="19">
        <f t="shared" si="154"/>
        <v>7</v>
      </c>
      <c r="D624" s="19">
        <f>IF($C624&gt;p_horizon,0,IFERROR(IF(AND(INDEX(TblClusters[Cluster],$B624)&lt;&gt;"",ISNUMBER(INDEX(TblClusters[CPU initial (vCPU)],$B624)),ISNUMBER(INDEX(TblClusters[CPU min (vCPU)],$B624)),OR(INDEX(TblClusters[Plateforme],$B624)="IKS",INDEX(TblClusters[Plateforme],$B624)="ROKS")),1,0),0))</f>
        <v>1</v>
      </c>
      <c r="E624" s="72">
        <f t="shared" si="155"/>
        <v>46478</v>
      </c>
      <c r="F624" s="19" t="str">
        <f>IF($D624=1,INDEX(TblClusters[Cluster],$B624),"")</f>
        <v>oc002i001021</v>
      </c>
      <c r="G624" s="19" t="str">
        <f>IF($D624=1,INDEX(TblClusters[Plateforme],$B624),"")</f>
        <v>ROKS</v>
      </c>
      <c r="H624" s="19">
        <f>IF($D624=1,INDEX(TblClusters[vCPU par nœud],$B624),"")</f>
        <v>8</v>
      </c>
      <c r="I624" s="19">
        <f>IF($D624=1,INDEX(TblClusters[RAM par nœud (Go)],$B624),"")</f>
        <v>40</v>
      </c>
      <c r="J624" s="19">
        <f>IF($D624=1,INDEX(TblClusters[Workers min],$B624),"")</f>
        <v>6</v>
      </c>
      <c r="K624" s="73">
        <f>IF($D624=1,INDEX(TblClusters[Tarif par nœud],$B624),"")</f>
        <v>368</v>
      </c>
      <c r="L624" s="19">
        <f>IF($D624=1,INDEX(TblClusters[CPU initial (vCPU)],$B624),"")</f>
        <v>48</v>
      </c>
      <c r="M624" s="19">
        <f>IF($D624=1,INDEX(TblClusters[RAM initiale (Go)],$B624),"")</f>
        <v>240</v>
      </c>
      <c r="N624" s="19">
        <f>IF($D624=1,INDEX(TblClusters[CPU min (vCPU)],$B624),"")</f>
        <v>48</v>
      </c>
      <c r="O624" s="19">
        <f>IF($D624=1,INDEX(TblClusters[RAM min (Go)],$B624),"")</f>
        <v>240</v>
      </c>
      <c r="P624" s="19">
        <f>IF($D624&lt;&gt;1,"",IF($G624="ROKS",SUMIFS(TblApplications[Besoin ROKS CPU (vCPU)],TblApplications[Cluster ROKS cible],$F624,TblApplications[Action],"À migrer",TblApplications[Déjà incluse ROKS],"Non",TblApplications[Mois prov (calc)],"&lt;="&amp;$E624),SUMIFS(TblApplications[CPU IKS libérable (vCPU)],TblApplications[Cluster IKS source],$F624,TblApplications[Mois lib (calc)],"&lt;="&amp;$E624)))</f>
        <v>0</v>
      </c>
      <c r="Q624" s="19">
        <f>IF($D624&lt;&gt;1,"",IF($G624="ROKS",SUMIFS(TblApplications[Besoin ROKS RAM (Go)],TblApplications[Cluster ROKS cible],$F624,TblApplications[Action],"À migrer",TblApplications[Déjà incluse ROKS],"Non",TblApplications[Mois prov (calc)],"&lt;="&amp;$E624),SUMIFS(TblApplications[RAM IKS libérable (Go)],TblApplications[Cluster IKS source],$F624,TblApplications[Mois lib (calc)],"&lt;="&amp;$E624)))</f>
        <v>0</v>
      </c>
      <c r="R624" s="19">
        <f t="shared" si="156"/>
        <v>48</v>
      </c>
      <c r="S624" s="19">
        <f t="shared" si="157"/>
        <v>240</v>
      </c>
      <c r="T624" s="19">
        <f t="shared" si="158"/>
        <v>6</v>
      </c>
      <c r="U624" s="19">
        <f t="shared" si="159"/>
        <v>48</v>
      </c>
      <c r="V624" s="19">
        <f t="shared" si="160"/>
        <v>240</v>
      </c>
      <c r="W624" s="73">
        <f t="shared" si="161"/>
        <v>2208</v>
      </c>
      <c r="X624" s="19">
        <f>IF($D624&lt;&gt;1,"",IF($G624="ROKS",$R624,IF($AI624=1,0,MAX($N624,$L624-SUMIFS(TblApplications[CPU IKS libérable (vCPU)],TblApplications[Cluster IKS source],$F624,TblApplications[Action],"À migrer",TblApplications[Mois prov (calc)],"&lt;="&amp;$E624)-SUMIFS(TblApplications[CPU IKS libérable (vCPU)],TblApplications[Cluster IKS source],$F624,TblApplications[Action],"À décommissionner",TblApplications[Mois lib (calc)],"&lt;="&amp;$E624)))))</f>
        <v>48</v>
      </c>
      <c r="Y624" s="19">
        <f>IF($D624&lt;&gt;1,"",IF($G624="ROKS",$S624,IF($AI624=1,0,MAX($O624,$M624-SUMIFS(TblApplications[RAM IKS libérable (Go)],TblApplications[Cluster IKS source],$F624,TblApplications[Action],"À migrer",TblApplications[Mois prov (calc)],"&lt;="&amp;$E624)-SUMIFS(TblApplications[RAM IKS libérable (Go)],TblApplications[Cluster IKS source],$F624,TblApplications[Action],"À décommissionner",TblApplications[Mois lib (calc)],"&lt;="&amp;$E624)))))</f>
        <v>240</v>
      </c>
      <c r="Z624" s="19">
        <f t="shared" si="162"/>
        <v>6</v>
      </c>
      <c r="AA624" s="73">
        <f t="shared" si="163"/>
        <v>2208</v>
      </c>
      <c r="AB624" s="19">
        <f t="shared" si="164"/>
        <v>6</v>
      </c>
      <c r="AC624" s="73">
        <f t="shared" si="165"/>
        <v>2208</v>
      </c>
      <c r="AD624" s="19">
        <f t="shared" si="166"/>
        <v>0</v>
      </c>
      <c r="AE624" s="19">
        <f t="shared" si="167"/>
        <v>0</v>
      </c>
      <c r="AF624" s="19" t="str">
        <f>IF($D624&lt;&gt;1,"",IF(INDEX(TblClusters[Environnement],$B624)="","(vide)",INDEX(TblClusters[Environnement],$B624)))</f>
        <v>PRD</v>
      </c>
      <c r="AG624" s="19">
        <f t="shared" si="168"/>
        <v>72</v>
      </c>
      <c r="AH624" s="19">
        <f t="shared" si="169"/>
        <v>30.666666666666668</v>
      </c>
      <c r="AI624" s="19">
        <f>IF($D624&lt;&gt;1,"",IF(AND($G624="IKS",ISNUMBER(INDEX(TblClusters[Fermeture retenue],$B624))),IF($E624&gt;=INDEX(TblClusters[Fermeture retenue],$B624),1,0),0))</f>
        <v>0</v>
      </c>
    </row>
    <row r="625" spans="1:35" x14ac:dyDescent="0.2">
      <c r="A625" s="19">
        <v>620</v>
      </c>
      <c r="B625" s="19">
        <f t="shared" si="153"/>
        <v>18</v>
      </c>
      <c r="C625" s="19">
        <f t="shared" si="154"/>
        <v>8</v>
      </c>
      <c r="D625" s="19">
        <f>IF($C625&gt;p_horizon,0,IFERROR(IF(AND(INDEX(TblClusters[Cluster],$B625)&lt;&gt;"",ISNUMBER(INDEX(TblClusters[CPU initial (vCPU)],$B625)),ISNUMBER(INDEX(TblClusters[CPU min (vCPU)],$B625)),OR(INDEX(TblClusters[Plateforme],$B625)="IKS",INDEX(TblClusters[Plateforme],$B625)="ROKS")),1,0),0))</f>
        <v>1</v>
      </c>
      <c r="E625" s="72">
        <f t="shared" si="155"/>
        <v>46508</v>
      </c>
      <c r="F625" s="19" t="str">
        <f>IF($D625=1,INDEX(TblClusters[Cluster],$B625),"")</f>
        <v>oc002i001021</v>
      </c>
      <c r="G625" s="19" t="str">
        <f>IF($D625=1,INDEX(TblClusters[Plateforme],$B625),"")</f>
        <v>ROKS</v>
      </c>
      <c r="H625" s="19">
        <f>IF($D625=1,INDEX(TblClusters[vCPU par nœud],$B625),"")</f>
        <v>8</v>
      </c>
      <c r="I625" s="19">
        <f>IF($D625=1,INDEX(TblClusters[RAM par nœud (Go)],$B625),"")</f>
        <v>40</v>
      </c>
      <c r="J625" s="19">
        <f>IF($D625=1,INDEX(TblClusters[Workers min],$B625),"")</f>
        <v>6</v>
      </c>
      <c r="K625" s="73">
        <f>IF($D625=1,INDEX(TblClusters[Tarif par nœud],$B625),"")</f>
        <v>368</v>
      </c>
      <c r="L625" s="19">
        <f>IF($D625=1,INDEX(TblClusters[CPU initial (vCPU)],$B625),"")</f>
        <v>48</v>
      </c>
      <c r="M625" s="19">
        <f>IF($D625=1,INDEX(TblClusters[RAM initiale (Go)],$B625),"")</f>
        <v>240</v>
      </c>
      <c r="N625" s="19">
        <f>IF($D625=1,INDEX(TblClusters[CPU min (vCPU)],$B625),"")</f>
        <v>48</v>
      </c>
      <c r="O625" s="19">
        <f>IF($D625=1,INDEX(TblClusters[RAM min (Go)],$B625),"")</f>
        <v>240</v>
      </c>
      <c r="P625" s="19">
        <f>IF($D625&lt;&gt;1,"",IF($G625="ROKS",SUMIFS(TblApplications[Besoin ROKS CPU (vCPU)],TblApplications[Cluster ROKS cible],$F625,TblApplications[Action],"À migrer",TblApplications[Déjà incluse ROKS],"Non",TblApplications[Mois prov (calc)],"&lt;="&amp;$E625),SUMIFS(TblApplications[CPU IKS libérable (vCPU)],TblApplications[Cluster IKS source],$F625,TblApplications[Mois lib (calc)],"&lt;="&amp;$E625)))</f>
        <v>0</v>
      </c>
      <c r="Q625" s="19">
        <f>IF($D625&lt;&gt;1,"",IF($G625="ROKS",SUMIFS(TblApplications[Besoin ROKS RAM (Go)],TblApplications[Cluster ROKS cible],$F625,TblApplications[Action],"À migrer",TblApplications[Déjà incluse ROKS],"Non",TblApplications[Mois prov (calc)],"&lt;="&amp;$E625),SUMIFS(TblApplications[RAM IKS libérable (Go)],TblApplications[Cluster IKS source],$F625,TblApplications[Mois lib (calc)],"&lt;="&amp;$E625)))</f>
        <v>0</v>
      </c>
      <c r="R625" s="19">
        <f t="shared" si="156"/>
        <v>48</v>
      </c>
      <c r="S625" s="19">
        <f t="shared" si="157"/>
        <v>240</v>
      </c>
      <c r="T625" s="19">
        <f t="shared" si="158"/>
        <v>6</v>
      </c>
      <c r="U625" s="19">
        <f t="shared" si="159"/>
        <v>48</v>
      </c>
      <c r="V625" s="19">
        <f t="shared" si="160"/>
        <v>240</v>
      </c>
      <c r="W625" s="73">
        <f t="shared" si="161"/>
        <v>2208</v>
      </c>
      <c r="X625" s="19">
        <f>IF($D625&lt;&gt;1,"",IF($G625="ROKS",$R625,IF($AI625=1,0,MAX($N625,$L625-SUMIFS(TblApplications[CPU IKS libérable (vCPU)],TblApplications[Cluster IKS source],$F625,TblApplications[Action],"À migrer",TblApplications[Mois prov (calc)],"&lt;="&amp;$E625)-SUMIFS(TblApplications[CPU IKS libérable (vCPU)],TblApplications[Cluster IKS source],$F625,TblApplications[Action],"À décommissionner",TblApplications[Mois lib (calc)],"&lt;="&amp;$E625)))))</f>
        <v>48</v>
      </c>
      <c r="Y625" s="19">
        <f>IF($D625&lt;&gt;1,"",IF($G625="ROKS",$S625,IF($AI625=1,0,MAX($O625,$M625-SUMIFS(TblApplications[RAM IKS libérable (Go)],TblApplications[Cluster IKS source],$F625,TblApplications[Action],"À migrer",TblApplications[Mois prov (calc)],"&lt;="&amp;$E625)-SUMIFS(TblApplications[RAM IKS libérable (Go)],TblApplications[Cluster IKS source],$F625,TblApplications[Action],"À décommissionner",TblApplications[Mois lib (calc)],"&lt;="&amp;$E625)))))</f>
        <v>240</v>
      </c>
      <c r="Z625" s="19">
        <f t="shared" si="162"/>
        <v>6</v>
      </c>
      <c r="AA625" s="73">
        <f t="shared" si="163"/>
        <v>2208</v>
      </c>
      <c r="AB625" s="19">
        <f t="shared" si="164"/>
        <v>6</v>
      </c>
      <c r="AC625" s="73">
        <f t="shared" si="165"/>
        <v>2208</v>
      </c>
      <c r="AD625" s="19">
        <f t="shared" si="166"/>
        <v>0</v>
      </c>
      <c r="AE625" s="19">
        <f t="shared" si="167"/>
        <v>0</v>
      </c>
      <c r="AF625" s="19" t="str">
        <f>IF($D625&lt;&gt;1,"",IF(INDEX(TblClusters[Environnement],$B625)="","(vide)",INDEX(TblClusters[Environnement],$B625)))</f>
        <v>PRD</v>
      </c>
      <c r="AG625" s="19">
        <f t="shared" si="168"/>
        <v>72</v>
      </c>
      <c r="AH625" s="19">
        <f t="shared" si="169"/>
        <v>30.666666666666668</v>
      </c>
      <c r="AI625" s="19">
        <f>IF($D625&lt;&gt;1,"",IF(AND($G625="IKS",ISNUMBER(INDEX(TblClusters[Fermeture retenue],$B625))),IF($E625&gt;=INDEX(TblClusters[Fermeture retenue],$B625),1,0),0))</f>
        <v>0</v>
      </c>
    </row>
    <row r="626" spans="1:35" x14ac:dyDescent="0.2">
      <c r="A626" s="19">
        <v>621</v>
      </c>
      <c r="B626" s="19">
        <f t="shared" si="153"/>
        <v>18</v>
      </c>
      <c r="C626" s="19">
        <f t="shared" si="154"/>
        <v>9</v>
      </c>
      <c r="D626" s="19">
        <f>IF($C626&gt;p_horizon,0,IFERROR(IF(AND(INDEX(TblClusters[Cluster],$B626)&lt;&gt;"",ISNUMBER(INDEX(TblClusters[CPU initial (vCPU)],$B626)),ISNUMBER(INDEX(TblClusters[CPU min (vCPU)],$B626)),OR(INDEX(TblClusters[Plateforme],$B626)="IKS",INDEX(TblClusters[Plateforme],$B626)="ROKS")),1,0),0))</f>
        <v>1</v>
      </c>
      <c r="E626" s="72">
        <f t="shared" si="155"/>
        <v>46539</v>
      </c>
      <c r="F626" s="19" t="str">
        <f>IF($D626=1,INDEX(TblClusters[Cluster],$B626),"")</f>
        <v>oc002i001021</v>
      </c>
      <c r="G626" s="19" t="str">
        <f>IF($D626=1,INDEX(TblClusters[Plateforme],$B626),"")</f>
        <v>ROKS</v>
      </c>
      <c r="H626" s="19">
        <f>IF($D626=1,INDEX(TblClusters[vCPU par nœud],$B626),"")</f>
        <v>8</v>
      </c>
      <c r="I626" s="19">
        <f>IF($D626=1,INDEX(TblClusters[RAM par nœud (Go)],$B626),"")</f>
        <v>40</v>
      </c>
      <c r="J626" s="19">
        <f>IF($D626=1,INDEX(TblClusters[Workers min],$B626),"")</f>
        <v>6</v>
      </c>
      <c r="K626" s="73">
        <f>IF($D626=1,INDEX(TblClusters[Tarif par nœud],$B626),"")</f>
        <v>368</v>
      </c>
      <c r="L626" s="19">
        <f>IF($D626=1,INDEX(TblClusters[CPU initial (vCPU)],$B626),"")</f>
        <v>48</v>
      </c>
      <c r="M626" s="19">
        <f>IF($D626=1,INDEX(TblClusters[RAM initiale (Go)],$B626),"")</f>
        <v>240</v>
      </c>
      <c r="N626" s="19">
        <f>IF($D626=1,INDEX(TblClusters[CPU min (vCPU)],$B626),"")</f>
        <v>48</v>
      </c>
      <c r="O626" s="19">
        <f>IF($D626=1,INDEX(TblClusters[RAM min (Go)],$B626),"")</f>
        <v>240</v>
      </c>
      <c r="P626" s="19">
        <f>IF($D626&lt;&gt;1,"",IF($G626="ROKS",SUMIFS(TblApplications[Besoin ROKS CPU (vCPU)],TblApplications[Cluster ROKS cible],$F626,TblApplications[Action],"À migrer",TblApplications[Déjà incluse ROKS],"Non",TblApplications[Mois prov (calc)],"&lt;="&amp;$E626),SUMIFS(TblApplications[CPU IKS libérable (vCPU)],TblApplications[Cluster IKS source],$F626,TblApplications[Mois lib (calc)],"&lt;="&amp;$E626)))</f>
        <v>0</v>
      </c>
      <c r="Q626" s="19">
        <f>IF($D626&lt;&gt;1,"",IF($G626="ROKS",SUMIFS(TblApplications[Besoin ROKS RAM (Go)],TblApplications[Cluster ROKS cible],$F626,TblApplications[Action],"À migrer",TblApplications[Déjà incluse ROKS],"Non",TblApplications[Mois prov (calc)],"&lt;="&amp;$E626),SUMIFS(TblApplications[RAM IKS libérable (Go)],TblApplications[Cluster IKS source],$F626,TblApplications[Mois lib (calc)],"&lt;="&amp;$E626)))</f>
        <v>0</v>
      </c>
      <c r="R626" s="19">
        <f t="shared" si="156"/>
        <v>48</v>
      </c>
      <c r="S626" s="19">
        <f t="shared" si="157"/>
        <v>240</v>
      </c>
      <c r="T626" s="19">
        <f t="shared" si="158"/>
        <v>6</v>
      </c>
      <c r="U626" s="19">
        <f t="shared" si="159"/>
        <v>48</v>
      </c>
      <c r="V626" s="19">
        <f t="shared" si="160"/>
        <v>240</v>
      </c>
      <c r="W626" s="73">
        <f t="shared" si="161"/>
        <v>2208</v>
      </c>
      <c r="X626" s="19">
        <f>IF($D626&lt;&gt;1,"",IF($G626="ROKS",$R626,IF($AI626=1,0,MAX($N626,$L626-SUMIFS(TblApplications[CPU IKS libérable (vCPU)],TblApplications[Cluster IKS source],$F626,TblApplications[Action],"À migrer",TblApplications[Mois prov (calc)],"&lt;="&amp;$E626)-SUMIFS(TblApplications[CPU IKS libérable (vCPU)],TblApplications[Cluster IKS source],$F626,TblApplications[Action],"À décommissionner",TblApplications[Mois lib (calc)],"&lt;="&amp;$E626)))))</f>
        <v>48</v>
      </c>
      <c r="Y626" s="19">
        <f>IF($D626&lt;&gt;1,"",IF($G626="ROKS",$S626,IF($AI626=1,0,MAX($O626,$M626-SUMIFS(TblApplications[RAM IKS libérable (Go)],TblApplications[Cluster IKS source],$F626,TblApplications[Action],"À migrer",TblApplications[Mois prov (calc)],"&lt;="&amp;$E626)-SUMIFS(TblApplications[RAM IKS libérable (Go)],TblApplications[Cluster IKS source],$F626,TblApplications[Action],"À décommissionner",TblApplications[Mois lib (calc)],"&lt;="&amp;$E626)))))</f>
        <v>240</v>
      </c>
      <c r="Z626" s="19">
        <f t="shared" si="162"/>
        <v>6</v>
      </c>
      <c r="AA626" s="73">
        <f t="shared" si="163"/>
        <v>2208</v>
      </c>
      <c r="AB626" s="19">
        <f t="shared" si="164"/>
        <v>6</v>
      </c>
      <c r="AC626" s="73">
        <f t="shared" si="165"/>
        <v>2208</v>
      </c>
      <c r="AD626" s="19">
        <f t="shared" si="166"/>
        <v>0</v>
      </c>
      <c r="AE626" s="19">
        <f t="shared" si="167"/>
        <v>0</v>
      </c>
      <c r="AF626" s="19" t="str">
        <f>IF($D626&lt;&gt;1,"",IF(INDEX(TblClusters[Environnement],$B626)="","(vide)",INDEX(TblClusters[Environnement],$B626)))</f>
        <v>PRD</v>
      </c>
      <c r="AG626" s="19">
        <f t="shared" si="168"/>
        <v>72</v>
      </c>
      <c r="AH626" s="19">
        <f t="shared" si="169"/>
        <v>30.666666666666668</v>
      </c>
      <c r="AI626" s="19">
        <f>IF($D626&lt;&gt;1,"",IF(AND($G626="IKS",ISNUMBER(INDEX(TblClusters[Fermeture retenue],$B626))),IF($E626&gt;=INDEX(TblClusters[Fermeture retenue],$B626),1,0),0))</f>
        <v>0</v>
      </c>
    </row>
    <row r="627" spans="1:35" x14ac:dyDescent="0.2">
      <c r="A627" s="19">
        <v>622</v>
      </c>
      <c r="B627" s="19">
        <f t="shared" si="153"/>
        <v>18</v>
      </c>
      <c r="C627" s="19">
        <f t="shared" si="154"/>
        <v>10</v>
      </c>
      <c r="D627" s="19">
        <f>IF($C627&gt;p_horizon,0,IFERROR(IF(AND(INDEX(TblClusters[Cluster],$B627)&lt;&gt;"",ISNUMBER(INDEX(TblClusters[CPU initial (vCPU)],$B627)),ISNUMBER(INDEX(TblClusters[CPU min (vCPU)],$B627)),OR(INDEX(TblClusters[Plateforme],$B627)="IKS",INDEX(TblClusters[Plateforme],$B627)="ROKS")),1,0),0))</f>
        <v>1</v>
      </c>
      <c r="E627" s="72">
        <f t="shared" si="155"/>
        <v>46569</v>
      </c>
      <c r="F627" s="19" t="str">
        <f>IF($D627=1,INDEX(TblClusters[Cluster],$B627),"")</f>
        <v>oc002i001021</v>
      </c>
      <c r="G627" s="19" t="str">
        <f>IF($D627=1,INDEX(TblClusters[Plateforme],$B627),"")</f>
        <v>ROKS</v>
      </c>
      <c r="H627" s="19">
        <f>IF($D627=1,INDEX(TblClusters[vCPU par nœud],$B627),"")</f>
        <v>8</v>
      </c>
      <c r="I627" s="19">
        <f>IF($D627=1,INDEX(TblClusters[RAM par nœud (Go)],$B627),"")</f>
        <v>40</v>
      </c>
      <c r="J627" s="19">
        <f>IF($D627=1,INDEX(TblClusters[Workers min],$B627),"")</f>
        <v>6</v>
      </c>
      <c r="K627" s="73">
        <f>IF($D627=1,INDEX(TblClusters[Tarif par nœud],$B627),"")</f>
        <v>368</v>
      </c>
      <c r="L627" s="19">
        <f>IF($D627=1,INDEX(TblClusters[CPU initial (vCPU)],$B627),"")</f>
        <v>48</v>
      </c>
      <c r="M627" s="19">
        <f>IF($D627=1,INDEX(TblClusters[RAM initiale (Go)],$B627),"")</f>
        <v>240</v>
      </c>
      <c r="N627" s="19">
        <f>IF($D627=1,INDEX(TblClusters[CPU min (vCPU)],$B627),"")</f>
        <v>48</v>
      </c>
      <c r="O627" s="19">
        <f>IF($D627=1,INDEX(TblClusters[RAM min (Go)],$B627),"")</f>
        <v>240</v>
      </c>
      <c r="P627" s="19">
        <f>IF($D627&lt;&gt;1,"",IF($G627="ROKS",SUMIFS(TblApplications[Besoin ROKS CPU (vCPU)],TblApplications[Cluster ROKS cible],$F627,TblApplications[Action],"À migrer",TblApplications[Déjà incluse ROKS],"Non",TblApplications[Mois prov (calc)],"&lt;="&amp;$E627),SUMIFS(TblApplications[CPU IKS libérable (vCPU)],TblApplications[Cluster IKS source],$F627,TblApplications[Mois lib (calc)],"&lt;="&amp;$E627)))</f>
        <v>0</v>
      </c>
      <c r="Q627" s="19">
        <f>IF($D627&lt;&gt;1,"",IF($G627="ROKS",SUMIFS(TblApplications[Besoin ROKS RAM (Go)],TblApplications[Cluster ROKS cible],$F627,TblApplications[Action],"À migrer",TblApplications[Déjà incluse ROKS],"Non",TblApplications[Mois prov (calc)],"&lt;="&amp;$E627),SUMIFS(TblApplications[RAM IKS libérable (Go)],TblApplications[Cluster IKS source],$F627,TblApplications[Mois lib (calc)],"&lt;="&amp;$E627)))</f>
        <v>0</v>
      </c>
      <c r="R627" s="19">
        <f t="shared" si="156"/>
        <v>48</v>
      </c>
      <c r="S627" s="19">
        <f t="shared" si="157"/>
        <v>240</v>
      </c>
      <c r="T627" s="19">
        <f t="shared" si="158"/>
        <v>6</v>
      </c>
      <c r="U627" s="19">
        <f t="shared" si="159"/>
        <v>48</v>
      </c>
      <c r="V627" s="19">
        <f t="shared" si="160"/>
        <v>240</v>
      </c>
      <c r="W627" s="73">
        <f t="shared" si="161"/>
        <v>2208</v>
      </c>
      <c r="X627" s="19">
        <f>IF($D627&lt;&gt;1,"",IF($G627="ROKS",$R627,IF($AI627=1,0,MAX($N627,$L627-SUMIFS(TblApplications[CPU IKS libérable (vCPU)],TblApplications[Cluster IKS source],$F627,TblApplications[Action],"À migrer",TblApplications[Mois prov (calc)],"&lt;="&amp;$E627)-SUMIFS(TblApplications[CPU IKS libérable (vCPU)],TblApplications[Cluster IKS source],$F627,TblApplications[Action],"À décommissionner",TblApplications[Mois lib (calc)],"&lt;="&amp;$E627)))))</f>
        <v>48</v>
      </c>
      <c r="Y627" s="19">
        <f>IF($D627&lt;&gt;1,"",IF($G627="ROKS",$S627,IF($AI627=1,0,MAX($O627,$M627-SUMIFS(TblApplications[RAM IKS libérable (Go)],TblApplications[Cluster IKS source],$F627,TblApplications[Action],"À migrer",TblApplications[Mois prov (calc)],"&lt;="&amp;$E627)-SUMIFS(TblApplications[RAM IKS libérable (Go)],TblApplications[Cluster IKS source],$F627,TblApplications[Action],"À décommissionner",TblApplications[Mois lib (calc)],"&lt;="&amp;$E627)))))</f>
        <v>240</v>
      </c>
      <c r="Z627" s="19">
        <f t="shared" si="162"/>
        <v>6</v>
      </c>
      <c r="AA627" s="73">
        <f t="shared" si="163"/>
        <v>2208</v>
      </c>
      <c r="AB627" s="19">
        <f t="shared" si="164"/>
        <v>6</v>
      </c>
      <c r="AC627" s="73">
        <f t="shared" si="165"/>
        <v>2208</v>
      </c>
      <c r="AD627" s="19">
        <f t="shared" si="166"/>
        <v>0</v>
      </c>
      <c r="AE627" s="19">
        <f t="shared" si="167"/>
        <v>0</v>
      </c>
      <c r="AF627" s="19" t="str">
        <f>IF($D627&lt;&gt;1,"",IF(INDEX(TblClusters[Environnement],$B627)="","(vide)",INDEX(TblClusters[Environnement],$B627)))</f>
        <v>PRD</v>
      </c>
      <c r="AG627" s="19">
        <f t="shared" si="168"/>
        <v>72</v>
      </c>
      <c r="AH627" s="19">
        <f t="shared" si="169"/>
        <v>30.666666666666668</v>
      </c>
      <c r="AI627" s="19">
        <f>IF($D627&lt;&gt;1,"",IF(AND($G627="IKS",ISNUMBER(INDEX(TblClusters[Fermeture retenue],$B627))),IF($E627&gt;=INDEX(TblClusters[Fermeture retenue],$B627),1,0),0))</f>
        <v>0</v>
      </c>
    </row>
    <row r="628" spans="1:35" x14ac:dyDescent="0.2">
      <c r="A628" s="19">
        <v>623</v>
      </c>
      <c r="B628" s="19">
        <f t="shared" si="153"/>
        <v>18</v>
      </c>
      <c r="C628" s="19">
        <f t="shared" si="154"/>
        <v>11</v>
      </c>
      <c r="D628" s="19">
        <f>IF($C628&gt;p_horizon,0,IFERROR(IF(AND(INDEX(TblClusters[Cluster],$B628)&lt;&gt;"",ISNUMBER(INDEX(TblClusters[CPU initial (vCPU)],$B628)),ISNUMBER(INDEX(TblClusters[CPU min (vCPU)],$B628)),OR(INDEX(TblClusters[Plateforme],$B628)="IKS",INDEX(TblClusters[Plateforme],$B628)="ROKS")),1,0),0))</f>
        <v>1</v>
      </c>
      <c r="E628" s="72">
        <f t="shared" si="155"/>
        <v>46600</v>
      </c>
      <c r="F628" s="19" t="str">
        <f>IF($D628=1,INDEX(TblClusters[Cluster],$B628),"")</f>
        <v>oc002i001021</v>
      </c>
      <c r="G628" s="19" t="str">
        <f>IF($D628=1,INDEX(TblClusters[Plateforme],$B628),"")</f>
        <v>ROKS</v>
      </c>
      <c r="H628" s="19">
        <f>IF($D628=1,INDEX(TblClusters[vCPU par nœud],$B628),"")</f>
        <v>8</v>
      </c>
      <c r="I628" s="19">
        <f>IF($D628=1,INDEX(TblClusters[RAM par nœud (Go)],$B628),"")</f>
        <v>40</v>
      </c>
      <c r="J628" s="19">
        <f>IF($D628=1,INDEX(TblClusters[Workers min],$B628),"")</f>
        <v>6</v>
      </c>
      <c r="K628" s="73">
        <f>IF($D628=1,INDEX(TblClusters[Tarif par nœud],$B628),"")</f>
        <v>368</v>
      </c>
      <c r="L628" s="19">
        <f>IF($D628=1,INDEX(TblClusters[CPU initial (vCPU)],$B628),"")</f>
        <v>48</v>
      </c>
      <c r="M628" s="19">
        <f>IF($D628=1,INDEX(TblClusters[RAM initiale (Go)],$B628),"")</f>
        <v>240</v>
      </c>
      <c r="N628" s="19">
        <f>IF($D628=1,INDEX(TblClusters[CPU min (vCPU)],$B628),"")</f>
        <v>48</v>
      </c>
      <c r="O628" s="19">
        <f>IF($D628=1,INDEX(TblClusters[RAM min (Go)],$B628),"")</f>
        <v>240</v>
      </c>
      <c r="P628" s="19">
        <f>IF($D628&lt;&gt;1,"",IF($G628="ROKS",SUMIFS(TblApplications[Besoin ROKS CPU (vCPU)],TblApplications[Cluster ROKS cible],$F628,TblApplications[Action],"À migrer",TblApplications[Déjà incluse ROKS],"Non",TblApplications[Mois prov (calc)],"&lt;="&amp;$E628),SUMIFS(TblApplications[CPU IKS libérable (vCPU)],TblApplications[Cluster IKS source],$F628,TblApplications[Mois lib (calc)],"&lt;="&amp;$E628)))</f>
        <v>0</v>
      </c>
      <c r="Q628" s="19">
        <f>IF($D628&lt;&gt;1,"",IF($G628="ROKS",SUMIFS(TblApplications[Besoin ROKS RAM (Go)],TblApplications[Cluster ROKS cible],$F628,TblApplications[Action],"À migrer",TblApplications[Déjà incluse ROKS],"Non",TblApplications[Mois prov (calc)],"&lt;="&amp;$E628),SUMIFS(TblApplications[RAM IKS libérable (Go)],TblApplications[Cluster IKS source],$F628,TblApplications[Mois lib (calc)],"&lt;="&amp;$E628)))</f>
        <v>0</v>
      </c>
      <c r="R628" s="19">
        <f t="shared" si="156"/>
        <v>48</v>
      </c>
      <c r="S628" s="19">
        <f t="shared" si="157"/>
        <v>240</v>
      </c>
      <c r="T628" s="19">
        <f t="shared" si="158"/>
        <v>6</v>
      </c>
      <c r="U628" s="19">
        <f t="shared" si="159"/>
        <v>48</v>
      </c>
      <c r="V628" s="19">
        <f t="shared" si="160"/>
        <v>240</v>
      </c>
      <c r="W628" s="73">
        <f t="shared" si="161"/>
        <v>2208</v>
      </c>
      <c r="X628" s="19">
        <f>IF($D628&lt;&gt;1,"",IF($G628="ROKS",$R628,IF($AI628=1,0,MAX($N628,$L628-SUMIFS(TblApplications[CPU IKS libérable (vCPU)],TblApplications[Cluster IKS source],$F628,TblApplications[Action],"À migrer",TblApplications[Mois prov (calc)],"&lt;="&amp;$E628)-SUMIFS(TblApplications[CPU IKS libérable (vCPU)],TblApplications[Cluster IKS source],$F628,TblApplications[Action],"À décommissionner",TblApplications[Mois lib (calc)],"&lt;="&amp;$E628)))))</f>
        <v>48</v>
      </c>
      <c r="Y628" s="19">
        <f>IF($D628&lt;&gt;1,"",IF($G628="ROKS",$S628,IF($AI628=1,0,MAX($O628,$M628-SUMIFS(TblApplications[RAM IKS libérable (Go)],TblApplications[Cluster IKS source],$F628,TblApplications[Action],"À migrer",TblApplications[Mois prov (calc)],"&lt;="&amp;$E628)-SUMIFS(TblApplications[RAM IKS libérable (Go)],TblApplications[Cluster IKS source],$F628,TblApplications[Action],"À décommissionner",TblApplications[Mois lib (calc)],"&lt;="&amp;$E628)))))</f>
        <v>240</v>
      </c>
      <c r="Z628" s="19">
        <f t="shared" si="162"/>
        <v>6</v>
      </c>
      <c r="AA628" s="73">
        <f t="shared" si="163"/>
        <v>2208</v>
      </c>
      <c r="AB628" s="19">
        <f t="shared" si="164"/>
        <v>6</v>
      </c>
      <c r="AC628" s="73">
        <f t="shared" si="165"/>
        <v>2208</v>
      </c>
      <c r="AD628" s="19">
        <f t="shared" si="166"/>
        <v>0</v>
      </c>
      <c r="AE628" s="19">
        <f t="shared" si="167"/>
        <v>0</v>
      </c>
      <c r="AF628" s="19" t="str">
        <f>IF($D628&lt;&gt;1,"",IF(INDEX(TblClusters[Environnement],$B628)="","(vide)",INDEX(TblClusters[Environnement],$B628)))</f>
        <v>PRD</v>
      </c>
      <c r="AG628" s="19">
        <f t="shared" si="168"/>
        <v>72</v>
      </c>
      <c r="AH628" s="19">
        <f t="shared" si="169"/>
        <v>30.666666666666668</v>
      </c>
      <c r="AI628" s="19">
        <f>IF($D628&lt;&gt;1,"",IF(AND($G628="IKS",ISNUMBER(INDEX(TblClusters[Fermeture retenue],$B628))),IF($E628&gt;=INDEX(TblClusters[Fermeture retenue],$B628),1,0),0))</f>
        <v>0</v>
      </c>
    </row>
    <row r="629" spans="1:35" x14ac:dyDescent="0.2">
      <c r="A629" s="19">
        <v>624</v>
      </c>
      <c r="B629" s="19">
        <f t="shared" si="153"/>
        <v>18</v>
      </c>
      <c r="C629" s="19">
        <f t="shared" si="154"/>
        <v>12</v>
      </c>
      <c r="D629" s="19">
        <f>IF($C629&gt;p_horizon,0,IFERROR(IF(AND(INDEX(TblClusters[Cluster],$B629)&lt;&gt;"",ISNUMBER(INDEX(TblClusters[CPU initial (vCPU)],$B629)),ISNUMBER(INDEX(TblClusters[CPU min (vCPU)],$B629)),OR(INDEX(TblClusters[Plateforme],$B629)="IKS",INDEX(TblClusters[Plateforme],$B629)="ROKS")),1,0),0))</f>
        <v>1</v>
      </c>
      <c r="E629" s="72">
        <f t="shared" si="155"/>
        <v>46631</v>
      </c>
      <c r="F629" s="19" t="str">
        <f>IF($D629=1,INDEX(TblClusters[Cluster],$B629),"")</f>
        <v>oc002i001021</v>
      </c>
      <c r="G629" s="19" t="str">
        <f>IF($D629=1,INDEX(TblClusters[Plateforme],$B629),"")</f>
        <v>ROKS</v>
      </c>
      <c r="H629" s="19">
        <f>IF($D629=1,INDEX(TblClusters[vCPU par nœud],$B629),"")</f>
        <v>8</v>
      </c>
      <c r="I629" s="19">
        <f>IF($D629=1,INDEX(TblClusters[RAM par nœud (Go)],$B629),"")</f>
        <v>40</v>
      </c>
      <c r="J629" s="19">
        <f>IF($D629=1,INDEX(TblClusters[Workers min],$B629),"")</f>
        <v>6</v>
      </c>
      <c r="K629" s="73">
        <f>IF($D629=1,INDEX(TblClusters[Tarif par nœud],$B629),"")</f>
        <v>368</v>
      </c>
      <c r="L629" s="19">
        <f>IF($D629=1,INDEX(TblClusters[CPU initial (vCPU)],$B629),"")</f>
        <v>48</v>
      </c>
      <c r="M629" s="19">
        <f>IF($D629=1,INDEX(TblClusters[RAM initiale (Go)],$B629),"")</f>
        <v>240</v>
      </c>
      <c r="N629" s="19">
        <f>IF($D629=1,INDEX(TblClusters[CPU min (vCPU)],$B629),"")</f>
        <v>48</v>
      </c>
      <c r="O629" s="19">
        <f>IF($D629=1,INDEX(TblClusters[RAM min (Go)],$B629),"")</f>
        <v>240</v>
      </c>
      <c r="P629" s="19">
        <f>IF($D629&lt;&gt;1,"",IF($G629="ROKS",SUMIFS(TblApplications[Besoin ROKS CPU (vCPU)],TblApplications[Cluster ROKS cible],$F629,TblApplications[Action],"À migrer",TblApplications[Déjà incluse ROKS],"Non",TblApplications[Mois prov (calc)],"&lt;="&amp;$E629),SUMIFS(TblApplications[CPU IKS libérable (vCPU)],TblApplications[Cluster IKS source],$F629,TblApplications[Mois lib (calc)],"&lt;="&amp;$E629)))</f>
        <v>0</v>
      </c>
      <c r="Q629" s="19">
        <f>IF($D629&lt;&gt;1,"",IF($G629="ROKS",SUMIFS(TblApplications[Besoin ROKS RAM (Go)],TblApplications[Cluster ROKS cible],$F629,TblApplications[Action],"À migrer",TblApplications[Déjà incluse ROKS],"Non",TblApplications[Mois prov (calc)],"&lt;="&amp;$E629),SUMIFS(TblApplications[RAM IKS libérable (Go)],TblApplications[Cluster IKS source],$F629,TblApplications[Mois lib (calc)],"&lt;="&amp;$E629)))</f>
        <v>0</v>
      </c>
      <c r="R629" s="19">
        <f t="shared" si="156"/>
        <v>48</v>
      </c>
      <c r="S629" s="19">
        <f t="shared" si="157"/>
        <v>240</v>
      </c>
      <c r="T629" s="19">
        <f t="shared" si="158"/>
        <v>6</v>
      </c>
      <c r="U629" s="19">
        <f t="shared" si="159"/>
        <v>48</v>
      </c>
      <c r="V629" s="19">
        <f t="shared" si="160"/>
        <v>240</v>
      </c>
      <c r="W629" s="73">
        <f t="shared" si="161"/>
        <v>2208</v>
      </c>
      <c r="X629" s="19">
        <f>IF($D629&lt;&gt;1,"",IF($G629="ROKS",$R629,IF($AI629=1,0,MAX($N629,$L629-SUMIFS(TblApplications[CPU IKS libérable (vCPU)],TblApplications[Cluster IKS source],$F629,TblApplications[Action],"À migrer",TblApplications[Mois prov (calc)],"&lt;="&amp;$E629)-SUMIFS(TblApplications[CPU IKS libérable (vCPU)],TblApplications[Cluster IKS source],$F629,TblApplications[Action],"À décommissionner",TblApplications[Mois lib (calc)],"&lt;="&amp;$E629)))))</f>
        <v>48</v>
      </c>
      <c r="Y629" s="19">
        <f>IF($D629&lt;&gt;1,"",IF($G629="ROKS",$S629,IF($AI629=1,0,MAX($O629,$M629-SUMIFS(TblApplications[RAM IKS libérable (Go)],TblApplications[Cluster IKS source],$F629,TblApplications[Action],"À migrer",TblApplications[Mois prov (calc)],"&lt;="&amp;$E629)-SUMIFS(TblApplications[RAM IKS libérable (Go)],TblApplications[Cluster IKS source],$F629,TblApplications[Action],"À décommissionner",TblApplications[Mois lib (calc)],"&lt;="&amp;$E629)))))</f>
        <v>240</v>
      </c>
      <c r="Z629" s="19">
        <f t="shared" si="162"/>
        <v>6</v>
      </c>
      <c r="AA629" s="73">
        <f t="shared" si="163"/>
        <v>2208</v>
      </c>
      <c r="AB629" s="19">
        <f t="shared" si="164"/>
        <v>6</v>
      </c>
      <c r="AC629" s="73">
        <f t="shared" si="165"/>
        <v>2208</v>
      </c>
      <c r="AD629" s="19">
        <f t="shared" si="166"/>
        <v>0</v>
      </c>
      <c r="AE629" s="19">
        <f t="shared" si="167"/>
        <v>0</v>
      </c>
      <c r="AF629" s="19" t="str">
        <f>IF($D629&lt;&gt;1,"",IF(INDEX(TblClusters[Environnement],$B629)="","(vide)",INDEX(TblClusters[Environnement],$B629)))</f>
        <v>PRD</v>
      </c>
      <c r="AG629" s="19">
        <f t="shared" si="168"/>
        <v>72</v>
      </c>
      <c r="AH629" s="19">
        <f t="shared" si="169"/>
        <v>30.666666666666668</v>
      </c>
      <c r="AI629" s="19">
        <f>IF($D629&lt;&gt;1,"",IF(AND($G629="IKS",ISNUMBER(INDEX(TblClusters[Fermeture retenue],$B629))),IF($E629&gt;=INDEX(TblClusters[Fermeture retenue],$B629),1,0),0))</f>
        <v>0</v>
      </c>
    </row>
    <row r="630" spans="1:35" x14ac:dyDescent="0.2">
      <c r="A630" s="19">
        <v>625</v>
      </c>
      <c r="B630" s="19">
        <f t="shared" si="153"/>
        <v>18</v>
      </c>
      <c r="C630" s="19">
        <f t="shared" si="154"/>
        <v>13</v>
      </c>
      <c r="D630" s="19">
        <f>IF($C630&gt;p_horizon,0,IFERROR(IF(AND(INDEX(TblClusters[Cluster],$B630)&lt;&gt;"",ISNUMBER(INDEX(TblClusters[CPU initial (vCPU)],$B630)),ISNUMBER(INDEX(TblClusters[CPU min (vCPU)],$B630)),OR(INDEX(TblClusters[Plateforme],$B630)="IKS",INDEX(TblClusters[Plateforme],$B630)="ROKS")),1,0),0))</f>
        <v>1</v>
      </c>
      <c r="E630" s="72">
        <f t="shared" si="155"/>
        <v>46661</v>
      </c>
      <c r="F630" s="19" t="str">
        <f>IF($D630=1,INDEX(TblClusters[Cluster],$B630),"")</f>
        <v>oc002i001021</v>
      </c>
      <c r="G630" s="19" t="str">
        <f>IF($D630=1,INDEX(TblClusters[Plateforme],$B630),"")</f>
        <v>ROKS</v>
      </c>
      <c r="H630" s="19">
        <f>IF($D630=1,INDEX(TblClusters[vCPU par nœud],$B630),"")</f>
        <v>8</v>
      </c>
      <c r="I630" s="19">
        <f>IF($D630=1,INDEX(TblClusters[RAM par nœud (Go)],$B630),"")</f>
        <v>40</v>
      </c>
      <c r="J630" s="19">
        <f>IF($D630=1,INDEX(TblClusters[Workers min],$B630),"")</f>
        <v>6</v>
      </c>
      <c r="K630" s="73">
        <f>IF($D630=1,INDEX(TblClusters[Tarif par nœud],$B630),"")</f>
        <v>368</v>
      </c>
      <c r="L630" s="19">
        <f>IF($D630=1,INDEX(TblClusters[CPU initial (vCPU)],$B630),"")</f>
        <v>48</v>
      </c>
      <c r="M630" s="19">
        <f>IF($D630=1,INDEX(TblClusters[RAM initiale (Go)],$B630),"")</f>
        <v>240</v>
      </c>
      <c r="N630" s="19">
        <f>IF($D630=1,INDEX(TblClusters[CPU min (vCPU)],$B630),"")</f>
        <v>48</v>
      </c>
      <c r="O630" s="19">
        <f>IF($D630=1,INDEX(TblClusters[RAM min (Go)],$B630),"")</f>
        <v>240</v>
      </c>
      <c r="P630" s="19">
        <f>IF($D630&lt;&gt;1,"",IF($G630="ROKS",SUMIFS(TblApplications[Besoin ROKS CPU (vCPU)],TblApplications[Cluster ROKS cible],$F630,TblApplications[Action],"À migrer",TblApplications[Déjà incluse ROKS],"Non",TblApplications[Mois prov (calc)],"&lt;="&amp;$E630),SUMIFS(TblApplications[CPU IKS libérable (vCPU)],TblApplications[Cluster IKS source],$F630,TblApplications[Mois lib (calc)],"&lt;="&amp;$E630)))</f>
        <v>0</v>
      </c>
      <c r="Q630" s="19">
        <f>IF($D630&lt;&gt;1,"",IF($G630="ROKS",SUMIFS(TblApplications[Besoin ROKS RAM (Go)],TblApplications[Cluster ROKS cible],$F630,TblApplications[Action],"À migrer",TblApplications[Déjà incluse ROKS],"Non",TblApplications[Mois prov (calc)],"&lt;="&amp;$E630),SUMIFS(TblApplications[RAM IKS libérable (Go)],TblApplications[Cluster IKS source],$F630,TblApplications[Mois lib (calc)],"&lt;="&amp;$E630)))</f>
        <v>0</v>
      </c>
      <c r="R630" s="19">
        <f t="shared" si="156"/>
        <v>48</v>
      </c>
      <c r="S630" s="19">
        <f t="shared" si="157"/>
        <v>240</v>
      </c>
      <c r="T630" s="19">
        <f t="shared" si="158"/>
        <v>6</v>
      </c>
      <c r="U630" s="19">
        <f t="shared" si="159"/>
        <v>48</v>
      </c>
      <c r="V630" s="19">
        <f t="shared" si="160"/>
        <v>240</v>
      </c>
      <c r="W630" s="73">
        <f t="shared" si="161"/>
        <v>2208</v>
      </c>
      <c r="X630" s="19">
        <f>IF($D630&lt;&gt;1,"",IF($G630="ROKS",$R630,IF($AI630=1,0,MAX($N630,$L630-SUMIFS(TblApplications[CPU IKS libérable (vCPU)],TblApplications[Cluster IKS source],$F630,TblApplications[Action],"À migrer",TblApplications[Mois prov (calc)],"&lt;="&amp;$E630)-SUMIFS(TblApplications[CPU IKS libérable (vCPU)],TblApplications[Cluster IKS source],$F630,TblApplications[Action],"À décommissionner",TblApplications[Mois lib (calc)],"&lt;="&amp;$E630)))))</f>
        <v>48</v>
      </c>
      <c r="Y630" s="19">
        <f>IF($D630&lt;&gt;1,"",IF($G630="ROKS",$S630,IF($AI630=1,0,MAX($O630,$M630-SUMIFS(TblApplications[RAM IKS libérable (Go)],TblApplications[Cluster IKS source],$F630,TblApplications[Action],"À migrer",TblApplications[Mois prov (calc)],"&lt;="&amp;$E630)-SUMIFS(TblApplications[RAM IKS libérable (Go)],TblApplications[Cluster IKS source],$F630,TblApplications[Action],"À décommissionner",TblApplications[Mois lib (calc)],"&lt;="&amp;$E630)))))</f>
        <v>240</v>
      </c>
      <c r="Z630" s="19">
        <f t="shared" si="162"/>
        <v>6</v>
      </c>
      <c r="AA630" s="73">
        <f t="shared" si="163"/>
        <v>2208</v>
      </c>
      <c r="AB630" s="19">
        <f t="shared" si="164"/>
        <v>6</v>
      </c>
      <c r="AC630" s="73">
        <f t="shared" si="165"/>
        <v>2208</v>
      </c>
      <c r="AD630" s="19">
        <f t="shared" si="166"/>
        <v>0</v>
      </c>
      <c r="AE630" s="19">
        <f t="shared" si="167"/>
        <v>0</v>
      </c>
      <c r="AF630" s="19" t="str">
        <f>IF($D630&lt;&gt;1,"",IF(INDEX(TblClusters[Environnement],$B630)="","(vide)",INDEX(TblClusters[Environnement],$B630)))</f>
        <v>PRD</v>
      </c>
      <c r="AG630" s="19">
        <f t="shared" si="168"/>
        <v>72</v>
      </c>
      <c r="AH630" s="19">
        <f t="shared" si="169"/>
        <v>30.666666666666668</v>
      </c>
      <c r="AI630" s="19">
        <f>IF($D630&lt;&gt;1,"",IF(AND($G630="IKS",ISNUMBER(INDEX(TblClusters[Fermeture retenue],$B630))),IF($E630&gt;=INDEX(TblClusters[Fermeture retenue],$B630),1,0),0))</f>
        <v>0</v>
      </c>
    </row>
    <row r="631" spans="1:35" x14ac:dyDescent="0.2">
      <c r="A631" s="19">
        <v>626</v>
      </c>
      <c r="B631" s="19">
        <f t="shared" si="153"/>
        <v>18</v>
      </c>
      <c r="C631" s="19">
        <f t="shared" si="154"/>
        <v>14</v>
      </c>
      <c r="D631" s="19">
        <f>IF($C631&gt;p_horizon,0,IFERROR(IF(AND(INDEX(TblClusters[Cluster],$B631)&lt;&gt;"",ISNUMBER(INDEX(TblClusters[CPU initial (vCPU)],$B631)),ISNUMBER(INDEX(TblClusters[CPU min (vCPU)],$B631)),OR(INDEX(TblClusters[Plateforme],$B631)="IKS",INDEX(TblClusters[Plateforme],$B631)="ROKS")),1,0),0))</f>
        <v>1</v>
      </c>
      <c r="E631" s="72">
        <f t="shared" si="155"/>
        <v>46692</v>
      </c>
      <c r="F631" s="19" t="str">
        <f>IF($D631=1,INDEX(TblClusters[Cluster],$B631),"")</f>
        <v>oc002i001021</v>
      </c>
      <c r="G631" s="19" t="str">
        <f>IF($D631=1,INDEX(TblClusters[Plateforme],$B631),"")</f>
        <v>ROKS</v>
      </c>
      <c r="H631" s="19">
        <f>IF($D631=1,INDEX(TblClusters[vCPU par nœud],$B631),"")</f>
        <v>8</v>
      </c>
      <c r="I631" s="19">
        <f>IF($D631=1,INDEX(TblClusters[RAM par nœud (Go)],$B631),"")</f>
        <v>40</v>
      </c>
      <c r="J631" s="19">
        <f>IF($D631=1,INDEX(TblClusters[Workers min],$B631),"")</f>
        <v>6</v>
      </c>
      <c r="K631" s="73">
        <f>IF($D631=1,INDEX(TblClusters[Tarif par nœud],$B631),"")</f>
        <v>368</v>
      </c>
      <c r="L631" s="19">
        <f>IF($D631=1,INDEX(TblClusters[CPU initial (vCPU)],$B631),"")</f>
        <v>48</v>
      </c>
      <c r="M631" s="19">
        <f>IF($D631=1,INDEX(TblClusters[RAM initiale (Go)],$B631),"")</f>
        <v>240</v>
      </c>
      <c r="N631" s="19">
        <f>IF($D631=1,INDEX(TblClusters[CPU min (vCPU)],$B631),"")</f>
        <v>48</v>
      </c>
      <c r="O631" s="19">
        <f>IF($D631=1,INDEX(TblClusters[RAM min (Go)],$B631),"")</f>
        <v>240</v>
      </c>
      <c r="P631" s="19">
        <f>IF($D631&lt;&gt;1,"",IF($G631="ROKS",SUMIFS(TblApplications[Besoin ROKS CPU (vCPU)],TblApplications[Cluster ROKS cible],$F631,TblApplications[Action],"À migrer",TblApplications[Déjà incluse ROKS],"Non",TblApplications[Mois prov (calc)],"&lt;="&amp;$E631),SUMIFS(TblApplications[CPU IKS libérable (vCPU)],TblApplications[Cluster IKS source],$F631,TblApplications[Mois lib (calc)],"&lt;="&amp;$E631)))</f>
        <v>0</v>
      </c>
      <c r="Q631" s="19">
        <f>IF($D631&lt;&gt;1,"",IF($G631="ROKS",SUMIFS(TblApplications[Besoin ROKS RAM (Go)],TblApplications[Cluster ROKS cible],$F631,TblApplications[Action],"À migrer",TblApplications[Déjà incluse ROKS],"Non",TblApplications[Mois prov (calc)],"&lt;="&amp;$E631),SUMIFS(TblApplications[RAM IKS libérable (Go)],TblApplications[Cluster IKS source],$F631,TblApplications[Mois lib (calc)],"&lt;="&amp;$E631)))</f>
        <v>0</v>
      </c>
      <c r="R631" s="19">
        <f t="shared" si="156"/>
        <v>48</v>
      </c>
      <c r="S631" s="19">
        <f t="shared" si="157"/>
        <v>240</v>
      </c>
      <c r="T631" s="19">
        <f t="shared" si="158"/>
        <v>6</v>
      </c>
      <c r="U631" s="19">
        <f t="shared" si="159"/>
        <v>48</v>
      </c>
      <c r="V631" s="19">
        <f t="shared" si="160"/>
        <v>240</v>
      </c>
      <c r="W631" s="73">
        <f t="shared" si="161"/>
        <v>2208</v>
      </c>
      <c r="X631" s="19">
        <f>IF($D631&lt;&gt;1,"",IF($G631="ROKS",$R631,IF($AI631=1,0,MAX($N631,$L631-SUMIFS(TblApplications[CPU IKS libérable (vCPU)],TblApplications[Cluster IKS source],$F631,TblApplications[Action],"À migrer",TblApplications[Mois prov (calc)],"&lt;="&amp;$E631)-SUMIFS(TblApplications[CPU IKS libérable (vCPU)],TblApplications[Cluster IKS source],$F631,TblApplications[Action],"À décommissionner",TblApplications[Mois lib (calc)],"&lt;="&amp;$E631)))))</f>
        <v>48</v>
      </c>
      <c r="Y631" s="19">
        <f>IF($D631&lt;&gt;1,"",IF($G631="ROKS",$S631,IF($AI631=1,0,MAX($O631,$M631-SUMIFS(TblApplications[RAM IKS libérable (Go)],TblApplications[Cluster IKS source],$F631,TblApplications[Action],"À migrer",TblApplications[Mois prov (calc)],"&lt;="&amp;$E631)-SUMIFS(TblApplications[RAM IKS libérable (Go)],TblApplications[Cluster IKS source],$F631,TblApplications[Action],"À décommissionner",TblApplications[Mois lib (calc)],"&lt;="&amp;$E631)))))</f>
        <v>240</v>
      </c>
      <c r="Z631" s="19">
        <f t="shared" si="162"/>
        <v>6</v>
      </c>
      <c r="AA631" s="73">
        <f t="shared" si="163"/>
        <v>2208</v>
      </c>
      <c r="AB631" s="19">
        <f t="shared" si="164"/>
        <v>6</v>
      </c>
      <c r="AC631" s="73">
        <f t="shared" si="165"/>
        <v>2208</v>
      </c>
      <c r="AD631" s="19">
        <f t="shared" si="166"/>
        <v>0</v>
      </c>
      <c r="AE631" s="19">
        <f t="shared" si="167"/>
        <v>0</v>
      </c>
      <c r="AF631" s="19" t="str">
        <f>IF($D631&lt;&gt;1,"",IF(INDEX(TblClusters[Environnement],$B631)="","(vide)",INDEX(TblClusters[Environnement],$B631)))</f>
        <v>PRD</v>
      </c>
      <c r="AG631" s="19">
        <f t="shared" si="168"/>
        <v>72</v>
      </c>
      <c r="AH631" s="19">
        <f t="shared" si="169"/>
        <v>30.666666666666668</v>
      </c>
      <c r="AI631" s="19">
        <f>IF($D631&lt;&gt;1,"",IF(AND($G631="IKS",ISNUMBER(INDEX(TblClusters[Fermeture retenue],$B631))),IF($E631&gt;=INDEX(TblClusters[Fermeture retenue],$B631),1,0),0))</f>
        <v>0</v>
      </c>
    </row>
    <row r="632" spans="1:35" x14ac:dyDescent="0.2">
      <c r="A632" s="19">
        <v>627</v>
      </c>
      <c r="B632" s="19">
        <f t="shared" si="153"/>
        <v>18</v>
      </c>
      <c r="C632" s="19">
        <f t="shared" si="154"/>
        <v>15</v>
      </c>
      <c r="D632" s="19">
        <f>IF($C632&gt;p_horizon,0,IFERROR(IF(AND(INDEX(TblClusters[Cluster],$B632)&lt;&gt;"",ISNUMBER(INDEX(TblClusters[CPU initial (vCPU)],$B632)),ISNUMBER(INDEX(TblClusters[CPU min (vCPU)],$B632)),OR(INDEX(TblClusters[Plateforme],$B632)="IKS",INDEX(TblClusters[Plateforme],$B632)="ROKS")),1,0),0))</f>
        <v>1</v>
      </c>
      <c r="E632" s="72">
        <f t="shared" si="155"/>
        <v>46722</v>
      </c>
      <c r="F632" s="19" t="str">
        <f>IF($D632=1,INDEX(TblClusters[Cluster],$B632),"")</f>
        <v>oc002i001021</v>
      </c>
      <c r="G632" s="19" t="str">
        <f>IF($D632=1,INDEX(TblClusters[Plateforme],$B632),"")</f>
        <v>ROKS</v>
      </c>
      <c r="H632" s="19">
        <f>IF($D632=1,INDEX(TblClusters[vCPU par nœud],$B632),"")</f>
        <v>8</v>
      </c>
      <c r="I632" s="19">
        <f>IF($D632=1,INDEX(TblClusters[RAM par nœud (Go)],$B632),"")</f>
        <v>40</v>
      </c>
      <c r="J632" s="19">
        <f>IF($D632=1,INDEX(TblClusters[Workers min],$B632),"")</f>
        <v>6</v>
      </c>
      <c r="K632" s="73">
        <f>IF($D632=1,INDEX(TblClusters[Tarif par nœud],$B632),"")</f>
        <v>368</v>
      </c>
      <c r="L632" s="19">
        <f>IF($D632=1,INDEX(TblClusters[CPU initial (vCPU)],$B632),"")</f>
        <v>48</v>
      </c>
      <c r="M632" s="19">
        <f>IF($D632=1,INDEX(TblClusters[RAM initiale (Go)],$B632),"")</f>
        <v>240</v>
      </c>
      <c r="N632" s="19">
        <f>IF($D632=1,INDEX(TblClusters[CPU min (vCPU)],$B632),"")</f>
        <v>48</v>
      </c>
      <c r="O632" s="19">
        <f>IF($D632=1,INDEX(TblClusters[RAM min (Go)],$B632),"")</f>
        <v>240</v>
      </c>
      <c r="P632" s="19">
        <f>IF($D632&lt;&gt;1,"",IF($G632="ROKS",SUMIFS(TblApplications[Besoin ROKS CPU (vCPU)],TblApplications[Cluster ROKS cible],$F632,TblApplications[Action],"À migrer",TblApplications[Déjà incluse ROKS],"Non",TblApplications[Mois prov (calc)],"&lt;="&amp;$E632),SUMIFS(TblApplications[CPU IKS libérable (vCPU)],TblApplications[Cluster IKS source],$F632,TblApplications[Mois lib (calc)],"&lt;="&amp;$E632)))</f>
        <v>0</v>
      </c>
      <c r="Q632" s="19">
        <f>IF($D632&lt;&gt;1,"",IF($G632="ROKS",SUMIFS(TblApplications[Besoin ROKS RAM (Go)],TblApplications[Cluster ROKS cible],$F632,TblApplications[Action],"À migrer",TblApplications[Déjà incluse ROKS],"Non",TblApplications[Mois prov (calc)],"&lt;="&amp;$E632),SUMIFS(TblApplications[RAM IKS libérable (Go)],TblApplications[Cluster IKS source],$F632,TblApplications[Mois lib (calc)],"&lt;="&amp;$E632)))</f>
        <v>0</v>
      </c>
      <c r="R632" s="19">
        <f t="shared" si="156"/>
        <v>48</v>
      </c>
      <c r="S632" s="19">
        <f t="shared" si="157"/>
        <v>240</v>
      </c>
      <c r="T632" s="19">
        <f t="shared" si="158"/>
        <v>6</v>
      </c>
      <c r="U632" s="19">
        <f t="shared" si="159"/>
        <v>48</v>
      </c>
      <c r="V632" s="19">
        <f t="shared" si="160"/>
        <v>240</v>
      </c>
      <c r="W632" s="73">
        <f t="shared" si="161"/>
        <v>2208</v>
      </c>
      <c r="X632" s="19">
        <f>IF($D632&lt;&gt;1,"",IF($G632="ROKS",$R632,IF($AI632=1,0,MAX($N632,$L632-SUMIFS(TblApplications[CPU IKS libérable (vCPU)],TblApplications[Cluster IKS source],$F632,TblApplications[Action],"À migrer",TblApplications[Mois prov (calc)],"&lt;="&amp;$E632)-SUMIFS(TblApplications[CPU IKS libérable (vCPU)],TblApplications[Cluster IKS source],$F632,TblApplications[Action],"À décommissionner",TblApplications[Mois lib (calc)],"&lt;="&amp;$E632)))))</f>
        <v>48</v>
      </c>
      <c r="Y632" s="19">
        <f>IF($D632&lt;&gt;1,"",IF($G632="ROKS",$S632,IF($AI632=1,0,MAX($O632,$M632-SUMIFS(TblApplications[RAM IKS libérable (Go)],TblApplications[Cluster IKS source],$F632,TblApplications[Action],"À migrer",TblApplications[Mois prov (calc)],"&lt;="&amp;$E632)-SUMIFS(TblApplications[RAM IKS libérable (Go)],TblApplications[Cluster IKS source],$F632,TblApplications[Action],"À décommissionner",TblApplications[Mois lib (calc)],"&lt;="&amp;$E632)))))</f>
        <v>240</v>
      </c>
      <c r="Z632" s="19">
        <f t="shared" si="162"/>
        <v>6</v>
      </c>
      <c r="AA632" s="73">
        <f t="shared" si="163"/>
        <v>2208</v>
      </c>
      <c r="AB632" s="19">
        <f t="shared" si="164"/>
        <v>6</v>
      </c>
      <c r="AC632" s="73">
        <f t="shared" si="165"/>
        <v>2208</v>
      </c>
      <c r="AD632" s="19">
        <f t="shared" si="166"/>
        <v>0</v>
      </c>
      <c r="AE632" s="19">
        <f t="shared" si="167"/>
        <v>0</v>
      </c>
      <c r="AF632" s="19" t="str">
        <f>IF($D632&lt;&gt;1,"",IF(INDEX(TblClusters[Environnement],$B632)="","(vide)",INDEX(TblClusters[Environnement],$B632)))</f>
        <v>PRD</v>
      </c>
      <c r="AG632" s="19">
        <f t="shared" si="168"/>
        <v>72</v>
      </c>
      <c r="AH632" s="19">
        <f t="shared" si="169"/>
        <v>30.666666666666668</v>
      </c>
      <c r="AI632" s="19">
        <f>IF($D632&lt;&gt;1,"",IF(AND($G632="IKS",ISNUMBER(INDEX(TblClusters[Fermeture retenue],$B632))),IF($E632&gt;=INDEX(TblClusters[Fermeture retenue],$B632),1,0),0))</f>
        <v>0</v>
      </c>
    </row>
    <row r="633" spans="1:35" x14ac:dyDescent="0.2">
      <c r="A633" s="19">
        <v>628</v>
      </c>
      <c r="B633" s="19">
        <f t="shared" si="153"/>
        <v>18</v>
      </c>
      <c r="C633" s="19">
        <f t="shared" si="154"/>
        <v>16</v>
      </c>
      <c r="D633" s="19">
        <f>IF($C633&gt;p_horizon,0,IFERROR(IF(AND(INDEX(TblClusters[Cluster],$B633)&lt;&gt;"",ISNUMBER(INDEX(TblClusters[CPU initial (vCPU)],$B633)),ISNUMBER(INDEX(TblClusters[CPU min (vCPU)],$B633)),OR(INDEX(TblClusters[Plateforme],$B633)="IKS",INDEX(TblClusters[Plateforme],$B633)="ROKS")),1,0),0))</f>
        <v>1</v>
      </c>
      <c r="E633" s="72">
        <f t="shared" si="155"/>
        <v>46753</v>
      </c>
      <c r="F633" s="19" t="str">
        <f>IF($D633=1,INDEX(TblClusters[Cluster],$B633),"")</f>
        <v>oc002i001021</v>
      </c>
      <c r="G633" s="19" t="str">
        <f>IF($D633=1,INDEX(TblClusters[Plateforme],$B633),"")</f>
        <v>ROKS</v>
      </c>
      <c r="H633" s="19">
        <f>IF($D633=1,INDEX(TblClusters[vCPU par nœud],$B633),"")</f>
        <v>8</v>
      </c>
      <c r="I633" s="19">
        <f>IF($D633=1,INDEX(TblClusters[RAM par nœud (Go)],$B633),"")</f>
        <v>40</v>
      </c>
      <c r="J633" s="19">
        <f>IF($D633=1,INDEX(TblClusters[Workers min],$B633),"")</f>
        <v>6</v>
      </c>
      <c r="K633" s="73">
        <f>IF($D633=1,INDEX(TblClusters[Tarif par nœud],$B633),"")</f>
        <v>368</v>
      </c>
      <c r="L633" s="19">
        <f>IF($D633=1,INDEX(TblClusters[CPU initial (vCPU)],$B633),"")</f>
        <v>48</v>
      </c>
      <c r="M633" s="19">
        <f>IF($D633=1,INDEX(TblClusters[RAM initiale (Go)],$B633),"")</f>
        <v>240</v>
      </c>
      <c r="N633" s="19">
        <f>IF($D633=1,INDEX(TblClusters[CPU min (vCPU)],$B633),"")</f>
        <v>48</v>
      </c>
      <c r="O633" s="19">
        <f>IF($D633=1,INDEX(TblClusters[RAM min (Go)],$B633),"")</f>
        <v>240</v>
      </c>
      <c r="P633" s="19">
        <f>IF($D633&lt;&gt;1,"",IF($G633="ROKS",SUMIFS(TblApplications[Besoin ROKS CPU (vCPU)],TblApplications[Cluster ROKS cible],$F633,TblApplications[Action],"À migrer",TblApplications[Déjà incluse ROKS],"Non",TblApplications[Mois prov (calc)],"&lt;="&amp;$E633),SUMIFS(TblApplications[CPU IKS libérable (vCPU)],TblApplications[Cluster IKS source],$F633,TblApplications[Mois lib (calc)],"&lt;="&amp;$E633)))</f>
        <v>0</v>
      </c>
      <c r="Q633" s="19">
        <f>IF($D633&lt;&gt;1,"",IF($G633="ROKS",SUMIFS(TblApplications[Besoin ROKS RAM (Go)],TblApplications[Cluster ROKS cible],$F633,TblApplications[Action],"À migrer",TblApplications[Déjà incluse ROKS],"Non",TblApplications[Mois prov (calc)],"&lt;="&amp;$E633),SUMIFS(TblApplications[RAM IKS libérable (Go)],TblApplications[Cluster IKS source],$F633,TblApplications[Mois lib (calc)],"&lt;="&amp;$E633)))</f>
        <v>0</v>
      </c>
      <c r="R633" s="19">
        <f t="shared" si="156"/>
        <v>48</v>
      </c>
      <c r="S633" s="19">
        <f t="shared" si="157"/>
        <v>240</v>
      </c>
      <c r="T633" s="19">
        <f t="shared" si="158"/>
        <v>6</v>
      </c>
      <c r="U633" s="19">
        <f t="shared" si="159"/>
        <v>48</v>
      </c>
      <c r="V633" s="19">
        <f t="shared" si="160"/>
        <v>240</v>
      </c>
      <c r="W633" s="73">
        <f t="shared" si="161"/>
        <v>2208</v>
      </c>
      <c r="X633" s="19">
        <f>IF($D633&lt;&gt;1,"",IF($G633="ROKS",$R633,IF($AI633=1,0,MAX($N633,$L633-SUMIFS(TblApplications[CPU IKS libérable (vCPU)],TblApplications[Cluster IKS source],$F633,TblApplications[Action],"À migrer",TblApplications[Mois prov (calc)],"&lt;="&amp;$E633)-SUMIFS(TblApplications[CPU IKS libérable (vCPU)],TblApplications[Cluster IKS source],$F633,TblApplications[Action],"À décommissionner",TblApplications[Mois lib (calc)],"&lt;="&amp;$E633)))))</f>
        <v>48</v>
      </c>
      <c r="Y633" s="19">
        <f>IF($D633&lt;&gt;1,"",IF($G633="ROKS",$S633,IF($AI633=1,0,MAX($O633,$M633-SUMIFS(TblApplications[RAM IKS libérable (Go)],TblApplications[Cluster IKS source],$F633,TblApplications[Action],"À migrer",TblApplications[Mois prov (calc)],"&lt;="&amp;$E633)-SUMIFS(TblApplications[RAM IKS libérable (Go)],TblApplications[Cluster IKS source],$F633,TblApplications[Action],"À décommissionner",TblApplications[Mois lib (calc)],"&lt;="&amp;$E633)))))</f>
        <v>240</v>
      </c>
      <c r="Z633" s="19">
        <f t="shared" si="162"/>
        <v>6</v>
      </c>
      <c r="AA633" s="73">
        <f t="shared" si="163"/>
        <v>2208</v>
      </c>
      <c r="AB633" s="19">
        <f t="shared" si="164"/>
        <v>6</v>
      </c>
      <c r="AC633" s="73">
        <f t="shared" si="165"/>
        <v>2208</v>
      </c>
      <c r="AD633" s="19">
        <f t="shared" si="166"/>
        <v>0</v>
      </c>
      <c r="AE633" s="19">
        <f t="shared" si="167"/>
        <v>0</v>
      </c>
      <c r="AF633" s="19" t="str">
        <f>IF($D633&lt;&gt;1,"",IF(INDEX(TblClusters[Environnement],$B633)="","(vide)",INDEX(TblClusters[Environnement],$B633)))</f>
        <v>PRD</v>
      </c>
      <c r="AG633" s="19">
        <f t="shared" si="168"/>
        <v>72</v>
      </c>
      <c r="AH633" s="19">
        <f t="shared" si="169"/>
        <v>30.666666666666668</v>
      </c>
      <c r="AI633" s="19">
        <f>IF($D633&lt;&gt;1,"",IF(AND($G633="IKS",ISNUMBER(INDEX(TblClusters[Fermeture retenue],$B633))),IF($E633&gt;=INDEX(TblClusters[Fermeture retenue],$B633),1,0),0))</f>
        <v>0</v>
      </c>
    </row>
    <row r="634" spans="1:35" x14ac:dyDescent="0.2">
      <c r="A634" s="19">
        <v>629</v>
      </c>
      <c r="B634" s="19">
        <f t="shared" si="153"/>
        <v>18</v>
      </c>
      <c r="C634" s="19">
        <f t="shared" si="154"/>
        <v>17</v>
      </c>
      <c r="D634" s="19">
        <f>IF($C634&gt;p_horizon,0,IFERROR(IF(AND(INDEX(TblClusters[Cluster],$B634)&lt;&gt;"",ISNUMBER(INDEX(TblClusters[CPU initial (vCPU)],$B634)),ISNUMBER(INDEX(TblClusters[CPU min (vCPU)],$B634)),OR(INDEX(TblClusters[Plateforme],$B634)="IKS",INDEX(TblClusters[Plateforme],$B634)="ROKS")),1,0),0))</f>
        <v>1</v>
      </c>
      <c r="E634" s="72">
        <f t="shared" si="155"/>
        <v>46784</v>
      </c>
      <c r="F634" s="19" t="str">
        <f>IF($D634=1,INDEX(TblClusters[Cluster],$B634),"")</f>
        <v>oc002i001021</v>
      </c>
      <c r="G634" s="19" t="str">
        <f>IF($D634=1,INDEX(TblClusters[Plateforme],$B634),"")</f>
        <v>ROKS</v>
      </c>
      <c r="H634" s="19">
        <f>IF($D634=1,INDEX(TblClusters[vCPU par nœud],$B634),"")</f>
        <v>8</v>
      </c>
      <c r="I634" s="19">
        <f>IF($D634=1,INDEX(TblClusters[RAM par nœud (Go)],$B634),"")</f>
        <v>40</v>
      </c>
      <c r="J634" s="19">
        <f>IF($D634=1,INDEX(TblClusters[Workers min],$B634),"")</f>
        <v>6</v>
      </c>
      <c r="K634" s="73">
        <f>IF($D634=1,INDEX(TblClusters[Tarif par nœud],$B634),"")</f>
        <v>368</v>
      </c>
      <c r="L634" s="19">
        <f>IF($D634=1,INDEX(TblClusters[CPU initial (vCPU)],$B634),"")</f>
        <v>48</v>
      </c>
      <c r="M634" s="19">
        <f>IF($D634=1,INDEX(TblClusters[RAM initiale (Go)],$B634),"")</f>
        <v>240</v>
      </c>
      <c r="N634" s="19">
        <f>IF($D634=1,INDEX(TblClusters[CPU min (vCPU)],$B634),"")</f>
        <v>48</v>
      </c>
      <c r="O634" s="19">
        <f>IF($D634=1,INDEX(TblClusters[RAM min (Go)],$B634),"")</f>
        <v>240</v>
      </c>
      <c r="P634" s="19">
        <f>IF($D634&lt;&gt;1,"",IF($G634="ROKS",SUMIFS(TblApplications[Besoin ROKS CPU (vCPU)],TblApplications[Cluster ROKS cible],$F634,TblApplications[Action],"À migrer",TblApplications[Déjà incluse ROKS],"Non",TblApplications[Mois prov (calc)],"&lt;="&amp;$E634),SUMIFS(TblApplications[CPU IKS libérable (vCPU)],TblApplications[Cluster IKS source],$F634,TblApplications[Mois lib (calc)],"&lt;="&amp;$E634)))</f>
        <v>0</v>
      </c>
      <c r="Q634" s="19">
        <f>IF($D634&lt;&gt;1,"",IF($G634="ROKS",SUMIFS(TblApplications[Besoin ROKS RAM (Go)],TblApplications[Cluster ROKS cible],$F634,TblApplications[Action],"À migrer",TblApplications[Déjà incluse ROKS],"Non",TblApplications[Mois prov (calc)],"&lt;="&amp;$E634),SUMIFS(TblApplications[RAM IKS libérable (Go)],TblApplications[Cluster IKS source],$F634,TblApplications[Mois lib (calc)],"&lt;="&amp;$E634)))</f>
        <v>0</v>
      </c>
      <c r="R634" s="19">
        <f t="shared" si="156"/>
        <v>48</v>
      </c>
      <c r="S634" s="19">
        <f t="shared" si="157"/>
        <v>240</v>
      </c>
      <c r="T634" s="19">
        <f t="shared" si="158"/>
        <v>6</v>
      </c>
      <c r="U634" s="19">
        <f t="shared" si="159"/>
        <v>48</v>
      </c>
      <c r="V634" s="19">
        <f t="shared" si="160"/>
        <v>240</v>
      </c>
      <c r="W634" s="73">
        <f t="shared" si="161"/>
        <v>2208</v>
      </c>
      <c r="X634" s="19">
        <f>IF($D634&lt;&gt;1,"",IF($G634="ROKS",$R634,IF($AI634=1,0,MAX($N634,$L634-SUMIFS(TblApplications[CPU IKS libérable (vCPU)],TblApplications[Cluster IKS source],$F634,TblApplications[Action],"À migrer",TblApplications[Mois prov (calc)],"&lt;="&amp;$E634)-SUMIFS(TblApplications[CPU IKS libérable (vCPU)],TblApplications[Cluster IKS source],$F634,TblApplications[Action],"À décommissionner",TblApplications[Mois lib (calc)],"&lt;="&amp;$E634)))))</f>
        <v>48</v>
      </c>
      <c r="Y634" s="19">
        <f>IF($D634&lt;&gt;1,"",IF($G634="ROKS",$S634,IF($AI634=1,0,MAX($O634,$M634-SUMIFS(TblApplications[RAM IKS libérable (Go)],TblApplications[Cluster IKS source],$F634,TblApplications[Action],"À migrer",TblApplications[Mois prov (calc)],"&lt;="&amp;$E634)-SUMIFS(TblApplications[RAM IKS libérable (Go)],TblApplications[Cluster IKS source],$F634,TblApplications[Action],"À décommissionner",TblApplications[Mois lib (calc)],"&lt;="&amp;$E634)))))</f>
        <v>240</v>
      </c>
      <c r="Z634" s="19">
        <f t="shared" si="162"/>
        <v>6</v>
      </c>
      <c r="AA634" s="73">
        <f t="shared" si="163"/>
        <v>2208</v>
      </c>
      <c r="AB634" s="19">
        <f t="shared" si="164"/>
        <v>6</v>
      </c>
      <c r="AC634" s="73">
        <f t="shared" si="165"/>
        <v>2208</v>
      </c>
      <c r="AD634" s="19">
        <f t="shared" si="166"/>
        <v>0</v>
      </c>
      <c r="AE634" s="19">
        <f t="shared" si="167"/>
        <v>0</v>
      </c>
      <c r="AF634" s="19" t="str">
        <f>IF($D634&lt;&gt;1,"",IF(INDEX(TblClusters[Environnement],$B634)="","(vide)",INDEX(TblClusters[Environnement],$B634)))</f>
        <v>PRD</v>
      </c>
      <c r="AG634" s="19">
        <f t="shared" si="168"/>
        <v>72</v>
      </c>
      <c r="AH634" s="19">
        <f t="shared" si="169"/>
        <v>30.666666666666668</v>
      </c>
      <c r="AI634" s="19">
        <f>IF($D634&lt;&gt;1,"",IF(AND($G634="IKS",ISNUMBER(INDEX(TblClusters[Fermeture retenue],$B634))),IF($E634&gt;=INDEX(TblClusters[Fermeture retenue],$B634),1,0),0))</f>
        <v>0</v>
      </c>
    </row>
    <row r="635" spans="1:35" x14ac:dyDescent="0.2">
      <c r="A635" s="19">
        <v>630</v>
      </c>
      <c r="B635" s="19">
        <f t="shared" si="153"/>
        <v>18</v>
      </c>
      <c r="C635" s="19">
        <f t="shared" si="154"/>
        <v>18</v>
      </c>
      <c r="D635" s="19">
        <f>IF($C635&gt;p_horizon,0,IFERROR(IF(AND(INDEX(TblClusters[Cluster],$B635)&lt;&gt;"",ISNUMBER(INDEX(TblClusters[CPU initial (vCPU)],$B635)),ISNUMBER(INDEX(TblClusters[CPU min (vCPU)],$B635)),OR(INDEX(TblClusters[Plateforme],$B635)="IKS",INDEX(TblClusters[Plateforme],$B635)="ROKS")),1,0),0))</f>
        <v>1</v>
      </c>
      <c r="E635" s="72">
        <f t="shared" si="155"/>
        <v>46813</v>
      </c>
      <c r="F635" s="19" t="str">
        <f>IF($D635=1,INDEX(TblClusters[Cluster],$B635),"")</f>
        <v>oc002i001021</v>
      </c>
      <c r="G635" s="19" t="str">
        <f>IF($D635=1,INDEX(TblClusters[Plateforme],$B635),"")</f>
        <v>ROKS</v>
      </c>
      <c r="H635" s="19">
        <f>IF($D635=1,INDEX(TblClusters[vCPU par nœud],$B635),"")</f>
        <v>8</v>
      </c>
      <c r="I635" s="19">
        <f>IF($D635=1,INDEX(TblClusters[RAM par nœud (Go)],$B635),"")</f>
        <v>40</v>
      </c>
      <c r="J635" s="19">
        <f>IF($D635=1,INDEX(TblClusters[Workers min],$B635),"")</f>
        <v>6</v>
      </c>
      <c r="K635" s="73">
        <f>IF($D635=1,INDEX(TblClusters[Tarif par nœud],$B635),"")</f>
        <v>368</v>
      </c>
      <c r="L635" s="19">
        <f>IF($D635=1,INDEX(TblClusters[CPU initial (vCPU)],$B635),"")</f>
        <v>48</v>
      </c>
      <c r="M635" s="19">
        <f>IF($D635=1,INDEX(TblClusters[RAM initiale (Go)],$B635),"")</f>
        <v>240</v>
      </c>
      <c r="N635" s="19">
        <f>IF($D635=1,INDEX(TblClusters[CPU min (vCPU)],$B635),"")</f>
        <v>48</v>
      </c>
      <c r="O635" s="19">
        <f>IF($D635=1,INDEX(TblClusters[RAM min (Go)],$B635),"")</f>
        <v>240</v>
      </c>
      <c r="P635" s="19">
        <f>IF($D635&lt;&gt;1,"",IF($G635="ROKS",SUMIFS(TblApplications[Besoin ROKS CPU (vCPU)],TblApplications[Cluster ROKS cible],$F635,TblApplications[Action],"À migrer",TblApplications[Déjà incluse ROKS],"Non",TblApplications[Mois prov (calc)],"&lt;="&amp;$E635),SUMIFS(TblApplications[CPU IKS libérable (vCPU)],TblApplications[Cluster IKS source],$F635,TblApplications[Mois lib (calc)],"&lt;="&amp;$E635)))</f>
        <v>0</v>
      </c>
      <c r="Q635" s="19">
        <f>IF($D635&lt;&gt;1,"",IF($G635="ROKS",SUMIFS(TblApplications[Besoin ROKS RAM (Go)],TblApplications[Cluster ROKS cible],$F635,TblApplications[Action],"À migrer",TblApplications[Déjà incluse ROKS],"Non",TblApplications[Mois prov (calc)],"&lt;="&amp;$E635),SUMIFS(TblApplications[RAM IKS libérable (Go)],TblApplications[Cluster IKS source],$F635,TblApplications[Mois lib (calc)],"&lt;="&amp;$E635)))</f>
        <v>0</v>
      </c>
      <c r="R635" s="19">
        <f t="shared" si="156"/>
        <v>48</v>
      </c>
      <c r="S635" s="19">
        <f t="shared" si="157"/>
        <v>240</v>
      </c>
      <c r="T635" s="19">
        <f t="shared" si="158"/>
        <v>6</v>
      </c>
      <c r="U635" s="19">
        <f t="shared" si="159"/>
        <v>48</v>
      </c>
      <c r="V635" s="19">
        <f t="shared" si="160"/>
        <v>240</v>
      </c>
      <c r="W635" s="73">
        <f t="shared" si="161"/>
        <v>2208</v>
      </c>
      <c r="X635" s="19">
        <f>IF($D635&lt;&gt;1,"",IF($G635="ROKS",$R635,IF($AI635=1,0,MAX($N635,$L635-SUMIFS(TblApplications[CPU IKS libérable (vCPU)],TblApplications[Cluster IKS source],$F635,TblApplications[Action],"À migrer",TblApplications[Mois prov (calc)],"&lt;="&amp;$E635)-SUMIFS(TblApplications[CPU IKS libérable (vCPU)],TblApplications[Cluster IKS source],$F635,TblApplications[Action],"À décommissionner",TblApplications[Mois lib (calc)],"&lt;="&amp;$E635)))))</f>
        <v>48</v>
      </c>
      <c r="Y635" s="19">
        <f>IF($D635&lt;&gt;1,"",IF($G635="ROKS",$S635,IF($AI635=1,0,MAX($O635,$M635-SUMIFS(TblApplications[RAM IKS libérable (Go)],TblApplications[Cluster IKS source],$F635,TblApplications[Action],"À migrer",TblApplications[Mois prov (calc)],"&lt;="&amp;$E635)-SUMIFS(TblApplications[RAM IKS libérable (Go)],TblApplications[Cluster IKS source],$F635,TblApplications[Action],"À décommissionner",TblApplications[Mois lib (calc)],"&lt;="&amp;$E635)))))</f>
        <v>240</v>
      </c>
      <c r="Z635" s="19">
        <f t="shared" si="162"/>
        <v>6</v>
      </c>
      <c r="AA635" s="73">
        <f t="shared" si="163"/>
        <v>2208</v>
      </c>
      <c r="AB635" s="19">
        <f t="shared" si="164"/>
        <v>6</v>
      </c>
      <c r="AC635" s="73">
        <f t="shared" si="165"/>
        <v>2208</v>
      </c>
      <c r="AD635" s="19">
        <f t="shared" si="166"/>
        <v>0</v>
      </c>
      <c r="AE635" s="19">
        <f t="shared" si="167"/>
        <v>0</v>
      </c>
      <c r="AF635" s="19" t="str">
        <f>IF($D635&lt;&gt;1,"",IF(INDEX(TblClusters[Environnement],$B635)="","(vide)",INDEX(TblClusters[Environnement],$B635)))</f>
        <v>PRD</v>
      </c>
      <c r="AG635" s="19">
        <f t="shared" si="168"/>
        <v>72</v>
      </c>
      <c r="AH635" s="19">
        <f t="shared" si="169"/>
        <v>30.666666666666668</v>
      </c>
      <c r="AI635" s="19">
        <f>IF($D635&lt;&gt;1,"",IF(AND($G635="IKS",ISNUMBER(INDEX(TblClusters[Fermeture retenue],$B635))),IF($E635&gt;=INDEX(TblClusters[Fermeture retenue],$B635),1,0),0))</f>
        <v>0</v>
      </c>
    </row>
    <row r="636" spans="1:35" x14ac:dyDescent="0.2">
      <c r="A636" s="19">
        <v>631</v>
      </c>
      <c r="B636" s="19">
        <f t="shared" si="153"/>
        <v>18</v>
      </c>
      <c r="C636" s="19">
        <f t="shared" si="154"/>
        <v>19</v>
      </c>
      <c r="D636" s="19">
        <f>IF($C636&gt;p_horizon,0,IFERROR(IF(AND(INDEX(TblClusters[Cluster],$B636)&lt;&gt;"",ISNUMBER(INDEX(TblClusters[CPU initial (vCPU)],$B636)),ISNUMBER(INDEX(TblClusters[CPU min (vCPU)],$B636)),OR(INDEX(TblClusters[Plateforme],$B636)="IKS",INDEX(TblClusters[Plateforme],$B636)="ROKS")),1,0),0))</f>
        <v>1</v>
      </c>
      <c r="E636" s="72">
        <f t="shared" si="155"/>
        <v>46844</v>
      </c>
      <c r="F636" s="19" t="str">
        <f>IF($D636=1,INDEX(TblClusters[Cluster],$B636),"")</f>
        <v>oc002i001021</v>
      </c>
      <c r="G636" s="19" t="str">
        <f>IF($D636=1,INDEX(TblClusters[Plateforme],$B636),"")</f>
        <v>ROKS</v>
      </c>
      <c r="H636" s="19">
        <f>IF($D636=1,INDEX(TblClusters[vCPU par nœud],$B636),"")</f>
        <v>8</v>
      </c>
      <c r="I636" s="19">
        <f>IF($D636=1,INDEX(TblClusters[RAM par nœud (Go)],$B636),"")</f>
        <v>40</v>
      </c>
      <c r="J636" s="19">
        <f>IF($D636=1,INDEX(TblClusters[Workers min],$B636),"")</f>
        <v>6</v>
      </c>
      <c r="K636" s="73">
        <f>IF($D636=1,INDEX(TblClusters[Tarif par nœud],$B636),"")</f>
        <v>368</v>
      </c>
      <c r="L636" s="19">
        <f>IF($D636=1,INDEX(TblClusters[CPU initial (vCPU)],$B636),"")</f>
        <v>48</v>
      </c>
      <c r="M636" s="19">
        <f>IF($D636=1,INDEX(TblClusters[RAM initiale (Go)],$B636),"")</f>
        <v>240</v>
      </c>
      <c r="N636" s="19">
        <f>IF($D636=1,INDEX(TblClusters[CPU min (vCPU)],$B636),"")</f>
        <v>48</v>
      </c>
      <c r="O636" s="19">
        <f>IF($D636=1,INDEX(TblClusters[RAM min (Go)],$B636),"")</f>
        <v>240</v>
      </c>
      <c r="P636" s="19">
        <f>IF($D636&lt;&gt;1,"",IF($G636="ROKS",SUMIFS(TblApplications[Besoin ROKS CPU (vCPU)],TblApplications[Cluster ROKS cible],$F636,TblApplications[Action],"À migrer",TblApplications[Déjà incluse ROKS],"Non",TblApplications[Mois prov (calc)],"&lt;="&amp;$E636),SUMIFS(TblApplications[CPU IKS libérable (vCPU)],TblApplications[Cluster IKS source],$F636,TblApplications[Mois lib (calc)],"&lt;="&amp;$E636)))</f>
        <v>0</v>
      </c>
      <c r="Q636" s="19">
        <f>IF($D636&lt;&gt;1,"",IF($G636="ROKS",SUMIFS(TblApplications[Besoin ROKS RAM (Go)],TblApplications[Cluster ROKS cible],$F636,TblApplications[Action],"À migrer",TblApplications[Déjà incluse ROKS],"Non",TblApplications[Mois prov (calc)],"&lt;="&amp;$E636),SUMIFS(TblApplications[RAM IKS libérable (Go)],TblApplications[Cluster IKS source],$F636,TblApplications[Mois lib (calc)],"&lt;="&amp;$E636)))</f>
        <v>0</v>
      </c>
      <c r="R636" s="19">
        <f t="shared" si="156"/>
        <v>48</v>
      </c>
      <c r="S636" s="19">
        <f t="shared" si="157"/>
        <v>240</v>
      </c>
      <c r="T636" s="19">
        <f t="shared" si="158"/>
        <v>6</v>
      </c>
      <c r="U636" s="19">
        <f t="shared" si="159"/>
        <v>48</v>
      </c>
      <c r="V636" s="19">
        <f t="shared" si="160"/>
        <v>240</v>
      </c>
      <c r="W636" s="73">
        <f t="shared" si="161"/>
        <v>2208</v>
      </c>
      <c r="X636" s="19">
        <f>IF($D636&lt;&gt;1,"",IF($G636="ROKS",$R636,IF($AI636=1,0,MAX($N636,$L636-SUMIFS(TblApplications[CPU IKS libérable (vCPU)],TblApplications[Cluster IKS source],$F636,TblApplications[Action],"À migrer",TblApplications[Mois prov (calc)],"&lt;="&amp;$E636)-SUMIFS(TblApplications[CPU IKS libérable (vCPU)],TblApplications[Cluster IKS source],$F636,TblApplications[Action],"À décommissionner",TblApplications[Mois lib (calc)],"&lt;="&amp;$E636)))))</f>
        <v>48</v>
      </c>
      <c r="Y636" s="19">
        <f>IF($D636&lt;&gt;1,"",IF($G636="ROKS",$S636,IF($AI636=1,0,MAX($O636,$M636-SUMIFS(TblApplications[RAM IKS libérable (Go)],TblApplications[Cluster IKS source],$F636,TblApplications[Action],"À migrer",TblApplications[Mois prov (calc)],"&lt;="&amp;$E636)-SUMIFS(TblApplications[RAM IKS libérable (Go)],TblApplications[Cluster IKS source],$F636,TblApplications[Action],"À décommissionner",TblApplications[Mois lib (calc)],"&lt;="&amp;$E636)))))</f>
        <v>240</v>
      </c>
      <c r="Z636" s="19">
        <f t="shared" si="162"/>
        <v>6</v>
      </c>
      <c r="AA636" s="73">
        <f t="shared" si="163"/>
        <v>2208</v>
      </c>
      <c r="AB636" s="19">
        <f t="shared" si="164"/>
        <v>6</v>
      </c>
      <c r="AC636" s="73">
        <f t="shared" si="165"/>
        <v>2208</v>
      </c>
      <c r="AD636" s="19">
        <f t="shared" si="166"/>
        <v>0</v>
      </c>
      <c r="AE636" s="19">
        <f t="shared" si="167"/>
        <v>0</v>
      </c>
      <c r="AF636" s="19" t="str">
        <f>IF($D636&lt;&gt;1,"",IF(INDEX(TblClusters[Environnement],$B636)="","(vide)",INDEX(TblClusters[Environnement],$B636)))</f>
        <v>PRD</v>
      </c>
      <c r="AG636" s="19">
        <f t="shared" si="168"/>
        <v>72</v>
      </c>
      <c r="AH636" s="19">
        <f t="shared" si="169"/>
        <v>30.666666666666668</v>
      </c>
      <c r="AI636" s="19">
        <f>IF($D636&lt;&gt;1,"",IF(AND($G636="IKS",ISNUMBER(INDEX(TblClusters[Fermeture retenue],$B636))),IF($E636&gt;=INDEX(TblClusters[Fermeture retenue],$B636),1,0),0))</f>
        <v>0</v>
      </c>
    </row>
    <row r="637" spans="1:35" x14ac:dyDescent="0.2">
      <c r="A637" s="19">
        <v>632</v>
      </c>
      <c r="B637" s="19">
        <f t="shared" si="153"/>
        <v>18</v>
      </c>
      <c r="C637" s="19">
        <f t="shared" si="154"/>
        <v>20</v>
      </c>
      <c r="D637" s="19">
        <f>IF($C637&gt;p_horizon,0,IFERROR(IF(AND(INDEX(TblClusters[Cluster],$B637)&lt;&gt;"",ISNUMBER(INDEX(TblClusters[CPU initial (vCPU)],$B637)),ISNUMBER(INDEX(TblClusters[CPU min (vCPU)],$B637)),OR(INDEX(TblClusters[Plateforme],$B637)="IKS",INDEX(TblClusters[Plateforme],$B637)="ROKS")),1,0),0))</f>
        <v>1</v>
      </c>
      <c r="E637" s="72">
        <f t="shared" si="155"/>
        <v>46874</v>
      </c>
      <c r="F637" s="19" t="str">
        <f>IF($D637=1,INDEX(TblClusters[Cluster],$B637),"")</f>
        <v>oc002i001021</v>
      </c>
      <c r="G637" s="19" t="str">
        <f>IF($D637=1,INDEX(TblClusters[Plateforme],$B637),"")</f>
        <v>ROKS</v>
      </c>
      <c r="H637" s="19">
        <f>IF($D637=1,INDEX(TblClusters[vCPU par nœud],$B637),"")</f>
        <v>8</v>
      </c>
      <c r="I637" s="19">
        <f>IF($D637=1,INDEX(TblClusters[RAM par nœud (Go)],$B637),"")</f>
        <v>40</v>
      </c>
      <c r="J637" s="19">
        <f>IF($D637=1,INDEX(TblClusters[Workers min],$B637),"")</f>
        <v>6</v>
      </c>
      <c r="K637" s="73">
        <f>IF($D637=1,INDEX(TblClusters[Tarif par nœud],$B637),"")</f>
        <v>368</v>
      </c>
      <c r="L637" s="19">
        <f>IF($D637=1,INDEX(TblClusters[CPU initial (vCPU)],$B637),"")</f>
        <v>48</v>
      </c>
      <c r="M637" s="19">
        <f>IF($D637=1,INDEX(TblClusters[RAM initiale (Go)],$B637),"")</f>
        <v>240</v>
      </c>
      <c r="N637" s="19">
        <f>IF($D637=1,INDEX(TblClusters[CPU min (vCPU)],$B637),"")</f>
        <v>48</v>
      </c>
      <c r="O637" s="19">
        <f>IF($D637=1,INDEX(TblClusters[RAM min (Go)],$B637),"")</f>
        <v>240</v>
      </c>
      <c r="P637" s="19">
        <f>IF($D637&lt;&gt;1,"",IF($G637="ROKS",SUMIFS(TblApplications[Besoin ROKS CPU (vCPU)],TblApplications[Cluster ROKS cible],$F637,TblApplications[Action],"À migrer",TblApplications[Déjà incluse ROKS],"Non",TblApplications[Mois prov (calc)],"&lt;="&amp;$E637),SUMIFS(TblApplications[CPU IKS libérable (vCPU)],TblApplications[Cluster IKS source],$F637,TblApplications[Mois lib (calc)],"&lt;="&amp;$E637)))</f>
        <v>0</v>
      </c>
      <c r="Q637" s="19">
        <f>IF($D637&lt;&gt;1,"",IF($G637="ROKS",SUMIFS(TblApplications[Besoin ROKS RAM (Go)],TblApplications[Cluster ROKS cible],$F637,TblApplications[Action],"À migrer",TblApplications[Déjà incluse ROKS],"Non",TblApplications[Mois prov (calc)],"&lt;="&amp;$E637),SUMIFS(TblApplications[RAM IKS libérable (Go)],TblApplications[Cluster IKS source],$F637,TblApplications[Mois lib (calc)],"&lt;="&amp;$E637)))</f>
        <v>0</v>
      </c>
      <c r="R637" s="19">
        <f t="shared" si="156"/>
        <v>48</v>
      </c>
      <c r="S637" s="19">
        <f t="shared" si="157"/>
        <v>240</v>
      </c>
      <c r="T637" s="19">
        <f t="shared" si="158"/>
        <v>6</v>
      </c>
      <c r="U637" s="19">
        <f t="shared" si="159"/>
        <v>48</v>
      </c>
      <c r="V637" s="19">
        <f t="shared" si="160"/>
        <v>240</v>
      </c>
      <c r="W637" s="73">
        <f t="shared" si="161"/>
        <v>2208</v>
      </c>
      <c r="X637" s="19">
        <f>IF($D637&lt;&gt;1,"",IF($G637="ROKS",$R637,IF($AI637=1,0,MAX($N637,$L637-SUMIFS(TblApplications[CPU IKS libérable (vCPU)],TblApplications[Cluster IKS source],$F637,TblApplications[Action],"À migrer",TblApplications[Mois prov (calc)],"&lt;="&amp;$E637)-SUMIFS(TblApplications[CPU IKS libérable (vCPU)],TblApplications[Cluster IKS source],$F637,TblApplications[Action],"À décommissionner",TblApplications[Mois lib (calc)],"&lt;="&amp;$E637)))))</f>
        <v>48</v>
      </c>
      <c r="Y637" s="19">
        <f>IF($D637&lt;&gt;1,"",IF($G637="ROKS",$S637,IF($AI637=1,0,MAX($O637,$M637-SUMIFS(TblApplications[RAM IKS libérable (Go)],TblApplications[Cluster IKS source],$F637,TblApplications[Action],"À migrer",TblApplications[Mois prov (calc)],"&lt;="&amp;$E637)-SUMIFS(TblApplications[RAM IKS libérable (Go)],TblApplications[Cluster IKS source],$F637,TblApplications[Action],"À décommissionner",TblApplications[Mois lib (calc)],"&lt;="&amp;$E637)))))</f>
        <v>240</v>
      </c>
      <c r="Z637" s="19">
        <f t="shared" si="162"/>
        <v>6</v>
      </c>
      <c r="AA637" s="73">
        <f t="shared" si="163"/>
        <v>2208</v>
      </c>
      <c r="AB637" s="19">
        <f t="shared" si="164"/>
        <v>6</v>
      </c>
      <c r="AC637" s="73">
        <f t="shared" si="165"/>
        <v>2208</v>
      </c>
      <c r="AD637" s="19">
        <f t="shared" si="166"/>
        <v>0</v>
      </c>
      <c r="AE637" s="19">
        <f t="shared" si="167"/>
        <v>0</v>
      </c>
      <c r="AF637" s="19" t="str">
        <f>IF($D637&lt;&gt;1,"",IF(INDEX(TblClusters[Environnement],$B637)="","(vide)",INDEX(TblClusters[Environnement],$B637)))</f>
        <v>PRD</v>
      </c>
      <c r="AG637" s="19">
        <f t="shared" si="168"/>
        <v>72</v>
      </c>
      <c r="AH637" s="19">
        <f t="shared" si="169"/>
        <v>30.666666666666668</v>
      </c>
      <c r="AI637" s="19">
        <f>IF($D637&lt;&gt;1,"",IF(AND($G637="IKS",ISNUMBER(INDEX(TblClusters[Fermeture retenue],$B637))),IF($E637&gt;=INDEX(TblClusters[Fermeture retenue],$B637),1,0),0))</f>
        <v>0</v>
      </c>
    </row>
    <row r="638" spans="1:35" x14ac:dyDescent="0.2">
      <c r="A638" s="19">
        <v>633</v>
      </c>
      <c r="B638" s="19">
        <f t="shared" si="153"/>
        <v>18</v>
      </c>
      <c r="C638" s="19">
        <f t="shared" si="154"/>
        <v>21</v>
      </c>
      <c r="D638" s="19">
        <f>IF($C638&gt;p_horizon,0,IFERROR(IF(AND(INDEX(TblClusters[Cluster],$B638)&lt;&gt;"",ISNUMBER(INDEX(TblClusters[CPU initial (vCPU)],$B638)),ISNUMBER(INDEX(TblClusters[CPU min (vCPU)],$B638)),OR(INDEX(TblClusters[Plateforme],$B638)="IKS",INDEX(TblClusters[Plateforme],$B638)="ROKS")),1,0),0))</f>
        <v>1</v>
      </c>
      <c r="E638" s="72">
        <f t="shared" si="155"/>
        <v>46905</v>
      </c>
      <c r="F638" s="19" t="str">
        <f>IF($D638=1,INDEX(TblClusters[Cluster],$B638),"")</f>
        <v>oc002i001021</v>
      </c>
      <c r="G638" s="19" t="str">
        <f>IF($D638=1,INDEX(TblClusters[Plateforme],$B638),"")</f>
        <v>ROKS</v>
      </c>
      <c r="H638" s="19">
        <f>IF($D638=1,INDEX(TblClusters[vCPU par nœud],$B638),"")</f>
        <v>8</v>
      </c>
      <c r="I638" s="19">
        <f>IF($D638=1,INDEX(TblClusters[RAM par nœud (Go)],$B638),"")</f>
        <v>40</v>
      </c>
      <c r="J638" s="19">
        <f>IF($D638=1,INDEX(TblClusters[Workers min],$B638),"")</f>
        <v>6</v>
      </c>
      <c r="K638" s="73">
        <f>IF($D638=1,INDEX(TblClusters[Tarif par nœud],$B638),"")</f>
        <v>368</v>
      </c>
      <c r="L638" s="19">
        <f>IF($D638=1,INDEX(TblClusters[CPU initial (vCPU)],$B638),"")</f>
        <v>48</v>
      </c>
      <c r="M638" s="19">
        <f>IF($D638=1,INDEX(TblClusters[RAM initiale (Go)],$B638),"")</f>
        <v>240</v>
      </c>
      <c r="N638" s="19">
        <f>IF($D638=1,INDEX(TblClusters[CPU min (vCPU)],$B638),"")</f>
        <v>48</v>
      </c>
      <c r="O638" s="19">
        <f>IF($D638=1,INDEX(TblClusters[RAM min (Go)],$B638),"")</f>
        <v>240</v>
      </c>
      <c r="P638" s="19">
        <f>IF($D638&lt;&gt;1,"",IF($G638="ROKS",SUMIFS(TblApplications[Besoin ROKS CPU (vCPU)],TblApplications[Cluster ROKS cible],$F638,TblApplications[Action],"À migrer",TblApplications[Déjà incluse ROKS],"Non",TblApplications[Mois prov (calc)],"&lt;="&amp;$E638),SUMIFS(TblApplications[CPU IKS libérable (vCPU)],TblApplications[Cluster IKS source],$F638,TblApplications[Mois lib (calc)],"&lt;="&amp;$E638)))</f>
        <v>0</v>
      </c>
      <c r="Q638" s="19">
        <f>IF($D638&lt;&gt;1,"",IF($G638="ROKS",SUMIFS(TblApplications[Besoin ROKS RAM (Go)],TblApplications[Cluster ROKS cible],$F638,TblApplications[Action],"À migrer",TblApplications[Déjà incluse ROKS],"Non",TblApplications[Mois prov (calc)],"&lt;="&amp;$E638),SUMIFS(TblApplications[RAM IKS libérable (Go)],TblApplications[Cluster IKS source],$F638,TblApplications[Mois lib (calc)],"&lt;="&amp;$E638)))</f>
        <v>0</v>
      </c>
      <c r="R638" s="19">
        <f t="shared" si="156"/>
        <v>48</v>
      </c>
      <c r="S638" s="19">
        <f t="shared" si="157"/>
        <v>240</v>
      </c>
      <c r="T638" s="19">
        <f t="shared" si="158"/>
        <v>6</v>
      </c>
      <c r="U638" s="19">
        <f t="shared" si="159"/>
        <v>48</v>
      </c>
      <c r="V638" s="19">
        <f t="shared" si="160"/>
        <v>240</v>
      </c>
      <c r="W638" s="73">
        <f t="shared" si="161"/>
        <v>2208</v>
      </c>
      <c r="X638" s="19">
        <f>IF($D638&lt;&gt;1,"",IF($G638="ROKS",$R638,IF($AI638=1,0,MAX($N638,$L638-SUMIFS(TblApplications[CPU IKS libérable (vCPU)],TblApplications[Cluster IKS source],$F638,TblApplications[Action],"À migrer",TblApplications[Mois prov (calc)],"&lt;="&amp;$E638)-SUMIFS(TblApplications[CPU IKS libérable (vCPU)],TblApplications[Cluster IKS source],$F638,TblApplications[Action],"À décommissionner",TblApplications[Mois lib (calc)],"&lt;="&amp;$E638)))))</f>
        <v>48</v>
      </c>
      <c r="Y638" s="19">
        <f>IF($D638&lt;&gt;1,"",IF($G638="ROKS",$S638,IF($AI638=1,0,MAX($O638,$M638-SUMIFS(TblApplications[RAM IKS libérable (Go)],TblApplications[Cluster IKS source],$F638,TblApplications[Action],"À migrer",TblApplications[Mois prov (calc)],"&lt;="&amp;$E638)-SUMIFS(TblApplications[RAM IKS libérable (Go)],TblApplications[Cluster IKS source],$F638,TblApplications[Action],"À décommissionner",TblApplications[Mois lib (calc)],"&lt;="&amp;$E638)))))</f>
        <v>240</v>
      </c>
      <c r="Z638" s="19">
        <f t="shared" si="162"/>
        <v>6</v>
      </c>
      <c r="AA638" s="73">
        <f t="shared" si="163"/>
        <v>2208</v>
      </c>
      <c r="AB638" s="19">
        <f t="shared" si="164"/>
        <v>6</v>
      </c>
      <c r="AC638" s="73">
        <f t="shared" si="165"/>
        <v>2208</v>
      </c>
      <c r="AD638" s="19">
        <f t="shared" si="166"/>
        <v>0</v>
      </c>
      <c r="AE638" s="19">
        <f t="shared" si="167"/>
        <v>0</v>
      </c>
      <c r="AF638" s="19" t="str">
        <f>IF($D638&lt;&gt;1,"",IF(INDEX(TblClusters[Environnement],$B638)="","(vide)",INDEX(TblClusters[Environnement],$B638)))</f>
        <v>PRD</v>
      </c>
      <c r="AG638" s="19">
        <f t="shared" si="168"/>
        <v>72</v>
      </c>
      <c r="AH638" s="19">
        <f t="shared" si="169"/>
        <v>30.666666666666668</v>
      </c>
      <c r="AI638" s="19">
        <f>IF($D638&lt;&gt;1,"",IF(AND($G638="IKS",ISNUMBER(INDEX(TblClusters[Fermeture retenue],$B638))),IF($E638&gt;=INDEX(TblClusters[Fermeture retenue],$B638),1,0),0))</f>
        <v>0</v>
      </c>
    </row>
    <row r="639" spans="1:35" x14ac:dyDescent="0.2">
      <c r="A639" s="19">
        <v>634</v>
      </c>
      <c r="B639" s="19">
        <f t="shared" si="153"/>
        <v>18</v>
      </c>
      <c r="C639" s="19">
        <f t="shared" si="154"/>
        <v>22</v>
      </c>
      <c r="D639" s="19">
        <f>IF($C639&gt;p_horizon,0,IFERROR(IF(AND(INDEX(TblClusters[Cluster],$B639)&lt;&gt;"",ISNUMBER(INDEX(TblClusters[CPU initial (vCPU)],$B639)),ISNUMBER(INDEX(TblClusters[CPU min (vCPU)],$B639)),OR(INDEX(TblClusters[Plateforme],$B639)="IKS",INDEX(TblClusters[Plateforme],$B639)="ROKS")),1,0),0))</f>
        <v>1</v>
      </c>
      <c r="E639" s="72">
        <f t="shared" si="155"/>
        <v>46935</v>
      </c>
      <c r="F639" s="19" t="str">
        <f>IF($D639=1,INDEX(TblClusters[Cluster],$B639),"")</f>
        <v>oc002i001021</v>
      </c>
      <c r="G639" s="19" t="str">
        <f>IF($D639=1,INDEX(TblClusters[Plateforme],$B639),"")</f>
        <v>ROKS</v>
      </c>
      <c r="H639" s="19">
        <f>IF($D639=1,INDEX(TblClusters[vCPU par nœud],$B639),"")</f>
        <v>8</v>
      </c>
      <c r="I639" s="19">
        <f>IF($D639=1,INDEX(TblClusters[RAM par nœud (Go)],$B639),"")</f>
        <v>40</v>
      </c>
      <c r="J639" s="19">
        <f>IF($D639=1,INDEX(TblClusters[Workers min],$B639),"")</f>
        <v>6</v>
      </c>
      <c r="K639" s="73">
        <f>IF($D639=1,INDEX(TblClusters[Tarif par nœud],$B639),"")</f>
        <v>368</v>
      </c>
      <c r="L639" s="19">
        <f>IF($D639=1,INDEX(TblClusters[CPU initial (vCPU)],$B639),"")</f>
        <v>48</v>
      </c>
      <c r="M639" s="19">
        <f>IF($D639=1,INDEX(TblClusters[RAM initiale (Go)],$B639),"")</f>
        <v>240</v>
      </c>
      <c r="N639" s="19">
        <f>IF($D639=1,INDEX(TblClusters[CPU min (vCPU)],$B639),"")</f>
        <v>48</v>
      </c>
      <c r="O639" s="19">
        <f>IF($D639=1,INDEX(TblClusters[RAM min (Go)],$B639),"")</f>
        <v>240</v>
      </c>
      <c r="P639" s="19">
        <f>IF($D639&lt;&gt;1,"",IF($G639="ROKS",SUMIFS(TblApplications[Besoin ROKS CPU (vCPU)],TblApplications[Cluster ROKS cible],$F639,TblApplications[Action],"À migrer",TblApplications[Déjà incluse ROKS],"Non",TblApplications[Mois prov (calc)],"&lt;="&amp;$E639),SUMIFS(TblApplications[CPU IKS libérable (vCPU)],TblApplications[Cluster IKS source],$F639,TblApplications[Mois lib (calc)],"&lt;="&amp;$E639)))</f>
        <v>0</v>
      </c>
      <c r="Q639" s="19">
        <f>IF($D639&lt;&gt;1,"",IF($G639="ROKS",SUMIFS(TblApplications[Besoin ROKS RAM (Go)],TblApplications[Cluster ROKS cible],$F639,TblApplications[Action],"À migrer",TblApplications[Déjà incluse ROKS],"Non",TblApplications[Mois prov (calc)],"&lt;="&amp;$E639),SUMIFS(TblApplications[RAM IKS libérable (Go)],TblApplications[Cluster IKS source],$F639,TblApplications[Mois lib (calc)],"&lt;="&amp;$E639)))</f>
        <v>0</v>
      </c>
      <c r="R639" s="19">
        <f t="shared" si="156"/>
        <v>48</v>
      </c>
      <c r="S639" s="19">
        <f t="shared" si="157"/>
        <v>240</v>
      </c>
      <c r="T639" s="19">
        <f t="shared" si="158"/>
        <v>6</v>
      </c>
      <c r="U639" s="19">
        <f t="shared" si="159"/>
        <v>48</v>
      </c>
      <c r="V639" s="19">
        <f t="shared" si="160"/>
        <v>240</v>
      </c>
      <c r="W639" s="73">
        <f t="shared" si="161"/>
        <v>2208</v>
      </c>
      <c r="X639" s="19">
        <f>IF($D639&lt;&gt;1,"",IF($G639="ROKS",$R639,IF($AI639=1,0,MAX($N639,$L639-SUMIFS(TblApplications[CPU IKS libérable (vCPU)],TblApplications[Cluster IKS source],$F639,TblApplications[Action],"À migrer",TblApplications[Mois prov (calc)],"&lt;="&amp;$E639)-SUMIFS(TblApplications[CPU IKS libérable (vCPU)],TblApplications[Cluster IKS source],$F639,TblApplications[Action],"À décommissionner",TblApplications[Mois lib (calc)],"&lt;="&amp;$E639)))))</f>
        <v>48</v>
      </c>
      <c r="Y639" s="19">
        <f>IF($D639&lt;&gt;1,"",IF($G639="ROKS",$S639,IF($AI639=1,0,MAX($O639,$M639-SUMIFS(TblApplications[RAM IKS libérable (Go)],TblApplications[Cluster IKS source],$F639,TblApplications[Action],"À migrer",TblApplications[Mois prov (calc)],"&lt;="&amp;$E639)-SUMIFS(TblApplications[RAM IKS libérable (Go)],TblApplications[Cluster IKS source],$F639,TblApplications[Action],"À décommissionner",TblApplications[Mois lib (calc)],"&lt;="&amp;$E639)))))</f>
        <v>240</v>
      </c>
      <c r="Z639" s="19">
        <f t="shared" si="162"/>
        <v>6</v>
      </c>
      <c r="AA639" s="73">
        <f t="shared" si="163"/>
        <v>2208</v>
      </c>
      <c r="AB639" s="19">
        <f t="shared" si="164"/>
        <v>6</v>
      </c>
      <c r="AC639" s="73">
        <f t="shared" si="165"/>
        <v>2208</v>
      </c>
      <c r="AD639" s="19">
        <f t="shared" si="166"/>
        <v>0</v>
      </c>
      <c r="AE639" s="19">
        <f t="shared" si="167"/>
        <v>0</v>
      </c>
      <c r="AF639" s="19" t="str">
        <f>IF($D639&lt;&gt;1,"",IF(INDEX(TblClusters[Environnement],$B639)="","(vide)",INDEX(TblClusters[Environnement],$B639)))</f>
        <v>PRD</v>
      </c>
      <c r="AG639" s="19">
        <f t="shared" si="168"/>
        <v>72</v>
      </c>
      <c r="AH639" s="19">
        <f t="shared" si="169"/>
        <v>30.666666666666668</v>
      </c>
      <c r="AI639" s="19">
        <f>IF($D639&lt;&gt;1,"",IF(AND($G639="IKS",ISNUMBER(INDEX(TblClusters[Fermeture retenue],$B639))),IF($E639&gt;=INDEX(TblClusters[Fermeture retenue],$B639),1,0),0))</f>
        <v>0</v>
      </c>
    </row>
    <row r="640" spans="1:35" x14ac:dyDescent="0.2">
      <c r="A640" s="19">
        <v>635</v>
      </c>
      <c r="B640" s="19">
        <f t="shared" si="153"/>
        <v>18</v>
      </c>
      <c r="C640" s="19">
        <f t="shared" si="154"/>
        <v>23</v>
      </c>
      <c r="D640" s="19">
        <f>IF($C640&gt;p_horizon,0,IFERROR(IF(AND(INDEX(TblClusters[Cluster],$B640)&lt;&gt;"",ISNUMBER(INDEX(TblClusters[CPU initial (vCPU)],$B640)),ISNUMBER(INDEX(TblClusters[CPU min (vCPU)],$B640)),OR(INDEX(TblClusters[Plateforme],$B640)="IKS",INDEX(TblClusters[Plateforme],$B640)="ROKS")),1,0),0))</f>
        <v>1</v>
      </c>
      <c r="E640" s="72">
        <f t="shared" si="155"/>
        <v>46966</v>
      </c>
      <c r="F640" s="19" t="str">
        <f>IF($D640=1,INDEX(TblClusters[Cluster],$B640),"")</f>
        <v>oc002i001021</v>
      </c>
      <c r="G640" s="19" t="str">
        <f>IF($D640=1,INDEX(TblClusters[Plateforme],$B640),"")</f>
        <v>ROKS</v>
      </c>
      <c r="H640" s="19">
        <f>IF($D640=1,INDEX(TblClusters[vCPU par nœud],$B640),"")</f>
        <v>8</v>
      </c>
      <c r="I640" s="19">
        <f>IF($D640=1,INDEX(TblClusters[RAM par nœud (Go)],$B640),"")</f>
        <v>40</v>
      </c>
      <c r="J640" s="19">
        <f>IF($D640=1,INDEX(TblClusters[Workers min],$B640),"")</f>
        <v>6</v>
      </c>
      <c r="K640" s="73">
        <f>IF($D640=1,INDEX(TblClusters[Tarif par nœud],$B640),"")</f>
        <v>368</v>
      </c>
      <c r="L640" s="19">
        <f>IF($D640=1,INDEX(TblClusters[CPU initial (vCPU)],$B640),"")</f>
        <v>48</v>
      </c>
      <c r="M640" s="19">
        <f>IF($D640=1,INDEX(TblClusters[RAM initiale (Go)],$B640),"")</f>
        <v>240</v>
      </c>
      <c r="N640" s="19">
        <f>IF($D640=1,INDEX(TblClusters[CPU min (vCPU)],$B640),"")</f>
        <v>48</v>
      </c>
      <c r="O640" s="19">
        <f>IF($D640=1,INDEX(TblClusters[RAM min (Go)],$B640),"")</f>
        <v>240</v>
      </c>
      <c r="P640" s="19">
        <f>IF($D640&lt;&gt;1,"",IF($G640="ROKS",SUMIFS(TblApplications[Besoin ROKS CPU (vCPU)],TblApplications[Cluster ROKS cible],$F640,TblApplications[Action],"À migrer",TblApplications[Déjà incluse ROKS],"Non",TblApplications[Mois prov (calc)],"&lt;="&amp;$E640),SUMIFS(TblApplications[CPU IKS libérable (vCPU)],TblApplications[Cluster IKS source],$F640,TblApplications[Mois lib (calc)],"&lt;="&amp;$E640)))</f>
        <v>0</v>
      </c>
      <c r="Q640" s="19">
        <f>IF($D640&lt;&gt;1,"",IF($G640="ROKS",SUMIFS(TblApplications[Besoin ROKS RAM (Go)],TblApplications[Cluster ROKS cible],$F640,TblApplications[Action],"À migrer",TblApplications[Déjà incluse ROKS],"Non",TblApplications[Mois prov (calc)],"&lt;="&amp;$E640),SUMIFS(TblApplications[RAM IKS libérable (Go)],TblApplications[Cluster IKS source],$F640,TblApplications[Mois lib (calc)],"&lt;="&amp;$E640)))</f>
        <v>0</v>
      </c>
      <c r="R640" s="19">
        <f t="shared" si="156"/>
        <v>48</v>
      </c>
      <c r="S640" s="19">
        <f t="shared" si="157"/>
        <v>240</v>
      </c>
      <c r="T640" s="19">
        <f t="shared" si="158"/>
        <v>6</v>
      </c>
      <c r="U640" s="19">
        <f t="shared" si="159"/>
        <v>48</v>
      </c>
      <c r="V640" s="19">
        <f t="shared" si="160"/>
        <v>240</v>
      </c>
      <c r="W640" s="73">
        <f t="shared" si="161"/>
        <v>2208</v>
      </c>
      <c r="X640" s="19">
        <f>IF($D640&lt;&gt;1,"",IF($G640="ROKS",$R640,IF($AI640=1,0,MAX($N640,$L640-SUMIFS(TblApplications[CPU IKS libérable (vCPU)],TblApplications[Cluster IKS source],$F640,TblApplications[Action],"À migrer",TblApplications[Mois prov (calc)],"&lt;="&amp;$E640)-SUMIFS(TblApplications[CPU IKS libérable (vCPU)],TblApplications[Cluster IKS source],$F640,TblApplications[Action],"À décommissionner",TblApplications[Mois lib (calc)],"&lt;="&amp;$E640)))))</f>
        <v>48</v>
      </c>
      <c r="Y640" s="19">
        <f>IF($D640&lt;&gt;1,"",IF($G640="ROKS",$S640,IF($AI640=1,0,MAX($O640,$M640-SUMIFS(TblApplications[RAM IKS libérable (Go)],TblApplications[Cluster IKS source],$F640,TblApplications[Action],"À migrer",TblApplications[Mois prov (calc)],"&lt;="&amp;$E640)-SUMIFS(TblApplications[RAM IKS libérable (Go)],TblApplications[Cluster IKS source],$F640,TblApplications[Action],"À décommissionner",TblApplications[Mois lib (calc)],"&lt;="&amp;$E640)))))</f>
        <v>240</v>
      </c>
      <c r="Z640" s="19">
        <f t="shared" si="162"/>
        <v>6</v>
      </c>
      <c r="AA640" s="73">
        <f t="shared" si="163"/>
        <v>2208</v>
      </c>
      <c r="AB640" s="19">
        <f t="shared" si="164"/>
        <v>6</v>
      </c>
      <c r="AC640" s="73">
        <f t="shared" si="165"/>
        <v>2208</v>
      </c>
      <c r="AD640" s="19">
        <f t="shared" si="166"/>
        <v>0</v>
      </c>
      <c r="AE640" s="19">
        <f t="shared" si="167"/>
        <v>0</v>
      </c>
      <c r="AF640" s="19" t="str">
        <f>IF($D640&lt;&gt;1,"",IF(INDEX(TblClusters[Environnement],$B640)="","(vide)",INDEX(TblClusters[Environnement],$B640)))</f>
        <v>PRD</v>
      </c>
      <c r="AG640" s="19">
        <f t="shared" si="168"/>
        <v>72</v>
      </c>
      <c r="AH640" s="19">
        <f t="shared" si="169"/>
        <v>30.666666666666668</v>
      </c>
      <c r="AI640" s="19">
        <f>IF($D640&lt;&gt;1,"",IF(AND($G640="IKS",ISNUMBER(INDEX(TblClusters[Fermeture retenue],$B640))),IF($E640&gt;=INDEX(TblClusters[Fermeture retenue],$B640),1,0),0))</f>
        <v>0</v>
      </c>
    </row>
    <row r="641" spans="1:35" x14ac:dyDescent="0.2">
      <c r="A641" s="19">
        <v>636</v>
      </c>
      <c r="B641" s="19">
        <f t="shared" si="153"/>
        <v>18</v>
      </c>
      <c r="C641" s="19">
        <f t="shared" si="154"/>
        <v>24</v>
      </c>
      <c r="D641" s="19">
        <f>IF($C641&gt;p_horizon,0,IFERROR(IF(AND(INDEX(TblClusters[Cluster],$B641)&lt;&gt;"",ISNUMBER(INDEX(TblClusters[CPU initial (vCPU)],$B641)),ISNUMBER(INDEX(TblClusters[CPU min (vCPU)],$B641)),OR(INDEX(TblClusters[Plateforme],$B641)="IKS",INDEX(TblClusters[Plateforme],$B641)="ROKS")),1,0),0))</f>
        <v>1</v>
      </c>
      <c r="E641" s="72">
        <f t="shared" si="155"/>
        <v>46997</v>
      </c>
      <c r="F641" s="19" t="str">
        <f>IF($D641=1,INDEX(TblClusters[Cluster],$B641),"")</f>
        <v>oc002i001021</v>
      </c>
      <c r="G641" s="19" t="str">
        <f>IF($D641=1,INDEX(TblClusters[Plateforme],$B641),"")</f>
        <v>ROKS</v>
      </c>
      <c r="H641" s="19">
        <f>IF($D641=1,INDEX(TblClusters[vCPU par nœud],$B641),"")</f>
        <v>8</v>
      </c>
      <c r="I641" s="19">
        <f>IF($D641=1,INDEX(TblClusters[RAM par nœud (Go)],$B641),"")</f>
        <v>40</v>
      </c>
      <c r="J641" s="19">
        <f>IF($D641=1,INDEX(TblClusters[Workers min],$B641),"")</f>
        <v>6</v>
      </c>
      <c r="K641" s="73">
        <f>IF($D641=1,INDEX(TblClusters[Tarif par nœud],$B641),"")</f>
        <v>368</v>
      </c>
      <c r="L641" s="19">
        <f>IF($D641=1,INDEX(TblClusters[CPU initial (vCPU)],$B641),"")</f>
        <v>48</v>
      </c>
      <c r="M641" s="19">
        <f>IF($D641=1,INDEX(TblClusters[RAM initiale (Go)],$B641),"")</f>
        <v>240</v>
      </c>
      <c r="N641" s="19">
        <f>IF($D641=1,INDEX(TblClusters[CPU min (vCPU)],$B641),"")</f>
        <v>48</v>
      </c>
      <c r="O641" s="19">
        <f>IF($D641=1,INDEX(TblClusters[RAM min (Go)],$B641),"")</f>
        <v>240</v>
      </c>
      <c r="P641" s="19">
        <f>IF($D641&lt;&gt;1,"",IF($G641="ROKS",SUMIFS(TblApplications[Besoin ROKS CPU (vCPU)],TblApplications[Cluster ROKS cible],$F641,TblApplications[Action],"À migrer",TblApplications[Déjà incluse ROKS],"Non",TblApplications[Mois prov (calc)],"&lt;="&amp;$E641),SUMIFS(TblApplications[CPU IKS libérable (vCPU)],TblApplications[Cluster IKS source],$F641,TblApplications[Mois lib (calc)],"&lt;="&amp;$E641)))</f>
        <v>0</v>
      </c>
      <c r="Q641" s="19">
        <f>IF($D641&lt;&gt;1,"",IF($G641="ROKS",SUMIFS(TblApplications[Besoin ROKS RAM (Go)],TblApplications[Cluster ROKS cible],$F641,TblApplications[Action],"À migrer",TblApplications[Déjà incluse ROKS],"Non",TblApplications[Mois prov (calc)],"&lt;="&amp;$E641),SUMIFS(TblApplications[RAM IKS libérable (Go)],TblApplications[Cluster IKS source],$F641,TblApplications[Mois lib (calc)],"&lt;="&amp;$E641)))</f>
        <v>0</v>
      </c>
      <c r="R641" s="19">
        <f t="shared" si="156"/>
        <v>48</v>
      </c>
      <c r="S641" s="19">
        <f t="shared" si="157"/>
        <v>240</v>
      </c>
      <c r="T641" s="19">
        <f t="shared" si="158"/>
        <v>6</v>
      </c>
      <c r="U641" s="19">
        <f t="shared" si="159"/>
        <v>48</v>
      </c>
      <c r="V641" s="19">
        <f t="shared" si="160"/>
        <v>240</v>
      </c>
      <c r="W641" s="73">
        <f t="shared" si="161"/>
        <v>2208</v>
      </c>
      <c r="X641" s="19">
        <f>IF($D641&lt;&gt;1,"",IF($G641="ROKS",$R641,IF($AI641=1,0,MAX($N641,$L641-SUMIFS(TblApplications[CPU IKS libérable (vCPU)],TblApplications[Cluster IKS source],$F641,TblApplications[Action],"À migrer",TblApplications[Mois prov (calc)],"&lt;="&amp;$E641)-SUMIFS(TblApplications[CPU IKS libérable (vCPU)],TblApplications[Cluster IKS source],$F641,TblApplications[Action],"À décommissionner",TblApplications[Mois lib (calc)],"&lt;="&amp;$E641)))))</f>
        <v>48</v>
      </c>
      <c r="Y641" s="19">
        <f>IF($D641&lt;&gt;1,"",IF($G641="ROKS",$S641,IF($AI641=1,0,MAX($O641,$M641-SUMIFS(TblApplications[RAM IKS libérable (Go)],TblApplications[Cluster IKS source],$F641,TblApplications[Action],"À migrer",TblApplications[Mois prov (calc)],"&lt;="&amp;$E641)-SUMIFS(TblApplications[RAM IKS libérable (Go)],TblApplications[Cluster IKS source],$F641,TblApplications[Action],"À décommissionner",TblApplications[Mois lib (calc)],"&lt;="&amp;$E641)))))</f>
        <v>240</v>
      </c>
      <c r="Z641" s="19">
        <f t="shared" si="162"/>
        <v>6</v>
      </c>
      <c r="AA641" s="73">
        <f t="shared" si="163"/>
        <v>2208</v>
      </c>
      <c r="AB641" s="19">
        <f t="shared" si="164"/>
        <v>6</v>
      </c>
      <c r="AC641" s="73">
        <f t="shared" si="165"/>
        <v>2208</v>
      </c>
      <c r="AD641" s="19">
        <f t="shared" si="166"/>
        <v>0</v>
      </c>
      <c r="AE641" s="19">
        <f t="shared" si="167"/>
        <v>0</v>
      </c>
      <c r="AF641" s="19" t="str">
        <f>IF($D641&lt;&gt;1,"",IF(INDEX(TblClusters[Environnement],$B641)="","(vide)",INDEX(TblClusters[Environnement],$B641)))</f>
        <v>PRD</v>
      </c>
      <c r="AG641" s="19">
        <f t="shared" si="168"/>
        <v>72</v>
      </c>
      <c r="AH641" s="19">
        <f t="shared" si="169"/>
        <v>30.666666666666668</v>
      </c>
      <c r="AI641" s="19">
        <f>IF($D641&lt;&gt;1,"",IF(AND($G641="IKS",ISNUMBER(INDEX(TblClusters[Fermeture retenue],$B641))),IF($E641&gt;=INDEX(TblClusters[Fermeture retenue],$B641),1,0),0))</f>
        <v>0</v>
      </c>
    </row>
    <row r="642" spans="1:35" x14ac:dyDescent="0.2">
      <c r="A642" s="19">
        <v>637</v>
      </c>
      <c r="B642" s="19">
        <f t="shared" si="153"/>
        <v>18</v>
      </c>
      <c r="C642" s="19">
        <f t="shared" si="154"/>
        <v>25</v>
      </c>
      <c r="D642" s="19">
        <f>IF($C642&gt;p_horizon,0,IFERROR(IF(AND(INDEX(TblClusters[Cluster],$B642)&lt;&gt;"",ISNUMBER(INDEX(TblClusters[CPU initial (vCPU)],$B642)),ISNUMBER(INDEX(TblClusters[CPU min (vCPU)],$B642)),OR(INDEX(TblClusters[Plateforme],$B642)="IKS",INDEX(TblClusters[Plateforme],$B642)="ROKS")),1,0),0))</f>
        <v>1</v>
      </c>
      <c r="E642" s="72">
        <f t="shared" si="155"/>
        <v>47027</v>
      </c>
      <c r="F642" s="19" t="str">
        <f>IF($D642=1,INDEX(TblClusters[Cluster],$B642),"")</f>
        <v>oc002i001021</v>
      </c>
      <c r="G642" s="19" t="str">
        <f>IF($D642=1,INDEX(TblClusters[Plateforme],$B642),"")</f>
        <v>ROKS</v>
      </c>
      <c r="H642" s="19">
        <f>IF($D642=1,INDEX(TblClusters[vCPU par nœud],$B642),"")</f>
        <v>8</v>
      </c>
      <c r="I642" s="19">
        <f>IF($D642=1,INDEX(TblClusters[RAM par nœud (Go)],$B642),"")</f>
        <v>40</v>
      </c>
      <c r="J642" s="19">
        <f>IF($D642=1,INDEX(TblClusters[Workers min],$B642),"")</f>
        <v>6</v>
      </c>
      <c r="K642" s="73">
        <f>IF($D642=1,INDEX(TblClusters[Tarif par nœud],$B642),"")</f>
        <v>368</v>
      </c>
      <c r="L642" s="19">
        <f>IF($D642=1,INDEX(TblClusters[CPU initial (vCPU)],$B642),"")</f>
        <v>48</v>
      </c>
      <c r="M642" s="19">
        <f>IF($D642=1,INDEX(TblClusters[RAM initiale (Go)],$B642),"")</f>
        <v>240</v>
      </c>
      <c r="N642" s="19">
        <f>IF($D642=1,INDEX(TblClusters[CPU min (vCPU)],$B642),"")</f>
        <v>48</v>
      </c>
      <c r="O642" s="19">
        <f>IF($D642=1,INDEX(TblClusters[RAM min (Go)],$B642),"")</f>
        <v>240</v>
      </c>
      <c r="P642" s="19">
        <f>IF($D642&lt;&gt;1,"",IF($G642="ROKS",SUMIFS(TblApplications[Besoin ROKS CPU (vCPU)],TblApplications[Cluster ROKS cible],$F642,TblApplications[Action],"À migrer",TblApplications[Déjà incluse ROKS],"Non",TblApplications[Mois prov (calc)],"&lt;="&amp;$E642),SUMIFS(TblApplications[CPU IKS libérable (vCPU)],TblApplications[Cluster IKS source],$F642,TblApplications[Mois lib (calc)],"&lt;="&amp;$E642)))</f>
        <v>0</v>
      </c>
      <c r="Q642" s="19">
        <f>IF($D642&lt;&gt;1,"",IF($G642="ROKS",SUMIFS(TblApplications[Besoin ROKS RAM (Go)],TblApplications[Cluster ROKS cible],$F642,TblApplications[Action],"À migrer",TblApplications[Déjà incluse ROKS],"Non",TblApplications[Mois prov (calc)],"&lt;="&amp;$E642),SUMIFS(TblApplications[RAM IKS libérable (Go)],TblApplications[Cluster IKS source],$F642,TblApplications[Mois lib (calc)],"&lt;="&amp;$E642)))</f>
        <v>0</v>
      </c>
      <c r="R642" s="19">
        <f t="shared" si="156"/>
        <v>48</v>
      </c>
      <c r="S642" s="19">
        <f t="shared" si="157"/>
        <v>240</v>
      </c>
      <c r="T642" s="19">
        <f t="shared" si="158"/>
        <v>6</v>
      </c>
      <c r="U642" s="19">
        <f t="shared" si="159"/>
        <v>48</v>
      </c>
      <c r="V642" s="19">
        <f t="shared" si="160"/>
        <v>240</v>
      </c>
      <c r="W642" s="73">
        <f t="shared" si="161"/>
        <v>2208</v>
      </c>
      <c r="X642" s="19">
        <f>IF($D642&lt;&gt;1,"",IF($G642="ROKS",$R642,IF($AI642=1,0,MAX($N642,$L642-SUMIFS(TblApplications[CPU IKS libérable (vCPU)],TblApplications[Cluster IKS source],$F642,TblApplications[Action],"À migrer",TblApplications[Mois prov (calc)],"&lt;="&amp;$E642)-SUMIFS(TblApplications[CPU IKS libérable (vCPU)],TblApplications[Cluster IKS source],$F642,TblApplications[Action],"À décommissionner",TblApplications[Mois lib (calc)],"&lt;="&amp;$E642)))))</f>
        <v>48</v>
      </c>
      <c r="Y642" s="19">
        <f>IF($D642&lt;&gt;1,"",IF($G642="ROKS",$S642,IF($AI642=1,0,MAX($O642,$M642-SUMIFS(TblApplications[RAM IKS libérable (Go)],TblApplications[Cluster IKS source],$F642,TblApplications[Action],"À migrer",TblApplications[Mois prov (calc)],"&lt;="&amp;$E642)-SUMIFS(TblApplications[RAM IKS libérable (Go)],TblApplications[Cluster IKS source],$F642,TblApplications[Action],"À décommissionner",TblApplications[Mois lib (calc)],"&lt;="&amp;$E642)))))</f>
        <v>240</v>
      </c>
      <c r="Z642" s="19">
        <f t="shared" si="162"/>
        <v>6</v>
      </c>
      <c r="AA642" s="73">
        <f t="shared" si="163"/>
        <v>2208</v>
      </c>
      <c r="AB642" s="19">
        <f t="shared" si="164"/>
        <v>6</v>
      </c>
      <c r="AC642" s="73">
        <f t="shared" si="165"/>
        <v>2208</v>
      </c>
      <c r="AD642" s="19">
        <f t="shared" si="166"/>
        <v>0</v>
      </c>
      <c r="AE642" s="19">
        <f t="shared" si="167"/>
        <v>0</v>
      </c>
      <c r="AF642" s="19" t="str">
        <f>IF($D642&lt;&gt;1,"",IF(INDEX(TblClusters[Environnement],$B642)="","(vide)",INDEX(TblClusters[Environnement],$B642)))</f>
        <v>PRD</v>
      </c>
      <c r="AG642" s="19">
        <f t="shared" si="168"/>
        <v>72</v>
      </c>
      <c r="AH642" s="19">
        <f t="shared" si="169"/>
        <v>30.666666666666668</v>
      </c>
      <c r="AI642" s="19">
        <f>IF($D642&lt;&gt;1,"",IF(AND($G642="IKS",ISNUMBER(INDEX(TblClusters[Fermeture retenue],$B642))),IF($E642&gt;=INDEX(TblClusters[Fermeture retenue],$B642),1,0),0))</f>
        <v>0</v>
      </c>
    </row>
    <row r="643" spans="1:35" x14ac:dyDescent="0.2">
      <c r="A643" s="19">
        <v>638</v>
      </c>
      <c r="B643" s="19">
        <f t="shared" si="153"/>
        <v>18</v>
      </c>
      <c r="C643" s="19">
        <f t="shared" si="154"/>
        <v>26</v>
      </c>
      <c r="D643" s="19">
        <f>IF($C643&gt;p_horizon,0,IFERROR(IF(AND(INDEX(TblClusters[Cluster],$B643)&lt;&gt;"",ISNUMBER(INDEX(TblClusters[CPU initial (vCPU)],$B643)),ISNUMBER(INDEX(TblClusters[CPU min (vCPU)],$B643)),OR(INDEX(TblClusters[Plateforme],$B643)="IKS",INDEX(TblClusters[Plateforme],$B643)="ROKS")),1,0),0))</f>
        <v>1</v>
      </c>
      <c r="E643" s="72">
        <f t="shared" si="155"/>
        <v>47058</v>
      </c>
      <c r="F643" s="19" t="str">
        <f>IF($D643=1,INDEX(TblClusters[Cluster],$B643),"")</f>
        <v>oc002i001021</v>
      </c>
      <c r="G643" s="19" t="str">
        <f>IF($D643=1,INDEX(TblClusters[Plateforme],$B643),"")</f>
        <v>ROKS</v>
      </c>
      <c r="H643" s="19">
        <f>IF($D643=1,INDEX(TblClusters[vCPU par nœud],$B643),"")</f>
        <v>8</v>
      </c>
      <c r="I643" s="19">
        <f>IF($D643=1,INDEX(TblClusters[RAM par nœud (Go)],$B643),"")</f>
        <v>40</v>
      </c>
      <c r="J643" s="19">
        <f>IF($D643=1,INDEX(TblClusters[Workers min],$B643),"")</f>
        <v>6</v>
      </c>
      <c r="K643" s="73">
        <f>IF($D643=1,INDEX(TblClusters[Tarif par nœud],$B643),"")</f>
        <v>368</v>
      </c>
      <c r="L643" s="19">
        <f>IF($D643=1,INDEX(TblClusters[CPU initial (vCPU)],$B643),"")</f>
        <v>48</v>
      </c>
      <c r="M643" s="19">
        <f>IF($D643=1,INDEX(TblClusters[RAM initiale (Go)],$B643),"")</f>
        <v>240</v>
      </c>
      <c r="N643" s="19">
        <f>IF($D643=1,INDEX(TblClusters[CPU min (vCPU)],$B643),"")</f>
        <v>48</v>
      </c>
      <c r="O643" s="19">
        <f>IF($D643=1,INDEX(TblClusters[RAM min (Go)],$B643),"")</f>
        <v>240</v>
      </c>
      <c r="P643" s="19">
        <f>IF($D643&lt;&gt;1,"",IF($G643="ROKS",SUMIFS(TblApplications[Besoin ROKS CPU (vCPU)],TblApplications[Cluster ROKS cible],$F643,TblApplications[Action],"À migrer",TblApplications[Déjà incluse ROKS],"Non",TblApplications[Mois prov (calc)],"&lt;="&amp;$E643),SUMIFS(TblApplications[CPU IKS libérable (vCPU)],TblApplications[Cluster IKS source],$F643,TblApplications[Mois lib (calc)],"&lt;="&amp;$E643)))</f>
        <v>0</v>
      </c>
      <c r="Q643" s="19">
        <f>IF($D643&lt;&gt;1,"",IF($G643="ROKS",SUMIFS(TblApplications[Besoin ROKS RAM (Go)],TblApplications[Cluster ROKS cible],$F643,TblApplications[Action],"À migrer",TblApplications[Déjà incluse ROKS],"Non",TblApplications[Mois prov (calc)],"&lt;="&amp;$E643),SUMIFS(TblApplications[RAM IKS libérable (Go)],TblApplications[Cluster IKS source],$F643,TblApplications[Mois lib (calc)],"&lt;="&amp;$E643)))</f>
        <v>0</v>
      </c>
      <c r="R643" s="19">
        <f t="shared" si="156"/>
        <v>48</v>
      </c>
      <c r="S643" s="19">
        <f t="shared" si="157"/>
        <v>240</v>
      </c>
      <c r="T643" s="19">
        <f t="shared" si="158"/>
        <v>6</v>
      </c>
      <c r="U643" s="19">
        <f t="shared" si="159"/>
        <v>48</v>
      </c>
      <c r="V643" s="19">
        <f t="shared" si="160"/>
        <v>240</v>
      </c>
      <c r="W643" s="73">
        <f t="shared" si="161"/>
        <v>2208</v>
      </c>
      <c r="X643" s="19">
        <f>IF($D643&lt;&gt;1,"",IF($G643="ROKS",$R643,IF($AI643=1,0,MAX($N643,$L643-SUMIFS(TblApplications[CPU IKS libérable (vCPU)],TblApplications[Cluster IKS source],$F643,TblApplications[Action],"À migrer",TblApplications[Mois prov (calc)],"&lt;="&amp;$E643)-SUMIFS(TblApplications[CPU IKS libérable (vCPU)],TblApplications[Cluster IKS source],$F643,TblApplications[Action],"À décommissionner",TblApplications[Mois lib (calc)],"&lt;="&amp;$E643)))))</f>
        <v>48</v>
      </c>
      <c r="Y643" s="19">
        <f>IF($D643&lt;&gt;1,"",IF($G643="ROKS",$S643,IF($AI643=1,0,MAX($O643,$M643-SUMIFS(TblApplications[RAM IKS libérable (Go)],TblApplications[Cluster IKS source],$F643,TblApplications[Action],"À migrer",TblApplications[Mois prov (calc)],"&lt;="&amp;$E643)-SUMIFS(TblApplications[RAM IKS libérable (Go)],TblApplications[Cluster IKS source],$F643,TblApplications[Action],"À décommissionner",TblApplications[Mois lib (calc)],"&lt;="&amp;$E643)))))</f>
        <v>240</v>
      </c>
      <c r="Z643" s="19">
        <f t="shared" si="162"/>
        <v>6</v>
      </c>
      <c r="AA643" s="73">
        <f t="shared" si="163"/>
        <v>2208</v>
      </c>
      <c r="AB643" s="19">
        <f t="shared" si="164"/>
        <v>6</v>
      </c>
      <c r="AC643" s="73">
        <f t="shared" si="165"/>
        <v>2208</v>
      </c>
      <c r="AD643" s="19">
        <f t="shared" si="166"/>
        <v>0</v>
      </c>
      <c r="AE643" s="19">
        <f t="shared" si="167"/>
        <v>0</v>
      </c>
      <c r="AF643" s="19" t="str">
        <f>IF($D643&lt;&gt;1,"",IF(INDEX(TblClusters[Environnement],$B643)="","(vide)",INDEX(TblClusters[Environnement],$B643)))</f>
        <v>PRD</v>
      </c>
      <c r="AG643" s="19">
        <f t="shared" si="168"/>
        <v>72</v>
      </c>
      <c r="AH643" s="19">
        <f t="shared" si="169"/>
        <v>30.666666666666668</v>
      </c>
      <c r="AI643" s="19">
        <f>IF($D643&lt;&gt;1,"",IF(AND($G643="IKS",ISNUMBER(INDEX(TblClusters[Fermeture retenue],$B643))),IF($E643&gt;=INDEX(TblClusters[Fermeture retenue],$B643),1,0),0))</f>
        <v>0</v>
      </c>
    </row>
    <row r="644" spans="1:35" x14ac:dyDescent="0.2">
      <c r="A644" s="19">
        <v>639</v>
      </c>
      <c r="B644" s="19">
        <f t="shared" si="153"/>
        <v>18</v>
      </c>
      <c r="C644" s="19">
        <f t="shared" si="154"/>
        <v>27</v>
      </c>
      <c r="D644" s="19">
        <f>IF($C644&gt;p_horizon,0,IFERROR(IF(AND(INDEX(TblClusters[Cluster],$B644)&lt;&gt;"",ISNUMBER(INDEX(TblClusters[CPU initial (vCPU)],$B644)),ISNUMBER(INDEX(TblClusters[CPU min (vCPU)],$B644)),OR(INDEX(TblClusters[Plateforme],$B644)="IKS",INDEX(TblClusters[Plateforme],$B644)="ROKS")),1,0),0))</f>
        <v>1</v>
      </c>
      <c r="E644" s="72">
        <f t="shared" si="155"/>
        <v>47088</v>
      </c>
      <c r="F644" s="19" t="str">
        <f>IF($D644=1,INDEX(TblClusters[Cluster],$B644),"")</f>
        <v>oc002i001021</v>
      </c>
      <c r="G644" s="19" t="str">
        <f>IF($D644=1,INDEX(TblClusters[Plateforme],$B644),"")</f>
        <v>ROKS</v>
      </c>
      <c r="H644" s="19">
        <f>IF($D644=1,INDEX(TblClusters[vCPU par nœud],$B644),"")</f>
        <v>8</v>
      </c>
      <c r="I644" s="19">
        <f>IF($D644=1,INDEX(TblClusters[RAM par nœud (Go)],$B644),"")</f>
        <v>40</v>
      </c>
      <c r="J644" s="19">
        <f>IF($D644=1,INDEX(TblClusters[Workers min],$B644),"")</f>
        <v>6</v>
      </c>
      <c r="K644" s="73">
        <f>IF($D644=1,INDEX(TblClusters[Tarif par nœud],$B644),"")</f>
        <v>368</v>
      </c>
      <c r="L644" s="19">
        <f>IF($D644=1,INDEX(TblClusters[CPU initial (vCPU)],$B644),"")</f>
        <v>48</v>
      </c>
      <c r="M644" s="19">
        <f>IF($D644=1,INDEX(TblClusters[RAM initiale (Go)],$B644),"")</f>
        <v>240</v>
      </c>
      <c r="N644" s="19">
        <f>IF($D644=1,INDEX(TblClusters[CPU min (vCPU)],$B644),"")</f>
        <v>48</v>
      </c>
      <c r="O644" s="19">
        <f>IF($D644=1,INDEX(TblClusters[RAM min (Go)],$B644),"")</f>
        <v>240</v>
      </c>
      <c r="P644" s="19">
        <f>IF($D644&lt;&gt;1,"",IF($G644="ROKS",SUMIFS(TblApplications[Besoin ROKS CPU (vCPU)],TblApplications[Cluster ROKS cible],$F644,TblApplications[Action],"À migrer",TblApplications[Déjà incluse ROKS],"Non",TblApplications[Mois prov (calc)],"&lt;="&amp;$E644),SUMIFS(TblApplications[CPU IKS libérable (vCPU)],TblApplications[Cluster IKS source],$F644,TblApplications[Mois lib (calc)],"&lt;="&amp;$E644)))</f>
        <v>0</v>
      </c>
      <c r="Q644" s="19">
        <f>IF($D644&lt;&gt;1,"",IF($G644="ROKS",SUMIFS(TblApplications[Besoin ROKS RAM (Go)],TblApplications[Cluster ROKS cible],$F644,TblApplications[Action],"À migrer",TblApplications[Déjà incluse ROKS],"Non",TblApplications[Mois prov (calc)],"&lt;="&amp;$E644),SUMIFS(TblApplications[RAM IKS libérable (Go)],TblApplications[Cluster IKS source],$F644,TblApplications[Mois lib (calc)],"&lt;="&amp;$E644)))</f>
        <v>0</v>
      </c>
      <c r="R644" s="19">
        <f t="shared" si="156"/>
        <v>48</v>
      </c>
      <c r="S644" s="19">
        <f t="shared" si="157"/>
        <v>240</v>
      </c>
      <c r="T644" s="19">
        <f t="shared" si="158"/>
        <v>6</v>
      </c>
      <c r="U644" s="19">
        <f t="shared" si="159"/>
        <v>48</v>
      </c>
      <c r="V644" s="19">
        <f t="shared" si="160"/>
        <v>240</v>
      </c>
      <c r="W644" s="73">
        <f t="shared" si="161"/>
        <v>2208</v>
      </c>
      <c r="X644" s="19">
        <f>IF($D644&lt;&gt;1,"",IF($G644="ROKS",$R644,IF($AI644=1,0,MAX($N644,$L644-SUMIFS(TblApplications[CPU IKS libérable (vCPU)],TblApplications[Cluster IKS source],$F644,TblApplications[Action],"À migrer",TblApplications[Mois prov (calc)],"&lt;="&amp;$E644)-SUMIFS(TblApplications[CPU IKS libérable (vCPU)],TblApplications[Cluster IKS source],$F644,TblApplications[Action],"À décommissionner",TblApplications[Mois lib (calc)],"&lt;="&amp;$E644)))))</f>
        <v>48</v>
      </c>
      <c r="Y644" s="19">
        <f>IF($D644&lt;&gt;1,"",IF($G644="ROKS",$S644,IF($AI644=1,0,MAX($O644,$M644-SUMIFS(TblApplications[RAM IKS libérable (Go)],TblApplications[Cluster IKS source],$F644,TblApplications[Action],"À migrer",TblApplications[Mois prov (calc)],"&lt;="&amp;$E644)-SUMIFS(TblApplications[RAM IKS libérable (Go)],TblApplications[Cluster IKS source],$F644,TblApplications[Action],"À décommissionner",TblApplications[Mois lib (calc)],"&lt;="&amp;$E644)))))</f>
        <v>240</v>
      </c>
      <c r="Z644" s="19">
        <f t="shared" si="162"/>
        <v>6</v>
      </c>
      <c r="AA644" s="73">
        <f t="shared" si="163"/>
        <v>2208</v>
      </c>
      <c r="AB644" s="19">
        <f t="shared" si="164"/>
        <v>6</v>
      </c>
      <c r="AC644" s="73">
        <f t="shared" si="165"/>
        <v>2208</v>
      </c>
      <c r="AD644" s="19">
        <f t="shared" si="166"/>
        <v>0</v>
      </c>
      <c r="AE644" s="19">
        <f t="shared" si="167"/>
        <v>0</v>
      </c>
      <c r="AF644" s="19" t="str">
        <f>IF($D644&lt;&gt;1,"",IF(INDEX(TblClusters[Environnement],$B644)="","(vide)",INDEX(TblClusters[Environnement],$B644)))</f>
        <v>PRD</v>
      </c>
      <c r="AG644" s="19">
        <f t="shared" si="168"/>
        <v>72</v>
      </c>
      <c r="AH644" s="19">
        <f t="shared" si="169"/>
        <v>30.666666666666668</v>
      </c>
      <c r="AI644" s="19">
        <f>IF($D644&lt;&gt;1,"",IF(AND($G644="IKS",ISNUMBER(INDEX(TblClusters[Fermeture retenue],$B644))),IF($E644&gt;=INDEX(TblClusters[Fermeture retenue],$B644),1,0),0))</f>
        <v>0</v>
      </c>
    </row>
    <row r="645" spans="1:35" x14ac:dyDescent="0.2">
      <c r="A645" s="19">
        <v>640</v>
      </c>
      <c r="B645" s="19">
        <f t="shared" si="153"/>
        <v>18</v>
      </c>
      <c r="C645" s="19">
        <f t="shared" si="154"/>
        <v>28</v>
      </c>
      <c r="D645" s="19">
        <f>IF($C645&gt;p_horizon,0,IFERROR(IF(AND(INDEX(TblClusters[Cluster],$B645)&lt;&gt;"",ISNUMBER(INDEX(TblClusters[CPU initial (vCPU)],$B645)),ISNUMBER(INDEX(TblClusters[CPU min (vCPU)],$B645)),OR(INDEX(TblClusters[Plateforme],$B645)="IKS",INDEX(TblClusters[Plateforme],$B645)="ROKS")),1,0),0))</f>
        <v>1</v>
      </c>
      <c r="E645" s="72">
        <f t="shared" si="155"/>
        <v>47119</v>
      </c>
      <c r="F645" s="19" t="str">
        <f>IF($D645=1,INDEX(TblClusters[Cluster],$B645),"")</f>
        <v>oc002i001021</v>
      </c>
      <c r="G645" s="19" t="str">
        <f>IF($D645=1,INDEX(TblClusters[Plateforme],$B645),"")</f>
        <v>ROKS</v>
      </c>
      <c r="H645" s="19">
        <f>IF($D645=1,INDEX(TblClusters[vCPU par nœud],$B645),"")</f>
        <v>8</v>
      </c>
      <c r="I645" s="19">
        <f>IF($D645=1,INDEX(TblClusters[RAM par nœud (Go)],$B645),"")</f>
        <v>40</v>
      </c>
      <c r="J645" s="19">
        <f>IF($D645=1,INDEX(TblClusters[Workers min],$B645),"")</f>
        <v>6</v>
      </c>
      <c r="K645" s="73">
        <f>IF($D645=1,INDEX(TblClusters[Tarif par nœud],$B645),"")</f>
        <v>368</v>
      </c>
      <c r="L645" s="19">
        <f>IF($D645=1,INDEX(TblClusters[CPU initial (vCPU)],$B645),"")</f>
        <v>48</v>
      </c>
      <c r="M645" s="19">
        <f>IF($D645=1,INDEX(TblClusters[RAM initiale (Go)],$B645),"")</f>
        <v>240</v>
      </c>
      <c r="N645" s="19">
        <f>IF($D645=1,INDEX(TblClusters[CPU min (vCPU)],$B645),"")</f>
        <v>48</v>
      </c>
      <c r="O645" s="19">
        <f>IF($D645=1,INDEX(TblClusters[RAM min (Go)],$B645),"")</f>
        <v>240</v>
      </c>
      <c r="P645" s="19">
        <f>IF($D645&lt;&gt;1,"",IF($G645="ROKS",SUMIFS(TblApplications[Besoin ROKS CPU (vCPU)],TblApplications[Cluster ROKS cible],$F645,TblApplications[Action],"À migrer",TblApplications[Déjà incluse ROKS],"Non",TblApplications[Mois prov (calc)],"&lt;="&amp;$E645),SUMIFS(TblApplications[CPU IKS libérable (vCPU)],TblApplications[Cluster IKS source],$F645,TblApplications[Mois lib (calc)],"&lt;="&amp;$E645)))</f>
        <v>0</v>
      </c>
      <c r="Q645" s="19">
        <f>IF($D645&lt;&gt;1,"",IF($G645="ROKS",SUMIFS(TblApplications[Besoin ROKS RAM (Go)],TblApplications[Cluster ROKS cible],$F645,TblApplications[Action],"À migrer",TblApplications[Déjà incluse ROKS],"Non",TblApplications[Mois prov (calc)],"&lt;="&amp;$E645),SUMIFS(TblApplications[RAM IKS libérable (Go)],TblApplications[Cluster IKS source],$F645,TblApplications[Mois lib (calc)],"&lt;="&amp;$E645)))</f>
        <v>0</v>
      </c>
      <c r="R645" s="19">
        <f t="shared" si="156"/>
        <v>48</v>
      </c>
      <c r="S645" s="19">
        <f t="shared" si="157"/>
        <v>240</v>
      </c>
      <c r="T645" s="19">
        <f t="shared" si="158"/>
        <v>6</v>
      </c>
      <c r="U645" s="19">
        <f t="shared" si="159"/>
        <v>48</v>
      </c>
      <c r="V645" s="19">
        <f t="shared" si="160"/>
        <v>240</v>
      </c>
      <c r="W645" s="73">
        <f t="shared" si="161"/>
        <v>2208</v>
      </c>
      <c r="X645" s="19">
        <f>IF($D645&lt;&gt;1,"",IF($G645="ROKS",$R645,IF($AI645=1,0,MAX($N645,$L645-SUMIFS(TblApplications[CPU IKS libérable (vCPU)],TblApplications[Cluster IKS source],$F645,TblApplications[Action],"À migrer",TblApplications[Mois prov (calc)],"&lt;="&amp;$E645)-SUMIFS(TblApplications[CPU IKS libérable (vCPU)],TblApplications[Cluster IKS source],$F645,TblApplications[Action],"À décommissionner",TblApplications[Mois lib (calc)],"&lt;="&amp;$E645)))))</f>
        <v>48</v>
      </c>
      <c r="Y645" s="19">
        <f>IF($D645&lt;&gt;1,"",IF($G645="ROKS",$S645,IF($AI645=1,0,MAX($O645,$M645-SUMIFS(TblApplications[RAM IKS libérable (Go)],TblApplications[Cluster IKS source],$F645,TblApplications[Action],"À migrer",TblApplications[Mois prov (calc)],"&lt;="&amp;$E645)-SUMIFS(TblApplications[RAM IKS libérable (Go)],TblApplications[Cluster IKS source],$F645,TblApplications[Action],"À décommissionner",TblApplications[Mois lib (calc)],"&lt;="&amp;$E645)))))</f>
        <v>240</v>
      </c>
      <c r="Z645" s="19">
        <f t="shared" si="162"/>
        <v>6</v>
      </c>
      <c r="AA645" s="73">
        <f t="shared" si="163"/>
        <v>2208</v>
      </c>
      <c r="AB645" s="19">
        <f t="shared" si="164"/>
        <v>6</v>
      </c>
      <c r="AC645" s="73">
        <f t="shared" si="165"/>
        <v>2208</v>
      </c>
      <c r="AD645" s="19">
        <f t="shared" si="166"/>
        <v>0</v>
      </c>
      <c r="AE645" s="19">
        <f t="shared" si="167"/>
        <v>0</v>
      </c>
      <c r="AF645" s="19" t="str">
        <f>IF($D645&lt;&gt;1,"",IF(INDEX(TblClusters[Environnement],$B645)="","(vide)",INDEX(TblClusters[Environnement],$B645)))</f>
        <v>PRD</v>
      </c>
      <c r="AG645" s="19">
        <f t="shared" si="168"/>
        <v>72</v>
      </c>
      <c r="AH645" s="19">
        <f t="shared" si="169"/>
        <v>30.666666666666668</v>
      </c>
      <c r="AI645" s="19">
        <f>IF($D645&lt;&gt;1,"",IF(AND($G645="IKS",ISNUMBER(INDEX(TblClusters[Fermeture retenue],$B645))),IF($E645&gt;=INDEX(TblClusters[Fermeture retenue],$B645),1,0),0))</f>
        <v>0</v>
      </c>
    </row>
    <row r="646" spans="1:35" x14ac:dyDescent="0.2">
      <c r="A646" s="19">
        <v>641</v>
      </c>
      <c r="B646" s="19">
        <f t="shared" ref="B646:B709" si="170">INT(($A646-1)/36)+1</f>
        <v>18</v>
      </c>
      <c r="C646" s="19">
        <f t="shared" ref="C646:C709" si="171">MOD($A646-1,36)+1</f>
        <v>29</v>
      </c>
      <c r="D646" s="19">
        <f>IF($C646&gt;p_horizon,0,IFERROR(IF(AND(INDEX(TblClusters[Cluster],$B646)&lt;&gt;"",ISNUMBER(INDEX(TblClusters[CPU initial (vCPU)],$B646)),ISNUMBER(INDEX(TblClusters[CPU min (vCPU)],$B646)),OR(INDEX(TblClusters[Plateforme],$B646)="IKS",INDEX(TblClusters[Plateforme],$B646)="ROKS")),1,0),0))</f>
        <v>1</v>
      </c>
      <c r="E646" s="72">
        <f t="shared" ref="E646:E709" si="172">IF($D646=1,EDATE(p_debut,$C646-1),"")</f>
        <v>47150</v>
      </c>
      <c r="F646" s="19" t="str">
        <f>IF($D646=1,INDEX(TblClusters[Cluster],$B646),"")</f>
        <v>oc002i001021</v>
      </c>
      <c r="G646" s="19" t="str">
        <f>IF($D646=1,INDEX(TblClusters[Plateforme],$B646),"")</f>
        <v>ROKS</v>
      </c>
      <c r="H646" s="19">
        <f>IF($D646=1,INDEX(TblClusters[vCPU par nœud],$B646),"")</f>
        <v>8</v>
      </c>
      <c r="I646" s="19">
        <f>IF($D646=1,INDEX(TblClusters[RAM par nœud (Go)],$B646),"")</f>
        <v>40</v>
      </c>
      <c r="J646" s="19">
        <f>IF($D646=1,INDEX(TblClusters[Workers min],$B646),"")</f>
        <v>6</v>
      </c>
      <c r="K646" s="73">
        <f>IF($D646=1,INDEX(TblClusters[Tarif par nœud],$B646),"")</f>
        <v>368</v>
      </c>
      <c r="L646" s="19">
        <f>IF($D646=1,INDEX(TblClusters[CPU initial (vCPU)],$B646),"")</f>
        <v>48</v>
      </c>
      <c r="M646" s="19">
        <f>IF($D646=1,INDEX(TblClusters[RAM initiale (Go)],$B646),"")</f>
        <v>240</v>
      </c>
      <c r="N646" s="19">
        <f>IF($D646=1,INDEX(TblClusters[CPU min (vCPU)],$B646),"")</f>
        <v>48</v>
      </c>
      <c r="O646" s="19">
        <f>IF($D646=1,INDEX(TblClusters[RAM min (Go)],$B646),"")</f>
        <v>240</v>
      </c>
      <c r="P646" s="19">
        <f>IF($D646&lt;&gt;1,"",IF($G646="ROKS",SUMIFS(TblApplications[Besoin ROKS CPU (vCPU)],TblApplications[Cluster ROKS cible],$F646,TblApplications[Action],"À migrer",TblApplications[Déjà incluse ROKS],"Non",TblApplications[Mois prov (calc)],"&lt;="&amp;$E646),SUMIFS(TblApplications[CPU IKS libérable (vCPU)],TblApplications[Cluster IKS source],$F646,TblApplications[Mois lib (calc)],"&lt;="&amp;$E646)))</f>
        <v>0</v>
      </c>
      <c r="Q646" s="19">
        <f>IF($D646&lt;&gt;1,"",IF($G646="ROKS",SUMIFS(TblApplications[Besoin ROKS RAM (Go)],TblApplications[Cluster ROKS cible],$F646,TblApplications[Action],"À migrer",TblApplications[Déjà incluse ROKS],"Non",TblApplications[Mois prov (calc)],"&lt;="&amp;$E646),SUMIFS(TblApplications[RAM IKS libérable (Go)],TblApplications[Cluster IKS source],$F646,TblApplications[Mois lib (calc)],"&lt;="&amp;$E646)))</f>
        <v>0</v>
      </c>
      <c r="R646" s="19">
        <f t="shared" ref="R646:R709" si="173">IF($D646&lt;&gt;1,"",IF($G646="ROKS",$L646+$P646,IF($AI646=1,0,MAX($N646,$L646-$P646))))</f>
        <v>48</v>
      </c>
      <c r="S646" s="19">
        <f t="shared" ref="S646:S709" si="174">IF($D646&lt;&gt;1,"",IF($G646="ROKS",$M646+$Q646,IF($AI646=1,0,MAX($O646,$M646-$Q646))))</f>
        <v>240</v>
      </c>
      <c r="T646" s="19">
        <f t="shared" ref="T646:T709" si="175">IF($D646&lt;&gt;1,"",IF($AI646=1,0,MAX($J646,ROUNDUP(MAX($R646/$H646,$S646/$I646),0))))</f>
        <v>6</v>
      </c>
      <c r="U646" s="19">
        <f t="shared" ref="U646:U709" si="176">IF($D646&lt;&gt;1,"",IF(p_mode="Nœud",$T646*$H646,$R646))</f>
        <v>48</v>
      </c>
      <c r="V646" s="19">
        <f t="shared" ref="V646:V709" si="177">IF($D646&lt;&gt;1,"",IF(p_mode="Nœud",$T646*$I646,$S646))</f>
        <v>240</v>
      </c>
      <c r="W646" s="73">
        <f t="shared" ref="W646:W709" si="178">IF($D646&lt;&gt;1,"",IF(p_mode="Nœud",$T646*$K646,$R646*IF($G646="IKS",p_iks_cpu,p_roks_cpu)+$S646*IF($G646="IKS",p_iks_ram,p_roks_ram))*p_facteur)</f>
        <v>2208</v>
      </c>
      <c r="X646" s="19">
        <f>IF($D646&lt;&gt;1,"",IF($G646="ROKS",$R646,IF($AI646=1,0,MAX($N646,$L646-SUMIFS(TblApplications[CPU IKS libérable (vCPU)],TblApplications[Cluster IKS source],$F646,TblApplications[Action],"À migrer",TblApplications[Mois prov (calc)],"&lt;="&amp;$E646)-SUMIFS(TblApplications[CPU IKS libérable (vCPU)],TblApplications[Cluster IKS source],$F646,TblApplications[Action],"À décommissionner",TblApplications[Mois lib (calc)],"&lt;="&amp;$E646)))))</f>
        <v>48</v>
      </c>
      <c r="Y646" s="19">
        <f>IF($D646&lt;&gt;1,"",IF($G646="ROKS",$S646,IF($AI646=1,0,MAX($O646,$M646-SUMIFS(TblApplications[RAM IKS libérable (Go)],TblApplications[Cluster IKS source],$F646,TblApplications[Action],"À migrer",TblApplications[Mois prov (calc)],"&lt;="&amp;$E646)-SUMIFS(TblApplications[RAM IKS libérable (Go)],TblApplications[Cluster IKS source],$F646,TblApplications[Action],"À décommissionner",TblApplications[Mois lib (calc)],"&lt;="&amp;$E646)))))</f>
        <v>240</v>
      </c>
      <c r="Z646" s="19">
        <f t="shared" ref="Z646:Z709" si="179">IF($D646&lt;&gt;1,"",IF($AI646=1,0,MAX($J646,ROUNDUP(MAX($X646/$H646,$Y646/$I646),0))))</f>
        <v>6</v>
      </c>
      <c r="AA646" s="73">
        <f t="shared" ref="AA646:AA709" si="180">IF($D646&lt;&gt;1,"",IF(p_mode="Nœud",$Z646*$K646,$X646*IF($G646="IKS",p_iks_cpu,p_roks_cpu)+$Y646*IF($G646="IKS",p_iks_ram,p_roks_ram))*p_facteur)</f>
        <v>2208</v>
      </c>
      <c r="AB646" s="19">
        <f t="shared" ref="AB646:AB709" si="181">IF($D646&lt;&gt;1,"",MAX($J646,ROUNDUP(MAX($L646/$H646,$M646/$I646),0)))</f>
        <v>6</v>
      </c>
      <c r="AC646" s="73">
        <f t="shared" ref="AC646:AC709" si="182">IF($D646&lt;&gt;1,"",IF(p_mode="Nœud",$AB646*$K646,$L646*IF($G646="IKS",p_iks_cpu,p_roks_cpu)+$M646*IF($G646="IKS",p_iks_ram,p_roks_ram))*p_facteur)</f>
        <v>2208</v>
      </c>
      <c r="AD646" s="19">
        <f t="shared" ref="AD646:AD709" si="183">IF($D646&lt;&gt;1,"",IF(AND($G646="IKS",$AI646&lt;&gt;1,OR($L646-$P646&lt;$N646,$M646-$Q646&lt;$O646)),1,0))</f>
        <v>0</v>
      </c>
      <c r="AE646" s="19">
        <f t="shared" ref="AE646:AE709" si="184">IF($D646&lt;&gt;1,"",IF(AND($G646="ROKS",$T646&gt;p_maxworkers),1,0))</f>
        <v>0</v>
      </c>
      <c r="AF646" s="19" t="str">
        <f>IF($D646&lt;&gt;1,"",IF(INDEX(TblClusters[Environnement],$B646)="","(vide)",INDEX(TblClusters[Environnement],$B646)))</f>
        <v>PRD</v>
      </c>
      <c r="AG646" s="19">
        <f t="shared" ref="AG646:AG709" si="185">IF($D646&lt;&gt;1,"",$R646+p_poidsram*$S646)</f>
        <v>72</v>
      </c>
      <c r="AH646" s="19">
        <f t="shared" ref="AH646:AH709" si="186">IF($D646&lt;&gt;1,"",IFERROR($W646/$AG646,0))</f>
        <v>30.666666666666668</v>
      </c>
      <c r="AI646" s="19">
        <f>IF($D646&lt;&gt;1,"",IF(AND($G646="IKS",ISNUMBER(INDEX(TblClusters[Fermeture retenue],$B646))),IF($E646&gt;=INDEX(TblClusters[Fermeture retenue],$B646),1,0),0))</f>
        <v>0</v>
      </c>
    </row>
    <row r="647" spans="1:35" x14ac:dyDescent="0.2">
      <c r="A647" s="19">
        <v>642</v>
      </c>
      <c r="B647" s="19">
        <f t="shared" si="170"/>
        <v>18</v>
      </c>
      <c r="C647" s="19">
        <f t="shared" si="171"/>
        <v>30</v>
      </c>
      <c r="D647" s="19">
        <f>IF($C647&gt;p_horizon,0,IFERROR(IF(AND(INDEX(TblClusters[Cluster],$B647)&lt;&gt;"",ISNUMBER(INDEX(TblClusters[CPU initial (vCPU)],$B647)),ISNUMBER(INDEX(TblClusters[CPU min (vCPU)],$B647)),OR(INDEX(TblClusters[Plateforme],$B647)="IKS",INDEX(TblClusters[Plateforme],$B647)="ROKS")),1,0),0))</f>
        <v>1</v>
      </c>
      <c r="E647" s="72">
        <f t="shared" si="172"/>
        <v>47178</v>
      </c>
      <c r="F647" s="19" t="str">
        <f>IF($D647=1,INDEX(TblClusters[Cluster],$B647),"")</f>
        <v>oc002i001021</v>
      </c>
      <c r="G647" s="19" t="str">
        <f>IF($D647=1,INDEX(TblClusters[Plateforme],$B647),"")</f>
        <v>ROKS</v>
      </c>
      <c r="H647" s="19">
        <f>IF($D647=1,INDEX(TblClusters[vCPU par nœud],$B647),"")</f>
        <v>8</v>
      </c>
      <c r="I647" s="19">
        <f>IF($D647=1,INDEX(TblClusters[RAM par nœud (Go)],$B647),"")</f>
        <v>40</v>
      </c>
      <c r="J647" s="19">
        <f>IF($D647=1,INDEX(TblClusters[Workers min],$B647),"")</f>
        <v>6</v>
      </c>
      <c r="K647" s="73">
        <f>IF($D647=1,INDEX(TblClusters[Tarif par nœud],$B647),"")</f>
        <v>368</v>
      </c>
      <c r="L647" s="19">
        <f>IF($D647=1,INDEX(TblClusters[CPU initial (vCPU)],$B647),"")</f>
        <v>48</v>
      </c>
      <c r="M647" s="19">
        <f>IF($D647=1,INDEX(TblClusters[RAM initiale (Go)],$B647),"")</f>
        <v>240</v>
      </c>
      <c r="N647" s="19">
        <f>IF($D647=1,INDEX(TblClusters[CPU min (vCPU)],$B647),"")</f>
        <v>48</v>
      </c>
      <c r="O647" s="19">
        <f>IF($D647=1,INDEX(TblClusters[RAM min (Go)],$B647),"")</f>
        <v>240</v>
      </c>
      <c r="P647" s="19">
        <f>IF($D647&lt;&gt;1,"",IF($G647="ROKS",SUMIFS(TblApplications[Besoin ROKS CPU (vCPU)],TblApplications[Cluster ROKS cible],$F647,TblApplications[Action],"À migrer",TblApplications[Déjà incluse ROKS],"Non",TblApplications[Mois prov (calc)],"&lt;="&amp;$E647),SUMIFS(TblApplications[CPU IKS libérable (vCPU)],TblApplications[Cluster IKS source],$F647,TblApplications[Mois lib (calc)],"&lt;="&amp;$E647)))</f>
        <v>0</v>
      </c>
      <c r="Q647" s="19">
        <f>IF($D647&lt;&gt;1,"",IF($G647="ROKS",SUMIFS(TblApplications[Besoin ROKS RAM (Go)],TblApplications[Cluster ROKS cible],$F647,TblApplications[Action],"À migrer",TblApplications[Déjà incluse ROKS],"Non",TblApplications[Mois prov (calc)],"&lt;="&amp;$E647),SUMIFS(TblApplications[RAM IKS libérable (Go)],TblApplications[Cluster IKS source],$F647,TblApplications[Mois lib (calc)],"&lt;="&amp;$E647)))</f>
        <v>0</v>
      </c>
      <c r="R647" s="19">
        <f t="shared" si="173"/>
        <v>48</v>
      </c>
      <c r="S647" s="19">
        <f t="shared" si="174"/>
        <v>240</v>
      </c>
      <c r="T647" s="19">
        <f t="shared" si="175"/>
        <v>6</v>
      </c>
      <c r="U647" s="19">
        <f t="shared" si="176"/>
        <v>48</v>
      </c>
      <c r="V647" s="19">
        <f t="shared" si="177"/>
        <v>240</v>
      </c>
      <c r="W647" s="73">
        <f t="shared" si="178"/>
        <v>2208</v>
      </c>
      <c r="X647" s="19">
        <f>IF($D647&lt;&gt;1,"",IF($G647="ROKS",$R647,IF($AI647=1,0,MAX($N647,$L647-SUMIFS(TblApplications[CPU IKS libérable (vCPU)],TblApplications[Cluster IKS source],$F647,TblApplications[Action],"À migrer",TblApplications[Mois prov (calc)],"&lt;="&amp;$E647)-SUMIFS(TblApplications[CPU IKS libérable (vCPU)],TblApplications[Cluster IKS source],$F647,TblApplications[Action],"À décommissionner",TblApplications[Mois lib (calc)],"&lt;="&amp;$E647)))))</f>
        <v>48</v>
      </c>
      <c r="Y647" s="19">
        <f>IF($D647&lt;&gt;1,"",IF($G647="ROKS",$S647,IF($AI647=1,0,MAX($O647,$M647-SUMIFS(TblApplications[RAM IKS libérable (Go)],TblApplications[Cluster IKS source],$F647,TblApplications[Action],"À migrer",TblApplications[Mois prov (calc)],"&lt;="&amp;$E647)-SUMIFS(TblApplications[RAM IKS libérable (Go)],TblApplications[Cluster IKS source],$F647,TblApplications[Action],"À décommissionner",TblApplications[Mois lib (calc)],"&lt;="&amp;$E647)))))</f>
        <v>240</v>
      </c>
      <c r="Z647" s="19">
        <f t="shared" si="179"/>
        <v>6</v>
      </c>
      <c r="AA647" s="73">
        <f t="shared" si="180"/>
        <v>2208</v>
      </c>
      <c r="AB647" s="19">
        <f t="shared" si="181"/>
        <v>6</v>
      </c>
      <c r="AC647" s="73">
        <f t="shared" si="182"/>
        <v>2208</v>
      </c>
      <c r="AD647" s="19">
        <f t="shared" si="183"/>
        <v>0</v>
      </c>
      <c r="AE647" s="19">
        <f t="shared" si="184"/>
        <v>0</v>
      </c>
      <c r="AF647" s="19" t="str">
        <f>IF($D647&lt;&gt;1,"",IF(INDEX(TblClusters[Environnement],$B647)="","(vide)",INDEX(TblClusters[Environnement],$B647)))</f>
        <v>PRD</v>
      </c>
      <c r="AG647" s="19">
        <f t="shared" si="185"/>
        <v>72</v>
      </c>
      <c r="AH647" s="19">
        <f t="shared" si="186"/>
        <v>30.666666666666668</v>
      </c>
      <c r="AI647" s="19">
        <f>IF($D647&lt;&gt;1,"",IF(AND($G647="IKS",ISNUMBER(INDEX(TblClusters[Fermeture retenue],$B647))),IF($E647&gt;=INDEX(TblClusters[Fermeture retenue],$B647),1,0),0))</f>
        <v>0</v>
      </c>
    </row>
    <row r="648" spans="1:35" x14ac:dyDescent="0.2">
      <c r="A648" s="19">
        <v>643</v>
      </c>
      <c r="B648" s="19">
        <f t="shared" si="170"/>
        <v>18</v>
      </c>
      <c r="C648" s="19">
        <f t="shared" si="171"/>
        <v>31</v>
      </c>
      <c r="D648" s="19">
        <f>IF($C648&gt;p_horizon,0,IFERROR(IF(AND(INDEX(TblClusters[Cluster],$B648)&lt;&gt;"",ISNUMBER(INDEX(TblClusters[CPU initial (vCPU)],$B648)),ISNUMBER(INDEX(TblClusters[CPU min (vCPU)],$B648)),OR(INDEX(TblClusters[Plateforme],$B648)="IKS",INDEX(TblClusters[Plateforme],$B648)="ROKS")),1,0),0))</f>
        <v>1</v>
      </c>
      <c r="E648" s="72">
        <f t="shared" si="172"/>
        <v>47209</v>
      </c>
      <c r="F648" s="19" t="str">
        <f>IF($D648=1,INDEX(TblClusters[Cluster],$B648),"")</f>
        <v>oc002i001021</v>
      </c>
      <c r="G648" s="19" t="str">
        <f>IF($D648=1,INDEX(TblClusters[Plateforme],$B648),"")</f>
        <v>ROKS</v>
      </c>
      <c r="H648" s="19">
        <f>IF($D648=1,INDEX(TblClusters[vCPU par nœud],$B648),"")</f>
        <v>8</v>
      </c>
      <c r="I648" s="19">
        <f>IF($D648=1,INDEX(TblClusters[RAM par nœud (Go)],$B648),"")</f>
        <v>40</v>
      </c>
      <c r="J648" s="19">
        <f>IF($D648=1,INDEX(TblClusters[Workers min],$B648),"")</f>
        <v>6</v>
      </c>
      <c r="K648" s="73">
        <f>IF($D648=1,INDEX(TblClusters[Tarif par nœud],$B648),"")</f>
        <v>368</v>
      </c>
      <c r="L648" s="19">
        <f>IF($D648=1,INDEX(TblClusters[CPU initial (vCPU)],$B648),"")</f>
        <v>48</v>
      </c>
      <c r="M648" s="19">
        <f>IF($D648=1,INDEX(TblClusters[RAM initiale (Go)],$B648),"")</f>
        <v>240</v>
      </c>
      <c r="N648" s="19">
        <f>IF($D648=1,INDEX(TblClusters[CPU min (vCPU)],$B648),"")</f>
        <v>48</v>
      </c>
      <c r="O648" s="19">
        <f>IF($D648=1,INDEX(TblClusters[RAM min (Go)],$B648),"")</f>
        <v>240</v>
      </c>
      <c r="P648" s="19">
        <f>IF($D648&lt;&gt;1,"",IF($G648="ROKS",SUMIFS(TblApplications[Besoin ROKS CPU (vCPU)],TblApplications[Cluster ROKS cible],$F648,TblApplications[Action],"À migrer",TblApplications[Déjà incluse ROKS],"Non",TblApplications[Mois prov (calc)],"&lt;="&amp;$E648),SUMIFS(TblApplications[CPU IKS libérable (vCPU)],TblApplications[Cluster IKS source],$F648,TblApplications[Mois lib (calc)],"&lt;="&amp;$E648)))</f>
        <v>0</v>
      </c>
      <c r="Q648" s="19">
        <f>IF($D648&lt;&gt;1,"",IF($G648="ROKS",SUMIFS(TblApplications[Besoin ROKS RAM (Go)],TblApplications[Cluster ROKS cible],$F648,TblApplications[Action],"À migrer",TblApplications[Déjà incluse ROKS],"Non",TblApplications[Mois prov (calc)],"&lt;="&amp;$E648),SUMIFS(TblApplications[RAM IKS libérable (Go)],TblApplications[Cluster IKS source],$F648,TblApplications[Mois lib (calc)],"&lt;="&amp;$E648)))</f>
        <v>0</v>
      </c>
      <c r="R648" s="19">
        <f t="shared" si="173"/>
        <v>48</v>
      </c>
      <c r="S648" s="19">
        <f t="shared" si="174"/>
        <v>240</v>
      </c>
      <c r="T648" s="19">
        <f t="shared" si="175"/>
        <v>6</v>
      </c>
      <c r="U648" s="19">
        <f t="shared" si="176"/>
        <v>48</v>
      </c>
      <c r="V648" s="19">
        <f t="shared" si="177"/>
        <v>240</v>
      </c>
      <c r="W648" s="73">
        <f t="shared" si="178"/>
        <v>2208</v>
      </c>
      <c r="X648" s="19">
        <f>IF($D648&lt;&gt;1,"",IF($G648="ROKS",$R648,IF($AI648=1,0,MAX($N648,$L648-SUMIFS(TblApplications[CPU IKS libérable (vCPU)],TblApplications[Cluster IKS source],$F648,TblApplications[Action],"À migrer",TblApplications[Mois prov (calc)],"&lt;="&amp;$E648)-SUMIFS(TblApplications[CPU IKS libérable (vCPU)],TblApplications[Cluster IKS source],$F648,TblApplications[Action],"À décommissionner",TblApplications[Mois lib (calc)],"&lt;="&amp;$E648)))))</f>
        <v>48</v>
      </c>
      <c r="Y648" s="19">
        <f>IF($D648&lt;&gt;1,"",IF($G648="ROKS",$S648,IF($AI648=1,0,MAX($O648,$M648-SUMIFS(TblApplications[RAM IKS libérable (Go)],TblApplications[Cluster IKS source],$F648,TblApplications[Action],"À migrer",TblApplications[Mois prov (calc)],"&lt;="&amp;$E648)-SUMIFS(TblApplications[RAM IKS libérable (Go)],TblApplications[Cluster IKS source],$F648,TblApplications[Action],"À décommissionner",TblApplications[Mois lib (calc)],"&lt;="&amp;$E648)))))</f>
        <v>240</v>
      </c>
      <c r="Z648" s="19">
        <f t="shared" si="179"/>
        <v>6</v>
      </c>
      <c r="AA648" s="73">
        <f t="shared" si="180"/>
        <v>2208</v>
      </c>
      <c r="AB648" s="19">
        <f t="shared" si="181"/>
        <v>6</v>
      </c>
      <c r="AC648" s="73">
        <f t="shared" si="182"/>
        <v>2208</v>
      </c>
      <c r="AD648" s="19">
        <f t="shared" si="183"/>
        <v>0</v>
      </c>
      <c r="AE648" s="19">
        <f t="shared" si="184"/>
        <v>0</v>
      </c>
      <c r="AF648" s="19" t="str">
        <f>IF($D648&lt;&gt;1,"",IF(INDEX(TblClusters[Environnement],$B648)="","(vide)",INDEX(TblClusters[Environnement],$B648)))</f>
        <v>PRD</v>
      </c>
      <c r="AG648" s="19">
        <f t="shared" si="185"/>
        <v>72</v>
      </c>
      <c r="AH648" s="19">
        <f t="shared" si="186"/>
        <v>30.666666666666668</v>
      </c>
      <c r="AI648" s="19">
        <f>IF($D648&lt;&gt;1,"",IF(AND($G648="IKS",ISNUMBER(INDEX(TblClusters[Fermeture retenue],$B648))),IF($E648&gt;=INDEX(TblClusters[Fermeture retenue],$B648),1,0),0))</f>
        <v>0</v>
      </c>
    </row>
    <row r="649" spans="1:35" x14ac:dyDescent="0.2">
      <c r="A649" s="19">
        <v>644</v>
      </c>
      <c r="B649" s="19">
        <f t="shared" si="170"/>
        <v>18</v>
      </c>
      <c r="C649" s="19">
        <f t="shared" si="171"/>
        <v>32</v>
      </c>
      <c r="D649" s="19">
        <f>IF($C649&gt;p_horizon,0,IFERROR(IF(AND(INDEX(TblClusters[Cluster],$B649)&lt;&gt;"",ISNUMBER(INDEX(TblClusters[CPU initial (vCPU)],$B649)),ISNUMBER(INDEX(TblClusters[CPU min (vCPU)],$B649)),OR(INDEX(TblClusters[Plateforme],$B649)="IKS",INDEX(TblClusters[Plateforme],$B649)="ROKS")),1,0),0))</f>
        <v>1</v>
      </c>
      <c r="E649" s="72">
        <f t="shared" si="172"/>
        <v>47239</v>
      </c>
      <c r="F649" s="19" t="str">
        <f>IF($D649=1,INDEX(TblClusters[Cluster],$B649),"")</f>
        <v>oc002i001021</v>
      </c>
      <c r="G649" s="19" t="str">
        <f>IF($D649=1,INDEX(TblClusters[Plateforme],$B649),"")</f>
        <v>ROKS</v>
      </c>
      <c r="H649" s="19">
        <f>IF($D649=1,INDEX(TblClusters[vCPU par nœud],$B649),"")</f>
        <v>8</v>
      </c>
      <c r="I649" s="19">
        <f>IF($D649=1,INDEX(TblClusters[RAM par nœud (Go)],$B649),"")</f>
        <v>40</v>
      </c>
      <c r="J649" s="19">
        <f>IF($D649=1,INDEX(TblClusters[Workers min],$B649),"")</f>
        <v>6</v>
      </c>
      <c r="K649" s="73">
        <f>IF($D649=1,INDEX(TblClusters[Tarif par nœud],$B649),"")</f>
        <v>368</v>
      </c>
      <c r="L649" s="19">
        <f>IF($D649=1,INDEX(TblClusters[CPU initial (vCPU)],$B649),"")</f>
        <v>48</v>
      </c>
      <c r="M649" s="19">
        <f>IF($D649=1,INDEX(TblClusters[RAM initiale (Go)],$B649),"")</f>
        <v>240</v>
      </c>
      <c r="N649" s="19">
        <f>IF($D649=1,INDEX(TblClusters[CPU min (vCPU)],$B649),"")</f>
        <v>48</v>
      </c>
      <c r="O649" s="19">
        <f>IF($D649=1,INDEX(TblClusters[RAM min (Go)],$B649),"")</f>
        <v>240</v>
      </c>
      <c r="P649" s="19">
        <f>IF($D649&lt;&gt;1,"",IF($G649="ROKS",SUMIFS(TblApplications[Besoin ROKS CPU (vCPU)],TblApplications[Cluster ROKS cible],$F649,TblApplications[Action],"À migrer",TblApplications[Déjà incluse ROKS],"Non",TblApplications[Mois prov (calc)],"&lt;="&amp;$E649),SUMIFS(TblApplications[CPU IKS libérable (vCPU)],TblApplications[Cluster IKS source],$F649,TblApplications[Mois lib (calc)],"&lt;="&amp;$E649)))</f>
        <v>0</v>
      </c>
      <c r="Q649" s="19">
        <f>IF($D649&lt;&gt;1,"",IF($G649="ROKS",SUMIFS(TblApplications[Besoin ROKS RAM (Go)],TblApplications[Cluster ROKS cible],$F649,TblApplications[Action],"À migrer",TblApplications[Déjà incluse ROKS],"Non",TblApplications[Mois prov (calc)],"&lt;="&amp;$E649),SUMIFS(TblApplications[RAM IKS libérable (Go)],TblApplications[Cluster IKS source],$F649,TblApplications[Mois lib (calc)],"&lt;="&amp;$E649)))</f>
        <v>0</v>
      </c>
      <c r="R649" s="19">
        <f t="shared" si="173"/>
        <v>48</v>
      </c>
      <c r="S649" s="19">
        <f t="shared" si="174"/>
        <v>240</v>
      </c>
      <c r="T649" s="19">
        <f t="shared" si="175"/>
        <v>6</v>
      </c>
      <c r="U649" s="19">
        <f t="shared" si="176"/>
        <v>48</v>
      </c>
      <c r="V649" s="19">
        <f t="shared" si="177"/>
        <v>240</v>
      </c>
      <c r="W649" s="73">
        <f t="shared" si="178"/>
        <v>2208</v>
      </c>
      <c r="X649" s="19">
        <f>IF($D649&lt;&gt;1,"",IF($G649="ROKS",$R649,IF($AI649=1,0,MAX($N649,$L649-SUMIFS(TblApplications[CPU IKS libérable (vCPU)],TblApplications[Cluster IKS source],$F649,TblApplications[Action],"À migrer",TblApplications[Mois prov (calc)],"&lt;="&amp;$E649)-SUMIFS(TblApplications[CPU IKS libérable (vCPU)],TblApplications[Cluster IKS source],$F649,TblApplications[Action],"À décommissionner",TblApplications[Mois lib (calc)],"&lt;="&amp;$E649)))))</f>
        <v>48</v>
      </c>
      <c r="Y649" s="19">
        <f>IF($D649&lt;&gt;1,"",IF($G649="ROKS",$S649,IF($AI649=1,0,MAX($O649,$M649-SUMIFS(TblApplications[RAM IKS libérable (Go)],TblApplications[Cluster IKS source],$F649,TblApplications[Action],"À migrer",TblApplications[Mois prov (calc)],"&lt;="&amp;$E649)-SUMIFS(TblApplications[RAM IKS libérable (Go)],TblApplications[Cluster IKS source],$F649,TblApplications[Action],"À décommissionner",TblApplications[Mois lib (calc)],"&lt;="&amp;$E649)))))</f>
        <v>240</v>
      </c>
      <c r="Z649" s="19">
        <f t="shared" si="179"/>
        <v>6</v>
      </c>
      <c r="AA649" s="73">
        <f t="shared" si="180"/>
        <v>2208</v>
      </c>
      <c r="AB649" s="19">
        <f t="shared" si="181"/>
        <v>6</v>
      </c>
      <c r="AC649" s="73">
        <f t="shared" si="182"/>
        <v>2208</v>
      </c>
      <c r="AD649" s="19">
        <f t="shared" si="183"/>
        <v>0</v>
      </c>
      <c r="AE649" s="19">
        <f t="shared" si="184"/>
        <v>0</v>
      </c>
      <c r="AF649" s="19" t="str">
        <f>IF($D649&lt;&gt;1,"",IF(INDEX(TblClusters[Environnement],$B649)="","(vide)",INDEX(TblClusters[Environnement],$B649)))</f>
        <v>PRD</v>
      </c>
      <c r="AG649" s="19">
        <f t="shared" si="185"/>
        <v>72</v>
      </c>
      <c r="AH649" s="19">
        <f t="shared" si="186"/>
        <v>30.666666666666668</v>
      </c>
      <c r="AI649" s="19">
        <f>IF($D649&lt;&gt;1,"",IF(AND($G649="IKS",ISNUMBER(INDEX(TblClusters[Fermeture retenue],$B649))),IF($E649&gt;=INDEX(TblClusters[Fermeture retenue],$B649),1,0),0))</f>
        <v>0</v>
      </c>
    </row>
    <row r="650" spans="1:35" x14ac:dyDescent="0.2">
      <c r="A650" s="19">
        <v>645</v>
      </c>
      <c r="B650" s="19">
        <f t="shared" si="170"/>
        <v>18</v>
      </c>
      <c r="C650" s="19">
        <f t="shared" si="171"/>
        <v>33</v>
      </c>
      <c r="D650" s="19">
        <f>IF($C650&gt;p_horizon,0,IFERROR(IF(AND(INDEX(TblClusters[Cluster],$B650)&lt;&gt;"",ISNUMBER(INDEX(TblClusters[CPU initial (vCPU)],$B650)),ISNUMBER(INDEX(TblClusters[CPU min (vCPU)],$B650)),OR(INDEX(TblClusters[Plateforme],$B650)="IKS",INDEX(TblClusters[Plateforme],$B650)="ROKS")),1,0),0))</f>
        <v>1</v>
      </c>
      <c r="E650" s="72">
        <f t="shared" si="172"/>
        <v>47270</v>
      </c>
      <c r="F650" s="19" t="str">
        <f>IF($D650=1,INDEX(TblClusters[Cluster],$B650),"")</f>
        <v>oc002i001021</v>
      </c>
      <c r="G650" s="19" t="str">
        <f>IF($D650=1,INDEX(TblClusters[Plateforme],$B650),"")</f>
        <v>ROKS</v>
      </c>
      <c r="H650" s="19">
        <f>IF($D650=1,INDEX(TblClusters[vCPU par nœud],$B650),"")</f>
        <v>8</v>
      </c>
      <c r="I650" s="19">
        <f>IF($D650=1,INDEX(TblClusters[RAM par nœud (Go)],$B650),"")</f>
        <v>40</v>
      </c>
      <c r="J650" s="19">
        <f>IF($D650=1,INDEX(TblClusters[Workers min],$B650),"")</f>
        <v>6</v>
      </c>
      <c r="K650" s="73">
        <f>IF($D650=1,INDEX(TblClusters[Tarif par nœud],$B650),"")</f>
        <v>368</v>
      </c>
      <c r="L650" s="19">
        <f>IF($D650=1,INDEX(TblClusters[CPU initial (vCPU)],$B650),"")</f>
        <v>48</v>
      </c>
      <c r="M650" s="19">
        <f>IF($D650=1,INDEX(TblClusters[RAM initiale (Go)],$B650),"")</f>
        <v>240</v>
      </c>
      <c r="N650" s="19">
        <f>IF($D650=1,INDEX(TblClusters[CPU min (vCPU)],$B650),"")</f>
        <v>48</v>
      </c>
      <c r="O650" s="19">
        <f>IF($D650=1,INDEX(TblClusters[RAM min (Go)],$B650),"")</f>
        <v>240</v>
      </c>
      <c r="P650" s="19">
        <f>IF($D650&lt;&gt;1,"",IF($G650="ROKS",SUMIFS(TblApplications[Besoin ROKS CPU (vCPU)],TblApplications[Cluster ROKS cible],$F650,TblApplications[Action],"À migrer",TblApplications[Déjà incluse ROKS],"Non",TblApplications[Mois prov (calc)],"&lt;="&amp;$E650),SUMIFS(TblApplications[CPU IKS libérable (vCPU)],TblApplications[Cluster IKS source],$F650,TblApplications[Mois lib (calc)],"&lt;="&amp;$E650)))</f>
        <v>0</v>
      </c>
      <c r="Q650" s="19">
        <f>IF($D650&lt;&gt;1,"",IF($G650="ROKS",SUMIFS(TblApplications[Besoin ROKS RAM (Go)],TblApplications[Cluster ROKS cible],$F650,TblApplications[Action],"À migrer",TblApplications[Déjà incluse ROKS],"Non",TblApplications[Mois prov (calc)],"&lt;="&amp;$E650),SUMIFS(TblApplications[RAM IKS libérable (Go)],TblApplications[Cluster IKS source],$F650,TblApplications[Mois lib (calc)],"&lt;="&amp;$E650)))</f>
        <v>0</v>
      </c>
      <c r="R650" s="19">
        <f t="shared" si="173"/>
        <v>48</v>
      </c>
      <c r="S650" s="19">
        <f t="shared" si="174"/>
        <v>240</v>
      </c>
      <c r="T650" s="19">
        <f t="shared" si="175"/>
        <v>6</v>
      </c>
      <c r="U650" s="19">
        <f t="shared" si="176"/>
        <v>48</v>
      </c>
      <c r="V650" s="19">
        <f t="shared" si="177"/>
        <v>240</v>
      </c>
      <c r="W650" s="73">
        <f t="shared" si="178"/>
        <v>2208</v>
      </c>
      <c r="X650" s="19">
        <f>IF($D650&lt;&gt;1,"",IF($G650="ROKS",$R650,IF($AI650=1,0,MAX($N650,$L650-SUMIFS(TblApplications[CPU IKS libérable (vCPU)],TblApplications[Cluster IKS source],$F650,TblApplications[Action],"À migrer",TblApplications[Mois prov (calc)],"&lt;="&amp;$E650)-SUMIFS(TblApplications[CPU IKS libérable (vCPU)],TblApplications[Cluster IKS source],$F650,TblApplications[Action],"À décommissionner",TblApplications[Mois lib (calc)],"&lt;="&amp;$E650)))))</f>
        <v>48</v>
      </c>
      <c r="Y650" s="19">
        <f>IF($D650&lt;&gt;1,"",IF($G650="ROKS",$S650,IF($AI650=1,0,MAX($O650,$M650-SUMIFS(TblApplications[RAM IKS libérable (Go)],TblApplications[Cluster IKS source],$F650,TblApplications[Action],"À migrer",TblApplications[Mois prov (calc)],"&lt;="&amp;$E650)-SUMIFS(TblApplications[RAM IKS libérable (Go)],TblApplications[Cluster IKS source],$F650,TblApplications[Action],"À décommissionner",TblApplications[Mois lib (calc)],"&lt;="&amp;$E650)))))</f>
        <v>240</v>
      </c>
      <c r="Z650" s="19">
        <f t="shared" si="179"/>
        <v>6</v>
      </c>
      <c r="AA650" s="73">
        <f t="shared" si="180"/>
        <v>2208</v>
      </c>
      <c r="AB650" s="19">
        <f t="shared" si="181"/>
        <v>6</v>
      </c>
      <c r="AC650" s="73">
        <f t="shared" si="182"/>
        <v>2208</v>
      </c>
      <c r="AD650" s="19">
        <f t="shared" si="183"/>
        <v>0</v>
      </c>
      <c r="AE650" s="19">
        <f t="shared" si="184"/>
        <v>0</v>
      </c>
      <c r="AF650" s="19" t="str">
        <f>IF($D650&lt;&gt;1,"",IF(INDEX(TblClusters[Environnement],$B650)="","(vide)",INDEX(TblClusters[Environnement],$B650)))</f>
        <v>PRD</v>
      </c>
      <c r="AG650" s="19">
        <f t="shared" si="185"/>
        <v>72</v>
      </c>
      <c r="AH650" s="19">
        <f t="shared" si="186"/>
        <v>30.666666666666668</v>
      </c>
      <c r="AI650" s="19">
        <f>IF($D650&lt;&gt;1,"",IF(AND($G650="IKS",ISNUMBER(INDEX(TblClusters[Fermeture retenue],$B650))),IF($E650&gt;=INDEX(TblClusters[Fermeture retenue],$B650),1,0),0))</f>
        <v>0</v>
      </c>
    </row>
    <row r="651" spans="1:35" x14ac:dyDescent="0.2">
      <c r="A651" s="19">
        <v>646</v>
      </c>
      <c r="B651" s="19">
        <f t="shared" si="170"/>
        <v>18</v>
      </c>
      <c r="C651" s="19">
        <f t="shared" si="171"/>
        <v>34</v>
      </c>
      <c r="D651" s="19">
        <f>IF($C651&gt;p_horizon,0,IFERROR(IF(AND(INDEX(TblClusters[Cluster],$B651)&lt;&gt;"",ISNUMBER(INDEX(TblClusters[CPU initial (vCPU)],$B651)),ISNUMBER(INDEX(TblClusters[CPU min (vCPU)],$B651)),OR(INDEX(TblClusters[Plateforme],$B651)="IKS",INDEX(TblClusters[Plateforme],$B651)="ROKS")),1,0),0))</f>
        <v>1</v>
      </c>
      <c r="E651" s="72">
        <f t="shared" si="172"/>
        <v>47300</v>
      </c>
      <c r="F651" s="19" t="str">
        <f>IF($D651=1,INDEX(TblClusters[Cluster],$B651),"")</f>
        <v>oc002i001021</v>
      </c>
      <c r="G651" s="19" t="str">
        <f>IF($D651=1,INDEX(TblClusters[Plateforme],$B651),"")</f>
        <v>ROKS</v>
      </c>
      <c r="H651" s="19">
        <f>IF($D651=1,INDEX(TblClusters[vCPU par nœud],$B651),"")</f>
        <v>8</v>
      </c>
      <c r="I651" s="19">
        <f>IF($D651=1,INDEX(TblClusters[RAM par nœud (Go)],$B651),"")</f>
        <v>40</v>
      </c>
      <c r="J651" s="19">
        <f>IF($D651=1,INDEX(TblClusters[Workers min],$B651),"")</f>
        <v>6</v>
      </c>
      <c r="K651" s="73">
        <f>IF($D651=1,INDEX(TblClusters[Tarif par nœud],$B651),"")</f>
        <v>368</v>
      </c>
      <c r="L651" s="19">
        <f>IF($D651=1,INDEX(TblClusters[CPU initial (vCPU)],$B651),"")</f>
        <v>48</v>
      </c>
      <c r="M651" s="19">
        <f>IF($D651=1,INDEX(TblClusters[RAM initiale (Go)],$B651),"")</f>
        <v>240</v>
      </c>
      <c r="N651" s="19">
        <f>IF($D651=1,INDEX(TblClusters[CPU min (vCPU)],$B651),"")</f>
        <v>48</v>
      </c>
      <c r="O651" s="19">
        <f>IF($D651=1,INDEX(TblClusters[RAM min (Go)],$B651),"")</f>
        <v>240</v>
      </c>
      <c r="P651" s="19">
        <f>IF($D651&lt;&gt;1,"",IF($G651="ROKS",SUMIFS(TblApplications[Besoin ROKS CPU (vCPU)],TblApplications[Cluster ROKS cible],$F651,TblApplications[Action],"À migrer",TblApplications[Déjà incluse ROKS],"Non",TblApplications[Mois prov (calc)],"&lt;="&amp;$E651),SUMIFS(TblApplications[CPU IKS libérable (vCPU)],TblApplications[Cluster IKS source],$F651,TblApplications[Mois lib (calc)],"&lt;="&amp;$E651)))</f>
        <v>0</v>
      </c>
      <c r="Q651" s="19">
        <f>IF($D651&lt;&gt;1,"",IF($G651="ROKS",SUMIFS(TblApplications[Besoin ROKS RAM (Go)],TblApplications[Cluster ROKS cible],$F651,TblApplications[Action],"À migrer",TblApplications[Déjà incluse ROKS],"Non",TblApplications[Mois prov (calc)],"&lt;="&amp;$E651),SUMIFS(TblApplications[RAM IKS libérable (Go)],TblApplications[Cluster IKS source],$F651,TblApplications[Mois lib (calc)],"&lt;="&amp;$E651)))</f>
        <v>0</v>
      </c>
      <c r="R651" s="19">
        <f t="shared" si="173"/>
        <v>48</v>
      </c>
      <c r="S651" s="19">
        <f t="shared" si="174"/>
        <v>240</v>
      </c>
      <c r="T651" s="19">
        <f t="shared" si="175"/>
        <v>6</v>
      </c>
      <c r="U651" s="19">
        <f t="shared" si="176"/>
        <v>48</v>
      </c>
      <c r="V651" s="19">
        <f t="shared" si="177"/>
        <v>240</v>
      </c>
      <c r="W651" s="73">
        <f t="shared" si="178"/>
        <v>2208</v>
      </c>
      <c r="X651" s="19">
        <f>IF($D651&lt;&gt;1,"",IF($G651="ROKS",$R651,IF($AI651=1,0,MAX($N651,$L651-SUMIFS(TblApplications[CPU IKS libérable (vCPU)],TblApplications[Cluster IKS source],$F651,TblApplications[Action],"À migrer",TblApplications[Mois prov (calc)],"&lt;="&amp;$E651)-SUMIFS(TblApplications[CPU IKS libérable (vCPU)],TblApplications[Cluster IKS source],$F651,TblApplications[Action],"À décommissionner",TblApplications[Mois lib (calc)],"&lt;="&amp;$E651)))))</f>
        <v>48</v>
      </c>
      <c r="Y651" s="19">
        <f>IF($D651&lt;&gt;1,"",IF($G651="ROKS",$S651,IF($AI651=1,0,MAX($O651,$M651-SUMIFS(TblApplications[RAM IKS libérable (Go)],TblApplications[Cluster IKS source],$F651,TblApplications[Action],"À migrer",TblApplications[Mois prov (calc)],"&lt;="&amp;$E651)-SUMIFS(TblApplications[RAM IKS libérable (Go)],TblApplications[Cluster IKS source],$F651,TblApplications[Action],"À décommissionner",TblApplications[Mois lib (calc)],"&lt;="&amp;$E651)))))</f>
        <v>240</v>
      </c>
      <c r="Z651" s="19">
        <f t="shared" si="179"/>
        <v>6</v>
      </c>
      <c r="AA651" s="73">
        <f t="shared" si="180"/>
        <v>2208</v>
      </c>
      <c r="AB651" s="19">
        <f t="shared" si="181"/>
        <v>6</v>
      </c>
      <c r="AC651" s="73">
        <f t="shared" si="182"/>
        <v>2208</v>
      </c>
      <c r="AD651" s="19">
        <f t="shared" si="183"/>
        <v>0</v>
      </c>
      <c r="AE651" s="19">
        <f t="shared" si="184"/>
        <v>0</v>
      </c>
      <c r="AF651" s="19" t="str">
        <f>IF($D651&lt;&gt;1,"",IF(INDEX(TblClusters[Environnement],$B651)="","(vide)",INDEX(TblClusters[Environnement],$B651)))</f>
        <v>PRD</v>
      </c>
      <c r="AG651" s="19">
        <f t="shared" si="185"/>
        <v>72</v>
      </c>
      <c r="AH651" s="19">
        <f t="shared" si="186"/>
        <v>30.666666666666668</v>
      </c>
      <c r="AI651" s="19">
        <f>IF($D651&lt;&gt;1,"",IF(AND($G651="IKS",ISNUMBER(INDEX(TblClusters[Fermeture retenue],$B651))),IF($E651&gt;=INDEX(TblClusters[Fermeture retenue],$B651),1,0),0))</f>
        <v>0</v>
      </c>
    </row>
    <row r="652" spans="1:35" x14ac:dyDescent="0.2">
      <c r="A652" s="19">
        <v>647</v>
      </c>
      <c r="B652" s="19">
        <f t="shared" si="170"/>
        <v>18</v>
      </c>
      <c r="C652" s="19">
        <f t="shared" si="171"/>
        <v>35</v>
      </c>
      <c r="D652" s="19">
        <f>IF($C652&gt;p_horizon,0,IFERROR(IF(AND(INDEX(TblClusters[Cluster],$B652)&lt;&gt;"",ISNUMBER(INDEX(TblClusters[CPU initial (vCPU)],$B652)),ISNUMBER(INDEX(TblClusters[CPU min (vCPU)],$B652)),OR(INDEX(TblClusters[Plateforme],$B652)="IKS",INDEX(TblClusters[Plateforme],$B652)="ROKS")),1,0),0))</f>
        <v>1</v>
      </c>
      <c r="E652" s="72">
        <f t="shared" si="172"/>
        <v>47331</v>
      </c>
      <c r="F652" s="19" t="str">
        <f>IF($D652=1,INDEX(TblClusters[Cluster],$B652),"")</f>
        <v>oc002i001021</v>
      </c>
      <c r="G652" s="19" t="str">
        <f>IF($D652=1,INDEX(TblClusters[Plateforme],$B652),"")</f>
        <v>ROKS</v>
      </c>
      <c r="H652" s="19">
        <f>IF($D652=1,INDEX(TblClusters[vCPU par nœud],$B652),"")</f>
        <v>8</v>
      </c>
      <c r="I652" s="19">
        <f>IF($D652=1,INDEX(TblClusters[RAM par nœud (Go)],$B652),"")</f>
        <v>40</v>
      </c>
      <c r="J652" s="19">
        <f>IF($D652=1,INDEX(TblClusters[Workers min],$B652),"")</f>
        <v>6</v>
      </c>
      <c r="K652" s="73">
        <f>IF($D652=1,INDEX(TblClusters[Tarif par nœud],$B652),"")</f>
        <v>368</v>
      </c>
      <c r="L652" s="19">
        <f>IF($D652=1,INDEX(TblClusters[CPU initial (vCPU)],$B652),"")</f>
        <v>48</v>
      </c>
      <c r="M652" s="19">
        <f>IF($D652=1,INDEX(TblClusters[RAM initiale (Go)],$B652),"")</f>
        <v>240</v>
      </c>
      <c r="N652" s="19">
        <f>IF($D652=1,INDEX(TblClusters[CPU min (vCPU)],$B652),"")</f>
        <v>48</v>
      </c>
      <c r="O652" s="19">
        <f>IF($D652=1,INDEX(TblClusters[RAM min (Go)],$B652),"")</f>
        <v>240</v>
      </c>
      <c r="P652" s="19">
        <f>IF($D652&lt;&gt;1,"",IF($G652="ROKS",SUMIFS(TblApplications[Besoin ROKS CPU (vCPU)],TblApplications[Cluster ROKS cible],$F652,TblApplications[Action],"À migrer",TblApplications[Déjà incluse ROKS],"Non",TblApplications[Mois prov (calc)],"&lt;="&amp;$E652),SUMIFS(TblApplications[CPU IKS libérable (vCPU)],TblApplications[Cluster IKS source],$F652,TblApplications[Mois lib (calc)],"&lt;="&amp;$E652)))</f>
        <v>0</v>
      </c>
      <c r="Q652" s="19">
        <f>IF($D652&lt;&gt;1,"",IF($G652="ROKS",SUMIFS(TblApplications[Besoin ROKS RAM (Go)],TblApplications[Cluster ROKS cible],$F652,TblApplications[Action],"À migrer",TblApplications[Déjà incluse ROKS],"Non",TblApplications[Mois prov (calc)],"&lt;="&amp;$E652),SUMIFS(TblApplications[RAM IKS libérable (Go)],TblApplications[Cluster IKS source],$F652,TblApplications[Mois lib (calc)],"&lt;="&amp;$E652)))</f>
        <v>0</v>
      </c>
      <c r="R652" s="19">
        <f t="shared" si="173"/>
        <v>48</v>
      </c>
      <c r="S652" s="19">
        <f t="shared" si="174"/>
        <v>240</v>
      </c>
      <c r="T652" s="19">
        <f t="shared" si="175"/>
        <v>6</v>
      </c>
      <c r="U652" s="19">
        <f t="shared" si="176"/>
        <v>48</v>
      </c>
      <c r="V652" s="19">
        <f t="shared" si="177"/>
        <v>240</v>
      </c>
      <c r="W652" s="73">
        <f t="shared" si="178"/>
        <v>2208</v>
      </c>
      <c r="X652" s="19">
        <f>IF($D652&lt;&gt;1,"",IF($G652="ROKS",$R652,IF($AI652=1,0,MAX($N652,$L652-SUMIFS(TblApplications[CPU IKS libérable (vCPU)],TblApplications[Cluster IKS source],$F652,TblApplications[Action],"À migrer",TblApplications[Mois prov (calc)],"&lt;="&amp;$E652)-SUMIFS(TblApplications[CPU IKS libérable (vCPU)],TblApplications[Cluster IKS source],$F652,TblApplications[Action],"À décommissionner",TblApplications[Mois lib (calc)],"&lt;="&amp;$E652)))))</f>
        <v>48</v>
      </c>
      <c r="Y652" s="19">
        <f>IF($D652&lt;&gt;1,"",IF($G652="ROKS",$S652,IF($AI652=1,0,MAX($O652,$M652-SUMIFS(TblApplications[RAM IKS libérable (Go)],TblApplications[Cluster IKS source],$F652,TblApplications[Action],"À migrer",TblApplications[Mois prov (calc)],"&lt;="&amp;$E652)-SUMIFS(TblApplications[RAM IKS libérable (Go)],TblApplications[Cluster IKS source],$F652,TblApplications[Action],"À décommissionner",TblApplications[Mois lib (calc)],"&lt;="&amp;$E652)))))</f>
        <v>240</v>
      </c>
      <c r="Z652" s="19">
        <f t="shared" si="179"/>
        <v>6</v>
      </c>
      <c r="AA652" s="73">
        <f t="shared" si="180"/>
        <v>2208</v>
      </c>
      <c r="AB652" s="19">
        <f t="shared" si="181"/>
        <v>6</v>
      </c>
      <c r="AC652" s="73">
        <f t="shared" si="182"/>
        <v>2208</v>
      </c>
      <c r="AD652" s="19">
        <f t="shared" si="183"/>
        <v>0</v>
      </c>
      <c r="AE652" s="19">
        <f t="shared" si="184"/>
        <v>0</v>
      </c>
      <c r="AF652" s="19" t="str">
        <f>IF($D652&lt;&gt;1,"",IF(INDEX(TblClusters[Environnement],$B652)="","(vide)",INDEX(TblClusters[Environnement],$B652)))</f>
        <v>PRD</v>
      </c>
      <c r="AG652" s="19">
        <f t="shared" si="185"/>
        <v>72</v>
      </c>
      <c r="AH652" s="19">
        <f t="shared" si="186"/>
        <v>30.666666666666668</v>
      </c>
      <c r="AI652" s="19">
        <f>IF($D652&lt;&gt;1,"",IF(AND($G652="IKS",ISNUMBER(INDEX(TblClusters[Fermeture retenue],$B652))),IF($E652&gt;=INDEX(TblClusters[Fermeture retenue],$B652),1,0),0))</f>
        <v>0</v>
      </c>
    </row>
    <row r="653" spans="1:35" x14ac:dyDescent="0.2">
      <c r="A653" s="19">
        <v>648</v>
      </c>
      <c r="B653" s="19">
        <f t="shared" si="170"/>
        <v>18</v>
      </c>
      <c r="C653" s="19">
        <f t="shared" si="171"/>
        <v>36</v>
      </c>
      <c r="D653" s="19">
        <f>IF($C653&gt;p_horizon,0,IFERROR(IF(AND(INDEX(TblClusters[Cluster],$B653)&lt;&gt;"",ISNUMBER(INDEX(TblClusters[CPU initial (vCPU)],$B653)),ISNUMBER(INDEX(TblClusters[CPU min (vCPU)],$B653)),OR(INDEX(TblClusters[Plateforme],$B653)="IKS",INDEX(TblClusters[Plateforme],$B653)="ROKS")),1,0),0))</f>
        <v>1</v>
      </c>
      <c r="E653" s="72">
        <f t="shared" si="172"/>
        <v>47362</v>
      </c>
      <c r="F653" s="19" t="str">
        <f>IF($D653=1,INDEX(TblClusters[Cluster],$B653),"")</f>
        <v>oc002i001021</v>
      </c>
      <c r="G653" s="19" t="str">
        <f>IF($D653=1,INDEX(TblClusters[Plateforme],$B653),"")</f>
        <v>ROKS</v>
      </c>
      <c r="H653" s="19">
        <f>IF($D653=1,INDEX(TblClusters[vCPU par nœud],$B653),"")</f>
        <v>8</v>
      </c>
      <c r="I653" s="19">
        <f>IF($D653=1,INDEX(TblClusters[RAM par nœud (Go)],$B653),"")</f>
        <v>40</v>
      </c>
      <c r="J653" s="19">
        <f>IF($D653=1,INDEX(TblClusters[Workers min],$B653),"")</f>
        <v>6</v>
      </c>
      <c r="K653" s="73">
        <f>IF($D653=1,INDEX(TblClusters[Tarif par nœud],$B653),"")</f>
        <v>368</v>
      </c>
      <c r="L653" s="19">
        <f>IF($D653=1,INDEX(TblClusters[CPU initial (vCPU)],$B653),"")</f>
        <v>48</v>
      </c>
      <c r="M653" s="19">
        <f>IF($D653=1,INDEX(TblClusters[RAM initiale (Go)],$B653),"")</f>
        <v>240</v>
      </c>
      <c r="N653" s="19">
        <f>IF($D653=1,INDEX(TblClusters[CPU min (vCPU)],$B653),"")</f>
        <v>48</v>
      </c>
      <c r="O653" s="19">
        <f>IF($D653=1,INDEX(TblClusters[RAM min (Go)],$B653),"")</f>
        <v>240</v>
      </c>
      <c r="P653" s="19">
        <f>IF($D653&lt;&gt;1,"",IF($G653="ROKS",SUMIFS(TblApplications[Besoin ROKS CPU (vCPU)],TblApplications[Cluster ROKS cible],$F653,TblApplications[Action],"À migrer",TblApplications[Déjà incluse ROKS],"Non",TblApplications[Mois prov (calc)],"&lt;="&amp;$E653),SUMIFS(TblApplications[CPU IKS libérable (vCPU)],TblApplications[Cluster IKS source],$F653,TblApplications[Mois lib (calc)],"&lt;="&amp;$E653)))</f>
        <v>0</v>
      </c>
      <c r="Q653" s="19">
        <f>IF($D653&lt;&gt;1,"",IF($G653="ROKS",SUMIFS(TblApplications[Besoin ROKS RAM (Go)],TblApplications[Cluster ROKS cible],$F653,TblApplications[Action],"À migrer",TblApplications[Déjà incluse ROKS],"Non",TblApplications[Mois prov (calc)],"&lt;="&amp;$E653),SUMIFS(TblApplications[RAM IKS libérable (Go)],TblApplications[Cluster IKS source],$F653,TblApplications[Mois lib (calc)],"&lt;="&amp;$E653)))</f>
        <v>0</v>
      </c>
      <c r="R653" s="19">
        <f t="shared" si="173"/>
        <v>48</v>
      </c>
      <c r="S653" s="19">
        <f t="shared" si="174"/>
        <v>240</v>
      </c>
      <c r="T653" s="19">
        <f t="shared" si="175"/>
        <v>6</v>
      </c>
      <c r="U653" s="19">
        <f t="shared" si="176"/>
        <v>48</v>
      </c>
      <c r="V653" s="19">
        <f t="shared" si="177"/>
        <v>240</v>
      </c>
      <c r="W653" s="73">
        <f t="shared" si="178"/>
        <v>2208</v>
      </c>
      <c r="X653" s="19">
        <f>IF($D653&lt;&gt;1,"",IF($G653="ROKS",$R653,IF($AI653=1,0,MAX($N653,$L653-SUMIFS(TblApplications[CPU IKS libérable (vCPU)],TblApplications[Cluster IKS source],$F653,TblApplications[Action],"À migrer",TblApplications[Mois prov (calc)],"&lt;="&amp;$E653)-SUMIFS(TblApplications[CPU IKS libérable (vCPU)],TblApplications[Cluster IKS source],$F653,TblApplications[Action],"À décommissionner",TblApplications[Mois lib (calc)],"&lt;="&amp;$E653)))))</f>
        <v>48</v>
      </c>
      <c r="Y653" s="19">
        <f>IF($D653&lt;&gt;1,"",IF($G653="ROKS",$S653,IF($AI653=1,0,MAX($O653,$M653-SUMIFS(TblApplications[RAM IKS libérable (Go)],TblApplications[Cluster IKS source],$F653,TblApplications[Action],"À migrer",TblApplications[Mois prov (calc)],"&lt;="&amp;$E653)-SUMIFS(TblApplications[RAM IKS libérable (Go)],TblApplications[Cluster IKS source],$F653,TblApplications[Action],"À décommissionner",TblApplications[Mois lib (calc)],"&lt;="&amp;$E653)))))</f>
        <v>240</v>
      </c>
      <c r="Z653" s="19">
        <f t="shared" si="179"/>
        <v>6</v>
      </c>
      <c r="AA653" s="73">
        <f t="shared" si="180"/>
        <v>2208</v>
      </c>
      <c r="AB653" s="19">
        <f t="shared" si="181"/>
        <v>6</v>
      </c>
      <c r="AC653" s="73">
        <f t="shared" si="182"/>
        <v>2208</v>
      </c>
      <c r="AD653" s="19">
        <f t="shared" si="183"/>
        <v>0</v>
      </c>
      <c r="AE653" s="19">
        <f t="shared" si="184"/>
        <v>0</v>
      </c>
      <c r="AF653" s="19" t="str">
        <f>IF($D653&lt;&gt;1,"",IF(INDEX(TblClusters[Environnement],$B653)="","(vide)",INDEX(TblClusters[Environnement],$B653)))</f>
        <v>PRD</v>
      </c>
      <c r="AG653" s="19">
        <f t="shared" si="185"/>
        <v>72</v>
      </c>
      <c r="AH653" s="19">
        <f t="shared" si="186"/>
        <v>30.666666666666668</v>
      </c>
      <c r="AI653" s="19">
        <f>IF($D653&lt;&gt;1,"",IF(AND($G653="IKS",ISNUMBER(INDEX(TblClusters[Fermeture retenue],$B653))),IF($E653&gt;=INDEX(TblClusters[Fermeture retenue],$B653),1,0),0))</f>
        <v>0</v>
      </c>
    </row>
    <row r="654" spans="1:35" x14ac:dyDescent="0.2">
      <c r="A654" s="19">
        <v>649</v>
      </c>
      <c r="B654" s="19">
        <f t="shared" si="170"/>
        <v>19</v>
      </c>
      <c r="C654" s="19">
        <f t="shared" si="171"/>
        <v>1</v>
      </c>
      <c r="D654" s="19">
        <f>IF($C654&gt;p_horizon,0,IFERROR(IF(AND(INDEX(TblClusters[Cluster],$B654)&lt;&gt;"",ISNUMBER(INDEX(TblClusters[CPU initial (vCPU)],$B654)),ISNUMBER(INDEX(TblClusters[CPU min (vCPU)],$B654)),OR(INDEX(TblClusters[Plateforme],$B654)="IKS",INDEX(TblClusters[Plateforme],$B654)="ROKS")),1,0),0))</f>
        <v>0</v>
      </c>
      <c r="E654" s="72" t="str">
        <f t="shared" si="172"/>
        <v/>
      </c>
      <c r="F654" s="19" t="str">
        <f>IF($D654=1,INDEX(TblClusters[Cluster],$B654),"")</f>
        <v/>
      </c>
      <c r="G654" s="19" t="str">
        <f>IF($D654=1,INDEX(TblClusters[Plateforme],$B654),"")</f>
        <v/>
      </c>
      <c r="H654" s="19" t="str">
        <f>IF($D654=1,INDEX(TblClusters[vCPU par nœud],$B654),"")</f>
        <v/>
      </c>
      <c r="I654" s="19" t="str">
        <f>IF($D654=1,INDEX(TblClusters[RAM par nœud (Go)],$B654),"")</f>
        <v/>
      </c>
      <c r="J654" s="19" t="str">
        <f>IF($D654=1,INDEX(TblClusters[Workers min],$B654),"")</f>
        <v/>
      </c>
      <c r="K654" s="73" t="str">
        <f>IF($D654=1,INDEX(TblClusters[Tarif par nœud],$B654),"")</f>
        <v/>
      </c>
      <c r="L654" s="19" t="str">
        <f>IF($D654=1,INDEX(TblClusters[CPU initial (vCPU)],$B654),"")</f>
        <v/>
      </c>
      <c r="M654" s="19" t="str">
        <f>IF($D654=1,INDEX(TblClusters[RAM initiale (Go)],$B654),"")</f>
        <v/>
      </c>
      <c r="N654" s="19" t="str">
        <f>IF($D654=1,INDEX(TblClusters[CPU min (vCPU)],$B654),"")</f>
        <v/>
      </c>
      <c r="O654" s="19" t="str">
        <f>IF($D654=1,INDEX(TblClusters[RAM min (Go)],$B654),"")</f>
        <v/>
      </c>
      <c r="P654" s="19" t="str">
        <f>IF($D654&lt;&gt;1,"",IF($G654="ROKS",SUMIFS(TblApplications[Besoin ROKS CPU (vCPU)],TblApplications[Cluster ROKS cible],$F654,TblApplications[Action],"À migrer",TblApplications[Déjà incluse ROKS],"Non",TblApplications[Mois prov (calc)],"&lt;="&amp;$E654),SUMIFS(TblApplications[CPU IKS libérable (vCPU)],TblApplications[Cluster IKS source],$F654,TblApplications[Mois lib (calc)],"&lt;="&amp;$E654)))</f>
        <v/>
      </c>
      <c r="Q654" s="19" t="str">
        <f>IF($D654&lt;&gt;1,"",IF($G654="ROKS",SUMIFS(TblApplications[Besoin ROKS RAM (Go)],TblApplications[Cluster ROKS cible],$F654,TblApplications[Action],"À migrer",TblApplications[Déjà incluse ROKS],"Non",TblApplications[Mois prov (calc)],"&lt;="&amp;$E654),SUMIFS(TblApplications[RAM IKS libérable (Go)],TblApplications[Cluster IKS source],$F654,TblApplications[Mois lib (calc)],"&lt;="&amp;$E654)))</f>
        <v/>
      </c>
      <c r="R654" s="19" t="str">
        <f t="shared" si="173"/>
        <v/>
      </c>
      <c r="S654" s="19" t="str">
        <f t="shared" si="174"/>
        <v/>
      </c>
      <c r="T654" s="19" t="str">
        <f t="shared" si="175"/>
        <v/>
      </c>
      <c r="U654" s="19" t="str">
        <f t="shared" si="176"/>
        <v/>
      </c>
      <c r="V654" s="19" t="str">
        <f t="shared" si="177"/>
        <v/>
      </c>
      <c r="W654" s="73" t="str">
        <f t="shared" si="178"/>
        <v/>
      </c>
      <c r="X654" s="19" t="str">
        <f>IF($D654&lt;&gt;1,"",IF($G654="ROKS",$R654,IF($AI654=1,0,MAX($N654,$L654-SUMIFS(TblApplications[CPU IKS libérable (vCPU)],TblApplications[Cluster IKS source],$F654,TblApplications[Action],"À migrer",TblApplications[Mois prov (calc)],"&lt;="&amp;$E654)-SUMIFS(TblApplications[CPU IKS libérable (vCPU)],TblApplications[Cluster IKS source],$F654,TblApplications[Action],"À décommissionner",TblApplications[Mois lib (calc)],"&lt;="&amp;$E654)))))</f>
        <v/>
      </c>
      <c r="Y654" s="19" t="str">
        <f>IF($D654&lt;&gt;1,"",IF($G654="ROKS",$S654,IF($AI654=1,0,MAX($O654,$M654-SUMIFS(TblApplications[RAM IKS libérable (Go)],TblApplications[Cluster IKS source],$F654,TblApplications[Action],"À migrer",TblApplications[Mois prov (calc)],"&lt;="&amp;$E654)-SUMIFS(TblApplications[RAM IKS libérable (Go)],TblApplications[Cluster IKS source],$F654,TblApplications[Action],"À décommissionner",TblApplications[Mois lib (calc)],"&lt;="&amp;$E654)))))</f>
        <v/>
      </c>
      <c r="Z654" s="19" t="str">
        <f t="shared" si="179"/>
        <v/>
      </c>
      <c r="AA654" s="73" t="str">
        <f t="shared" si="180"/>
        <v/>
      </c>
      <c r="AB654" s="19" t="str">
        <f t="shared" si="181"/>
        <v/>
      </c>
      <c r="AC654" s="73" t="str">
        <f t="shared" si="182"/>
        <v/>
      </c>
      <c r="AD654" s="19" t="str">
        <f t="shared" si="183"/>
        <v/>
      </c>
      <c r="AE654" s="19" t="str">
        <f t="shared" si="184"/>
        <v/>
      </c>
      <c r="AF654" s="19" t="str">
        <f>IF($D654&lt;&gt;1,"",IF(INDEX(TblClusters[Environnement],$B654)="","(vide)",INDEX(TblClusters[Environnement],$B654)))</f>
        <v/>
      </c>
      <c r="AG654" s="19" t="str">
        <f t="shared" si="185"/>
        <v/>
      </c>
      <c r="AH654" s="19" t="str">
        <f t="shared" si="186"/>
        <v/>
      </c>
      <c r="AI654" s="19" t="str">
        <f>IF($D654&lt;&gt;1,"",IF(AND($G654="IKS",ISNUMBER(INDEX(TblClusters[Fermeture retenue],$B654))),IF($E654&gt;=INDEX(TblClusters[Fermeture retenue],$B654),1,0),0))</f>
        <v/>
      </c>
    </row>
    <row r="655" spans="1:35" x14ac:dyDescent="0.2">
      <c r="A655" s="19">
        <v>650</v>
      </c>
      <c r="B655" s="19">
        <f t="shared" si="170"/>
        <v>19</v>
      </c>
      <c r="C655" s="19">
        <f t="shared" si="171"/>
        <v>2</v>
      </c>
      <c r="D655" s="19">
        <f>IF($C655&gt;p_horizon,0,IFERROR(IF(AND(INDEX(TblClusters[Cluster],$B655)&lt;&gt;"",ISNUMBER(INDEX(TblClusters[CPU initial (vCPU)],$B655)),ISNUMBER(INDEX(TblClusters[CPU min (vCPU)],$B655)),OR(INDEX(TblClusters[Plateforme],$B655)="IKS",INDEX(TblClusters[Plateforme],$B655)="ROKS")),1,0),0))</f>
        <v>0</v>
      </c>
      <c r="E655" s="72" t="str">
        <f t="shared" si="172"/>
        <v/>
      </c>
      <c r="F655" s="19" t="str">
        <f>IF($D655=1,INDEX(TblClusters[Cluster],$B655),"")</f>
        <v/>
      </c>
      <c r="G655" s="19" t="str">
        <f>IF($D655=1,INDEX(TblClusters[Plateforme],$B655),"")</f>
        <v/>
      </c>
      <c r="H655" s="19" t="str">
        <f>IF($D655=1,INDEX(TblClusters[vCPU par nœud],$B655),"")</f>
        <v/>
      </c>
      <c r="I655" s="19" t="str">
        <f>IF($D655=1,INDEX(TblClusters[RAM par nœud (Go)],$B655),"")</f>
        <v/>
      </c>
      <c r="J655" s="19" t="str">
        <f>IF($D655=1,INDEX(TblClusters[Workers min],$B655),"")</f>
        <v/>
      </c>
      <c r="K655" s="73" t="str">
        <f>IF($D655=1,INDEX(TblClusters[Tarif par nœud],$B655),"")</f>
        <v/>
      </c>
      <c r="L655" s="19" t="str">
        <f>IF($D655=1,INDEX(TblClusters[CPU initial (vCPU)],$B655),"")</f>
        <v/>
      </c>
      <c r="M655" s="19" t="str">
        <f>IF($D655=1,INDEX(TblClusters[RAM initiale (Go)],$B655),"")</f>
        <v/>
      </c>
      <c r="N655" s="19" t="str">
        <f>IF($D655=1,INDEX(TblClusters[CPU min (vCPU)],$B655),"")</f>
        <v/>
      </c>
      <c r="O655" s="19" t="str">
        <f>IF($D655=1,INDEX(TblClusters[RAM min (Go)],$B655),"")</f>
        <v/>
      </c>
      <c r="P655" s="19" t="str">
        <f>IF($D655&lt;&gt;1,"",IF($G655="ROKS",SUMIFS(TblApplications[Besoin ROKS CPU (vCPU)],TblApplications[Cluster ROKS cible],$F655,TblApplications[Action],"À migrer",TblApplications[Déjà incluse ROKS],"Non",TblApplications[Mois prov (calc)],"&lt;="&amp;$E655),SUMIFS(TblApplications[CPU IKS libérable (vCPU)],TblApplications[Cluster IKS source],$F655,TblApplications[Mois lib (calc)],"&lt;="&amp;$E655)))</f>
        <v/>
      </c>
      <c r="Q655" s="19" t="str">
        <f>IF($D655&lt;&gt;1,"",IF($G655="ROKS",SUMIFS(TblApplications[Besoin ROKS RAM (Go)],TblApplications[Cluster ROKS cible],$F655,TblApplications[Action],"À migrer",TblApplications[Déjà incluse ROKS],"Non",TblApplications[Mois prov (calc)],"&lt;="&amp;$E655),SUMIFS(TblApplications[RAM IKS libérable (Go)],TblApplications[Cluster IKS source],$F655,TblApplications[Mois lib (calc)],"&lt;="&amp;$E655)))</f>
        <v/>
      </c>
      <c r="R655" s="19" t="str">
        <f t="shared" si="173"/>
        <v/>
      </c>
      <c r="S655" s="19" t="str">
        <f t="shared" si="174"/>
        <v/>
      </c>
      <c r="T655" s="19" t="str">
        <f t="shared" si="175"/>
        <v/>
      </c>
      <c r="U655" s="19" t="str">
        <f t="shared" si="176"/>
        <v/>
      </c>
      <c r="V655" s="19" t="str">
        <f t="shared" si="177"/>
        <v/>
      </c>
      <c r="W655" s="73" t="str">
        <f t="shared" si="178"/>
        <v/>
      </c>
      <c r="X655" s="19" t="str">
        <f>IF($D655&lt;&gt;1,"",IF($G655="ROKS",$R655,IF($AI655=1,0,MAX($N655,$L655-SUMIFS(TblApplications[CPU IKS libérable (vCPU)],TblApplications[Cluster IKS source],$F655,TblApplications[Action],"À migrer",TblApplications[Mois prov (calc)],"&lt;="&amp;$E655)-SUMIFS(TblApplications[CPU IKS libérable (vCPU)],TblApplications[Cluster IKS source],$F655,TblApplications[Action],"À décommissionner",TblApplications[Mois lib (calc)],"&lt;="&amp;$E655)))))</f>
        <v/>
      </c>
      <c r="Y655" s="19" t="str">
        <f>IF($D655&lt;&gt;1,"",IF($G655="ROKS",$S655,IF($AI655=1,0,MAX($O655,$M655-SUMIFS(TblApplications[RAM IKS libérable (Go)],TblApplications[Cluster IKS source],$F655,TblApplications[Action],"À migrer",TblApplications[Mois prov (calc)],"&lt;="&amp;$E655)-SUMIFS(TblApplications[RAM IKS libérable (Go)],TblApplications[Cluster IKS source],$F655,TblApplications[Action],"À décommissionner",TblApplications[Mois lib (calc)],"&lt;="&amp;$E655)))))</f>
        <v/>
      </c>
      <c r="Z655" s="19" t="str">
        <f t="shared" si="179"/>
        <v/>
      </c>
      <c r="AA655" s="73" t="str">
        <f t="shared" si="180"/>
        <v/>
      </c>
      <c r="AB655" s="19" t="str">
        <f t="shared" si="181"/>
        <v/>
      </c>
      <c r="AC655" s="73" t="str">
        <f t="shared" si="182"/>
        <v/>
      </c>
      <c r="AD655" s="19" t="str">
        <f t="shared" si="183"/>
        <v/>
      </c>
      <c r="AE655" s="19" t="str">
        <f t="shared" si="184"/>
        <v/>
      </c>
      <c r="AF655" s="19" t="str">
        <f>IF($D655&lt;&gt;1,"",IF(INDEX(TblClusters[Environnement],$B655)="","(vide)",INDEX(TblClusters[Environnement],$B655)))</f>
        <v/>
      </c>
      <c r="AG655" s="19" t="str">
        <f t="shared" si="185"/>
        <v/>
      </c>
      <c r="AH655" s="19" t="str">
        <f t="shared" si="186"/>
        <v/>
      </c>
      <c r="AI655" s="19" t="str">
        <f>IF($D655&lt;&gt;1,"",IF(AND($G655="IKS",ISNUMBER(INDEX(TblClusters[Fermeture retenue],$B655))),IF($E655&gt;=INDEX(TblClusters[Fermeture retenue],$B655),1,0),0))</f>
        <v/>
      </c>
    </row>
    <row r="656" spans="1:35" x14ac:dyDescent="0.2">
      <c r="A656" s="19">
        <v>651</v>
      </c>
      <c r="B656" s="19">
        <f t="shared" si="170"/>
        <v>19</v>
      </c>
      <c r="C656" s="19">
        <f t="shared" si="171"/>
        <v>3</v>
      </c>
      <c r="D656" s="19">
        <f>IF($C656&gt;p_horizon,0,IFERROR(IF(AND(INDEX(TblClusters[Cluster],$B656)&lt;&gt;"",ISNUMBER(INDEX(TblClusters[CPU initial (vCPU)],$B656)),ISNUMBER(INDEX(TblClusters[CPU min (vCPU)],$B656)),OR(INDEX(TblClusters[Plateforme],$B656)="IKS",INDEX(TblClusters[Plateforme],$B656)="ROKS")),1,0),0))</f>
        <v>0</v>
      </c>
      <c r="E656" s="72" t="str">
        <f t="shared" si="172"/>
        <v/>
      </c>
      <c r="F656" s="19" t="str">
        <f>IF($D656=1,INDEX(TblClusters[Cluster],$B656),"")</f>
        <v/>
      </c>
      <c r="G656" s="19" t="str">
        <f>IF($D656=1,INDEX(TblClusters[Plateforme],$B656),"")</f>
        <v/>
      </c>
      <c r="H656" s="19" t="str">
        <f>IF($D656=1,INDEX(TblClusters[vCPU par nœud],$B656),"")</f>
        <v/>
      </c>
      <c r="I656" s="19" t="str">
        <f>IF($D656=1,INDEX(TblClusters[RAM par nœud (Go)],$B656),"")</f>
        <v/>
      </c>
      <c r="J656" s="19" t="str">
        <f>IF($D656=1,INDEX(TblClusters[Workers min],$B656),"")</f>
        <v/>
      </c>
      <c r="K656" s="73" t="str">
        <f>IF($D656=1,INDEX(TblClusters[Tarif par nœud],$B656),"")</f>
        <v/>
      </c>
      <c r="L656" s="19" t="str">
        <f>IF($D656=1,INDEX(TblClusters[CPU initial (vCPU)],$B656),"")</f>
        <v/>
      </c>
      <c r="M656" s="19" t="str">
        <f>IF($D656=1,INDEX(TblClusters[RAM initiale (Go)],$B656),"")</f>
        <v/>
      </c>
      <c r="N656" s="19" t="str">
        <f>IF($D656=1,INDEX(TblClusters[CPU min (vCPU)],$B656),"")</f>
        <v/>
      </c>
      <c r="O656" s="19" t="str">
        <f>IF($D656=1,INDEX(TblClusters[RAM min (Go)],$B656),"")</f>
        <v/>
      </c>
      <c r="P656" s="19" t="str">
        <f>IF($D656&lt;&gt;1,"",IF($G656="ROKS",SUMIFS(TblApplications[Besoin ROKS CPU (vCPU)],TblApplications[Cluster ROKS cible],$F656,TblApplications[Action],"À migrer",TblApplications[Déjà incluse ROKS],"Non",TblApplications[Mois prov (calc)],"&lt;="&amp;$E656),SUMIFS(TblApplications[CPU IKS libérable (vCPU)],TblApplications[Cluster IKS source],$F656,TblApplications[Mois lib (calc)],"&lt;="&amp;$E656)))</f>
        <v/>
      </c>
      <c r="Q656" s="19" t="str">
        <f>IF($D656&lt;&gt;1,"",IF($G656="ROKS",SUMIFS(TblApplications[Besoin ROKS RAM (Go)],TblApplications[Cluster ROKS cible],$F656,TblApplications[Action],"À migrer",TblApplications[Déjà incluse ROKS],"Non",TblApplications[Mois prov (calc)],"&lt;="&amp;$E656),SUMIFS(TblApplications[RAM IKS libérable (Go)],TblApplications[Cluster IKS source],$F656,TblApplications[Mois lib (calc)],"&lt;="&amp;$E656)))</f>
        <v/>
      </c>
      <c r="R656" s="19" t="str">
        <f t="shared" si="173"/>
        <v/>
      </c>
      <c r="S656" s="19" t="str">
        <f t="shared" si="174"/>
        <v/>
      </c>
      <c r="T656" s="19" t="str">
        <f t="shared" si="175"/>
        <v/>
      </c>
      <c r="U656" s="19" t="str">
        <f t="shared" si="176"/>
        <v/>
      </c>
      <c r="V656" s="19" t="str">
        <f t="shared" si="177"/>
        <v/>
      </c>
      <c r="W656" s="73" t="str">
        <f t="shared" si="178"/>
        <v/>
      </c>
      <c r="X656" s="19" t="str">
        <f>IF($D656&lt;&gt;1,"",IF($G656="ROKS",$R656,IF($AI656=1,0,MAX($N656,$L656-SUMIFS(TblApplications[CPU IKS libérable (vCPU)],TblApplications[Cluster IKS source],$F656,TblApplications[Action],"À migrer",TblApplications[Mois prov (calc)],"&lt;="&amp;$E656)-SUMIFS(TblApplications[CPU IKS libérable (vCPU)],TblApplications[Cluster IKS source],$F656,TblApplications[Action],"À décommissionner",TblApplications[Mois lib (calc)],"&lt;="&amp;$E656)))))</f>
        <v/>
      </c>
      <c r="Y656" s="19" t="str">
        <f>IF($D656&lt;&gt;1,"",IF($G656="ROKS",$S656,IF($AI656=1,0,MAX($O656,$M656-SUMIFS(TblApplications[RAM IKS libérable (Go)],TblApplications[Cluster IKS source],$F656,TblApplications[Action],"À migrer",TblApplications[Mois prov (calc)],"&lt;="&amp;$E656)-SUMIFS(TblApplications[RAM IKS libérable (Go)],TblApplications[Cluster IKS source],$F656,TblApplications[Action],"À décommissionner",TblApplications[Mois lib (calc)],"&lt;="&amp;$E656)))))</f>
        <v/>
      </c>
      <c r="Z656" s="19" t="str">
        <f t="shared" si="179"/>
        <v/>
      </c>
      <c r="AA656" s="73" t="str">
        <f t="shared" si="180"/>
        <v/>
      </c>
      <c r="AB656" s="19" t="str">
        <f t="shared" si="181"/>
        <v/>
      </c>
      <c r="AC656" s="73" t="str">
        <f t="shared" si="182"/>
        <v/>
      </c>
      <c r="AD656" s="19" t="str">
        <f t="shared" si="183"/>
        <v/>
      </c>
      <c r="AE656" s="19" t="str">
        <f t="shared" si="184"/>
        <v/>
      </c>
      <c r="AF656" s="19" t="str">
        <f>IF($D656&lt;&gt;1,"",IF(INDEX(TblClusters[Environnement],$B656)="","(vide)",INDEX(TblClusters[Environnement],$B656)))</f>
        <v/>
      </c>
      <c r="AG656" s="19" t="str">
        <f t="shared" si="185"/>
        <v/>
      </c>
      <c r="AH656" s="19" t="str">
        <f t="shared" si="186"/>
        <v/>
      </c>
      <c r="AI656" s="19" t="str">
        <f>IF($D656&lt;&gt;1,"",IF(AND($G656="IKS",ISNUMBER(INDEX(TblClusters[Fermeture retenue],$B656))),IF($E656&gt;=INDEX(TblClusters[Fermeture retenue],$B656),1,0),0))</f>
        <v/>
      </c>
    </row>
    <row r="657" spans="1:35" x14ac:dyDescent="0.2">
      <c r="A657" s="19">
        <v>652</v>
      </c>
      <c r="B657" s="19">
        <f t="shared" si="170"/>
        <v>19</v>
      </c>
      <c r="C657" s="19">
        <f t="shared" si="171"/>
        <v>4</v>
      </c>
      <c r="D657" s="19">
        <f>IF($C657&gt;p_horizon,0,IFERROR(IF(AND(INDEX(TblClusters[Cluster],$B657)&lt;&gt;"",ISNUMBER(INDEX(TblClusters[CPU initial (vCPU)],$B657)),ISNUMBER(INDEX(TblClusters[CPU min (vCPU)],$B657)),OR(INDEX(TblClusters[Plateforme],$B657)="IKS",INDEX(TblClusters[Plateforme],$B657)="ROKS")),1,0),0))</f>
        <v>0</v>
      </c>
      <c r="E657" s="72" t="str">
        <f t="shared" si="172"/>
        <v/>
      </c>
      <c r="F657" s="19" t="str">
        <f>IF($D657=1,INDEX(TblClusters[Cluster],$B657),"")</f>
        <v/>
      </c>
      <c r="G657" s="19" t="str">
        <f>IF($D657=1,INDEX(TblClusters[Plateforme],$B657),"")</f>
        <v/>
      </c>
      <c r="H657" s="19" t="str">
        <f>IF($D657=1,INDEX(TblClusters[vCPU par nœud],$B657),"")</f>
        <v/>
      </c>
      <c r="I657" s="19" t="str">
        <f>IF($D657=1,INDEX(TblClusters[RAM par nœud (Go)],$B657),"")</f>
        <v/>
      </c>
      <c r="J657" s="19" t="str">
        <f>IF($D657=1,INDEX(TblClusters[Workers min],$B657),"")</f>
        <v/>
      </c>
      <c r="K657" s="73" t="str">
        <f>IF($D657=1,INDEX(TblClusters[Tarif par nœud],$B657),"")</f>
        <v/>
      </c>
      <c r="L657" s="19" t="str">
        <f>IF($D657=1,INDEX(TblClusters[CPU initial (vCPU)],$B657),"")</f>
        <v/>
      </c>
      <c r="M657" s="19" t="str">
        <f>IF($D657=1,INDEX(TblClusters[RAM initiale (Go)],$B657),"")</f>
        <v/>
      </c>
      <c r="N657" s="19" t="str">
        <f>IF($D657=1,INDEX(TblClusters[CPU min (vCPU)],$B657),"")</f>
        <v/>
      </c>
      <c r="O657" s="19" t="str">
        <f>IF($D657=1,INDEX(TblClusters[RAM min (Go)],$B657),"")</f>
        <v/>
      </c>
      <c r="P657" s="19" t="str">
        <f>IF($D657&lt;&gt;1,"",IF($G657="ROKS",SUMIFS(TblApplications[Besoin ROKS CPU (vCPU)],TblApplications[Cluster ROKS cible],$F657,TblApplications[Action],"À migrer",TblApplications[Déjà incluse ROKS],"Non",TblApplications[Mois prov (calc)],"&lt;="&amp;$E657),SUMIFS(TblApplications[CPU IKS libérable (vCPU)],TblApplications[Cluster IKS source],$F657,TblApplications[Mois lib (calc)],"&lt;="&amp;$E657)))</f>
        <v/>
      </c>
      <c r="Q657" s="19" t="str">
        <f>IF($D657&lt;&gt;1,"",IF($G657="ROKS",SUMIFS(TblApplications[Besoin ROKS RAM (Go)],TblApplications[Cluster ROKS cible],$F657,TblApplications[Action],"À migrer",TblApplications[Déjà incluse ROKS],"Non",TblApplications[Mois prov (calc)],"&lt;="&amp;$E657),SUMIFS(TblApplications[RAM IKS libérable (Go)],TblApplications[Cluster IKS source],$F657,TblApplications[Mois lib (calc)],"&lt;="&amp;$E657)))</f>
        <v/>
      </c>
      <c r="R657" s="19" t="str">
        <f t="shared" si="173"/>
        <v/>
      </c>
      <c r="S657" s="19" t="str">
        <f t="shared" si="174"/>
        <v/>
      </c>
      <c r="T657" s="19" t="str">
        <f t="shared" si="175"/>
        <v/>
      </c>
      <c r="U657" s="19" t="str">
        <f t="shared" si="176"/>
        <v/>
      </c>
      <c r="V657" s="19" t="str">
        <f t="shared" si="177"/>
        <v/>
      </c>
      <c r="W657" s="73" t="str">
        <f t="shared" si="178"/>
        <v/>
      </c>
      <c r="X657" s="19" t="str">
        <f>IF($D657&lt;&gt;1,"",IF($G657="ROKS",$R657,IF($AI657=1,0,MAX($N657,$L657-SUMIFS(TblApplications[CPU IKS libérable (vCPU)],TblApplications[Cluster IKS source],$F657,TblApplications[Action],"À migrer",TblApplications[Mois prov (calc)],"&lt;="&amp;$E657)-SUMIFS(TblApplications[CPU IKS libérable (vCPU)],TblApplications[Cluster IKS source],$F657,TblApplications[Action],"À décommissionner",TblApplications[Mois lib (calc)],"&lt;="&amp;$E657)))))</f>
        <v/>
      </c>
      <c r="Y657" s="19" t="str">
        <f>IF($D657&lt;&gt;1,"",IF($G657="ROKS",$S657,IF($AI657=1,0,MAX($O657,$M657-SUMIFS(TblApplications[RAM IKS libérable (Go)],TblApplications[Cluster IKS source],$F657,TblApplications[Action],"À migrer",TblApplications[Mois prov (calc)],"&lt;="&amp;$E657)-SUMIFS(TblApplications[RAM IKS libérable (Go)],TblApplications[Cluster IKS source],$F657,TblApplications[Action],"À décommissionner",TblApplications[Mois lib (calc)],"&lt;="&amp;$E657)))))</f>
        <v/>
      </c>
      <c r="Z657" s="19" t="str">
        <f t="shared" si="179"/>
        <v/>
      </c>
      <c r="AA657" s="73" t="str">
        <f t="shared" si="180"/>
        <v/>
      </c>
      <c r="AB657" s="19" t="str">
        <f t="shared" si="181"/>
        <v/>
      </c>
      <c r="AC657" s="73" t="str">
        <f t="shared" si="182"/>
        <v/>
      </c>
      <c r="AD657" s="19" t="str">
        <f t="shared" si="183"/>
        <v/>
      </c>
      <c r="AE657" s="19" t="str">
        <f t="shared" si="184"/>
        <v/>
      </c>
      <c r="AF657" s="19" t="str">
        <f>IF($D657&lt;&gt;1,"",IF(INDEX(TblClusters[Environnement],$B657)="","(vide)",INDEX(TblClusters[Environnement],$B657)))</f>
        <v/>
      </c>
      <c r="AG657" s="19" t="str">
        <f t="shared" si="185"/>
        <v/>
      </c>
      <c r="AH657" s="19" t="str">
        <f t="shared" si="186"/>
        <v/>
      </c>
      <c r="AI657" s="19" t="str">
        <f>IF($D657&lt;&gt;1,"",IF(AND($G657="IKS",ISNUMBER(INDEX(TblClusters[Fermeture retenue],$B657))),IF($E657&gt;=INDEX(TblClusters[Fermeture retenue],$B657),1,0),0))</f>
        <v/>
      </c>
    </row>
    <row r="658" spans="1:35" x14ac:dyDescent="0.2">
      <c r="A658" s="19">
        <v>653</v>
      </c>
      <c r="B658" s="19">
        <f t="shared" si="170"/>
        <v>19</v>
      </c>
      <c r="C658" s="19">
        <f t="shared" si="171"/>
        <v>5</v>
      </c>
      <c r="D658" s="19">
        <f>IF($C658&gt;p_horizon,0,IFERROR(IF(AND(INDEX(TblClusters[Cluster],$B658)&lt;&gt;"",ISNUMBER(INDEX(TblClusters[CPU initial (vCPU)],$B658)),ISNUMBER(INDEX(TblClusters[CPU min (vCPU)],$B658)),OR(INDEX(TblClusters[Plateforme],$B658)="IKS",INDEX(TblClusters[Plateforme],$B658)="ROKS")),1,0),0))</f>
        <v>0</v>
      </c>
      <c r="E658" s="72" t="str">
        <f t="shared" si="172"/>
        <v/>
      </c>
      <c r="F658" s="19" t="str">
        <f>IF($D658=1,INDEX(TblClusters[Cluster],$B658),"")</f>
        <v/>
      </c>
      <c r="G658" s="19" t="str">
        <f>IF($D658=1,INDEX(TblClusters[Plateforme],$B658),"")</f>
        <v/>
      </c>
      <c r="H658" s="19" t="str">
        <f>IF($D658=1,INDEX(TblClusters[vCPU par nœud],$B658),"")</f>
        <v/>
      </c>
      <c r="I658" s="19" t="str">
        <f>IF($D658=1,INDEX(TblClusters[RAM par nœud (Go)],$B658),"")</f>
        <v/>
      </c>
      <c r="J658" s="19" t="str">
        <f>IF($D658=1,INDEX(TblClusters[Workers min],$B658),"")</f>
        <v/>
      </c>
      <c r="K658" s="73" t="str">
        <f>IF($D658=1,INDEX(TblClusters[Tarif par nœud],$B658),"")</f>
        <v/>
      </c>
      <c r="L658" s="19" t="str">
        <f>IF($D658=1,INDEX(TblClusters[CPU initial (vCPU)],$B658),"")</f>
        <v/>
      </c>
      <c r="M658" s="19" t="str">
        <f>IF($D658=1,INDEX(TblClusters[RAM initiale (Go)],$B658),"")</f>
        <v/>
      </c>
      <c r="N658" s="19" t="str">
        <f>IF($D658=1,INDEX(TblClusters[CPU min (vCPU)],$B658),"")</f>
        <v/>
      </c>
      <c r="O658" s="19" t="str">
        <f>IF($D658=1,INDEX(TblClusters[RAM min (Go)],$B658),"")</f>
        <v/>
      </c>
      <c r="P658" s="19" t="str">
        <f>IF($D658&lt;&gt;1,"",IF($G658="ROKS",SUMIFS(TblApplications[Besoin ROKS CPU (vCPU)],TblApplications[Cluster ROKS cible],$F658,TblApplications[Action],"À migrer",TblApplications[Déjà incluse ROKS],"Non",TblApplications[Mois prov (calc)],"&lt;="&amp;$E658),SUMIFS(TblApplications[CPU IKS libérable (vCPU)],TblApplications[Cluster IKS source],$F658,TblApplications[Mois lib (calc)],"&lt;="&amp;$E658)))</f>
        <v/>
      </c>
      <c r="Q658" s="19" t="str">
        <f>IF($D658&lt;&gt;1,"",IF($G658="ROKS",SUMIFS(TblApplications[Besoin ROKS RAM (Go)],TblApplications[Cluster ROKS cible],$F658,TblApplications[Action],"À migrer",TblApplications[Déjà incluse ROKS],"Non",TblApplications[Mois prov (calc)],"&lt;="&amp;$E658),SUMIFS(TblApplications[RAM IKS libérable (Go)],TblApplications[Cluster IKS source],$F658,TblApplications[Mois lib (calc)],"&lt;="&amp;$E658)))</f>
        <v/>
      </c>
      <c r="R658" s="19" t="str">
        <f t="shared" si="173"/>
        <v/>
      </c>
      <c r="S658" s="19" t="str">
        <f t="shared" si="174"/>
        <v/>
      </c>
      <c r="T658" s="19" t="str">
        <f t="shared" si="175"/>
        <v/>
      </c>
      <c r="U658" s="19" t="str">
        <f t="shared" si="176"/>
        <v/>
      </c>
      <c r="V658" s="19" t="str">
        <f t="shared" si="177"/>
        <v/>
      </c>
      <c r="W658" s="73" t="str">
        <f t="shared" si="178"/>
        <v/>
      </c>
      <c r="X658" s="19" t="str">
        <f>IF($D658&lt;&gt;1,"",IF($G658="ROKS",$R658,IF($AI658=1,0,MAX($N658,$L658-SUMIFS(TblApplications[CPU IKS libérable (vCPU)],TblApplications[Cluster IKS source],$F658,TblApplications[Action],"À migrer",TblApplications[Mois prov (calc)],"&lt;="&amp;$E658)-SUMIFS(TblApplications[CPU IKS libérable (vCPU)],TblApplications[Cluster IKS source],$F658,TblApplications[Action],"À décommissionner",TblApplications[Mois lib (calc)],"&lt;="&amp;$E658)))))</f>
        <v/>
      </c>
      <c r="Y658" s="19" t="str">
        <f>IF($D658&lt;&gt;1,"",IF($G658="ROKS",$S658,IF($AI658=1,0,MAX($O658,$M658-SUMIFS(TblApplications[RAM IKS libérable (Go)],TblApplications[Cluster IKS source],$F658,TblApplications[Action],"À migrer",TblApplications[Mois prov (calc)],"&lt;="&amp;$E658)-SUMIFS(TblApplications[RAM IKS libérable (Go)],TblApplications[Cluster IKS source],$F658,TblApplications[Action],"À décommissionner",TblApplications[Mois lib (calc)],"&lt;="&amp;$E658)))))</f>
        <v/>
      </c>
      <c r="Z658" s="19" t="str">
        <f t="shared" si="179"/>
        <v/>
      </c>
      <c r="AA658" s="73" t="str">
        <f t="shared" si="180"/>
        <v/>
      </c>
      <c r="AB658" s="19" t="str">
        <f t="shared" si="181"/>
        <v/>
      </c>
      <c r="AC658" s="73" t="str">
        <f t="shared" si="182"/>
        <v/>
      </c>
      <c r="AD658" s="19" t="str">
        <f t="shared" si="183"/>
        <v/>
      </c>
      <c r="AE658" s="19" t="str">
        <f t="shared" si="184"/>
        <v/>
      </c>
      <c r="AF658" s="19" t="str">
        <f>IF($D658&lt;&gt;1,"",IF(INDEX(TblClusters[Environnement],$B658)="","(vide)",INDEX(TblClusters[Environnement],$B658)))</f>
        <v/>
      </c>
      <c r="AG658" s="19" t="str">
        <f t="shared" si="185"/>
        <v/>
      </c>
      <c r="AH658" s="19" t="str">
        <f t="shared" si="186"/>
        <v/>
      </c>
      <c r="AI658" s="19" t="str">
        <f>IF($D658&lt;&gt;1,"",IF(AND($G658="IKS",ISNUMBER(INDEX(TblClusters[Fermeture retenue],$B658))),IF($E658&gt;=INDEX(TblClusters[Fermeture retenue],$B658),1,0),0))</f>
        <v/>
      </c>
    </row>
    <row r="659" spans="1:35" x14ac:dyDescent="0.2">
      <c r="A659" s="19">
        <v>654</v>
      </c>
      <c r="B659" s="19">
        <f t="shared" si="170"/>
        <v>19</v>
      </c>
      <c r="C659" s="19">
        <f t="shared" si="171"/>
        <v>6</v>
      </c>
      <c r="D659" s="19">
        <f>IF($C659&gt;p_horizon,0,IFERROR(IF(AND(INDEX(TblClusters[Cluster],$B659)&lt;&gt;"",ISNUMBER(INDEX(TblClusters[CPU initial (vCPU)],$B659)),ISNUMBER(INDEX(TblClusters[CPU min (vCPU)],$B659)),OR(INDEX(TblClusters[Plateforme],$B659)="IKS",INDEX(TblClusters[Plateforme],$B659)="ROKS")),1,0),0))</f>
        <v>0</v>
      </c>
      <c r="E659" s="72" t="str">
        <f t="shared" si="172"/>
        <v/>
      </c>
      <c r="F659" s="19" t="str">
        <f>IF($D659=1,INDEX(TblClusters[Cluster],$B659),"")</f>
        <v/>
      </c>
      <c r="G659" s="19" t="str">
        <f>IF($D659=1,INDEX(TblClusters[Plateforme],$B659),"")</f>
        <v/>
      </c>
      <c r="H659" s="19" t="str">
        <f>IF($D659=1,INDEX(TblClusters[vCPU par nœud],$B659),"")</f>
        <v/>
      </c>
      <c r="I659" s="19" t="str">
        <f>IF($D659=1,INDEX(TblClusters[RAM par nœud (Go)],$B659),"")</f>
        <v/>
      </c>
      <c r="J659" s="19" t="str">
        <f>IF($D659=1,INDEX(TblClusters[Workers min],$B659),"")</f>
        <v/>
      </c>
      <c r="K659" s="73" t="str">
        <f>IF($D659=1,INDEX(TblClusters[Tarif par nœud],$B659),"")</f>
        <v/>
      </c>
      <c r="L659" s="19" t="str">
        <f>IF($D659=1,INDEX(TblClusters[CPU initial (vCPU)],$B659),"")</f>
        <v/>
      </c>
      <c r="M659" s="19" t="str">
        <f>IF($D659=1,INDEX(TblClusters[RAM initiale (Go)],$B659),"")</f>
        <v/>
      </c>
      <c r="N659" s="19" t="str">
        <f>IF($D659=1,INDEX(TblClusters[CPU min (vCPU)],$B659),"")</f>
        <v/>
      </c>
      <c r="O659" s="19" t="str">
        <f>IF($D659=1,INDEX(TblClusters[RAM min (Go)],$B659),"")</f>
        <v/>
      </c>
      <c r="P659" s="19" t="str">
        <f>IF($D659&lt;&gt;1,"",IF($G659="ROKS",SUMIFS(TblApplications[Besoin ROKS CPU (vCPU)],TblApplications[Cluster ROKS cible],$F659,TblApplications[Action],"À migrer",TblApplications[Déjà incluse ROKS],"Non",TblApplications[Mois prov (calc)],"&lt;="&amp;$E659),SUMIFS(TblApplications[CPU IKS libérable (vCPU)],TblApplications[Cluster IKS source],$F659,TblApplications[Mois lib (calc)],"&lt;="&amp;$E659)))</f>
        <v/>
      </c>
      <c r="Q659" s="19" t="str">
        <f>IF($D659&lt;&gt;1,"",IF($G659="ROKS",SUMIFS(TblApplications[Besoin ROKS RAM (Go)],TblApplications[Cluster ROKS cible],$F659,TblApplications[Action],"À migrer",TblApplications[Déjà incluse ROKS],"Non",TblApplications[Mois prov (calc)],"&lt;="&amp;$E659),SUMIFS(TblApplications[RAM IKS libérable (Go)],TblApplications[Cluster IKS source],$F659,TblApplications[Mois lib (calc)],"&lt;="&amp;$E659)))</f>
        <v/>
      </c>
      <c r="R659" s="19" t="str">
        <f t="shared" si="173"/>
        <v/>
      </c>
      <c r="S659" s="19" t="str">
        <f t="shared" si="174"/>
        <v/>
      </c>
      <c r="T659" s="19" t="str">
        <f t="shared" si="175"/>
        <v/>
      </c>
      <c r="U659" s="19" t="str">
        <f t="shared" si="176"/>
        <v/>
      </c>
      <c r="V659" s="19" t="str">
        <f t="shared" si="177"/>
        <v/>
      </c>
      <c r="W659" s="73" t="str">
        <f t="shared" si="178"/>
        <v/>
      </c>
      <c r="X659" s="19" t="str">
        <f>IF($D659&lt;&gt;1,"",IF($G659="ROKS",$R659,IF($AI659=1,0,MAX($N659,$L659-SUMIFS(TblApplications[CPU IKS libérable (vCPU)],TblApplications[Cluster IKS source],$F659,TblApplications[Action],"À migrer",TblApplications[Mois prov (calc)],"&lt;="&amp;$E659)-SUMIFS(TblApplications[CPU IKS libérable (vCPU)],TblApplications[Cluster IKS source],$F659,TblApplications[Action],"À décommissionner",TblApplications[Mois lib (calc)],"&lt;="&amp;$E659)))))</f>
        <v/>
      </c>
      <c r="Y659" s="19" t="str">
        <f>IF($D659&lt;&gt;1,"",IF($G659="ROKS",$S659,IF($AI659=1,0,MAX($O659,$M659-SUMIFS(TblApplications[RAM IKS libérable (Go)],TblApplications[Cluster IKS source],$F659,TblApplications[Action],"À migrer",TblApplications[Mois prov (calc)],"&lt;="&amp;$E659)-SUMIFS(TblApplications[RAM IKS libérable (Go)],TblApplications[Cluster IKS source],$F659,TblApplications[Action],"À décommissionner",TblApplications[Mois lib (calc)],"&lt;="&amp;$E659)))))</f>
        <v/>
      </c>
      <c r="Z659" s="19" t="str">
        <f t="shared" si="179"/>
        <v/>
      </c>
      <c r="AA659" s="73" t="str">
        <f t="shared" si="180"/>
        <v/>
      </c>
      <c r="AB659" s="19" t="str">
        <f t="shared" si="181"/>
        <v/>
      </c>
      <c r="AC659" s="73" t="str">
        <f t="shared" si="182"/>
        <v/>
      </c>
      <c r="AD659" s="19" t="str">
        <f t="shared" si="183"/>
        <v/>
      </c>
      <c r="AE659" s="19" t="str">
        <f t="shared" si="184"/>
        <v/>
      </c>
      <c r="AF659" s="19" t="str">
        <f>IF($D659&lt;&gt;1,"",IF(INDEX(TblClusters[Environnement],$B659)="","(vide)",INDEX(TblClusters[Environnement],$B659)))</f>
        <v/>
      </c>
      <c r="AG659" s="19" t="str">
        <f t="shared" si="185"/>
        <v/>
      </c>
      <c r="AH659" s="19" t="str">
        <f t="shared" si="186"/>
        <v/>
      </c>
      <c r="AI659" s="19" t="str">
        <f>IF($D659&lt;&gt;1,"",IF(AND($G659="IKS",ISNUMBER(INDEX(TblClusters[Fermeture retenue],$B659))),IF($E659&gt;=INDEX(TblClusters[Fermeture retenue],$B659),1,0),0))</f>
        <v/>
      </c>
    </row>
    <row r="660" spans="1:35" x14ac:dyDescent="0.2">
      <c r="A660" s="19">
        <v>655</v>
      </c>
      <c r="B660" s="19">
        <f t="shared" si="170"/>
        <v>19</v>
      </c>
      <c r="C660" s="19">
        <f t="shared" si="171"/>
        <v>7</v>
      </c>
      <c r="D660" s="19">
        <f>IF($C660&gt;p_horizon,0,IFERROR(IF(AND(INDEX(TblClusters[Cluster],$B660)&lt;&gt;"",ISNUMBER(INDEX(TblClusters[CPU initial (vCPU)],$B660)),ISNUMBER(INDEX(TblClusters[CPU min (vCPU)],$B660)),OR(INDEX(TblClusters[Plateforme],$B660)="IKS",INDEX(TblClusters[Plateforme],$B660)="ROKS")),1,0),0))</f>
        <v>0</v>
      </c>
      <c r="E660" s="72" t="str">
        <f t="shared" si="172"/>
        <v/>
      </c>
      <c r="F660" s="19" t="str">
        <f>IF($D660=1,INDEX(TblClusters[Cluster],$B660),"")</f>
        <v/>
      </c>
      <c r="G660" s="19" t="str">
        <f>IF($D660=1,INDEX(TblClusters[Plateforme],$B660),"")</f>
        <v/>
      </c>
      <c r="H660" s="19" t="str">
        <f>IF($D660=1,INDEX(TblClusters[vCPU par nœud],$B660),"")</f>
        <v/>
      </c>
      <c r="I660" s="19" t="str">
        <f>IF($D660=1,INDEX(TblClusters[RAM par nœud (Go)],$B660),"")</f>
        <v/>
      </c>
      <c r="J660" s="19" t="str">
        <f>IF($D660=1,INDEX(TblClusters[Workers min],$B660),"")</f>
        <v/>
      </c>
      <c r="K660" s="73" t="str">
        <f>IF($D660=1,INDEX(TblClusters[Tarif par nœud],$B660),"")</f>
        <v/>
      </c>
      <c r="L660" s="19" t="str">
        <f>IF($D660=1,INDEX(TblClusters[CPU initial (vCPU)],$B660),"")</f>
        <v/>
      </c>
      <c r="M660" s="19" t="str">
        <f>IF($D660=1,INDEX(TblClusters[RAM initiale (Go)],$B660),"")</f>
        <v/>
      </c>
      <c r="N660" s="19" t="str">
        <f>IF($D660=1,INDEX(TblClusters[CPU min (vCPU)],$B660),"")</f>
        <v/>
      </c>
      <c r="O660" s="19" t="str">
        <f>IF($D660=1,INDEX(TblClusters[RAM min (Go)],$B660),"")</f>
        <v/>
      </c>
      <c r="P660" s="19" t="str">
        <f>IF($D660&lt;&gt;1,"",IF($G660="ROKS",SUMIFS(TblApplications[Besoin ROKS CPU (vCPU)],TblApplications[Cluster ROKS cible],$F660,TblApplications[Action],"À migrer",TblApplications[Déjà incluse ROKS],"Non",TblApplications[Mois prov (calc)],"&lt;="&amp;$E660),SUMIFS(TblApplications[CPU IKS libérable (vCPU)],TblApplications[Cluster IKS source],$F660,TblApplications[Mois lib (calc)],"&lt;="&amp;$E660)))</f>
        <v/>
      </c>
      <c r="Q660" s="19" t="str">
        <f>IF($D660&lt;&gt;1,"",IF($G660="ROKS",SUMIFS(TblApplications[Besoin ROKS RAM (Go)],TblApplications[Cluster ROKS cible],$F660,TblApplications[Action],"À migrer",TblApplications[Déjà incluse ROKS],"Non",TblApplications[Mois prov (calc)],"&lt;="&amp;$E660),SUMIFS(TblApplications[RAM IKS libérable (Go)],TblApplications[Cluster IKS source],$F660,TblApplications[Mois lib (calc)],"&lt;="&amp;$E660)))</f>
        <v/>
      </c>
      <c r="R660" s="19" t="str">
        <f t="shared" si="173"/>
        <v/>
      </c>
      <c r="S660" s="19" t="str">
        <f t="shared" si="174"/>
        <v/>
      </c>
      <c r="T660" s="19" t="str">
        <f t="shared" si="175"/>
        <v/>
      </c>
      <c r="U660" s="19" t="str">
        <f t="shared" si="176"/>
        <v/>
      </c>
      <c r="V660" s="19" t="str">
        <f t="shared" si="177"/>
        <v/>
      </c>
      <c r="W660" s="73" t="str">
        <f t="shared" si="178"/>
        <v/>
      </c>
      <c r="X660" s="19" t="str">
        <f>IF($D660&lt;&gt;1,"",IF($G660="ROKS",$R660,IF($AI660=1,0,MAX($N660,$L660-SUMIFS(TblApplications[CPU IKS libérable (vCPU)],TblApplications[Cluster IKS source],$F660,TblApplications[Action],"À migrer",TblApplications[Mois prov (calc)],"&lt;="&amp;$E660)-SUMIFS(TblApplications[CPU IKS libérable (vCPU)],TblApplications[Cluster IKS source],$F660,TblApplications[Action],"À décommissionner",TblApplications[Mois lib (calc)],"&lt;="&amp;$E660)))))</f>
        <v/>
      </c>
      <c r="Y660" s="19" t="str">
        <f>IF($D660&lt;&gt;1,"",IF($G660="ROKS",$S660,IF($AI660=1,0,MAX($O660,$M660-SUMIFS(TblApplications[RAM IKS libérable (Go)],TblApplications[Cluster IKS source],$F660,TblApplications[Action],"À migrer",TblApplications[Mois prov (calc)],"&lt;="&amp;$E660)-SUMIFS(TblApplications[RAM IKS libérable (Go)],TblApplications[Cluster IKS source],$F660,TblApplications[Action],"À décommissionner",TblApplications[Mois lib (calc)],"&lt;="&amp;$E660)))))</f>
        <v/>
      </c>
      <c r="Z660" s="19" t="str">
        <f t="shared" si="179"/>
        <v/>
      </c>
      <c r="AA660" s="73" t="str">
        <f t="shared" si="180"/>
        <v/>
      </c>
      <c r="AB660" s="19" t="str">
        <f t="shared" si="181"/>
        <v/>
      </c>
      <c r="AC660" s="73" t="str">
        <f t="shared" si="182"/>
        <v/>
      </c>
      <c r="AD660" s="19" t="str">
        <f t="shared" si="183"/>
        <v/>
      </c>
      <c r="AE660" s="19" t="str">
        <f t="shared" si="184"/>
        <v/>
      </c>
      <c r="AF660" s="19" t="str">
        <f>IF($D660&lt;&gt;1,"",IF(INDEX(TblClusters[Environnement],$B660)="","(vide)",INDEX(TblClusters[Environnement],$B660)))</f>
        <v/>
      </c>
      <c r="AG660" s="19" t="str">
        <f t="shared" si="185"/>
        <v/>
      </c>
      <c r="AH660" s="19" t="str">
        <f t="shared" si="186"/>
        <v/>
      </c>
      <c r="AI660" s="19" t="str">
        <f>IF($D660&lt;&gt;1,"",IF(AND($G660="IKS",ISNUMBER(INDEX(TblClusters[Fermeture retenue],$B660))),IF($E660&gt;=INDEX(TblClusters[Fermeture retenue],$B660),1,0),0))</f>
        <v/>
      </c>
    </row>
    <row r="661" spans="1:35" x14ac:dyDescent="0.2">
      <c r="A661" s="19">
        <v>656</v>
      </c>
      <c r="B661" s="19">
        <f t="shared" si="170"/>
        <v>19</v>
      </c>
      <c r="C661" s="19">
        <f t="shared" si="171"/>
        <v>8</v>
      </c>
      <c r="D661" s="19">
        <f>IF($C661&gt;p_horizon,0,IFERROR(IF(AND(INDEX(TblClusters[Cluster],$B661)&lt;&gt;"",ISNUMBER(INDEX(TblClusters[CPU initial (vCPU)],$B661)),ISNUMBER(INDEX(TblClusters[CPU min (vCPU)],$B661)),OR(INDEX(TblClusters[Plateforme],$B661)="IKS",INDEX(TblClusters[Plateforme],$B661)="ROKS")),1,0),0))</f>
        <v>0</v>
      </c>
      <c r="E661" s="72" t="str">
        <f t="shared" si="172"/>
        <v/>
      </c>
      <c r="F661" s="19" t="str">
        <f>IF($D661=1,INDEX(TblClusters[Cluster],$B661),"")</f>
        <v/>
      </c>
      <c r="G661" s="19" t="str">
        <f>IF($D661=1,INDEX(TblClusters[Plateforme],$B661),"")</f>
        <v/>
      </c>
      <c r="H661" s="19" t="str">
        <f>IF($D661=1,INDEX(TblClusters[vCPU par nœud],$B661),"")</f>
        <v/>
      </c>
      <c r="I661" s="19" t="str">
        <f>IF($D661=1,INDEX(TblClusters[RAM par nœud (Go)],$B661),"")</f>
        <v/>
      </c>
      <c r="J661" s="19" t="str">
        <f>IF($D661=1,INDEX(TblClusters[Workers min],$B661),"")</f>
        <v/>
      </c>
      <c r="K661" s="73" t="str">
        <f>IF($D661=1,INDEX(TblClusters[Tarif par nœud],$B661),"")</f>
        <v/>
      </c>
      <c r="L661" s="19" t="str">
        <f>IF($D661=1,INDEX(TblClusters[CPU initial (vCPU)],$B661),"")</f>
        <v/>
      </c>
      <c r="M661" s="19" t="str">
        <f>IF($D661=1,INDEX(TblClusters[RAM initiale (Go)],$B661),"")</f>
        <v/>
      </c>
      <c r="N661" s="19" t="str">
        <f>IF($D661=1,INDEX(TblClusters[CPU min (vCPU)],$B661),"")</f>
        <v/>
      </c>
      <c r="O661" s="19" t="str">
        <f>IF($D661=1,INDEX(TblClusters[RAM min (Go)],$B661),"")</f>
        <v/>
      </c>
      <c r="P661" s="19" t="str">
        <f>IF($D661&lt;&gt;1,"",IF($G661="ROKS",SUMIFS(TblApplications[Besoin ROKS CPU (vCPU)],TblApplications[Cluster ROKS cible],$F661,TblApplications[Action],"À migrer",TblApplications[Déjà incluse ROKS],"Non",TblApplications[Mois prov (calc)],"&lt;="&amp;$E661),SUMIFS(TblApplications[CPU IKS libérable (vCPU)],TblApplications[Cluster IKS source],$F661,TblApplications[Mois lib (calc)],"&lt;="&amp;$E661)))</f>
        <v/>
      </c>
      <c r="Q661" s="19" t="str">
        <f>IF($D661&lt;&gt;1,"",IF($G661="ROKS",SUMIFS(TblApplications[Besoin ROKS RAM (Go)],TblApplications[Cluster ROKS cible],$F661,TblApplications[Action],"À migrer",TblApplications[Déjà incluse ROKS],"Non",TblApplications[Mois prov (calc)],"&lt;="&amp;$E661),SUMIFS(TblApplications[RAM IKS libérable (Go)],TblApplications[Cluster IKS source],$F661,TblApplications[Mois lib (calc)],"&lt;="&amp;$E661)))</f>
        <v/>
      </c>
      <c r="R661" s="19" t="str">
        <f t="shared" si="173"/>
        <v/>
      </c>
      <c r="S661" s="19" t="str">
        <f t="shared" si="174"/>
        <v/>
      </c>
      <c r="T661" s="19" t="str">
        <f t="shared" si="175"/>
        <v/>
      </c>
      <c r="U661" s="19" t="str">
        <f t="shared" si="176"/>
        <v/>
      </c>
      <c r="V661" s="19" t="str">
        <f t="shared" si="177"/>
        <v/>
      </c>
      <c r="W661" s="73" t="str">
        <f t="shared" si="178"/>
        <v/>
      </c>
      <c r="X661" s="19" t="str">
        <f>IF($D661&lt;&gt;1,"",IF($G661="ROKS",$R661,IF($AI661=1,0,MAX($N661,$L661-SUMIFS(TblApplications[CPU IKS libérable (vCPU)],TblApplications[Cluster IKS source],$F661,TblApplications[Action],"À migrer",TblApplications[Mois prov (calc)],"&lt;="&amp;$E661)-SUMIFS(TblApplications[CPU IKS libérable (vCPU)],TblApplications[Cluster IKS source],$F661,TblApplications[Action],"À décommissionner",TblApplications[Mois lib (calc)],"&lt;="&amp;$E661)))))</f>
        <v/>
      </c>
      <c r="Y661" s="19" t="str">
        <f>IF($D661&lt;&gt;1,"",IF($G661="ROKS",$S661,IF($AI661=1,0,MAX($O661,$M661-SUMIFS(TblApplications[RAM IKS libérable (Go)],TblApplications[Cluster IKS source],$F661,TblApplications[Action],"À migrer",TblApplications[Mois prov (calc)],"&lt;="&amp;$E661)-SUMIFS(TblApplications[RAM IKS libérable (Go)],TblApplications[Cluster IKS source],$F661,TblApplications[Action],"À décommissionner",TblApplications[Mois lib (calc)],"&lt;="&amp;$E661)))))</f>
        <v/>
      </c>
      <c r="Z661" s="19" t="str">
        <f t="shared" si="179"/>
        <v/>
      </c>
      <c r="AA661" s="73" t="str">
        <f t="shared" si="180"/>
        <v/>
      </c>
      <c r="AB661" s="19" t="str">
        <f t="shared" si="181"/>
        <v/>
      </c>
      <c r="AC661" s="73" t="str">
        <f t="shared" si="182"/>
        <v/>
      </c>
      <c r="AD661" s="19" t="str">
        <f t="shared" si="183"/>
        <v/>
      </c>
      <c r="AE661" s="19" t="str">
        <f t="shared" si="184"/>
        <v/>
      </c>
      <c r="AF661" s="19" t="str">
        <f>IF($D661&lt;&gt;1,"",IF(INDEX(TblClusters[Environnement],$B661)="","(vide)",INDEX(TblClusters[Environnement],$B661)))</f>
        <v/>
      </c>
      <c r="AG661" s="19" t="str">
        <f t="shared" si="185"/>
        <v/>
      </c>
      <c r="AH661" s="19" t="str">
        <f t="shared" si="186"/>
        <v/>
      </c>
      <c r="AI661" s="19" t="str">
        <f>IF($D661&lt;&gt;1,"",IF(AND($G661="IKS",ISNUMBER(INDEX(TblClusters[Fermeture retenue],$B661))),IF($E661&gt;=INDEX(TblClusters[Fermeture retenue],$B661),1,0),0))</f>
        <v/>
      </c>
    </row>
    <row r="662" spans="1:35" x14ac:dyDescent="0.2">
      <c r="A662" s="19">
        <v>657</v>
      </c>
      <c r="B662" s="19">
        <f t="shared" si="170"/>
        <v>19</v>
      </c>
      <c r="C662" s="19">
        <f t="shared" si="171"/>
        <v>9</v>
      </c>
      <c r="D662" s="19">
        <f>IF($C662&gt;p_horizon,0,IFERROR(IF(AND(INDEX(TblClusters[Cluster],$B662)&lt;&gt;"",ISNUMBER(INDEX(TblClusters[CPU initial (vCPU)],$B662)),ISNUMBER(INDEX(TblClusters[CPU min (vCPU)],$B662)),OR(INDEX(TblClusters[Plateforme],$B662)="IKS",INDEX(TblClusters[Plateforme],$B662)="ROKS")),1,0),0))</f>
        <v>0</v>
      </c>
      <c r="E662" s="72" t="str">
        <f t="shared" si="172"/>
        <v/>
      </c>
      <c r="F662" s="19" t="str">
        <f>IF($D662=1,INDEX(TblClusters[Cluster],$B662),"")</f>
        <v/>
      </c>
      <c r="G662" s="19" t="str">
        <f>IF($D662=1,INDEX(TblClusters[Plateforme],$B662),"")</f>
        <v/>
      </c>
      <c r="H662" s="19" t="str">
        <f>IF($D662=1,INDEX(TblClusters[vCPU par nœud],$B662),"")</f>
        <v/>
      </c>
      <c r="I662" s="19" t="str">
        <f>IF($D662=1,INDEX(TblClusters[RAM par nœud (Go)],$B662),"")</f>
        <v/>
      </c>
      <c r="J662" s="19" t="str">
        <f>IF($D662=1,INDEX(TblClusters[Workers min],$B662),"")</f>
        <v/>
      </c>
      <c r="K662" s="73" t="str">
        <f>IF($D662=1,INDEX(TblClusters[Tarif par nœud],$B662),"")</f>
        <v/>
      </c>
      <c r="L662" s="19" t="str">
        <f>IF($D662=1,INDEX(TblClusters[CPU initial (vCPU)],$B662),"")</f>
        <v/>
      </c>
      <c r="M662" s="19" t="str">
        <f>IF($D662=1,INDEX(TblClusters[RAM initiale (Go)],$B662),"")</f>
        <v/>
      </c>
      <c r="N662" s="19" t="str">
        <f>IF($D662=1,INDEX(TblClusters[CPU min (vCPU)],$B662),"")</f>
        <v/>
      </c>
      <c r="O662" s="19" t="str">
        <f>IF($D662=1,INDEX(TblClusters[RAM min (Go)],$B662),"")</f>
        <v/>
      </c>
      <c r="P662" s="19" t="str">
        <f>IF($D662&lt;&gt;1,"",IF($G662="ROKS",SUMIFS(TblApplications[Besoin ROKS CPU (vCPU)],TblApplications[Cluster ROKS cible],$F662,TblApplications[Action],"À migrer",TblApplications[Déjà incluse ROKS],"Non",TblApplications[Mois prov (calc)],"&lt;="&amp;$E662),SUMIFS(TblApplications[CPU IKS libérable (vCPU)],TblApplications[Cluster IKS source],$F662,TblApplications[Mois lib (calc)],"&lt;="&amp;$E662)))</f>
        <v/>
      </c>
      <c r="Q662" s="19" t="str">
        <f>IF($D662&lt;&gt;1,"",IF($G662="ROKS",SUMIFS(TblApplications[Besoin ROKS RAM (Go)],TblApplications[Cluster ROKS cible],$F662,TblApplications[Action],"À migrer",TblApplications[Déjà incluse ROKS],"Non",TblApplications[Mois prov (calc)],"&lt;="&amp;$E662),SUMIFS(TblApplications[RAM IKS libérable (Go)],TblApplications[Cluster IKS source],$F662,TblApplications[Mois lib (calc)],"&lt;="&amp;$E662)))</f>
        <v/>
      </c>
      <c r="R662" s="19" t="str">
        <f t="shared" si="173"/>
        <v/>
      </c>
      <c r="S662" s="19" t="str">
        <f t="shared" si="174"/>
        <v/>
      </c>
      <c r="T662" s="19" t="str">
        <f t="shared" si="175"/>
        <v/>
      </c>
      <c r="U662" s="19" t="str">
        <f t="shared" si="176"/>
        <v/>
      </c>
      <c r="V662" s="19" t="str">
        <f t="shared" si="177"/>
        <v/>
      </c>
      <c r="W662" s="73" t="str">
        <f t="shared" si="178"/>
        <v/>
      </c>
      <c r="X662" s="19" t="str">
        <f>IF($D662&lt;&gt;1,"",IF($G662="ROKS",$R662,IF($AI662=1,0,MAX($N662,$L662-SUMIFS(TblApplications[CPU IKS libérable (vCPU)],TblApplications[Cluster IKS source],$F662,TblApplications[Action],"À migrer",TblApplications[Mois prov (calc)],"&lt;="&amp;$E662)-SUMIFS(TblApplications[CPU IKS libérable (vCPU)],TblApplications[Cluster IKS source],$F662,TblApplications[Action],"À décommissionner",TblApplications[Mois lib (calc)],"&lt;="&amp;$E662)))))</f>
        <v/>
      </c>
      <c r="Y662" s="19" t="str">
        <f>IF($D662&lt;&gt;1,"",IF($G662="ROKS",$S662,IF($AI662=1,0,MAX($O662,$M662-SUMIFS(TblApplications[RAM IKS libérable (Go)],TblApplications[Cluster IKS source],$F662,TblApplications[Action],"À migrer",TblApplications[Mois prov (calc)],"&lt;="&amp;$E662)-SUMIFS(TblApplications[RAM IKS libérable (Go)],TblApplications[Cluster IKS source],$F662,TblApplications[Action],"À décommissionner",TblApplications[Mois lib (calc)],"&lt;="&amp;$E662)))))</f>
        <v/>
      </c>
      <c r="Z662" s="19" t="str">
        <f t="shared" si="179"/>
        <v/>
      </c>
      <c r="AA662" s="73" t="str">
        <f t="shared" si="180"/>
        <v/>
      </c>
      <c r="AB662" s="19" t="str">
        <f t="shared" si="181"/>
        <v/>
      </c>
      <c r="AC662" s="73" t="str">
        <f t="shared" si="182"/>
        <v/>
      </c>
      <c r="AD662" s="19" t="str">
        <f t="shared" si="183"/>
        <v/>
      </c>
      <c r="AE662" s="19" t="str">
        <f t="shared" si="184"/>
        <v/>
      </c>
      <c r="AF662" s="19" t="str">
        <f>IF($D662&lt;&gt;1,"",IF(INDEX(TblClusters[Environnement],$B662)="","(vide)",INDEX(TblClusters[Environnement],$B662)))</f>
        <v/>
      </c>
      <c r="AG662" s="19" t="str">
        <f t="shared" si="185"/>
        <v/>
      </c>
      <c r="AH662" s="19" t="str">
        <f t="shared" si="186"/>
        <v/>
      </c>
      <c r="AI662" s="19" t="str">
        <f>IF($D662&lt;&gt;1,"",IF(AND($G662="IKS",ISNUMBER(INDEX(TblClusters[Fermeture retenue],$B662))),IF($E662&gt;=INDEX(TblClusters[Fermeture retenue],$B662),1,0),0))</f>
        <v/>
      </c>
    </row>
    <row r="663" spans="1:35" x14ac:dyDescent="0.2">
      <c r="A663" s="19">
        <v>658</v>
      </c>
      <c r="B663" s="19">
        <f t="shared" si="170"/>
        <v>19</v>
      </c>
      <c r="C663" s="19">
        <f t="shared" si="171"/>
        <v>10</v>
      </c>
      <c r="D663" s="19">
        <f>IF($C663&gt;p_horizon,0,IFERROR(IF(AND(INDEX(TblClusters[Cluster],$B663)&lt;&gt;"",ISNUMBER(INDEX(TblClusters[CPU initial (vCPU)],$B663)),ISNUMBER(INDEX(TblClusters[CPU min (vCPU)],$B663)),OR(INDEX(TblClusters[Plateforme],$B663)="IKS",INDEX(TblClusters[Plateforme],$B663)="ROKS")),1,0),0))</f>
        <v>0</v>
      </c>
      <c r="E663" s="72" t="str">
        <f t="shared" si="172"/>
        <v/>
      </c>
      <c r="F663" s="19" t="str">
        <f>IF($D663=1,INDEX(TblClusters[Cluster],$B663),"")</f>
        <v/>
      </c>
      <c r="G663" s="19" t="str">
        <f>IF($D663=1,INDEX(TblClusters[Plateforme],$B663),"")</f>
        <v/>
      </c>
      <c r="H663" s="19" t="str">
        <f>IF($D663=1,INDEX(TblClusters[vCPU par nœud],$B663),"")</f>
        <v/>
      </c>
      <c r="I663" s="19" t="str">
        <f>IF($D663=1,INDEX(TblClusters[RAM par nœud (Go)],$B663),"")</f>
        <v/>
      </c>
      <c r="J663" s="19" t="str">
        <f>IF($D663=1,INDEX(TblClusters[Workers min],$B663),"")</f>
        <v/>
      </c>
      <c r="K663" s="73" t="str">
        <f>IF($D663=1,INDEX(TblClusters[Tarif par nœud],$B663),"")</f>
        <v/>
      </c>
      <c r="L663" s="19" t="str">
        <f>IF($D663=1,INDEX(TblClusters[CPU initial (vCPU)],$B663),"")</f>
        <v/>
      </c>
      <c r="M663" s="19" t="str">
        <f>IF($D663=1,INDEX(TblClusters[RAM initiale (Go)],$B663),"")</f>
        <v/>
      </c>
      <c r="N663" s="19" t="str">
        <f>IF($D663=1,INDEX(TblClusters[CPU min (vCPU)],$B663),"")</f>
        <v/>
      </c>
      <c r="O663" s="19" t="str">
        <f>IF($D663=1,INDEX(TblClusters[RAM min (Go)],$B663),"")</f>
        <v/>
      </c>
      <c r="P663" s="19" t="str">
        <f>IF($D663&lt;&gt;1,"",IF($G663="ROKS",SUMIFS(TblApplications[Besoin ROKS CPU (vCPU)],TblApplications[Cluster ROKS cible],$F663,TblApplications[Action],"À migrer",TblApplications[Déjà incluse ROKS],"Non",TblApplications[Mois prov (calc)],"&lt;="&amp;$E663),SUMIFS(TblApplications[CPU IKS libérable (vCPU)],TblApplications[Cluster IKS source],$F663,TblApplications[Mois lib (calc)],"&lt;="&amp;$E663)))</f>
        <v/>
      </c>
      <c r="Q663" s="19" t="str">
        <f>IF($D663&lt;&gt;1,"",IF($G663="ROKS",SUMIFS(TblApplications[Besoin ROKS RAM (Go)],TblApplications[Cluster ROKS cible],$F663,TblApplications[Action],"À migrer",TblApplications[Déjà incluse ROKS],"Non",TblApplications[Mois prov (calc)],"&lt;="&amp;$E663),SUMIFS(TblApplications[RAM IKS libérable (Go)],TblApplications[Cluster IKS source],$F663,TblApplications[Mois lib (calc)],"&lt;="&amp;$E663)))</f>
        <v/>
      </c>
      <c r="R663" s="19" t="str">
        <f t="shared" si="173"/>
        <v/>
      </c>
      <c r="S663" s="19" t="str">
        <f t="shared" si="174"/>
        <v/>
      </c>
      <c r="T663" s="19" t="str">
        <f t="shared" si="175"/>
        <v/>
      </c>
      <c r="U663" s="19" t="str">
        <f t="shared" si="176"/>
        <v/>
      </c>
      <c r="V663" s="19" t="str">
        <f t="shared" si="177"/>
        <v/>
      </c>
      <c r="W663" s="73" t="str">
        <f t="shared" si="178"/>
        <v/>
      </c>
      <c r="X663" s="19" t="str">
        <f>IF($D663&lt;&gt;1,"",IF($G663="ROKS",$R663,IF($AI663=1,0,MAX($N663,$L663-SUMIFS(TblApplications[CPU IKS libérable (vCPU)],TblApplications[Cluster IKS source],$F663,TblApplications[Action],"À migrer",TblApplications[Mois prov (calc)],"&lt;="&amp;$E663)-SUMIFS(TblApplications[CPU IKS libérable (vCPU)],TblApplications[Cluster IKS source],$F663,TblApplications[Action],"À décommissionner",TblApplications[Mois lib (calc)],"&lt;="&amp;$E663)))))</f>
        <v/>
      </c>
      <c r="Y663" s="19" t="str">
        <f>IF($D663&lt;&gt;1,"",IF($G663="ROKS",$S663,IF($AI663=1,0,MAX($O663,$M663-SUMIFS(TblApplications[RAM IKS libérable (Go)],TblApplications[Cluster IKS source],$F663,TblApplications[Action],"À migrer",TblApplications[Mois prov (calc)],"&lt;="&amp;$E663)-SUMIFS(TblApplications[RAM IKS libérable (Go)],TblApplications[Cluster IKS source],$F663,TblApplications[Action],"À décommissionner",TblApplications[Mois lib (calc)],"&lt;="&amp;$E663)))))</f>
        <v/>
      </c>
      <c r="Z663" s="19" t="str">
        <f t="shared" si="179"/>
        <v/>
      </c>
      <c r="AA663" s="73" t="str">
        <f t="shared" si="180"/>
        <v/>
      </c>
      <c r="AB663" s="19" t="str">
        <f t="shared" si="181"/>
        <v/>
      </c>
      <c r="AC663" s="73" t="str">
        <f t="shared" si="182"/>
        <v/>
      </c>
      <c r="AD663" s="19" t="str">
        <f t="shared" si="183"/>
        <v/>
      </c>
      <c r="AE663" s="19" t="str">
        <f t="shared" si="184"/>
        <v/>
      </c>
      <c r="AF663" s="19" t="str">
        <f>IF($D663&lt;&gt;1,"",IF(INDEX(TblClusters[Environnement],$B663)="","(vide)",INDEX(TblClusters[Environnement],$B663)))</f>
        <v/>
      </c>
      <c r="AG663" s="19" t="str">
        <f t="shared" si="185"/>
        <v/>
      </c>
      <c r="AH663" s="19" t="str">
        <f t="shared" si="186"/>
        <v/>
      </c>
      <c r="AI663" s="19" t="str">
        <f>IF($D663&lt;&gt;1,"",IF(AND($G663="IKS",ISNUMBER(INDEX(TblClusters[Fermeture retenue],$B663))),IF($E663&gt;=INDEX(TblClusters[Fermeture retenue],$B663),1,0),0))</f>
        <v/>
      </c>
    </row>
    <row r="664" spans="1:35" x14ac:dyDescent="0.2">
      <c r="A664" s="19">
        <v>659</v>
      </c>
      <c r="B664" s="19">
        <f t="shared" si="170"/>
        <v>19</v>
      </c>
      <c r="C664" s="19">
        <f t="shared" si="171"/>
        <v>11</v>
      </c>
      <c r="D664" s="19">
        <f>IF($C664&gt;p_horizon,0,IFERROR(IF(AND(INDEX(TblClusters[Cluster],$B664)&lt;&gt;"",ISNUMBER(INDEX(TblClusters[CPU initial (vCPU)],$B664)),ISNUMBER(INDEX(TblClusters[CPU min (vCPU)],$B664)),OR(INDEX(TblClusters[Plateforme],$B664)="IKS",INDEX(TblClusters[Plateforme],$B664)="ROKS")),1,0),0))</f>
        <v>0</v>
      </c>
      <c r="E664" s="72" t="str">
        <f t="shared" si="172"/>
        <v/>
      </c>
      <c r="F664" s="19" t="str">
        <f>IF($D664=1,INDEX(TblClusters[Cluster],$B664),"")</f>
        <v/>
      </c>
      <c r="G664" s="19" t="str">
        <f>IF($D664=1,INDEX(TblClusters[Plateforme],$B664),"")</f>
        <v/>
      </c>
      <c r="H664" s="19" t="str">
        <f>IF($D664=1,INDEX(TblClusters[vCPU par nœud],$B664),"")</f>
        <v/>
      </c>
      <c r="I664" s="19" t="str">
        <f>IF($D664=1,INDEX(TblClusters[RAM par nœud (Go)],$B664),"")</f>
        <v/>
      </c>
      <c r="J664" s="19" t="str">
        <f>IF($D664=1,INDEX(TblClusters[Workers min],$B664),"")</f>
        <v/>
      </c>
      <c r="K664" s="73" t="str">
        <f>IF($D664=1,INDEX(TblClusters[Tarif par nœud],$B664),"")</f>
        <v/>
      </c>
      <c r="L664" s="19" t="str">
        <f>IF($D664=1,INDEX(TblClusters[CPU initial (vCPU)],$B664),"")</f>
        <v/>
      </c>
      <c r="M664" s="19" t="str">
        <f>IF($D664=1,INDEX(TblClusters[RAM initiale (Go)],$B664),"")</f>
        <v/>
      </c>
      <c r="N664" s="19" t="str">
        <f>IF($D664=1,INDEX(TblClusters[CPU min (vCPU)],$B664),"")</f>
        <v/>
      </c>
      <c r="O664" s="19" t="str">
        <f>IF($D664=1,INDEX(TblClusters[RAM min (Go)],$B664),"")</f>
        <v/>
      </c>
      <c r="P664" s="19" t="str">
        <f>IF($D664&lt;&gt;1,"",IF($G664="ROKS",SUMIFS(TblApplications[Besoin ROKS CPU (vCPU)],TblApplications[Cluster ROKS cible],$F664,TblApplications[Action],"À migrer",TblApplications[Déjà incluse ROKS],"Non",TblApplications[Mois prov (calc)],"&lt;="&amp;$E664),SUMIFS(TblApplications[CPU IKS libérable (vCPU)],TblApplications[Cluster IKS source],$F664,TblApplications[Mois lib (calc)],"&lt;="&amp;$E664)))</f>
        <v/>
      </c>
      <c r="Q664" s="19" t="str">
        <f>IF($D664&lt;&gt;1,"",IF($G664="ROKS",SUMIFS(TblApplications[Besoin ROKS RAM (Go)],TblApplications[Cluster ROKS cible],$F664,TblApplications[Action],"À migrer",TblApplications[Déjà incluse ROKS],"Non",TblApplications[Mois prov (calc)],"&lt;="&amp;$E664),SUMIFS(TblApplications[RAM IKS libérable (Go)],TblApplications[Cluster IKS source],$F664,TblApplications[Mois lib (calc)],"&lt;="&amp;$E664)))</f>
        <v/>
      </c>
      <c r="R664" s="19" t="str">
        <f t="shared" si="173"/>
        <v/>
      </c>
      <c r="S664" s="19" t="str">
        <f t="shared" si="174"/>
        <v/>
      </c>
      <c r="T664" s="19" t="str">
        <f t="shared" si="175"/>
        <v/>
      </c>
      <c r="U664" s="19" t="str">
        <f t="shared" si="176"/>
        <v/>
      </c>
      <c r="V664" s="19" t="str">
        <f t="shared" si="177"/>
        <v/>
      </c>
      <c r="W664" s="73" t="str">
        <f t="shared" si="178"/>
        <v/>
      </c>
      <c r="X664" s="19" t="str">
        <f>IF($D664&lt;&gt;1,"",IF($G664="ROKS",$R664,IF($AI664=1,0,MAX($N664,$L664-SUMIFS(TblApplications[CPU IKS libérable (vCPU)],TblApplications[Cluster IKS source],$F664,TblApplications[Action],"À migrer",TblApplications[Mois prov (calc)],"&lt;="&amp;$E664)-SUMIFS(TblApplications[CPU IKS libérable (vCPU)],TblApplications[Cluster IKS source],$F664,TblApplications[Action],"À décommissionner",TblApplications[Mois lib (calc)],"&lt;="&amp;$E664)))))</f>
        <v/>
      </c>
      <c r="Y664" s="19" t="str">
        <f>IF($D664&lt;&gt;1,"",IF($G664="ROKS",$S664,IF($AI664=1,0,MAX($O664,$M664-SUMIFS(TblApplications[RAM IKS libérable (Go)],TblApplications[Cluster IKS source],$F664,TblApplications[Action],"À migrer",TblApplications[Mois prov (calc)],"&lt;="&amp;$E664)-SUMIFS(TblApplications[RAM IKS libérable (Go)],TblApplications[Cluster IKS source],$F664,TblApplications[Action],"À décommissionner",TblApplications[Mois lib (calc)],"&lt;="&amp;$E664)))))</f>
        <v/>
      </c>
      <c r="Z664" s="19" t="str">
        <f t="shared" si="179"/>
        <v/>
      </c>
      <c r="AA664" s="73" t="str">
        <f t="shared" si="180"/>
        <v/>
      </c>
      <c r="AB664" s="19" t="str">
        <f t="shared" si="181"/>
        <v/>
      </c>
      <c r="AC664" s="73" t="str">
        <f t="shared" si="182"/>
        <v/>
      </c>
      <c r="AD664" s="19" t="str">
        <f t="shared" si="183"/>
        <v/>
      </c>
      <c r="AE664" s="19" t="str">
        <f t="shared" si="184"/>
        <v/>
      </c>
      <c r="AF664" s="19" t="str">
        <f>IF($D664&lt;&gt;1,"",IF(INDEX(TblClusters[Environnement],$B664)="","(vide)",INDEX(TblClusters[Environnement],$B664)))</f>
        <v/>
      </c>
      <c r="AG664" s="19" t="str">
        <f t="shared" si="185"/>
        <v/>
      </c>
      <c r="AH664" s="19" t="str">
        <f t="shared" si="186"/>
        <v/>
      </c>
      <c r="AI664" s="19" t="str">
        <f>IF($D664&lt;&gt;1,"",IF(AND($G664="IKS",ISNUMBER(INDEX(TblClusters[Fermeture retenue],$B664))),IF($E664&gt;=INDEX(TblClusters[Fermeture retenue],$B664),1,0),0))</f>
        <v/>
      </c>
    </row>
    <row r="665" spans="1:35" x14ac:dyDescent="0.2">
      <c r="A665" s="19">
        <v>660</v>
      </c>
      <c r="B665" s="19">
        <f t="shared" si="170"/>
        <v>19</v>
      </c>
      <c r="C665" s="19">
        <f t="shared" si="171"/>
        <v>12</v>
      </c>
      <c r="D665" s="19">
        <f>IF($C665&gt;p_horizon,0,IFERROR(IF(AND(INDEX(TblClusters[Cluster],$B665)&lt;&gt;"",ISNUMBER(INDEX(TblClusters[CPU initial (vCPU)],$B665)),ISNUMBER(INDEX(TblClusters[CPU min (vCPU)],$B665)),OR(INDEX(TblClusters[Plateforme],$B665)="IKS",INDEX(TblClusters[Plateforme],$B665)="ROKS")),1,0),0))</f>
        <v>0</v>
      </c>
      <c r="E665" s="72" t="str">
        <f t="shared" si="172"/>
        <v/>
      </c>
      <c r="F665" s="19" t="str">
        <f>IF($D665=1,INDEX(TblClusters[Cluster],$B665),"")</f>
        <v/>
      </c>
      <c r="G665" s="19" t="str">
        <f>IF($D665=1,INDEX(TblClusters[Plateforme],$B665),"")</f>
        <v/>
      </c>
      <c r="H665" s="19" t="str">
        <f>IF($D665=1,INDEX(TblClusters[vCPU par nœud],$B665),"")</f>
        <v/>
      </c>
      <c r="I665" s="19" t="str">
        <f>IF($D665=1,INDEX(TblClusters[RAM par nœud (Go)],$B665),"")</f>
        <v/>
      </c>
      <c r="J665" s="19" t="str">
        <f>IF($D665=1,INDEX(TblClusters[Workers min],$B665),"")</f>
        <v/>
      </c>
      <c r="K665" s="73" t="str">
        <f>IF($D665=1,INDEX(TblClusters[Tarif par nœud],$B665),"")</f>
        <v/>
      </c>
      <c r="L665" s="19" t="str">
        <f>IF($D665=1,INDEX(TblClusters[CPU initial (vCPU)],$B665),"")</f>
        <v/>
      </c>
      <c r="M665" s="19" t="str">
        <f>IF($D665=1,INDEX(TblClusters[RAM initiale (Go)],$B665),"")</f>
        <v/>
      </c>
      <c r="N665" s="19" t="str">
        <f>IF($D665=1,INDEX(TblClusters[CPU min (vCPU)],$B665),"")</f>
        <v/>
      </c>
      <c r="O665" s="19" t="str">
        <f>IF($D665=1,INDEX(TblClusters[RAM min (Go)],$B665),"")</f>
        <v/>
      </c>
      <c r="P665" s="19" t="str">
        <f>IF($D665&lt;&gt;1,"",IF($G665="ROKS",SUMIFS(TblApplications[Besoin ROKS CPU (vCPU)],TblApplications[Cluster ROKS cible],$F665,TblApplications[Action],"À migrer",TblApplications[Déjà incluse ROKS],"Non",TblApplications[Mois prov (calc)],"&lt;="&amp;$E665),SUMIFS(TblApplications[CPU IKS libérable (vCPU)],TblApplications[Cluster IKS source],$F665,TblApplications[Mois lib (calc)],"&lt;="&amp;$E665)))</f>
        <v/>
      </c>
      <c r="Q665" s="19" t="str">
        <f>IF($D665&lt;&gt;1,"",IF($G665="ROKS",SUMIFS(TblApplications[Besoin ROKS RAM (Go)],TblApplications[Cluster ROKS cible],$F665,TblApplications[Action],"À migrer",TblApplications[Déjà incluse ROKS],"Non",TblApplications[Mois prov (calc)],"&lt;="&amp;$E665),SUMIFS(TblApplications[RAM IKS libérable (Go)],TblApplications[Cluster IKS source],$F665,TblApplications[Mois lib (calc)],"&lt;="&amp;$E665)))</f>
        <v/>
      </c>
      <c r="R665" s="19" t="str">
        <f t="shared" si="173"/>
        <v/>
      </c>
      <c r="S665" s="19" t="str">
        <f t="shared" si="174"/>
        <v/>
      </c>
      <c r="T665" s="19" t="str">
        <f t="shared" si="175"/>
        <v/>
      </c>
      <c r="U665" s="19" t="str">
        <f t="shared" si="176"/>
        <v/>
      </c>
      <c r="V665" s="19" t="str">
        <f t="shared" si="177"/>
        <v/>
      </c>
      <c r="W665" s="73" t="str">
        <f t="shared" si="178"/>
        <v/>
      </c>
      <c r="X665" s="19" t="str">
        <f>IF($D665&lt;&gt;1,"",IF($G665="ROKS",$R665,IF($AI665=1,0,MAX($N665,$L665-SUMIFS(TblApplications[CPU IKS libérable (vCPU)],TblApplications[Cluster IKS source],$F665,TblApplications[Action],"À migrer",TblApplications[Mois prov (calc)],"&lt;="&amp;$E665)-SUMIFS(TblApplications[CPU IKS libérable (vCPU)],TblApplications[Cluster IKS source],$F665,TblApplications[Action],"À décommissionner",TblApplications[Mois lib (calc)],"&lt;="&amp;$E665)))))</f>
        <v/>
      </c>
      <c r="Y665" s="19" t="str">
        <f>IF($D665&lt;&gt;1,"",IF($G665="ROKS",$S665,IF($AI665=1,0,MAX($O665,$M665-SUMIFS(TblApplications[RAM IKS libérable (Go)],TblApplications[Cluster IKS source],$F665,TblApplications[Action],"À migrer",TblApplications[Mois prov (calc)],"&lt;="&amp;$E665)-SUMIFS(TblApplications[RAM IKS libérable (Go)],TblApplications[Cluster IKS source],$F665,TblApplications[Action],"À décommissionner",TblApplications[Mois lib (calc)],"&lt;="&amp;$E665)))))</f>
        <v/>
      </c>
      <c r="Z665" s="19" t="str">
        <f t="shared" si="179"/>
        <v/>
      </c>
      <c r="AA665" s="73" t="str">
        <f t="shared" si="180"/>
        <v/>
      </c>
      <c r="AB665" s="19" t="str">
        <f t="shared" si="181"/>
        <v/>
      </c>
      <c r="AC665" s="73" t="str">
        <f t="shared" si="182"/>
        <v/>
      </c>
      <c r="AD665" s="19" t="str">
        <f t="shared" si="183"/>
        <v/>
      </c>
      <c r="AE665" s="19" t="str">
        <f t="shared" si="184"/>
        <v/>
      </c>
      <c r="AF665" s="19" t="str">
        <f>IF($D665&lt;&gt;1,"",IF(INDEX(TblClusters[Environnement],$B665)="","(vide)",INDEX(TblClusters[Environnement],$B665)))</f>
        <v/>
      </c>
      <c r="AG665" s="19" t="str">
        <f t="shared" si="185"/>
        <v/>
      </c>
      <c r="AH665" s="19" t="str">
        <f t="shared" si="186"/>
        <v/>
      </c>
      <c r="AI665" s="19" t="str">
        <f>IF($D665&lt;&gt;1,"",IF(AND($G665="IKS",ISNUMBER(INDEX(TblClusters[Fermeture retenue],$B665))),IF($E665&gt;=INDEX(TblClusters[Fermeture retenue],$B665),1,0),0))</f>
        <v/>
      </c>
    </row>
    <row r="666" spans="1:35" x14ac:dyDescent="0.2">
      <c r="A666" s="19">
        <v>661</v>
      </c>
      <c r="B666" s="19">
        <f t="shared" si="170"/>
        <v>19</v>
      </c>
      <c r="C666" s="19">
        <f t="shared" si="171"/>
        <v>13</v>
      </c>
      <c r="D666" s="19">
        <f>IF($C666&gt;p_horizon,0,IFERROR(IF(AND(INDEX(TblClusters[Cluster],$B666)&lt;&gt;"",ISNUMBER(INDEX(TblClusters[CPU initial (vCPU)],$B666)),ISNUMBER(INDEX(TblClusters[CPU min (vCPU)],$B666)),OR(INDEX(TblClusters[Plateforme],$B666)="IKS",INDEX(TblClusters[Plateforme],$B666)="ROKS")),1,0),0))</f>
        <v>0</v>
      </c>
      <c r="E666" s="72" t="str">
        <f t="shared" si="172"/>
        <v/>
      </c>
      <c r="F666" s="19" t="str">
        <f>IF($D666=1,INDEX(TblClusters[Cluster],$B666),"")</f>
        <v/>
      </c>
      <c r="G666" s="19" t="str">
        <f>IF($D666=1,INDEX(TblClusters[Plateforme],$B666),"")</f>
        <v/>
      </c>
      <c r="H666" s="19" t="str">
        <f>IF($D666=1,INDEX(TblClusters[vCPU par nœud],$B666),"")</f>
        <v/>
      </c>
      <c r="I666" s="19" t="str">
        <f>IF($D666=1,INDEX(TblClusters[RAM par nœud (Go)],$B666),"")</f>
        <v/>
      </c>
      <c r="J666" s="19" t="str">
        <f>IF($D666=1,INDEX(TblClusters[Workers min],$B666),"")</f>
        <v/>
      </c>
      <c r="K666" s="73" t="str">
        <f>IF($D666=1,INDEX(TblClusters[Tarif par nœud],$B666),"")</f>
        <v/>
      </c>
      <c r="L666" s="19" t="str">
        <f>IF($D666=1,INDEX(TblClusters[CPU initial (vCPU)],$B666),"")</f>
        <v/>
      </c>
      <c r="M666" s="19" t="str">
        <f>IF($D666=1,INDEX(TblClusters[RAM initiale (Go)],$B666),"")</f>
        <v/>
      </c>
      <c r="N666" s="19" t="str">
        <f>IF($D666=1,INDEX(TblClusters[CPU min (vCPU)],$B666),"")</f>
        <v/>
      </c>
      <c r="O666" s="19" t="str">
        <f>IF($D666=1,INDEX(TblClusters[RAM min (Go)],$B666),"")</f>
        <v/>
      </c>
      <c r="P666" s="19" t="str">
        <f>IF($D666&lt;&gt;1,"",IF($G666="ROKS",SUMIFS(TblApplications[Besoin ROKS CPU (vCPU)],TblApplications[Cluster ROKS cible],$F666,TblApplications[Action],"À migrer",TblApplications[Déjà incluse ROKS],"Non",TblApplications[Mois prov (calc)],"&lt;="&amp;$E666),SUMIFS(TblApplications[CPU IKS libérable (vCPU)],TblApplications[Cluster IKS source],$F666,TblApplications[Mois lib (calc)],"&lt;="&amp;$E666)))</f>
        <v/>
      </c>
      <c r="Q666" s="19" t="str">
        <f>IF($D666&lt;&gt;1,"",IF($G666="ROKS",SUMIFS(TblApplications[Besoin ROKS RAM (Go)],TblApplications[Cluster ROKS cible],$F666,TblApplications[Action],"À migrer",TblApplications[Déjà incluse ROKS],"Non",TblApplications[Mois prov (calc)],"&lt;="&amp;$E666),SUMIFS(TblApplications[RAM IKS libérable (Go)],TblApplications[Cluster IKS source],$F666,TblApplications[Mois lib (calc)],"&lt;="&amp;$E666)))</f>
        <v/>
      </c>
      <c r="R666" s="19" t="str">
        <f t="shared" si="173"/>
        <v/>
      </c>
      <c r="S666" s="19" t="str">
        <f t="shared" si="174"/>
        <v/>
      </c>
      <c r="T666" s="19" t="str">
        <f t="shared" si="175"/>
        <v/>
      </c>
      <c r="U666" s="19" t="str">
        <f t="shared" si="176"/>
        <v/>
      </c>
      <c r="V666" s="19" t="str">
        <f t="shared" si="177"/>
        <v/>
      </c>
      <c r="W666" s="73" t="str">
        <f t="shared" si="178"/>
        <v/>
      </c>
      <c r="X666" s="19" t="str">
        <f>IF($D666&lt;&gt;1,"",IF($G666="ROKS",$R666,IF($AI666=1,0,MAX($N666,$L666-SUMIFS(TblApplications[CPU IKS libérable (vCPU)],TblApplications[Cluster IKS source],$F666,TblApplications[Action],"À migrer",TblApplications[Mois prov (calc)],"&lt;="&amp;$E666)-SUMIFS(TblApplications[CPU IKS libérable (vCPU)],TblApplications[Cluster IKS source],$F666,TblApplications[Action],"À décommissionner",TblApplications[Mois lib (calc)],"&lt;="&amp;$E666)))))</f>
        <v/>
      </c>
      <c r="Y666" s="19" t="str">
        <f>IF($D666&lt;&gt;1,"",IF($G666="ROKS",$S666,IF($AI666=1,0,MAX($O666,$M666-SUMIFS(TblApplications[RAM IKS libérable (Go)],TblApplications[Cluster IKS source],$F666,TblApplications[Action],"À migrer",TblApplications[Mois prov (calc)],"&lt;="&amp;$E666)-SUMIFS(TblApplications[RAM IKS libérable (Go)],TblApplications[Cluster IKS source],$F666,TblApplications[Action],"À décommissionner",TblApplications[Mois lib (calc)],"&lt;="&amp;$E666)))))</f>
        <v/>
      </c>
      <c r="Z666" s="19" t="str">
        <f t="shared" si="179"/>
        <v/>
      </c>
      <c r="AA666" s="73" t="str">
        <f t="shared" si="180"/>
        <v/>
      </c>
      <c r="AB666" s="19" t="str">
        <f t="shared" si="181"/>
        <v/>
      </c>
      <c r="AC666" s="73" t="str">
        <f t="shared" si="182"/>
        <v/>
      </c>
      <c r="AD666" s="19" t="str">
        <f t="shared" si="183"/>
        <v/>
      </c>
      <c r="AE666" s="19" t="str">
        <f t="shared" si="184"/>
        <v/>
      </c>
      <c r="AF666" s="19" t="str">
        <f>IF($D666&lt;&gt;1,"",IF(INDEX(TblClusters[Environnement],$B666)="","(vide)",INDEX(TblClusters[Environnement],$B666)))</f>
        <v/>
      </c>
      <c r="AG666" s="19" t="str">
        <f t="shared" si="185"/>
        <v/>
      </c>
      <c r="AH666" s="19" t="str">
        <f t="shared" si="186"/>
        <v/>
      </c>
      <c r="AI666" s="19" t="str">
        <f>IF($D666&lt;&gt;1,"",IF(AND($G666="IKS",ISNUMBER(INDEX(TblClusters[Fermeture retenue],$B666))),IF($E666&gt;=INDEX(TblClusters[Fermeture retenue],$B666),1,0),0))</f>
        <v/>
      </c>
    </row>
    <row r="667" spans="1:35" x14ac:dyDescent="0.2">
      <c r="A667" s="19">
        <v>662</v>
      </c>
      <c r="B667" s="19">
        <f t="shared" si="170"/>
        <v>19</v>
      </c>
      <c r="C667" s="19">
        <f t="shared" si="171"/>
        <v>14</v>
      </c>
      <c r="D667" s="19">
        <f>IF($C667&gt;p_horizon,0,IFERROR(IF(AND(INDEX(TblClusters[Cluster],$B667)&lt;&gt;"",ISNUMBER(INDEX(TblClusters[CPU initial (vCPU)],$B667)),ISNUMBER(INDEX(TblClusters[CPU min (vCPU)],$B667)),OR(INDEX(TblClusters[Plateforme],$B667)="IKS",INDEX(TblClusters[Plateforme],$B667)="ROKS")),1,0),0))</f>
        <v>0</v>
      </c>
      <c r="E667" s="72" t="str">
        <f t="shared" si="172"/>
        <v/>
      </c>
      <c r="F667" s="19" t="str">
        <f>IF($D667=1,INDEX(TblClusters[Cluster],$B667),"")</f>
        <v/>
      </c>
      <c r="G667" s="19" t="str">
        <f>IF($D667=1,INDEX(TblClusters[Plateforme],$B667),"")</f>
        <v/>
      </c>
      <c r="H667" s="19" t="str">
        <f>IF($D667=1,INDEX(TblClusters[vCPU par nœud],$B667),"")</f>
        <v/>
      </c>
      <c r="I667" s="19" t="str">
        <f>IF($D667=1,INDEX(TblClusters[RAM par nœud (Go)],$B667),"")</f>
        <v/>
      </c>
      <c r="J667" s="19" t="str">
        <f>IF($D667=1,INDEX(TblClusters[Workers min],$B667),"")</f>
        <v/>
      </c>
      <c r="K667" s="73" t="str">
        <f>IF($D667=1,INDEX(TblClusters[Tarif par nœud],$B667),"")</f>
        <v/>
      </c>
      <c r="L667" s="19" t="str">
        <f>IF($D667=1,INDEX(TblClusters[CPU initial (vCPU)],$B667),"")</f>
        <v/>
      </c>
      <c r="M667" s="19" t="str">
        <f>IF($D667=1,INDEX(TblClusters[RAM initiale (Go)],$B667),"")</f>
        <v/>
      </c>
      <c r="N667" s="19" t="str">
        <f>IF($D667=1,INDEX(TblClusters[CPU min (vCPU)],$B667),"")</f>
        <v/>
      </c>
      <c r="O667" s="19" t="str">
        <f>IF($D667=1,INDEX(TblClusters[RAM min (Go)],$B667),"")</f>
        <v/>
      </c>
      <c r="P667" s="19" t="str">
        <f>IF($D667&lt;&gt;1,"",IF($G667="ROKS",SUMIFS(TblApplications[Besoin ROKS CPU (vCPU)],TblApplications[Cluster ROKS cible],$F667,TblApplications[Action],"À migrer",TblApplications[Déjà incluse ROKS],"Non",TblApplications[Mois prov (calc)],"&lt;="&amp;$E667),SUMIFS(TblApplications[CPU IKS libérable (vCPU)],TblApplications[Cluster IKS source],$F667,TblApplications[Mois lib (calc)],"&lt;="&amp;$E667)))</f>
        <v/>
      </c>
      <c r="Q667" s="19" t="str">
        <f>IF($D667&lt;&gt;1,"",IF($G667="ROKS",SUMIFS(TblApplications[Besoin ROKS RAM (Go)],TblApplications[Cluster ROKS cible],$F667,TblApplications[Action],"À migrer",TblApplications[Déjà incluse ROKS],"Non",TblApplications[Mois prov (calc)],"&lt;="&amp;$E667),SUMIFS(TblApplications[RAM IKS libérable (Go)],TblApplications[Cluster IKS source],$F667,TblApplications[Mois lib (calc)],"&lt;="&amp;$E667)))</f>
        <v/>
      </c>
      <c r="R667" s="19" t="str">
        <f t="shared" si="173"/>
        <v/>
      </c>
      <c r="S667" s="19" t="str">
        <f t="shared" si="174"/>
        <v/>
      </c>
      <c r="T667" s="19" t="str">
        <f t="shared" si="175"/>
        <v/>
      </c>
      <c r="U667" s="19" t="str">
        <f t="shared" si="176"/>
        <v/>
      </c>
      <c r="V667" s="19" t="str">
        <f t="shared" si="177"/>
        <v/>
      </c>
      <c r="W667" s="73" t="str">
        <f t="shared" si="178"/>
        <v/>
      </c>
      <c r="X667" s="19" t="str">
        <f>IF($D667&lt;&gt;1,"",IF($G667="ROKS",$R667,IF($AI667=1,0,MAX($N667,$L667-SUMIFS(TblApplications[CPU IKS libérable (vCPU)],TblApplications[Cluster IKS source],$F667,TblApplications[Action],"À migrer",TblApplications[Mois prov (calc)],"&lt;="&amp;$E667)-SUMIFS(TblApplications[CPU IKS libérable (vCPU)],TblApplications[Cluster IKS source],$F667,TblApplications[Action],"À décommissionner",TblApplications[Mois lib (calc)],"&lt;="&amp;$E667)))))</f>
        <v/>
      </c>
      <c r="Y667" s="19" t="str">
        <f>IF($D667&lt;&gt;1,"",IF($G667="ROKS",$S667,IF($AI667=1,0,MAX($O667,$M667-SUMIFS(TblApplications[RAM IKS libérable (Go)],TblApplications[Cluster IKS source],$F667,TblApplications[Action],"À migrer",TblApplications[Mois prov (calc)],"&lt;="&amp;$E667)-SUMIFS(TblApplications[RAM IKS libérable (Go)],TblApplications[Cluster IKS source],$F667,TblApplications[Action],"À décommissionner",TblApplications[Mois lib (calc)],"&lt;="&amp;$E667)))))</f>
        <v/>
      </c>
      <c r="Z667" s="19" t="str">
        <f t="shared" si="179"/>
        <v/>
      </c>
      <c r="AA667" s="73" t="str">
        <f t="shared" si="180"/>
        <v/>
      </c>
      <c r="AB667" s="19" t="str">
        <f t="shared" si="181"/>
        <v/>
      </c>
      <c r="AC667" s="73" t="str">
        <f t="shared" si="182"/>
        <v/>
      </c>
      <c r="AD667" s="19" t="str">
        <f t="shared" si="183"/>
        <v/>
      </c>
      <c r="AE667" s="19" t="str">
        <f t="shared" si="184"/>
        <v/>
      </c>
      <c r="AF667" s="19" t="str">
        <f>IF($D667&lt;&gt;1,"",IF(INDEX(TblClusters[Environnement],$B667)="","(vide)",INDEX(TblClusters[Environnement],$B667)))</f>
        <v/>
      </c>
      <c r="AG667" s="19" t="str">
        <f t="shared" si="185"/>
        <v/>
      </c>
      <c r="AH667" s="19" t="str">
        <f t="shared" si="186"/>
        <v/>
      </c>
      <c r="AI667" s="19" t="str">
        <f>IF($D667&lt;&gt;1,"",IF(AND($G667="IKS",ISNUMBER(INDEX(TblClusters[Fermeture retenue],$B667))),IF($E667&gt;=INDEX(TblClusters[Fermeture retenue],$B667),1,0),0))</f>
        <v/>
      </c>
    </row>
    <row r="668" spans="1:35" x14ac:dyDescent="0.2">
      <c r="A668" s="19">
        <v>663</v>
      </c>
      <c r="B668" s="19">
        <f t="shared" si="170"/>
        <v>19</v>
      </c>
      <c r="C668" s="19">
        <f t="shared" si="171"/>
        <v>15</v>
      </c>
      <c r="D668" s="19">
        <f>IF($C668&gt;p_horizon,0,IFERROR(IF(AND(INDEX(TblClusters[Cluster],$B668)&lt;&gt;"",ISNUMBER(INDEX(TblClusters[CPU initial (vCPU)],$B668)),ISNUMBER(INDEX(TblClusters[CPU min (vCPU)],$B668)),OR(INDEX(TblClusters[Plateforme],$B668)="IKS",INDEX(TblClusters[Plateforme],$B668)="ROKS")),1,0),0))</f>
        <v>0</v>
      </c>
      <c r="E668" s="72" t="str">
        <f t="shared" si="172"/>
        <v/>
      </c>
      <c r="F668" s="19" t="str">
        <f>IF($D668=1,INDEX(TblClusters[Cluster],$B668),"")</f>
        <v/>
      </c>
      <c r="G668" s="19" t="str">
        <f>IF($D668=1,INDEX(TblClusters[Plateforme],$B668),"")</f>
        <v/>
      </c>
      <c r="H668" s="19" t="str">
        <f>IF($D668=1,INDEX(TblClusters[vCPU par nœud],$B668),"")</f>
        <v/>
      </c>
      <c r="I668" s="19" t="str">
        <f>IF($D668=1,INDEX(TblClusters[RAM par nœud (Go)],$B668),"")</f>
        <v/>
      </c>
      <c r="J668" s="19" t="str">
        <f>IF($D668=1,INDEX(TblClusters[Workers min],$B668),"")</f>
        <v/>
      </c>
      <c r="K668" s="73" t="str">
        <f>IF($D668=1,INDEX(TblClusters[Tarif par nœud],$B668),"")</f>
        <v/>
      </c>
      <c r="L668" s="19" t="str">
        <f>IF($D668=1,INDEX(TblClusters[CPU initial (vCPU)],$B668),"")</f>
        <v/>
      </c>
      <c r="M668" s="19" t="str">
        <f>IF($D668=1,INDEX(TblClusters[RAM initiale (Go)],$B668),"")</f>
        <v/>
      </c>
      <c r="N668" s="19" t="str">
        <f>IF($D668=1,INDEX(TblClusters[CPU min (vCPU)],$B668),"")</f>
        <v/>
      </c>
      <c r="O668" s="19" t="str">
        <f>IF($D668=1,INDEX(TblClusters[RAM min (Go)],$B668),"")</f>
        <v/>
      </c>
      <c r="P668" s="19" t="str">
        <f>IF($D668&lt;&gt;1,"",IF($G668="ROKS",SUMIFS(TblApplications[Besoin ROKS CPU (vCPU)],TblApplications[Cluster ROKS cible],$F668,TblApplications[Action],"À migrer",TblApplications[Déjà incluse ROKS],"Non",TblApplications[Mois prov (calc)],"&lt;="&amp;$E668),SUMIFS(TblApplications[CPU IKS libérable (vCPU)],TblApplications[Cluster IKS source],$F668,TblApplications[Mois lib (calc)],"&lt;="&amp;$E668)))</f>
        <v/>
      </c>
      <c r="Q668" s="19" t="str">
        <f>IF($D668&lt;&gt;1,"",IF($G668="ROKS",SUMIFS(TblApplications[Besoin ROKS RAM (Go)],TblApplications[Cluster ROKS cible],$F668,TblApplications[Action],"À migrer",TblApplications[Déjà incluse ROKS],"Non",TblApplications[Mois prov (calc)],"&lt;="&amp;$E668),SUMIFS(TblApplications[RAM IKS libérable (Go)],TblApplications[Cluster IKS source],$F668,TblApplications[Mois lib (calc)],"&lt;="&amp;$E668)))</f>
        <v/>
      </c>
      <c r="R668" s="19" t="str">
        <f t="shared" si="173"/>
        <v/>
      </c>
      <c r="S668" s="19" t="str">
        <f t="shared" si="174"/>
        <v/>
      </c>
      <c r="T668" s="19" t="str">
        <f t="shared" si="175"/>
        <v/>
      </c>
      <c r="U668" s="19" t="str">
        <f t="shared" si="176"/>
        <v/>
      </c>
      <c r="V668" s="19" t="str">
        <f t="shared" si="177"/>
        <v/>
      </c>
      <c r="W668" s="73" t="str">
        <f t="shared" si="178"/>
        <v/>
      </c>
      <c r="X668" s="19" t="str">
        <f>IF($D668&lt;&gt;1,"",IF($G668="ROKS",$R668,IF($AI668=1,0,MAX($N668,$L668-SUMIFS(TblApplications[CPU IKS libérable (vCPU)],TblApplications[Cluster IKS source],$F668,TblApplications[Action],"À migrer",TblApplications[Mois prov (calc)],"&lt;="&amp;$E668)-SUMIFS(TblApplications[CPU IKS libérable (vCPU)],TblApplications[Cluster IKS source],$F668,TblApplications[Action],"À décommissionner",TblApplications[Mois lib (calc)],"&lt;="&amp;$E668)))))</f>
        <v/>
      </c>
      <c r="Y668" s="19" t="str">
        <f>IF($D668&lt;&gt;1,"",IF($G668="ROKS",$S668,IF($AI668=1,0,MAX($O668,$M668-SUMIFS(TblApplications[RAM IKS libérable (Go)],TblApplications[Cluster IKS source],$F668,TblApplications[Action],"À migrer",TblApplications[Mois prov (calc)],"&lt;="&amp;$E668)-SUMIFS(TblApplications[RAM IKS libérable (Go)],TblApplications[Cluster IKS source],$F668,TblApplications[Action],"À décommissionner",TblApplications[Mois lib (calc)],"&lt;="&amp;$E668)))))</f>
        <v/>
      </c>
      <c r="Z668" s="19" t="str">
        <f t="shared" si="179"/>
        <v/>
      </c>
      <c r="AA668" s="73" t="str">
        <f t="shared" si="180"/>
        <v/>
      </c>
      <c r="AB668" s="19" t="str">
        <f t="shared" si="181"/>
        <v/>
      </c>
      <c r="AC668" s="73" t="str">
        <f t="shared" si="182"/>
        <v/>
      </c>
      <c r="AD668" s="19" t="str">
        <f t="shared" si="183"/>
        <v/>
      </c>
      <c r="AE668" s="19" t="str">
        <f t="shared" si="184"/>
        <v/>
      </c>
      <c r="AF668" s="19" t="str">
        <f>IF($D668&lt;&gt;1,"",IF(INDEX(TblClusters[Environnement],$B668)="","(vide)",INDEX(TblClusters[Environnement],$B668)))</f>
        <v/>
      </c>
      <c r="AG668" s="19" t="str">
        <f t="shared" si="185"/>
        <v/>
      </c>
      <c r="AH668" s="19" t="str">
        <f t="shared" si="186"/>
        <v/>
      </c>
      <c r="AI668" s="19" t="str">
        <f>IF($D668&lt;&gt;1,"",IF(AND($G668="IKS",ISNUMBER(INDEX(TblClusters[Fermeture retenue],$B668))),IF($E668&gt;=INDEX(TblClusters[Fermeture retenue],$B668),1,0),0))</f>
        <v/>
      </c>
    </row>
    <row r="669" spans="1:35" x14ac:dyDescent="0.2">
      <c r="A669" s="19">
        <v>664</v>
      </c>
      <c r="B669" s="19">
        <f t="shared" si="170"/>
        <v>19</v>
      </c>
      <c r="C669" s="19">
        <f t="shared" si="171"/>
        <v>16</v>
      </c>
      <c r="D669" s="19">
        <f>IF($C669&gt;p_horizon,0,IFERROR(IF(AND(INDEX(TblClusters[Cluster],$B669)&lt;&gt;"",ISNUMBER(INDEX(TblClusters[CPU initial (vCPU)],$B669)),ISNUMBER(INDEX(TblClusters[CPU min (vCPU)],$B669)),OR(INDEX(TblClusters[Plateforme],$B669)="IKS",INDEX(TblClusters[Plateforme],$B669)="ROKS")),1,0),0))</f>
        <v>0</v>
      </c>
      <c r="E669" s="72" t="str">
        <f t="shared" si="172"/>
        <v/>
      </c>
      <c r="F669" s="19" t="str">
        <f>IF($D669=1,INDEX(TblClusters[Cluster],$B669),"")</f>
        <v/>
      </c>
      <c r="G669" s="19" t="str">
        <f>IF($D669=1,INDEX(TblClusters[Plateforme],$B669),"")</f>
        <v/>
      </c>
      <c r="H669" s="19" t="str">
        <f>IF($D669=1,INDEX(TblClusters[vCPU par nœud],$B669),"")</f>
        <v/>
      </c>
      <c r="I669" s="19" t="str">
        <f>IF($D669=1,INDEX(TblClusters[RAM par nœud (Go)],$B669),"")</f>
        <v/>
      </c>
      <c r="J669" s="19" t="str">
        <f>IF($D669=1,INDEX(TblClusters[Workers min],$B669),"")</f>
        <v/>
      </c>
      <c r="K669" s="73" t="str">
        <f>IF($D669=1,INDEX(TblClusters[Tarif par nœud],$B669),"")</f>
        <v/>
      </c>
      <c r="L669" s="19" t="str">
        <f>IF($D669=1,INDEX(TblClusters[CPU initial (vCPU)],$B669),"")</f>
        <v/>
      </c>
      <c r="M669" s="19" t="str">
        <f>IF($D669=1,INDEX(TblClusters[RAM initiale (Go)],$B669),"")</f>
        <v/>
      </c>
      <c r="N669" s="19" t="str">
        <f>IF($D669=1,INDEX(TblClusters[CPU min (vCPU)],$B669),"")</f>
        <v/>
      </c>
      <c r="O669" s="19" t="str">
        <f>IF($D669=1,INDEX(TblClusters[RAM min (Go)],$B669),"")</f>
        <v/>
      </c>
      <c r="P669" s="19" t="str">
        <f>IF($D669&lt;&gt;1,"",IF($G669="ROKS",SUMIFS(TblApplications[Besoin ROKS CPU (vCPU)],TblApplications[Cluster ROKS cible],$F669,TblApplications[Action],"À migrer",TblApplications[Déjà incluse ROKS],"Non",TblApplications[Mois prov (calc)],"&lt;="&amp;$E669),SUMIFS(TblApplications[CPU IKS libérable (vCPU)],TblApplications[Cluster IKS source],$F669,TblApplications[Mois lib (calc)],"&lt;="&amp;$E669)))</f>
        <v/>
      </c>
      <c r="Q669" s="19" t="str">
        <f>IF($D669&lt;&gt;1,"",IF($G669="ROKS",SUMIFS(TblApplications[Besoin ROKS RAM (Go)],TblApplications[Cluster ROKS cible],$F669,TblApplications[Action],"À migrer",TblApplications[Déjà incluse ROKS],"Non",TblApplications[Mois prov (calc)],"&lt;="&amp;$E669),SUMIFS(TblApplications[RAM IKS libérable (Go)],TblApplications[Cluster IKS source],$F669,TblApplications[Mois lib (calc)],"&lt;="&amp;$E669)))</f>
        <v/>
      </c>
      <c r="R669" s="19" t="str">
        <f t="shared" si="173"/>
        <v/>
      </c>
      <c r="S669" s="19" t="str">
        <f t="shared" si="174"/>
        <v/>
      </c>
      <c r="T669" s="19" t="str">
        <f t="shared" si="175"/>
        <v/>
      </c>
      <c r="U669" s="19" t="str">
        <f t="shared" si="176"/>
        <v/>
      </c>
      <c r="V669" s="19" t="str">
        <f t="shared" si="177"/>
        <v/>
      </c>
      <c r="W669" s="73" t="str">
        <f t="shared" si="178"/>
        <v/>
      </c>
      <c r="X669" s="19" t="str">
        <f>IF($D669&lt;&gt;1,"",IF($G669="ROKS",$R669,IF($AI669=1,0,MAX($N669,$L669-SUMIFS(TblApplications[CPU IKS libérable (vCPU)],TblApplications[Cluster IKS source],$F669,TblApplications[Action],"À migrer",TblApplications[Mois prov (calc)],"&lt;="&amp;$E669)-SUMIFS(TblApplications[CPU IKS libérable (vCPU)],TblApplications[Cluster IKS source],$F669,TblApplications[Action],"À décommissionner",TblApplications[Mois lib (calc)],"&lt;="&amp;$E669)))))</f>
        <v/>
      </c>
      <c r="Y669" s="19" t="str">
        <f>IF($D669&lt;&gt;1,"",IF($G669="ROKS",$S669,IF($AI669=1,0,MAX($O669,$M669-SUMIFS(TblApplications[RAM IKS libérable (Go)],TblApplications[Cluster IKS source],$F669,TblApplications[Action],"À migrer",TblApplications[Mois prov (calc)],"&lt;="&amp;$E669)-SUMIFS(TblApplications[RAM IKS libérable (Go)],TblApplications[Cluster IKS source],$F669,TblApplications[Action],"À décommissionner",TblApplications[Mois lib (calc)],"&lt;="&amp;$E669)))))</f>
        <v/>
      </c>
      <c r="Z669" s="19" t="str">
        <f t="shared" si="179"/>
        <v/>
      </c>
      <c r="AA669" s="73" t="str">
        <f t="shared" si="180"/>
        <v/>
      </c>
      <c r="AB669" s="19" t="str">
        <f t="shared" si="181"/>
        <v/>
      </c>
      <c r="AC669" s="73" t="str">
        <f t="shared" si="182"/>
        <v/>
      </c>
      <c r="AD669" s="19" t="str">
        <f t="shared" si="183"/>
        <v/>
      </c>
      <c r="AE669" s="19" t="str">
        <f t="shared" si="184"/>
        <v/>
      </c>
      <c r="AF669" s="19" t="str">
        <f>IF($D669&lt;&gt;1,"",IF(INDEX(TblClusters[Environnement],$B669)="","(vide)",INDEX(TblClusters[Environnement],$B669)))</f>
        <v/>
      </c>
      <c r="AG669" s="19" t="str">
        <f t="shared" si="185"/>
        <v/>
      </c>
      <c r="AH669" s="19" t="str">
        <f t="shared" si="186"/>
        <v/>
      </c>
      <c r="AI669" s="19" t="str">
        <f>IF($D669&lt;&gt;1,"",IF(AND($G669="IKS",ISNUMBER(INDEX(TblClusters[Fermeture retenue],$B669))),IF($E669&gt;=INDEX(TblClusters[Fermeture retenue],$B669),1,0),0))</f>
        <v/>
      </c>
    </row>
    <row r="670" spans="1:35" x14ac:dyDescent="0.2">
      <c r="A670" s="19">
        <v>665</v>
      </c>
      <c r="B670" s="19">
        <f t="shared" si="170"/>
        <v>19</v>
      </c>
      <c r="C670" s="19">
        <f t="shared" si="171"/>
        <v>17</v>
      </c>
      <c r="D670" s="19">
        <f>IF($C670&gt;p_horizon,0,IFERROR(IF(AND(INDEX(TblClusters[Cluster],$B670)&lt;&gt;"",ISNUMBER(INDEX(TblClusters[CPU initial (vCPU)],$B670)),ISNUMBER(INDEX(TblClusters[CPU min (vCPU)],$B670)),OR(INDEX(TblClusters[Plateforme],$B670)="IKS",INDEX(TblClusters[Plateforme],$B670)="ROKS")),1,0),0))</f>
        <v>0</v>
      </c>
      <c r="E670" s="72" t="str">
        <f t="shared" si="172"/>
        <v/>
      </c>
      <c r="F670" s="19" t="str">
        <f>IF($D670=1,INDEX(TblClusters[Cluster],$B670),"")</f>
        <v/>
      </c>
      <c r="G670" s="19" t="str">
        <f>IF($D670=1,INDEX(TblClusters[Plateforme],$B670),"")</f>
        <v/>
      </c>
      <c r="H670" s="19" t="str">
        <f>IF($D670=1,INDEX(TblClusters[vCPU par nœud],$B670),"")</f>
        <v/>
      </c>
      <c r="I670" s="19" t="str">
        <f>IF($D670=1,INDEX(TblClusters[RAM par nœud (Go)],$B670),"")</f>
        <v/>
      </c>
      <c r="J670" s="19" t="str">
        <f>IF($D670=1,INDEX(TblClusters[Workers min],$B670),"")</f>
        <v/>
      </c>
      <c r="K670" s="73" t="str">
        <f>IF($D670=1,INDEX(TblClusters[Tarif par nœud],$B670),"")</f>
        <v/>
      </c>
      <c r="L670" s="19" t="str">
        <f>IF($D670=1,INDEX(TblClusters[CPU initial (vCPU)],$B670),"")</f>
        <v/>
      </c>
      <c r="M670" s="19" t="str">
        <f>IF($D670=1,INDEX(TblClusters[RAM initiale (Go)],$B670),"")</f>
        <v/>
      </c>
      <c r="N670" s="19" t="str">
        <f>IF($D670=1,INDEX(TblClusters[CPU min (vCPU)],$B670),"")</f>
        <v/>
      </c>
      <c r="O670" s="19" t="str">
        <f>IF($D670=1,INDEX(TblClusters[RAM min (Go)],$B670),"")</f>
        <v/>
      </c>
      <c r="P670" s="19" t="str">
        <f>IF($D670&lt;&gt;1,"",IF($G670="ROKS",SUMIFS(TblApplications[Besoin ROKS CPU (vCPU)],TblApplications[Cluster ROKS cible],$F670,TblApplications[Action],"À migrer",TblApplications[Déjà incluse ROKS],"Non",TblApplications[Mois prov (calc)],"&lt;="&amp;$E670),SUMIFS(TblApplications[CPU IKS libérable (vCPU)],TblApplications[Cluster IKS source],$F670,TblApplications[Mois lib (calc)],"&lt;="&amp;$E670)))</f>
        <v/>
      </c>
      <c r="Q670" s="19" t="str">
        <f>IF($D670&lt;&gt;1,"",IF($G670="ROKS",SUMIFS(TblApplications[Besoin ROKS RAM (Go)],TblApplications[Cluster ROKS cible],$F670,TblApplications[Action],"À migrer",TblApplications[Déjà incluse ROKS],"Non",TblApplications[Mois prov (calc)],"&lt;="&amp;$E670),SUMIFS(TblApplications[RAM IKS libérable (Go)],TblApplications[Cluster IKS source],$F670,TblApplications[Mois lib (calc)],"&lt;="&amp;$E670)))</f>
        <v/>
      </c>
      <c r="R670" s="19" t="str">
        <f t="shared" si="173"/>
        <v/>
      </c>
      <c r="S670" s="19" t="str">
        <f t="shared" si="174"/>
        <v/>
      </c>
      <c r="T670" s="19" t="str">
        <f t="shared" si="175"/>
        <v/>
      </c>
      <c r="U670" s="19" t="str">
        <f t="shared" si="176"/>
        <v/>
      </c>
      <c r="V670" s="19" t="str">
        <f t="shared" si="177"/>
        <v/>
      </c>
      <c r="W670" s="73" t="str">
        <f t="shared" si="178"/>
        <v/>
      </c>
      <c r="X670" s="19" t="str">
        <f>IF($D670&lt;&gt;1,"",IF($G670="ROKS",$R670,IF($AI670=1,0,MAX($N670,$L670-SUMIFS(TblApplications[CPU IKS libérable (vCPU)],TblApplications[Cluster IKS source],$F670,TblApplications[Action],"À migrer",TblApplications[Mois prov (calc)],"&lt;="&amp;$E670)-SUMIFS(TblApplications[CPU IKS libérable (vCPU)],TblApplications[Cluster IKS source],$F670,TblApplications[Action],"À décommissionner",TblApplications[Mois lib (calc)],"&lt;="&amp;$E670)))))</f>
        <v/>
      </c>
      <c r="Y670" s="19" t="str">
        <f>IF($D670&lt;&gt;1,"",IF($G670="ROKS",$S670,IF($AI670=1,0,MAX($O670,$M670-SUMIFS(TblApplications[RAM IKS libérable (Go)],TblApplications[Cluster IKS source],$F670,TblApplications[Action],"À migrer",TblApplications[Mois prov (calc)],"&lt;="&amp;$E670)-SUMIFS(TblApplications[RAM IKS libérable (Go)],TblApplications[Cluster IKS source],$F670,TblApplications[Action],"À décommissionner",TblApplications[Mois lib (calc)],"&lt;="&amp;$E670)))))</f>
        <v/>
      </c>
      <c r="Z670" s="19" t="str">
        <f t="shared" si="179"/>
        <v/>
      </c>
      <c r="AA670" s="73" t="str">
        <f t="shared" si="180"/>
        <v/>
      </c>
      <c r="AB670" s="19" t="str">
        <f t="shared" si="181"/>
        <v/>
      </c>
      <c r="AC670" s="73" t="str">
        <f t="shared" si="182"/>
        <v/>
      </c>
      <c r="AD670" s="19" t="str">
        <f t="shared" si="183"/>
        <v/>
      </c>
      <c r="AE670" s="19" t="str">
        <f t="shared" si="184"/>
        <v/>
      </c>
      <c r="AF670" s="19" t="str">
        <f>IF($D670&lt;&gt;1,"",IF(INDEX(TblClusters[Environnement],$B670)="","(vide)",INDEX(TblClusters[Environnement],$B670)))</f>
        <v/>
      </c>
      <c r="AG670" s="19" t="str">
        <f t="shared" si="185"/>
        <v/>
      </c>
      <c r="AH670" s="19" t="str">
        <f t="shared" si="186"/>
        <v/>
      </c>
      <c r="AI670" s="19" t="str">
        <f>IF($D670&lt;&gt;1,"",IF(AND($G670="IKS",ISNUMBER(INDEX(TblClusters[Fermeture retenue],$B670))),IF($E670&gt;=INDEX(TblClusters[Fermeture retenue],$B670),1,0),0))</f>
        <v/>
      </c>
    </row>
    <row r="671" spans="1:35" x14ac:dyDescent="0.2">
      <c r="A671" s="19">
        <v>666</v>
      </c>
      <c r="B671" s="19">
        <f t="shared" si="170"/>
        <v>19</v>
      </c>
      <c r="C671" s="19">
        <f t="shared" si="171"/>
        <v>18</v>
      </c>
      <c r="D671" s="19">
        <f>IF($C671&gt;p_horizon,0,IFERROR(IF(AND(INDEX(TblClusters[Cluster],$B671)&lt;&gt;"",ISNUMBER(INDEX(TblClusters[CPU initial (vCPU)],$B671)),ISNUMBER(INDEX(TblClusters[CPU min (vCPU)],$B671)),OR(INDEX(TblClusters[Plateforme],$B671)="IKS",INDEX(TblClusters[Plateforme],$B671)="ROKS")),1,0),0))</f>
        <v>0</v>
      </c>
      <c r="E671" s="72" t="str">
        <f t="shared" si="172"/>
        <v/>
      </c>
      <c r="F671" s="19" t="str">
        <f>IF($D671=1,INDEX(TblClusters[Cluster],$B671),"")</f>
        <v/>
      </c>
      <c r="G671" s="19" t="str">
        <f>IF($D671=1,INDEX(TblClusters[Plateforme],$B671),"")</f>
        <v/>
      </c>
      <c r="H671" s="19" t="str">
        <f>IF($D671=1,INDEX(TblClusters[vCPU par nœud],$B671),"")</f>
        <v/>
      </c>
      <c r="I671" s="19" t="str">
        <f>IF($D671=1,INDEX(TblClusters[RAM par nœud (Go)],$B671),"")</f>
        <v/>
      </c>
      <c r="J671" s="19" t="str">
        <f>IF($D671=1,INDEX(TblClusters[Workers min],$B671),"")</f>
        <v/>
      </c>
      <c r="K671" s="73" t="str">
        <f>IF($D671=1,INDEX(TblClusters[Tarif par nœud],$B671),"")</f>
        <v/>
      </c>
      <c r="L671" s="19" t="str">
        <f>IF($D671=1,INDEX(TblClusters[CPU initial (vCPU)],$B671),"")</f>
        <v/>
      </c>
      <c r="M671" s="19" t="str">
        <f>IF($D671=1,INDEX(TblClusters[RAM initiale (Go)],$B671),"")</f>
        <v/>
      </c>
      <c r="N671" s="19" t="str">
        <f>IF($D671=1,INDEX(TblClusters[CPU min (vCPU)],$B671),"")</f>
        <v/>
      </c>
      <c r="O671" s="19" t="str">
        <f>IF($D671=1,INDEX(TblClusters[RAM min (Go)],$B671),"")</f>
        <v/>
      </c>
      <c r="P671" s="19" t="str">
        <f>IF($D671&lt;&gt;1,"",IF($G671="ROKS",SUMIFS(TblApplications[Besoin ROKS CPU (vCPU)],TblApplications[Cluster ROKS cible],$F671,TblApplications[Action],"À migrer",TblApplications[Déjà incluse ROKS],"Non",TblApplications[Mois prov (calc)],"&lt;="&amp;$E671),SUMIFS(TblApplications[CPU IKS libérable (vCPU)],TblApplications[Cluster IKS source],$F671,TblApplications[Mois lib (calc)],"&lt;="&amp;$E671)))</f>
        <v/>
      </c>
      <c r="Q671" s="19" t="str">
        <f>IF($D671&lt;&gt;1,"",IF($G671="ROKS",SUMIFS(TblApplications[Besoin ROKS RAM (Go)],TblApplications[Cluster ROKS cible],$F671,TblApplications[Action],"À migrer",TblApplications[Déjà incluse ROKS],"Non",TblApplications[Mois prov (calc)],"&lt;="&amp;$E671),SUMIFS(TblApplications[RAM IKS libérable (Go)],TblApplications[Cluster IKS source],$F671,TblApplications[Mois lib (calc)],"&lt;="&amp;$E671)))</f>
        <v/>
      </c>
      <c r="R671" s="19" t="str">
        <f t="shared" si="173"/>
        <v/>
      </c>
      <c r="S671" s="19" t="str">
        <f t="shared" si="174"/>
        <v/>
      </c>
      <c r="T671" s="19" t="str">
        <f t="shared" si="175"/>
        <v/>
      </c>
      <c r="U671" s="19" t="str">
        <f t="shared" si="176"/>
        <v/>
      </c>
      <c r="V671" s="19" t="str">
        <f t="shared" si="177"/>
        <v/>
      </c>
      <c r="W671" s="73" t="str">
        <f t="shared" si="178"/>
        <v/>
      </c>
      <c r="X671" s="19" t="str">
        <f>IF($D671&lt;&gt;1,"",IF($G671="ROKS",$R671,IF($AI671=1,0,MAX($N671,$L671-SUMIFS(TblApplications[CPU IKS libérable (vCPU)],TblApplications[Cluster IKS source],$F671,TblApplications[Action],"À migrer",TblApplications[Mois prov (calc)],"&lt;="&amp;$E671)-SUMIFS(TblApplications[CPU IKS libérable (vCPU)],TblApplications[Cluster IKS source],$F671,TblApplications[Action],"À décommissionner",TblApplications[Mois lib (calc)],"&lt;="&amp;$E671)))))</f>
        <v/>
      </c>
      <c r="Y671" s="19" t="str">
        <f>IF($D671&lt;&gt;1,"",IF($G671="ROKS",$S671,IF($AI671=1,0,MAX($O671,$M671-SUMIFS(TblApplications[RAM IKS libérable (Go)],TblApplications[Cluster IKS source],$F671,TblApplications[Action],"À migrer",TblApplications[Mois prov (calc)],"&lt;="&amp;$E671)-SUMIFS(TblApplications[RAM IKS libérable (Go)],TblApplications[Cluster IKS source],$F671,TblApplications[Action],"À décommissionner",TblApplications[Mois lib (calc)],"&lt;="&amp;$E671)))))</f>
        <v/>
      </c>
      <c r="Z671" s="19" t="str">
        <f t="shared" si="179"/>
        <v/>
      </c>
      <c r="AA671" s="73" t="str">
        <f t="shared" si="180"/>
        <v/>
      </c>
      <c r="AB671" s="19" t="str">
        <f t="shared" si="181"/>
        <v/>
      </c>
      <c r="AC671" s="73" t="str">
        <f t="shared" si="182"/>
        <v/>
      </c>
      <c r="AD671" s="19" t="str">
        <f t="shared" si="183"/>
        <v/>
      </c>
      <c r="AE671" s="19" t="str">
        <f t="shared" si="184"/>
        <v/>
      </c>
      <c r="AF671" s="19" t="str">
        <f>IF($D671&lt;&gt;1,"",IF(INDEX(TblClusters[Environnement],$B671)="","(vide)",INDEX(TblClusters[Environnement],$B671)))</f>
        <v/>
      </c>
      <c r="AG671" s="19" t="str">
        <f t="shared" si="185"/>
        <v/>
      </c>
      <c r="AH671" s="19" t="str">
        <f t="shared" si="186"/>
        <v/>
      </c>
      <c r="AI671" s="19" t="str">
        <f>IF($D671&lt;&gt;1,"",IF(AND($G671="IKS",ISNUMBER(INDEX(TblClusters[Fermeture retenue],$B671))),IF($E671&gt;=INDEX(TblClusters[Fermeture retenue],$B671),1,0),0))</f>
        <v/>
      </c>
    </row>
    <row r="672" spans="1:35" x14ac:dyDescent="0.2">
      <c r="A672" s="19">
        <v>667</v>
      </c>
      <c r="B672" s="19">
        <f t="shared" si="170"/>
        <v>19</v>
      </c>
      <c r="C672" s="19">
        <f t="shared" si="171"/>
        <v>19</v>
      </c>
      <c r="D672" s="19">
        <f>IF($C672&gt;p_horizon,0,IFERROR(IF(AND(INDEX(TblClusters[Cluster],$B672)&lt;&gt;"",ISNUMBER(INDEX(TblClusters[CPU initial (vCPU)],$B672)),ISNUMBER(INDEX(TblClusters[CPU min (vCPU)],$B672)),OR(INDEX(TblClusters[Plateforme],$B672)="IKS",INDEX(TblClusters[Plateforme],$B672)="ROKS")),1,0),0))</f>
        <v>0</v>
      </c>
      <c r="E672" s="72" t="str">
        <f t="shared" si="172"/>
        <v/>
      </c>
      <c r="F672" s="19" t="str">
        <f>IF($D672=1,INDEX(TblClusters[Cluster],$B672),"")</f>
        <v/>
      </c>
      <c r="G672" s="19" t="str">
        <f>IF($D672=1,INDEX(TblClusters[Plateforme],$B672),"")</f>
        <v/>
      </c>
      <c r="H672" s="19" t="str">
        <f>IF($D672=1,INDEX(TblClusters[vCPU par nœud],$B672),"")</f>
        <v/>
      </c>
      <c r="I672" s="19" t="str">
        <f>IF($D672=1,INDEX(TblClusters[RAM par nœud (Go)],$B672),"")</f>
        <v/>
      </c>
      <c r="J672" s="19" t="str">
        <f>IF($D672=1,INDEX(TblClusters[Workers min],$B672),"")</f>
        <v/>
      </c>
      <c r="K672" s="73" t="str">
        <f>IF($D672=1,INDEX(TblClusters[Tarif par nœud],$B672),"")</f>
        <v/>
      </c>
      <c r="L672" s="19" t="str">
        <f>IF($D672=1,INDEX(TblClusters[CPU initial (vCPU)],$B672),"")</f>
        <v/>
      </c>
      <c r="M672" s="19" t="str">
        <f>IF($D672=1,INDEX(TblClusters[RAM initiale (Go)],$B672),"")</f>
        <v/>
      </c>
      <c r="N672" s="19" t="str">
        <f>IF($D672=1,INDEX(TblClusters[CPU min (vCPU)],$B672),"")</f>
        <v/>
      </c>
      <c r="O672" s="19" t="str">
        <f>IF($D672=1,INDEX(TblClusters[RAM min (Go)],$B672),"")</f>
        <v/>
      </c>
      <c r="P672" s="19" t="str">
        <f>IF($D672&lt;&gt;1,"",IF($G672="ROKS",SUMIFS(TblApplications[Besoin ROKS CPU (vCPU)],TblApplications[Cluster ROKS cible],$F672,TblApplications[Action],"À migrer",TblApplications[Déjà incluse ROKS],"Non",TblApplications[Mois prov (calc)],"&lt;="&amp;$E672),SUMIFS(TblApplications[CPU IKS libérable (vCPU)],TblApplications[Cluster IKS source],$F672,TblApplications[Mois lib (calc)],"&lt;="&amp;$E672)))</f>
        <v/>
      </c>
      <c r="Q672" s="19" t="str">
        <f>IF($D672&lt;&gt;1,"",IF($G672="ROKS",SUMIFS(TblApplications[Besoin ROKS RAM (Go)],TblApplications[Cluster ROKS cible],$F672,TblApplications[Action],"À migrer",TblApplications[Déjà incluse ROKS],"Non",TblApplications[Mois prov (calc)],"&lt;="&amp;$E672),SUMIFS(TblApplications[RAM IKS libérable (Go)],TblApplications[Cluster IKS source],$F672,TblApplications[Mois lib (calc)],"&lt;="&amp;$E672)))</f>
        <v/>
      </c>
      <c r="R672" s="19" t="str">
        <f t="shared" si="173"/>
        <v/>
      </c>
      <c r="S672" s="19" t="str">
        <f t="shared" si="174"/>
        <v/>
      </c>
      <c r="T672" s="19" t="str">
        <f t="shared" si="175"/>
        <v/>
      </c>
      <c r="U672" s="19" t="str">
        <f t="shared" si="176"/>
        <v/>
      </c>
      <c r="V672" s="19" t="str">
        <f t="shared" si="177"/>
        <v/>
      </c>
      <c r="W672" s="73" t="str">
        <f t="shared" si="178"/>
        <v/>
      </c>
      <c r="X672" s="19" t="str">
        <f>IF($D672&lt;&gt;1,"",IF($G672="ROKS",$R672,IF($AI672=1,0,MAX($N672,$L672-SUMIFS(TblApplications[CPU IKS libérable (vCPU)],TblApplications[Cluster IKS source],$F672,TblApplications[Action],"À migrer",TblApplications[Mois prov (calc)],"&lt;="&amp;$E672)-SUMIFS(TblApplications[CPU IKS libérable (vCPU)],TblApplications[Cluster IKS source],$F672,TblApplications[Action],"À décommissionner",TblApplications[Mois lib (calc)],"&lt;="&amp;$E672)))))</f>
        <v/>
      </c>
      <c r="Y672" s="19" t="str">
        <f>IF($D672&lt;&gt;1,"",IF($G672="ROKS",$S672,IF($AI672=1,0,MAX($O672,$M672-SUMIFS(TblApplications[RAM IKS libérable (Go)],TblApplications[Cluster IKS source],$F672,TblApplications[Action],"À migrer",TblApplications[Mois prov (calc)],"&lt;="&amp;$E672)-SUMIFS(TblApplications[RAM IKS libérable (Go)],TblApplications[Cluster IKS source],$F672,TblApplications[Action],"À décommissionner",TblApplications[Mois lib (calc)],"&lt;="&amp;$E672)))))</f>
        <v/>
      </c>
      <c r="Z672" s="19" t="str">
        <f t="shared" si="179"/>
        <v/>
      </c>
      <c r="AA672" s="73" t="str">
        <f t="shared" si="180"/>
        <v/>
      </c>
      <c r="AB672" s="19" t="str">
        <f t="shared" si="181"/>
        <v/>
      </c>
      <c r="AC672" s="73" t="str">
        <f t="shared" si="182"/>
        <v/>
      </c>
      <c r="AD672" s="19" t="str">
        <f t="shared" si="183"/>
        <v/>
      </c>
      <c r="AE672" s="19" t="str">
        <f t="shared" si="184"/>
        <v/>
      </c>
      <c r="AF672" s="19" t="str">
        <f>IF($D672&lt;&gt;1,"",IF(INDEX(TblClusters[Environnement],$B672)="","(vide)",INDEX(TblClusters[Environnement],$B672)))</f>
        <v/>
      </c>
      <c r="AG672" s="19" t="str">
        <f t="shared" si="185"/>
        <v/>
      </c>
      <c r="AH672" s="19" t="str">
        <f t="shared" si="186"/>
        <v/>
      </c>
      <c r="AI672" s="19" t="str">
        <f>IF($D672&lt;&gt;1,"",IF(AND($G672="IKS",ISNUMBER(INDEX(TblClusters[Fermeture retenue],$B672))),IF($E672&gt;=INDEX(TblClusters[Fermeture retenue],$B672),1,0),0))</f>
        <v/>
      </c>
    </row>
    <row r="673" spans="1:35" x14ac:dyDescent="0.2">
      <c r="A673" s="19">
        <v>668</v>
      </c>
      <c r="B673" s="19">
        <f t="shared" si="170"/>
        <v>19</v>
      </c>
      <c r="C673" s="19">
        <f t="shared" si="171"/>
        <v>20</v>
      </c>
      <c r="D673" s="19">
        <f>IF($C673&gt;p_horizon,0,IFERROR(IF(AND(INDEX(TblClusters[Cluster],$B673)&lt;&gt;"",ISNUMBER(INDEX(TblClusters[CPU initial (vCPU)],$B673)),ISNUMBER(INDEX(TblClusters[CPU min (vCPU)],$B673)),OR(INDEX(TblClusters[Plateforme],$B673)="IKS",INDEX(TblClusters[Plateforme],$B673)="ROKS")),1,0),0))</f>
        <v>0</v>
      </c>
      <c r="E673" s="72" t="str">
        <f t="shared" si="172"/>
        <v/>
      </c>
      <c r="F673" s="19" t="str">
        <f>IF($D673=1,INDEX(TblClusters[Cluster],$B673),"")</f>
        <v/>
      </c>
      <c r="G673" s="19" t="str">
        <f>IF($D673=1,INDEX(TblClusters[Plateforme],$B673),"")</f>
        <v/>
      </c>
      <c r="H673" s="19" t="str">
        <f>IF($D673=1,INDEX(TblClusters[vCPU par nœud],$B673),"")</f>
        <v/>
      </c>
      <c r="I673" s="19" t="str">
        <f>IF($D673=1,INDEX(TblClusters[RAM par nœud (Go)],$B673),"")</f>
        <v/>
      </c>
      <c r="J673" s="19" t="str">
        <f>IF($D673=1,INDEX(TblClusters[Workers min],$B673),"")</f>
        <v/>
      </c>
      <c r="K673" s="73" t="str">
        <f>IF($D673=1,INDEX(TblClusters[Tarif par nœud],$B673),"")</f>
        <v/>
      </c>
      <c r="L673" s="19" t="str">
        <f>IF($D673=1,INDEX(TblClusters[CPU initial (vCPU)],$B673),"")</f>
        <v/>
      </c>
      <c r="M673" s="19" t="str">
        <f>IF($D673=1,INDEX(TblClusters[RAM initiale (Go)],$B673),"")</f>
        <v/>
      </c>
      <c r="N673" s="19" t="str">
        <f>IF($D673=1,INDEX(TblClusters[CPU min (vCPU)],$B673),"")</f>
        <v/>
      </c>
      <c r="O673" s="19" t="str">
        <f>IF($D673=1,INDEX(TblClusters[RAM min (Go)],$B673),"")</f>
        <v/>
      </c>
      <c r="P673" s="19" t="str">
        <f>IF($D673&lt;&gt;1,"",IF($G673="ROKS",SUMIFS(TblApplications[Besoin ROKS CPU (vCPU)],TblApplications[Cluster ROKS cible],$F673,TblApplications[Action],"À migrer",TblApplications[Déjà incluse ROKS],"Non",TblApplications[Mois prov (calc)],"&lt;="&amp;$E673),SUMIFS(TblApplications[CPU IKS libérable (vCPU)],TblApplications[Cluster IKS source],$F673,TblApplications[Mois lib (calc)],"&lt;="&amp;$E673)))</f>
        <v/>
      </c>
      <c r="Q673" s="19" t="str">
        <f>IF($D673&lt;&gt;1,"",IF($G673="ROKS",SUMIFS(TblApplications[Besoin ROKS RAM (Go)],TblApplications[Cluster ROKS cible],$F673,TblApplications[Action],"À migrer",TblApplications[Déjà incluse ROKS],"Non",TblApplications[Mois prov (calc)],"&lt;="&amp;$E673),SUMIFS(TblApplications[RAM IKS libérable (Go)],TblApplications[Cluster IKS source],$F673,TblApplications[Mois lib (calc)],"&lt;="&amp;$E673)))</f>
        <v/>
      </c>
      <c r="R673" s="19" t="str">
        <f t="shared" si="173"/>
        <v/>
      </c>
      <c r="S673" s="19" t="str">
        <f t="shared" si="174"/>
        <v/>
      </c>
      <c r="T673" s="19" t="str">
        <f t="shared" si="175"/>
        <v/>
      </c>
      <c r="U673" s="19" t="str">
        <f t="shared" si="176"/>
        <v/>
      </c>
      <c r="V673" s="19" t="str">
        <f t="shared" si="177"/>
        <v/>
      </c>
      <c r="W673" s="73" t="str">
        <f t="shared" si="178"/>
        <v/>
      </c>
      <c r="X673" s="19" t="str">
        <f>IF($D673&lt;&gt;1,"",IF($G673="ROKS",$R673,IF($AI673=1,0,MAX($N673,$L673-SUMIFS(TblApplications[CPU IKS libérable (vCPU)],TblApplications[Cluster IKS source],$F673,TblApplications[Action],"À migrer",TblApplications[Mois prov (calc)],"&lt;="&amp;$E673)-SUMIFS(TblApplications[CPU IKS libérable (vCPU)],TblApplications[Cluster IKS source],$F673,TblApplications[Action],"À décommissionner",TblApplications[Mois lib (calc)],"&lt;="&amp;$E673)))))</f>
        <v/>
      </c>
      <c r="Y673" s="19" t="str">
        <f>IF($D673&lt;&gt;1,"",IF($G673="ROKS",$S673,IF($AI673=1,0,MAX($O673,$M673-SUMIFS(TblApplications[RAM IKS libérable (Go)],TblApplications[Cluster IKS source],$F673,TblApplications[Action],"À migrer",TblApplications[Mois prov (calc)],"&lt;="&amp;$E673)-SUMIFS(TblApplications[RAM IKS libérable (Go)],TblApplications[Cluster IKS source],$F673,TblApplications[Action],"À décommissionner",TblApplications[Mois lib (calc)],"&lt;="&amp;$E673)))))</f>
        <v/>
      </c>
      <c r="Z673" s="19" t="str">
        <f t="shared" si="179"/>
        <v/>
      </c>
      <c r="AA673" s="73" t="str">
        <f t="shared" si="180"/>
        <v/>
      </c>
      <c r="AB673" s="19" t="str">
        <f t="shared" si="181"/>
        <v/>
      </c>
      <c r="AC673" s="73" t="str">
        <f t="shared" si="182"/>
        <v/>
      </c>
      <c r="AD673" s="19" t="str">
        <f t="shared" si="183"/>
        <v/>
      </c>
      <c r="AE673" s="19" t="str">
        <f t="shared" si="184"/>
        <v/>
      </c>
      <c r="AF673" s="19" t="str">
        <f>IF($D673&lt;&gt;1,"",IF(INDEX(TblClusters[Environnement],$B673)="","(vide)",INDEX(TblClusters[Environnement],$B673)))</f>
        <v/>
      </c>
      <c r="AG673" s="19" t="str">
        <f t="shared" si="185"/>
        <v/>
      </c>
      <c r="AH673" s="19" t="str">
        <f t="shared" si="186"/>
        <v/>
      </c>
      <c r="AI673" s="19" t="str">
        <f>IF($D673&lt;&gt;1,"",IF(AND($G673="IKS",ISNUMBER(INDEX(TblClusters[Fermeture retenue],$B673))),IF($E673&gt;=INDEX(TblClusters[Fermeture retenue],$B673),1,0),0))</f>
        <v/>
      </c>
    </row>
    <row r="674" spans="1:35" x14ac:dyDescent="0.2">
      <c r="A674" s="19">
        <v>669</v>
      </c>
      <c r="B674" s="19">
        <f t="shared" si="170"/>
        <v>19</v>
      </c>
      <c r="C674" s="19">
        <f t="shared" si="171"/>
        <v>21</v>
      </c>
      <c r="D674" s="19">
        <f>IF($C674&gt;p_horizon,0,IFERROR(IF(AND(INDEX(TblClusters[Cluster],$B674)&lt;&gt;"",ISNUMBER(INDEX(TblClusters[CPU initial (vCPU)],$B674)),ISNUMBER(INDEX(TblClusters[CPU min (vCPU)],$B674)),OR(INDEX(TblClusters[Plateforme],$B674)="IKS",INDEX(TblClusters[Plateforme],$B674)="ROKS")),1,0),0))</f>
        <v>0</v>
      </c>
      <c r="E674" s="72" t="str">
        <f t="shared" si="172"/>
        <v/>
      </c>
      <c r="F674" s="19" t="str">
        <f>IF($D674=1,INDEX(TblClusters[Cluster],$B674),"")</f>
        <v/>
      </c>
      <c r="G674" s="19" t="str">
        <f>IF($D674=1,INDEX(TblClusters[Plateforme],$B674),"")</f>
        <v/>
      </c>
      <c r="H674" s="19" t="str">
        <f>IF($D674=1,INDEX(TblClusters[vCPU par nœud],$B674),"")</f>
        <v/>
      </c>
      <c r="I674" s="19" t="str">
        <f>IF($D674=1,INDEX(TblClusters[RAM par nœud (Go)],$B674),"")</f>
        <v/>
      </c>
      <c r="J674" s="19" t="str">
        <f>IF($D674=1,INDEX(TblClusters[Workers min],$B674),"")</f>
        <v/>
      </c>
      <c r="K674" s="73" t="str">
        <f>IF($D674=1,INDEX(TblClusters[Tarif par nœud],$B674),"")</f>
        <v/>
      </c>
      <c r="L674" s="19" t="str">
        <f>IF($D674=1,INDEX(TblClusters[CPU initial (vCPU)],$B674),"")</f>
        <v/>
      </c>
      <c r="M674" s="19" t="str">
        <f>IF($D674=1,INDEX(TblClusters[RAM initiale (Go)],$B674),"")</f>
        <v/>
      </c>
      <c r="N674" s="19" t="str">
        <f>IF($D674=1,INDEX(TblClusters[CPU min (vCPU)],$B674),"")</f>
        <v/>
      </c>
      <c r="O674" s="19" t="str">
        <f>IF($D674=1,INDEX(TblClusters[RAM min (Go)],$B674),"")</f>
        <v/>
      </c>
      <c r="P674" s="19" t="str">
        <f>IF($D674&lt;&gt;1,"",IF($G674="ROKS",SUMIFS(TblApplications[Besoin ROKS CPU (vCPU)],TblApplications[Cluster ROKS cible],$F674,TblApplications[Action],"À migrer",TblApplications[Déjà incluse ROKS],"Non",TblApplications[Mois prov (calc)],"&lt;="&amp;$E674),SUMIFS(TblApplications[CPU IKS libérable (vCPU)],TblApplications[Cluster IKS source],$F674,TblApplications[Mois lib (calc)],"&lt;="&amp;$E674)))</f>
        <v/>
      </c>
      <c r="Q674" s="19" t="str">
        <f>IF($D674&lt;&gt;1,"",IF($G674="ROKS",SUMIFS(TblApplications[Besoin ROKS RAM (Go)],TblApplications[Cluster ROKS cible],$F674,TblApplications[Action],"À migrer",TblApplications[Déjà incluse ROKS],"Non",TblApplications[Mois prov (calc)],"&lt;="&amp;$E674),SUMIFS(TblApplications[RAM IKS libérable (Go)],TblApplications[Cluster IKS source],$F674,TblApplications[Mois lib (calc)],"&lt;="&amp;$E674)))</f>
        <v/>
      </c>
      <c r="R674" s="19" t="str">
        <f t="shared" si="173"/>
        <v/>
      </c>
      <c r="S674" s="19" t="str">
        <f t="shared" si="174"/>
        <v/>
      </c>
      <c r="T674" s="19" t="str">
        <f t="shared" si="175"/>
        <v/>
      </c>
      <c r="U674" s="19" t="str">
        <f t="shared" si="176"/>
        <v/>
      </c>
      <c r="V674" s="19" t="str">
        <f t="shared" si="177"/>
        <v/>
      </c>
      <c r="W674" s="73" t="str">
        <f t="shared" si="178"/>
        <v/>
      </c>
      <c r="X674" s="19" t="str">
        <f>IF($D674&lt;&gt;1,"",IF($G674="ROKS",$R674,IF($AI674=1,0,MAX($N674,$L674-SUMIFS(TblApplications[CPU IKS libérable (vCPU)],TblApplications[Cluster IKS source],$F674,TblApplications[Action],"À migrer",TblApplications[Mois prov (calc)],"&lt;="&amp;$E674)-SUMIFS(TblApplications[CPU IKS libérable (vCPU)],TblApplications[Cluster IKS source],$F674,TblApplications[Action],"À décommissionner",TblApplications[Mois lib (calc)],"&lt;="&amp;$E674)))))</f>
        <v/>
      </c>
      <c r="Y674" s="19" t="str">
        <f>IF($D674&lt;&gt;1,"",IF($G674="ROKS",$S674,IF($AI674=1,0,MAX($O674,$M674-SUMIFS(TblApplications[RAM IKS libérable (Go)],TblApplications[Cluster IKS source],$F674,TblApplications[Action],"À migrer",TblApplications[Mois prov (calc)],"&lt;="&amp;$E674)-SUMIFS(TblApplications[RAM IKS libérable (Go)],TblApplications[Cluster IKS source],$F674,TblApplications[Action],"À décommissionner",TblApplications[Mois lib (calc)],"&lt;="&amp;$E674)))))</f>
        <v/>
      </c>
      <c r="Z674" s="19" t="str">
        <f t="shared" si="179"/>
        <v/>
      </c>
      <c r="AA674" s="73" t="str">
        <f t="shared" si="180"/>
        <v/>
      </c>
      <c r="AB674" s="19" t="str">
        <f t="shared" si="181"/>
        <v/>
      </c>
      <c r="AC674" s="73" t="str">
        <f t="shared" si="182"/>
        <v/>
      </c>
      <c r="AD674" s="19" t="str">
        <f t="shared" si="183"/>
        <v/>
      </c>
      <c r="AE674" s="19" t="str">
        <f t="shared" si="184"/>
        <v/>
      </c>
      <c r="AF674" s="19" t="str">
        <f>IF($D674&lt;&gt;1,"",IF(INDEX(TblClusters[Environnement],$B674)="","(vide)",INDEX(TblClusters[Environnement],$B674)))</f>
        <v/>
      </c>
      <c r="AG674" s="19" t="str">
        <f t="shared" si="185"/>
        <v/>
      </c>
      <c r="AH674" s="19" t="str">
        <f t="shared" si="186"/>
        <v/>
      </c>
      <c r="AI674" s="19" t="str">
        <f>IF($D674&lt;&gt;1,"",IF(AND($G674="IKS",ISNUMBER(INDEX(TblClusters[Fermeture retenue],$B674))),IF($E674&gt;=INDEX(TblClusters[Fermeture retenue],$B674),1,0),0))</f>
        <v/>
      </c>
    </row>
    <row r="675" spans="1:35" x14ac:dyDescent="0.2">
      <c r="A675" s="19">
        <v>670</v>
      </c>
      <c r="B675" s="19">
        <f t="shared" si="170"/>
        <v>19</v>
      </c>
      <c r="C675" s="19">
        <f t="shared" si="171"/>
        <v>22</v>
      </c>
      <c r="D675" s="19">
        <f>IF($C675&gt;p_horizon,0,IFERROR(IF(AND(INDEX(TblClusters[Cluster],$B675)&lt;&gt;"",ISNUMBER(INDEX(TblClusters[CPU initial (vCPU)],$B675)),ISNUMBER(INDEX(TblClusters[CPU min (vCPU)],$B675)),OR(INDEX(TblClusters[Plateforme],$B675)="IKS",INDEX(TblClusters[Plateforme],$B675)="ROKS")),1,0),0))</f>
        <v>0</v>
      </c>
      <c r="E675" s="72" t="str">
        <f t="shared" si="172"/>
        <v/>
      </c>
      <c r="F675" s="19" t="str">
        <f>IF($D675=1,INDEX(TblClusters[Cluster],$B675),"")</f>
        <v/>
      </c>
      <c r="G675" s="19" t="str">
        <f>IF($D675=1,INDEX(TblClusters[Plateforme],$B675),"")</f>
        <v/>
      </c>
      <c r="H675" s="19" t="str">
        <f>IF($D675=1,INDEX(TblClusters[vCPU par nœud],$B675),"")</f>
        <v/>
      </c>
      <c r="I675" s="19" t="str">
        <f>IF($D675=1,INDEX(TblClusters[RAM par nœud (Go)],$B675),"")</f>
        <v/>
      </c>
      <c r="J675" s="19" t="str">
        <f>IF($D675=1,INDEX(TblClusters[Workers min],$B675),"")</f>
        <v/>
      </c>
      <c r="K675" s="73" t="str">
        <f>IF($D675=1,INDEX(TblClusters[Tarif par nœud],$B675),"")</f>
        <v/>
      </c>
      <c r="L675" s="19" t="str">
        <f>IF($D675=1,INDEX(TblClusters[CPU initial (vCPU)],$B675),"")</f>
        <v/>
      </c>
      <c r="M675" s="19" t="str">
        <f>IF($D675=1,INDEX(TblClusters[RAM initiale (Go)],$B675),"")</f>
        <v/>
      </c>
      <c r="N675" s="19" t="str">
        <f>IF($D675=1,INDEX(TblClusters[CPU min (vCPU)],$B675),"")</f>
        <v/>
      </c>
      <c r="O675" s="19" t="str">
        <f>IF($D675=1,INDEX(TblClusters[RAM min (Go)],$B675),"")</f>
        <v/>
      </c>
      <c r="P675" s="19" t="str">
        <f>IF($D675&lt;&gt;1,"",IF($G675="ROKS",SUMIFS(TblApplications[Besoin ROKS CPU (vCPU)],TblApplications[Cluster ROKS cible],$F675,TblApplications[Action],"À migrer",TblApplications[Déjà incluse ROKS],"Non",TblApplications[Mois prov (calc)],"&lt;="&amp;$E675),SUMIFS(TblApplications[CPU IKS libérable (vCPU)],TblApplications[Cluster IKS source],$F675,TblApplications[Mois lib (calc)],"&lt;="&amp;$E675)))</f>
        <v/>
      </c>
      <c r="Q675" s="19" t="str">
        <f>IF($D675&lt;&gt;1,"",IF($G675="ROKS",SUMIFS(TblApplications[Besoin ROKS RAM (Go)],TblApplications[Cluster ROKS cible],$F675,TblApplications[Action],"À migrer",TblApplications[Déjà incluse ROKS],"Non",TblApplications[Mois prov (calc)],"&lt;="&amp;$E675),SUMIFS(TblApplications[RAM IKS libérable (Go)],TblApplications[Cluster IKS source],$F675,TblApplications[Mois lib (calc)],"&lt;="&amp;$E675)))</f>
        <v/>
      </c>
      <c r="R675" s="19" t="str">
        <f t="shared" si="173"/>
        <v/>
      </c>
      <c r="S675" s="19" t="str">
        <f t="shared" si="174"/>
        <v/>
      </c>
      <c r="T675" s="19" t="str">
        <f t="shared" si="175"/>
        <v/>
      </c>
      <c r="U675" s="19" t="str">
        <f t="shared" si="176"/>
        <v/>
      </c>
      <c r="V675" s="19" t="str">
        <f t="shared" si="177"/>
        <v/>
      </c>
      <c r="W675" s="73" t="str">
        <f t="shared" si="178"/>
        <v/>
      </c>
      <c r="X675" s="19" t="str">
        <f>IF($D675&lt;&gt;1,"",IF($G675="ROKS",$R675,IF($AI675=1,0,MAX($N675,$L675-SUMIFS(TblApplications[CPU IKS libérable (vCPU)],TblApplications[Cluster IKS source],$F675,TblApplications[Action],"À migrer",TblApplications[Mois prov (calc)],"&lt;="&amp;$E675)-SUMIFS(TblApplications[CPU IKS libérable (vCPU)],TblApplications[Cluster IKS source],$F675,TblApplications[Action],"À décommissionner",TblApplications[Mois lib (calc)],"&lt;="&amp;$E675)))))</f>
        <v/>
      </c>
      <c r="Y675" s="19" t="str">
        <f>IF($D675&lt;&gt;1,"",IF($G675="ROKS",$S675,IF($AI675=1,0,MAX($O675,$M675-SUMIFS(TblApplications[RAM IKS libérable (Go)],TblApplications[Cluster IKS source],$F675,TblApplications[Action],"À migrer",TblApplications[Mois prov (calc)],"&lt;="&amp;$E675)-SUMIFS(TblApplications[RAM IKS libérable (Go)],TblApplications[Cluster IKS source],$F675,TblApplications[Action],"À décommissionner",TblApplications[Mois lib (calc)],"&lt;="&amp;$E675)))))</f>
        <v/>
      </c>
      <c r="Z675" s="19" t="str">
        <f t="shared" si="179"/>
        <v/>
      </c>
      <c r="AA675" s="73" t="str">
        <f t="shared" si="180"/>
        <v/>
      </c>
      <c r="AB675" s="19" t="str">
        <f t="shared" si="181"/>
        <v/>
      </c>
      <c r="AC675" s="73" t="str">
        <f t="shared" si="182"/>
        <v/>
      </c>
      <c r="AD675" s="19" t="str">
        <f t="shared" si="183"/>
        <v/>
      </c>
      <c r="AE675" s="19" t="str">
        <f t="shared" si="184"/>
        <v/>
      </c>
      <c r="AF675" s="19" t="str">
        <f>IF($D675&lt;&gt;1,"",IF(INDEX(TblClusters[Environnement],$B675)="","(vide)",INDEX(TblClusters[Environnement],$B675)))</f>
        <v/>
      </c>
      <c r="AG675" s="19" t="str">
        <f t="shared" si="185"/>
        <v/>
      </c>
      <c r="AH675" s="19" t="str">
        <f t="shared" si="186"/>
        <v/>
      </c>
      <c r="AI675" s="19" t="str">
        <f>IF($D675&lt;&gt;1,"",IF(AND($G675="IKS",ISNUMBER(INDEX(TblClusters[Fermeture retenue],$B675))),IF($E675&gt;=INDEX(TblClusters[Fermeture retenue],$B675),1,0),0))</f>
        <v/>
      </c>
    </row>
    <row r="676" spans="1:35" x14ac:dyDescent="0.2">
      <c r="A676" s="19">
        <v>671</v>
      </c>
      <c r="B676" s="19">
        <f t="shared" si="170"/>
        <v>19</v>
      </c>
      <c r="C676" s="19">
        <f t="shared" si="171"/>
        <v>23</v>
      </c>
      <c r="D676" s="19">
        <f>IF($C676&gt;p_horizon,0,IFERROR(IF(AND(INDEX(TblClusters[Cluster],$B676)&lt;&gt;"",ISNUMBER(INDEX(TblClusters[CPU initial (vCPU)],$B676)),ISNUMBER(INDEX(TblClusters[CPU min (vCPU)],$B676)),OR(INDEX(TblClusters[Plateforme],$B676)="IKS",INDEX(TblClusters[Plateforme],$B676)="ROKS")),1,0),0))</f>
        <v>0</v>
      </c>
      <c r="E676" s="72" t="str">
        <f t="shared" si="172"/>
        <v/>
      </c>
      <c r="F676" s="19" t="str">
        <f>IF($D676=1,INDEX(TblClusters[Cluster],$B676),"")</f>
        <v/>
      </c>
      <c r="G676" s="19" t="str">
        <f>IF($D676=1,INDEX(TblClusters[Plateforme],$B676),"")</f>
        <v/>
      </c>
      <c r="H676" s="19" t="str">
        <f>IF($D676=1,INDEX(TblClusters[vCPU par nœud],$B676),"")</f>
        <v/>
      </c>
      <c r="I676" s="19" t="str">
        <f>IF($D676=1,INDEX(TblClusters[RAM par nœud (Go)],$B676),"")</f>
        <v/>
      </c>
      <c r="J676" s="19" t="str">
        <f>IF($D676=1,INDEX(TblClusters[Workers min],$B676),"")</f>
        <v/>
      </c>
      <c r="K676" s="73" t="str">
        <f>IF($D676=1,INDEX(TblClusters[Tarif par nœud],$B676),"")</f>
        <v/>
      </c>
      <c r="L676" s="19" t="str">
        <f>IF($D676=1,INDEX(TblClusters[CPU initial (vCPU)],$B676),"")</f>
        <v/>
      </c>
      <c r="M676" s="19" t="str">
        <f>IF($D676=1,INDEX(TblClusters[RAM initiale (Go)],$B676),"")</f>
        <v/>
      </c>
      <c r="N676" s="19" t="str">
        <f>IF($D676=1,INDEX(TblClusters[CPU min (vCPU)],$B676),"")</f>
        <v/>
      </c>
      <c r="O676" s="19" t="str">
        <f>IF($D676=1,INDEX(TblClusters[RAM min (Go)],$B676),"")</f>
        <v/>
      </c>
      <c r="P676" s="19" t="str">
        <f>IF($D676&lt;&gt;1,"",IF($G676="ROKS",SUMIFS(TblApplications[Besoin ROKS CPU (vCPU)],TblApplications[Cluster ROKS cible],$F676,TblApplications[Action],"À migrer",TblApplications[Déjà incluse ROKS],"Non",TblApplications[Mois prov (calc)],"&lt;="&amp;$E676),SUMIFS(TblApplications[CPU IKS libérable (vCPU)],TblApplications[Cluster IKS source],$F676,TblApplications[Mois lib (calc)],"&lt;="&amp;$E676)))</f>
        <v/>
      </c>
      <c r="Q676" s="19" t="str">
        <f>IF($D676&lt;&gt;1,"",IF($G676="ROKS",SUMIFS(TblApplications[Besoin ROKS RAM (Go)],TblApplications[Cluster ROKS cible],$F676,TblApplications[Action],"À migrer",TblApplications[Déjà incluse ROKS],"Non",TblApplications[Mois prov (calc)],"&lt;="&amp;$E676),SUMIFS(TblApplications[RAM IKS libérable (Go)],TblApplications[Cluster IKS source],$F676,TblApplications[Mois lib (calc)],"&lt;="&amp;$E676)))</f>
        <v/>
      </c>
      <c r="R676" s="19" t="str">
        <f t="shared" si="173"/>
        <v/>
      </c>
      <c r="S676" s="19" t="str">
        <f t="shared" si="174"/>
        <v/>
      </c>
      <c r="T676" s="19" t="str">
        <f t="shared" si="175"/>
        <v/>
      </c>
      <c r="U676" s="19" t="str">
        <f t="shared" si="176"/>
        <v/>
      </c>
      <c r="V676" s="19" t="str">
        <f t="shared" si="177"/>
        <v/>
      </c>
      <c r="W676" s="73" t="str">
        <f t="shared" si="178"/>
        <v/>
      </c>
      <c r="X676" s="19" t="str">
        <f>IF($D676&lt;&gt;1,"",IF($G676="ROKS",$R676,IF($AI676=1,0,MAX($N676,$L676-SUMIFS(TblApplications[CPU IKS libérable (vCPU)],TblApplications[Cluster IKS source],$F676,TblApplications[Action],"À migrer",TblApplications[Mois prov (calc)],"&lt;="&amp;$E676)-SUMIFS(TblApplications[CPU IKS libérable (vCPU)],TblApplications[Cluster IKS source],$F676,TblApplications[Action],"À décommissionner",TblApplications[Mois lib (calc)],"&lt;="&amp;$E676)))))</f>
        <v/>
      </c>
      <c r="Y676" s="19" t="str">
        <f>IF($D676&lt;&gt;1,"",IF($G676="ROKS",$S676,IF($AI676=1,0,MAX($O676,$M676-SUMIFS(TblApplications[RAM IKS libérable (Go)],TblApplications[Cluster IKS source],$F676,TblApplications[Action],"À migrer",TblApplications[Mois prov (calc)],"&lt;="&amp;$E676)-SUMIFS(TblApplications[RAM IKS libérable (Go)],TblApplications[Cluster IKS source],$F676,TblApplications[Action],"À décommissionner",TblApplications[Mois lib (calc)],"&lt;="&amp;$E676)))))</f>
        <v/>
      </c>
      <c r="Z676" s="19" t="str">
        <f t="shared" si="179"/>
        <v/>
      </c>
      <c r="AA676" s="73" t="str">
        <f t="shared" si="180"/>
        <v/>
      </c>
      <c r="AB676" s="19" t="str">
        <f t="shared" si="181"/>
        <v/>
      </c>
      <c r="AC676" s="73" t="str">
        <f t="shared" si="182"/>
        <v/>
      </c>
      <c r="AD676" s="19" t="str">
        <f t="shared" si="183"/>
        <v/>
      </c>
      <c r="AE676" s="19" t="str">
        <f t="shared" si="184"/>
        <v/>
      </c>
      <c r="AF676" s="19" t="str">
        <f>IF($D676&lt;&gt;1,"",IF(INDEX(TblClusters[Environnement],$B676)="","(vide)",INDEX(TblClusters[Environnement],$B676)))</f>
        <v/>
      </c>
      <c r="AG676" s="19" t="str">
        <f t="shared" si="185"/>
        <v/>
      </c>
      <c r="AH676" s="19" t="str">
        <f t="shared" si="186"/>
        <v/>
      </c>
      <c r="AI676" s="19" t="str">
        <f>IF($D676&lt;&gt;1,"",IF(AND($G676="IKS",ISNUMBER(INDEX(TblClusters[Fermeture retenue],$B676))),IF($E676&gt;=INDEX(TblClusters[Fermeture retenue],$B676),1,0),0))</f>
        <v/>
      </c>
    </row>
    <row r="677" spans="1:35" x14ac:dyDescent="0.2">
      <c r="A677" s="19">
        <v>672</v>
      </c>
      <c r="B677" s="19">
        <f t="shared" si="170"/>
        <v>19</v>
      </c>
      <c r="C677" s="19">
        <f t="shared" si="171"/>
        <v>24</v>
      </c>
      <c r="D677" s="19">
        <f>IF($C677&gt;p_horizon,0,IFERROR(IF(AND(INDEX(TblClusters[Cluster],$B677)&lt;&gt;"",ISNUMBER(INDEX(TblClusters[CPU initial (vCPU)],$B677)),ISNUMBER(INDEX(TblClusters[CPU min (vCPU)],$B677)),OR(INDEX(TblClusters[Plateforme],$B677)="IKS",INDEX(TblClusters[Plateforme],$B677)="ROKS")),1,0),0))</f>
        <v>0</v>
      </c>
      <c r="E677" s="72" t="str">
        <f t="shared" si="172"/>
        <v/>
      </c>
      <c r="F677" s="19" t="str">
        <f>IF($D677=1,INDEX(TblClusters[Cluster],$B677),"")</f>
        <v/>
      </c>
      <c r="G677" s="19" t="str">
        <f>IF($D677=1,INDEX(TblClusters[Plateforme],$B677),"")</f>
        <v/>
      </c>
      <c r="H677" s="19" t="str">
        <f>IF($D677=1,INDEX(TblClusters[vCPU par nœud],$B677),"")</f>
        <v/>
      </c>
      <c r="I677" s="19" t="str">
        <f>IF($D677=1,INDEX(TblClusters[RAM par nœud (Go)],$B677),"")</f>
        <v/>
      </c>
      <c r="J677" s="19" t="str">
        <f>IF($D677=1,INDEX(TblClusters[Workers min],$B677),"")</f>
        <v/>
      </c>
      <c r="K677" s="73" t="str">
        <f>IF($D677=1,INDEX(TblClusters[Tarif par nœud],$B677),"")</f>
        <v/>
      </c>
      <c r="L677" s="19" t="str">
        <f>IF($D677=1,INDEX(TblClusters[CPU initial (vCPU)],$B677),"")</f>
        <v/>
      </c>
      <c r="M677" s="19" t="str">
        <f>IF($D677=1,INDEX(TblClusters[RAM initiale (Go)],$B677),"")</f>
        <v/>
      </c>
      <c r="N677" s="19" t="str">
        <f>IF($D677=1,INDEX(TblClusters[CPU min (vCPU)],$B677),"")</f>
        <v/>
      </c>
      <c r="O677" s="19" t="str">
        <f>IF($D677=1,INDEX(TblClusters[RAM min (Go)],$B677),"")</f>
        <v/>
      </c>
      <c r="P677" s="19" t="str">
        <f>IF($D677&lt;&gt;1,"",IF($G677="ROKS",SUMIFS(TblApplications[Besoin ROKS CPU (vCPU)],TblApplications[Cluster ROKS cible],$F677,TblApplications[Action],"À migrer",TblApplications[Déjà incluse ROKS],"Non",TblApplications[Mois prov (calc)],"&lt;="&amp;$E677),SUMIFS(TblApplications[CPU IKS libérable (vCPU)],TblApplications[Cluster IKS source],$F677,TblApplications[Mois lib (calc)],"&lt;="&amp;$E677)))</f>
        <v/>
      </c>
      <c r="Q677" s="19" t="str">
        <f>IF($D677&lt;&gt;1,"",IF($G677="ROKS",SUMIFS(TblApplications[Besoin ROKS RAM (Go)],TblApplications[Cluster ROKS cible],$F677,TblApplications[Action],"À migrer",TblApplications[Déjà incluse ROKS],"Non",TblApplications[Mois prov (calc)],"&lt;="&amp;$E677),SUMIFS(TblApplications[RAM IKS libérable (Go)],TblApplications[Cluster IKS source],$F677,TblApplications[Mois lib (calc)],"&lt;="&amp;$E677)))</f>
        <v/>
      </c>
      <c r="R677" s="19" t="str">
        <f t="shared" si="173"/>
        <v/>
      </c>
      <c r="S677" s="19" t="str">
        <f t="shared" si="174"/>
        <v/>
      </c>
      <c r="T677" s="19" t="str">
        <f t="shared" si="175"/>
        <v/>
      </c>
      <c r="U677" s="19" t="str">
        <f t="shared" si="176"/>
        <v/>
      </c>
      <c r="V677" s="19" t="str">
        <f t="shared" si="177"/>
        <v/>
      </c>
      <c r="W677" s="73" t="str">
        <f t="shared" si="178"/>
        <v/>
      </c>
      <c r="X677" s="19" t="str">
        <f>IF($D677&lt;&gt;1,"",IF($G677="ROKS",$R677,IF($AI677=1,0,MAX($N677,$L677-SUMIFS(TblApplications[CPU IKS libérable (vCPU)],TblApplications[Cluster IKS source],$F677,TblApplications[Action],"À migrer",TblApplications[Mois prov (calc)],"&lt;="&amp;$E677)-SUMIFS(TblApplications[CPU IKS libérable (vCPU)],TblApplications[Cluster IKS source],$F677,TblApplications[Action],"À décommissionner",TblApplications[Mois lib (calc)],"&lt;="&amp;$E677)))))</f>
        <v/>
      </c>
      <c r="Y677" s="19" t="str">
        <f>IF($D677&lt;&gt;1,"",IF($G677="ROKS",$S677,IF($AI677=1,0,MAX($O677,$M677-SUMIFS(TblApplications[RAM IKS libérable (Go)],TblApplications[Cluster IKS source],$F677,TblApplications[Action],"À migrer",TblApplications[Mois prov (calc)],"&lt;="&amp;$E677)-SUMIFS(TblApplications[RAM IKS libérable (Go)],TblApplications[Cluster IKS source],$F677,TblApplications[Action],"À décommissionner",TblApplications[Mois lib (calc)],"&lt;="&amp;$E677)))))</f>
        <v/>
      </c>
      <c r="Z677" s="19" t="str">
        <f t="shared" si="179"/>
        <v/>
      </c>
      <c r="AA677" s="73" t="str">
        <f t="shared" si="180"/>
        <v/>
      </c>
      <c r="AB677" s="19" t="str">
        <f t="shared" si="181"/>
        <v/>
      </c>
      <c r="AC677" s="73" t="str">
        <f t="shared" si="182"/>
        <v/>
      </c>
      <c r="AD677" s="19" t="str">
        <f t="shared" si="183"/>
        <v/>
      </c>
      <c r="AE677" s="19" t="str">
        <f t="shared" si="184"/>
        <v/>
      </c>
      <c r="AF677" s="19" t="str">
        <f>IF($D677&lt;&gt;1,"",IF(INDEX(TblClusters[Environnement],$B677)="","(vide)",INDEX(TblClusters[Environnement],$B677)))</f>
        <v/>
      </c>
      <c r="AG677" s="19" t="str">
        <f t="shared" si="185"/>
        <v/>
      </c>
      <c r="AH677" s="19" t="str">
        <f t="shared" si="186"/>
        <v/>
      </c>
      <c r="AI677" s="19" t="str">
        <f>IF($D677&lt;&gt;1,"",IF(AND($G677="IKS",ISNUMBER(INDEX(TblClusters[Fermeture retenue],$B677))),IF($E677&gt;=INDEX(TblClusters[Fermeture retenue],$B677),1,0),0))</f>
        <v/>
      </c>
    </row>
    <row r="678" spans="1:35" x14ac:dyDescent="0.2">
      <c r="A678" s="19">
        <v>673</v>
      </c>
      <c r="B678" s="19">
        <f t="shared" si="170"/>
        <v>19</v>
      </c>
      <c r="C678" s="19">
        <f t="shared" si="171"/>
        <v>25</v>
      </c>
      <c r="D678" s="19">
        <f>IF($C678&gt;p_horizon,0,IFERROR(IF(AND(INDEX(TblClusters[Cluster],$B678)&lt;&gt;"",ISNUMBER(INDEX(TblClusters[CPU initial (vCPU)],$B678)),ISNUMBER(INDEX(TblClusters[CPU min (vCPU)],$B678)),OR(INDEX(TblClusters[Plateforme],$B678)="IKS",INDEX(TblClusters[Plateforme],$B678)="ROKS")),1,0),0))</f>
        <v>0</v>
      </c>
      <c r="E678" s="72" t="str">
        <f t="shared" si="172"/>
        <v/>
      </c>
      <c r="F678" s="19" t="str">
        <f>IF($D678=1,INDEX(TblClusters[Cluster],$B678),"")</f>
        <v/>
      </c>
      <c r="G678" s="19" t="str">
        <f>IF($D678=1,INDEX(TblClusters[Plateforme],$B678),"")</f>
        <v/>
      </c>
      <c r="H678" s="19" t="str">
        <f>IF($D678=1,INDEX(TblClusters[vCPU par nœud],$B678),"")</f>
        <v/>
      </c>
      <c r="I678" s="19" t="str">
        <f>IF($D678=1,INDEX(TblClusters[RAM par nœud (Go)],$B678),"")</f>
        <v/>
      </c>
      <c r="J678" s="19" t="str">
        <f>IF($D678=1,INDEX(TblClusters[Workers min],$B678),"")</f>
        <v/>
      </c>
      <c r="K678" s="73" t="str">
        <f>IF($D678=1,INDEX(TblClusters[Tarif par nœud],$B678),"")</f>
        <v/>
      </c>
      <c r="L678" s="19" t="str">
        <f>IF($D678=1,INDEX(TblClusters[CPU initial (vCPU)],$B678),"")</f>
        <v/>
      </c>
      <c r="M678" s="19" t="str">
        <f>IF($D678=1,INDEX(TblClusters[RAM initiale (Go)],$B678),"")</f>
        <v/>
      </c>
      <c r="N678" s="19" t="str">
        <f>IF($D678=1,INDEX(TblClusters[CPU min (vCPU)],$B678),"")</f>
        <v/>
      </c>
      <c r="O678" s="19" t="str">
        <f>IF($D678=1,INDEX(TblClusters[RAM min (Go)],$B678),"")</f>
        <v/>
      </c>
      <c r="P678" s="19" t="str">
        <f>IF($D678&lt;&gt;1,"",IF($G678="ROKS",SUMIFS(TblApplications[Besoin ROKS CPU (vCPU)],TblApplications[Cluster ROKS cible],$F678,TblApplications[Action],"À migrer",TblApplications[Déjà incluse ROKS],"Non",TblApplications[Mois prov (calc)],"&lt;="&amp;$E678),SUMIFS(TblApplications[CPU IKS libérable (vCPU)],TblApplications[Cluster IKS source],$F678,TblApplications[Mois lib (calc)],"&lt;="&amp;$E678)))</f>
        <v/>
      </c>
      <c r="Q678" s="19" t="str">
        <f>IF($D678&lt;&gt;1,"",IF($G678="ROKS",SUMIFS(TblApplications[Besoin ROKS RAM (Go)],TblApplications[Cluster ROKS cible],$F678,TblApplications[Action],"À migrer",TblApplications[Déjà incluse ROKS],"Non",TblApplications[Mois prov (calc)],"&lt;="&amp;$E678),SUMIFS(TblApplications[RAM IKS libérable (Go)],TblApplications[Cluster IKS source],$F678,TblApplications[Mois lib (calc)],"&lt;="&amp;$E678)))</f>
        <v/>
      </c>
      <c r="R678" s="19" t="str">
        <f t="shared" si="173"/>
        <v/>
      </c>
      <c r="S678" s="19" t="str">
        <f t="shared" si="174"/>
        <v/>
      </c>
      <c r="T678" s="19" t="str">
        <f t="shared" si="175"/>
        <v/>
      </c>
      <c r="U678" s="19" t="str">
        <f t="shared" si="176"/>
        <v/>
      </c>
      <c r="V678" s="19" t="str">
        <f t="shared" si="177"/>
        <v/>
      </c>
      <c r="W678" s="73" t="str">
        <f t="shared" si="178"/>
        <v/>
      </c>
      <c r="X678" s="19" t="str">
        <f>IF($D678&lt;&gt;1,"",IF($G678="ROKS",$R678,IF($AI678=1,0,MAX($N678,$L678-SUMIFS(TblApplications[CPU IKS libérable (vCPU)],TblApplications[Cluster IKS source],$F678,TblApplications[Action],"À migrer",TblApplications[Mois prov (calc)],"&lt;="&amp;$E678)-SUMIFS(TblApplications[CPU IKS libérable (vCPU)],TblApplications[Cluster IKS source],$F678,TblApplications[Action],"À décommissionner",TblApplications[Mois lib (calc)],"&lt;="&amp;$E678)))))</f>
        <v/>
      </c>
      <c r="Y678" s="19" t="str">
        <f>IF($D678&lt;&gt;1,"",IF($G678="ROKS",$S678,IF($AI678=1,0,MAX($O678,$M678-SUMIFS(TblApplications[RAM IKS libérable (Go)],TblApplications[Cluster IKS source],$F678,TblApplications[Action],"À migrer",TblApplications[Mois prov (calc)],"&lt;="&amp;$E678)-SUMIFS(TblApplications[RAM IKS libérable (Go)],TblApplications[Cluster IKS source],$F678,TblApplications[Action],"À décommissionner",TblApplications[Mois lib (calc)],"&lt;="&amp;$E678)))))</f>
        <v/>
      </c>
      <c r="Z678" s="19" t="str">
        <f t="shared" si="179"/>
        <v/>
      </c>
      <c r="AA678" s="73" t="str">
        <f t="shared" si="180"/>
        <v/>
      </c>
      <c r="AB678" s="19" t="str">
        <f t="shared" si="181"/>
        <v/>
      </c>
      <c r="AC678" s="73" t="str">
        <f t="shared" si="182"/>
        <v/>
      </c>
      <c r="AD678" s="19" t="str">
        <f t="shared" si="183"/>
        <v/>
      </c>
      <c r="AE678" s="19" t="str">
        <f t="shared" si="184"/>
        <v/>
      </c>
      <c r="AF678" s="19" t="str">
        <f>IF($D678&lt;&gt;1,"",IF(INDEX(TblClusters[Environnement],$B678)="","(vide)",INDEX(TblClusters[Environnement],$B678)))</f>
        <v/>
      </c>
      <c r="AG678" s="19" t="str">
        <f t="shared" si="185"/>
        <v/>
      </c>
      <c r="AH678" s="19" t="str">
        <f t="shared" si="186"/>
        <v/>
      </c>
      <c r="AI678" s="19" t="str">
        <f>IF($D678&lt;&gt;1,"",IF(AND($G678="IKS",ISNUMBER(INDEX(TblClusters[Fermeture retenue],$B678))),IF($E678&gt;=INDEX(TblClusters[Fermeture retenue],$B678),1,0),0))</f>
        <v/>
      </c>
    </row>
    <row r="679" spans="1:35" x14ac:dyDescent="0.2">
      <c r="A679" s="19">
        <v>674</v>
      </c>
      <c r="B679" s="19">
        <f t="shared" si="170"/>
        <v>19</v>
      </c>
      <c r="C679" s="19">
        <f t="shared" si="171"/>
        <v>26</v>
      </c>
      <c r="D679" s="19">
        <f>IF($C679&gt;p_horizon,0,IFERROR(IF(AND(INDEX(TblClusters[Cluster],$B679)&lt;&gt;"",ISNUMBER(INDEX(TblClusters[CPU initial (vCPU)],$B679)),ISNUMBER(INDEX(TblClusters[CPU min (vCPU)],$B679)),OR(INDEX(TblClusters[Plateforme],$B679)="IKS",INDEX(TblClusters[Plateforme],$B679)="ROKS")),1,0),0))</f>
        <v>0</v>
      </c>
      <c r="E679" s="72" t="str">
        <f t="shared" si="172"/>
        <v/>
      </c>
      <c r="F679" s="19" t="str">
        <f>IF($D679=1,INDEX(TblClusters[Cluster],$B679),"")</f>
        <v/>
      </c>
      <c r="G679" s="19" t="str">
        <f>IF($D679=1,INDEX(TblClusters[Plateforme],$B679),"")</f>
        <v/>
      </c>
      <c r="H679" s="19" t="str">
        <f>IF($D679=1,INDEX(TblClusters[vCPU par nœud],$B679),"")</f>
        <v/>
      </c>
      <c r="I679" s="19" t="str">
        <f>IF($D679=1,INDEX(TblClusters[RAM par nœud (Go)],$B679),"")</f>
        <v/>
      </c>
      <c r="J679" s="19" t="str">
        <f>IF($D679=1,INDEX(TblClusters[Workers min],$B679),"")</f>
        <v/>
      </c>
      <c r="K679" s="73" t="str">
        <f>IF($D679=1,INDEX(TblClusters[Tarif par nœud],$B679),"")</f>
        <v/>
      </c>
      <c r="L679" s="19" t="str">
        <f>IF($D679=1,INDEX(TblClusters[CPU initial (vCPU)],$B679),"")</f>
        <v/>
      </c>
      <c r="M679" s="19" t="str">
        <f>IF($D679=1,INDEX(TblClusters[RAM initiale (Go)],$B679),"")</f>
        <v/>
      </c>
      <c r="N679" s="19" t="str">
        <f>IF($D679=1,INDEX(TblClusters[CPU min (vCPU)],$B679),"")</f>
        <v/>
      </c>
      <c r="O679" s="19" t="str">
        <f>IF($D679=1,INDEX(TblClusters[RAM min (Go)],$B679),"")</f>
        <v/>
      </c>
      <c r="P679" s="19" t="str">
        <f>IF($D679&lt;&gt;1,"",IF($G679="ROKS",SUMIFS(TblApplications[Besoin ROKS CPU (vCPU)],TblApplications[Cluster ROKS cible],$F679,TblApplications[Action],"À migrer",TblApplications[Déjà incluse ROKS],"Non",TblApplications[Mois prov (calc)],"&lt;="&amp;$E679),SUMIFS(TblApplications[CPU IKS libérable (vCPU)],TblApplications[Cluster IKS source],$F679,TblApplications[Mois lib (calc)],"&lt;="&amp;$E679)))</f>
        <v/>
      </c>
      <c r="Q679" s="19" t="str">
        <f>IF($D679&lt;&gt;1,"",IF($G679="ROKS",SUMIFS(TblApplications[Besoin ROKS RAM (Go)],TblApplications[Cluster ROKS cible],$F679,TblApplications[Action],"À migrer",TblApplications[Déjà incluse ROKS],"Non",TblApplications[Mois prov (calc)],"&lt;="&amp;$E679),SUMIFS(TblApplications[RAM IKS libérable (Go)],TblApplications[Cluster IKS source],$F679,TblApplications[Mois lib (calc)],"&lt;="&amp;$E679)))</f>
        <v/>
      </c>
      <c r="R679" s="19" t="str">
        <f t="shared" si="173"/>
        <v/>
      </c>
      <c r="S679" s="19" t="str">
        <f t="shared" si="174"/>
        <v/>
      </c>
      <c r="T679" s="19" t="str">
        <f t="shared" si="175"/>
        <v/>
      </c>
      <c r="U679" s="19" t="str">
        <f t="shared" si="176"/>
        <v/>
      </c>
      <c r="V679" s="19" t="str">
        <f t="shared" si="177"/>
        <v/>
      </c>
      <c r="W679" s="73" t="str">
        <f t="shared" si="178"/>
        <v/>
      </c>
      <c r="X679" s="19" t="str">
        <f>IF($D679&lt;&gt;1,"",IF($G679="ROKS",$R679,IF($AI679=1,0,MAX($N679,$L679-SUMIFS(TblApplications[CPU IKS libérable (vCPU)],TblApplications[Cluster IKS source],$F679,TblApplications[Action],"À migrer",TblApplications[Mois prov (calc)],"&lt;="&amp;$E679)-SUMIFS(TblApplications[CPU IKS libérable (vCPU)],TblApplications[Cluster IKS source],$F679,TblApplications[Action],"À décommissionner",TblApplications[Mois lib (calc)],"&lt;="&amp;$E679)))))</f>
        <v/>
      </c>
      <c r="Y679" s="19" t="str">
        <f>IF($D679&lt;&gt;1,"",IF($G679="ROKS",$S679,IF($AI679=1,0,MAX($O679,$M679-SUMIFS(TblApplications[RAM IKS libérable (Go)],TblApplications[Cluster IKS source],$F679,TblApplications[Action],"À migrer",TblApplications[Mois prov (calc)],"&lt;="&amp;$E679)-SUMIFS(TblApplications[RAM IKS libérable (Go)],TblApplications[Cluster IKS source],$F679,TblApplications[Action],"À décommissionner",TblApplications[Mois lib (calc)],"&lt;="&amp;$E679)))))</f>
        <v/>
      </c>
      <c r="Z679" s="19" t="str">
        <f t="shared" si="179"/>
        <v/>
      </c>
      <c r="AA679" s="73" t="str">
        <f t="shared" si="180"/>
        <v/>
      </c>
      <c r="AB679" s="19" t="str">
        <f t="shared" si="181"/>
        <v/>
      </c>
      <c r="AC679" s="73" t="str">
        <f t="shared" si="182"/>
        <v/>
      </c>
      <c r="AD679" s="19" t="str">
        <f t="shared" si="183"/>
        <v/>
      </c>
      <c r="AE679" s="19" t="str">
        <f t="shared" si="184"/>
        <v/>
      </c>
      <c r="AF679" s="19" t="str">
        <f>IF($D679&lt;&gt;1,"",IF(INDEX(TblClusters[Environnement],$B679)="","(vide)",INDEX(TblClusters[Environnement],$B679)))</f>
        <v/>
      </c>
      <c r="AG679" s="19" t="str">
        <f t="shared" si="185"/>
        <v/>
      </c>
      <c r="AH679" s="19" t="str">
        <f t="shared" si="186"/>
        <v/>
      </c>
      <c r="AI679" s="19" t="str">
        <f>IF($D679&lt;&gt;1,"",IF(AND($G679="IKS",ISNUMBER(INDEX(TblClusters[Fermeture retenue],$B679))),IF($E679&gt;=INDEX(TblClusters[Fermeture retenue],$B679),1,0),0))</f>
        <v/>
      </c>
    </row>
    <row r="680" spans="1:35" x14ac:dyDescent="0.2">
      <c r="A680" s="19">
        <v>675</v>
      </c>
      <c r="B680" s="19">
        <f t="shared" si="170"/>
        <v>19</v>
      </c>
      <c r="C680" s="19">
        <f t="shared" si="171"/>
        <v>27</v>
      </c>
      <c r="D680" s="19">
        <f>IF($C680&gt;p_horizon,0,IFERROR(IF(AND(INDEX(TblClusters[Cluster],$B680)&lt;&gt;"",ISNUMBER(INDEX(TblClusters[CPU initial (vCPU)],$B680)),ISNUMBER(INDEX(TblClusters[CPU min (vCPU)],$B680)),OR(INDEX(TblClusters[Plateforme],$B680)="IKS",INDEX(TblClusters[Plateforme],$B680)="ROKS")),1,0),0))</f>
        <v>0</v>
      </c>
      <c r="E680" s="72" t="str">
        <f t="shared" si="172"/>
        <v/>
      </c>
      <c r="F680" s="19" t="str">
        <f>IF($D680=1,INDEX(TblClusters[Cluster],$B680),"")</f>
        <v/>
      </c>
      <c r="G680" s="19" t="str">
        <f>IF($D680=1,INDEX(TblClusters[Plateforme],$B680),"")</f>
        <v/>
      </c>
      <c r="H680" s="19" t="str">
        <f>IF($D680=1,INDEX(TblClusters[vCPU par nœud],$B680),"")</f>
        <v/>
      </c>
      <c r="I680" s="19" t="str">
        <f>IF($D680=1,INDEX(TblClusters[RAM par nœud (Go)],$B680),"")</f>
        <v/>
      </c>
      <c r="J680" s="19" t="str">
        <f>IF($D680=1,INDEX(TblClusters[Workers min],$B680),"")</f>
        <v/>
      </c>
      <c r="K680" s="73" t="str">
        <f>IF($D680=1,INDEX(TblClusters[Tarif par nœud],$B680),"")</f>
        <v/>
      </c>
      <c r="L680" s="19" t="str">
        <f>IF($D680=1,INDEX(TblClusters[CPU initial (vCPU)],$B680),"")</f>
        <v/>
      </c>
      <c r="M680" s="19" t="str">
        <f>IF($D680=1,INDEX(TblClusters[RAM initiale (Go)],$B680),"")</f>
        <v/>
      </c>
      <c r="N680" s="19" t="str">
        <f>IF($D680=1,INDEX(TblClusters[CPU min (vCPU)],$B680),"")</f>
        <v/>
      </c>
      <c r="O680" s="19" t="str">
        <f>IF($D680=1,INDEX(TblClusters[RAM min (Go)],$B680),"")</f>
        <v/>
      </c>
      <c r="P680" s="19" t="str">
        <f>IF($D680&lt;&gt;1,"",IF($G680="ROKS",SUMIFS(TblApplications[Besoin ROKS CPU (vCPU)],TblApplications[Cluster ROKS cible],$F680,TblApplications[Action],"À migrer",TblApplications[Déjà incluse ROKS],"Non",TblApplications[Mois prov (calc)],"&lt;="&amp;$E680),SUMIFS(TblApplications[CPU IKS libérable (vCPU)],TblApplications[Cluster IKS source],$F680,TblApplications[Mois lib (calc)],"&lt;="&amp;$E680)))</f>
        <v/>
      </c>
      <c r="Q680" s="19" t="str">
        <f>IF($D680&lt;&gt;1,"",IF($G680="ROKS",SUMIFS(TblApplications[Besoin ROKS RAM (Go)],TblApplications[Cluster ROKS cible],$F680,TblApplications[Action],"À migrer",TblApplications[Déjà incluse ROKS],"Non",TblApplications[Mois prov (calc)],"&lt;="&amp;$E680),SUMIFS(TblApplications[RAM IKS libérable (Go)],TblApplications[Cluster IKS source],$F680,TblApplications[Mois lib (calc)],"&lt;="&amp;$E680)))</f>
        <v/>
      </c>
      <c r="R680" s="19" t="str">
        <f t="shared" si="173"/>
        <v/>
      </c>
      <c r="S680" s="19" t="str">
        <f t="shared" si="174"/>
        <v/>
      </c>
      <c r="T680" s="19" t="str">
        <f t="shared" si="175"/>
        <v/>
      </c>
      <c r="U680" s="19" t="str">
        <f t="shared" si="176"/>
        <v/>
      </c>
      <c r="V680" s="19" t="str">
        <f t="shared" si="177"/>
        <v/>
      </c>
      <c r="W680" s="73" t="str">
        <f t="shared" si="178"/>
        <v/>
      </c>
      <c r="X680" s="19" t="str">
        <f>IF($D680&lt;&gt;1,"",IF($G680="ROKS",$R680,IF($AI680=1,0,MAX($N680,$L680-SUMIFS(TblApplications[CPU IKS libérable (vCPU)],TblApplications[Cluster IKS source],$F680,TblApplications[Action],"À migrer",TblApplications[Mois prov (calc)],"&lt;="&amp;$E680)-SUMIFS(TblApplications[CPU IKS libérable (vCPU)],TblApplications[Cluster IKS source],$F680,TblApplications[Action],"À décommissionner",TblApplications[Mois lib (calc)],"&lt;="&amp;$E680)))))</f>
        <v/>
      </c>
      <c r="Y680" s="19" t="str">
        <f>IF($D680&lt;&gt;1,"",IF($G680="ROKS",$S680,IF($AI680=1,0,MAX($O680,$M680-SUMIFS(TblApplications[RAM IKS libérable (Go)],TblApplications[Cluster IKS source],$F680,TblApplications[Action],"À migrer",TblApplications[Mois prov (calc)],"&lt;="&amp;$E680)-SUMIFS(TblApplications[RAM IKS libérable (Go)],TblApplications[Cluster IKS source],$F680,TblApplications[Action],"À décommissionner",TblApplications[Mois lib (calc)],"&lt;="&amp;$E680)))))</f>
        <v/>
      </c>
      <c r="Z680" s="19" t="str">
        <f t="shared" si="179"/>
        <v/>
      </c>
      <c r="AA680" s="73" t="str">
        <f t="shared" si="180"/>
        <v/>
      </c>
      <c r="AB680" s="19" t="str">
        <f t="shared" si="181"/>
        <v/>
      </c>
      <c r="AC680" s="73" t="str">
        <f t="shared" si="182"/>
        <v/>
      </c>
      <c r="AD680" s="19" t="str">
        <f t="shared" si="183"/>
        <v/>
      </c>
      <c r="AE680" s="19" t="str">
        <f t="shared" si="184"/>
        <v/>
      </c>
      <c r="AF680" s="19" t="str">
        <f>IF($D680&lt;&gt;1,"",IF(INDEX(TblClusters[Environnement],$B680)="","(vide)",INDEX(TblClusters[Environnement],$B680)))</f>
        <v/>
      </c>
      <c r="AG680" s="19" t="str">
        <f t="shared" si="185"/>
        <v/>
      </c>
      <c r="AH680" s="19" t="str">
        <f t="shared" si="186"/>
        <v/>
      </c>
      <c r="AI680" s="19" t="str">
        <f>IF($D680&lt;&gt;1,"",IF(AND($G680="IKS",ISNUMBER(INDEX(TblClusters[Fermeture retenue],$B680))),IF($E680&gt;=INDEX(TblClusters[Fermeture retenue],$B680),1,0),0))</f>
        <v/>
      </c>
    </row>
    <row r="681" spans="1:35" x14ac:dyDescent="0.2">
      <c r="A681" s="19">
        <v>676</v>
      </c>
      <c r="B681" s="19">
        <f t="shared" si="170"/>
        <v>19</v>
      </c>
      <c r="C681" s="19">
        <f t="shared" si="171"/>
        <v>28</v>
      </c>
      <c r="D681" s="19">
        <f>IF($C681&gt;p_horizon,0,IFERROR(IF(AND(INDEX(TblClusters[Cluster],$B681)&lt;&gt;"",ISNUMBER(INDEX(TblClusters[CPU initial (vCPU)],$B681)),ISNUMBER(INDEX(TblClusters[CPU min (vCPU)],$B681)),OR(INDEX(TblClusters[Plateforme],$B681)="IKS",INDEX(TblClusters[Plateforme],$B681)="ROKS")),1,0),0))</f>
        <v>0</v>
      </c>
      <c r="E681" s="72" t="str">
        <f t="shared" si="172"/>
        <v/>
      </c>
      <c r="F681" s="19" t="str">
        <f>IF($D681=1,INDEX(TblClusters[Cluster],$B681),"")</f>
        <v/>
      </c>
      <c r="G681" s="19" t="str">
        <f>IF($D681=1,INDEX(TblClusters[Plateforme],$B681),"")</f>
        <v/>
      </c>
      <c r="H681" s="19" t="str">
        <f>IF($D681=1,INDEX(TblClusters[vCPU par nœud],$B681),"")</f>
        <v/>
      </c>
      <c r="I681" s="19" t="str">
        <f>IF($D681=1,INDEX(TblClusters[RAM par nœud (Go)],$B681),"")</f>
        <v/>
      </c>
      <c r="J681" s="19" t="str">
        <f>IF($D681=1,INDEX(TblClusters[Workers min],$B681),"")</f>
        <v/>
      </c>
      <c r="K681" s="73" t="str">
        <f>IF($D681=1,INDEX(TblClusters[Tarif par nœud],$B681),"")</f>
        <v/>
      </c>
      <c r="L681" s="19" t="str">
        <f>IF($D681=1,INDEX(TblClusters[CPU initial (vCPU)],$B681),"")</f>
        <v/>
      </c>
      <c r="M681" s="19" t="str">
        <f>IF($D681=1,INDEX(TblClusters[RAM initiale (Go)],$B681),"")</f>
        <v/>
      </c>
      <c r="N681" s="19" t="str">
        <f>IF($D681=1,INDEX(TblClusters[CPU min (vCPU)],$B681),"")</f>
        <v/>
      </c>
      <c r="O681" s="19" t="str">
        <f>IF($D681=1,INDEX(TblClusters[RAM min (Go)],$B681),"")</f>
        <v/>
      </c>
      <c r="P681" s="19" t="str">
        <f>IF($D681&lt;&gt;1,"",IF($G681="ROKS",SUMIFS(TblApplications[Besoin ROKS CPU (vCPU)],TblApplications[Cluster ROKS cible],$F681,TblApplications[Action],"À migrer",TblApplications[Déjà incluse ROKS],"Non",TblApplications[Mois prov (calc)],"&lt;="&amp;$E681),SUMIFS(TblApplications[CPU IKS libérable (vCPU)],TblApplications[Cluster IKS source],$F681,TblApplications[Mois lib (calc)],"&lt;="&amp;$E681)))</f>
        <v/>
      </c>
      <c r="Q681" s="19" t="str">
        <f>IF($D681&lt;&gt;1,"",IF($G681="ROKS",SUMIFS(TblApplications[Besoin ROKS RAM (Go)],TblApplications[Cluster ROKS cible],$F681,TblApplications[Action],"À migrer",TblApplications[Déjà incluse ROKS],"Non",TblApplications[Mois prov (calc)],"&lt;="&amp;$E681),SUMIFS(TblApplications[RAM IKS libérable (Go)],TblApplications[Cluster IKS source],$F681,TblApplications[Mois lib (calc)],"&lt;="&amp;$E681)))</f>
        <v/>
      </c>
      <c r="R681" s="19" t="str">
        <f t="shared" si="173"/>
        <v/>
      </c>
      <c r="S681" s="19" t="str">
        <f t="shared" si="174"/>
        <v/>
      </c>
      <c r="T681" s="19" t="str">
        <f t="shared" si="175"/>
        <v/>
      </c>
      <c r="U681" s="19" t="str">
        <f t="shared" si="176"/>
        <v/>
      </c>
      <c r="V681" s="19" t="str">
        <f t="shared" si="177"/>
        <v/>
      </c>
      <c r="W681" s="73" t="str">
        <f t="shared" si="178"/>
        <v/>
      </c>
      <c r="X681" s="19" t="str">
        <f>IF($D681&lt;&gt;1,"",IF($G681="ROKS",$R681,IF($AI681=1,0,MAX($N681,$L681-SUMIFS(TblApplications[CPU IKS libérable (vCPU)],TblApplications[Cluster IKS source],$F681,TblApplications[Action],"À migrer",TblApplications[Mois prov (calc)],"&lt;="&amp;$E681)-SUMIFS(TblApplications[CPU IKS libérable (vCPU)],TblApplications[Cluster IKS source],$F681,TblApplications[Action],"À décommissionner",TblApplications[Mois lib (calc)],"&lt;="&amp;$E681)))))</f>
        <v/>
      </c>
      <c r="Y681" s="19" t="str">
        <f>IF($D681&lt;&gt;1,"",IF($G681="ROKS",$S681,IF($AI681=1,0,MAX($O681,$M681-SUMIFS(TblApplications[RAM IKS libérable (Go)],TblApplications[Cluster IKS source],$F681,TblApplications[Action],"À migrer",TblApplications[Mois prov (calc)],"&lt;="&amp;$E681)-SUMIFS(TblApplications[RAM IKS libérable (Go)],TblApplications[Cluster IKS source],$F681,TblApplications[Action],"À décommissionner",TblApplications[Mois lib (calc)],"&lt;="&amp;$E681)))))</f>
        <v/>
      </c>
      <c r="Z681" s="19" t="str">
        <f t="shared" si="179"/>
        <v/>
      </c>
      <c r="AA681" s="73" t="str">
        <f t="shared" si="180"/>
        <v/>
      </c>
      <c r="AB681" s="19" t="str">
        <f t="shared" si="181"/>
        <v/>
      </c>
      <c r="AC681" s="73" t="str">
        <f t="shared" si="182"/>
        <v/>
      </c>
      <c r="AD681" s="19" t="str">
        <f t="shared" si="183"/>
        <v/>
      </c>
      <c r="AE681" s="19" t="str">
        <f t="shared" si="184"/>
        <v/>
      </c>
      <c r="AF681" s="19" t="str">
        <f>IF($D681&lt;&gt;1,"",IF(INDEX(TblClusters[Environnement],$B681)="","(vide)",INDEX(TblClusters[Environnement],$B681)))</f>
        <v/>
      </c>
      <c r="AG681" s="19" t="str">
        <f t="shared" si="185"/>
        <v/>
      </c>
      <c r="AH681" s="19" t="str">
        <f t="shared" si="186"/>
        <v/>
      </c>
      <c r="AI681" s="19" t="str">
        <f>IF($D681&lt;&gt;1,"",IF(AND($G681="IKS",ISNUMBER(INDEX(TblClusters[Fermeture retenue],$B681))),IF($E681&gt;=INDEX(TblClusters[Fermeture retenue],$B681),1,0),0))</f>
        <v/>
      </c>
    </row>
    <row r="682" spans="1:35" x14ac:dyDescent="0.2">
      <c r="A682" s="19">
        <v>677</v>
      </c>
      <c r="B682" s="19">
        <f t="shared" si="170"/>
        <v>19</v>
      </c>
      <c r="C682" s="19">
        <f t="shared" si="171"/>
        <v>29</v>
      </c>
      <c r="D682" s="19">
        <f>IF($C682&gt;p_horizon,0,IFERROR(IF(AND(INDEX(TblClusters[Cluster],$B682)&lt;&gt;"",ISNUMBER(INDEX(TblClusters[CPU initial (vCPU)],$B682)),ISNUMBER(INDEX(TblClusters[CPU min (vCPU)],$B682)),OR(INDEX(TblClusters[Plateforme],$B682)="IKS",INDEX(TblClusters[Plateforme],$B682)="ROKS")),1,0),0))</f>
        <v>0</v>
      </c>
      <c r="E682" s="72" t="str">
        <f t="shared" si="172"/>
        <v/>
      </c>
      <c r="F682" s="19" t="str">
        <f>IF($D682=1,INDEX(TblClusters[Cluster],$B682),"")</f>
        <v/>
      </c>
      <c r="G682" s="19" t="str">
        <f>IF($D682=1,INDEX(TblClusters[Plateforme],$B682),"")</f>
        <v/>
      </c>
      <c r="H682" s="19" t="str">
        <f>IF($D682=1,INDEX(TblClusters[vCPU par nœud],$B682),"")</f>
        <v/>
      </c>
      <c r="I682" s="19" t="str">
        <f>IF($D682=1,INDEX(TblClusters[RAM par nœud (Go)],$B682),"")</f>
        <v/>
      </c>
      <c r="J682" s="19" t="str">
        <f>IF($D682=1,INDEX(TblClusters[Workers min],$B682),"")</f>
        <v/>
      </c>
      <c r="K682" s="73" t="str">
        <f>IF($D682=1,INDEX(TblClusters[Tarif par nœud],$B682),"")</f>
        <v/>
      </c>
      <c r="L682" s="19" t="str">
        <f>IF($D682=1,INDEX(TblClusters[CPU initial (vCPU)],$B682),"")</f>
        <v/>
      </c>
      <c r="M682" s="19" t="str">
        <f>IF($D682=1,INDEX(TblClusters[RAM initiale (Go)],$B682),"")</f>
        <v/>
      </c>
      <c r="N682" s="19" t="str">
        <f>IF($D682=1,INDEX(TblClusters[CPU min (vCPU)],$B682),"")</f>
        <v/>
      </c>
      <c r="O682" s="19" t="str">
        <f>IF($D682=1,INDEX(TblClusters[RAM min (Go)],$B682),"")</f>
        <v/>
      </c>
      <c r="P682" s="19" t="str">
        <f>IF($D682&lt;&gt;1,"",IF($G682="ROKS",SUMIFS(TblApplications[Besoin ROKS CPU (vCPU)],TblApplications[Cluster ROKS cible],$F682,TblApplications[Action],"À migrer",TblApplications[Déjà incluse ROKS],"Non",TblApplications[Mois prov (calc)],"&lt;="&amp;$E682),SUMIFS(TblApplications[CPU IKS libérable (vCPU)],TblApplications[Cluster IKS source],$F682,TblApplications[Mois lib (calc)],"&lt;="&amp;$E682)))</f>
        <v/>
      </c>
      <c r="Q682" s="19" t="str">
        <f>IF($D682&lt;&gt;1,"",IF($G682="ROKS",SUMIFS(TblApplications[Besoin ROKS RAM (Go)],TblApplications[Cluster ROKS cible],$F682,TblApplications[Action],"À migrer",TblApplications[Déjà incluse ROKS],"Non",TblApplications[Mois prov (calc)],"&lt;="&amp;$E682),SUMIFS(TblApplications[RAM IKS libérable (Go)],TblApplications[Cluster IKS source],$F682,TblApplications[Mois lib (calc)],"&lt;="&amp;$E682)))</f>
        <v/>
      </c>
      <c r="R682" s="19" t="str">
        <f t="shared" si="173"/>
        <v/>
      </c>
      <c r="S682" s="19" t="str">
        <f t="shared" si="174"/>
        <v/>
      </c>
      <c r="T682" s="19" t="str">
        <f t="shared" si="175"/>
        <v/>
      </c>
      <c r="U682" s="19" t="str">
        <f t="shared" si="176"/>
        <v/>
      </c>
      <c r="V682" s="19" t="str">
        <f t="shared" si="177"/>
        <v/>
      </c>
      <c r="W682" s="73" t="str">
        <f t="shared" si="178"/>
        <v/>
      </c>
      <c r="X682" s="19" t="str">
        <f>IF($D682&lt;&gt;1,"",IF($G682="ROKS",$R682,IF($AI682=1,0,MAX($N682,$L682-SUMIFS(TblApplications[CPU IKS libérable (vCPU)],TblApplications[Cluster IKS source],$F682,TblApplications[Action],"À migrer",TblApplications[Mois prov (calc)],"&lt;="&amp;$E682)-SUMIFS(TblApplications[CPU IKS libérable (vCPU)],TblApplications[Cluster IKS source],$F682,TblApplications[Action],"À décommissionner",TblApplications[Mois lib (calc)],"&lt;="&amp;$E682)))))</f>
        <v/>
      </c>
      <c r="Y682" s="19" t="str">
        <f>IF($D682&lt;&gt;1,"",IF($G682="ROKS",$S682,IF($AI682=1,0,MAX($O682,$M682-SUMIFS(TblApplications[RAM IKS libérable (Go)],TblApplications[Cluster IKS source],$F682,TblApplications[Action],"À migrer",TblApplications[Mois prov (calc)],"&lt;="&amp;$E682)-SUMIFS(TblApplications[RAM IKS libérable (Go)],TblApplications[Cluster IKS source],$F682,TblApplications[Action],"À décommissionner",TblApplications[Mois lib (calc)],"&lt;="&amp;$E682)))))</f>
        <v/>
      </c>
      <c r="Z682" s="19" t="str">
        <f t="shared" si="179"/>
        <v/>
      </c>
      <c r="AA682" s="73" t="str">
        <f t="shared" si="180"/>
        <v/>
      </c>
      <c r="AB682" s="19" t="str">
        <f t="shared" si="181"/>
        <v/>
      </c>
      <c r="AC682" s="73" t="str">
        <f t="shared" si="182"/>
        <v/>
      </c>
      <c r="AD682" s="19" t="str">
        <f t="shared" si="183"/>
        <v/>
      </c>
      <c r="AE682" s="19" t="str">
        <f t="shared" si="184"/>
        <v/>
      </c>
      <c r="AF682" s="19" t="str">
        <f>IF($D682&lt;&gt;1,"",IF(INDEX(TblClusters[Environnement],$B682)="","(vide)",INDEX(TblClusters[Environnement],$B682)))</f>
        <v/>
      </c>
      <c r="AG682" s="19" t="str">
        <f t="shared" si="185"/>
        <v/>
      </c>
      <c r="AH682" s="19" t="str">
        <f t="shared" si="186"/>
        <v/>
      </c>
      <c r="AI682" s="19" t="str">
        <f>IF($D682&lt;&gt;1,"",IF(AND($G682="IKS",ISNUMBER(INDEX(TblClusters[Fermeture retenue],$B682))),IF($E682&gt;=INDEX(TblClusters[Fermeture retenue],$B682),1,0),0))</f>
        <v/>
      </c>
    </row>
    <row r="683" spans="1:35" x14ac:dyDescent="0.2">
      <c r="A683" s="19">
        <v>678</v>
      </c>
      <c r="B683" s="19">
        <f t="shared" si="170"/>
        <v>19</v>
      </c>
      <c r="C683" s="19">
        <f t="shared" si="171"/>
        <v>30</v>
      </c>
      <c r="D683" s="19">
        <f>IF($C683&gt;p_horizon,0,IFERROR(IF(AND(INDEX(TblClusters[Cluster],$B683)&lt;&gt;"",ISNUMBER(INDEX(TblClusters[CPU initial (vCPU)],$B683)),ISNUMBER(INDEX(TblClusters[CPU min (vCPU)],$B683)),OR(INDEX(TblClusters[Plateforme],$B683)="IKS",INDEX(TblClusters[Plateforme],$B683)="ROKS")),1,0),0))</f>
        <v>0</v>
      </c>
      <c r="E683" s="72" t="str">
        <f t="shared" si="172"/>
        <v/>
      </c>
      <c r="F683" s="19" t="str">
        <f>IF($D683=1,INDEX(TblClusters[Cluster],$B683),"")</f>
        <v/>
      </c>
      <c r="G683" s="19" t="str">
        <f>IF($D683=1,INDEX(TblClusters[Plateforme],$B683),"")</f>
        <v/>
      </c>
      <c r="H683" s="19" t="str">
        <f>IF($D683=1,INDEX(TblClusters[vCPU par nœud],$B683),"")</f>
        <v/>
      </c>
      <c r="I683" s="19" t="str">
        <f>IF($D683=1,INDEX(TblClusters[RAM par nœud (Go)],$B683),"")</f>
        <v/>
      </c>
      <c r="J683" s="19" t="str">
        <f>IF($D683=1,INDEX(TblClusters[Workers min],$B683),"")</f>
        <v/>
      </c>
      <c r="K683" s="73" t="str">
        <f>IF($D683=1,INDEX(TblClusters[Tarif par nœud],$B683),"")</f>
        <v/>
      </c>
      <c r="L683" s="19" t="str">
        <f>IF($D683=1,INDEX(TblClusters[CPU initial (vCPU)],$B683),"")</f>
        <v/>
      </c>
      <c r="M683" s="19" t="str">
        <f>IF($D683=1,INDEX(TblClusters[RAM initiale (Go)],$B683),"")</f>
        <v/>
      </c>
      <c r="N683" s="19" t="str">
        <f>IF($D683=1,INDEX(TblClusters[CPU min (vCPU)],$B683),"")</f>
        <v/>
      </c>
      <c r="O683" s="19" t="str">
        <f>IF($D683=1,INDEX(TblClusters[RAM min (Go)],$B683),"")</f>
        <v/>
      </c>
      <c r="P683" s="19" t="str">
        <f>IF($D683&lt;&gt;1,"",IF($G683="ROKS",SUMIFS(TblApplications[Besoin ROKS CPU (vCPU)],TblApplications[Cluster ROKS cible],$F683,TblApplications[Action],"À migrer",TblApplications[Déjà incluse ROKS],"Non",TblApplications[Mois prov (calc)],"&lt;="&amp;$E683),SUMIFS(TblApplications[CPU IKS libérable (vCPU)],TblApplications[Cluster IKS source],$F683,TblApplications[Mois lib (calc)],"&lt;="&amp;$E683)))</f>
        <v/>
      </c>
      <c r="Q683" s="19" t="str">
        <f>IF($D683&lt;&gt;1,"",IF($G683="ROKS",SUMIFS(TblApplications[Besoin ROKS RAM (Go)],TblApplications[Cluster ROKS cible],$F683,TblApplications[Action],"À migrer",TblApplications[Déjà incluse ROKS],"Non",TblApplications[Mois prov (calc)],"&lt;="&amp;$E683),SUMIFS(TblApplications[RAM IKS libérable (Go)],TblApplications[Cluster IKS source],$F683,TblApplications[Mois lib (calc)],"&lt;="&amp;$E683)))</f>
        <v/>
      </c>
      <c r="R683" s="19" t="str">
        <f t="shared" si="173"/>
        <v/>
      </c>
      <c r="S683" s="19" t="str">
        <f t="shared" si="174"/>
        <v/>
      </c>
      <c r="T683" s="19" t="str">
        <f t="shared" si="175"/>
        <v/>
      </c>
      <c r="U683" s="19" t="str">
        <f t="shared" si="176"/>
        <v/>
      </c>
      <c r="V683" s="19" t="str">
        <f t="shared" si="177"/>
        <v/>
      </c>
      <c r="W683" s="73" t="str">
        <f t="shared" si="178"/>
        <v/>
      </c>
      <c r="X683" s="19" t="str">
        <f>IF($D683&lt;&gt;1,"",IF($G683="ROKS",$R683,IF($AI683=1,0,MAX($N683,$L683-SUMIFS(TblApplications[CPU IKS libérable (vCPU)],TblApplications[Cluster IKS source],$F683,TblApplications[Action],"À migrer",TblApplications[Mois prov (calc)],"&lt;="&amp;$E683)-SUMIFS(TblApplications[CPU IKS libérable (vCPU)],TblApplications[Cluster IKS source],$F683,TblApplications[Action],"À décommissionner",TblApplications[Mois lib (calc)],"&lt;="&amp;$E683)))))</f>
        <v/>
      </c>
      <c r="Y683" s="19" t="str">
        <f>IF($D683&lt;&gt;1,"",IF($G683="ROKS",$S683,IF($AI683=1,0,MAX($O683,$M683-SUMIFS(TblApplications[RAM IKS libérable (Go)],TblApplications[Cluster IKS source],$F683,TblApplications[Action],"À migrer",TblApplications[Mois prov (calc)],"&lt;="&amp;$E683)-SUMIFS(TblApplications[RAM IKS libérable (Go)],TblApplications[Cluster IKS source],$F683,TblApplications[Action],"À décommissionner",TblApplications[Mois lib (calc)],"&lt;="&amp;$E683)))))</f>
        <v/>
      </c>
      <c r="Z683" s="19" t="str">
        <f t="shared" si="179"/>
        <v/>
      </c>
      <c r="AA683" s="73" t="str">
        <f t="shared" si="180"/>
        <v/>
      </c>
      <c r="AB683" s="19" t="str">
        <f t="shared" si="181"/>
        <v/>
      </c>
      <c r="AC683" s="73" t="str">
        <f t="shared" si="182"/>
        <v/>
      </c>
      <c r="AD683" s="19" t="str">
        <f t="shared" si="183"/>
        <v/>
      </c>
      <c r="AE683" s="19" t="str">
        <f t="shared" si="184"/>
        <v/>
      </c>
      <c r="AF683" s="19" t="str">
        <f>IF($D683&lt;&gt;1,"",IF(INDEX(TblClusters[Environnement],$B683)="","(vide)",INDEX(TblClusters[Environnement],$B683)))</f>
        <v/>
      </c>
      <c r="AG683" s="19" t="str">
        <f t="shared" si="185"/>
        <v/>
      </c>
      <c r="AH683" s="19" t="str">
        <f t="shared" si="186"/>
        <v/>
      </c>
      <c r="AI683" s="19" t="str">
        <f>IF($D683&lt;&gt;1,"",IF(AND($G683="IKS",ISNUMBER(INDEX(TblClusters[Fermeture retenue],$B683))),IF($E683&gt;=INDEX(TblClusters[Fermeture retenue],$B683),1,0),0))</f>
        <v/>
      </c>
    </row>
    <row r="684" spans="1:35" x14ac:dyDescent="0.2">
      <c r="A684" s="19">
        <v>679</v>
      </c>
      <c r="B684" s="19">
        <f t="shared" si="170"/>
        <v>19</v>
      </c>
      <c r="C684" s="19">
        <f t="shared" si="171"/>
        <v>31</v>
      </c>
      <c r="D684" s="19">
        <f>IF($C684&gt;p_horizon,0,IFERROR(IF(AND(INDEX(TblClusters[Cluster],$B684)&lt;&gt;"",ISNUMBER(INDEX(TblClusters[CPU initial (vCPU)],$B684)),ISNUMBER(INDEX(TblClusters[CPU min (vCPU)],$B684)),OR(INDEX(TblClusters[Plateforme],$B684)="IKS",INDEX(TblClusters[Plateforme],$B684)="ROKS")),1,0),0))</f>
        <v>0</v>
      </c>
      <c r="E684" s="72" t="str">
        <f t="shared" si="172"/>
        <v/>
      </c>
      <c r="F684" s="19" t="str">
        <f>IF($D684=1,INDEX(TblClusters[Cluster],$B684),"")</f>
        <v/>
      </c>
      <c r="G684" s="19" t="str">
        <f>IF($D684=1,INDEX(TblClusters[Plateforme],$B684),"")</f>
        <v/>
      </c>
      <c r="H684" s="19" t="str">
        <f>IF($D684=1,INDEX(TblClusters[vCPU par nœud],$B684),"")</f>
        <v/>
      </c>
      <c r="I684" s="19" t="str">
        <f>IF($D684=1,INDEX(TblClusters[RAM par nœud (Go)],$B684),"")</f>
        <v/>
      </c>
      <c r="J684" s="19" t="str">
        <f>IF($D684=1,INDEX(TblClusters[Workers min],$B684),"")</f>
        <v/>
      </c>
      <c r="K684" s="73" t="str">
        <f>IF($D684=1,INDEX(TblClusters[Tarif par nœud],$B684),"")</f>
        <v/>
      </c>
      <c r="L684" s="19" t="str">
        <f>IF($D684=1,INDEX(TblClusters[CPU initial (vCPU)],$B684),"")</f>
        <v/>
      </c>
      <c r="M684" s="19" t="str">
        <f>IF($D684=1,INDEX(TblClusters[RAM initiale (Go)],$B684),"")</f>
        <v/>
      </c>
      <c r="N684" s="19" t="str">
        <f>IF($D684=1,INDEX(TblClusters[CPU min (vCPU)],$B684),"")</f>
        <v/>
      </c>
      <c r="O684" s="19" t="str">
        <f>IF($D684=1,INDEX(TblClusters[RAM min (Go)],$B684),"")</f>
        <v/>
      </c>
      <c r="P684" s="19" t="str">
        <f>IF($D684&lt;&gt;1,"",IF($G684="ROKS",SUMIFS(TblApplications[Besoin ROKS CPU (vCPU)],TblApplications[Cluster ROKS cible],$F684,TblApplications[Action],"À migrer",TblApplications[Déjà incluse ROKS],"Non",TblApplications[Mois prov (calc)],"&lt;="&amp;$E684),SUMIFS(TblApplications[CPU IKS libérable (vCPU)],TblApplications[Cluster IKS source],$F684,TblApplications[Mois lib (calc)],"&lt;="&amp;$E684)))</f>
        <v/>
      </c>
      <c r="Q684" s="19" t="str">
        <f>IF($D684&lt;&gt;1,"",IF($G684="ROKS",SUMIFS(TblApplications[Besoin ROKS RAM (Go)],TblApplications[Cluster ROKS cible],$F684,TblApplications[Action],"À migrer",TblApplications[Déjà incluse ROKS],"Non",TblApplications[Mois prov (calc)],"&lt;="&amp;$E684),SUMIFS(TblApplications[RAM IKS libérable (Go)],TblApplications[Cluster IKS source],$F684,TblApplications[Mois lib (calc)],"&lt;="&amp;$E684)))</f>
        <v/>
      </c>
      <c r="R684" s="19" t="str">
        <f t="shared" si="173"/>
        <v/>
      </c>
      <c r="S684" s="19" t="str">
        <f t="shared" si="174"/>
        <v/>
      </c>
      <c r="T684" s="19" t="str">
        <f t="shared" si="175"/>
        <v/>
      </c>
      <c r="U684" s="19" t="str">
        <f t="shared" si="176"/>
        <v/>
      </c>
      <c r="V684" s="19" t="str">
        <f t="shared" si="177"/>
        <v/>
      </c>
      <c r="W684" s="73" t="str">
        <f t="shared" si="178"/>
        <v/>
      </c>
      <c r="X684" s="19" t="str">
        <f>IF($D684&lt;&gt;1,"",IF($G684="ROKS",$R684,IF($AI684=1,0,MAX($N684,$L684-SUMIFS(TblApplications[CPU IKS libérable (vCPU)],TblApplications[Cluster IKS source],$F684,TblApplications[Action],"À migrer",TblApplications[Mois prov (calc)],"&lt;="&amp;$E684)-SUMIFS(TblApplications[CPU IKS libérable (vCPU)],TblApplications[Cluster IKS source],$F684,TblApplications[Action],"À décommissionner",TblApplications[Mois lib (calc)],"&lt;="&amp;$E684)))))</f>
        <v/>
      </c>
      <c r="Y684" s="19" t="str">
        <f>IF($D684&lt;&gt;1,"",IF($G684="ROKS",$S684,IF($AI684=1,0,MAX($O684,$M684-SUMIFS(TblApplications[RAM IKS libérable (Go)],TblApplications[Cluster IKS source],$F684,TblApplications[Action],"À migrer",TblApplications[Mois prov (calc)],"&lt;="&amp;$E684)-SUMIFS(TblApplications[RAM IKS libérable (Go)],TblApplications[Cluster IKS source],$F684,TblApplications[Action],"À décommissionner",TblApplications[Mois lib (calc)],"&lt;="&amp;$E684)))))</f>
        <v/>
      </c>
      <c r="Z684" s="19" t="str">
        <f t="shared" si="179"/>
        <v/>
      </c>
      <c r="AA684" s="73" t="str">
        <f t="shared" si="180"/>
        <v/>
      </c>
      <c r="AB684" s="19" t="str">
        <f t="shared" si="181"/>
        <v/>
      </c>
      <c r="AC684" s="73" t="str">
        <f t="shared" si="182"/>
        <v/>
      </c>
      <c r="AD684" s="19" t="str">
        <f t="shared" si="183"/>
        <v/>
      </c>
      <c r="AE684" s="19" t="str">
        <f t="shared" si="184"/>
        <v/>
      </c>
      <c r="AF684" s="19" t="str">
        <f>IF($D684&lt;&gt;1,"",IF(INDEX(TblClusters[Environnement],$B684)="","(vide)",INDEX(TblClusters[Environnement],$B684)))</f>
        <v/>
      </c>
      <c r="AG684" s="19" t="str">
        <f t="shared" si="185"/>
        <v/>
      </c>
      <c r="AH684" s="19" t="str">
        <f t="shared" si="186"/>
        <v/>
      </c>
      <c r="AI684" s="19" t="str">
        <f>IF($D684&lt;&gt;1,"",IF(AND($G684="IKS",ISNUMBER(INDEX(TblClusters[Fermeture retenue],$B684))),IF($E684&gt;=INDEX(TblClusters[Fermeture retenue],$B684),1,0),0))</f>
        <v/>
      </c>
    </row>
    <row r="685" spans="1:35" x14ac:dyDescent="0.2">
      <c r="A685" s="19">
        <v>680</v>
      </c>
      <c r="B685" s="19">
        <f t="shared" si="170"/>
        <v>19</v>
      </c>
      <c r="C685" s="19">
        <f t="shared" si="171"/>
        <v>32</v>
      </c>
      <c r="D685" s="19">
        <f>IF($C685&gt;p_horizon,0,IFERROR(IF(AND(INDEX(TblClusters[Cluster],$B685)&lt;&gt;"",ISNUMBER(INDEX(TblClusters[CPU initial (vCPU)],$B685)),ISNUMBER(INDEX(TblClusters[CPU min (vCPU)],$B685)),OR(INDEX(TblClusters[Plateforme],$B685)="IKS",INDEX(TblClusters[Plateforme],$B685)="ROKS")),1,0),0))</f>
        <v>0</v>
      </c>
      <c r="E685" s="72" t="str">
        <f t="shared" si="172"/>
        <v/>
      </c>
      <c r="F685" s="19" t="str">
        <f>IF($D685=1,INDEX(TblClusters[Cluster],$B685),"")</f>
        <v/>
      </c>
      <c r="G685" s="19" t="str">
        <f>IF($D685=1,INDEX(TblClusters[Plateforme],$B685),"")</f>
        <v/>
      </c>
      <c r="H685" s="19" t="str">
        <f>IF($D685=1,INDEX(TblClusters[vCPU par nœud],$B685),"")</f>
        <v/>
      </c>
      <c r="I685" s="19" t="str">
        <f>IF($D685=1,INDEX(TblClusters[RAM par nœud (Go)],$B685),"")</f>
        <v/>
      </c>
      <c r="J685" s="19" t="str">
        <f>IF($D685=1,INDEX(TblClusters[Workers min],$B685),"")</f>
        <v/>
      </c>
      <c r="K685" s="73" t="str">
        <f>IF($D685=1,INDEX(TblClusters[Tarif par nœud],$B685),"")</f>
        <v/>
      </c>
      <c r="L685" s="19" t="str">
        <f>IF($D685=1,INDEX(TblClusters[CPU initial (vCPU)],$B685),"")</f>
        <v/>
      </c>
      <c r="M685" s="19" t="str">
        <f>IF($D685=1,INDEX(TblClusters[RAM initiale (Go)],$B685),"")</f>
        <v/>
      </c>
      <c r="N685" s="19" t="str">
        <f>IF($D685=1,INDEX(TblClusters[CPU min (vCPU)],$B685),"")</f>
        <v/>
      </c>
      <c r="O685" s="19" t="str">
        <f>IF($D685=1,INDEX(TblClusters[RAM min (Go)],$B685),"")</f>
        <v/>
      </c>
      <c r="P685" s="19" t="str">
        <f>IF($D685&lt;&gt;1,"",IF($G685="ROKS",SUMIFS(TblApplications[Besoin ROKS CPU (vCPU)],TblApplications[Cluster ROKS cible],$F685,TblApplications[Action],"À migrer",TblApplications[Déjà incluse ROKS],"Non",TblApplications[Mois prov (calc)],"&lt;="&amp;$E685),SUMIFS(TblApplications[CPU IKS libérable (vCPU)],TblApplications[Cluster IKS source],$F685,TblApplications[Mois lib (calc)],"&lt;="&amp;$E685)))</f>
        <v/>
      </c>
      <c r="Q685" s="19" t="str">
        <f>IF($D685&lt;&gt;1,"",IF($G685="ROKS",SUMIFS(TblApplications[Besoin ROKS RAM (Go)],TblApplications[Cluster ROKS cible],$F685,TblApplications[Action],"À migrer",TblApplications[Déjà incluse ROKS],"Non",TblApplications[Mois prov (calc)],"&lt;="&amp;$E685),SUMIFS(TblApplications[RAM IKS libérable (Go)],TblApplications[Cluster IKS source],$F685,TblApplications[Mois lib (calc)],"&lt;="&amp;$E685)))</f>
        <v/>
      </c>
      <c r="R685" s="19" t="str">
        <f t="shared" si="173"/>
        <v/>
      </c>
      <c r="S685" s="19" t="str">
        <f t="shared" si="174"/>
        <v/>
      </c>
      <c r="T685" s="19" t="str">
        <f t="shared" si="175"/>
        <v/>
      </c>
      <c r="U685" s="19" t="str">
        <f t="shared" si="176"/>
        <v/>
      </c>
      <c r="V685" s="19" t="str">
        <f t="shared" si="177"/>
        <v/>
      </c>
      <c r="W685" s="73" t="str">
        <f t="shared" si="178"/>
        <v/>
      </c>
      <c r="X685" s="19" t="str">
        <f>IF($D685&lt;&gt;1,"",IF($G685="ROKS",$R685,IF($AI685=1,0,MAX($N685,$L685-SUMIFS(TblApplications[CPU IKS libérable (vCPU)],TblApplications[Cluster IKS source],$F685,TblApplications[Action],"À migrer",TblApplications[Mois prov (calc)],"&lt;="&amp;$E685)-SUMIFS(TblApplications[CPU IKS libérable (vCPU)],TblApplications[Cluster IKS source],$F685,TblApplications[Action],"À décommissionner",TblApplications[Mois lib (calc)],"&lt;="&amp;$E685)))))</f>
        <v/>
      </c>
      <c r="Y685" s="19" t="str">
        <f>IF($D685&lt;&gt;1,"",IF($G685="ROKS",$S685,IF($AI685=1,0,MAX($O685,$M685-SUMIFS(TblApplications[RAM IKS libérable (Go)],TblApplications[Cluster IKS source],$F685,TblApplications[Action],"À migrer",TblApplications[Mois prov (calc)],"&lt;="&amp;$E685)-SUMIFS(TblApplications[RAM IKS libérable (Go)],TblApplications[Cluster IKS source],$F685,TblApplications[Action],"À décommissionner",TblApplications[Mois lib (calc)],"&lt;="&amp;$E685)))))</f>
        <v/>
      </c>
      <c r="Z685" s="19" t="str">
        <f t="shared" si="179"/>
        <v/>
      </c>
      <c r="AA685" s="73" t="str">
        <f t="shared" si="180"/>
        <v/>
      </c>
      <c r="AB685" s="19" t="str">
        <f t="shared" si="181"/>
        <v/>
      </c>
      <c r="AC685" s="73" t="str">
        <f t="shared" si="182"/>
        <v/>
      </c>
      <c r="AD685" s="19" t="str">
        <f t="shared" si="183"/>
        <v/>
      </c>
      <c r="AE685" s="19" t="str">
        <f t="shared" si="184"/>
        <v/>
      </c>
      <c r="AF685" s="19" t="str">
        <f>IF($D685&lt;&gt;1,"",IF(INDEX(TblClusters[Environnement],$B685)="","(vide)",INDEX(TblClusters[Environnement],$B685)))</f>
        <v/>
      </c>
      <c r="AG685" s="19" t="str">
        <f t="shared" si="185"/>
        <v/>
      </c>
      <c r="AH685" s="19" t="str">
        <f t="shared" si="186"/>
        <v/>
      </c>
      <c r="AI685" s="19" t="str">
        <f>IF($D685&lt;&gt;1,"",IF(AND($G685="IKS",ISNUMBER(INDEX(TblClusters[Fermeture retenue],$B685))),IF($E685&gt;=INDEX(TblClusters[Fermeture retenue],$B685),1,0),0))</f>
        <v/>
      </c>
    </row>
    <row r="686" spans="1:35" x14ac:dyDescent="0.2">
      <c r="A686" s="19">
        <v>681</v>
      </c>
      <c r="B686" s="19">
        <f t="shared" si="170"/>
        <v>19</v>
      </c>
      <c r="C686" s="19">
        <f t="shared" si="171"/>
        <v>33</v>
      </c>
      <c r="D686" s="19">
        <f>IF($C686&gt;p_horizon,0,IFERROR(IF(AND(INDEX(TblClusters[Cluster],$B686)&lt;&gt;"",ISNUMBER(INDEX(TblClusters[CPU initial (vCPU)],$B686)),ISNUMBER(INDEX(TblClusters[CPU min (vCPU)],$B686)),OR(INDEX(TblClusters[Plateforme],$B686)="IKS",INDEX(TblClusters[Plateforme],$B686)="ROKS")),1,0),0))</f>
        <v>0</v>
      </c>
      <c r="E686" s="72" t="str">
        <f t="shared" si="172"/>
        <v/>
      </c>
      <c r="F686" s="19" t="str">
        <f>IF($D686=1,INDEX(TblClusters[Cluster],$B686),"")</f>
        <v/>
      </c>
      <c r="G686" s="19" t="str">
        <f>IF($D686=1,INDEX(TblClusters[Plateforme],$B686),"")</f>
        <v/>
      </c>
      <c r="H686" s="19" t="str">
        <f>IF($D686=1,INDEX(TblClusters[vCPU par nœud],$B686),"")</f>
        <v/>
      </c>
      <c r="I686" s="19" t="str">
        <f>IF($D686=1,INDEX(TblClusters[RAM par nœud (Go)],$B686),"")</f>
        <v/>
      </c>
      <c r="J686" s="19" t="str">
        <f>IF($D686=1,INDEX(TblClusters[Workers min],$B686),"")</f>
        <v/>
      </c>
      <c r="K686" s="73" t="str">
        <f>IF($D686=1,INDEX(TblClusters[Tarif par nœud],$B686),"")</f>
        <v/>
      </c>
      <c r="L686" s="19" t="str">
        <f>IF($D686=1,INDEX(TblClusters[CPU initial (vCPU)],$B686),"")</f>
        <v/>
      </c>
      <c r="M686" s="19" t="str">
        <f>IF($D686=1,INDEX(TblClusters[RAM initiale (Go)],$B686),"")</f>
        <v/>
      </c>
      <c r="N686" s="19" t="str">
        <f>IF($D686=1,INDEX(TblClusters[CPU min (vCPU)],$B686),"")</f>
        <v/>
      </c>
      <c r="O686" s="19" t="str">
        <f>IF($D686=1,INDEX(TblClusters[RAM min (Go)],$B686),"")</f>
        <v/>
      </c>
      <c r="P686" s="19" t="str">
        <f>IF($D686&lt;&gt;1,"",IF($G686="ROKS",SUMIFS(TblApplications[Besoin ROKS CPU (vCPU)],TblApplications[Cluster ROKS cible],$F686,TblApplications[Action],"À migrer",TblApplications[Déjà incluse ROKS],"Non",TblApplications[Mois prov (calc)],"&lt;="&amp;$E686),SUMIFS(TblApplications[CPU IKS libérable (vCPU)],TblApplications[Cluster IKS source],$F686,TblApplications[Mois lib (calc)],"&lt;="&amp;$E686)))</f>
        <v/>
      </c>
      <c r="Q686" s="19" t="str">
        <f>IF($D686&lt;&gt;1,"",IF($G686="ROKS",SUMIFS(TblApplications[Besoin ROKS RAM (Go)],TblApplications[Cluster ROKS cible],$F686,TblApplications[Action],"À migrer",TblApplications[Déjà incluse ROKS],"Non",TblApplications[Mois prov (calc)],"&lt;="&amp;$E686),SUMIFS(TblApplications[RAM IKS libérable (Go)],TblApplications[Cluster IKS source],$F686,TblApplications[Mois lib (calc)],"&lt;="&amp;$E686)))</f>
        <v/>
      </c>
      <c r="R686" s="19" t="str">
        <f t="shared" si="173"/>
        <v/>
      </c>
      <c r="S686" s="19" t="str">
        <f t="shared" si="174"/>
        <v/>
      </c>
      <c r="T686" s="19" t="str">
        <f t="shared" si="175"/>
        <v/>
      </c>
      <c r="U686" s="19" t="str">
        <f t="shared" si="176"/>
        <v/>
      </c>
      <c r="V686" s="19" t="str">
        <f t="shared" si="177"/>
        <v/>
      </c>
      <c r="W686" s="73" t="str">
        <f t="shared" si="178"/>
        <v/>
      </c>
      <c r="X686" s="19" t="str">
        <f>IF($D686&lt;&gt;1,"",IF($G686="ROKS",$R686,IF($AI686=1,0,MAX($N686,$L686-SUMIFS(TblApplications[CPU IKS libérable (vCPU)],TblApplications[Cluster IKS source],$F686,TblApplications[Action],"À migrer",TblApplications[Mois prov (calc)],"&lt;="&amp;$E686)-SUMIFS(TblApplications[CPU IKS libérable (vCPU)],TblApplications[Cluster IKS source],$F686,TblApplications[Action],"À décommissionner",TblApplications[Mois lib (calc)],"&lt;="&amp;$E686)))))</f>
        <v/>
      </c>
      <c r="Y686" s="19" t="str">
        <f>IF($D686&lt;&gt;1,"",IF($G686="ROKS",$S686,IF($AI686=1,0,MAX($O686,$M686-SUMIFS(TblApplications[RAM IKS libérable (Go)],TblApplications[Cluster IKS source],$F686,TblApplications[Action],"À migrer",TblApplications[Mois prov (calc)],"&lt;="&amp;$E686)-SUMIFS(TblApplications[RAM IKS libérable (Go)],TblApplications[Cluster IKS source],$F686,TblApplications[Action],"À décommissionner",TblApplications[Mois lib (calc)],"&lt;="&amp;$E686)))))</f>
        <v/>
      </c>
      <c r="Z686" s="19" t="str">
        <f t="shared" si="179"/>
        <v/>
      </c>
      <c r="AA686" s="73" t="str">
        <f t="shared" si="180"/>
        <v/>
      </c>
      <c r="AB686" s="19" t="str">
        <f t="shared" si="181"/>
        <v/>
      </c>
      <c r="AC686" s="73" t="str">
        <f t="shared" si="182"/>
        <v/>
      </c>
      <c r="AD686" s="19" t="str">
        <f t="shared" si="183"/>
        <v/>
      </c>
      <c r="AE686" s="19" t="str">
        <f t="shared" si="184"/>
        <v/>
      </c>
      <c r="AF686" s="19" t="str">
        <f>IF($D686&lt;&gt;1,"",IF(INDEX(TblClusters[Environnement],$B686)="","(vide)",INDEX(TblClusters[Environnement],$B686)))</f>
        <v/>
      </c>
      <c r="AG686" s="19" t="str">
        <f t="shared" si="185"/>
        <v/>
      </c>
      <c r="AH686" s="19" t="str">
        <f t="shared" si="186"/>
        <v/>
      </c>
      <c r="AI686" s="19" t="str">
        <f>IF($D686&lt;&gt;1,"",IF(AND($G686="IKS",ISNUMBER(INDEX(TblClusters[Fermeture retenue],$B686))),IF($E686&gt;=INDEX(TblClusters[Fermeture retenue],$B686),1,0),0))</f>
        <v/>
      </c>
    </row>
    <row r="687" spans="1:35" x14ac:dyDescent="0.2">
      <c r="A687" s="19">
        <v>682</v>
      </c>
      <c r="B687" s="19">
        <f t="shared" si="170"/>
        <v>19</v>
      </c>
      <c r="C687" s="19">
        <f t="shared" si="171"/>
        <v>34</v>
      </c>
      <c r="D687" s="19">
        <f>IF($C687&gt;p_horizon,0,IFERROR(IF(AND(INDEX(TblClusters[Cluster],$B687)&lt;&gt;"",ISNUMBER(INDEX(TblClusters[CPU initial (vCPU)],$B687)),ISNUMBER(INDEX(TblClusters[CPU min (vCPU)],$B687)),OR(INDEX(TblClusters[Plateforme],$B687)="IKS",INDEX(TblClusters[Plateforme],$B687)="ROKS")),1,0),0))</f>
        <v>0</v>
      </c>
      <c r="E687" s="72" t="str">
        <f t="shared" si="172"/>
        <v/>
      </c>
      <c r="F687" s="19" t="str">
        <f>IF($D687=1,INDEX(TblClusters[Cluster],$B687),"")</f>
        <v/>
      </c>
      <c r="G687" s="19" t="str">
        <f>IF($D687=1,INDEX(TblClusters[Plateforme],$B687),"")</f>
        <v/>
      </c>
      <c r="H687" s="19" t="str">
        <f>IF($D687=1,INDEX(TblClusters[vCPU par nœud],$B687),"")</f>
        <v/>
      </c>
      <c r="I687" s="19" t="str">
        <f>IF($D687=1,INDEX(TblClusters[RAM par nœud (Go)],$B687),"")</f>
        <v/>
      </c>
      <c r="J687" s="19" t="str">
        <f>IF($D687=1,INDEX(TblClusters[Workers min],$B687),"")</f>
        <v/>
      </c>
      <c r="K687" s="73" t="str">
        <f>IF($D687=1,INDEX(TblClusters[Tarif par nœud],$B687),"")</f>
        <v/>
      </c>
      <c r="L687" s="19" t="str">
        <f>IF($D687=1,INDEX(TblClusters[CPU initial (vCPU)],$B687),"")</f>
        <v/>
      </c>
      <c r="M687" s="19" t="str">
        <f>IF($D687=1,INDEX(TblClusters[RAM initiale (Go)],$B687),"")</f>
        <v/>
      </c>
      <c r="N687" s="19" t="str">
        <f>IF($D687=1,INDEX(TblClusters[CPU min (vCPU)],$B687),"")</f>
        <v/>
      </c>
      <c r="O687" s="19" t="str">
        <f>IF($D687=1,INDEX(TblClusters[RAM min (Go)],$B687),"")</f>
        <v/>
      </c>
      <c r="P687" s="19" t="str">
        <f>IF($D687&lt;&gt;1,"",IF($G687="ROKS",SUMIFS(TblApplications[Besoin ROKS CPU (vCPU)],TblApplications[Cluster ROKS cible],$F687,TblApplications[Action],"À migrer",TblApplications[Déjà incluse ROKS],"Non",TblApplications[Mois prov (calc)],"&lt;="&amp;$E687),SUMIFS(TblApplications[CPU IKS libérable (vCPU)],TblApplications[Cluster IKS source],$F687,TblApplications[Mois lib (calc)],"&lt;="&amp;$E687)))</f>
        <v/>
      </c>
      <c r="Q687" s="19" t="str">
        <f>IF($D687&lt;&gt;1,"",IF($G687="ROKS",SUMIFS(TblApplications[Besoin ROKS RAM (Go)],TblApplications[Cluster ROKS cible],$F687,TblApplications[Action],"À migrer",TblApplications[Déjà incluse ROKS],"Non",TblApplications[Mois prov (calc)],"&lt;="&amp;$E687),SUMIFS(TblApplications[RAM IKS libérable (Go)],TblApplications[Cluster IKS source],$F687,TblApplications[Mois lib (calc)],"&lt;="&amp;$E687)))</f>
        <v/>
      </c>
      <c r="R687" s="19" t="str">
        <f t="shared" si="173"/>
        <v/>
      </c>
      <c r="S687" s="19" t="str">
        <f t="shared" si="174"/>
        <v/>
      </c>
      <c r="T687" s="19" t="str">
        <f t="shared" si="175"/>
        <v/>
      </c>
      <c r="U687" s="19" t="str">
        <f t="shared" si="176"/>
        <v/>
      </c>
      <c r="V687" s="19" t="str">
        <f t="shared" si="177"/>
        <v/>
      </c>
      <c r="W687" s="73" t="str">
        <f t="shared" si="178"/>
        <v/>
      </c>
      <c r="X687" s="19" t="str">
        <f>IF($D687&lt;&gt;1,"",IF($G687="ROKS",$R687,IF($AI687=1,0,MAX($N687,$L687-SUMIFS(TblApplications[CPU IKS libérable (vCPU)],TblApplications[Cluster IKS source],$F687,TblApplications[Action],"À migrer",TblApplications[Mois prov (calc)],"&lt;="&amp;$E687)-SUMIFS(TblApplications[CPU IKS libérable (vCPU)],TblApplications[Cluster IKS source],$F687,TblApplications[Action],"À décommissionner",TblApplications[Mois lib (calc)],"&lt;="&amp;$E687)))))</f>
        <v/>
      </c>
      <c r="Y687" s="19" t="str">
        <f>IF($D687&lt;&gt;1,"",IF($G687="ROKS",$S687,IF($AI687=1,0,MAX($O687,$M687-SUMIFS(TblApplications[RAM IKS libérable (Go)],TblApplications[Cluster IKS source],$F687,TblApplications[Action],"À migrer",TblApplications[Mois prov (calc)],"&lt;="&amp;$E687)-SUMIFS(TblApplications[RAM IKS libérable (Go)],TblApplications[Cluster IKS source],$F687,TblApplications[Action],"À décommissionner",TblApplications[Mois lib (calc)],"&lt;="&amp;$E687)))))</f>
        <v/>
      </c>
      <c r="Z687" s="19" t="str">
        <f t="shared" si="179"/>
        <v/>
      </c>
      <c r="AA687" s="73" t="str">
        <f t="shared" si="180"/>
        <v/>
      </c>
      <c r="AB687" s="19" t="str">
        <f t="shared" si="181"/>
        <v/>
      </c>
      <c r="AC687" s="73" t="str">
        <f t="shared" si="182"/>
        <v/>
      </c>
      <c r="AD687" s="19" t="str">
        <f t="shared" si="183"/>
        <v/>
      </c>
      <c r="AE687" s="19" t="str">
        <f t="shared" si="184"/>
        <v/>
      </c>
      <c r="AF687" s="19" t="str">
        <f>IF($D687&lt;&gt;1,"",IF(INDEX(TblClusters[Environnement],$B687)="","(vide)",INDEX(TblClusters[Environnement],$B687)))</f>
        <v/>
      </c>
      <c r="AG687" s="19" t="str">
        <f t="shared" si="185"/>
        <v/>
      </c>
      <c r="AH687" s="19" t="str">
        <f t="shared" si="186"/>
        <v/>
      </c>
      <c r="AI687" s="19" t="str">
        <f>IF($D687&lt;&gt;1,"",IF(AND($G687="IKS",ISNUMBER(INDEX(TblClusters[Fermeture retenue],$B687))),IF($E687&gt;=INDEX(TblClusters[Fermeture retenue],$B687),1,0),0))</f>
        <v/>
      </c>
    </row>
    <row r="688" spans="1:35" x14ac:dyDescent="0.2">
      <c r="A688" s="19">
        <v>683</v>
      </c>
      <c r="B688" s="19">
        <f t="shared" si="170"/>
        <v>19</v>
      </c>
      <c r="C688" s="19">
        <f t="shared" si="171"/>
        <v>35</v>
      </c>
      <c r="D688" s="19">
        <f>IF($C688&gt;p_horizon,0,IFERROR(IF(AND(INDEX(TblClusters[Cluster],$B688)&lt;&gt;"",ISNUMBER(INDEX(TblClusters[CPU initial (vCPU)],$B688)),ISNUMBER(INDEX(TblClusters[CPU min (vCPU)],$B688)),OR(INDEX(TblClusters[Plateforme],$B688)="IKS",INDEX(TblClusters[Plateforme],$B688)="ROKS")),1,0),0))</f>
        <v>0</v>
      </c>
      <c r="E688" s="72" t="str">
        <f t="shared" si="172"/>
        <v/>
      </c>
      <c r="F688" s="19" t="str">
        <f>IF($D688=1,INDEX(TblClusters[Cluster],$B688),"")</f>
        <v/>
      </c>
      <c r="G688" s="19" t="str">
        <f>IF($D688=1,INDEX(TblClusters[Plateforme],$B688),"")</f>
        <v/>
      </c>
      <c r="H688" s="19" t="str">
        <f>IF($D688=1,INDEX(TblClusters[vCPU par nœud],$B688),"")</f>
        <v/>
      </c>
      <c r="I688" s="19" t="str">
        <f>IF($D688=1,INDEX(TblClusters[RAM par nœud (Go)],$B688),"")</f>
        <v/>
      </c>
      <c r="J688" s="19" t="str">
        <f>IF($D688=1,INDEX(TblClusters[Workers min],$B688),"")</f>
        <v/>
      </c>
      <c r="K688" s="73" t="str">
        <f>IF($D688=1,INDEX(TblClusters[Tarif par nœud],$B688),"")</f>
        <v/>
      </c>
      <c r="L688" s="19" t="str">
        <f>IF($D688=1,INDEX(TblClusters[CPU initial (vCPU)],$B688),"")</f>
        <v/>
      </c>
      <c r="M688" s="19" t="str">
        <f>IF($D688=1,INDEX(TblClusters[RAM initiale (Go)],$B688),"")</f>
        <v/>
      </c>
      <c r="N688" s="19" t="str">
        <f>IF($D688=1,INDEX(TblClusters[CPU min (vCPU)],$B688),"")</f>
        <v/>
      </c>
      <c r="O688" s="19" t="str">
        <f>IF($D688=1,INDEX(TblClusters[RAM min (Go)],$B688),"")</f>
        <v/>
      </c>
      <c r="P688" s="19" t="str">
        <f>IF($D688&lt;&gt;1,"",IF($G688="ROKS",SUMIFS(TblApplications[Besoin ROKS CPU (vCPU)],TblApplications[Cluster ROKS cible],$F688,TblApplications[Action],"À migrer",TblApplications[Déjà incluse ROKS],"Non",TblApplications[Mois prov (calc)],"&lt;="&amp;$E688),SUMIFS(TblApplications[CPU IKS libérable (vCPU)],TblApplications[Cluster IKS source],$F688,TblApplications[Mois lib (calc)],"&lt;="&amp;$E688)))</f>
        <v/>
      </c>
      <c r="Q688" s="19" t="str">
        <f>IF($D688&lt;&gt;1,"",IF($G688="ROKS",SUMIFS(TblApplications[Besoin ROKS RAM (Go)],TblApplications[Cluster ROKS cible],$F688,TblApplications[Action],"À migrer",TblApplications[Déjà incluse ROKS],"Non",TblApplications[Mois prov (calc)],"&lt;="&amp;$E688),SUMIFS(TblApplications[RAM IKS libérable (Go)],TblApplications[Cluster IKS source],$F688,TblApplications[Mois lib (calc)],"&lt;="&amp;$E688)))</f>
        <v/>
      </c>
      <c r="R688" s="19" t="str">
        <f t="shared" si="173"/>
        <v/>
      </c>
      <c r="S688" s="19" t="str">
        <f t="shared" si="174"/>
        <v/>
      </c>
      <c r="T688" s="19" t="str">
        <f t="shared" si="175"/>
        <v/>
      </c>
      <c r="U688" s="19" t="str">
        <f t="shared" si="176"/>
        <v/>
      </c>
      <c r="V688" s="19" t="str">
        <f t="shared" si="177"/>
        <v/>
      </c>
      <c r="W688" s="73" t="str">
        <f t="shared" si="178"/>
        <v/>
      </c>
      <c r="X688" s="19" t="str">
        <f>IF($D688&lt;&gt;1,"",IF($G688="ROKS",$R688,IF($AI688=1,0,MAX($N688,$L688-SUMIFS(TblApplications[CPU IKS libérable (vCPU)],TblApplications[Cluster IKS source],$F688,TblApplications[Action],"À migrer",TblApplications[Mois prov (calc)],"&lt;="&amp;$E688)-SUMIFS(TblApplications[CPU IKS libérable (vCPU)],TblApplications[Cluster IKS source],$F688,TblApplications[Action],"À décommissionner",TblApplications[Mois lib (calc)],"&lt;="&amp;$E688)))))</f>
        <v/>
      </c>
      <c r="Y688" s="19" t="str">
        <f>IF($D688&lt;&gt;1,"",IF($G688="ROKS",$S688,IF($AI688=1,0,MAX($O688,$M688-SUMIFS(TblApplications[RAM IKS libérable (Go)],TblApplications[Cluster IKS source],$F688,TblApplications[Action],"À migrer",TblApplications[Mois prov (calc)],"&lt;="&amp;$E688)-SUMIFS(TblApplications[RAM IKS libérable (Go)],TblApplications[Cluster IKS source],$F688,TblApplications[Action],"À décommissionner",TblApplications[Mois lib (calc)],"&lt;="&amp;$E688)))))</f>
        <v/>
      </c>
      <c r="Z688" s="19" t="str">
        <f t="shared" si="179"/>
        <v/>
      </c>
      <c r="AA688" s="73" t="str">
        <f t="shared" si="180"/>
        <v/>
      </c>
      <c r="AB688" s="19" t="str">
        <f t="shared" si="181"/>
        <v/>
      </c>
      <c r="AC688" s="73" t="str">
        <f t="shared" si="182"/>
        <v/>
      </c>
      <c r="AD688" s="19" t="str">
        <f t="shared" si="183"/>
        <v/>
      </c>
      <c r="AE688" s="19" t="str">
        <f t="shared" si="184"/>
        <v/>
      </c>
      <c r="AF688" s="19" t="str">
        <f>IF($D688&lt;&gt;1,"",IF(INDEX(TblClusters[Environnement],$B688)="","(vide)",INDEX(TblClusters[Environnement],$B688)))</f>
        <v/>
      </c>
      <c r="AG688" s="19" t="str">
        <f t="shared" si="185"/>
        <v/>
      </c>
      <c r="AH688" s="19" t="str">
        <f t="shared" si="186"/>
        <v/>
      </c>
      <c r="AI688" s="19" t="str">
        <f>IF($D688&lt;&gt;1,"",IF(AND($G688="IKS",ISNUMBER(INDEX(TblClusters[Fermeture retenue],$B688))),IF($E688&gt;=INDEX(TblClusters[Fermeture retenue],$B688),1,0),0))</f>
        <v/>
      </c>
    </row>
    <row r="689" spans="1:35" x14ac:dyDescent="0.2">
      <c r="A689" s="19">
        <v>684</v>
      </c>
      <c r="B689" s="19">
        <f t="shared" si="170"/>
        <v>19</v>
      </c>
      <c r="C689" s="19">
        <f t="shared" si="171"/>
        <v>36</v>
      </c>
      <c r="D689" s="19">
        <f>IF($C689&gt;p_horizon,0,IFERROR(IF(AND(INDEX(TblClusters[Cluster],$B689)&lt;&gt;"",ISNUMBER(INDEX(TblClusters[CPU initial (vCPU)],$B689)),ISNUMBER(INDEX(TblClusters[CPU min (vCPU)],$B689)),OR(INDEX(TblClusters[Plateforme],$B689)="IKS",INDEX(TblClusters[Plateforme],$B689)="ROKS")),1,0),0))</f>
        <v>0</v>
      </c>
      <c r="E689" s="72" t="str">
        <f t="shared" si="172"/>
        <v/>
      </c>
      <c r="F689" s="19" t="str">
        <f>IF($D689=1,INDEX(TblClusters[Cluster],$B689),"")</f>
        <v/>
      </c>
      <c r="G689" s="19" t="str">
        <f>IF($D689=1,INDEX(TblClusters[Plateforme],$B689),"")</f>
        <v/>
      </c>
      <c r="H689" s="19" t="str">
        <f>IF($D689=1,INDEX(TblClusters[vCPU par nœud],$B689),"")</f>
        <v/>
      </c>
      <c r="I689" s="19" t="str">
        <f>IF($D689=1,INDEX(TblClusters[RAM par nœud (Go)],$B689),"")</f>
        <v/>
      </c>
      <c r="J689" s="19" t="str">
        <f>IF($D689=1,INDEX(TblClusters[Workers min],$B689),"")</f>
        <v/>
      </c>
      <c r="K689" s="73" t="str">
        <f>IF($D689=1,INDEX(TblClusters[Tarif par nœud],$B689),"")</f>
        <v/>
      </c>
      <c r="L689" s="19" t="str">
        <f>IF($D689=1,INDEX(TblClusters[CPU initial (vCPU)],$B689),"")</f>
        <v/>
      </c>
      <c r="M689" s="19" t="str">
        <f>IF($D689=1,INDEX(TblClusters[RAM initiale (Go)],$B689),"")</f>
        <v/>
      </c>
      <c r="N689" s="19" t="str">
        <f>IF($D689=1,INDEX(TblClusters[CPU min (vCPU)],$B689),"")</f>
        <v/>
      </c>
      <c r="O689" s="19" t="str">
        <f>IF($D689=1,INDEX(TblClusters[RAM min (Go)],$B689),"")</f>
        <v/>
      </c>
      <c r="P689" s="19" t="str">
        <f>IF($D689&lt;&gt;1,"",IF($G689="ROKS",SUMIFS(TblApplications[Besoin ROKS CPU (vCPU)],TblApplications[Cluster ROKS cible],$F689,TblApplications[Action],"À migrer",TblApplications[Déjà incluse ROKS],"Non",TblApplications[Mois prov (calc)],"&lt;="&amp;$E689),SUMIFS(TblApplications[CPU IKS libérable (vCPU)],TblApplications[Cluster IKS source],$F689,TblApplications[Mois lib (calc)],"&lt;="&amp;$E689)))</f>
        <v/>
      </c>
      <c r="Q689" s="19" t="str">
        <f>IF($D689&lt;&gt;1,"",IF($G689="ROKS",SUMIFS(TblApplications[Besoin ROKS RAM (Go)],TblApplications[Cluster ROKS cible],$F689,TblApplications[Action],"À migrer",TblApplications[Déjà incluse ROKS],"Non",TblApplications[Mois prov (calc)],"&lt;="&amp;$E689),SUMIFS(TblApplications[RAM IKS libérable (Go)],TblApplications[Cluster IKS source],$F689,TblApplications[Mois lib (calc)],"&lt;="&amp;$E689)))</f>
        <v/>
      </c>
      <c r="R689" s="19" t="str">
        <f t="shared" si="173"/>
        <v/>
      </c>
      <c r="S689" s="19" t="str">
        <f t="shared" si="174"/>
        <v/>
      </c>
      <c r="T689" s="19" t="str">
        <f t="shared" si="175"/>
        <v/>
      </c>
      <c r="U689" s="19" t="str">
        <f t="shared" si="176"/>
        <v/>
      </c>
      <c r="V689" s="19" t="str">
        <f t="shared" si="177"/>
        <v/>
      </c>
      <c r="W689" s="73" t="str">
        <f t="shared" si="178"/>
        <v/>
      </c>
      <c r="X689" s="19" t="str">
        <f>IF($D689&lt;&gt;1,"",IF($G689="ROKS",$R689,IF($AI689=1,0,MAX($N689,$L689-SUMIFS(TblApplications[CPU IKS libérable (vCPU)],TblApplications[Cluster IKS source],$F689,TblApplications[Action],"À migrer",TblApplications[Mois prov (calc)],"&lt;="&amp;$E689)-SUMIFS(TblApplications[CPU IKS libérable (vCPU)],TblApplications[Cluster IKS source],$F689,TblApplications[Action],"À décommissionner",TblApplications[Mois lib (calc)],"&lt;="&amp;$E689)))))</f>
        <v/>
      </c>
      <c r="Y689" s="19" t="str">
        <f>IF($D689&lt;&gt;1,"",IF($G689="ROKS",$S689,IF($AI689=1,0,MAX($O689,$M689-SUMIFS(TblApplications[RAM IKS libérable (Go)],TblApplications[Cluster IKS source],$F689,TblApplications[Action],"À migrer",TblApplications[Mois prov (calc)],"&lt;="&amp;$E689)-SUMIFS(TblApplications[RAM IKS libérable (Go)],TblApplications[Cluster IKS source],$F689,TblApplications[Action],"À décommissionner",TblApplications[Mois lib (calc)],"&lt;="&amp;$E689)))))</f>
        <v/>
      </c>
      <c r="Z689" s="19" t="str">
        <f t="shared" si="179"/>
        <v/>
      </c>
      <c r="AA689" s="73" t="str">
        <f t="shared" si="180"/>
        <v/>
      </c>
      <c r="AB689" s="19" t="str">
        <f t="shared" si="181"/>
        <v/>
      </c>
      <c r="AC689" s="73" t="str">
        <f t="shared" si="182"/>
        <v/>
      </c>
      <c r="AD689" s="19" t="str">
        <f t="shared" si="183"/>
        <v/>
      </c>
      <c r="AE689" s="19" t="str">
        <f t="shared" si="184"/>
        <v/>
      </c>
      <c r="AF689" s="19" t="str">
        <f>IF($D689&lt;&gt;1,"",IF(INDEX(TblClusters[Environnement],$B689)="","(vide)",INDEX(TblClusters[Environnement],$B689)))</f>
        <v/>
      </c>
      <c r="AG689" s="19" t="str">
        <f t="shared" si="185"/>
        <v/>
      </c>
      <c r="AH689" s="19" t="str">
        <f t="shared" si="186"/>
        <v/>
      </c>
      <c r="AI689" s="19" t="str">
        <f>IF($D689&lt;&gt;1,"",IF(AND($G689="IKS",ISNUMBER(INDEX(TblClusters[Fermeture retenue],$B689))),IF($E689&gt;=INDEX(TblClusters[Fermeture retenue],$B689),1,0),0))</f>
        <v/>
      </c>
    </row>
    <row r="690" spans="1:35" x14ac:dyDescent="0.2">
      <c r="A690" s="19">
        <v>685</v>
      </c>
      <c r="B690" s="19">
        <f t="shared" si="170"/>
        <v>20</v>
      </c>
      <c r="C690" s="19">
        <f t="shared" si="171"/>
        <v>1</v>
      </c>
      <c r="D690" s="19">
        <f>IF($C690&gt;p_horizon,0,IFERROR(IF(AND(INDEX(TblClusters[Cluster],$B690)&lt;&gt;"",ISNUMBER(INDEX(TblClusters[CPU initial (vCPU)],$B690)),ISNUMBER(INDEX(TblClusters[CPU min (vCPU)],$B690)),OR(INDEX(TblClusters[Plateforme],$B690)="IKS",INDEX(TblClusters[Plateforme],$B690)="ROKS")),1,0),0))</f>
        <v>0</v>
      </c>
      <c r="E690" s="72" t="str">
        <f t="shared" si="172"/>
        <v/>
      </c>
      <c r="F690" s="19" t="str">
        <f>IF($D690=1,INDEX(TblClusters[Cluster],$B690),"")</f>
        <v/>
      </c>
      <c r="G690" s="19" t="str">
        <f>IF($D690=1,INDEX(TblClusters[Plateforme],$B690),"")</f>
        <v/>
      </c>
      <c r="H690" s="19" t="str">
        <f>IF($D690=1,INDEX(TblClusters[vCPU par nœud],$B690),"")</f>
        <v/>
      </c>
      <c r="I690" s="19" t="str">
        <f>IF($D690=1,INDEX(TblClusters[RAM par nœud (Go)],$B690),"")</f>
        <v/>
      </c>
      <c r="J690" s="19" t="str">
        <f>IF($D690=1,INDEX(TblClusters[Workers min],$B690),"")</f>
        <v/>
      </c>
      <c r="K690" s="73" t="str">
        <f>IF($D690=1,INDEX(TblClusters[Tarif par nœud],$B690),"")</f>
        <v/>
      </c>
      <c r="L690" s="19" t="str">
        <f>IF($D690=1,INDEX(TblClusters[CPU initial (vCPU)],$B690),"")</f>
        <v/>
      </c>
      <c r="M690" s="19" t="str">
        <f>IF($D690=1,INDEX(TblClusters[RAM initiale (Go)],$B690),"")</f>
        <v/>
      </c>
      <c r="N690" s="19" t="str">
        <f>IF($D690=1,INDEX(TblClusters[CPU min (vCPU)],$B690),"")</f>
        <v/>
      </c>
      <c r="O690" s="19" t="str">
        <f>IF($D690=1,INDEX(TblClusters[RAM min (Go)],$B690),"")</f>
        <v/>
      </c>
      <c r="P690" s="19" t="str">
        <f>IF($D690&lt;&gt;1,"",IF($G690="ROKS",SUMIFS(TblApplications[Besoin ROKS CPU (vCPU)],TblApplications[Cluster ROKS cible],$F690,TblApplications[Action],"À migrer",TblApplications[Déjà incluse ROKS],"Non",TblApplications[Mois prov (calc)],"&lt;="&amp;$E690),SUMIFS(TblApplications[CPU IKS libérable (vCPU)],TblApplications[Cluster IKS source],$F690,TblApplications[Mois lib (calc)],"&lt;="&amp;$E690)))</f>
        <v/>
      </c>
      <c r="Q690" s="19" t="str">
        <f>IF($D690&lt;&gt;1,"",IF($G690="ROKS",SUMIFS(TblApplications[Besoin ROKS RAM (Go)],TblApplications[Cluster ROKS cible],$F690,TblApplications[Action],"À migrer",TblApplications[Déjà incluse ROKS],"Non",TblApplications[Mois prov (calc)],"&lt;="&amp;$E690),SUMIFS(TblApplications[RAM IKS libérable (Go)],TblApplications[Cluster IKS source],$F690,TblApplications[Mois lib (calc)],"&lt;="&amp;$E690)))</f>
        <v/>
      </c>
      <c r="R690" s="19" t="str">
        <f t="shared" si="173"/>
        <v/>
      </c>
      <c r="S690" s="19" t="str">
        <f t="shared" si="174"/>
        <v/>
      </c>
      <c r="T690" s="19" t="str">
        <f t="shared" si="175"/>
        <v/>
      </c>
      <c r="U690" s="19" t="str">
        <f t="shared" si="176"/>
        <v/>
      </c>
      <c r="V690" s="19" t="str">
        <f t="shared" si="177"/>
        <v/>
      </c>
      <c r="W690" s="73" t="str">
        <f t="shared" si="178"/>
        <v/>
      </c>
      <c r="X690" s="19" t="str">
        <f>IF($D690&lt;&gt;1,"",IF($G690="ROKS",$R690,IF($AI690=1,0,MAX($N690,$L690-SUMIFS(TblApplications[CPU IKS libérable (vCPU)],TblApplications[Cluster IKS source],$F690,TblApplications[Action],"À migrer",TblApplications[Mois prov (calc)],"&lt;="&amp;$E690)-SUMIFS(TblApplications[CPU IKS libérable (vCPU)],TblApplications[Cluster IKS source],$F690,TblApplications[Action],"À décommissionner",TblApplications[Mois lib (calc)],"&lt;="&amp;$E690)))))</f>
        <v/>
      </c>
      <c r="Y690" s="19" t="str">
        <f>IF($D690&lt;&gt;1,"",IF($G690="ROKS",$S690,IF($AI690=1,0,MAX($O690,$M690-SUMIFS(TblApplications[RAM IKS libérable (Go)],TblApplications[Cluster IKS source],$F690,TblApplications[Action],"À migrer",TblApplications[Mois prov (calc)],"&lt;="&amp;$E690)-SUMIFS(TblApplications[RAM IKS libérable (Go)],TblApplications[Cluster IKS source],$F690,TblApplications[Action],"À décommissionner",TblApplications[Mois lib (calc)],"&lt;="&amp;$E690)))))</f>
        <v/>
      </c>
      <c r="Z690" s="19" t="str">
        <f t="shared" si="179"/>
        <v/>
      </c>
      <c r="AA690" s="73" t="str">
        <f t="shared" si="180"/>
        <v/>
      </c>
      <c r="AB690" s="19" t="str">
        <f t="shared" si="181"/>
        <v/>
      </c>
      <c r="AC690" s="73" t="str">
        <f t="shared" si="182"/>
        <v/>
      </c>
      <c r="AD690" s="19" t="str">
        <f t="shared" si="183"/>
        <v/>
      </c>
      <c r="AE690" s="19" t="str">
        <f t="shared" si="184"/>
        <v/>
      </c>
      <c r="AF690" s="19" t="str">
        <f>IF($D690&lt;&gt;1,"",IF(INDEX(TblClusters[Environnement],$B690)="","(vide)",INDEX(TblClusters[Environnement],$B690)))</f>
        <v/>
      </c>
      <c r="AG690" s="19" t="str">
        <f t="shared" si="185"/>
        <v/>
      </c>
      <c r="AH690" s="19" t="str">
        <f t="shared" si="186"/>
        <v/>
      </c>
      <c r="AI690" s="19" t="str">
        <f>IF($D690&lt;&gt;1,"",IF(AND($G690="IKS",ISNUMBER(INDEX(TblClusters[Fermeture retenue],$B690))),IF($E690&gt;=INDEX(TblClusters[Fermeture retenue],$B690),1,0),0))</f>
        <v/>
      </c>
    </row>
    <row r="691" spans="1:35" x14ac:dyDescent="0.2">
      <c r="A691" s="19">
        <v>686</v>
      </c>
      <c r="B691" s="19">
        <f t="shared" si="170"/>
        <v>20</v>
      </c>
      <c r="C691" s="19">
        <f t="shared" si="171"/>
        <v>2</v>
      </c>
      <c r="D691" s="19">
        <f>IF($C691&gt;p_horizon,0,IFERROR(IF(AND(INDEX(TblClusters[Cluster],$B691)&lt;&gt;"",ISNUMBER(INDEX(TblClusters[CPU initial (vCPU)],$B691)),ISNUMBER(INDEX(TblClusters[CPU min (vCPU)],$B691)),OR(INDEX(TblClusters[Plateforme],$B691)="IKS",INDEX(TblClusters[Plateforme],$B691)="ROKS")),1,0),0))</f>
        <v>0</v>
      </c>
      <c r="E691" s="72" t="str">
        <f t="shared" si="172"/>
        <v/>
      </c>
      <c r="F691" s="19" t="str">
        <f>IF($D691=1,INDEX(TblClusters[Cluster],$B691),"")</f>
        <v/>
      </c>
      <c r="G691" s="19" t="str">
        <f>IF($D691=1,INDEX(TblClusters[Plateforme],$B691),"")</f>
        <v/>
      </c>
      <c r="H691" s="19" t="str">
        <f>IF($D691=1,INDEX(TblClusters[vCPU par nœud],$B691),"")</f>
        <v/>
      </c>
      <c r="I691" s="19" t="str">
        <f>IF($D691=1,INDEX(TblClusters[RAM par nœud (Go)],$B691),"")</f>
        <v/>
      </c>
      <c r="J691" s="19" t="str">
        <f>IF($D691=1,INDEX(TblClusters[Workers min],$B691),"")</f>
        <v/>
      </c>
      <c r="K691" s="73" t="str">
        <f>IF($D691=1,INDEX(TblClusters[Tarif par nœud],$B691),"")</f>
        <v/>
      </c>
      <c r="L691" s="19" t="str">
        <f>IF($D691=1,INDEX(TblClusters[CPU initial (vCPU)],$B691),"")</f>
        <v/>
      </c>
      <c r="M691" s="19" t="str">
        <f>IF($D691=1,INDEX(TblClusters[RAM initiale (Go)],$B691),"")</f>
        <v/>
      </c>
      <c r="N691" s="19" t="str">
        <f>IF($D691=1,INDEX(TblClusters[CPU min (vCPU)],$B691),"")</f>
        <v/>
      </c>
      <c r="O691" s="19" t="str">
        <f>IF($D691=1,INDEX(TblClusters[RAM min (Go)],$B691),"")</f>
        <v/>
      </c>
      <c r="P691" s="19" t="str">
        <f>IF($D691&lt;&gt;1,"",IF($G691="ROKS",SUMIFS(TblApplications[Besoin ROKS CPU (vCPU)],TblApplications[Cluster ROKS cible],$F691,TblApplications[Action],"À migrer",TblApplications[Déjà incluse ROKS],"Non",TblApplications[Mois prov (calc)],"&lt;="&amp;$E691),SUMIFS(TblApplications[CPU IKS libérable (vCPU)],TblApplications[Cluster IKS source],$F691,TblApplications[Mois lib (calc)],"&lt;="&amp;$E691)))</f>
        <v/>
      </c>
      <c r="Q691" s="19" t="str">
        <f>IF($D691&lt;&gt;1,"",IF($G691="ROKS",SUMIFS(TblApplications[Besoin ROKS RAM (Go)],TblApplications[Cluster ROKS cible],$F691,TblApplications[Action],"À migrer",TblApplications[Déjà incluse ROKS],"Non",TblApplications[Mois prov (calc)],"&lt;="&amp;$E691),SUMIFS(TblApplications[RAM IKS libérable (Go)],TblApplications[Cluster IKS source],$F691,TblApplications[Mois lib (calc)],"&lt;="&amp;$E691)))</f>
        <v/>
      </c>
      <c r="R691" s="19" t="str">
        <f t="shared" si="173"/>
        <v/>
      </c>
      <c r="S691" s="19" t="str">
        <f t="shared" si="174"/>
        <v/>
      </c>
      <c r="T691" s="19" t="str">
        <f t="shared" si="175"/>
        <v/>
      </c>
      <c r="U691" s="19" t="str">
        <f t="shared" si="176"/>
        <v/>
      </c>
      <c r="V691" s="19" t="str">
        <f t="shared" si="177"/>
        <v/>
      </c>
      <c r="W691" s="73" t="str">
        <f t="shared" si="178"/>
        <v/>
      </c>
      <c r="X691" s="19" t="str">
        <f>IF($D691&lt;&gt;1,"",IF($G691="ROKS",$R691,IF($AI691=1,0,MAX($N691,$L691-SUMIFS(TblApplications[CPU IKS libérable (vCPU)],TblApplications[Cluster IKS source],$F691,TblApplications[Action],"À migrer",TblApplications[Mois prov (calc)],"&lt;="&amp;$E691)-SUMIFS(TblApplications[CPU IKS libérable (vCPU)],TblApplications[Cluster IKS source],$F691,TblApplications[Action],"À décommissionner",TblApplications[Mois lib (calc)],"&lt;="&amp;$E691)))))</f>
        <v/>
      </c>
      <c r="Y691" s="19" t="str">
        <f>IF($D691&lt;&gt;1,"",IF($G691="ROKS",$S691,IF($AI691=1,0,MAX($O691,$M691-SUMIFS(TblApplications[RAM IKS libérable (Go)],TblApplications[Cluster IKS source],$F691,TblApplications[Action],"À migrer",TblApplications[Mois prov (calc)],"&lt;="&amp;$E691)-SUMIFS(TblApplications[RAM IKS libérable (Go)],TblApplications[Cluster IKS source],$F691,TblApplications[Action],"À décommissionner",TblApplications[Mois lib (calc)],"&lt;="&amp;$E691)))))</f>
        <v/>
      </c>
      <c r="Z691" s="19" t="str">
        <f t="shared" si="179"/>
        <v/>
      </c>
      <c r="AA691" s="73" t="str">
        <f t="shared" si="180"/>
        <v/>
      </c>
      <c r="AB691" s="19" t="str">
        <f t="shared" si="181"/>
        <v/>
      </c>
      <c r="AC691" s="73" t="str">
        <f t="shared" si="182"/>
        <v/>
      </c>
      <c r="AD691" s="19" t="str">
        <f t="shared" si="183"/>
        <v/>
      </c>
      <c r="AE691" s="19" t="str">
        <f t="shared" si="184"/>
        <v/>
      </c>
      <c r="AF691" s="19" t="str">
        <f>IF($D691&lt;&gt;1,"",IF(INDEX(TblClusters[Environnement],$B691)="","(vide)",INDEX(TblClusters[Environnement],$B691)))</f>
        <v/>
      </c>
      <c r="AG691" s="19" t="str">
        <f t="shared" si="185"/>
        <v/>
      </c>
      <c r="AH691" s="19" t="str">
        <f t="shared" si="186"/>
        <v/>
      </c>
      <c r="AI691" s="19" t="str">
        <f>IF($D691&lt;&gt;1,"",IF(AND($G691="IKS",ISNUMBER(INDEX(TblClusters[Fermeture retenue],$B691))),IF($E691&gt;=INDEX(TblClusters[Fermeture retenue],$B691),1,0),0))</f>
        <v/>
      </c>
    </row>
    <row r="692" spans="1:35" x14ac:dyDescent="0.2">
      <c r="A692" s="19">
        <v>687</v>
      </c>
      <c r="B692" s="19">
        <f t="shared" si="170"/>
        <v>20</v>
      </c>
      <c r="C692" s="19">
        <f t="shared" si="171"/>
        <v>3</v>
      </c>
      <c r="D692" s="19">
        <f>IF($C692&gt;p_horizon,0,IFERROR(IF(AND(INDEX(TblClusters[Cluster],$B692)&lt;&gt;"",ISNUMBER(INDEX(TblClusters[CPU initial (vCPU)],$B692)),ISNUMBER(INDEX(TblClusters[CPU min (vCPU)],$B692)),OR(INDEX(TblClusters[Plateforme],$B692)="IKS",INDEX(TblClusters[Plateforme],$B692)="ROKS")),1,0),0))</f>
        <v>0</v>
      </c>
      <c r="E692" s="72" t="str">
        <f t="shared" si="172"/>
        <v/>
      </c>
      <c r="F692" s="19" t="str">
        <f>IF($D692=1,INDEX(TblClusters[Cluster],$B692),"")</f>
        <v/>
      </c>
      <c r="G692" s="19" t="str">
        <f>IF($D692=1,INDEX(TblClusters[Plateforme],$B692),"")</f>
        <v/>
      </c>
      <c r="H692" s="19" t="str">
        <f>IF($D692=1,INDEX(TblClusters[vCPU par nœud],$B692),"")</f>
        <v/>
      </c>
      <c r="I692" s="19" t="str">
        <f>IF($D692=1,INDEX(TblClusters[RAM par nœud (Go)],$B692),"")</f>
        <v/>
      </c>
      <c r="J692" s="19" t="str">
        <f>IF($D692=1,INDEX(TblClusters[Workers min],$B692),"")</f>
        <v/>
      </c>
      <c r="K692" s="73" t="str">
        <f>IF($D692=1,INDEX(TblClusters[Tarif par nœud],$B692),"")</f>
        <v/>
      </c>
      <c r="L692" s="19" t="str">
        <f>IF($D692=1,INDEX(TblClusters[CPU initial (vCPU)],$B692),"")</f>
        <v/>
      </c>
      <c r="M692" s="19" t="str">
        <f>IF($D692=1,INDEX(TblClusters[RAM initiale (Go)],$B692),"")</f>
        <v/>
      </c>
      <c r="N692" s="19" t="str">
        <f>IF($D692=1,INDEX(TblClusters[CPU min (vCPU)],$B692),"")</f>
        <v/>
      </c>
      <c r="O692" s="19" t="str">
        <f>IF($D692=1,INDEX(TblClusters[RAM min (Go)],$B692),"")</f>
        <v/>
      </c>
      <c r="P692" s="19" t="str">
        <f>IF($D692&lt;&gt;1,"",IF($G692="ROKS",SUMIFS(TblApplications[Besoin ROKS CPU (vCPU)],TblApplications[Cluster ROKS cible],$F692,TblApplications[Action],"À migrer",TblApplications[Déjà incluse ROKS],"Non",TblApplications[Mois prov (calc)],"&lt;="&amp;$E692),SUMIFS(TblApplications[CPU IKS libérable (vCPU)],TblApplications[Cluster IKS source],$F692,TblApplications[Mois lib (calc)],"&lt;="&amp;$E692)))</f>
        <v/>
      </c>
      <c r="Q692" s="19" t="str">
        <f>IF($D692&lt;&gt;1,"",IF($G692="ROKS",SUMIFS(TblApplications[Besoin ROKS RAM (Go)],TblApplications[Cluster ROKS cible],$F692,TblApplications[Action],"À migrer",TblApplications[Déjà incluse ROKS],"Non",TblApplications[Mois prov (calc)],"&lt;="&amp;$E692),SUMIFS(TblApplications[RAM IKS libérable (Go)],TblApplications[Cluster IKS source],$F692,TblApplications[Mois lib (calc)],"&lt;="&amp;$E692)))</f>
        <v/>
      </c>
      <c r="R692" s="19" t="str">
        <f t="shared" si="173"/>
        <v/>
      </c>
      <c r="S692" s="19" t="str">
        <f t="shared" si="174"/>
        <v/>
      </c>
      <c r="T692" s="19" t="str">
        <f t="shared" si="175"/>
        <v/>
      </c>
      <c r="U692" s="19" t="str">
        <f t="shared" si="176"/>
        <v/>
      </c>
      <c r="V692" s="19" t="str">
        <f t="shared" si="177"/>
        <v/>
      </c>
      <c r="W692" s="73" t="str">
        <f t="shared" si="178"/>
        <v/>
      </c>
      <c r="X692" s="19" t="str">
        <f>IF($D692&lt;&gt;1,"",IF($G692="ROKS",$R692,IF($AI692=1,0,MAX($N692,$L692-SUMIFS(TblApplications[CPU IKS libérable (vCPU)],TblApplications[Cluster IKS source],$F692,TblApplications[Action],"À migrer",TblApplications[Mois prov (calc)],"&lt;="&amp;$E692)-SUMIFS(TblApplications[CPU IKS libérable (vCPU)],TblApplications[Cluster IKS source],$F692,TblApplications[Action],"À décommissionner",TblApplications[Mois lib (calc)],"&lt;="&amp;$E692)))))</f>
        <v/>
      </c>
      <c r="Y692" s="19" t="str">
        <f>IF($D692&lt;&gt;1,"",IF($G692="ROKS",$S692,IF($AI692=1,0,MAX($O692,$M692-SUMIFS(TblApplications[RAM IKS libérable (Go)],TblApplications[Cluster IKS source],$F692,TblApplications[Action],"À migrer",TblApplications[Mois prov (calc)],"&lt;="&amp;$E692)-SUMIFS(TblApplications[RAM IKS libérable (Go)],TblApplications[Cluster IKS source],$F692,TblApplications[Action],"À décommissionner",TblApplications[Mois lib (calc)],"&lt;="&amp;$E692)))))</f>
        <v/>
      </c>
      <c r="Z692" s="19" t="str">
        <f t="shared" si="179"/>
        <v/>
      </c>
      <c r="AA692" s="73" t="str">
        <f t="shared" si="180"/>
        <v/>
      </c>
      <c r="AB692" s="19" t="str">
        <f t="shared" si="181"/>
        <v/>
      </c>
      <c r="AC692" s="73" t="str">
        <f t="shared" si="182"/>
        <v/>
      </c>
      <c r="AD692" s="19" t="str">
        <f t="shared" si="183"/>
        <v/>
      </c>
      <c r="AE692" s="19" t="str">
        <f t="shared" si="184"/>
        <v/>
      </c>
      <c r="AF692" s="19" t="str">
        <f>IF($D692&lt;&gt;1,"",IF(INDEX(TblClusters[Environnement],$B692)="","(vide)",INDEX(TblClusters[Environnement],$B692)))</f>
        <v/>
      </c>
      <c r="AG692" s="19" t="str">
        <f t="shared" si="185"/>
        <v/>
      </c>
      <c r="AH692" s="19" t="str">
        <f t="shared" si="186"/>
        <v/>
      </c>
      <c r="AI692" s="19" t="str">
        <f>IF($D692&lt;&gt;1,"",IF(AND($G692="IKS",ISNUMBER(INDEX(TblClusters[Fermeture retenue],$B692))),IF($E692&gt;=INDEX(TblClusters[Fermeture retenue],$B692),1,0),0))</f>
        <v/>
      </c>
    </row>
    <row r="693" spans="1:35" x14ac:dyDescent="0.2">
      <c r="A693" s="19">
        <v>688</v>
      </c>
      <c r="B693" s="19">
        <f t="shared" si="170"/>
        <v>20</v>
      </c>
      <c r="C693" s="19">
        <f t="shared" si="171"/>
        <v>4</v>
      </c>
      <c r="D693" s="19">
        <f>IF($C693&gt;p_horizon,0,IFERROR(IF(AND(INDEX(TblClusters[Cluster],$B693)&lt;&gt;"",ISNUMBER(INDEX(TblClusters[CPU initial (vCPU)],$B693)),ISNUMBER(INDEX(TblClusters[CPU min (vCPU)],$B693)),OR(INDEX(TblClusters[Plateforme],$B693)="IKS",INDEX(TblClusters[Plateforme],$B693)="ROKS")),1,0),0))</f>
        <v>0</v>
      </c>
      <c r="E693" s="72" t="str">
        <f t="shared" si="172"/>
        <v/>
      </c>
      <c r="F693" s="19" t="str">
        <f>IF($D693=1,INDEX(TblClusters[Cluster],$B693),"")</f>
        <v/>
      </c>
      <c r="G693" s="19" t="str">
        <f>IF($D693=1,INDEX(TblClusters[Plateforme],$B693),"")</f>
        <v/>
      </c>
      <c r="H693" s="19" t="str">
        <f>IF($D693=1,INDEX(TblClusters[vCPU par nœud],$B693),"")</f>
        <v/>
      </c>
      <c r="I693" s="19" t="str">
        <f>IF($D693=1,INDEX(TblClusters[RAM par nœud (Go)],$B693),"")</f>
        <v/>
      </c>
      <c r="J693" s="19" t="str">
        <f>IF($D693=1,INDEX(TblClusters[Workers min],$B693),"")</f>
        <v/>
      </c>
      <c r="K693" s="73" t="str">
        <f>IF($D693=1,INDEX(TblClusters[Tarif par nœud],$B693),"")</f>
        <v/>
      </c>
      <c r="L693" s="19" t="str">
        <f>IF($D693=1,INDEX(TblClusters[CPU initial (vCPU)],$B693),"")</f>
        <v/>
      </c>
      <c r="M693" s="19" t="str">
        <f>IF($D693=1,INDEX(TblClusters[RAM initiale (Go)],$B693),"")</f>
        <v/>
      </c>
      <c r="N693" s="19" t="str">
        <f>IF($D693=1,INDEX(TblClusters[CPU min (vCPU)],$B693),"")</f>
        <v/>
      </c>
      <c r="O693" s="19" t="str">
        <f>IF($D693=1,INDEX(TblClusters[RAM min (Go)],$B693),"")</f>
        <v/>
      </c>
      <c r="P693" s="19" t="str">
        <f>IF($D693&lt;&gt;1,"",IF($G693="ROKS",SUMIFS(TblApplications[Besoin ROKS CPU (vCPU)],TblApplications[Cluster ROKS cible],$F693,TblApplications[Action],"À migrer",TblApplications[Déjà incluse ROKS],"Non",TblApplications[Mois prov (calc)],"&lt;="&amp;$E693),SUMIFS(TblApplications[CPU IKS libérable (vCPU)],TblApplications[Cluster IKS source],$F693,TblApplications[Mois lib (calc)],"&lt;="&amp;$E693)))</f>
        <v/>
      </c>
      <c r="Q693" s="19" t="str">
        <f>IF($D693&lt;&gt;1,"",IF($G693="ROKS",SUMIFS(TblApplications[Besoin ROKS RAM (Go)],TblApplications[Cluster ROKS cible],$F693,TblApplications[Action],"À migrer",TblApplications[Déjà incluse ROKS],"Non",TblApplications[Mois prov (calc)],"&lt;="&amp;$E693),SUMIFS(TblApplications[RAM IKS libérable (Go)],TblApplications[Cluster IKS source],$F693,TblApplications[Mois lib (calc)],"&lt;="&amp;$E693)))</f>
        <v/>
      </c>
      <c r="R693" s="19" t="str">
        <f t="shared" si="173"/>
        <v/>
      </c>
      <c r="S693" s="19" t="str">
        <f t="shared" si="174"/>
        <v/>
      </c>
      <c r="T693" s="19" t="str">
        <f t="shared" si="175"/>
        <v/>
      </c>
      <c r="U693" s="19" t="str">
        <f t="shared" si="176"/>
        <v/>
      </c>
      <c r="V693" s="19" t="str">
        <f t="shared" si="177"/>
        <v/>
      </c>
      <c r="W693" s="73" t="str">
        <f t="shared" si="178"/>
        <v/>
      </c>
      <c r="X693" s="19" t="str">
        <f>IF($D693&lt;&gt;1,"",IF($G693="ROKS",$R693,IF($AI693=1,0,MAX($N693,$L693-SUMIFS(TblApplications[CPU IKS libérable (vCPU)],TblApplications[Cluster IKS source],$F693,TblApplications[Action],"À migrer",TblApplications[Mois prov (calc)],"&lt;="&amp;$E693)-SUMIFS(TblApplications[CPU IKS libérable (vCPU)],TblApplications[Cluster IKS source],$F693,TblApplications[Action],"À décommissionner",TblApplications[Mois lib (calc)],"&lt;="&amp;$E693)))))</f>
        <v/>
      </c>
      <c r="Y693" s="19" t="str">
        <f>IF($D693&lt;&gt;1,"",IF($G693="ROKS",$S693,IF($AI693=1,0,MAX($O693,$M693-SUMIFS(TblApplications[RAM IKS libérable (Go)],TblApplications[Cluster IKS source],$F693,TblApplications[Action],"À migrer",TblApplications[Mois prov (calc)],"&lt;="&amp;$E693)-SUMIFS(TblApplications[RAM IKS libérable (Go)],TblApplications[Cluster IKS source],$F693,TblApplications[Action],"À décommissionner",TblApplications[Mois lib (calc)],"&lt;="&amp;$E693)))))</f>
        <v/>
      </c>
      <c r="Z693" s="19" t="str">
        <f t="shared" si="179"/>
        <v/>
      </c>
      <c r="AA693" s="73" t="str">
        <f t="shared" si="180"/>
        <v/>
      </c>
      <c r="AB693" s="19" t="str">
        <f t="shared" si="181"/>
        <v/>
      </c>
      <c r="AC693" s="73" t="str">
        <f t="shared" si="182"/>
        <v/>
      </c>
      <c r="AD693" s="19" t="str">
        <f t="shared" si="183"/>
        <v/>
      </c>
      <c r="AE693" s="19" t="str">
        <f t="shared" si="184"/>
        <v/>
      </c>
      <c r="AF693" s="19" t="str">
        <f>IF($D693&lt;&gt;1,"",IF(INDEX(TblClusters[Environnement],$B693)="","(vide)",INDEX(TblClusters[Environnement],$B693)))</f>
        <v/>
      </c>
      <c r="AG693" s="19" t="str">
        <f t="shared" si="185"/>
        <v/>
      </c>
      <c r="AH693" s="19" t="str">
        <f t="shared" si="186"/>
        <v/>
      </c>
      <c r="AI693" s="19" t="str">
        <f>IF($D693&lt;&gt;1,"",IF(AND($G693="IKS",ISNUMBER(INDEX(TblClusters[Fermeture retenue],$B693))),IF($E693&gt;=INDEX(TblClusters[Fermeture retenue],$B693),1,0),0))</f>
        <v/>
      </c>
    </row>
    <row r="694" spans="1:35" x14ac:dyDescent="0.2">
      <c r="A694" s="19">
        <v>689</v>
      </c>
      <c r="B694" s="19">
        <f t="shared" si="170"/>
        <v>20</v>
      </c>
      <c r="C694" s="19">
        <f t="shared" si="171"/>
        <v>5</v>
      </c>
      <c r="D694" s="19">
        <f>IF($C694&gt;p_horizon,0,IFERROR(IF(AND(INDEX(TblClusters[Cluster],$B694)&lt;&gt;"",ISNUMBER(INDEX(TblClusters[CPU initial (vCPU)],$B694)),ISNUMBER(INDEX(TblClusters[CPU min (vCPU)],$B694)),OR(INDEX(TblClusters[Plateforme],$B694)="IKS",INDEX(TblClusters[Plateforme],$B694)="ROKS")),1,0),0))</f>
        <v>0</v>
      </c>
      <c r="E694" s="72" t="str">
        <f t="shared" si="172"/>
        <v/>
      </c>
      <c r="F694" s="19" t="str">
        <f>IF($D694=1,INDEX(TblClusters[Cluster],$B694),"")</f>
        <v/>
      </c>
      <c r="G694" s="19" t="str">
        <f>IF($D694=1,INDEX(TblClusters[Plateforme],$B694),"")</f>
        <v/>
      </c>
      <c r="H694" s="19" t="str">
        <f>IF($D694=1,INDEX(TblClusters[vCPU par nœud],$B694),"")</f>
        <v/>
      </c>
      <c r="I694" s="19" t="str">
        <f>IF($D694=1,INDEX(TblClusters[RAM par nœud (Go)],$B694),"")</f>
        <v/>
      </c>
      <c r="J694" s="19" t="str">
        <f>IF($D694=1,INDEX(TblClusters[Workers min],$B694),"")</f>
        <v/>
      </c>
      <c r="K694" s="73" t="str">
        <f>IF($D694=1,INDEX(TblClusters[Tarif par nœud],$B694),"")</f>
        <v/>
      </c>
      <c r="L694" s="19" t="str">
        <f>IF($D694=1,INDEX(TblClusters[CPU initial (vCPU)],$B694),"")</f>
        <v/>
      </c>
      <c r="M694" s="19" t="str">
        <f>IF($D694=1,INDEX(TblClusters[RAM initiale (Go)],$B694),"")</f>
        <v/>
      </c>
      <c r="N694" s="19" t="str">
        <f>IF($D694=1,INDEX(TblClusters[CPU min (vCPU)],$B694),"")</f>
        <v/>
      </c>
      <c r="O694" s="19" t="str">
        <f>IF($D694=1,INDEX(TblClusters[RAM min (Go)],$B694),"")</f>
        <v/>
      </c>
      <c r="P694" s="19" t="str">
        <f>IF($D694&lt;&gt;1,"",IF($G694="ROKS",SUMIFS(TblApplications[Besoin ROKS CPU (vCPU)],TblApplications[Cluster ROKS cible],$F694,TblApplications[Action],"À migrer",TblApplications[Déjà incluse ROKS],"Non",TblApplications[Mois prov (calc)],"&lt;="&amp;$E694),SUMIFS(TblApplications[CPU IKS libérable (vCPU)],TblApplications[Cluster IKS source],$F694,TblApplications[Mois lib (calc)],"&lt;="&amp;$E694)))</f>
        <v/>
      </c>
      <c r="Q694" s="19" t="str">
        <f>IF($D694&lt;&gt;1,"",IF($G694="ROKS",SUMIFS(TblApplications[Besoin ROKS RAM (Go)],TblApplications[Cluster ROKS cible],$F694,TblApplications[Action],"À migrer",TblApplications[Déjà incluse ROKS],"Non",TblApplications[Mois prov (calc)],"&lt;="&amp;$E694),SUMIFS(TblApplications[RAM IKS libérable (Go)],TblApplications[Cluster IKS source],$F694,TblApplications[Mois lib (calc)],"&lt;="&amp;$E694)))</f>
        <v/>
      </c>
      <c r="R694" s="19" t="str">
        <f t="shared" si="173"/>
        <v/>
      </c>
      <c r="S694" s="19" t="str">
        <f t="shared" si="174"/>
        <v/>
      </c>
      <c r="T694" s="19" t="str">
        <f t="shared" si="175"/>
        <v/>
      </c>
      <c r="U694" s="19" t="str">
        <f t="shared" si="176"/>
        <v/>
      </c>
      <c r="V694" s="19" t="str">
        <f t="shared" si="177"/>
        <v/>
      </c>
      <c r="W694" s="73" t="str">
        <f t="shared" si="178"/>
        <v/>
      </c>
      <c r="X694" s="19" t="str">
        <f>IF($D694&lt;&gt;1,"",IF($G694="ROKS",$R694,IF($AI694=1,0,MAX($N694,$L694-SUMIFS(TblApplications[CPU IKS libérable (vCPU)],TblApplications[Cluster IKS source],$F694,TblApplications[Action],"À migrer",TblApplications[Mois prov (calc)],"&lt;="&amp;$E694)-SUMIFS(TblApplications[CPU IKS libérable (vCPU)],TblApplications[Cluster IKS source],$F694,TblApplications[Action],"À décommissionner",TblApplications[Mois lib (calc)],"&lt;="&amp;$E694)))))</f>
        <v/>
      </c>
      <c r="Y694" s="19" t="str">
        <f>IF($D694&lt;&gt;1,"",IF($G694="ROKS",$S694,IF($AI694=1,0,MAX($O694,$M694-SUMIFS(TblApplications[RAM IKS libérable (Go)],TblApplications[Cluster IKS source],$F694,TblApplications[Action],"À migrer",TblApplications[Mois prov (calc)],"&lt;="&amp;$E694)-SUMIFS(TblApplications[RAM IKS libérable (Go)],TblApplications[Cluster IKS source],$F694,TblApplications[Action],"À décommissionner",TblApplications[Mois lib (calc)],"&lt;="&amp;$E694)))))</f>
        <v/>
      </c>
      <c r="Z694" s="19" t="str">
        <f t="shared" si="179"/>
        <v/>
      </c>
      <c r="AA694" s="73" t="str">
        <f t="shared" si="180"/>
        <v/>
      </c>
      <c r="AB694" s="19" t="str">
        <f t="shared" si="181"/>
        <v/>
      </c>
      <c r="AC694" s="73" t="str">
        <f t="shared" si="182"/>
        <v/>
      </c>
      <c r="AD694" s="19" t="str">
        <f t="shared" si="183"/>
        <v/>
      </c>
      <c r="AE694" s="19" t="str">
        <f t="shared" si="184"/>
        <v/>
      </c>
      <c r="AF694" s="19" t="str">
        <f>IF($D694&lt;&gt;1,"",IF(INDEX(TblClusters[Environnement],$B694)="","(vide)",INDEX(TblClusters[Environnement],$B694)))</f>
        <v/>
      </c>
      <c r="AG694" s="19" t="str">
        <f t="shared" si="185"/>
        <v/>
      </c>
      <c r="AH694" s="19" t="str">
        <f t="shared" si="186"/>
        <v/>
      </c>
      <c r="AI694" s="19" t="str">
        <f>IF($D694&lt;&gt;1,"",IF(AND($G694="IKS",ISNUMBER(INDEX(TblClusters[Fermeture retenue],$B694))),IF($E694&gt;=INDEX(TblClusters[Fermeture retenue],$B694),1,0),0))</f>
        <v/>
      </c>
    </row>
    <row r="695" spans="1:35" x14ac:dyDescent="0.2">
      <c r="A695" s="19">
        <v>690</v>
      </c>
      <c r="B695" s="19">
        <f t="shared" si="170"/>
        <v>20</v>
      </c>
      <c r="C695" s="19">
        <f t="shared" si="171"/>
        <v>6</v>
      </c>
      <c r="D695" s="19">
        <f>IF($C695&gt;p_horizon,0,IFERROR(IF(AND(INDEX(TblClusters[Cluster],$B695)&lt;&gt;"",ISNUMBER(INDEX(TblClusters[CPU initial (vCPU)],$B695)),ISNUMBER(INDEX(TblClusters[CPU min (vCPU)],$B695)),OR(INDEX(TblClusters[Plateforme],$B695)="IKS",INDEX(TblClusters[Plateforme],$B695)="ROKS")),1,0),0))</f>
        <v>0</v>
      </c>
      <c r="E695" s="72" t="str">
        <f t="shared" si="172"/>
        <v/>
      </c>
      <c r="F695" s="19" t="str">
        <f>IF($D695=1,INDEX(TblClusters[Cluster],$B695),"")</f>
        <v/>
      </c>
      <c r="G695" s="19" t="str">
        <f>IF($D695=1,INDEX(TblClusters[Plateforme],$B695),"")</f>
        <v/>
      </c>
      <c r="H695" s="19" t="str">
        <f>IF($D695=1,INDEX(TblClusters[vCPU par nœud],$B695),"")</f>
        <v/>
      </c>
      <c r="I695" s="19" t="str">
        <f>IF($D695=1,INDEX(TblClusters[RAM par nœud (Go)],$B695),"")</f>
        <v/>
      </c>
      <c r="J695" s="19" t="str">
        <f>IF($D695=1,INDEX(TblClusters[Workers min],$B695),"")</f>
        <v/>
      </c>
      <c r="K695" s="73" t="str">
        <f>IF($D695=1,INDEX(TblClusters[Tarif par nœud],$B695),"")</f>
        <v/>
      </c>
      <c r="L695" s="19" t="str">
        <f>IF($D695=1,INDEX(TblClusters[CPU initial (vCPU)],$B695),"")</f>
        <v/>
      </c>
      <c r="M695" s="19" t="str">
        <f>IF($D695=1,INDEX(TblClusters[RAM initiale (Go)],$B695),"")</f>
        <v/>
      </c>
      <c r="N695" s="19" t="str">
        <f>IF($D695=1,INDEX(TblClusters[CPU min (vCPU)],$B695),"")</f>
        <v/>
      </c>
      <c r="O695" s="19" t="str">
        <f>IF($D695=1,INDEX(TblClusters[RAM min (Go)],$B695),"")</f>
        <v/>
      </c>
      <c r="P695" s="19" t="str">
        <f>IF($D695&lt;&gt;1,"",IF($G695="ROKS",SUMIFS(TblApplications[Besoin ROKS CPU (vCPU)],TblApplications[Cluster ROKS cible],$F695,TblApplications[Action],"À migrer",TblApplications[Déjà incluse ROKS],"Non",TblApplications[Mois prov (calc)],"&lt;="&amp;$E695),SUMIFS(TblApplications[CPU IKS libérable (vCPU)],TblApplications[Cluster IKS source],$F695,TblApplications[Mois lib (calc)],"&lt;="&amp;$E695)))</f>
        <v/>
      </c>
      <c r="Q695" s="19" t="str">
        <f>IF($D695&lt;&gt;1,"",IF($G695="ROKS",SUMIFS(TblApplications[Besoin ROKS RAM (Go)],TblApplications[Cluster ROKS cible],$F695,TblApplications[Action],"À migrer",TblApplications[Déjà incluse ROKS],"Non",TblApplications[Mois prov (calc)],"&lt;="&amp;$E695),SUMIFS(TblApplications[RAM IKS libérable (Go)],TblApplications[Cluster IKS source],$F695,TblApplications[Mois lib (calc)],"&lt;="&amp;$E695)))</f>
        <v/>
      </c>
      <c r="R695" s="19" t="str">
        <f t="shared" si="173"/>
        <v/>
      </c>
      <c r="S695" s="19" t="str">
        <f t="shared" si="174"/>
        <v/>
      </c>
      <c r="T695" s="19" t="str">
        <f t="shared" si="175"/>
        <v/>
      </c>
      <c r="U695" s="19" t="str">
        <f t="shared" si="176"/>
        <v/>
      </c>
      <c r="V695" s="19" t="str">
        <f t="shared" si="177"/>
        <v/>
      </c>
      <c r="W695" s="73" t="str">
        <f t="shared" si="178"/>
        <v/>
      </c>
      <c r="X695" s="19" t="str">
        <f>IF($D695&lt;&gt;1,"",IF($G695="ROKS",$R695,IF($AI695=1,0,MAX($N695,$L695-SUMIFS(TblApplications[CPU IKS libérable (vCPU)],TblApplications[Cluster IKS source],$F695,TblApplications[Action],"À migrer",TblApplications[Mois prov (calc)],"&lt;="&amp;$E695)-SUMIFS(TblApplications[CPU IKS libérable (vCPU)],TblApplications[Cluster IKS source],$F695,TblApplications[Action],"À décommissionner",TblApplications[Mois lib (calc)],"&lt;="&amp;$E695)))))</f>
        <v/>
      </c>
      <c r="Y695" s="19" t="str">
        <f>IF($D695&lt;&gt;1,"",IF($G695="ROKS",$S695,IF($AI695=1,0,MAX($O695,$M695-SUMIFS(TblApplications[RAM IKS libérable (Go)],TblApplications[Cluster IKS source],$F695,TblApplications[Action],"À migrer",TblApplications[Mois prov (calc)],"&lt;="&amp;$E695)-SUMIFS(TblApplications[RAM IKS libérable (Go)],TblApplications[Cluster IKS source],$F695,TblApplications[Action],"À décommissionner",TblApplications[Mois lib (calc)],"&lt;="&amp;$E695)))))</f>
        <v/>
      </c>
      <c r="Z695" s="19" t="str">
        <f t="shared" si="179"/>
        <v/>
      </c>
      <c r="AA695" s="73" t="str">
        <f t="shared" si="180"/>
        <v/>
      </c>
      <c r="AB695" s="19" t="str">
        <f t="shared" si="181"/>
        <v/>
      </c>
      <c r="AC695" s="73" t="str">
        <f t="shared" si="182"/>
        <v/>
      </c>
      <c r="AD695" s="19" t="str">
        <f t="shared" si="183"/>
        <v/>
      </c>
      <c r="AE695" s="19" t="str">
        <f t="shared" si="184"/>
        <v/>
      </c>
      <c r="AF695" s="19" t="str">
        <f>IF($D695&lt;&gt;1,"",IF(INDEX(TblClusters[Environnement],$B695)="","(vide)",INDEX(TblClusters[Environnement],$B695)))</f>
        <v/>
      </c>
      <c r="AG695" s="19" t="str">
        <f t="shared" si="185"/>
        <v/>
      </c>
      <c r="AH695" s="19" t="str">
        <f t="shared" si="186"/>
        <v/>
      </c>
      <c r="AI695" s="19" t="str">
        <f>IF($D695&lt;&gt;1,"",IF(AND($G695="IKS",ISNUMBER(INDEX(TblClusters[Fermeture retenue],$B695))),IF($E695&gt;=INDEX(TblClusters[Fermeture retenue],$B695),1,0),0))</f>
        <v/>
      </c>
    </row>
    <row r="696" spans="1:35" x14ac:dyDescent="0.2">
      <c r="A696" s="19">
        <v>691</v>
      </c>
      <c r="B696" s="19">
        <f t="shared" si="170"/>
        <v>20</v>
      </c>
      <c r="C696" s="19">
        <f t="shared" si="171"/>
        <v>7</v>
      </c>
      <c r="D696" s="19">
        <f>IF($C696&gt;p_horizon,0,IFERROR(IF(AND(INDEX(TblClusters[Cluster],$B696)&lt;&gt;"",ISNUMBER(INDEX(TblClusters[CPU initial (vCPU)],$B696)),ISNUMBER(INDEX(TblClusters[CPU min (vCPU)],$B696)),OR(INDEX(TblClusters[Plateforme],$B696)="IKS",INDEX(TblClusters[Plateforme],$B696)="ROKS")),1,0),0))</f>
        <v>0</v>
      </c>
      <c r="E696" s="72" t="str">
        <f t="shared" si="172"/>
        <v/>
      </c>
      <c r="F696" s="19" t="str">
        <f>IF($D696=1,INDEX(TblClusters[Cluster],$B696),"")</f>
        <v/>
      </c>
      <c r="G696" s="19" t="str">
        <f>IF($D696=1,INDEX(TblClusters[Plateforme],$B696),"")</f>
        <v/>
      </c>
      <c r="H696" s="19" t="str">
        <f>IF($D696=1,INDEX(TblClusters[vCPU par nœud],$B696),"")</f>
        <v/>
      </c>
      <c r="I696" s="19" t="str">
        <f>IF($D696=1,INDEX(TblClusters[RAM par nœud (Go)],$B696),"")</f>
        <v/>
      </c>
      <c r="J696" s="19" t="str">
        <f>IF($D696=1,INDEX(TblClusters[Workers min],$B696),"")</f>
        <v/>
      </c>
      <c r="K696" s="73" t="str">
        <f>IF($D696=1,INDEX(TblClusters[Tarif par nœud],$B696),"")</f>
        <v/>
      </c>
      <c r="L696" s="19" t="str">
        <f>IF($D696=1,INDEX(TblClusters[CPU initial (vCPU)],$B696),"")</f>
        <v/>
      </c>
      <c r="M696" s="19" t="str">
        <f>IF($D696=1,INDEX(TblClusters[RAM initiale (Go)],$B696),"")</f>
        <v/>
      </c>
      <c r="N696" s="19" t="str">
        <f>IF($D696=1,INDEX(TblClusters[CPU min (vCPU)],$B696),"")</f>
        <v/>
      </c>
      <c r="O696" s="19" t="str">
        <f>IF($D696=1,INDEX(TblClusters[RAM min (Go)],$B696),"")</f>
        <v/>
      </c>
      <c r="P696" s="19" t="str">
        <f>IF($D696&lt;&gt;1,"",IF($G696="ROKS",SUMIFS(TblApplications[Besoin ROKS CPU (vCPU)],TblApplications[Cluster ROKS cible],$F696,TblApplications[Action],"À migrer",TblApplications[Déjà incluse ROKS],"Non",TblApplications[Mois prov (calc)],"&lt;="&amp;$E696),SUMIFS(TblApplications[CPU IKS libérable (vCPU)],TblApplications[Cluster IKS source],$F696,TblApplications[Mois lib (calc)],"&lt;="&amp;$E696)))</f>
        <v/>
      </c>
      <c r="Q696" s="19" t="str">
        <f>IF($D696&lt;&gt;1,"",IF($G696="ROKS",SUMIFS(TblApplications[Besoin ROKS RAM (Go)],TblApplications[Cluster ROKS cible],$F696,TblApplications[Action],"À migrer",TblApplications[Déjà incluse ROKS],"Non",TblApplications[Mois prov (calc)],"&lt;="&amp;$E696),SUMIFS(TblApplications[RAM IKS libérable (Go)],TblApplications[Cluster IKS source],$F696,TblApplications[Mois lib (calc)],"&lt;="&amp;$E696)))</f>
        <v/>
      </c>
      <c r="R696" s="19" t="str">
        <f t="shared" si="173"/>
        <v/>
      </c>
      <c r="S696" s="19" t="str">
        <f t="shared" si="174"/>
        <v/>
      </c>
      <c r="T696" s="19" t="str">
        <f t="shared" si="175"/>
        <v/>
      </c>
      <c r="U696" s="19" t="str">
        <f t="shared" si="176"/>
        <v/>
      </c>
      <c r="V696" s="19" t="str">
        <f t="shared" si="177"/>
        <v/>
      </c>
      <c r="W696" s="73" t="str">
        <f t="shared" si="178"/>
        <v/>
      </c>
      <c r="X696" s="19" t="str">
        <f>IF($D696&lt;&gt;1,"",IF($G696="ROKS",$R696,IF($AI696=1,0,MAX($N696,$L696-SUMIFS(TblApplications[CPU IKS libérable (vCPU)],TblApplications[Cluster IKS source],$F696,TblApplications[Action],"À migrer",TblApplications[Mois prov (calc)],"&lt;="&amp;$E696)-SUMIFS(TblApplications[CPU IKS libérable (vCPU)],TblApplications[Cluster IKS source],$F696,TblApplications[Action],"À décommissionner",TblApplications[Mois lib (calc)],"&lt;="&amp;$E696)))))</f>
        <v/>
      </c>
      <c r="Y696" s="19" t="str">
        <f>IF($D696&lt;&gt;1,"",IF($G696="ROKS",$S696,IF($AI696=1,0,MAX($O696,$M696-SUMIFS(TblApplications[RAM IKS libérable (Go)],TblApplications[Cluster IKS source],$F696,TblApplications[Action],"À migrer",TblApplications[Mois prov (calc)],"&lt;="&amp;$E696)-SUMIFS(TblApplications[RAM IKS libérable (Go)],TblApplications[Cluster IKS source],$F696,TblApplications[Action],"À décommissionner",TblApplications[Mois lib (calc)],"&lt;="&amp;$E696)))))</f>
        <v/>
      </c>
      <c r="Z696" s="19" t="str">
        <f t="shared" si="179"/>
        <v/>
      </c>
      <c r="AA696" s="73" t="str">
        <f t="shared" si="180"/>
        <v/>
      </c>
      <c r="AB696" s="19" t="str">
        <f t="shared" si="181"/>
        <v/>
      </c>
      <c r="AC696" s="73" t="str">
        <f t="shared" si="182"/>
        <v/>
      </c>
      <c r="AD696" s="19" t="str">
        <f t="shared" si="183"/>
        <v/>
      </c>
      <c r="AE696" s="19" t="str">
        <f t="shared" si="184"/>
        <v/>
      </c>
      <c r="AF696" s="19" t="str">
        <f>IF($D696&lt;&gt;1,"",IF(INDEX(TblClusters[Environnement],$B696)="","(vide)",INDEX(TblClusters[Environnement],$B696)))</f>
        <v/>
      </c>
      <c r="AG696" s="19" t="str">
        <f t="shared" si="185"/>
        <v/>
      </c>
      <c r="AH696" s="19" t="str">
        <f t="shared" si="186"/>
        <v/>
      </c>
      <c r="AI696" s="19" t="str">
        <f>IF($D696&lt;&gt;1,"",IF(AND($G696="IKS",ISNUMBER(INDEX(TblClusters[Fermeture retenue],$B696))),IF($E696&gt;=INDEX(TblClusters[Fermeture retenue],$B696),1,0),0))</f>
        <v/>
      </c>
    </row>
    <row r="697" spans="1:35" x14ac:dyDescent="0.2">
      <c r="A697" s="19">
        <v>692</v>
      </c>
      <c r="B697" s="19">
        <f t="shared" si="170"/>
        <v>20</v>
      </c>
      <c r="C697" s="19">
        <f t="shared" si="171"/>
        <v>8</v>
      </c>
      <c r="D697" s="19">
        <f>IF($C697&gt;p_horizon,0,IFERROR(IF(AND(INDEX(TblClusters[Cluster],$B697)&lt;&gt;"",ISNUMBER(INDEX(TblClusters[CPU initial (vCPU)],$B697)),ISNUMBER(INDEX(TblClusters[CPU min (vCPU)],$B697)),OR(INDEX(TblClusters[Plateforme],$B697)="IKS",INDEX(TblClusters[Plateforme],$B697)="ROKS")),1,0),0))</f>
        <v>0</v>
      </c>
      <c r="E697" s="72" t="str">
        <f t="shared" si="172"/>
        <v/>
      </c>
      <c r="F697" s="19" t="str">
        <f>IF($D697=1,INDEX(TblClusters[Cluster],$B697),"")</f>
        <v/>
      </c>
      <c r="G697" s="19" t="str">
        <f>IF($D697=1,INDEX(TblClusters[Plateforme],$B697),"")</f>
        <v/>
      </c>
      <c r="H697" s="19" t="str">
        <f>IF($D697=1,INDEX(TblClusters[vCPU par nœud],$B697),"")</f>
        <v/>
      </c>
      <c r="I697" s="19" t="str">
        <f>IF($D697=1,INDEX(TblClusters[RAM par nœud (Go)],$B697),"")</f>
        <v/>
      </c>
      <c r="J697" s="19" t="str">
        <f>IF($D697=1,INDEX(TblClusters[Workers min],$B697),"")</f>
        <v/>
      </c>
      <c r="K697" s="73" t="str">
        <f>IF($D697=1,INDEX(TblClusters[Tarif par nœud],$B697),"")</f>
        <v/>
      </c>
      <c r="L697" s="19" t="str">
        <f>IF($D697=1,INDEX(TblClusters[CPU initial (vCPU)],$B697),"")</f>
        <v/>
      </c>
      <c r="M697" s="19" t="str">
        <f>IF($D697=1,INDEX(TblClusters[RAM initiale (Go)],$B697),"")</f>
        <v/>
      </c>
      <c r="N697" s="19" t="str">
        <f>IF($D697=1,INDEX(TblClusters[CPU min (vCPU)],$B697),"")</f>
        <v/>
      </c>
      <c r="O697" s="19" t="str">
        <f>IF($D697=1,INDEX(TblClusters[RAM min (Go)],$B697),"")</f>
        <v/>
      </c>
      <c r="P697" s="19" t="str">
        <f>IF($D697&lt;&gt;1,"",IF($G697="ROKS",SUMIFS(TblApplications[Besoin ROKS CPU (vCPU)],TblApplications[Cluster ROKS cible],$F697,TblApplications[Action],"À migrer",TblApplications[Déjà incluse ROKS],"Non",TblApplications[Mois prov (calc)],"&lt;="&amp;$E697),SUMIFS(TblApplications[CPU IKS libérable (vCPU)],TblApplications[Cluster IKS source],$F697,TblApplications[Mois lib (calc)],"&lt;="&amp;$E697)))</f>
        <v/>
      </c>
      <c r="Q697" s="19" t="str">
        <f>IF($D697&lt;&gt;1,"",IF($G697="ROKS",SUMIFS(TblApplications[Besoin ROKS RAM (Go)],TblApplications[Cluster ROKS cible],$F697,TblApplications[Action],"À migrer",TblApplications[Déjà incluse ROKS],"Non",TblApplications[Mois prov (calc)],"&lt;="&amp;$E697),SUMIFS(TblApplications[RAM IKS libérable (Go)],TblApplications[Cluster IKS source],$F697,TblApplications[Mois lib (calc)],"&lt;="&amp;$E697)))</f>
        <v/>
      </c>
      <c r="R697" s="19" t="str">
        <f t="shared" si="173"/>
        <v/>
      </c>
      <c r="S697" s="19" t="str">
        <f t="shared" si="174"/>
        <v/>
      </c>
      <c r="T697" s="19" t="str">
        <f t="shared" si="175"/>
        <v/>
      </c>
      <c r="U697" s="19" t="str">
        <f t="shared" si="176"/>
        <v/>
      </c>
      <c r="V697" s="19" t="str">
        <f t="shared" si="177"/>
        <v/>
      </c>
      <c r="W697" s="73" t="str">
        <f t="shared" si="178"/>
        <v/>
      </c>
      <c r="X697" s="19" t="str">
        <f>IF($D697&lt;&gt;1,"",IF($G697="ROKS",$R697,IF($AI697=1,0,MAX($N697,$L697-SUMIFS(TblApplications[CPU IKS libérable (vCPU)],TblApplications[Cluster IKS source],$F697,TblApplications[Action],"À migrer",TblApplications[Mois prov (calc)],"&lt;="&amp;$E697)-SUMIFS(TblApplications[CPU IKS libérable (vCPU)],TblApplications[Cluster IKS source],$F697,TblApplications[Action],"À décommissionner",TblApplications[Mois lib (calc)],"&lt;="&amp;$E697)))))</f>
        <v/>
      </c>
      <c r="Y697" s="19" t="str">
        <f>IF($D697&lt;&gt;1,"",IF($G697="ROKS",$S697,IF($AI697=1,0,MAX($O697,$M697-SUMIFS(TblApplications[RAM IKS libérable (Go)],TblApplications[Cluster IKS source],$F697,TblApplications[Action],"À migrer",TblApplications[Mois prov (calc)],"&lt;="&amp;$E697)-SUMIFS(TblApplications[RAM IKS libérable (Go)],TblApplications[Cluster IKS source],$F697,TblApplications[Action],"À décommissionner",TblApplications[Mois lib (calc)],"&lt;="&amp;$E697)))))</f>
        <v/>
      </c>
      <c r="Z697" s="19" t="str">
        <f t="shared" si="179"/>
        <v/>
      </c>
      <c r="AA697" s="73" t="str">
        <f t="shared" si="180"/>
        <v/>
      </c>
      <c r="AB697" s="19" t="str">
        <f t="shared" si="181"/>
        <v/>
      </c>
      <c r="AC697" s="73" t="str">
        <f t="shared" si="182"/>
        <v/>
      </c>
      <c r="AD697" s="19" t="str">
        <f t="shared" si="183"/>
        <v/>
      </c>
      <c r="AE697" s="19" t="str">
        <f t="shared" si="184"/>
        <v/>
      </c>
      <c r="AF697" s="19" t="str">
        <f>IF($D697&lt;&gt;1,"",IF(INDEX(TblClusters[Environnement],$B697)="","(vide)",INDEX(TblClusters[Environnement],$B697)))</f>
        <v/>
      </c>
      <c r="AG697" s="19" t="str">
        <f t="shared" si="185"/>
        <v/>
      </c>
      <c r="AH697" s="19" t="str">
        <f t="shared" si="186"/>
        <v/>
      </c>
      <c r="AI697" s="19" t="str">
        <f>IF($D697&lt;&gt;1,"",IF(AND($G697="IKS",ISNUMBER(INDEX(TblClusters[Fermeture retenue],$B697))),IF($E697&gt;=INDEX(TblClusters[Fermeture retenue],$B697),1,0),0))</f>
        <v/>
      </c>
    </row>
    <row r="698" spans="1:35" x14ac:dyDescent="0.2">
      <c r="A698" s="19">
        <v>693</v>
      </c>
      <c r="B698" s="19">
        <f t="shared" si="170"/>
        <v>20</v>
      </c>
      <c r="C698" s="19">
        <f t="shared" si="171"/>
        <v>9</v>
      </c>
      <c r="D698" s="19">
        <f>IF($C698&gt;p_horizon,0,IFERROR(IF(AND(INDEX(TblClusters[Cluster],$B698)&lt;&gt;"",ISNUMBER(INDEX(TblClusters[CPU initial (vCPU)],$B698)),ISNUMBER(INDEX(TblClusters[CPU min (vCPU)],$B698)),OR(INDEX(TblClusters[Plateforme],$B698)="IKS",INDEX(TblClusters[Plateforme],$B698)="ROKS")),1,0),0))</f>
        <v>0</v>
      </c>
      <c r="E698" s="72" t="str">
        <f t="shared" si="172"/>
        <v/>
      </c>
      <c r="F698" s="19" t="str">
        <f>IF($D698=1,INDEX(TblClusters[Cluster],$B698),"")</f>
        <v/>
      </c>
      <c r="G698" s="19" t="str">
        <f>IF($D698=1,INDEX(TblClusters[Plateforme],$B698),"")</f>
        <v/>
      </c>
      <c r="H698" s="19" t="str">
        <f>IF($D698=1,INDEX(TblClusters[vCPU par nœud],$B698),"")</f>
        <v/>
      </c>
      <c r="I698" s="19" t="str">
        <f>IF($D698=1,INDEX(TblClusters[RAM par nœud (Go)],$B698),"")</f>
        <v/>
      </c>
      <c r="J698" s="19" t="str">
        <f>IF($D698=1,INDEX(TblClusters[Workers min],$B698),"")</f>
        <v/>
      </c>
      <c r="K698" s="73" t="str">
        <f>IF($D698=1,INDEX(TblClusters[Tarif par nœud],$B698),"")</f>
        <v/>
      </c>
      <c r="L698" s="19" t="str">
        <f>IF($D698=1,INDEX(TblClusters[CPU initial (vCPU)],$B698),"")</f>
        <v/>
      </c>
      <c r="M698" s="19" t="str">
        <f>IF($D698=1,INDEX(TblClusters[RAM initiale (Go)],$B698),"")</f>
        <v/>
      </c>
      <c r="N698" s="19" t="str">
        <f>IF($D698=1,INDEX(TblClusters[CPU min (vCPU)],$B698),"")</f>
        <v/>
      </c>
      <c r="O698" s="19" t="str">
        <f>IF($D698=1,INDEX(TblClusters[RAM min (Go)],$B698),"")</f>
        <v/>
      </c>
      <c r="P698" s="19" t="str">
        <f>IF($D698&lt;&gt;1,"",IF($G698="ROKS",SUMIFS(TblApplications[Besoin ROKS CPU (vCPU)],TblApplications[Cluster ROKS cible],$F698,TblApplications[Action],"À migrer",TblApplications[Déjà incluse ROKS],"Non",TblApplications[Mois prov (calc)],"&lt;="&amp;$E698),SUMIFS(TblApplications[CPU IKS libérable (vCPU)],TblApplications[Cluster IKS source],$F698,TblApplications[Mois lib (calc)],"&lt;="&amp;$E698)))</f>
        <v/>
      </c>
      <c r="Q698" s="19" t="str">
        <f>IF($D698&lt;&gt;1,"",IF($G698="ROKS",SUMIFS(TblApplications[Besoin ROKS RAM (Go)],TblApplications[Cluster ROKS cible],$F698,TblApplications[Action],"À migrer",TblApplications[Déjà incluse ROKS],"Non",TblApplications[Mois prov (calc)],"&lt;="&amp;$E698),SUMIFS(TblApplications[RAM IKS libérable (Go)],TblApplications[Cluster IKS source],$F698,TblApplications[Mois lib (calc)],"&lt;="&amp;$E698)))</f>
        <v/>
      </c>
      <c r="R698" s="19" t="str">
        <f t="shared" si="173"/>
        <v/>
      </c>
      <c r="S698" s="19" t="str">
        <f t="shared" si="174"/>
        <v/>
      </c>
      <c r="T698" s="19" t="str">
        <f t="shared" si="175"/>
        <v/>
      </c>
      <c r="U698" s="19" t="str">
        <f t="shared" si="176"/>
        <v/>
      </c>
      <c r="V698" s="19" t="str">
        <f t="shared" si="177"/>
        <v/>
      </c>
      <c r="W698" s="73" t="str">
        <f t="shared" si="178"/>
        <v/>
      </c>
      <c r="X698" s="19" t="str">
        <f>IF($D698&lt;&gt;1,"",IF($G698="ROKS",$R698,IF($AI698=1,0,MAX($N698,$L698-SUMIFS(TblApplications[CPU IKS libérable (vCPU)],TblApplications[Cluster IKS source],$F698,TblApplications[Action],"À migrer",TblApplications[Mois prov (calc)],"&lt;="&amp;$E698)-SUMIFS(TblApplications[CPU IKS libérable (vCPU)],TblApplications[Cluster IKS source],$F698,TblApplications[Action],"À décommissionner",TblApplications[Mois lib (calc)],"&lt;="&amp;$E698)))))</f>
        <v/>
      </c>
      <c r="Y698" s="19" t="str">
        <f>IF($D698&lt;&gt;1,"",IF($G698="ROKS",$S698,IF($AI698=1,0,MAX($O698,$M698-SUMIFS(TblApplications[RAM IKS libérable (Go)],TblApplications[Cluster IKS source],$F698,TblApplications[Action],"À migrer",TblApplications[Mois prov (calc)],"&lt;="&amp;$E698)-SUMIFS(TblApplications[RAM IKS libérable (Go)],TblApplications[Cluster IKS source],$F698,TblApplications[Action],"À décommissionner",TblApplications[Mois lib (calc)],"&lt;="&amp;$E698)))))</f>
        <v/>
      </c>
      <c r="Z698" s="19" t="str">
        <f t="shared" si="179"/>
        <v/>
      </c>
      <c r="AA698" s="73" t="str">
        <f t="shared" si="180"/>
        <v/>
      </c>
      <c r="AB698" s="19" t="str">
        <f t="shared" si="181"/>
        <v/>
      </c>
      <c r="AC698" s="73" t="str">
        <f t="shared" si="182"/>
        <v/>
      </c>
      <c r="AD698" s="19" t="str">
        <f t="shared" si="183"/>
        <v/>
      </c>
      <c r="AE698" s="19" t="str">
        <f t="shared" si="184"/>
        <v/>
      </c>
      <c r="AF698" s="19" t="str">
        <f>IF($D698&lt;&gt;1,"",IF(INDEX(TblClusters[Environnement],$B698)="","(vide)",INDEX(TblClusters[Environnement],$B698)))</f>
        <v/>
      </c>
      <c r="AG698" s="19" t="str">
        <f t="shared" si="185"/>
        <v/>
      </c>
      <c r="AH698" s="19" t="str">
        <f t="shared" si="186"/>
        <v/>
      </c>
      <c r="AI698" s="19" t="str">
        <f>IF($D698&lt;&gt;1,"",IF(AND($G698="IKS",ISNUMBER(INDEX(TblClusters[Fermeture retenue],$B698))),IF($E698&gt;=INDEX(TblClusters[Fermeture retenue],$B698),1,0),0))</f>
        <v/>
      </c>
    </row>
    <row r="699" spans="1:35" x14ac:dyDescent="0.2">
      <c r="A699" s="19">
        <v>694</v>
      </c>
      <c r="B699" s="19">
        <f t="shared" si="170"/>
        <v>20</v>
      </c>
      <c r="C699" s="19">
        <f t="shared" si="171"/>
        <v>10</v>
      </c>
      <c r="D699" s="19">
        <f>IF($C699&gt;p_horizon,0,IFERROR(IF(AND(INDEX(TblClusters[Cluster],$B699)&lt;&gt;"",ISNUMBER(INDEX(TblClusters[CPU initial (vCPU)],$B699)),ISNUMBER(INDEX(TblClusters[CPU min (vCPU)],$B699)),OR(INDEX(TblClusters[Plateforme],$B699)="IKS",INDEX(TblClusters[Plateforme],$B699)="ROKS")),1,0),0))</f>
        <v>0</v>
      </c>
      <c r="E699" s="72" t="str">
        <f t="shared" si="172"/>
        <v/>
      </c>
      <c r="F699" s="19" t="str">
        <f>IF($D699=1,INDEX(TblClusters[Cluster],$B699),"")</f>
        <v/>
      </c>
      <c r="G699" s="19" t="str">
        <f>IF($D699=1,INDEX(TblClusters[Plateforme],$B699),"")</f>
        <v/>
      </c>
      <c r="H699" s="19" t="str">
        <f>IF($D699=1,INDEX(TblClusters[vCPU par nœud],$B699),"")</f>
        <v/>
      </c>
      <c r="I699" s="19" t="str">
        <f>IF($D699=1,INDEX(TblClusters[RAM par nœud (Go)],$B699),"")</f>
        <v/>
      </c>
      <c r="J699" s="19" t="str">
        <f>IF($D699=1,INDEX(TblClusters[Workers min],$B699),"")</f>
        <v/>
      </c>
      <c r="K699" s="73" t="str">
        <f>IF($D699=1,INDEX(TblClusters[Tarif par nœud],$B699),"")</f>
        <v/>
      </c>
      <c r="L699" s="19" t="str">
        <f>IF($D699=1,INDEX(TblClusters[CPU initial (vCPU)],$B699),"")</f>
        <v/>
      </c>
      <c r="M699" s="19" t="str">
        <f>IF($D699=1,INDEX(TblClusters[RAM initiale (Go)],$B699),"")</f>
        <v/>
      </c>
      <c r="N699" s="19" t="str">
        <f>IF($D699=1,INDEX(TblClusters[CPU min (vCPU)],$B699),"")</f>
        <v/>
      </c>
      <c r="O699" s="19" t="str">
        <f>IF($D699=1,INDEX(TblClusters[RAM min (Go)],$B699),"")</f>
        <v/>
      </c>
      <c r="P699" s="19" t="str">
        <f>IF($D699&lt;&gt;1,"",IF($G699="ROKS",SUMIFS(TblApplications[Besoin ROKS CPU (vCPU)],TblApplications[Cluster ROKS cible],$F699,TblApplications[Action],"À migrer",TblApplications[Déjà incluse ROKS],"Non",TblApplications[Mois prov (calc)],"&lt;="&amp;$E699),SUMIFS(TblApplications[CPU IKS libérable (vCPU)],TblApplications[Cluster IKS source],$F699,TblApplications[Mois lib (calc)],"&lt;="&amp;$E699)))</f>
        <v/>
      </c>
      <c r="Q699" s="19" t="str">
        <f>IF($D699&lt;&gt;1,"",IF($G699="ROKS",SUMIFS(TblApplications[Besoin ROKS RAM (Go)],TblApplications[Cluster ROKS cible],$F699,TblApplications[Action],"À migrer",TblApplications[Déjà incluse ROKS],"Non",TblApplications[Mois prov (calc)],"&lt;="&amp;$E699),SUMIFS(TblApplications[RAM IKS libérable (Go)],TblApplications[Cluster IKS source],$F699,TblApplications[Mois lib (calc)],"&lt;="&amp;$E699)))</f>
        <v/>
      </c>
      <c r="R699" s="19" t="str">
        <f t="shared" si="173"/>
        <v/>
      </c>
      <c r="S699" s="19" t="str">
        <f t="shared" si="174"/>
        <v/>
      </c>
      <c r="T699" s="19" t="str">
        <f t="shared" si="175"/>
        <v/>
      </c>
      <c r="U699" s="19" t="str">
        <f t="shared" si="176"/>
        <v/>
      </c>
      <c r="V699" s="19" t="str">
        <f t="shared" si="177"/>
        <v/>
      </c>
      <c r="W699" s="73" t="str">
        <f t="shared" si="178"/>
        <v/>
      </c>
      <c r="X699" s="19" t="str">
        <f>IF($D699&lt;&gt;1,"",IF($G699="ROKS",$R699,IF($AI699=1,0,MAX($N699,$L699-SUMIFS(TblApplications[CPU IKS libérable (vCPU)],TblApplications[Cluster IKS source],$F699,TblApplications[Action],"À migrer",TblApplications[Mois prov (calc)],"&lt;="&amp;$E699)-SUMIFS(TblApplications[CPU IKS libérable (vCPU)],TblApplications[Cluster IKS source],$F699,TblApplications[Action],"À décommissionner",TblApplications[Mois lib (calc)],"&lt;="&amp;$E699)))))</f>
        <v/>
      </c>
      <c r="Y699" s="19" t="str">
        <f>IF($D699&lt;&gt;1,"",IF($G699="ROKS",$S699,IF($AI699=1,0,MAX($O699,$M699-SUMIFS(TblApplications[RAM IKS libérable (Go)],TblApplications[Cluster IKS source],$F699,TblApplications[Action],"À migrer",TblApplications[Mois prov (calc)],"&lt;="&amp;$E699)-SUMIFS(TblApplications[RAM IKS libérable (Go)],TblApplications[Cluster IKS source],$F699,TblApplications[Action],"À décommissionner",TblApplications[Mois lib (calc)],"&lt;="&amp;$E699)))))</f>
        <v/>
      </c>
      <c r="Z699" s="19" t="str">
        <f t="shared" si="179"/>
        <v/>
      </c>
      <c r="AA699" s="73" t="str">
        <f t="shared" si="180"/>
        <v/>
      </c>
      <c r="AB699" s="19" t="str">
        <f t="shared" si="181"/>
        <v/>
      </c>
      <c r="AC699" s="73" t="str">
        <f t="shared" si="182"/>
        <v/>
      </c>
      <c r="AD699" s="19" t="str">
        <f t="shared" si="183"/>
        <v/>
      </c>
      <c r="AE699" s="19" t="str">
        <f t="shared" si="184"/>
        <v/>
      </c>
      <c r="AF699" s="19" t="str">
        <f>IF($D699&lt;&gt;1,"",IF(INDEX(TblClusters[Environnement],$B699)="","(vide)",INDEX(TblClusters[Environnement],$B699)))</f>
        <v/>
      </c>
      <c r="AG699" s="19" t="str">
        <f t="shared" si="185"/>
        <v/>
      </c>
      <c r="AH699" s="19" t="str">
        <f t="shared" si="186"/>
        <v/>
      </c>
      <c r="AI699" s="19" t="str">
        <f>IF($D699&lt;&gt;1,"",IF(AND($G699="IKS",ISNUMBER(INDEX(TblClusters[Fermeture retenue],$B699))),IF($E699&gt;=INDEX(TblClusters[Fermeture retenue],$B699),1,0),0))</f>
        <v/>
      </c>
    </row>
    <row r="700" spans="1:35" x14ac:dyDescent="0.2">
      <c r="A700" s="19">
        <v>695</v>
      </c>
      <c r="B700" s="19">
        <f t="shared" si="170"/>
        <v>20</v>
      </c>
      <c r="C700" s="19">
        <f t="shared" si="171"/>
        <v>11</v>
      </c>
      <c r="D700" s="19">
        <f>IF($C700&gt;p_horizon,0,IFERROR(IF(AND(INDEX(TblClusters[Cluster],$B700)&lt;&gt;"",ISNUMBER(INDEX(TblClusters[CPU initial (vCPU)],$B700)),ISNUMBER(INDEX(TblClusters[CPU min (vCPU)],$B700)),OR(INDEX(TblClusters[Plateforme],$B700)="IKS",INDEX(TblClusters[Plateforme],$B700)="ROKS")),1,0),0))</f>
        <v>0</v>
      </c>
      <c r="E700" s="72" t="str">
        <f t="shared" si="172"/>
        <v/>
      </c>
      <c r="F700" s="19" t="str">
        <f>IF($D700=1,INDEX(TblClusters[Cluster],$B700),"")</f>
        <v/>
      </c>
      <c r="G700" s="19" t="str">
        <f>IF($D700=1,INDEX(TblClusters[Plateforme],$B700),"")</f>
        <v/>
      </c>
      <c r="H700" s="19" t="str">
        <f>IF($D700=1,INDEX(TblClusters[vCPU par nœud],$B700),"")</f>
        <v/>
      </c>
      <c r="I700" s="19" t="str">
        <f>IF($D700=1,INDEX(TblClusters[RAM par nœud (Go)],$B700),"")</f>
        <v/>
      </c>
      <c r="J700" s="19" t="str">
        <f>IF($D700=1,INDEX(TblClusters[Workers min],$B700),"")</f>
        <v/>
      </c>
      <c r="K700" s="73" t="str">
        <f>IF($D700=1,INDEX(TblClusters[Tarif par nœud],$B700),"")</f>
        <v/>
      </c>
      <c r="L700" s="19" t="str">
        <f>IF($D700=1,INDEX(TblClusters[CPU initial (vCPU)],$B700),"")</f>
        <v/>
      </c>
      <c r="M700" s="19" t="str">
        <f>IF($D700=1,INDEX(TblClusters[RAM initiale (Go)],$B700),"")</f>
        <v/>
      </c>
      <c r="N700" s="19" t="str">
        <f>IF($D700=1,INDEX(TblClusters[CPU min (vCPU)],$B700),"")</f>
        <v/>
      </c>
      <c r="O700" s="19" t="str">
        <f>IF($D700=1,INDEX(TblClusters[RAM min (Go)],$B700),"")</f>
        <v/>
      </c>
      <c r="P700" s="19" t="str">
        <f>IF($D700&lt;&gt;1,"",IF($G700="ROKS",SUMIFS(TblApplications[Besoin ROKS CPU (vCPU)],TblApplications[Cluster ROKS cible],$F700,TblApplications[Action],"À migrer",TblApplications[Déjà incluse ROKS],"Non",TblApplications[Mois prov (calc)],"&lt;="&amp;$E700),SUMIFS(TblApplications[CPU IKS libérable (vCPU)],TblApplications[Cluster IKS source],$F700,TblApplications[Mois lib (calc)],"&lt;="&amp;$E700)))</f>
        <v/>
      </c>
      <c r="Q700" s="19" t="str">
        <f>IF($D700&lt;&gt;1,"",IF($G700="ROKS",SUMIFS(TblApplications[Besoin ROKS RAM (Go)],TblApplications[Cluster ROKS cible],$F700,TblApplications[Action],"À migrer",TblApplications[Déjà incluse ROKS],"Non",TblApplications[Mois prov (calc)],"&lt;="&amp;$E700),SUMIFS(TblApplications[RAM IKS libérable (Go)],TblApplications[Cluster IKS source],$F700,TblApplications[Mois lib (calc)],"&lt;="&amp;$E700)))</f>
        <v/>
      </c>
      <c r="R700" s="19" t="str">
        <f t="shared" si="173"/>
        <v/>
      </c>
      <c r="S700" s="19" t="str">
        <f t="shared" si="174"/>
        <v/>
      </c>
      <c r="T700" s="19" t="str">
        <f t="shared" si="175"/>
        <v/>
      </c>
      <c r="U700" s="19" t="str">
        <f t="shared" si="176"/>
        <v/>
      </c>
      <c r="V700" s="19" t="str">
        <f t="shared" si="177"/>
        <v/>
      </c>
      <c r="W700" s="73" t="str">
        <f t="shared" si="178"/>
        <v/>
      </c>
      <c r="X700" s="19" t="str">
        <f>IF($D700&lt;&gt;1,"",IF($G700="ROKS",$R700,IF($AI700=1,0,MAX($N700,$L700-SUMIFS(TblApplications[CPU IKS libérable (vCPU)],TblApplications[Cluster IKS source],$F700,TblApplications[Action],"À migrer",TblApplications[Mois prov (calc)],"&lt;="&amp;$E700)-SUMIFS(TblApplications[CPU IKS libérable (vCPU)],TblApplications[Cluster IKS source],$F700,TblApplications[Action],"À décommissionner",TblApplications[Mois lib (calc)],"&lt;="&amp;$E700)))))</f>
        <v/>
      </c>
      <c r="Y700" s="19" t="str">
        <f>IF($D700&lt;&gt;1,"",IF($G700="ROKS",$S700,IF($AI700=1,0,MAX($O700,$M700-SUMIFS(TblApplications[RAM IKS libérable (Go)],TblApplications[Cluster IKS source],$F700,TblApplications[Action],"À migrer",TblApplications[Mois prov (calc)],"&lt;="&amp;$E700)-SUMIFS(TblApplications[RAM IKS libérable (Go)],TblApplications[Cluster IKS source],$F700,TblApplications[Action],"À décommissionner",TblApplications[Mois lib (calc)],"&lt;="&amp;$E700)))))</f>
        <v/>
      </c>
      <c r="Z700" s="19" t="str">
        <f t="shared" si="179"/>
        <v/>
      </c>
      <c r="AA700" s="73" t="str">
        <f t="shared" si="180"/>
        <v/>
      </c>
      <c r="AB700" s="19" t="str">
        <f t="shared" si="181"/>
        <v/>
      </c>
      <c r="AC700" s="73" t="str">
        <f t="shared" si="182"/>
        <v/>
      </c>
      <c r="AD700" s="19" t="str">
        <f t="shared" si="183"/>
        <v/>
      </c>
      <c r="AE700" s="19" t="str">
        <f t="shared" si="184"/>
        <v/>
      </c>
      <c r="AF700" s="19" t="str">
        <f>IF($D700&lt;&gt;1,"",IF(INDEX(TblClusters[Environnement],$B700)="","(vide)",INDEX(TblClusters[Environnement],$B700)))</f>
        <v/>
      </c>
      <c r="AG700" s="19" t="str">
        <f t="shared" si="185"/>
        <v/>
      </c>
      <c r="AH700" s="19" t="str">
        <f t="shared" si="186"/>
        <v/>
      </c>
      <c r="AI700" s="19" t="str">
        <f>IF($D700&lt;&gt;1,"",IF(AND($G700="IKS",ISNUMBER(INDEX(TblClusters[Fermeture retenue],$B700))),IF($E700&gt;=INDEX(TblClusters[Fermeture retenue],$B700),1,0),0))</f>
        <v/>
      </c>
    </row>
    <row r="701" spans="1:35" x14ac:dyDescent="0.2">
      <c r="A701" s="19">
        <v>696</v>
      </c>
      <c r="B701" s="19">
        <f t="shared" si="170"/>
        <v>20</v>
      </c>
      <c r="C701" s="19">
        <f t="shared" si="171"/>
        <v>12</v>
      </c>
      <c r="D701" s="19">
        <f>IF($C701&gt;p_horizon,0,IFERROR(IF(AND(INDEX(TblClusters[Cluster],$B701)&lt;&gt;"",ISNUMBER(INDEX(TblClusters[CPU initial (vCPU)],$B701)),ISNUMBER(INDEX(TblClusters[CPU min (vCPU)],$B701)),OR(INDEX(TblClusters[Plateforme],$B701)="IKS",INDEX(TblClusters[Plateforme],$B701)="ROKS")),1,0),0))</f>
        <v>0</v>
      </c>
      <c r="E701" s="72" t="str">
        <f t="shared" si="172"/>
        <v/>
      </c>
      <c r="F701" s="19" t="str">
        <f>IF($D701=1,INDEX(TblClusters[Cluster],$B701),"")</f>
        <v/>
      </c>
      <c r="G701" s="19" t="str">
        <f>IF($D701=1,INDEX(TblClusters[Plateforme],$B701),"")</f>
        <v/>
      </c>
      <c r="H701" s="19" t="str">
        <f>IF($D701=1,INDEX(TblClusters[vCPU par nœud],$B701),"")</f>
        <v/>
      </c>
      <c r="I701" s="19" t="str">
        <f>IF($D701=1,INDEX(TblClusters[RAM par nœud (Go)],$B701),"")</f>
        <v/>
      </c>
      <c r="J701" s="19" t="str">
        <f>IF($D701=1,INDEX(TblClusters[Workers min],$B701),"")</f>
        <v/>
      </c>
      <c r="K701" s="73" t="str">
        <f>IF($D701=1,INDEX(TblClusters[Tarif par nœud],$B701),"")</f>
        <v/>
      </c>
      <c r="L701" s="19" t="str">
        <f>IF($D701=1,INDEX(TblClusters[CPU initial (vCPU)],$B701),"")</f>
        <v/>
      </c>
      <c r="M701" s="19" t="str">
        <f>IF($D701=1,INDEX(TblClusters[RAM initiale (Go)],$B701),"")</f>
        <v/>
      </c>
      <c r="N701" s="19" t="str">
        <f>IF($D701=1,INDEX(TblClusters[CPU min (vCPU)],$B701),"")</f>
        <v/>
      </c>
      <c r="O701" s="19" t="str">
        <f>IF($D701=1,INDEX(TblClusters[RAM min (Go)],$B701),"")</f>
        <v/>
      </c>
      <c r="P701" s="19" t="str">
        <f>IF($D701&lt;&gt;1,"",IF($G701="ROKS",SUMIFS(TblApplications[Besoin ROKS CPU (vCPU)],TblApplications[Cluster ROKS cible],$F701,TblApplications[Action],"À migrer",TblApplications[Déjà incluse ROKS],"Non",TblApplications[Mois prov (calc)],"&lt;="&amp;$E701),SUMIFS(TblApplications[CPU IKS libérable (vCPU)],TblApplications[Cluster IKS source],$F701,TblApplications[Mois lib (calc)],"&lt;="&amp;$E701)))</f>
        <v/>
      </c>
      <c r="Q701" s="19" t="str">
        <f>IF($D701&lt;&gt;1,"",IF($G701="ROKS",SUMIFS(TblApplications[Besoin ROKS RAM (Go)],TblApplications[Cluster ROKS cible],$F701,TblApplications[Action],"À migrer",TblApplications[Déjà incluse ROKS],"Non",TblApplications[Mois prov (calc)],"&lt;="&amp;$E701),SUMIFS(TblApplications[RAM IKS libérable (Go)],TblApplications[Cluster IKS source],$F701,TblApplications[Mois lib (calc)],"&lt;="&amp;$E701)))</f>
        <v/>
      </c>
      <c r="R701" s="19" t="str">
        <f t="shared" si="173"/>
        <v/>
      </c>
      <c r="S701" s="19" t="str">
        <f t="shared" si="174"/>
        <v/>
      </c>
      <c r="T701" s="19" t="str">
        <f t="shared" si="175"/>
        <v/>
      </c>
      <c r="U701" s="19" t="str">
        <f t="shared" si="176"/>
        <v/>
      </c>
      <c r="V701" s="19" t="str">
        <f t="shared" si="177"/>
        <v/>
      </c>
      <c r="W701" s="73" t="str">
        <f t="shared" si="178"/>
        <v/>
      </c>
      <c r="X701" s="19" t="str">
        <f>IF($D701&lt;&gt;1,"",IF($G701="ROKS",$R701,IF($AI701=1,0,MAX($N701,$L701-SUMIFS(TblApplications[CPU IKS libérable (vCPU)],TblApplications[Cluster IKS source],$F701,TblApplications[Action],"À migrer",TblApplications[Mois prov (calc)],"&lt;="&amp;$E701)-SUMIFS(TblApplications[CPU IKS libérable (vCPU)],TblApplications[Cluster IKS source],$F701,TblApplications[Action],"À décommissionner",TblApplications[Mois lib (calc)],"&lt;="&amp;$E701)))))</f>
        <v/>
      </c>
      <c r="Y701" s="19" t="str">
        <f>IF($D701&lt;&gt;1,"",IF($G701="ROKS",$S701,IF($AI701=1,0,MAX($O701,$M701-SUMIFS(TblApplications[RAM IKS libérable (Go)],TblApplications[Cluster IKS source],$F701,TblApplications[Action],"À migrer",TblApplications[Mois prov (calc)],"&lt;="&amp;$E701)-SUMIFS(TblApplications[RAM IKS libérable (Go)],TblApplications[Cluster IKS source],$F701,TblApplications[Action],"À décommissionner",TblApplications[Mois lib (calc)],"&lt;="&amp;$E701)))))</f>
        <v/>
      </c>
      <c r="Z701" s="19" t="str">
        <f t="shared" si="179"/>
        <v/>
      </c>
      <c r="AA701" s="73" t="str">
        <f t="shared" si="180"/>
        <v/>
      </c>
      <c r="AB701" s="19" t="str">
        <f t="shared" si="181"/>
        <v/>
      </c>
      <c r="AC701" s="73" t="str">
        <f t="shared" si="182"/>
        <v/>
      </c>
      <c r="AD701" s="19" t="str">
        <f t="shared" si="183"/>
        <v/>
      </c>
      <c r="AE701" s="19" t="str">
        <f t="shared" si="184"/>
        <v/>
      </c>
      <c r="AF701" s="19" t="str">
        <f>IF($D701&lt;&gt;1,"",IF(INDEX(TblClusters[Environnement],$B701)="","(vide)",INDEX(TblClusters[Environnement],$B701)))</f>
        <v/>
      </c>
      <c r="AG701" s="19" t="str">
        <f t="shared" si="185"/>
        <v/>
      </c>
      <c r="AH701" s="19" t="str">
        <f t="shared" si="186"/>
        <v/>
      </c>
      <c r="AI701" s="19" t="str">
        <f>IF($D701&lt;&gt;1,"",IF(AND($G701="IKS",ISNUMBER(INDEX(TblClusters[Fermeture retenue],$B701))),IF($E701&gt;=INDEX(TblClusters[Fermeture retenue],$B701),1,0),0))</f>
        <v/>
      </c>
    </row>
    <row r="702" spans="1:35" x14ac:dyDescent="0.2">
      <c r="A702" s="19">
        <v>697</v>
      </c>
      <c r="B702" s="19">
        <f t="shared" si="170"/>
        <v>20</v>
      </c>
      <c r="C702" s="19">
        <f t="shared" si="171"/>
        <v>13</v>
      </c>
      <c r="D702" s="19">
        <f>IF($C702&gt;p_horizon,0,IFERROR(IF(AND(INDEX(TblClusters[Cluster],$B702)&lt;&gt;"",ISNUMBER(INDEX(TblClusters[CPU initial (vCPU)],$B702)),ISNUMBER(INDEX(TblClusters[CPU min (vCPU)],$B702)),OR(INDEX(TblClusters[Plateforme],$B702)="IKS",INDEX(TblClusters[Plateforme],$B702)="ROKS")),1,0),0))</f>
        <v>0</v>
      </c>
      <c r="E702" s="72" t="str">
        <f t="shared" si="172"/>
        <v/>
      </c>
      <c r="F702" s="19" t="str">
        <f>IF($D702=1,INDEX(TblClusters[Cluster],$B702),"")</f>
        <v/>
      </c>
      <c r="G702" s="19" t="str">
        <f>IF($D702=1,INDEX(TblClusters[Plateforme],$B702),"")</f>
        <v/>
      </c>
      <c r="H702" s="19" t="str">
        <f>IF($D702=1,INDEX(TblClusters[vCPU par nœud],$B702),"")</f>
        <v/>
      </c>
      <c r="I702" s="19" t="str">
        <f>IF($D702=1,INDEX(TblClusters[RAM par nœud (Go)],$B702),"")</f>
        <v/>
      </c>
      <c r="J702" s="19" t="str">
        <f>IF($D702=1,INDEX(TblClusters[Workers min],$B702),"")</f>
        <v/>
      </c>
      <c r="K702" s="73" t="str">
        <f>IF($D702=1,INDEX(TblClusters[Tarif par nœud],$B702),"")</f>
        <v/>
      </c>
      <c r="L702" s="19" t="str">
        <f>IF($D702=1,INDEX(TblClusters[CPU initial (vCPU)],$B702),"")</f>
        <v/>
      </c>
      <c r="M702" s="19" t="str">
        <f>IF($D702=1,INDEX(TblClusters[RAM initiale (Go)],$B702),"")</f>
        <v/>
      </c>
      <c r="N702" s="19" t="str">
        <f>IF($D702=1,INDEX(TblClusters[CPU min (vCPU)],$B702),"")</f>
        <v/>
      </c>
      <c r="O702" s="19" t="str">
        <f>IF($D702=1,INDEX(TblClusters[RAM min (Go)],$B702),"")</f>
        <v/>
      </c>
      <c r="P702" s="19" t="str">
        <f>IF($D702&lt;&gt;1,"",IF($G702="ROKS",SUMIFS(TblApplications[Besoin ROKS CPU (vCPU)],TblApplications[Cluster ROKS cible],$F702,TblApplications[Action],"À migrer",TblApplications[Déjà incluse ROKS],"Non",TblApplications[Mois prov (calc)],"&lt;="&amp;$E702),SUMIFS(TblApplications[CPU IKS libérable (vCPU)],TblApplications[Cluster IKS source],$F702,TblApplications[Mois lib (calc)],"&lt;="&amp;$E702)))</f>
        <v/>
      </c>
      <c r="Q702" s="19" t="str">
        <f>IF($D702&lt;&gt;1,"",IF($G702="ROKS",SUMIFS(TblApplications[Besoin ROKS RAM (Go)],TblApplications[Cluster ROKS cible],$F702,TblApplications[Action],"À migrer",TblApplications[Déjà incluse ROKS],"Non",TblApplications[Mois prov (calc)],"&lt;="&amp;$E702),SUMIFS(TblApplications[RAM IKS libérable (Go)],TblApplications[Cluster IKS source],$F702,TblApplications[Mois lib (calc)],"&lt;="&amp;$E702)))</f>
        <v/>
      </c>
      <c r="R702" s="19" t="str">
        <f t="shared" si="173"/>
        <v/>
      </c>
      <c r="S702" s="19" t="str">
        <f t="shared" si="174"/>
        <v/>
      </c>
      <c r="T702" s="19" t="str">
        <f t="shared" si="175"/>
        <v/>
      </c>
      <c r="U702" s="19" t="str">
        <f t="shared" si="176"/>
        <v/>
      </c>
      <c r="V702" s="19" t="str">
        <f t="shared" si="177"/>
        <v/>
      </c>
      <c r="W702" s="73" t="str">
        <f t="shared" si="178"/>
        <v/>
      </c>
      <c r="X702" s="19" t="str">
        <f>IF($D702&lt;&gt;1,"",IF($G702="ROKS",$R702,IF($AI702=1,0,MAX($N702,$L702-SUMIFS(TblApplications[CPU IKS libérable (vCPU)],TblApplications[Cluster IKS source],$F702,TblApplications[Action],"À migrer",TblApplications[Mois prov (calc)],"&lt;="&amp;$E702)-SUMIFS(TblApplications[CPU IKS libérable (vCPU)],TblApplications[Cluster IKS source],$F702,TblApplications[Action],"À décommissionner",TblApplications[Mois lib (calc)],"&lt;="&amp;$E702)))))</f>
        <v/>
      </c>
      <c r="Y702" s="19" t="str">
        <f>IF($D702&lt;&gt;1,"",IF($G702="ROKS",$S702,IF($AI702=1,0,MAX($O702,$M702-SUMIFS(TblApplications[RAM IKS libérable (Go)],TblApplications[Cluster IKS source],$F702,TblApplications[Action],"À migrer",TblApplications[Mois prov (calc)],"&lt;="&amp;$E702)-SUMIFS(TblApplications[RAM IKS libérable (Go)],TblApplications[Cluster IKS source],$F702,TblApplications[Action],"À décommissionner",TblApplications[Mois lib (calc)],"&lt;="&amp;$E702)))))</f>
        <v/>
      </c>
      <c r="Z702" s="19" t="str">
        <f t="shared" si="179"/>
        <v/>
      </c>
      <c r="AA702" s="73" t="str">
        <f t="shared" si="180"/>
        <v/>
      </c>
      <c r="AB702" s="19" t="str">
        <f t="shared" si="181"/>
        <v/>
      </c>
      <c r="AC702" s="73" t="str">
        <f t="shared" si="182"/>
        <v/>
      </c>
      <c r="AD702" s="19" t="str">
        <f t="shared" si="183"/>
        <v/>
      </c>
      <c r="AE702" s="19" t="str">
        <f t="shared" si="184"/>
        <v/>
      </c>
      <c r="AF702" s="19" t="str">
        <f>IF($D702&lt;&gt;1,"",IF(INDEX(TblClusters[Environnement],$B702)="","(vide)",INDEX(TblClusters[Environnement],$B702)))</f>
        <v/>
      </c>
      <c r="AG702" s="19" t="str">
        <f t="shared" si="185"/>
        <v/>
      </c>
      <c r="AH702" s="19" t="str">
        <f t="shared" si="186"/>
        <v/>
      </c>
      <c r="AI702" s="19" t="str">
        <f>IF($D702&lt;&gt;1,"",IF(AND($G702="IKS",ISNUMBER(INDEX(TblClusters[Fermeture retenue],$B702))),IF($E702&gt;=INDEX(TblClusters[Fermeture retenue],$B702),1,0),0))</f>
        <v/>
      </c>
    </row>
    <row r="703" spans="1:35" x14ac:dyDescent="0.2">
      <c r="A703" s="19">
        <v>698</v>
      </c>
      <c r="B703" s="19">
        <f t="shared" si="170"/>
        <v>20</v>
      </c>
      <c r="C703" s="19">
        <f t="shared" si="171"/>
        <v>14</v>
      </c>
      <c r="D703" s="19">
        <f>IF($C703&gt;p_horizon,0,IFERROR(IF(AND(INDEX(TblClusters[Cluster],$B703)&lt;&gt;"",ISNUMBER(INDEX(TblClusters[CPU initial (vCPU)],$B703)),ISNUMBER(INDEX(TblClusters[CPU min (vCPU)],$B703)),OR(INDEX(TblClusters[Plateforme],$B703)="IKS",INDEX(TblClusters[Plateforme],$B703)="ROKS")),1,0),0))</f>
        <v>0</v>
      </c>
      <c r="E703" s="72" t="str">
        <f t="shared" si="172"/>
        <v/>
      </c>
      <c r="F703" s="19" t="str">
        <f>IF($D703=1,INDEX(TblClusters[Cluster],$B703),"")</f>
        <v/>
      </c>
      <c r="G703" s="19" t="str">
        <f>IF($D703=1,INDEX(TblClusters[Plateforme],$B703),"")</f>
        <v/>
      </c>
      <c r="H703" s="19" t="str">
        <f>IF($D703=1,INDEX(TblClusters[vCPU par nœud],$B703),"")</f>
        <v/>
      </c>
      <c r="I703" s="19" t="str">
        <f>IF($D703=1,INDEX(TblClusters[RAM par nœud (Go)],$B703),"")</f>
        <v/>
      </c>
      <c r="J703" s="19" t="str">
        <f>IF($D703=1,INDEX(TblClusters[Workers min],$B703),"")</f>
        <v/>
      </c>
      <c r="K703" s="73" t="str">
        <f>IF($D703=1,INDEX(TblClusters[Tarif par nœud],$B703),"")</f>
        <v/>
      </c>
      <c r="L703" s="19" t="str">
        <f>IF($D703=1,INDEX(TblClusters[CPU initial (vCPU)],$B703),"")</f>
        <v/>
      </c>
      <c r="M703" s="19" t="str">
        <f>IF($D703=1,INDEX(TblClusters[RAM initiale (Go)],$B703),"")</f>
        <v/>
      </c>
      <c r="N703" s="19" t="str">
        <f>IF($D703=1,INDEX(TblClusters[CPU min (vCPU)],$B703),"")</f>
        <v/>
      </c>
      <c r="O703" s="19" t="str">
        <f>IF($D703=1,INDEX(TblClusters[RAM min (Go)],$B703),"")</f>
        <v/>
      </c>
      <c r="P703" s="19" t="str">
        <f>IF($D703&lt;&gt;1,"",IF($G703="ROKS",SUMIFS(TblApplications[Besoin ROKS CPU (vCPU)],TblApplications[Cluster ROKS cible],$F703,TblApplications[Action],"À migrer",TblApplications[Déjà incluse ROKS],"Non",TblApplications[Mois prov (calc)],"&lt;="&amp;$E703),SUMIFS(TblApplications[CPU IKS libérable (vCPU)],TblApplications[Cluster IKS source],$F703,TblApplications[Mois lib (calc)],"&lt;="&amp;$E703)))</f>
        <v/>
      </c>
      <c r="Q703" s="19" t="str">
        <f>IF($D703&lt;&gt;1,"",IF($G703="ROKS",SUMIFS(TblApplications[Besoin ROKS RAM (Go)],TblApplications[Cluster ROKS cible],$F703,TblApplications[Action],"À migrer",TblApplications[Déjà incluse ROKS],"Non",TblApplications[Mois prov (calc)],"&lt;="&amp;$E703),SUMIFS(TblApplications[RAM IKS libérable (Go)],TblApplications[Cluster IKS source],$F703,TblApplications[Mois lib (calc)],"&lt;="&amp;$E703)))</f>
        <v/>
      </c>
      <c r="R703" s="19" t="str">
        <f t="shared" si="173"/>
        <v/>
      </c>
      <c r="S703" s="19" t="str">
        <f t="shared" si="174"/>
        <v/>
      </c>
      <c r="T703" s="19" t="str">
        <f t="shared" si="175"/>
        <v/>
      </c>
      <c r="U703" s="19" t="str">
        <f t="shared" si="176"/>
        <v/>
      </c>
      <c r="V703" s="19" t="str">
        <f t="shared" si="177"/>
        <v/>
      </c>
      <c r="W703" s="73" t="str">
        <f t="shared" si="178"/>
        <v/>
      </c>
      <c r="X703" s="19" t="str">
        <f>IF($D703&lt;&gt;1,"",IF($G703="ROKS",$R703,IF($AI703=1,0,MAX($N703,$L703-SUMIFS(TblApplications[CPU IKS libérable (vCPU)],TblApplications[Cluster IKS source],$F703,TblApplications[Action],"À migrer",TblApplications[Mois prov (calc)],"&lt;="&amp;$E703)-SUMIFS(TblApplications[CPU IKS libérable (vCPU)],TblApplications[Cluster IKS source],$F703,TblApplications[Action],"À décommissionner",TblApplications[Mois lib (calc)],"&lt;="&amp;$E703)))))</f>
        <v/>
      </c>
      <c r="Y703" s="19" t="str">
        <f>IF($D703&lt;&gt;1,"",IF($G703="ROKS",$S703,IF($AI703=1,0,MAX($O703,$M703-SUMIFS(TblApplications[RAM IKS libérable (Go)],TblApplications[Cluster IKS source],$F703,TblApplications[Action],"À migrer",TblApplications[Mois prov (calc)],"&lt;="&amp;$E703)-SUMIFS(TblApplications[RAM IKS libérable (Go)],TblApplications[Cluster IKS source],$F703,TblApplications[Action],"À décommissionner",TblApplications[Mois lib (calc)],"&lt;="&amp;$E703)))))</f>
        <v/>
      </c>
      <c r="Z703" s="19" t="str">
        <f t="shared" si="179"/>
        <v/>
      </c>
      <c r="AA703" s="73" t="str">
        <f t="shared" si="180"/>
        <v/>
      </c>
      <c r="AB703" s="19" t="str">
        <f t="shared" si="181"/>
        <v/>
      </c>
      <c r="AC703" s="73" t="str">
        <f t="shared" si="182"/>
        <v/>
      </c>
      <c r="AD703" s="19" t="str">
        <f t="shared" si="183"/>
        <v/>
      </c>
      <c r="AE703" s="19" t="str">
        <f t="shared" si="184"/>
        <v/>
      </c>
      <c r="AF703" s="19" t="str">
        <f>IF($D703&lt;&gt;1,"",IF(INDEX(TblClusters[Environnement],$B703)="","(vide)",INDEX(TblClusters[Environnement],$B703)))</f>
        <v/>
      </c>
      <c r="AG703" s="19" t="str">
        <f t="shared" si="185"/>
        <v/>
      </c>
      <c r="AH703" s="19" t="str">
        <f t="shared" si="186"/>
        <v/>
      </c>
      <c r="AI703" s="19" t="str">
        <f>IF($D703&lt;&gt;1,"",IF(AND($G703="IKS",ISNUMBER(INDEX(TblClusters[Fermeture retenue],$B703))),IF($E703&gt;=INDEX(TblClusters[Fermeture retenue],$B703),1,0),0))</f>
        <v/>
      </c>
    </row>
    <row r="704" spans="1:35" x14ac:dyDescent="0.2">
      <c r="A704" s="19">
        <v>699</v>
      </c>
      <c r="B704" s="19">
        <f t="shared" si="170"/>
        <v>20</v>
      </c>
      <c r="C704" s="19">
        <f t="shared" si="171"/>
        <v>15</v>
      </c>
      <c r="D704" s="19">
        <f>IF($C704&gt;p_horizon,0,IFERROR(IF(AND(INDEX(TblClusters[Cluster],$B704)&lt;&gt;"",ISNUMBER(INDEX(TblClusters[CPU initial (vCPU)],$B704)),ISNUMBER(INDEX(TblClusters[CPU min (vCPU)],$B704)),OR(INDEX(TblClusters[Plateforme],$B704)="IKS",INDEX(TblClusters[Plateforme],$B704)="ROKS")),1,0),0))</f>
        <v>0</v>
      </c>
      <c r="E704" s="72" t="str">
        <f t="shared" si="172"/>
        <v/>
      </c>
      <c r="F704" s="19" t="str">
        <f>IF($D704=1,INDEX(TblClusters[Cluster],$B704),"")</f>
        <v/>
      </c>
      <c r="G704" s="19" t="str">
        <f>IF($D704=1,INDEX(TblClusters[Plateforme],$B704),"")</f>
        <v/>
      </c>
      <c r="H704" s="19" t="str">
        <f>IF($D704=1,INDEX(TblClusters[vCPU par nœud],$B704),"")</f>
        <v/>
      </c>
      <c r="I704" s="19" t="str">
        <f>IF($D704=1,INDEX(TblClusters[RAM par nœud (Go)],$B704),"")</f>
        <v/>
      </c>
      <c r="J704" s="19" t="str">
        <f>IF($D704=1,INDEX(TblClusters[Workers min],$B704),"")</f>
        <v/>
      </c>
      <c r="K704" s="73" t="str">
        <f>IF($D704=1,INDEX(TblClusters[Tarif par nœud],$B704),"")</f>
        <v/>
      </c>
      <c r="L704" s="19" t="str">
        <f>IF($D704=1,INDEX(TblClusters[CPU initial (vCPU)],$B704),"")</f>
        <v/>
      </c>
      <c r="M704" s="19" t="str">
        <f>IF($D704=1,INDEX(TblClusters[RAM initiale (Go)],$B704),"")</f>
        <v/>
      </c>
      <c r="N704" s="19" t="str">
        <f>IF($D704=1,INDEX(TblClusters[CPU min (vCPU)],$B704),"")</f>
        <v/>
      </c>
      <c r="O704" s="19" t="str">
        <f>IF($D704=1,INDEX(TblClusters[RAM min (Go)],$B704),"")</f>
        <v/>
      </c>
      <c r="P704" s="19" t="str">
        <f>IF($D704&lt;&gt;1,"",IF($G704="ROKS",SUMIFS(TblApplications[Besoin ROKS CPU (vCPU)],TblApplications[Cluster ROKS cible],$F704,TblApplications[Action],"À migrer",TblApplications[Déjà incluse ROKS],"Non",TblApplications[Mois prov (calc)],"&lt;="&amp;$E704),SUMIFS(TblApplications[CPU IKS libérable (vCPU)],TblApplications[Cluster IKS source],$F704,TblApplications[Mois lib (calc)],"&lt;="&amp;$E704)))</f>
        <v/>
      </c>
      <c r="Q704" s="19" t="str">
        <f>IF($D704&lt;&gt;1,"",IF($G704="ROKS",SUMIFS(TblApplications[Besoin ROKS RAM (Go)],TblApplications[Cluster ROKS cible],$F704,TblApplications[Action],"À migrer",TblApplications[Déjà incluse ROKS],"Non",TblApplications[Mois prov (calc)],"&lt;="&amp;$E704),SUMIFS(TblApplications[RAM IKS libérable (Go)],TblApplications[Cluster IKS source],$F704,TblApplications[Mois lib (calc)],"&lt;="&amp;$E704)))</f>
        <v/>
      </c>
      <c r="R704" s="19" t="str">
        <f t="shared" si="173"/>
        <v/>
      </c>
      <c r="S704" s="19" t="str">
        <f t="shared" si="174"/>
        <v/>
      </c>
      <c r="T704" s="19" t="str">
        <f t="shared" si="175"/>
        <v/>
      </c>
      <c r="U704" s="19" t="str">
        <f t="shared" si="176"/>
        <v/>
      </c>
      <c r="V704" s="19" t="str">
        <f t="shared" si="177"/>
        <v/>
      </c>
      <c r="W704" s="73" t="str">
        <f t="shared" si="178"/>
        <v/>
      </c>
      <c r="X704" s="19" t="str">
        <f>IF($D704&lt;&gt;1,"",IF($G704="ROKS",$R704,IF($AI704=1,0,MAX($N704,$L704-SUMIFS(TblApplications[CPU IKS libérable (vCPU)],TblApplications[Cluster IKS source],$F704,TblApplications[Action],"À migrer",TblApplications[Mois prov (calc)],"&lt;="&amp;$E704)-SUMIFS(TblApplications[CPU IKS libérable (vCPU)],TblApplications[Cluster IKS source],$F704,TblApplications[Action],"À décommissionner",TblApplications[Mois lib (calc)],"&lt;="&amp;$E704)))))</f>
        <v/>
      </c>
      <c r="Y704" s="19" t="str">
        <f>IF($D704&lt;&gt;1,"",IF($G704="ROKS",$S704,IF($AI704=1,0,MAX($O704,$M704-SUMIFS(TblApplications[RAM IKS libérable (Go)],TblApplications[Cluster IKS source],$F704,TblApplications[Action],"À migrer",TblApplications[Mois prov (calc)],"&lt;="&amp;$E704)-SUMIFS(TblApplications[RAM IKS libérable (Go)],TblApplications[Cluster IKS source],$F704,TblApplications[Action],"À décommissionner",TblApplications[Mois lib (calc)],"&lt;="&amp;$E704)))))</f>
        <v/>
      </c>
      <c r="Z704" s="19" t="str">
        <f t="shared" si="179"/>
        <v/>
      </c>
      <c r="AA704" s="73" t="str">
        <f t="shared" si="180"/>
        <v/>
      </c>
      <c r="AB704" s="19" t="str">
        <f t="shared" si="181"/>
        <v/>
      </c>
      <c r="AC704" s="73" t="str">
        <f t="shared" si="182"/>
        <v/>
      </c>
      <c r="AD704" s="19" t="str">
        <f t="shared" si="183"/>
        <v/>
      </c>
      <c r="AE704" s="19" t="str">
        <f t="shared" si="184"/>
        <v/>
      </c>
      <c r="AF704" s="19" t="str">
        <f>IF($D704&lt;&gt;1,"",IF(INDEX(TblClusters[Environnement],$B704)="","(vide)",INDEX(TblClusters[Environnement],$B704)))</f>
        <v/>
      </c>
      <c r="AG704" s="19" t="str">
        <f t="shared" si="185"/>
        <v/>
      </c>
      <c r="AH704" s="19" t="str">
        <f t="shared" si="186"/>
        <v/>
      </c>
      <c r="AI704" s="19" t="str">
        <f>IF($D704&lt;&gt;1,"",IF(AND($G704="IKS",ISNUMBER(INDEX(TblClusters[Fermeture retenue],$B704))),IF($E704&gt;=INDEX(TblClusters[Fermeture retenue],$B704),1,0),0))</f>
        <v/>
      </c>
    </row>
    <row r="705" spans="1:35" x14ac:dyDescent="0.2">
      <c r="A705" s="19">
        <v>700</v>
      </c>
      <c r="B705" s="19">
        <f t="shared" si="170"/>
        <v>20</v>
      </c>
      <c r="C705" s="19">
        <f t="shared" si="171"/>
        <v>16</v>
      </c>
      <c r="D705" s="19">
        <f>IF($C705&gt;p_horizon,0,IFERROR(IF(AND(INDEX(TblClusters[Cluster],$B705)&lt;&gt;"",ISNUMBER(INDEX(TblClusters[CPU initial (vCPU)],$B705)),ISNUMBER(INDEX(TblClusters[CPU min (vCPU)],$B705)),OR(INDEX(TblClusters[Plateforme],$B705)="IKS",INDEX(TblClusters[Plateforme],$B705)="ROKS")),1,0),0))</f>
        <v>0</v>
      </c>
      <c r="E705" s="72" t="str">
        <f t="shared" si="172"/>
        <v/>
      </c>
      <c r="F705" s="19" t="str">
        <f>IF($D705=1,INDEX(TblClusters[Cluster],$B705),"")</f>
        <v/>
      </c>
      <c r="G705" s="19" t="str">
        <f>IF($D705=1,INDEX(TblClusters[Plateforme],$B705),"")</f>
        <v/>
      </c>
      <c r="H705" s="19" t="str">
        <f>IF($D705=1,INDEX(TblClusters[vCPU par nœud],$B705),"")</f>
        <v/>
      </c>
      <c r="I705" s="19" t="str">
        <f>IF($D705=1,INDEX(TblClusters[RAM par nœud (Go)],$B705),"")</f>
        <v/>
      </c>
      <c r="J705" s="19" t="str">
        <f>IF($D705=1,INDEX(TblClusters[Workers min],$B705),"")</f>
        <v/>
      </c>
      <c r="K705" s="73" t="str">
        <f>IF($D705=1,INDEX(TblClusters[Tarif par nœud],$B705),"")</f>
        <v/>
      </c>
      <c r="L705" s="19" t="str">
        <f>IF($D705=1,INDEX(TblClusters[CPU initial (vCPU)],$B705),"")</f>
        <v/>
      </c>
      <c r="M705" s="19" t="str">
        <f>IF($D705=1,INDEX(TblClusters[RAM initiale (Go)],$B705),"")</f>
        <v/>
      </c>
      <c r="N705" s="19" t="str">
        <f>IF($D705=1,INDEX(TblClusters[CPU min (vCPU)],$B705),"")</f>
        <v/>
      </c>
      <c r="O705" s="19" t="str">
        <f>IF($D705=1,INDEX(TblClusters[RAM min (Go)],$B705),"")</f>
        <v/>
      </c>
      <c r="P705" s="19" t="str">
        <f>IF($D705&lt;&gt;1,"",IF($G705="ROKS",SUMIFS(TblApplications[Besoin ROKS CPU (vCPU)],TblApplications[Cluster ROKS cible],$F705,TblApplications[Action],"À migrer",TblApplications[Déjà incluse ROKS],"Non",TblApplications[Mois prov (calc)],"&lt;="&amp;$E705),SUMIFS(TblApplications[CPU IKS libérable (vCPU)],TblApplications[Cluster IKS source],$F705,TblApplications[Mois lib (calc)],"&lt;="&amp;$E705)))</f>
        <v/>
      </c>
      <c r="Q705" s="19" t="str">
        <f>IF($D705&lt;&gt;1,"",IF($G705="ROKS",SUMIFS(TblApplications[Besoin ROKS RAM (Go)],TblApplications[Cluster ROKS cible],$F705,TblApplications[Action],"À migrer",TblApplications[Déjà incluse ROKS],"Non",TblApplications[Mois prov (calc)],"&lt;="&amp;$E705),SUMIFS(TblApplications[RAM IKS libérable (Go)],TblApplications[Cluster IKS source],$F705,TblApplications[Mois lib (calc)],"&lt;="&amp;$E705)))</f>
        <v/>
      </c>
      <c r="R705" s="19" t="str">
        <f t="shared" si="173"/>
        <v/>
      </c>
      <c r="S705" s="19" t="str">
        <f t="shared" si="174"/>
        <v/>
      </c>
      <c r="T705" s="19" t="str">
        <f t="shared" si="175"/>
        <v/>
      </c>
      <c r="U705" s="19" t="str">
        <f t="shared" si="176"/>
        <v/>
      </c>
      <c r="V705" s="19" t="str">
        <f t="shared" si="177"/>
        <v/>
      </c>
      <c r="W705" s="73" t="str">
        <f t="shared" si="178"/>
        <v/>
      </c>
      <c r="X705" s="19" t="str">
        <f>IF($D705&lt;&gt;1,"",IF($G705="ROKS",$R705,IF($AI705=1,0,MAX($N705,$L705-SUMIFS(TblApplications[CPU IKS libérable (vCPU)],TblApplications[Cluster IKS source],$F705,TblApplications[Action],"À migrer",TblApplications[Mois prov (calc)],"&lt;="&amp;$E705)-SUMIFS(TblApplications[CPU IKS libérable (vCPU)],TblApplications[Cluster IKS source],$F705,TblApplications[Action],"À décommissionner",TblApplications[Mois lib (calc)],"&lt;="&amp;$E705)))))</f>
        <v/>
      </c>
      <c r="Y705" s="19" t="str">
        <f>IF($D705&lt;&gt;1,"",IF($G705="ROKS",$S705,IF($AI705=1,0,MAX($O705,$M705-SUMIFS(TblApplications[RAM IKS libérable (Go)],TblApplications[Cluster IKS source],$F705,TblApplications[Action],"À migrer",TblApplications[Mois prov (calc)],"&lt;="&amp;$E705)-SUMIFS(TblApplications[RAM IKS libérable (Go)],TblApplications[Cluster IKS source],$F705,TblApplications[Action],"À décommissionner",TblApplications[Mois lib (calc)],"&lt;="&amp;$E705)))))</f>
        <v/>
      </c>
      <c r="Z705" s="19" t="str">
        <f t="shared" si="179"/>
        <v/>
      </c>
      <c r="AA705" s="73" t="str">
        <f t="shared" si="180"/>
        <v/>
      </c>
      <c r="AB705" s="19" t="str">
        <f t="shared" si="181"/>
        <v/>
      </c>
      <c r="AC705" s="73" t="str">
        <f t="shared" si="182"/>
        <v/>
      </c>
      <c r="AD705" s="19" t="str">
        <f t="shared" si="183"/>
        <v/>
      </c>
      <c r="AE705" s="19" t="str">
        <f t="shared" si="184"/>
        <v/>
      </c>
      <c r="AF705" s="19" t="str">
        <f>IF($D705&lt;&gt;1,"",IF(INDEX(TblClusters[Environnement],$B705)="","(vide)",INDEX(TblClusters[Environnement],$B705)))</f>
        <v/>
      </c>
      <c r="AG705" s="19" t="str">
        <f t="shared" si="185"/>
        <v/>
      </c>
      <c r="AH705" s="19" t="str">
        <f t="shared" si="186"/>
        <v/>
      </c>
      <c r="AI705" s="19" t="str">
        <f>IF($D705&lt;&gt;1,"",IF(AND($G705="IKS",ISNUMBER(INDEX(TblClusters[Fermeture retenue],$B705))),IF($E705&gt;=INDEX(TblClusters[Fermeture retenue],$B705),1,0),0))</f>
        <v/>
      </c>
    </row>
    <row r="706" spans="1:35" x14ac:dyDescent="0.2">
      <c r="A706" s="19">
        <v>701</v>
      </c>
      <c r="B706" s="19">
        <f t="shared" si="170"/>
        <v>20</v>
      </c>
      <c r="C706" s="19">
        <f t="shared" si="171"/>
        <v>17</v>
      </c>
      <c r="D706" s="19">
        <f>IF($C706&gt;p_horizon,0,IFERROR(IF(AND(INDEX(TblClusters[Cluster],$B706)&lt;&gt;"",ISNUMBER(INDEX(TblClusters[CPU initial (vCPU)],$B706)),ISNUMBER(INDEX(TblClusters[CPU min (vCPU)],$B706)),OR(INDEX(TblClusters[Plateforme],$B706)="IKS",INDEX(TblClusters[Plateforme],$B706)="ROKS")),1,0),0))</f>
        <v>0</v>
      </c>
      <c r="E706" s="72" t="str">
        <f t="shared" si="172"/>
        <v/>
      </c>
      <c r="F706" s="19" t="str">
        <f>IF($D706=1,INDEX(TblClusters[Cluster],$B706),"")</f>
        <v/>
      </c>
      <c r="G706" s="19" t="str">
        <f>IF($D706=1,INDEX(TblClusters[Plateforme],$B706),"")</f>
        <v/>
      </c>
      <c r="H706" s="19" t="str">
        <f>IF($D706=1,INDEX(TblClusters[vCPU par nœud],$B706),"")</f>
        <v/>
      </c>
      <c r="I706" s="19" t="str">
        <f>IF($D706=1,INDEX(TblClusters[RAM par nœud (Go)],$B706),"")</f>
        <v/>
      </c>
      <c r="J706" s="19" t="str">
        <f>IF($D706=1,INDEX(TblClusters[Workers min],$B706),"")</f>
        <v/>
      </c>
      <c r="K706" s="73" t="str">
        <f>IF($D706=1,INDEX(TblClusters[Tarif par nœud],$B706),"")</f>
        <v/>
      </c>
      <c r="L706" s="19" t="str">
        <f>IF($D706=1,INDEX(TblClusters[CPU initial (vCPU)],$B706),"")</f>
        <v/>
      </c>
      <c r="M706" s="19" t="str">
        <f>IF($D706=1,INDEX(TblClusters[RAM initiale (Go)],$B706),"")</f>
        <v/>
      </c>
      <c r="N706" s="19" t="str">
        <f>IF($D706=1,INDEX(TblClusters[CPU min (vCPU)],$B706),"")</f>
        <v/>
      </c>
      <c r="O706" s="19" t="str">
        <f>IF($D706=1,INDEX(TblClusters[RAM min (Go)],$B706),"")</f>
        <v/>
      </c>
      <c r="P706" s="19" t="str">
        <f>IF($D706&lt;&gt;1,"",IF($G706="ROKS",SUMIFS(TblApplications[Besoin ROKS CPU (vCPU)],TblApplications[Cluster ROKS cible],$F706,TblApplications[Action],"À migrer",TblApplications[Déjà incluse ROKS],"Non",TblApplications[Mois prov (calc)],"&lt;="&amp;$E706),SUMIFS(TblApplications[CPU IKS libérable (vCPU)],TblApplications[Cluster IKS source],$F706,TblApplications[Mois lib (calc)],"&lt;="&amp;$E706)))</f>
        <v/>
      </c>
      <c r="Q706" s="19" t="str">
        <f>IF($D706&lt;&gt;1,"",IF($G706="ROKS",SUMIFS(TblApplications[Besoin ROKS RAM (Go)],TblApplications[Cluster ROKS cible],$F706,TblApplications[Action],"À migrer",TblApplications[Déjà incluse ROKS],"Non",TblApplications[Mois prov (calc)],"&lt;="&amp;$E706),SUMIFS(TblApplications[RAM IKS libérable (Go)],TblApplications[Cluster IKS source],$F706,TblApplications[Mois lib (calc)],"&lt;="&amp;$E706)))</f>
        <v/>
      </c>
      <c r="R706" s="19" t="str">
        <f t="shared" si="173"/>
        <v/>
      </c>
      <c r="S706" s="19" t="str">
        <f t="shared" si="174"/>
        <v/>
      </c>
      <c r="T706" s="19" t="str">
        <f t="shared" si="175"/>
        <v/>
      </c>
      <c r="U706" s="19" t="str">
        <f t="shared" si="176"/>
        <v/>
      </c>
      <c r="V706" s="19" t="str">
        <f t="shared" si="177"/>
        <v/>
      </c>
      <c r="W706" s="73" t="str">
        <f t="shared" si="178"/>
        <v/>
      </c>
      <c r="X706" s="19" t="str">
        <f>IF($D706&lt;&gt;1,"",IF($G706="ROKS",$R706,IF($AI706=1,0,MAX($N706,$L706-SUMIFS(TblApplications[CPU IKS libérable (vCPU)],TblApplications[Cluster IKS source],$F706,TblApplications[Action],"À migrer",TblApplications[Mois prov (calc)],"&lt;="&amp;$E706)-SUMIFS(TblApplications[CPU IKS libérable (vCPU)],TblApplications[Cluster IKS source],$F706,TblApplications[Action],"À décommissionner",TblApplications[Mois lib (calc)],"&lt;="&amp;$E706)))))</f>
        <v/>
      </c>
      <c r="Y706" s="19" t="str">
        <f>IF($D706&lt;&gt;1,"",IF($G706="ROKS",$S706,IF($AI706=1,0,MAX($O706,$M706-SUMIFS(TblApplications[RAM IKS libérable (Go)],TblApplications[Cluster IKS source],$F706,TblApplications[Action],"À migrer",TblApplications[Mois prov (calc)],"&lt;="&amp;$E706)-SUMIFS(TblApplications[RAM IKS libérable (Go)],TblApplications[Cluster IKS source],$F706,TblApplications[Action],"À décommissionner",TblApplications[Mois lib (calc)],"&lt;="&amp;$E706)))))</f>
        <v/>
      </c>
      <c r="Z706" s="19" t="str">
        <f t="shared" si="179"/>
        <v/>
      </c>
      <c r="AA706" s="73" t="str">
        <f t="shared" si="180"/>
        <v/>
      </c>
      <c r="AB706" s="19" t="str">
        <f t="shared" si="181"/>
        <v/>
      </c>
      <c r="AC706" s="73" t="str">
        <f t="shared" si="182"/>
        <v/>
      </c>
      <c r="AD706" s="19" t="str">
        <f t="shared" si="183"/>
        <v/>
      </c>
      <c r="AE706" s="19" t="str">
        <f t="shared" si="184"/>
        <v/>
      </c>
      <c r="AF706" s="19" t="str">
        <f>IF($D706&lt;&gt;1,"",IF(INDEX(TblClusters[Environnement],$B706)="","(vide)",INDEX(TblClusters[Environnement],$B706)))</f>
        <v/>
      </c>
      <c r="AG706" s="19" t="str">
        <f t="shared" si="185"/>
        <v/>
      </c>
      <c r="AH706" s="19" t="str">
        <f t="shared" si="186"/>
        <v/>
      </c>
      <c r="AI706" s="19" t="str">
        <f>IF($D706&lt;&gt;1,"",IF(AND($G706="IKS",ISNUMBER(INDEX(TblClusters[Fermeture retenue],$B706))),IF($E706&gt;=INDEX(TblClusters[Fermeture retenue],$B706),1,0),0))</f>
        <v/>
      </c>
    </row>
    <row r="707" spans="1:35" x14ac:dyDescent="0.2">
      <c r="A707" s="19">
        <v>702</v>
      </c>
      <c r="B707" s="19">
        <f t="shared" si="170"/>
        <v>20</v>
      </c>
      <c r="C707" s="19">
        <f t="shared" si="171"/>
        <v>18</v>
      </c>
      <c r="D707" s="19">
        <f>IF($C707&gt;p_horizon,0,IFERROR(IF(AND(INDEX(TblClusters[Cluster],$B707)&lt;&gt;"",ISNUMBER(INDEX(TblClusters[CPU initial (vCPU)],$B707)),ISNUMBER(INDEX(TblClusters[CPU min (vCPU)],$B707)),OR(INDEX(TblClusters[Plateforme],$B707)="IKS",INDEX(TblClusters[Plateforme],$B707)="ROKS")),1,0),0))</f>
        <v>0</v>
      </c>
      <c r="E707" s="72" t="str">
        <f t="shared" si="172"/>
        <v/>
      </c>
      <c r="F707" s="19" t="str">
        <f>IF($D707=1,INDEX(TblClusters[Cluster],$B707),"")</f>
        <v/>
      </c>
      <c r="G707" s="19" t="str">
        <f>IF($D707=1,INDEX(TblClusters[Plateforme],$B707),"")</f>
        <v/>
      </c>
      <c r="H707" s="19" t="str">
        <f>IF($D707=1,INDEX(TblClusters[vCPU par nœud],$B707),"")</f>
        <v/>
      </c>
      <c r="I707" s="19" t="str">
        <f>IF($D707=1,INDEX(TblClusters[RAM par nœud (Go)],$B707),"")</f>
        <v/>
      </c>
      <c r="J707" s="19" t="str">
        <f>IF($D707=1,INDEX(TblClusters[Workers min],$B707),"")</f>
        <v/>
      </c>
      <c r="K707" s="73" t="str">
        <f>IF($D707=1,INDEX(TblClusters[Tarif par nœud],$B707),"")</f>
        <v/>
      </c>
      <c r="L707" s="19" t="str">
        <f>IF($D707=1,INDEX(TblClusters[CPU initial (vCPU)],$B707),"")</f>
        <v/>
      </c>
      <c r="M707" s="19" t="str">
        <f>IF($D707=1,INDEX(TblClusters[RAM initiale (Go)],$B707),"")</f>
        <v/>
      </c>
      <c r="N707" s="19" t="str">
        <f>IF($D707=1,INDEX(TblClusters[CPU min (vCPU)],$B707),"")</f>
        <v/>
      </c>
      <c r="O707" s="19" t="str">
        <f>IF($D707=1,INDEX(TblClusters[RAM min (Go)],$B707),"")</f>
        <v/>
      </c>
      <c r="P707" s="19" t="str">
        <f>IF($D707&lt;&gt;1,"",IF($G707="ROKS",SUMIFS(TblApplications[Besoin ROKS CPU (vCPU)],TblApplications[Cluster ROKS cible],$F707,TblApplications[Action],"À migrer",TblApplications[Déjà incluse ROKS],"Non",TblApplications[Mois prov (calc)],"&lt;="&amp;$E707),SUMIFS(TblApplications[CPU IKS libérable (vCPU)],TblApplications[Cluster IKS source],$F707,TblApplications[Mois lib (calc)],"&lt;="&amp;$E707)))</f>
        <v/>
      </c>
      <c r="Q707" s="19" t="str">
        <f>IF($D707&lt;&gt;1,"",IF($G707="ROKS",SUMIFS(TblApplications[Besoin ROKS RAM (Go)],TblApplications[Cluster ROKS cible],$F707,TblApplications[Action],"À migrer",TblApplications[Déjà incluse ROKS],"Non",TblApplications[Mois prov (calc)],"&lt;="&amp;$E707),SUMIFS(TblApplications[RAM IKS libérable (Go)],TblApplications[Cluster IKS source],$F707,TblApplications[Mois lib (calc)],"&lt;="&amp;$E707)))</f>
        <v/>
      </c>
      <c r="R707" s="19" t="str">
        <f t="shared" si="173"/>
        <v/>
      </c>
      <c r="S707" s="19" t="str">
        <f t="shared" si="174"/>
        <v/>
      </c>
      <c r="T707" s="19" t="str">
        <f t="shared" si="175"/>
        <v/>
      </c>
      <c r="U707" s="19" t="str">
        <f t="shared" si="176"/>
        <v/>
      </c>
      <c r="V707" s="19" t="str">
        <f t="shared" si="177"/>
        <v/>
      </c>
      <c r="W707" s="73" t="str">
        <f t="shared" si="178"/>
        <v/>
      </c>
      <c r="X707" s="19" t="str">
        <f>IF($D707&lt;&gt;1,"",IF($G707="ROKS",$R707,IF($AI707=1,0,MAX($N707,$L707-SUMIFS(TblApplications[CPU IKS libérable (vCPU)],TblApplications[Cluster IKS source],$F707,TblApplications[Action],"À migrer",TblApplications[Mois prov (calc)],"&lt;="&amp;$E707)-SUMIFS(TblApplications[CPU IKS libérable (vCPU)],TblApplications[Cluster IKS source],$F707,TblApplications[Action],"À décommissionner",TblApplications[Mois lib (calc)],"&lt;="&amp;$E707)))))</f>
        <v/>
      </c>
      <c r="Y707" s="19" t="str">
        <f>IF($D707&lt;&gt;1,"",IF($G707="ROKS",$S707,IF($AI707=1,0,MAX($O707,$M707-SUMIFS(TblApplications[RAM IKS libérable (Go)],TblApplications[Cluster IKS source],$F707,TblApplications[Action],"À migrer",TblApplications[Mois prov (calc)],"&lt;="&amp;$E707)-SUMIFS(TblApplications[RAM IKS libérable (Go)],TblApplications[Cluster IKS source],$F707,TblApplications[Action],"À décommissionner",TblApplications[Mois lib (calc)],"&lt;="&amp;$E707)))))</f>
        <v/>
      </c>
      <c r="Z707" s="19" t="str">
        <f t="shared" si="179"/>
        <v/>
      </c>
      <c r="AA707" s="73" t="str">
        <f t="shared" si="180"/>
        <v/>
      </c>
      <c r="AB707" s="19" t="str">
        <f t="shared" si="181"/>
        <v/>
      </c>
      <c r="AC707" s="73" t="str">
        <f t="shared" si="182"/>
        <v/>
      </c>
      <c r="AD707" s="19" t="str">
        <f t="shared" si="183"/>
        <v/>
      </c>
      <c r="AE707" s="19" t="str">
        <f t="shared" si="184"/>
        <v/>
      </c>
      <c r="AF707" s="19" t="str">
        <f>IF($D707&lt;&gt;1,"",IF(INDEX(TblClusters[Environnement],$B707)="","(vide)",INDEX(TblClusters[Environnement],$B707)))</f>
        <v/>
      </c>
      <c r="AG707" s="19" t="str">
        <f t="shared" si="185"/>
        <v/>
      </c>
      <c r="AH707" s="19" t="str">
        <f t="shared" si="186"/>
        <v/>
      </c>
      <c r="AI707" s="19" t="str">
        <f>IF($D707&lt;&gt;1,"",IF(AND($G707="IKS",ISNUMBER(INDEX(TblClusters[Fermeture retenue],$B707))),IF($E707&gt;=INDEX(TblClusters[Fermeture retenue],$B707),1,0),0))</f>
        <v/>
      </c>
    </row>
    <row r="708" spans="1:35" x14ac:dyDescent="0.2">
      <c r="A708" s="19">
        <v>703</v>
      </c>
      <c r="B708" s="19">
        <f t="shared" si="170"/>
        <v>20</v>
      </c>
      <c r="C708" s="19">
        <f t="shared" si="171"/>
        <v>19</v>
      </c>
      <c r="D708" s="19">
        <f>IF($C708&gt;p_horizon,0,IFERROR(IF(AND(INDEX(TblClusters[Cluster],$B708)&lt;&gt;"",ISNUMBER(INDEX(TblClusters[CPU initial (vCPU)],$B708)),ISNUMBER(INDEX(TblClusters[CPU min (vCPU)],$B708)),OR(INDEX(TblClusters[Plateforme],$B708)="IKS",INDEX(TblClusters[Plateforme],$B708)="ROKS")),1,0),0))</f>
        <v>0</v>
      </c>
      <c r="E708" s="72" t="str">
        <f t="shared" si="172"/>
        <v/>
      </c>
      <c r="F708" s="19" t="str">
        <f>IF($D708=1,INDEX(TblClusters[Cluster],$B708),"")</f>
        <v/>
      </c>
      <c r="G708" s="19" t="str">
        <f>IF($D708=1,INDEX(TblClusters[Plateforme],$B708),"")</f>
        <v/>
      </c>
      <c r="H708" s="19" t="str">
        <f>IF($D708=1,INDEX(TblClusters[vCPU par nœud],$B708),"")</f>
        <v/>
      </c>
      <c r="I708" s="19" t="str">
        <f>IF($D708=1,INDEX(TblClusters[RAM par nœud (Go)],$B708),"")</f>
        <v/>
      </c>
      <c r="J708" s="19" t="str">
        <f>IF($D708=1,INDEX(TblClusters[Workers min],$B708),"")</f>
        <v/>
      </c>
      <c r="K708" s="73" t="str">
        <f>IF($D708=1,INDEX(TblClusters[Tarif par nœud],$B708),"")</f>
        <v/>
      </c>
      <c r="L708" s="19" t="str">
        <f>IF($D708=1,INDEX(TblClusters[CPU initial (vCPU)],$B708),"")</f>
        <v/>
      </c>
      <c r="M708" s="19" t="str">
        <f>IF($D708=1,INDEX(TblClusters[RAM initiale (Go)],$B708),"")</f>
        <v/>
      </c>
      <c r="N708" s="19" t="str">
        <f>IF($D708=1,INDEX(TblClusters[CPU min (vCPU)],$B708),"")</f>
        <v/>
      </c>
      <c r="O708" s="19" t="str">
        <f>IF($D708=1,INDEX(TblClusters[RAM min (Go)],$B708),"")</f>
        <v/>
      </c>
      <c r="P708" s="19" t="str">
        <f>IF($D708&lt;&gt;1,"",IF($G708="ROKS",SUMIFS(TblApplications[Besoin ROKS CPU (vCPU)],TblApplications[Cluster ROKS cible],$F708,TblApplications[Action],"À migrer",TblApplications[Déjà incluse ROKS],"Non",TblApplications[Mois prov (calc)],"&lt;="&amp;$E708),SUMIFS(TblApplications[CPU IKS libérable (vCPU)],TblApplications[Cluster IKS source],$F708,TblApplications[Mois lib (calc)],"&lt;="&amp;$E708)))</f>
        <v/>
      </c>
      <c r="Q708" s="19" t="str">
        <f>IF($D708&lt;&gt;1,"",IF($G708="ROKS",SUMIFS(TblApplications[Besoin ROKS RAM (Go)],TblApplications[Cluster ROKS cible],$F708,TblApplications[Action],"À migrer",TblApplications[Déjà incluse ROKS],"Non",TblApplications[Mois prov (calc)],"&lt;="&amp;$E708),SUMIFS(TblApplications[RAM IKS libérable (Go)],TblApplications[Cluster IKS source],$F708,TblApplications[Mois lib (calc)],"&lt;="&amp;$E708)))</f>
        <v/>
      </c>
      <c r="R708" s="19" t="str">
        <f t="shared" si="173"/>
        <v/>
      </c>
      <c r="S708" s="19" t="str">
        <f t="shared" si="174"/>
        <v/>
      </c>
      <c r="T708" s="19" t="str">
        <f t="shared" si="175"/>
        <v/>
      </c>
      <c r="U708" s="19" t="str">
        <f t="shared" si="176"/>
        <v/>
      </c>
      <c r="V708" s="19" t="str">
        <f t="shared" si="177"/>
        <v/>
      </c>
      <c r="W708" s="73" t="str">
        <f t="shared" si="178"/>
        <v/>
      </c>
      <c r="X708" s="19" t="str">
        <f>IF($D708&lt;&gt;1,"",IF($G708="ROKS",$R708,IF($AI708=1,0,MAX($N708,$L708-SUMIFS(TblApplications[CPU IKS libérable (vCPU)],TblApplications[Cluster IKS source],$F708,TblApplications[Action],"À migrer",TblApplications[Mois prov (calc)],"&lt;="&amp;$E708)-SUMIFS(TblApplications[CPU IKS libérable (vCPU)],TblApplications[Cluster IKS source],$F708,TblApplications[Action],"À décommissionner",TblApplications[Mois lib (calc)],"&lt;="&amp;$E708)))))</f>
        <v/>
      </c>
      <c r="Y708" s="19" t="str">
        <f>IF($D708&lt;&gt;1,"",IF($G708="ROKS",$S708,IF($AI708=1,0,MAX($O708,$M708-SUMIFS(TblApplications[RAM IKS libérable (Go)],TblApplications[Cluster IKS source],$F708,TblApplications[Action],"À migrer",TblApplications[Mois prov (calc)],"&lt;="&amp;$E708)-SUMIFS(TblApplications[RAM IKS libérable (Go)],TblApplications[Cluster IKS source],$F708,TblApplications[Action],"À décommissionner",TblApplications[Mois lib (calc)],"&lt;="&amp;$E708)))))</f>
        <v/>
      </c>
      <c r="Z708" s="19" t="str">
        <f t="shared" si="179"/>
        <v/>
      </c>
      <c r="AA708" s="73" t="str">
        <f t="shared" si="180"/>
        <v/>
      </c>
      <c r="AB708" s="19" t="str">
        <f t="shared" si="181"/>
        <v/>
      </c>
      <c r="AC708" s="73" t="str">
        <f t="shared" si="182"/>
        <v/>
      </c>
      <c r="AD708" s="19" t="str">
        <f t="shared" si="183"/>
        <v/>
      </c>
      <c r="AE708" s="19" t="str">
        <f t="shared" si="184"/>
        <v/>
      </c>
      <c r="AF708" s="19" t="str">
        <f>IF($D708&lt;&gt;1,"",IF(INDEX(TblClusters[Environnement],$B708)="","(vide)",INDEX(TblClusters[Environnement],$B708)))</f>
        <v/>
      </c>
      <c r="AG708" s="19" t="str">
        <f t="shared" si="185"/>
        <v/>
      </c>
      <c r="AH708" s="19" t="str">
        <f t="shared" si="186"/>
        <v/>
      </c>
      <c r="AI708" s="19" t="str">
        <f>IF($D708&lt;&gt;1,"",IF(AND($G708="IKS",ISNUMBER(INDEX(TblClusters[Fermeture retenue],$B708))),IF($E708&gt;=INDEX(TblClusters[Fermeture retenue],$B708),1,0),0))</f>
        <v/>
      </c>
    </row>
    <row r="709" spans="1:35" x14ac:dyDescent="0.2">
      <c r="A709" s="19">
        <v>704</v>
      </c>
      <c r="B709" s="19">
        <f t="shared" si="170"/>
        <v>20</v>
      </c>
      <c r="C709" s="19">
        <f t="shared" si="171"/>
        <v>20</v>
      </c>
      <c r="D709" s="19">
        <f>IF($C709&gt;p_horizon,0,IFERROR(IF(AND(INDEX(TblClusters[Cluster],$B709)&lt;&gt;"",ISNUMBER(INDEX(TblClusters[CPU initial (vCPU)],$B709)),ISNUMBER(INDEX(TblClusters[CPU min (vCPU)],$B709)),OR(INDEX(TblClusters[Plateforme],$B709)="IKS",INDEX(TblClusters[Plateforme],$B709)="ROKS")),1,0),0))</f>
        <v>0</v>
      </c>
      <c r="E709" s="72" t="str">
        <f t="shared" si="172"/>
        <v/>
      </c>
      <c r="F709" s="19" t="str">
        <f>IF($D709=1,INDEX(TblClusters[Cluster],$B709),"")</f>
        <v/>
      </c>
      <c r="G709" s="19" t="str">
        <f>IF($D709=1,INDEX(TblClusters[Plateforme],$B709),"")</f>
        <v/>
      </c>
      <c r="H709" s="19" t="str">
        <f>IF($D709=1,INDEX(TblClusters[vCPU par nœud],$B709),"")</f>
        <v/>
      </c>
      <c r="I709" s="19" t="str">
        <f>IF($D709=1,INDEX(TblClusters[RAM par nœud (Go)],$B709),"")</f>
        <v/>
      </c>
      <c r="J709" s="19" t="str">
        <f>IF($D709=1,INDEX(TblClusters[Workers min],$B709),"")</f>
        <v/>
      </c>
      <c r="K709" s="73" t="str">
        <f>IF($D709=1,INDEX(TblClusters[Tarif par nœud],$B709),"")</f>
        <v/>
      </c>
      <c r="L709" s="19" t="str">
        <f>IF($D709=1,INDEX(TblClusters[CPU initial (vCPU)],$B709),"")</f>
        <v/>
      </c>
      <c r="M709" s="19" t="str">
        <f>IF($D709=1,INDEX(TblClusters[RAM initiale (Go)],$B709),"")</f>
        <v/>
      </c>
      <c r="N709" s="19" t="str">
        <f>IF($D709=1,INDEX(TblClusters[CPU min (vCPU)],$B709),"")</f>
        <v/>
      </c>
      <c r="O709" s="19" t="str">
        <f>IF($D709=1,INDEX(TblClusters[RAM min (Go)],$B709),"")</f>
        <v/>
      </c>
      <c r="P709" s="19" t="str">
        <f>IF($D709&lt;&gt;1,"",IF($G709="ROKS",SUMIFS(TblApplications[Besoin ROKS CPU (vCPU)],TblApplications[Cluster ROKS cible],$F709,TblApplications[Action],"À migrer",TblApplications[Déjà incluse ROKS],"Non",TblApplications[Mois prov (calc)],"&lt;="&amp;$E709),SUMIFS(TblApplications[CPU IKS libérable (vCPU)],TblApplications[Cluster IKS source],$F709,TblApplications[Mois lib (calc)],"&lt;="&amp;$E709)))</f>
        <v/>
      </c>
      <c r="Q709" s="19" t="str">
        <f>IF($D709&lt;&gt;1,"",IF($G709="ROKS",SUMIFS(TblApplications[Besoin ROKS RAM (Go)],TblApplications[Cluster ROKS cible],$F709,TblApplications[Action],"À migrer",TblApplications[Déjà incluse ROKS],"Non",TblApplications[Mois prov (calc)],"&lt;="&amp;$E709),SUMIFS(TblApplications[RAM IKS libérable (Go)],TblApplications[Cluster IKS source],$F709,TblApplications[Mois lib (calc)],"&lt;="&amp;$E709)))</f>
        <v/>
      </c>
      <c r="R709" s="19" t="str">
        <f t="shared" si="173"/>
        <v/>
      </c>
      <c r="S709" s="19" t="str">
        <f t="shared" si="174"/>
        <v/>
      </c>
      <c r="T709" s="19" t="str">
        <f t="shared" si="175"/>
        <v/>
      </c>
      <c r="U709" s="19" t="str">
        <f t="shared" si="176"/>
        <v/>
      </c>
      <c r="V709" s="19" t="str">
        <f t="shared" si="177"/>
        <v/>
      </c>
      <c r="W709" s="73" t="str">
        <f t="shared" si="178"/>
        <v/>
      </c>
      <c r="X709" s="19" t="str">
        <f>IF($D709&lt;&gt;1,"",IF($G709="ROKS",$R709,IF($AI709=1,0,MAX($N709,$L709-SUMIFS(TblApplications[CPU IKS libérable (vCPU)],TblApplications[Cluster IKS source],$F709,TblApplications[Action],"À migrer",TblApplications[Mois prov (calc)],"&lt;="&amp;$E709)-SUMIFS(TblApplications[CPU IKS libérable (vCPU)],TblApplications[Cluster IKS source],$F709,TblApplications[Action],"À décommissionner",TblApplications[Mois lib (calc)],"&lt;="&amp;$E709)))))</f>
        <v/>
      </c>
      <c r="Y709" s="19" t="str">
        <f>IF($D709&lt;&gt;1,"",IF($G709="ROKS",$S709,IF($AI709=1,0,MAX($O709,$M709-SUMIFS(TblApplications[RAM IKS libérable (Go)],TblApplications[Cluster IKS source],$F709,TblApplications[Action],"À migrer",TblApplications[Mois prov (calc)],"&lt;="&amp;$E709)-SUMIFS(TblApplications[RAM IKS libérable (Go)],TblApplications[Cluster IKS source],$F709,TblApplications[Action],"À décommissionner",TblApplications[Mois lib (calc)],"&lt;="&amp;$E709)))))</f>
        <v/>
      </c>
      <c r="Z709" s="19" t="str">
        <f t="shared" si="179"/>
        <v/>
      </c>
      <c r="AA709" s="73" t="str">
        <f t="shared" si="180"/>
        <v/>
      </c>
      <c r="AB709" s="19" t="str">
        <f t="shared" si="181"/>
        <v/>
      </c>
      <c r="AC709" s="73" t="str">
        <f t="shared" si="182"/>
        <v/>
      </c>
      <c r="AD709" s="19" t="str">
        <f t="shared" si="183"/>
        <v/>
      </c>
      <c r="AE709" s="19" t="str">
        <f t="shared" si="184"/>
        <v/>
      </c>
      <c r="AF709" s="19" t="str">
        <f>IF($D709&lt;&gt;1,"",IF(INDEX(TblClusters[Environnement],$B709)="","(vide)",INDEX(TblClusters[Environnement],$B709)))</f>
        <v/>
      </c>
      <c r="AG709" s="19" t="str">
        <f t="shared" si="185"/>
        <v/>
      </c>
      <c r="AH709" s="19" t="str">
        <f t="shared" si="186"/>
        <v/>
      </c>
      <c r="AI709" s="19" t="str">
        <f>IF($D709&lt;&gt;1,"",IF(AND($G709="IKS",ISNUMBER(INDEX(TblClusters[Fermeture retenue],$B709))),IF($E709&gt;=INDEX(TblClusters[Fermeture retenue],$B709),1,0),0))</f>
        <v/>
      </c>
    </row>
    <row r="710" spans="1:35" x14ac:dyDescent="0.2">
      <c r="A710" s="19">
        <v>705</v>
      </c>
      <c r="B710" s="19">
        <f t="shared" ref="B710:B773" si="187">INT(($A710-1)/36)+1</f>
        <v>20</v>
      </c>
      <c r="C710" s="19">
        <f t="shared" ref="C710:C773" si="188">MOD($A710-1,36)+1</f>
        <v>21</v>
      </c>
      <c r="D710" s="19">
        <f>IF($C710&gt;p_horizon,0,IFERROR(IF(AND(INDEX(TblClusters[Cluster],$B710)&lt;&gt;"",ISNUMBER(INDEX(TblClusters[CPU initial (vCPU)],$B710)),ISNUMBER(INDEX(TblClusters[CPU min (vCPU)],$B710)),OR(INDEX(TblClusters[Plateforme],$B710)="IKS",INDEX(TblClusters[Plateforme],$B710)="ROKS")),1,0),0))</f>
        <v>0</v>
      </c>
      <c r="E710" s="72" t="str">
        <f t="shared" ref="E710:E773" si="189">IF($D710=1,EDATE(p_debut,$C710-1),"")</f>
        <v/>
      </c>
      <c r="F710" s="19" t="str">
        <f>IF($D710=1,INDEX(TblClusters[Cluster],$B710),"")</f>
        <v/>
      </c>
      <c r="G710" s="19" t="str">
        <f>IF($D710=1,INDEX(TblClusters[Plateforme],$B710),"")</f>
        <v/>
      </c>
      <c r="H710" s="19" t="str">
        <f>IF($D710=1,INDEX(TblClusters[vCPU par nœud],$B710),"")</f>
        <v/>
      </c>
      <c r="I710" s="19" t="str">
        <f>IF($D710=1,INDEX(TblClusters[RAM par nœud (Go)],$B710),"")</f>
        <v/>
      </c>
      <c r="J710" s="19" t="str">
        <f>IF($D710=1,INDEX(TblClusters[Workers min],$B710),"")</f>
        <v/>
      </c>
      <c r="K710" s="73" t="str">
        <f>IF($D710=1,INDEX(TblClusters[Tarif par nœud],$B710),"")</f>
        <v/>
      </c>
      <c r="L710" s="19" t="str">
        <f>IF($D710=1,INDEX(TblClusters[CPU initial (vCPU)],$B710),"")</f>
        <v/>
      </c>
      <c r="M710" s="19" t="str">
        <f>IF($D710=1,INDEX(TblClusters[RAM initiale (Go)],$B710),"")</f>
        <v/>
      </c>
      <c r="N710" s="19" t="str">
        <f>IF($D710=1,INDEX(TblClusters[CPU min (vCPU)],$B710),"")</f>
        <v/>
      </c>
      <c r="O710" s="19" t="str">
        <f>IF($D710=1,INDEX(TblClusters[RAM min (Go)],$B710),"")</f>
        <v/>
      </c>
      <c r="P710" s="19" t="str">
        <f>IF($D710&lt;&gt;1,"",IF($G710="ROKS",SUMIFS(TblApplications[Besoin ROKS CPU (vCPU)],TblApplications[Cluster ROKS cible],$F710,TblApplications[Action],"À migrer",TblApplications[Déjà incluse ROKS],"Non",TblApplications[Mois prov (calc)],"&lt;="&amp;$E710),SUMIFS(TblApplications[CPU IKS libérable (vCPU)],TblApplications[Cluster IKS source],$F710,TblApplications[Mois lib (calc)],"&lt;="&amp;$E710)))</f>
        <v/>
      </c>
      <c r="Q710" s="19" t="str">
        <f>IF($D710&lt;&gt;1,"",IF($G710="ROKS",SUMIFS(TblApplications[Besoin ROKS RAM (Go)],TblApplications[Cluster ROKS cible],$F710,TblApplications[Action],"À migrer",TblApplications[Déjà incluse ROKS],"Non",TblApplications[Mois prov (calc)],"&lt;="&amp;$E710),SUMIFS(TblApplications[RAM IKS libérable (Go)],TblApplications[Cluster IKS source],$F710,TblApplications[Mois lib (calc)],"&lt;="&amp;$E710)))</f>
        <v/>
      </c>
      <c r="R710" s="19" t="str">
        <f t="shared" ref="R710:R773" si="190">IF($D710&lt;&gt;1,"",IF($G710="ROKS",$L710+$P710,IF($AI710=1,0,MAX($N710,$L710-$P710))))</f>
        <v/>
      </c>
      <c r="S710" s="19" t="str">
        <f t="shared" ref="S710:S773" si="191">IF($D710&lt;&gt;1,"",IF($G710="ROKS",$M710+$Q710,IF($AI710=1,0,MAX($O710,$M710-$Q710))))</f>
        <v/>
      </c>
      <c r="T710" s="19" t="str">
        <f t="shared" ref="T710:T773" si="192">IF($D710&lt;&gt;1,"",IF($AI710=1,0,MAX($J710,ROUNDUP(MAX($R710/$H710,$S710/$I710),0))))</f>
        <v/>
      </c>
      <c r="U710" s="19" t="str">
        <f t="shared" ref="U710:U773" si="193">IF($D710&lt;&gt;1,"",IF(p_mode="Nœud",$T710*$H710,$R710))</f>
        <v/>
      </c>
      <c r="V710" s="19" t="str">
        <f t="shared" ref="V710:V773" si="194">IF($D710&lt;&gt;1,"",IF(p_mode="Nœud",$T710*$I710,$S710))</f>
        <v/>
      </c>
      <c r="W710" s="73" t="str">
        <f t="shared" ref="W710:W773" si="195">IF($D710&lt;&gt;1,"",IF(p_mode="Nœud",$T710*$K710,$R710*IF($G710="IKS",p_iks_cpu,p_roks_cpu)+$S710*IF($G710="IKS",p_iks_ram,p_roks_ram))*p_facteur)</f>
        <v/>
      </c>
      <c r="X710" s="19" t="str">
        <f>IF($D710&lt;&gt;1,"",IF($G710="ROKS",$R710,IF($AI710=1,0,MAX($N710,$L710-SUMIFS(TblApplications[CPU IKS libérable (vCPU)],TblApplications[Cluster IKS source],$F710,TblApplications[Action],"À migrer",TblApplications[Mois prov (calc)],"&lt;="&amp;$E710)-SUMIFS(TblApplications[CPU IKS libérable (vCPU)],TblApplications[Cluster IKS source],$F710,TblApplications[Action],"À décommissionner",TblApplications[Mois lib (calc)],"&lt;="&amp;$E710)))))</f>
        <v/>
      </c>
      <c r="Y710" s="19" t="str">
        <f>IF($D710&lt;&gt;1,"",IF($G710="ROKS",$S710,IF($AI710=1,0,MAX($O710,$M710-SUMIFS(TblApplications[RAM IKS libérable (Go)],TblApplications[Cluster IKS source],$F710,TblApplications[Action],"À migrer",TblApplications[Mois prov (calc)],"&lt;="&amp;$E710)-SUMIFS(TblApplications[RAM IKS libérable (Go)],TblApplications[Cluster IKS source],$F710,TblApplications[Action],"À décommissionner",TblApplications[Mois lib (calc)],"&lt;="&amp;$E710)))))</f>
        <v/>
      </c>
      <c r="Z710" s="19" t="str">
        <f t="shared" ref="Z710:Z773" si="196">IF($D710&lt;&gt;1,"",IF($AI710=1,0,MAX($J710,ROUNDUP(MAX($X710/$H710,$Y710/$I710),0))))</f>
        <v/>
      </c>
      <c r="AA710" s="73" t="str">
        <f t="shared" ref="AA710:AA773" si="197">IF($D710&lt;&gt;1,"",IF(p_mode="Nœud",$Z710*$K710,$X710*IF($G710="IKS",p_iks_cpu,p_roks_cpu)+$Y710*IF($G710="IKS",p_iks_ram,p_roks_ram))*p_facteur)</f>
        <v/>
      </c>
      <c r="AB710" s="19" t="str">
        <f t="shared" ref="AB710:AB773" si="198">IF($D710&lt;&gt;1,"",MAX($J710,ROUNDUP(MAX($L710/$H710,$M710/$I710),0)))</f>
        <v/>
      </c>
      <c r="AC710" s="73" t="str">
        <f t="shared" ref="AC710:AC773" si="199">IF($D710&lt;&gt;1,"",IF(p_mode="Nœud",$AB710*$K710,$L710*IF($G710="IKS",p_iks_cpu,p_roks_cpu)+$M710*IF($G710="IKS",p_iks_ram,p_roks_ram))*p_facteur)</f>
        <v/>
      </c>
      <c r="AD710" s="19" t="str">
        <f t="shared" ref="AD710:AD773" si="200">IF($D710&lt;&gt;1,"",IF(AND($G710="IKS",$AI710&lt;&gt;1,OR($L710-$P710&lt;$N710,$M710-$Q710&lt;$O710)),1,0))</f>
        <v/>
      </c>
      <c r="AE710" s="19" t="str">
        <f t="shared" ref="AE710:AE773" si="201">IF($D710&lt;&gt;1,"",IF(AND($G710="ROKS",$T710&gt;p_maxworkers),1,0))</f>
        <v/>
      </c>
      <c r="AF710" s="19" t="str">
        <f>IF($D710&lt;&gt;1,"",IF(INDEX(TblClusters[Environnement],$B710)="","(vide)",INDEX(TblClusters[Environnement],$B710)))</f>
        <v/>
      </c>
      <c r="AG710" s="19" t="str">
        <f t="shared" ref="AG710:AG773" si="202">IF($D710&lt;&gt;1,"",$R710+p_poidsram*$S710)</f>
        <v/>
      </c>
      <c r="AH710" s="19" t="str">
        <f t="shared" ref="AH710:AH773" si="203">IF($D710&lt;&gt;1,"",IFERROR($W710/$AG710,0))</f>
        <v/>
      </c>
      <c r="AI710" s="19" t="str">
        <f>IF($D710&lt;&gt;1,"",IF(AND($G710="IKS",ISNUMBER(INDEX(TblClusters[Fermeture retenue],$B710))),IF($E710&gt;=INDEX(TblClusters[Fermeture retenue],$B710),1,0),0))</f>
        <v/>
      </c>
    </row>
    <row r="711" spans="1:35" x14ac:dyDescent="0.2">
      <c r="A711" s="19">
        <v>706</v>
      </c>
      <c r="B711" s="19">
        <f t="shared" si="187"/>
        <v>20</v>
      </c>
      <c r="C711" s="19">
        <f t="shared" si="188"/>
        <v>22</v>
      </c>
      <c r="D711" s="19">
        <f>IF($C711&gt;p_horizon,0,IFERROR(IF(AND(INDEX(TblClusters[Cluster],$B711)&lt;&gt;"",ISNUMBER(INDEX(TblClusters[CPU initial (vCPU)],$B711)),ISNUMBER(INDEX(TblClusters[CPU min (vCPU)],$B711)),OR(INDEX(TblClusters[Plateforme],$B711)="IKS",INDEX(TblClusters[Plateforme],$B711)="ROKS")),1,0),0))</f>
        <v>0</v>
      </c>
      <c r="E711" s="72" t="str">
        <f t="shared" si="189"/>
        <v/>
      </c>
      <c r="F711" s="19" t="str">
        <f>IF($D711=1,INDEX(TblClusters[Cluster],$B711),"")</f>
        <v/>
      </c>
      <c r="G711" s="19" t="str">
        <f>IF($D711=1,INDEX(TblClusters[Plateforme],$B711),"")</f>
        <v/>
      </c>
      <c r="H711" s="19" t="str">
        <f>IF($D711=1,INDEX(TblClusters[vCPU par nœud],$B711),"")</f>
        <v/>
      </c>
      <c r="I711" s="19" t="str">
        <f>IF($D711=1,INDEX(TblClusters[RAM par nœud (Go)],$B711),"")</f>
        <v/>
      </c>
      <c r="J711" s="19" t="str">
        <f>IF($D711=1,INDEX(TblClusters[Workers min],$B711),"")</f>
        <v/>
      </c>
      <c r="K711" s="73" t="str">
        <f>IF($D711=1,INDEX(TblClusters[Tarif par nœud],$B711),"")</f>
        <v/>
      </c>
      <c r="L711" s="19" t="str">
        <f>IF($D711=1,INDEX(TblClusters[CPU initial (vCPU)],$B711),"")</f>
        <v/>
      </c>
      <c r="M711" s="19" t="str">
        <f>IF($D711=1,INDEX(TblClusters[RAM initiale (Go)],$B711),"")</f>
        <v/>
      </c>
      <c r="N711" s="19" t="str">
        <f>IF($D711=1,INDEX(TblClusters[CPU min (vCPU)],$B711),"")</f>
        <v/>
      </c>
      <c r="O711" s="19" t="str">
        <f>IF($D711=1,INDEX(TblClusters[RAM min (Go)],$B711),"")</f>
        <v/>
      </c>
      <c r="P711" s="19" t="str">
        <f>IF($D711&lt;&gt;1,"",IF($G711="ROKS",SUMIFS(TblApplications[Besoin ROKS CPU (vCPU)],TblApplications[Cluster ROKS cible],$F711,TblApplications[Action],"À migrer",TblApplications[Déjà incluse ROKS],"Non",TblApplications[Mois prov (calc)],"&lt;="&amp;$E711),SUMIFS(TblApplications[CPU IKS libérable (vCPU)],TblApplications[Cluster IKS source],$F711,TblApplications[Mois lib (calc)],"&lt;="&amp;$E711)))</f>
        <v/>
      </c>
      <c r="Q711" s="19" t="str">
        <f>IF($D711&lt;&gt;1,"",IF($G711="ROKS",SUMIFS(TblApplications[Besoin ROKS RAM (Go)],TblApplications[Cluster ROKS cible],$F711,TblApplications[Action],"À migrer",TblApplications[Déjà incluse ROKS],"Non",TblApplications[Mois prov (calc)],"&lt;="&amp;$E711),SUMIFS(TblApplications[RAM IKS libérable (Go)],TblApplications[Cluster IKS source],$F711,TblApplications[Mois lib (calc)],"&lt;="&amp;$E711)))</f>
        <v/>
      </c>
      <c r="R711" s="19" t="str">
        <f t="shared" si="190"/>
        <v/>
      </c>
      <c r="S711" s="19" t="str">
        <f t="shared" si="191"/>
        <v/>
      </c>
      <c r="T711" s="19" t="str">
        <f t="shared" si="192"/>
        <v/>
      </c>
      <c r="U711" s="19" t="str">
        <f t="shared" si="193"/>
        <v/>
      </c>
      <c r="V711" s="19" t="str">
        <f t="shared" si="194"/>
        <v/>
      </c>
      <c r="W711" s="73" t="str">
        <f t="shared" si="195"/>
        <v/>
      </c>
      <c r="X711" s="19" t="str">
        <f>IF($D711&lt;&gt;1,"",IF($G711="ROKS",$R711,IF($AI711=1,0,MAX($N711,$L711-SUMIFS(TblApplications[CPU IKS libérable (vCPU)],TblApplications[Cluster IKS source],$F711,TblApplications[Action],"À migrer",TblApplications[Mois prov (calc)],"&lt;="&amp;$E711)-SUMIFS(TblApplications[CPU IKS libérable (vCPU)],TblApplications[Cluster IKS source],$F711,TblApplications[Action],"À décommissionner",TblApplications[Mois lib (calc)],"&lt;="&amp;$E711)))))</f>
        <v/>
      </c>
      <c r="Y711" s="19" t="str">
        <f>IF($D711&lt;&gt;1,"",IF($G711="ROKS",$S711,IF($AI711=1,0,MAX($O711,$M711-SUMIFS(TblApplications[RAM IKS libérable (Go)],TblApplications[Cluster IKS source],$F711,TblApplications[Action],"À migrer",TblApplications[Mois prov (calc)],"&lt;="&amp;$E711)-SUMIFS(TblApplications[RAM IKS libérable (Go)],TblApplications[Cluster IKS source],$F711,TblApplications[Action],"À décommissionner",TblApplications[Mois lib (calc)],"&lt;="&amp;$E711)))))</f>
        <v/>
      </c>
      <c r="Z711" s="19" t="str">
        <f t="shared" si="196"/>
        <v/>
      </c>
      <c r="AA711" s="73" t="str">
        <f t="shared" si="197"/>
        <v/>
      </c>
      <c r="AB711" s="19" t="str">
        <f t="shared" si="198"/>
        <v/>
      </c>
      <c r="AC711" s="73" t="str">
        <f t="shared" si="199"/>
        <v/>
      </c>
      <c r="AD711" s="19" t="str">
        <f t="shared" si="200"/>
        <v/>
      </c>
      <c r="AE711" s="19" t="str">
        <f t="shared" si="201"/>
        <v/>
      </c>
      <c r="AF711" s="19" t="str">
        <f>IF($D711&lt;&gt;1,"",IF(INDEX(TblClusters[Environnement],$B711)="","(vide)",INDEX(TblClusters[Environnement],$B711)))</f>
        <v/>
      </c>
      <c r="AG711" s="19" t="str">
        <f t="shared" si="202"/>
        <v/>
      </c>
      <c r="AH711" s="19" t="str">
        <f t="shared" si="203"/>
        <v/>
      </c>
      <c r="AI711" s="19" t="str">
        <f>IF($D711&lt;&gt;1,"",IF(AND($G711="IKS",ISNUMBER(INDEX(TblClusters[Fermeture retenue],$B711))),IF($E711&gt;=INDEX(TblClusters[Fermeture retenue],$B711),1,0),0))</f>
        <v/>
      </c>
    </row>
    <row r="712" spans="1:35" x14ac:dyDescent="0.2">
      <c r="A712" s="19">
        <v>707</v>
      </c>
      <c r="B712" s="19">
        <f t="shared" si="187"/>
        <v>20</v>
      </c>
      <c r="C712" s="19">
        <f t="shared" si="188"/>
        <v>23</v>
      </c>
      <c r="D712" s="19">
        <f>IF($C712&gt;p_horizon,0,IFERROR(IF(AND(INDEX(TblClusters[Cluster],$B712)&lt;&gt;"",ISNUMBER(INDEX(TblClusters[CPU initial (vCPU)],$B712)),ISNUMBER(INDEX(TblClusters[CPU min (vCPU)],$B712)),OR(INDEX(TblClusters[Plateforme],$B712)="IKS",INDEX(TblClusters[Plateforme],$B712)="ROKS")),1,0),0))</f>
        <v>0</v>
      </c>
      <c r="E712" s="72" t="str">
        <f t="shared" si="189"/>
        <v/>
      </c>
      <c r="F712" s="19" t="str">
        <f>IF($D712=1,INDEX(TblClusters[Cluster],$B712),"")</f>
        <v/>
      </c>
      <c r="G712" s="19" t="str">
        <f>IF($D712=1,INDEX(TblClusters[Plateforme],$B712),"")</f>
        <v/>
      </c>
      <c r="H712" s="19" t="str">
        <f>IF($D712=1,INDEX(TblClusters[vCPU par nœud],$B712),"")</f>
        <v/>
      </c>
      <c r="I712" s="19" t="str">
        <f>IF($D712=1,INDEX(TblClusters[RAM par nœud (Go)],$B712),"")</f>
        <v/>
      </c>
      <c r="J712" s="19" t="str">
        <f>IF($D712=1,INDEX(TblClusters[Workers min],$B712),"")</f>
        <v/>
      </c>
      <c r="K712" s="73" t="str">
        <f>IF($D712=1,INDEX(TblClusters[Tarif par nœud],$B712),"")</f>
        <v/>
      </c>
      <c r="L712" s="19" t="str">
        <f>IF($D712=1,INDEX(TblClusters[CPU initial (vCPU)],$B712),"")</f>
        <v/>
      </c>
      <c r="M712" s="19" t="str">
        <f>IF($D712=1,INDEX(TblClusters[RAM initiale (Go)],$B712),"")</f>
        <v/>
      </c>
      <c r="N712" s="19" t="str">
        <f>IF($D712=1,INDEX(TblClusters[CPU min (vCPU)],$B712),"")</f>
        <v/>
      </c>
      <c r="O712" s="19" t="str">
        <f>IF($D712=1,INDEX(TblClusters[RAM min (Go)],$B712),"")</f>
        <v/>
      </c>
      <c r="P712" s="19" t="str">
        <f>IF($D712&lt;&gt;1,"",IF($G712="ROKS",SUMIFS(TblApplications[Besoin ROKS CPU (vCPU)],TblApplications[Cluster ROKS cible],$F712,TblApplications[Action],"À migrer",TblApplications[Déjà incluse ROKS],"Non",TblApplications[Mois prov (calc)],"&lt;="&amp;$E712),SUMIFS(TblApplications[CPU IKS libérable (vCPU)],TblApplications[Cluster IKS source],$F712,TblApplications[Mois lib (calc)],"&lt;="&amp;$E712)))</f>
        <v/>
      </c>
      <c r="Q712" s="19" t="str">
        <f>IF($D712&lt;&gt;1,"",IF($G712="ROKS",SUMIFS(TblApplications[Besoin ROKS RAM (Go)],TblApplications[Cluster ROKS cible],$F712,TblApplications[Action],"À migrer",TblApplications[Déjà incluse ROKS],"Non",TblApplications[Mois prov (calc)],"&lt;="&amp;$E712),SUMIFS(TblApplications[RAM IKS libérable (Go)],TblApplications[Cluster IKS source],$F712,TblApplications[Mois lib (calc)],"&lt;="&amp;$E712)))</f>
        <v/>
      </c>
      <c r="R712" s="19" t="str">
        <f t="shared" si="190"/>
        <v/>
      </c>
      <c r="S712" s="19" t="str">
        <f t="shared" si="191"/>
        <v/>
      </c>
      <c r="T712" s="19" t="str">
        <f t="shared" si="192"/>
        <v/>
      </c>
      <c r="U712" s="19" t="str">
        <f t="shared" si="193"/>
        <v/>
      </c>
      <c r="V712" s="19" t="str">
        <f t="shared" si="194"/>
        <v/>
      </c>
      <c r="W712" s="73" t="str">
        <f t="shared" si="195"/>
        <v/>
      </c>
      <c r="X712" s="19" t="str">
        <f>IF($D712&lt;&gt;1,"",IF($G712="ROKS",$R712,IF($AI712=1,0,MAX($N712,$L712-SUMIFS(TblApplications[CPU IKS libérable (vCPU)],TblApplications[Cluster IKS source],$F712,TblApplications[Action],"À migrer",TblApplications[Mois prov (calc)],"&lt;="&amp;$E712)-SUMIFS(TblApplications[CPU IKS libérable (vCPU)],TblApplications[Cluster IKS source],$F712,TblApplications[Action],"À décommissionner",TblApplications[Mois lib (calc)],"&lt;="&amp;$E712)))))</f>
        <v/>
      </c>
      <c r="Y712" s="19" t="str">
        <f>IF($D712&lt;&gt;1,"",IF($G712="ROKS",$S712,IF($AI712=1,0,MAX($O712,$M712-SUMIFS(TblApplications[RAM IKS libérable (Go)],TblApplications[Cluster IKS source],$F712,TblApplications[Action],"À migrer",TblApplications[Mois prov (calc)],"&lt;="&amp;$E712)-SUMIFS(TblApplications[RAM IKS libérable (Go)],TblApplications[Cluster IKS source],$F712,TblApplications[Action],"À décommissionner",TblApplications[Mois lib (calc)],"&lt;="&amp;$E712)))))</f>
        <v/>
      </c>
      <c r="Z712" s="19" t="str">
        <f t="shared" si="196"/>
        <v/>
      </c>
      <c r="AA712" s="73" t="str">
        <f t="shared" si="197"/>
        <v/>
      </c>
      <c r="AB712" s="19" t="str">
        <f t="shared" si="198"/>
        <v/>
      </c>
      <c r="AC712" s="73" t="str">
        <f t="shared" si="199"/>
        <v/>
      </c>
      <c r="AD712" s="19" t="str">
        <f t="shared" si="200"/>
        <v/>
      </c>
      <c r="AE712" s="19" t="str">
        <f t="shared" si="201"/>
        <v/>
      </c>
      <c r="AF712" s="19" t="str">
        <f>IF($D712&lt;&gt;1,"",IF(INDEX(TblClusters[Environnement],$B712)="","(vide)",INDEX(TblClusters[Environnement],$B712)))</f>
        <v/>
      </c>
      <c r="AG712" s="19" t="str">
        <f t="shared" si="202"/>
        <v/>
      </c>
      <c r="AH712" s="19" t="str">
        <f t="shared" si="203"/>
        <v/>
      </c>
      <c r="AI712" s="19" t="str">
        <f>IF($D712&lt;&gt;1,"",IF(AND($G712="IKS",ISNUMBER(INDEX(TblClusters[Fermeture retenue],$B712))),IF($E712&gt;=INDEX(TblClusters[Fermeture retenue],$B712),1,0),0))</f>
        <v/>
      </c>
    </row>
    <row r="713" spans="1:35" x14ac:dyDescent="0.2">
      <c r="A713" s="19">
        <v>708</v>
      </c>
      <c r="B713" s="19">
        <f t="shared" si="187"/>
        <v>20</v>
      </c>
      <c r="C713" s="19">
        <f t="shared" si="188"/>
        <v>24</v>
      </c>
      <c r="D713" s="19">
        <f>IF($C713&gt;p_horizon,0,IFERROR(IF(AND(INDEX(TblClusters[Cluster],$B713)&lt;&gt;"",ISNUMBER(INDEX(TblClusters[CPU initial (vCPU)],$B713)),ISNUMBER(INDEX(TblClusters[CPU min (vCPU)],$B713)),OR(INDEX(TblClusters[Plateforme],$B713)="IKS",INDEX(TblClusters[Plateforme],$B713)="ROKS")),1,0),0))</f>
        <v>0</v>
      </c>
      <c r="E713" s="72" t="str">
        <f t="shared" si="189"/>
        <v/>
      </c>
      <c r="F713" s="19" t="str">
        <f>IF($D713=1,INDEX(TblClusters[Cluster],$B713),"")</f>
        <v/>
      </c>
      <c r="G713" s="19" t="str">
        <f>IF($D713=1,INDEX(TblClusters[Plateforme],$B713),"")</f>
        <v/>
      </c>
      <c r="H713" s="19" t="str">
        <f>IF($D713=1,INDEX(TblClusters[vCPU par nœud],$B713),"")</f>
        <v/>
      </c>
      <c r="I713" s="19" t="str">
        <f>IF($D713=1,INDEX(TblClusters[RAM par nœud (Go)],$B713),"")</f>
        <v/>
      </c>
      <c r="J713" s="19" t="str">
        <f>IF($D713=1,INDEX(TblClusters[Workers min],$B713),"")</f>
        <v/>
      </c>
      <c r="K713" s="73" t="str">
        <f>IF($D713=1,INDEX(TblClusters[Tarif par nœud],$B713),"")</f>
        <v/>
      </c>
      <c r="L713" s="19" t="str">
        <f>IF($D713=1,INDEX(TblClusters[CPU initial (vCPU)],$B713),"")</f>
        <v/>
      </c>
      <c r="M713" s="19" t="str">
        <f>IF($D713=1,INDEX(TblClusters[RAM initiale (Go)],$B713),"")</f>
        <v/>
      </c>
      <c r="N713" s="19" t="str">
        <f>IF($D713=1,INDEX(TblClusters[CPU min (vCPU)],$B713),"")</f>
        <v/>
      </c>
      <c r="O713" s="19" t="str">
        <f>IF($D713=1,INDEX(TblClusters[RAM min (Go)],$B713),"")</f>
        <v/>
      </c>
      <c r="P713" s="19" t="str">
        <f>IF($D713&lt;&gt;1,"",IF($G713="ROKS",SUMIFS(TblApplications[Besoin ROKS CPU (vCPU)],TblApplications[Cluster ROKS cible],$F713,TblApplications[Action],"À migrer",TblApplications[Déjà incluse ROKS],"Non",TblApplications[Mois prov (calc)],"&lt;="&amp;$E713),SUMIFS(TblApplications[CPU IKS libérable (vCPU)],TblApplications[Cluster IKS source],$F713,TblApplications[Mois lib (calc)],"&lt;="&amp;$E713)))</f>
        <v/>
      </c>
      <c r="Q713" s="19" t="str">
        <f>IF($D713&lt;&gt;1,"",IF($G713="ROKS",SUMIFS(TblApplications[Besoin ROKS RAM (Go)],TblApplications[Cluster ROKS cible],$F713,TblApplications[Action],"À migrer",TblApplications[Déjà incluse ROKS],"Non",TblApplications[Mois prov (calc)],"&lt;="&amp;$E713),SUMIFS(TblApplications[RAM IKS libérable (Go)],TblApplications[Cluster IKS source],$F713,TblApplications[Mois lib (calc)],"&lt;="&amp;$E713)))</f>
        <v/>
      </c>
      <c r="R713" s="19" t="str">
        <f t="shared" si="190"/>
        <v/>
      </c>
      <c r="S713" s="19" t="str">
        <f t="shared" si="191"/>
        <v/>
      </c>
      <c r="T713" s="19" t="str">
        <f t="shared" si="192"/>
        <v/>
      </c>
      <c r="U713" s="19" t="str">
        <f t="shared" si="193"/>
        <v/>
      </c>
      <c r="V713" s="19" t="str">
        <f t="shared" si="194"/>
        <v/>
      </c>
      <c r="W713" s="73" t="str">
        <f t="shared" si="195"/>
        <v/>
      </c>
      <c r="X713" s="19" t="str">
        <f>IF($D713&lt;&gt;1,"",IF($G713="ROKS",$R713,IF($AI713=1,0,MAX($N713,$L713-SUMIFS(TblApplications[CPU IKS libérable (vCPU)],TblApplications[Cluster IKS source],$F713,TblApplications[Action],"À migrer",TblApplications[Mois prov (calc)],"&lt;="&amp;$E713)-SUMIFS(TblApplications[CPU IKS libérable (vCPU)],TblApplications[Cluster IKS source],$F713,TblApplications[Action],"À décommissionner",TblApplications[Mois lib (calc)],"&lt;="&amp;$E713)))))</f>
        <v/>
      </c>
      <c r="Y713" s="19" t="str">
        <f>IF($D713&lt;&gt;1,"",IF($G713="ROKS",$S713,IF($AI713=1,0,MAX($O713,$M713-SUMIFS(TblApplications[RAM IKS libérable (Go)],TblApplications[Cluster IKS source],$F713,TblApplications[Action],"À migrer",TblApplications[Mois prov (calc)],"&lt;="&amp;$E713)-SUMIFS(TblApplications[RAM IKS libérable (Go)],TblApplications[Cluster IKS source],$F713,TblApplications[Action],"À décommissionner",TblApplications[Mois lib (calc)],"&lt;="&amp;$E713)))))</f>
        <v/>
      </c>
      <c r="Z713" s="19" t="str">
        <f t="shared" si="196"/>
        <v/>
      </c>
      <c r="AA713" s="73" t="str">
        <f t="shared" si="197"/>
        <v/>
      </c>
      <c r="AB713" s="19" t="str">
        <f t="shared" si="198"/>
        <v/>
      </c>
      <c r="AC713" s="73" t="str">
        <f t="shared" si="199"/>
        <v/>
      </c>
      <c r="AD713" s="19" t="str">
        <f t="shared" si="200"/>
        <v/>
      </c>
      <c r="AE713" s="19" t="str">
        <f t="shared" si="201"/>
        <v/>
      </c>
      <c r="AF713" s="19" t="str">
        <f>IF($D713&lt;&gt;1,"",IF(INDEX(TblClusters[Environnement],$B713)="","(vide)",INDEX(TblClusters[Environnement],$B713)))</f>
        <v/>
      </c>
      <c r="AG713" s="19" t="str">
        <f t="shared" si="202"/>
        <v/>
      </c>
      <c r="AH713" s="19" t="str">
        <f t="shared" si="203"/>
        <v/>
      </c>
      <c r="AI713" s="19" t="str">
        <f>IF($D713&lt;&gt;1,"",IF(AND($G713="IKS",ISNUMBER(INDEX(TblClusters[Fermeture retenue],$B713))),IF($E713&gt;=INDEX(TblClusters[Fermeture retenue],$B713),1,0),0))</f>
        <v/>
      </c>
    </row>
    <row r="714" spans="1:35" x14ac:dyDescent="0.2">
      <c r="A714" s="19">
        <v>709</v>
      </c>
      <c r="B714" s="19">
        <f t="shared" si="187"/>
        <v>20</v>
      </c>
      <c r="C714" s="19">
        <f t="shared" si="188"/>
        <v>25</v>
      </c>
      <c r="D714" s="19">
        <f>IF($C714&gt;p_horizon,0,IFERROR(IF(AND(INDEX(TblClusters[Cluster],$B714)&lt;&gt;"",ISNUMBER(INDEX(TblClusters[CPU initial (vCPU)],$B714)),ISNUMBER(INDEX(TblClusters[CPU min (vCPU)],$B714)),OR(INDEX(TblClusters[Plateforme],$B714)="IKS",INDEX(TblClusters[Plateforme],$B714)="ROKS")),1,0),0))</f>
        <v>0</v>
      </c>
      <c r="E714" s="72" t="str">
        <f t="shared" si="189"/>
        <v/>
      </c>
      <c r="F714" s="19" t="str">
        <f>IF($D714=1,INDEX(TblClusters[Cluster],$B714),"")</f>
        <v/>
      </c>
      <c r="G714" s="19" t="str">
        <f>IF($D714=1,INDEX(TblClusters[Plateforme],$B714),"")</f>
        <v/>
      </c>
      <c r="H714" s="19" t="str">
        <f>IF($D714=1,INDEX(TblClusters[vCPU par nœud],$B714),"")</f>
        <v/>
      </c>
      <c r="I714" s="19" t="str">
        <f>IF($D714=1,INDEX(TblClusters[RAM par nœud (Go)],$B714),"")</f>
        <v/>
      </c>
      <c r="J714" s="19" t="str">
        <f>IF($D714=1,INDEX(TblClusters[Workers min],$B714),"")</f>
        <v/>
      </c>
      <c r="K714" s="73" t="str">
        <f>IF($D714=1,INDEX(TblClusters[Tarif par nœud],$B714),"")</f>
        <v/>
      </c>
      <c r="L714" s="19" t="str">
        <f>IF($D714=1,INDEX(TblClusters[CPU initial (vCPU)],$B714),"")</f>
        <v/>
      </c>
      <c r="M714" s="19" t="str">
        <f>IF($D714=1,INDEX(TblClusters[RAM initiale (Go)],$B714),"")</f>
        <v/>
      </c>
      <c r="N714" s="19" t="str">
        <f>IF($D714=1,INDEX(TblClusters[CPU min (vCPU)],$B714),"")</f>
        <v/>
      </c>
      <c r="O714" s="19" t="str">
        <f>IF($D714=1,INDEX(TblClusters[RAM min (Go)],$B714),"")</f>
        <v/>
      </c>
      <c r="P714" s="19" t="str">
        <f>IF($D714&lt;&gt;1,"",IF($G714="ROKS",SUMIFS(TblApplications[Besoin ROKS CPU (vCPU)],TblApplications[Cluster ROKS cible],$F714,TblApplications[Action],"À migrer",TblApplications[Déjà incluse ROKS],"Non",TblApplications[Mois prov (calc)],"&lt;="&amp;$E714),SUMIFS(TblApplications[CPU IKS libérable (vCPU)],TblApplications[Cluster IKS source],$F714,TblApplications[Mois lib (calc)],"&lt;="&amp;$E714)))</f>
        <v/>
      </c>
      <c r="Q714" s="19" t="str">
        <f>IF($D714&lt;&gt;1,"",IF($G714="ROKS",SUMIFS(TblApplications[Besoin ROKS RAM (Go)],TblApplications[Cluster ROKS cible],$F714,TblApplications[Action],"À migrer",TblApplications[Déjà incluse ROKS],"Non",TblApplications[Mois prov (calc)],"&lt;="&amp;$E714),SUMIFS(TblApplications[RAM IKS libérable (Go)],TblApplications[Cluster IKS source],$F714,TblApplications[Mois lib (calc)],"&lt;="&amp;$E714)))</f>
        <v/>
      </c>
      <c r="R714" s="19" t="str">
        <f t="shared" si="190"/>
        <v/>
      </c>
      <c r="S714" s="19" t="str">
        <f t="shared" si="191"/>
        <v/>
      </c>
      <c r="T714" s="19" t="str">
        <f t="shared" si="192"/>
        <v/>
      </c>
      <c r="U714" s="19" t="str">
        <f t="shared" si="193"/>
        <v/>
      </c>
      <c r="V714" s="19" t="str">
        <f t="shared" si="194"/>
        <v/>
      </c>
      <c r="W714" s="73" t="str">
        <f t="shared" si="195"/>
        <v/>
      </c>
      <c r="X714" s="19" t="str">
        <f>IF($D714&lt;&gt;1,"",IF($G714="ROKS",$R714,IF($AI714=1,0,MAX($N714,$L714-SUMIFS(TblApplications[CPU IKS libérable (vCPU)],TblApplications[Cluster IKS source],$F714,TblApplications[Action],"À migrer",TblApplications[Mois prov (calc)],"&lt;="&amp;$E714)-SUMIFS(TblApplications[CPU IKS libérable (vCPU)],TblApplications[Cluster IKS source],$F714,TblApplications[Action],"À décommissionner",TblApplications[Mois lib (calc)],"&lt;="&amp;$E714)))))</f>
        <v/>
      </c>
      <c r="Y714" s="19" t="str">
        <f>IF($D714&lt;&gt;1,"",IF($G714="ROKS",$S714,IF($AI714=1,0,MAX($O714,$M714-SUMIFS(TblApplications[RAM IKS libérable (Go)],TblApplications[Cluster IKS source],$F714,TblApplications[Action],"À migrer",TblApplications[Mois prov (calc)],"&lt;="&amp;$E714)-SUMIFS(TblApplications[RAM IKS libérable (Go)],TblApplications[Cluster IKS source],$F714,TblApplications[Action],"À décommissionner",TblApplications[Mois lib (calc)],"&lt;="&amp;$E714)))))</f>
        <v/>
      </c>
      <c r="Z714" s="19" t="str">
        <f t="shared" si="196"/>
        <v/>
      </c>
      <c r="AA714" s="73" t="str">
        <f t="shared" si="197"/>
        <v/>
      </c>
      <c r="AB714" s="19" t="str">
        <f t="shared" si="198"/>
        <v/>
      </c>
      <c r="AC714" s="73" t="str">
        <f t="shared" si="199"/>
        <v/>
      </c>
      <c r="AD714" s="19" t="str">
        <f t="shared" si="200"/>
        <v/>
      </c>
      <c r="AE714" s="19" t="str">
        <f t="shared" si="201"/>
        <v/>
      </c>
      <c r="AF714" s="19" t="str">
        <f>IF($D714&lt;&gt;1,"",IF(INDEX(TblClusters[Environnement],$B714)="","(vide)",INDEX(TblClusters[Environnement],$B714)))</f>
        <v/>
      </c>
      <c r="AG714" s="19" t="str">
        <f t="shared" si="202"/>
        <v/>
      </c>
      <c r="AH714" s="19" t="str">
        <f t="shared" si="203"/>
        <v/>
      </c>
      <c r="AI714" s="19" t="str">
        <f>IF($D714&lt;&gt;1,"",IF(AND($G714="IKS",ISNUMBER(INDEX(TblClusters[Fermeture retenue],$B714))),IF($E714&gt;=INDEX(TblClusters[Fermeture retenue],$B714),1,0),0))</f>
        <v/>
      </c>
    </row>
    <row r="715" spans="1:35" x14ac:dyDescent="0.2">
      <c r="A715" s="19">
        <v>710</v>
      </c>
      <c r="B715" s="19">
        <f t="shared" si="187"/>
        <v>20</v>
      </c>
      <c r="C715" s="19">
        <f t="shared" si="188"/>
        <v>26</v>
      </c>
      <c r="D715" s="19">
        <f>IF($C715&gt;p_horizon,0,IFERROR(IF(AND(INDEX(TblClusters[Cluster],$B715)&lt;&gt;"",ISNUMBER(INDEX(TblClusters[CPU initial (vCPU)],$B715)),ISNUMBER(INDEX(TblClusters[CPU min (vCPU)],$B715)),OR(INDEX(TblClusters[Plateforme],$B715)="IKS",INDEX(TblClusters[Plateforme],$B715)="ROKS")),1,0),0))</f>
        <v>0</v>
      </c>
      <c r="E715" s="72" t="str">
        <f t="shared" si="189"/>
        <v/>
      </c>
      <c r="F715" s="19" t="str">
        <f>IF($D715=1,INDEX(TblClusters[Cluster],$B715),"")</f>
        <v/>
      </c>
      <c r="G715" s="19" t="str">
        <f>IF($D715=1,INDEX(TblClusters[Plateforme],$B715),"")</f>
        <v/>
      </c>
      <c r="H715" s="19" t="str">
        <f>IF($D715=1,INDEX(TblClusters[vCPU par nœud],$B715),"")</f>
        <v/>
      </c>
      <c r="I715" s="19" t="str">
        <f>IF($D715=1,INDEX(TblClusters[RAM par nœud (Go)],$B715),"")</f>
        <v/>
      </c>
      <c r="J715" s="19" t="str">
        <f>IF($D715=1,INDEX(TblClusters[Workers min],$B715),"")</f>
        <v/>
      </c>
      <c r="K715" s="73" t="str">
        <f>IF($D715=1,INDEX(TblClusters[Tarif par nœud],$B715),"")</f>
        <v/>
      </c>
      <c r="L715" s="19" t="str">
        <f>IF($D715=1,INDEX(TblClusters[CPU initial (vCPU)],$B715),"")</f>
        <v/>
      </c>
      <c r="M715" s="19" t="str">
        <f>IF($D715=1,INDEX(TblClusters[RAM initiale (Go)],$B715),"")</f>
        <v/>
      </c>
      <c r="N715" s="19" t="str">
        <f>IF($D715=1,INDEX(TblClusters[CPU min (vCPU)],$B715),"")</f>
        <v/>
      </c>
      <c r="O715" s="19" t="str">
        <f>IF($D715=1,INDEX(TblClusters[RAM min (Go)],$B715),"")</f>
        <v/>
      </c>
      <c r="P715" s="19" t="str">
        <f>IF($D715&lt;&gt;1,"",IF($G715="ROKS",SUMIFS(TblApplications[Besoin ROKS CPU (vCPU)],TblApplications[Cluster ROKS cible],$F715,TblApplications[Action],"À migrer",TblApplications[Déjà incluse ROKS],"Non",TblApplications[Mois prov (calc)],"&lt;="&amp;$E715),SUMIFS(TblApplications[CPU IKS libérable (vCPU)],TblApplications[Cluster IKS source],$F715,TblApplications[Mois lib (calc)],"&lt;="&amp;$E715)))</f>
        <v/>
      </c>
      <c r="Q715" s="19" t="str">
        <f>IF($D715&lt;&gt;1,"",IF($G715="ROKS",SUMIFS(TblApplications[Besoin ROKS RAM (Go)],TblApplications[Cluster ROKS cible],$F715,TblApplications[Action],"À migrer",TblApplications[Déjà incluse ROKS],"Non",TblApplications[Mois prov (calc)],"&lt;="&amp;$E715),SUMIFS(TblApplications[RAM IKS libérable (Go)],TblApplications[Cluster IKS source],$F715,TblApplications[Mois lib (calc)],"&lt;="&amp;$E715)))</f>
        <v/>
      </c>
      <c r="R715" s="19" t="str">
        <f t="shared" si="190"/>
        <v/>
      </c>
      <c r="S715" s="19" t="str">
        <f t="shared" si="191"/>
        <v/>
      </c>
      <c r="T715" s="19" t="str">
        <f t="shared" si="192"/>
        <v/>
      </c>
      <c r="U715" s="19" t="str">
        <f t="shared" si="193"/>
        <v/>
      </c>
      <c r="V715" s="19" t="str">
        <f t="shared" si="194"/>
        <v/>
      </c>
      <c r="W715" s="73" t="str">
        <f t="shared" si="195"/>
        <v/>
      </c>
      <c r="X715" s="19" t="str">
        <f>IF($D715&lt;&gt;1,"",IF($G715="ROKS",$R715,IF($AI715=1,0,MAX($N715,$L715-SUMIFS(TblApplications[CPU IKS libérable (vCPU)],TblApplications[Cluster IKS source],$F715,TblApplications[Action],"À migrer",TblApplications[Mois prov (calc)],"&lt;="&amp;$E715)-SUMIFS(TblApplications[CPU IKS libérable (vCPU)],TblApplications[Cluster IKS source],$F715,TblApplications[Action],"À décommissionner",TblApplications[Mois lib (calc)],"&lt;="&amp;$E715)))))</f>
        <v/>
      </c>
      <c r="Y715" s="19" t="str">
        <f>IF($D715&lt;&gt;1,"",IF($G715="ROKS",$S715,IF($AI715=1,0,MAX($O715,$M715-SUMIFS(TblApplications[RAM IKS libérable (Go)],TblApplications[Cluster IKS source],$F715,TblApplications[Action],"À migrer",TblApplications[Mois prov (calc)],"&lt;="&amp;$E715)-SUMIFS(TblApplications[RAM IKS libérable (Go)],TblApplications[Cluster IKS source],$F715,TblApplications[Action],"À décommissionner",TblApplications[Mois lib (calc)],"&lt;="&amp;$E715)))))</f>
        <v/>
      </c>
      <c r="Z715" s="19" t="str">
        <f t="shared" si="196"/>
        <v/>
      </c>
      <c r="AA715" s="73" t="str">
        <f t="shared" si="197"/>
        <v/>
      </c>
      <c r="AB715" s="19" t="str">
        <f t="shared" si="198"/>
        <v/>
      </c>
      <c r="AC715" s="73" t="str">
        <f t="shared" si="199"/>
        <v/>
      </c>
      <c r="AD715" s="19" t="str">
        <f t="shared" si="200"/>
        <v/>
      </c>
      <c r="AE715" s="19" t="str">
        <f t="shared" si="201"/>
        <v/>
      </c>
      <c r="AF715" s="19" t="str">
        <f>IF($D715&lt;&gt;1,"",IF(INDEX(TblClusters[Environnement],$B715)="","(vide)",INDEX(TblClusters[Environnement],$B715)))</f>
        <v/>
      </c>
      <c r="AG715" s="19" t="str">
        <f t="shared" si="202"/>
        <v/>
      </c>
      <c r="AH715" s="19" t="str">
        <f t="shared" si="203"/>
        <v/>
      </c>
      <c r="AI715" s="19" t="str">
        <f>IF($D715&lt;&gt;1,"",IF(AND($G715="IKS",ISNUMBER(INDEX(TblClusters[Fermeture retenue],$B715))),IF($E715&gt;=INDEX(TblClusters[Fermeture retenue],$B715),1,0),0))</f>
        <v/>
      </c>
    </row>
    <row r="716" spans="1:35" x14ac:dyDescent="0.2">
      <c r="A716" s="19">
        <v>711</v>
      </c>
      <c r="B716" s="19">
        <f t="shared" si="187"/>
        <v>20</v>
      </c>
      <c r="C716" s="19">
        <f t="shared" si="188"/>
        <v>27</v>
      </c>
      <c r="D716" s="19">
        <f>IF($C716&gt;p_horizon,0,IFERROR(IF(AND(INDEX(TblClusters[Cluster],$B716)&lt;&gt;"",ISNUMBER(INDEX(TblClusters[CPU initial (vCPU)],$B716)),ISNUMBER(INDEX(TblClusters[CPU min (vCPU)],$B716)),OR(INDEX(TblClusters[Plateforme],$B716)="IKS",INDEX(TblClusters[Plateforme],$B716)="ROKS")),1,0),0))</f>
        <v>0</v>
      </c>
      <c r="E716" s="72" t="str">
        <f t="shared" si="189"/>
        <v/>
      </c>
      <c r="F716" s="19" t="str">
        <f>IF($D716=1,INDEX(TblClusters[Cluster],$B716),"")</f>
        <v/>
      </c>
      <c r="G716" s="19" t="str">
        <f>IF($D716=1,INDEX(TblClusters[Plateforme],$B716),"")</f>
        <v/>
      </c>
      <c r="H716" s="19" t="str">
        <f>IF($D716=1,INDEX(TblClusters[vCPU par nœud],$B716),"")</f>
        <v/>
      </c>
      <c r="I716" s="19" t="str">
        <f>IF($D716=1,INDEX(TblClusters[RAM par nœud (Go)],$B716),"")</f>
        <v/>
      </c>
      <c r="J716" s="19" t="str">
        <f>IF($D716=1,INDEX(TblClusters[Workers min],$B716),"")</f>
        <v/>
      </c>
      <c r="K716" s="73" t="str">
        <f>IF($D716=1,INDEX(TblClusters[Tarif par nœud],$B716),"")</f>
        <v/>
      </c>
      <c r="L716" s="19" t="str">
        <f>IF($D716=1,INDEX(TblClusters[CPU initial (vCPU)],$B716),"")</f>
        <v/>
      </c>
      <c r="M716" s="19" t="str">
        <f>IF($D716=1,INDEX(TblClusters[RAM initiale (Go)],$B716),"")</f>
        <v/>
      </c>
      <c r="N716" s="19" t="str">
        <f>IF($D716=1,INDEX(TblClusters[CPU min (vCPU)],$B716),"")</f>
        <v/>
      </c>
      <c r="O716" s="19" t="str">
        <f>IF($D716=1,INDEX(TblClusters[RAM min (Go)],$B716),"")</f>
        <v/>
      </c>
      <c r="P716" s="19" t="str">
        <f>IF($D716&lt;&gt;1,"",IF($G716="ROKS",SUMIFS(TblApplications[Besoin ROKS CPU (vCPU)],TblApplications[Cluster ROKS cible],$F716,TblApplications[Action],"À migrer",TblApplications[Déjà incluse ROKS],"Non",TblApplications[Mois prov (calc)],"&lt;="&amp;$E716),SUMIFS(TblApplications[CPU IKS libérable (vCPU)],TblApplications[Cluster IKS source],$F716,TblApplications[Mois lib (calc)],"&lt;="&amp;$E716)))</f>
        <v/>
      </c>
      <c r="Q716" s="19" t="str">
        <f>IF($D716&lt;&gt;1,"",IF($G716="ROKS",SUMIFS(TblApplications[Besoin ROKS RAM (Go)],TblApplications[Cluster ROKS cible],$F716,TblApplications[Action],"À migrer",TblApplications[Déjà incluse ROKS],"Non",TblApplications[Mois prov (calc)],"&lt;="&amp;$E716),SUMIFS(TblApplications[RAM IKS libérable (Go)],TblApplications[Cluster IKS source],$F716,TblApplications[Mois lib (calc)],"&lt;="&amp;$E716)))</f>
        <v/>
      </c>
      <c r="R716" s="19" t="str">
        <f t="shared" si="190"/>
        <v/>
      </c>
      <c r="S716" s="19" t="str">
        <f t="shared" si="191"/>
        <v/>
      </c>
      <c r="T716" s="19" t="str">
        <f t="shared" si="192"/>
        <v/>
      </c>
      <c r="U716" s="19" t="str">
        <f t="shared" si="193"/>
        <v/>
      </c>
      <c r="V716" s="19" t="str">
        <f t="shared" si="194"/>
        <v/>
      </c>
      <c r="W716" s="73" t="str">
        <f t="shared" si="195"/>
        <v/>
      </c>
      <c r="X716" s="19" t="str">
        <f>IF($D716&lt;&gt;1,"",IF($G716="ROKS",$R716,IF($AI716=1,0,MAX($N716,$L716-SUMIFS(TblApplications[CPU IKS libérable (vCPU)],TblApplications[Cluster IKS source],$F716,TblApplications[Action],"À migrer",TblApplications[Mois prov (calc)],"&lt;="&amp;$E716)-SUMIFS(TblApplications[CPU IKS libérable (vCPU)],TblApplications[Cluster IKS source],$F716,TblApplications[Action],"À décommissionner",TblApplications[Mois lib (calc)],"&lt;="&amp;$E716)))))</f>
        <v/>
      </c>
      <c r="Y716" s="19" t="str">
        <f>IF($D716&lt;&gt;1,"",IF($G716="ROKS",$S716,IF($AI716=1,0,MAX($O716,$M716-SUMIFS(TblApplications[RAM IKS libérable (Go)],TblApplications[Cluster IKS source],$F716,TblApplications[Action],"À migrer",TblApplications[Mois prov (calc)],"&lt;="&amp;$E716)-SUMIFS(TblApplications[RAM IKS libérable (Go)],TblApplications[Cluster IKS source],$F716,TblApplications[Action],"À décommissionner",TblApplications[Mois lib (calc)],"&lt;="&amp;$E716)))))</f>
        <v/>
      </c>
      <c r="Z716" s="19" t="str">
        <f t="shared" si="196"/>
        <v/>
      </c>
      <c r="AA716" s="73" t="str">
        <f t="shared" si="197"/>
        <v/>
      </c>
      <c r="AB716" s="19" t="str">
        <f t="shared" si="198"/>
        <v/>
      </c>
      <c r="AC716" s="73" t="str">
        <f t="shared" si="199"/>
        <v/>
      </c>
      <c r="AD716" s="19" t="str">
        <f t="shared" si="200"/>
        <v/>
      </c>
      <c r="AE716" s="19" t="str">
        <f t="shared" si="201"/>
        <v/>
      </c>
      <c r="AF716" s="19" t="str">
        <f>IF($D716&lt;&gt;1,"",IF(INDEX(TblClusters[Environnement],$B716)="","(vide)",INDEX(TblClusters[Environnement],$B716)))</f>
        <v/>
      </c>
      <c r="AG716" s="19" t="str">
        <f t="shared" si="202"/>
        <v/>
      </c>
      <c r="AH716" s="19" t="str">
        <f t="shared" si="203"/>
        <v/>
      </c>
      <c r="AI716" s="19" t="str">
        <f>IF($D716&lt;&gt;1,"",IF(AND($G716="IKS",ISNUMBER(INDEX(TblClusters[Fermeture retenue],$B716))),IF($E716&gt;=INDEX(TblClusters[Fermeture retenue],$B716),1,0),0))</f>
        <v/>
      </c>
    </row>
    <row r="717" spans="1:35" x14ac:dyDescent="0.2">
      <c r="A717" s="19">
        <v>712</v>
      </c>
      <c r="B717" s="19">
        <f t="shared" si="187"/>
        <v>20</v>
      </c>
      <c r="C717" s="19">
        <f t="shared" si="188"/>
        <v>28</v>
      </c>
      <c r="D717" s="19">
        <f>IF($C717&gt;p_horizon,0,IFERROR(IF(AND(INDEX(TblClusters[Cluster],$B717)&lt;&gt;"",ISNUMBER(INDEX(TblClusters[CPU initial (vCPU)],$B717)),ISNUMBER(INDEX(TblClusters[CPU min (vCPU)],$B717)),OR(INDEX(TblClusters[Plateforme],$B717)="IKS",INDEX(TblClusters[Plateforme],$B717)="ROKS")),1,0),0))</f>
        <v>0</v>
      </c>
      <c r="E717" s="72" t="str">
        <f t="shared" si="189"/>
        <v/>
      </c>
      <c r="F717" s="19" t="str">
        <f>IF($D717=1,INDEX(TblClusters[Cluster],$B717),"")</f>
        <v/>
      </c>
      <c r="G717" s="19" t="str">
        <f>IF($D717=1,INDEX(TblClusters[Plateforme],$B717),"")</f>
        <v/>
      </c>
      <c r="H717" s="19" t="str">
        <f>IF($D717=1,INDEX(TblClusters[vCPU par nœud],$B717),"")</f>
        <v/>
      </c>
      <c r="I717" s="19" t="str">
        <f>IF($D717=1,INDEX(TblClusters[RAM par nœud (Go)],$B717),"")</f>
        <v/>
      </c>
      <c r="J717" s="19" t="str">
        <f>IF($D717=1,INDEX(TblClusters[Workers min],$B717),"")</f>
        <v/>
      </c>
      <c r="K717" s="73" t="str">
        <f>IF($D717=1,INDEX(TblClusters[Tarif par nœud],$B717),"")</f>
        <v/>
      </c>
      <c r="L717" s="19" t="str">
        <f>IF($D717=1,INDEX(TblClusters[CPU initial (vCPU)],$B717),"")</f>
        <v/>
      </c>
      <c r="M717" s="19" t="str">
        <f>IF($D717=1,INDEX(TblClusters[RAM initiale (Go)],$B717),"")</f>
        <v/>
      </c>
      <c r="N717" s="19" t="str">
        <f>IF($D717=1,INDEX(TblClusters[CPU min (vCPU)],$B717),"")</f>
        <v/>
      </c>
      <c r="O717" s="19" t="str">
        <f>IF($D717=1,INDEX(TblClusters[RAM min (Go)],$B717),"")</f>
        <v/>
      </c>
      <c r="P717" s="19" t="str">
        <f>IF($D717&lt;&gt;1,"",IF($G717="ROKS",SUMIFS(TblApplications[Besoin ROKS CPU (vCPU)],TblApplications[Cluster ROKS cible],$F717,TblApplications[Action],"À migrer",TblApplications[Déjà incluse ROKS],"Non",TblApplications[Mois prov (calc)],"&lt;="&amp;$E717),SUMIFS(TblApplications[CPU IKS libérable (vCPU)],TblApplications[Cluster IKS source],$F717,TblApplications[Mois lib (calc)],"&lt;="&amp;$E717)))</f>
        <v/>
      </c>
      <c r="Q717" s="19" t="str">
        <f>IF($D717&lt;&gt;1,"",IF($G717="ROKS",SUMIFS(TblApplications[Besoin ROKS RAM (Go)],TblApplications[Cluster ROKS cible],$F717,TblApplications[Action],"À migrer",TblApplications[Déjà incluse ROKS],"Non",TblApplications[Mois prov (calc)],"&lt;="&amp;$E717),SUMIFS(TblApplications[RAM IKS libérable (Go)],TblApplications[Cluster IKS source],$F717,TblApplications[Mois lib (calc)],"&lt;="&amp;$E717)))</f>
        <v/>
      </c>
      <c r="R717" s="19" t="str">
        <f t="shared" si="190"/>
        <v/>
      </c>
      <c r="S717" s="19" t="str">
        <f t="shared" si="191"/>
        <v/>
      </c>
      <c r="T717" s="19" t="str">
        <f t="shared" si="192"/>
        <v/>
      </c>
      <c r="U717" s="19" t="str">
        <f t="shared" si="193"/>
        <v/>
      </c>
      <c r="V717" s="19" t="str">
        <f t="shared" si="194"/>
        <v/>
      </c>
      <c r="W717" s="73" t="str">
        <f t="shared" si="195"/>
        <v/>
      </c>
      <c r="X717" s="19" t="str">
        <f>IF($D717&lt;&gt;1,"",IF($G717="ROKS",$R717,IF($AI717=1,0,MAX($N717,$L717-SUMIFS(TblApplications[CPU IKS libérable (vCPU)],TblApplications[Cluster IKS source],$F717,TblApplications[Action],"À migrer",TblApplications[Mois prov (calc)],"&lt;="&amp;$E717)-SUMIFS(TblApplications[CPU IKS libérable (vCPU)],TblApplications[Cluster IKS source],$F717,TblApplications[Action],"À décommissionner",TblApplications[Mois lib (calc)],"&lt;="&amp;$E717)))))</f>
        <v/>
      </c>
      <c r="Y717" s="19" t="str">
        <f>IF($D717&lt;&gt;1,"",IF($G717="ROKS",$S717,IF($AI717=1,0,MAX($O717,$M717-SUMIFS(TblApplications[RAM IKS libérable (Go)],TblApplications[Cluster IKS source],$F717,TblApplications[Action],"À migrer",TblApplications[Mois prov (calc)],"&lt;="&amp;$E717)-SUMIFS(TblApplications[RAM IKS libérable (Go)],TblApplications[Cluster IKS source],$F717,TblApplications[Action],"À décommissionner",TblApplications[Mois lib (calc)],"&lt;="&amp;$E717)))))</f>
        <v/>
      </c>
      <c r="Z717" s="19" t="str">
        <f t="shared" si="196"/>
        <v/>
      </c>
      <c r="AA717" s="73" t="str">
        <f t="shared" si="197"/>
        <v/>
      </c>
      <c r="AB717" s="19" t="str">
        <f t="shared" si="198"/>
        <v/>
      </c>
      <c r="AC717" s="73" t="str">
        <f t="shared" si="199"/>
        <v/>
      </c>
      <c r="AD717" s="19" t="str">
        <f t="shared" si="200"/>
        <v/>
      </c>
      <c r="AE717" s="19" t="str">
        <f t="shared" si="201"/>
        <v/>
      </c>
      <c r="AF717" s="19" t="str">
        <f>IF($D717&lt;&gt;1,"",IF(INDEX(TblClusters[Environnement],$B717)="","(vide)",INDEX(TblClusters[Environnement],$B717)))</f>
        <v/>
      </c>
      <c r="AG717" s="19" t="str">
        <f t="shared" si="202"/>
        <v/>
      </c>
      <c r="AH717" s="19" t="str">
        <f t="shared" si="203"/>
        <v/>
      </c>
      <c r="AI717" s="19" t="str">
        <f>IF($D717&lt;&gt;1,"",IF(AND($G717="IKS",ISNUMBER(INDEX(TblClusters[Fermeture retenue],$B717))),IF($E717&gt;=INDEX(TblClusters[Fermeture retenue],$B717),1,0),0))</f>
        <v/>
      </c>
    </row>
    <row r="718" spans="1:35" x14ac:dyDescent="0.2">
      <c r="A718" s="19">
        <v>713</v>
      </c>
      <c r="B718" s="19">
        <f t="shared" si="187"/>
        <v>20</v>
      </c>
      <c r="C718" s="19">
        <f t="shared" si="188"/>
        <v>29</v>
      </c>
      <c r="D718" s="19">
        <f>IF($C718&gt;p_horizon,0,IFERROR(IF(AND(INDEX(TblClusters[Cluster],$B718)&lt;&gt;"",ISNUMBER(INDEX(TblClusters[CPU initial (vCPU)],$B718)),ISNUMBER(INDEX(TblClusters[CPU min (vCPU)],$B718)),OR(INDEX(TblClusters[Plateforme],$B718)="IKS",INDEX(TblClusters[Plateforme],$B718)="ROKS")),1,0),0))</f>
        <v>0</v>
      </c>
      <c r="E718" s="72" t="str">
        <f t="shared" si="189"/>
        <v/>
      </c>
      <c r="F718" s="19" t="str">
        <f>IF($D718=1,INDEX(TblClusters[Cluster],$B718),"")</f>
        <v/>
      </c>
      <c r="G718" s="19" t="str">
        <f>IF($D718=1,INDEX(TblClusters[Plateforme],$B718),"")</f>
        <v/>
      </c>
      <c r="H718" s="19" t="str">
        <f>IF($D718=1,INDEX(TblClusters[vCPU par nœud],$B718),"")</f>
        <v/>
      </c>
      <c r="I718" s="19" t="str">
        <f>IF($D718=1,INDEX(TblClusters[RAM par nœud (Go)],$B718),"")</f>
        <v/>
      </c>
      <c r="J718" s="19" t="str">
        <f>IF($D718=1,INDEX(TblClusters[Workers min],$B718),"")</f>
        <v/>
      </c>
      <c r="K718" s="73" t="str">
        <f>IF($D718=1,INDEX(TblClusters[Tarif par nœud],$B718),"")</f>
        <v/>
      </c>
      <c r="L718" s="19" t="str">
        <f>IF($D718=1,INDEX(TblClusters[CPU initial (vCPU)],$B718),"")</f>
        <v/>
      </c>
      <c r="M718" s="19" t="str">
        <f>IF($D718=1,INDEX(TblClusters[RAM initiale (Go)],$B718),"")</f>
        <v/>
      </c>
      <c r="N718" s="19" t="str">
        <f>IF($D718=1,INDEX(TblClusters[CPU min (vCPU)],$B718),"")</f>
        <v/>
      </c>
      <c r="O718" s="19" t="str">
        <f>IF($D718=1,INDEX(TblClusters[RAM min (Go)],$B718),"")</f>
        <v/>
      </c>
      <c r="P718" s="19" t="str">
        <f>IF($D718&lt;&gt;1,"",IF($G718="ROKS",SUMIFS(TblApplications[Besoin ROKS CPU (vCPU)],TblApplications[Cluster ROKS cible],$F718,TblApplications[Action],"À migrer",TblApplications[Déjà incluse ROKS],"Non",TblApplications[Mois prov (calc)],"&lt;="&amp;$E718),SUMIFS(TblApplications[CPU IKS libérable (vCPU)],TblApplications[Cluster IKS source],$F718,TblApplications[Mois lib (calc)],"&lt;="&amp;$E718)))</f>
        <v/>
      </c>
      <c r="Q718" s="19" t="str">
        <f>IF($D718&lt;&gt;1,"",IF($G718="ROKS",SUMIFS(TblApplications[Besoin ROKS RAM (Go)],TblApplications[Cluster ROKS cible],$F718,TblApplications[Action],"À migrer",TblApplications[Déjà incluse ROKS],"Non",TblApplications[Mois prov (calc)],"&lt;="&amp;$E718),SUMIFS(TblApplications[RAM IKS libérable (Go)],TblApplications[Cluster IKS source],$F718,TblApplications[Mois lib (calc)],"&lt;="&amp;$E718)))</f>
        <v/>
      </c>
      <c r="R718" s="19" t="str">
        <f t="shared" si="190"/>
        <v/>
      </c>
      <c r="S718" s="19" t="str">
        <f t="shared" si="191"/>
        <v/>
      </c>
      <c r="T718" s="19" t="str">
        <f t="shared" si="192"/>
        <v/>
      </c>
      <c r="U718" s="19" t="str">
        <f t="shared" si="193"/>
        <v/>
      </c>
      <c r="V718" s="19" t="str">
        <f t="shared" si="194"/>
        <v/>
      </c>
      <c r="W718" s="73" t="str">
        <f t="shared" si="195"/>
        <v/>
      </c>
      <c r="X718" s="19" t="str">
        <f>IF($D718&lt;&gt;1,"",IF($G718="ROKS",$R718,IF($AI718=1,0,MAX($N718,$L718-SUMIFS(TblApplications[CPU IKS libérable (vCPU)],TblApplications[Cluster IKS source],$F718,TblApplications[Action],"À migrer",TblApplications[Mois prov (calc)],"&lt;="&amp;$E718)-SUMIFS(TblApplications[CPU IKS libérable (vCPU)],TblApplications[Cluster IKS source],$F718,TblApplications[Action],"À décommissionner",TblApplications[Mois lib (calc)],"&lt;="&amp;$E718)))))</f>
        <v/>
      </c>
      <c r="Y718" s="19" t="str">
        <f>IF($D718&lt;&gt;1,"",IF($G718="ROKS",$S718,IF($AI718=1,0,MAX($O718,$M718-SUMIFS(TblApplications[RAM IKS libérable (Go)],TblApplications[Cluster IKS source],$F718,TblApplications[Action],"À migrer",TblApplications[Mois prov (calc)],"&lt;="&amp;$E718)-SUMIFS(TblApplications[RAM IKS libérable (Go)],TblApplications[Cluster IKS source],$F718,TblApplications[Action],"À décommissionner",TblApplications[Mois lib (calc)],"&lt;="&amp;$E718)))))</f>
        <v/>
      </c>
      <c r="Z718" s="19" t="str">
        <f t="shared" si="196"/>
        <v/>
      </c>
      <c r="AA718" s="73" t="str">
        <f t="shared" si="197"/>
        <v/>
      </c>
      <c r="AB718" s="19" t="str">
        <f t="shared" si="198"/>
        <v/>
      </c>
      <c r="AC718" s="73" t="str">
        <f t="shared" si="199"/>
        <v/>
      </c>
      <c r="AD718" s="19" t="str">
        <f t="shared" si="200"/>
        <v/>
      </c>
      <c r="AE718" s="19" t="str">
        <f t="shared" si="201"/>
        <v/>
      </c>
      <c r="AF718" s="19" t="str">
        <f>IF($D718&lt;&gt;1,"",IF(INDEX(TblClusters[Environnement],$B718)="","(vide)",INDEX(TblClusters[Environnement],$B718)))</f>
        <v/>
      </c>
      <c r="AG718" s="19" t="str">
        <f t="shared" si="202"/>
        <v/>
      </c>
      <c r="AH718" s="19" t="str">
        <f t="shared" si="203"/>
        <v/>
      </c>
      <c r="AI718" s="19" t="str">
        <f>IF($D718&lt;&gt;1,"",IF(AND($G718="IKS",ISNUMBER(INDEX(TblClusters[Fermeture retenue],$B718))),IF($E718&gt;=INDEX(TblClusters[Fermeture retenue],$B718),1,0),0))</f>
        <v/>
      </c>
    </row>
    <row r="719" spans="1:35" x14ac:dyDescent="0.2">
      <c r="A719" s="19">
        <v>714</v>
      </c>
      <c r="B719" s="19">
        <f t="shared" si="187"/>
        <v>20</v>
      </c>
      <c r="C719" s="19">
        <f t="shared" si="188"/>
        <v>30</v>
      </c>
      <c r="D719" s="19">
        <f>IF($C719&gt;p_horizon,0,IFERROR(IF(AND(INDEX(TblClusters[Cluster],$B719)&lt;&gt;"",ISNUMBER(INDEX(TblClusters[CPU initial (vCPU)],$B719)),ISNUMBER(INDEX(TblClusters[CPU min (vCPU)],$B719)),OR(INDEX(TblClusters[Plateforme],$B719)="IKS",INDEX(TblClusters[Plateforme],$B719)="ROKS")),1,0),0))</f>
        <v>0</v>
      </c>
      <c r="E719" s="72" t="str">
        <f t="shared" si="189"/>
        <v/>
      </c>
      <c r="F719" s="19" t="str">
        <f>IF($D719=1,INDEX(TblClusters[Cluster],$B719),"")</f>
        <v/>
      </c>
      <c r="G719" s="19" t="str">
        <f>IF($D719=1,INDEX(TblClusters[Plateforme],$B719),"")</f>
        <v/>
      </c>
      <c r="H719" s="19" t="str">
        <f>IF($D719=1,INDEX(TblClusters[vCPU par nœud],$B719),"")</f>
        <v/>
      </c>
      <c r="I719" s="19" t="str">
        <f>IF($D719=1,INDEX(TblClusters[RAM par nœud (Go)],$B719),"")</f>
        <v/>
      </c>
      <c r="J719" s="19" t="str">
        <f>IF($D719=1,INDEX(TblClusters[Workers min],$B719),"")</f>
        <v/>
      </c>
      <c r="K719" s="73" t="str">
        <f>IF($D719=1,INDEX(TblClusters[Tarif par nœud],$B719),"")</f>
        <v/>
      </c>
      <c r="L719" s="19" t="str">
        <f>IF($D719=1,INDEX(TblClusters[CPU initial (vCPU)],$B719),"")</f>
        <v/>
      </c>
      <c r="M719" s="19" t="str">
        <f>IF($D719=1,INDEX(TblClusters[RAM initiale (Go)],$B719),"")</f>
        <v/>
      </c>
      <c r="N719" s="19" t="str">
        <f>IF($D719=1,INDEX(TblClusters[CPU min (vCPU)],$B719),"")</f>
        <v/>
      </c>
      <c r="O719" s="19" t="str">
        <f>IF($D719=1,INDEX(TblClusters[RAM min (Go)],$B719),"")</f>
        <v/>
      </c>
      <c r="P719" s="19" t="str">
        <f>IF($D719&lt;&gt;1,"",IF($G719="ROKS",SUMIFS(TblApplications[Besoin ROKS CPU (vCPU)],TblApplications[Cluster ROKS cible],$F719,TblApplications[Action],"À migrer",TblApplications[Déjà incluse ROKS],"Non",TblApplications[Mois prov (calc)],"&lt;="&amp;$E719),SUMIFS(TblApplications[CPU IKS libérable (vCPU)],TblApplications[Cluster IKS source],$F719,TblApplications[Mois lib (calc)],"&lt;="&amp;$E719)))</f>
        <v/>
      </c>
      <c r="Q719" s="19" t="str">
        <f>IF($D719&lt;&gt;1,"",IF($G719="ROKS",SUMIFS(TblApplications[Besoin ROKS RAM (Go)],TblApplications[Cluster ROKS cible],$F719,TblApplications[Action],"À migrer",TblApplications[Déjà incluse ROKS],"Non",TblApplications[Mois prov (calc)],"&lt;="&amp;$E719),SUMIFS(TblApplications[RAM IKS libérable (Go)],TblApplications[Cluster IKS source],$F719,TblApplications[Mois lib (calc)],"&lt;="&amp;$E719)))</f>
        <v/>
      </c>
      <c r="R719" s="19" t="str">
        <f t="shared" si="190"/>
        <v/>
      </c>
      <c r="S719" s="19" t="str">
        <f t="shared" si="191"/>
        <v/>
      </c>
      <c r="T719" s="19" t="str">
        <f t="shared" si="192"/>
        <v/>
      </c>
      <c r="U719" s="19" t="str">
        <f t="shared" si="193"/>
        <v/>
      </c>
      <c r="V719" s="19" t="str">
        <f t="shared" si="194"/>
        <v/>
      </c>
      <c r="W719" s="73" t="str">
        <f t="shared" si="195"/>
        <v/>
      </c>
      <c r="X719" s="19" t="str">
        <f>IF($D719&lt;&gt;1,"",IF($G719="ROKS",$R719,IF($AI719=1,0,MAX($N719,$L719-SUMIFS(TblApplications[CPU IKS libérable (vCPU)],TblApplications[Cluster IKS source],$F719,TblApplications[Action],"À migrer",TblApplications[Mois prov (calc)],"&lt;="&amp;$E719)-SUMIFS(TblApplications[CPU IKS libérable (vCPU)],TblApplications[Cluster IKS source],$F719,TblApplications[Action],"À décommissionner",TblApplications[Mois lib (calc)],"&lt;="&amp;$E719)))))</f>
        <v/>
      </c>
      <c r="Y719" s="19" t="str">
        <f>IF($D719&lt;&gt;1,"",IF($G719="ROKS",$S719,IF($AI719=1,0,MAX($O719,$M719-SUMIFS(TblApplications[RAM IKS libérable (Go)],TblApplications[Cluster IKS source],$F719,TblApplications[Action],"À migrer",TblApplications[Mois prov (calc)],"&lt;="&amp;$E719)-SUMIFS(TblApplications[RAM IKS libérable (Go)],TblApplications[Cluster IKS source],$F719,TblApplications[Action],"À décommissionner",TblApplications[Mois lib (calc)],"&lt;="&amp;$E719)))))</f>
        <v/>
      </c>
      <c r="Z719" s="19" t="str">
        <f t="shared" si="196"/>
        <v/>
      </c>
      <c r="AA719" s="73" t="str">
        <f t="shared" si="197"/>
        <v/>
      </c>
      <c r="AB719" s="19" t="str">
        <f t="shared" si="198"/>
        <v/>
      </c>
      <c r="AC719" s="73" t="str">
        <f t="shared" si="199"/>
        <v/>
      </c>
      <c r="AD719" s="19" t="str">
        <f t="shared" si="200"/>
        <v/>
      </c>
      <c r="AE719" s="19" t="str">
        <f t="shared" si="201"/>
        <v/>
      </c>
      <c r="AF719" s="19" t="str">
        <f>IF($D719&lt;&gt;1,"",IF(INDEX(TblClusters[Environnement],$B719)="","(vide)",INDEX(TblClusters[Environnement],$B719)))</f>
        <v/>
      </c>
      <c r="AG719" s="19" t="str">
        <f t="shared" si="202"/>
        <v/>
      </c>
      <c r="AH719" s="19" t="str">
        <f t="shared" si="203"/>
        <v/>
      </c>
      <c r="AI719" s="19" t="str">
        <f>IF($D719&lt;&gt;1,"",IF(AND($G719="IKS",ISNUMBER(INDEX(TblClusters[Fermeture retenue],$B719))),IF($E719&gt;=INDEX(TblClusters[Fermeture retenue],$B719),1,0),0))</f>
        <v/>
      </c>
    </row>
    <row r="720" spans="1:35" x14ac:dyDescent="0.2">
      <c r="A720" s="19">
        <v>715</v>
      </c>
      <c r="B720" s="19">
        <f t="shared" si="187"/>
        <v>20</v>
      </c>
      <c r="C720" s="19">
        <f t="shared" si="188"/>
        <v>31</v>
      </c>
      <c r="D720" s="19">
        <f>IF($C720&gt;p_horizon,0,IFERROR(IF(AND(INDEX(TblClusters[Cluster],$B720)&lt;&gt;"",ISNUMBER(INDEX(TblClusters[CPU initial (vCPU)],$B720)),ISNUMBER(INDEX(TblClusters[CPU min (vCPU)],$B720)),OR(INDEX(TblClusters[Plateforme],$B720)="IKS",INDEX(TblClusters[Plateforme],$B720)="ROKS")),1,0),0))</f>
        <v>0</v>
      </c>
      <c r="E720" s="72" t="str">
        <f t="shared" si="189"/>
        <v/>
      </c>
      <c r="F720" s="19" t="str">
        <f>IF($D720=1,INDEX(TblClusters[Cluster],$B720),"")</f>
        <v/>
      </c>
      <c r="G720" s="19" t="str">
        <f>IF($D720=1,INDEX(TblClusters[Plateforme],$B720),"")</f>
        <v/>
      </c>
      <c r="H720" s="19" t="str">
        <f>IF($D720=1,INDEX(TblClusters[vCPU par nœud],$B720),"")</f>
        <v/>
      </c>
      <c r="I720" s="19" t="str">
        <f>IF($D720=1,INDEX(TblClusters[RAM par nœud (Go)],$B720),"")</f>
        <v/>
      </c>
      <c r="J720" s="19" t="str">
        <f>IF($D720=1,INDEX(TblClusters[Workers min],$B720),"")</f>
        <v/>
      </c>
      <c r="K720" s="73" t="str">
        <f>IF($D720=1,INDEX(TblClusters[Tarif par nœud],$B720),"")</f>
        <v/>
      </c>
      <c r="L720" s="19" t="str">
        <f>IF($D720=1,INDEX(TblClusters[CPU initial (vCPU)],$B720),"")</f>
        <v/>
      </c>
      <c r="M720" s="19" t="str">
        <f>IF($D720=1,INDEX(TblClusters[RAM initiale (Go)],$B720),"")</f>
        <v/>
      </c>
      <c r="N720" s="19" t="str">
        <f>IF($D720=1,INDEX(TblClusters[CPU min (vCPU)],$B720),"")</f>
        <v/>
      </c>
      <c r="O720" s="19" t="str">
        <f>IF($D720=1,INDEX(TblClusters[RAM min (Go)],$B720),"")</f>
        <v/>
      </c>
      <c r="P720" s="19" t="str">
        <f>IF($D720&lt;&gt;1,"",IF($G720="ROKS",SUMIFS(TblApplications[Besoin ROKS CPU (vCPU)],TblApplications[Cluster ROKS cible],$F720,TblApplications[Action],"À migrer",TblApplications[Déjà incluse ROKS],"Non",TblApplications[Mois prov (calc)],"&lt;="&amp;$E720),SUMIFS(TblApplications[CPU IKS libérable (vCPU)],TblApplications[Cluster IKS source],$F720,TblApplications[Mois lib (calc)],"&lt;="&amp;$E720)))</f>
        <v/>
      </c>
      <c r="Q720" s="19" t="str">
        <f>IF($D720&lt;&gt;1,"",IF($G720="ROKS",SUMIFS(TblApplications[Besoin ROKS RAM (Go)],TblApplications[Cluster ROKS cible],$F720,TblApplications[Action],"À migrer",TblApplications[Déjà incluse ROKS],"Non",TblApplications[Mois prov (calc)],"&lt;="&amp;$E720),SUMIFS(TblApplications[RAM IKS libérable (Go)],TblApplications[Cluster IKS source],$F720,TblApplications[Mois lib (calc)],"&lt;="&amp;$E720)))</f>
        <v/>
      </c>
      <c r="R720" s="19" t="str">
        <f t="shared" si="190"/>
        <v/>
      </c>
      <c r="S720" s="19" t="str">
        <f t="shared" si="191"/>
        <v/>
      </c>
      <c r="T720" s="19" t="str">
        <f t="shared" si="192"/>
        <v/>
      </c>
      <c r="U720" s="19" t="str">
        <f t="shared" si="193"/>
        <v/>
      </c>
      <c r="V720" s="19" t="str">
        <f t="shared" si="194"/>
        <v/>
      </c>
      <c r="W720" s="73" t="str">
        <f t="shared" si="195"/>
        <v/>
      </c>
      <c r="X720" s="19" t="str">
        <f>IF($D720&lt;&gt;1,"",IF($G720="ROKS",$R720,IF($AI720=1,0,MAX($N720,$L720-SUMIFS(TblApplications[CPU IKS libérable (vCPU)],TblApplications[Cluster IKS source],$F720,TblApplications[Action],"À migrer",TblApplications[Mois prov (calc)],"&lt;="&amp;$E720)-SUMIFS(TblApplications[CPU IKS libérable (vCPU)],TblApplications[Cluster IKS source],$F720,TblApplications[Action],"À décommissionner",TblApplications[Mois lib (calc)],"&lt;="&amp;$E720)))))</f>
        <v/>
      </c>
      <c r="Y720" s="19" t="str">
        <f>IF($D720&lt;&gt;1,"",IF($G720="ROKS",$S720,IF($AI720=1,0,MAX($O720,$M720-SUMIFS(TblApplications[RAM IKS libérable (Go)],TblApplications[Cluster IKS source],$F720,TblApplications[Action],"À migrer",TblApplications[Mois prov (calc)],"&lt;="&amp;$E720)-SUMIFS(TblApplications[RAM IKS libérable (Go)],TblApplications[Cluster IKS source],$F720,TblApplications[Action],"À décommissionner",TblApplications[Mois lib (calc)],"&lt;="&amp;$E720)))))</f>
        <v/>
      </c>
      <c r="Z720" s="19" t="str">
        <f t="shared" si="196"/>
        <v/>
      </c>
      <c r="AA720" s="73" t="str">
        <f t="shared" si="197"/>
        <v/>
      </c>
      <c r="AB720" s="19" t="str">
        <f t="shared" si="198"/>
        <v/>
      </c>
      <c r="AC720" s="73" t="str">
        <f t="shared" si="199"/>
        <v/>
      </c>
      <c r="AD720" s="19" t="str">
        <f t="shared" si="200"/>
        <v/>
      </c>
      <c r="AE720" s="19" t="str">
        <f t="shared" si="201"/>
        <v/>
      </c>
      <c r="AF720" s="19" t="str">
        <f>IF($D720&lt;&gt;1,"",IF(INDEX(TblClusters[Environnement],$B720)="","(vide)",INDEX(TblClusters[Environnement],$B720)))</f>
        <v/>
      </c>
      <c r="AG720" s="19" t="str">
        <f t="shared" si="202"/>
        <v/>
      </c>
      <c r="AH720" s="19" t="str">
        <f t="shared" si="203"/>
        <v/>
      </c>
      <c r="AI720" s="19" t="str">
        <f>IF($D720&lt;&gt;1,"",IF(AND($G720="IKS",ISNUMBER(INDEX(TblClusters[Fermeture retenue],$B720))),IF($E720&gt;=INDEX(TblClusters[Fermeture retenue],$B720),1,0),0))</f>
        <v/>
      </c>
    </row>
    <row r="721" spans="1:35" x14ac:dyDescent="0.2">
      <c r="A721" s="19">
        <v>716</v>
      </c>
      <c r="B721" s="19">
        <f t="shared" si="187"/>
        <v>20</v>
      </c>
      <c r="C721" s="19">
        <f t="shared" si="188"/>
        <v>32</v>
      </c>
      <c r="D721" s="19">
        <f>IF($C721&gt;p_horizon,0,IFERROR(IF(AND(INDEX(TblClusters[Cluster],$B721)&lt;&gt;"",ISNUMBER(INDEX(TblClusters[CPU initial (vCPU)],$B721)),ISNUMBER(INDEX(TblClusters[CPU min (vCPU)],$B721)),OR(INDEX(TblClusters[Plateforme],$B721)="IKS",INDEX(TblClusters[Plateforme],$B721)="ROKS")),1,0),0))</f>
        <v>0</v>
      </c>
      <c r="E721" s="72" t="str">
        <f t="shared" si="189"/>
        <v/>
      </c>
      <c r="F721" s="19" t="str">
        <f>IF($D721=1,INDEX(TblClusters[Cluster],$B721),"")</f>
        <v/>
      </c>
      <c r="G721" s="19" t="str">
        <f>IF($D721=1,INDEX(TblClusters[Plateforme],$B721),"")</f>
        <v/>
      </c>
      <c r="H721" s="19" t="str">
        <f>IF($D721=1,INDEX(TblClusters[vCPU par nœud],$B721),"")</f>
        <v/>
      </c>
      <c r="I721" s="19" t="str">
        <f>IF($D721=1,INDEX(TblClusters[RAM par nœud (Go)],$B721),"")</f>
        <v/>
      </c>
      <c r="J721" s="19" t="str">
        <f>IF($D721=1,INDEX(TblClusters[Workers min],$B721),"")</f>
        <v/>
      </c>
      <c r="K721" s="73" t="str">
        <f>IF($D721=1,INDEX(TblClusters[Tarif par nœud],$B721),"")</f>
        <v/>
      </c>
      <c r="L721" s="19" t="str">
        <f>IF($D721=1,INDEX(TblClusters[CPU initial (vCPU)],$B721),"")</f>
        <v/>
      </c>
      <c r="M721" s="19" t="str">
        <f>IF($D721=1,INDEX(TblClusters[RAM initiale (Go)],$B721),"")</f>
        <v/>
      </c>
      <c r="N721" s="19" t="str">
        <f>IF($D721=1,INDEX(TblClusters[CPU min (vCPU)],$B721),"")</f>
        <v/>
      </c>
      <c r="O721" s="19" t="str">
        <f>IF($D721=1,INDEX(TblClusters[RAM min (Go)],$B721),"")</f>
        <v/>
      </c>
      <c r="P721" s="19" t="str">
        <f>IF($D721&lt;&gt;1,"",IF($G721="ROKS",SUMIFS(TblApplications[Besoin ROKS CPU (vCPU)],TblApplications[Cluster ROKS cible],$F721,TblApplications[Action],"À migrer",TblApplications[Déjà incluse ROKS],"Non",TblApplications[Mois prov (calc)],"&lt;="&amp;$E721),SUMIFS(TblApplications[CPU IKS libérable (vCPU)],TblApplications[Cluster IKS source],$F721,TblApplications[Mois lib (calc)],"&lt;="&amp;$E721)))</f>
        <v/>
      </c>
      <c r="Q721" s="19" t="str">
        <f>IF($D721&lt;&gt;1,"",IF($G721="ROKS",SUMIFS(TblApplications[Besoin ROKS RAM (Go)],TblApplications[Cluster ROKS cible],$F721,TblApplications[Action],"À migrer",TblApplications[Déjà incluse ROKS],"Non",TblApplications[Mois prov (calc)],"&lt;="&amp;$E721),SUMIFS(TblApplications[RAM IKS libérable (Go)],TblApplications[Cluster IKS source],$F721,TblApplications[Mois lib (calc)],"&lt;="&amp;$E721)))</f>
        <v/>
      </c>
      <c r="R721" s="19" t="str">
        <f t="shared" si="190"/>
        <v/>
      </c>
      <c r="S721" s="19" t="str">
        <f t="shared" si="191"/>
        <v/>
      </c>
      <c r="T721" s="19" t="str">
        <f t="shared" si="192"/>
        <v/>
      </c>
      <c r="U721" s="19" t="str">
        <f t="shared" si="193"/>
        <v/>
      </c>
      <c r="V721" s="19" t="str">
        <f t="shared" si="194"/>
        <v/>
      </c>
      <c r="W721" s="73" t="str">
        <f t="shared" si="195"/>
        <v/>
      </c>
      <c r="X721" s="19" t="str">
        <f>IF($D721&lt;&gt;1,"",IF($G721="ROKS",$R721,IF($AI721=1,0,MAX($N721,$L721-SUMIFS(TblApplications[CPU IKS libérable (vCPU)],TblApplications[Cluster IKS source],$F721,TblApplications[Action],"À migrer",TblApplications[Mois prov (calc)],"&lt;="&amp;$E721)-SUMIFS(TblApplications[CPU IKS libérable (vCPU)],TblApplications[Cluster IKS source],$F721,TblApplications[Action],"À décommissionner",TblApplications[Mois lib (calc)],"&lt;="&amp;$E721)))))</f>
        <v/>
      </c>
      <c r="Y721" s="19" t="str">
        <f>IF($D721&lt;&gt;1,"",IF($G721="ROKS",$S721,IF($AI721=1,0,MAX($O721,$M721-SUMIFS(TblApplications[RAM IKS libérable (Go)],TblApplications[Cluster IKS source],$F721,TblApplications[Action],"À migrer",TblApplications[Mois prov (calc)],"&lt;="&amp;$E721)-SUMIFS(TblApplications[RAM IKS libérable (Go)],TblApplications[Cluster IKS source],$F721,TblApplications[Action],"À décommissionner",TblApplications[Mois lib (calc)],"&lt;="&amp;$E721)))))</f>
        <v/>
      </c>
      <c r="Z721" s="19" t="str">
        <f t="shared" si="196"/>
        <v/>
      </c>
      <c r="AA721" s="73" t="str">
        <f t="shared" si="197"/>
        <v/>
      </c>
      <c r="AB721" s="19" t="str">
        <f t="shared" si="198"/>
        <v/>
      </c>
      <c r="AC721" s="73" t="str">
        <f t="shared" si="199"/>
        <v/>
      </c>
      <c r="AD721" s="19" t="str">
        <f t="shared" si="200"/>
        <v/>
      </c>
      <c r="AE721" s="19" t="str">
        <f t="shared" si="201"/>
        <v/>
      </c>
      <c r="AF721" s="19" t="str">
        <f>IF($D721&lt;&gt;1,"",IF(INDEX(TblClusters[Environnement],$B721)="","(vide)",INDEX(TblClusters[Environnement],$B721)))</f>
        <v/>
      </c>
      <c r="AG721" s="19" t="str">
        <f t="shared" si="202"/>
        <v/>
      </c>
      <c r="AH721" s="19" t="str">
        <f t="shared" si="203"/>
        <v/>
      </c>
      <c r="AI721" s="19" t="str">
        <f>IF($D721&lt;&gt;1,"",IF(AND($G721="IKS",ISNUMBER(INDEX(TblClusters[Fermeture retenue],$B721))),IF($E721&gt;=INDEX(TblClusters[Fermeture retenue],$B721),1,0),0))</f>
        <v/>
      </c>
    </row>
    <row r="722" spans="1:35" x14ac:dyDescent="0.2">
      <c r="A722" s="19">
        <v>717</v>
      </c>
      <c r="B722" s="19">
        <f t="shared" si="187"/>
        <v>20</v>
      </c>
      <c r="C722" s="19">
        <f t="shared" si="188"/>
        <v>33</v>
      </c>
      <c r="D722" s="19">
        <f>IF($C722&gt;p_horizon,0,IFERROR(IF(AND(INDEX(TblClusters[Cluster],$B722)&lt;&gt;"",ISNUMBER(INDEX(TblClusters[CPU initial (vCPU)],$B722)),ISNUMBER(INDEX(TblClusters[CPU min (vCPU)],$B722)),OR(INDEX(TblClusters[Plateforme],$B722)="IKS",INDEX(TblClusters[Plateforme],$B722)="ROKS")),1,0),0))</f>
        <v>0</v>
      </c>
      <c r="E722" s="72" t="str">
        <f t="shared" si="189"/>
        <v/>
      </c>
      <c r="F722" s="19" t="str">
        <f>IF($D722=1,INDEX(TblClusters[Cluster],$B722),"")</f>
        <v/>
      </c>
      <c r="G722" s="19" t="str">
        <f>IF($D722=1,INDEX(TblClusters[Plateforme],$B722),"")</f>
        <v/>
      </c>
      <c r="H722" s="19" t="str">
        <f>IF($D722=1,INDEX(TblClusters[vCPU par nœud],$B722),"")</f>
        <v/>
      </c>
      <c r="I722" s="19" t="str">
        <f>IF($D722=1,INDEX(TblClusters[RAM par nœud (Go)],$B722),"")</f>
        <v/>
      </c>
      <c r="J722" s="19" t="str">
        <f>IF($D722=1,INDEX(TblClusters[Workers min],$B722),"")</f>
        <v/>
      </c>
      <c r="K722" s="73" t="str">
        <f>IF($D722=1,INDEX(TblClusters[Tarif par nœud],$B722),"")</f>
        <v/>
      </c>
      <c r="L722" s="19" t="str">
        <f>IF($D722=1,INDEX(TblClusters[CPU initial (vCPU)],$B722),"")</f>
        <v/>
      </c>
      <c r="M722" s="19" t="str">
        <f>IF($D722=1,INDEX(TblClusters[RAM initiale (Go)],$B722),"")</f>
        <v/>
      </c>
      <c r="N722" s="19" t="str">
        <f>IF($D722=1,INDEX(TblClusters[CPU min (vCPU)],$B722),"")</f>
        <v/>
      </c>
      <c r="O722" s="19" t="str">
        <f>IF($D722=1,INDEX(TblClusters[RAM min (Go)],$B722),"")</f>
        <v/>
      </c>
      <c r="P722" s="19" t="str">
        <f>IF($D722&lt;&gt;1,"",IF($G722="ROKS",SUMIFS(TblApplications[Besoin ROKS CPU (vCPU)],TblApplications[Cluster ROKS cible],$F722,TblApplications[Action],"À migrer",TblApplications[Déjà incluse ROKS],"Non",TblApplications[Mois prov (calc)],"&lt;="&amp;$E722),SUMIFS(TblApplications[CPU IKS libérable (vCPU)],TblApplications[Cluster IKS source],$F722,TblApplications[Mois lib (calc)],"&lt;="&amp;$E722)))</f>
        <v/>
      </c>
      <c r="Q722" s="19" t="str">
        <f>IF($D722&lt;&gt;1,"",IF($G722="ROKS",SUMIFS(TblApplications[Besoin ROKS RAM (Go)],TblApplications[Cluster ROKS cible],$F722,TblApplications[Action],"À migrer",TblApplications[Déjà incluse ROKS],"Non",TblApplications[Mois prov (calc)],"&lt;="&amp;$E722),SUMIFS(TblApplications[RAM IKS libérable (Go)],TblApplications[Cluster IKS source],$F722,TblApplications[Mois lib (calc)],"&lt;="&amp;$E722)))</f>
        <v/>
      </c>
      <c r="R722" s="19" t="str">
        <f t="shared" si="190"/>
        <v/>
      </c>
      <c r="S722" s="19" t="str">
        <f t="shared" si="191"/>
        <v/>
      </c>
      <c r="T722" s="19" t="str">
        <f t="shared" si="192"/>
        <v/>
      </c>
      <c r="U722" s="19" t="str">
        <f t="shared" si="193"/>
        <v/>
      </c>
      <c r="V722" s="19" t="str">
        <f t="shared" si="194"/>
        <v/>
      </c>
      <c r="W722" s="73" t="str">
        <f t="shared" si="195"/>
        <v/>
      </c>
      <c r="X722" s="19" t="str">
        <f>IF($D722&lt;&gt;1,"",IF($G722="ROKS",$R722,IF($AI722=1,0,MAX($N722,$L722-SUMIFS(TblApplications[CPU IKS libérable (vCPU)],TblApplications[Cluster IKS source],$F722,TblApplications[Action],"À migrer",TblApplications[Mois prov (calc)],"&lt;="&amp;$E722)-SUMIFS(TblApplications[CPU IKS libérable (vCPU)],TblApplications[Cluster IKS source],$F722,TblApplications[Action],"À décommissionner",TblApplications[Mois lib (calc)],"&lt;="&amp;$E722)))))</f>
        <v/>
      </c>
      <c r="Y722" s="19" t="str">
        <f>IF($D722&lt;&gt;1,"",IF($G722="ROKS",$S722,IF($AI722=1,0,MAX($O722,$M722-SUMIFS(TblApplications[RAM IKS libérable (Go)],TblApplications[Cluster IKS source],$F722,TblApplications[Action],"À migrer",TblApplications[Mois prov (calc)],"&lt;="&amp;$E722)-SUMIFS(TblApplications[RAM IKS libérable (Go)],TblApplications[Cluster IKS source],$F722,TblApplications[Action],"À décommissionner",TblApplications[Mois lib (calc)],"&lt;="&amp;$E722)))))</f>
        <v/>
      </c>
      <c r="Z722" s="19" t="str">
        <f t="shared" si="196"/>
        <v/>
      </c>
      <c r="AA722" s="73" t="str">
        <f t="shared" si="197"/>
        <v/>
      </c>
      <c r="AB722" s="19" t="str">
        <f t="shared" si="198"/>
        <v/>
      </c>
      <c r="AC722" s="73" t="str">
        <f t="shared" si="199"/>
        <v/>
      </c>
      <c r="AD722" s="19" t="str">
        <f t="shared" si="200"/>
        <v/>
      </c>
      <c r="AE722" s="19" t="str">
        <f t="shared" si="201"/>
        <v/>
      </c>
      <c r="AF722" s="19" t="str">
        <f>IF($D722&lt;&gt;1,"",IF(INDEX(TblClusters[Environnement],$B722)="","(vide)",INDEX(TblClusters[Environnement],$B722)))</f>
        <v/>
      </c>
      <c r="AG722" s="19" t="str">
        <f t="shared" si="202"/>
        <v/>
      </c>
      <c r="AH722" s="19" t="str">
        <f t="shared" si="203"/>
        <v/>
      </c>
      <c r="AI722" s="19" t="str">
        <f>IF($D722&lt;&gt;1,"",IF(AND($G722="IKS",ISNUMBER(INDEX(TblClusters[Fermeture retenue],$B722))),IF($E722&gt;=INDEX(TblClusters[Fermeture retenue],$B722),1,0),0))</f>
        <v/>
      </c>
    </row>
    <row r="723" spans="1:35" x14ac:dyDescent="0.2">
      <c r="A723" s="19">
        <v>718</v>
      </c>
      <c r="B723" s="19">
        <f t="shared" si="187"/>
        <v>20</v>
      </c>
      <c r="C723" s="19">
        <f t="shared" si="188"/>
        <v>34</v>
      </c>
      <c r="D723" s="19">
        <f>IF($C723&gt;p_horizon,0,IFERROR(IF(AND(INDEX(TblClusters[Cluster],$B723)&lt;&gt;"",ISNUMBER(INDEX(TblClusters[CPU initial (vCPU)],$B723)),ISNUMBER(INDEX(TblClusters[CPU min (vCPU)],$B723)),OR(INDEX(TblClusters[Plateforme],$B723)="IKS",INDEX(TblClusters[Plateforme],$B723)="ROKS")),1,0),0))</f>
        <v>0</v>
      </c>
      <c r="E723" s="72" t="str">
        <f t="shared" si="189"/>
        <v/>
      </c>
      <c r="F723" s="19" t="str">
        <f>IF($D723=1,INDEX(TblClusters[Cluster],$B723),"")</f>
        <v/>
      </c>
      <c r="G723" s="19" t="str">
        <f>IF($D723=1,INDEX(TblClusters[Plateforme],$B723),"")</f>
        <v/>
      </c>
      <c r="H723" s="19" t="str">
        <f>IF($D723=1,INDEX(TblClusters[vCPU par nœud],$B723),"")</f>
        <v/>
      </c>
      <c r="I723" s="19" t="str">
        <f>IF($D723=1,INDEX(TblClusters[RAM par nœud (Go)],$B723),"")</f>
        <v/>
      </c>
      <c r="J723" s="19" t="str">
        <f>IF($D723=1,INDEX(TblClusters[Workers min],$B723),"")</f>
        <v/>
      </c>
      <c r="K723" s="73" t="str">
        <f>IF($D723=1,INDEX(TblClusters[Tarif par nœud],$B723),"")</f>
        <v/>
      </c>
      <c r="L723" s="19" t="str">
        <f>IF($D723=1,INDEX(TblClusters[CPU initial (vCPU)],$B723),"")</f>
        <v/>
      </c>
      <c r="M723" s="19" t="str">
        <f>IF($D723=1,INDEX(TblClusters[RAM initiale (Go)],$B723),"")</f>
        <v/>
      </c>
      <c r="N723" s="19" t="str">
        <f>IF($D723=1,INDEX(TblClusters[CPU min (vCPU)],$B723),"")</f>
        <v/>
      </c>
      <c r="O723" s="19" t="str">
        <f>IF($D723=1,INDEX(TblClusters[RAM min (Go)],$B723),"")</f>
        <v/>
      </c>
      <c r="P723" s="19" t="str">
        <f>IF($D723&lt;&gt;1,"",IF($G723="ROKS",SUMIFS(TblApplications[Besoin ROKS CPU (vCPU)],TblApplications[Cluster ROKS cible],$F723,TblApplications[Action],"À migrer",TblApplications[Déjà incluse ROKS],"Non",TblApplications[Mois prov (calc)],"&lt;="&amp;$E723),SUMIFS(TblApplications[CPU IKS libérable (vCPU)],TblApplications[Cluster IKS source],$F723,TblApplications[Mois lib (calc)],"&lt;="&amp;$E723)))</f>
        <v/>
      </c>
      <c r="Q723" s="19" t="str">
        <f>IF($D723&lt;&gt;1,"",IF($G723="ROKS",SUMIFS(TblApplications[Besoin ROKS RAM (Go)],TblApplications[Cluster ROKS cible],$F723,TblApplications[Action],"À migrer",TblApplications[Déjà incluse ROKS],"Non",TblApplications[Mois prov (calc)],"&lt;="&amp;$E723),SUMIFS(TblApplications[RAM IKS libérable (Go)],TblApplications[Cluster IKS source],$F723,TblApplications[Mois lib (calc)],"&lt;="&amp;$E723)))</f>
        <v/>
      </c>
      <c r="R723" s="19" t="str">
        <f t="shared" si="190"/>
        <v/>
      </c>
      <c r="S723" s="19" t="str">
        <f t="shared" si="191"/>
        <v/>
      </c>
      <c r="T723" s="19" t="str">
        <f t="shared" si="192"/>
        <v/>
      </c>
      <c r="U723" s="19" t="str">
        <f t="shared" si="193"/>
        <v/>
      </c>
      <c r="V723" s="19" t="str">
        <f t="shared" si="194"/>
        <v/>
      </c>
      <c r="W723" s="73" t="str">
        <f t="shared" si="195"/>
        <v/>
      </c>
      <c r="X723" s="19" t="str">
        <f>IF($D723&lt;&gt;1,"",IF($G723="ROKS",$R723,IF($AI723=1,0,MAX($N723,$L723-SUMIFS(TblApplications[CPU IKS libérable (vCPU)],TblApplications[Cluster IKS source],$F723,TblApplications[Action],"À migrer",TblApplications[Mois prov (calc)],"&lt;="&amp;$E723)-SUMIFS(TblApplications[CPU IKS libérable (vCPU)],TblApplications[Cluster IKS source],$F723,TblApplications[Action],"À décommissionner",TblApplications[Mois lib (calc)],"&lt;="&amp;$E723)))))</f>
        <v/>
      </c>
      <c r="Y723" s="19" t="str">
        <f>IF($D723&lt;&gt;1,"",IF($G723="ROKS",$S723,IF($AI723=1,0,MAX($O723,$M723-SUMIFS(TblApplications[RAM IKS libérable (Go)],TblApplications[Cluster IKS source],$F723,TblApplications[Action],"À migrer",TblApplications[Mois prov (calc)],"&lt;="&amp;$E723)-SUMIFS(TblApplications[RAM IKS libérable (Go)],TblApplications[Cluster IKS source],$F723,TblApplications[Action],"À décommissionner",TblApplications[Mois lib (calc)],"&lt;="&amp;$E723)))))</f>
        <v/>
      </c>
      <c r="Z723" s="19" t="str">
        <f t="shared" si="196"/>
        <v/>
      </c>
      <c r="AA723" s="73" t="str">
        <f t="shared" si="197"/>
        <v/>
      </c>
      <c r="AB723" s="19" t="str">
        <f t="shared" si="198"/>
        <v/>
      </c>
      <c r="AC723" s="73" t="str">
        <f t="shared" si="199"/>
        <v/>
      </c>
      <c r="AD723" s="19" t="str">
        <f t="shared" si="200"/>
        <v/>
      </c>
      <c r="AE723" s="19" t="str">
        <f t="shared" si="201"/>
        <v/>
      </c>
      <c r="AF723" s="19" t="str">
        <f>IF($D723&lt;&gt;1,"",IF(INDEX(TblClusters[Environnement],$B723)="","(vide)",INDEX(TblClusters[Environnement],$B723)))</f>
        <v/>
      </c>
      <c r="AG723" s="19" t="str">
        <f t="shared" si="202"/>
        <v/>
      </c>
      <c r="AH723" s="19" t="str">
        <f t="shared" si="203"/>
        <v/>
      </c>
      <c r="AI723" s="19" t="str">
        <f>IF($D723&lt;&gt;1,"",IF(AND($G723="IKS",ISNUMBER(INDEX(TblClusters[Fermeture retenue],$B723))),IF($E723&gt;=INDEX(TblClusters[Fermeture retenue],$B723),1,0),0))</f>
        <v/>
      </c>
    </row>
    <row r="724" spans="1:35" x14ac:dyDescent="0.2">
      <c r="A724" s="19">
        <v>719</v>
      </c>
      <c r="B724" s="19">
        <f t="shared" si="187"/>
        <v>20</v>
      </c>
      <c r="C724" s="19">
        <f t="shared" si="188"/>
        <v>35</v>
      </c>
      <c r="D724" s="19">
        <f>IF($C724&gt;p_horizon,0,IFERROR(IF(AND(INDEX(TblClusters[Cluster],$B724)&lt;&gt;"",ISNUMBER(INDEX(TblClusters[CPU initial (vCPU)],$B724)),ISNUMBER(INDEX(TblClusters[CPU min (vCPU)],$B724)),OR(INDEX(TblClusters[Plateforme],$B724)="IKS",INDEX(TblClusters[Plateforme],$B724)="ROKS")),1,0),0))</f>
        <v>0</v>
      </c>
      <c r="E724" s="72" t="str">
        <f t="shared" si="189"/>
        <v/>
      </c>
      <c r="F724" s="19" t="str">
        <f>IF($D724=1,INDEX(TblClusters[Cluster],$B724),"")</f>
        <v/>
      </c>
      <c r="G724" s="19" t="str">
        <f>IF($D724=1,INDEX(TblClusters[Plateforme],$B724),"")</f>
        <v/>
      </c>
      <c r="H724" s="19" t="str">
        <f>IF($D724=1,INDEX(TblClusters[vCPU par nœud],$B724),"")</f>
        <v/>
      </c>
      <c r="I724" s="19" t="str">
        <f>IF($D724=1,INDEX(TblClusters[RAM par nœud (Go)],$B724),"")</f>
        <v/>
      </c>
      <c r="J724" s="19" t="str">
        <f>IF($D724=1,INDEX(TblClusters[Workers min],$B724),"")</f>
        <v/>
      </c>
      <c r="K724" s="73" t="str">
        <f>IF($D724=1,INDEX(TblClusters[Tarif par nœud],$B724),"")</f>
        <v/>
      </c>
      <c r="L724" s="19" t="str">
        <f>IF($D724=1,INDEX(TblClusters[CPU initial (vCPU)],$B724),"")</f>
        <v/>
      </c>
      <c r="M724" s="19" t="str">
        <f>IF($D724=1,INDEX(TblClusters[RAM initiale (Go)],$B724),"")</f>
        <v/>
      </c>
      <c r="N724" s="19" t="str">
        <f>IF($D724=1,INDEX(TblClusters[CPU min (vCPU)],$B724),"")</f>
        <v/>
      </c>
      <c r="O724" s="19" t="str">
        <f>IF($D724=1,INDEX(TblClusters[RAM min (Go)],$B724),"")</f>
        <v/>
      </c>
      <c r="P724" s="19" t="str">
        <f>IF($D724&lt;&gt;1,"",IF($G724="ROKS",SUMIFS(TblApplications[Besoin ROKS CPU (vCPU)],TblApplications[Cluster ROKS cible],$F724,TblApplications[Action],"À migrer",TblApplications[Déjà incluse ROKS],"Non",TblApplications[Mois prov (calc)],"&lt;="&amp;$E724),SUMIFS(TblApplications[CPU IKS libérable (vCPU)],TblApplications[Cluster IKS source],$F724,TblApplications[Mois lib (calc)],"&lt;="&amp;$E724)))</f>
        <v/>
      </c>
      <c r="Q724" s="19" t="str">
        <f>IF($D724&lt;&gt;1,"",IF($G724="ROKS",SUMIFS(TblApplications[Besoin ROKS RAM (Go)],TblApplications[Cluster ROKS cible],$F724,TblApplications[Action],"À migrer",TblApplications[Déjà incluse ROKS],"Non",TblApplications[Mois prov (calc)],"&lt;="&amp;$E724),SUMIFS(TblApplications[RAM IKS libérable (Go)],TblApplications[Cluster IKS source],$F724,TblApplications[Mois lib (calc)],"&lt;="&amp;$E724)))</f>
        <v/>
      </c>
      <c r="R724" s="19" t="str">
        <f t="shared" si="190"/>
        <v/>
      </c>
      <c r="S724" s="19" t="str">
        <f t="shared" si="191"/>
        <v/>
      </c>
      <c r="T724" s="19" t="str">
        <f t="shared" si="192"/>
        <v/>
      </c>
      <c r="U724" s="19" t="str">
        <f t="shared" si="193"/>
        <v/>
      </c>
      <c r="V724" s="19" t="str">
        <f t="shared" si="194"/>
        <v/>
      </c>
      <c r="W724" s="73" t="str">
        <f t="shared" si="195"/>
        <v/>
      </c>
      <c r="X724" s="19" t="str">
        <f>IF($D724&lt;&gt;1,"",IF($G724="ROKS",$R724,IF($AI724=1,0,MAX($N724,$L724-SUMIFS(TblApplications[CPU IKS libérable (vCPU)],TblApplications[Cluster IKS source],$F724,TblApplications[Action],"À migrer",TblApplications[Mois prov (calc)],"&lt;="&amp;$E724)-SUMIFS(TblApplications[CPU IKS libérable (vCPU)],TblApplications[Cluster IKS source],$F724,TblApplications[Action],"À décommissionner",TblApplications[Mois lib (calc)],"&lt;="&amp;$E724)))))</f>
        <v/>
      </c>
      <c r="Y724" s="19" t="str">
        <f>IF($D724&lt;&gt;1,"",IF($G724="ROKS",$S724,IF($AI724=1,0,MAX($O724,$M724-SUMIFS(TblApplications[RAM IKS libérable (Go)],TblApplications[Cluster IKS source],$F724,TblApplications[Action],"À migrer",TblApplications[Mois prov (calc)],"&lt;="&amp;$E724)-SUMIFS(TblApplications[RAM IKS libérable (Go)],TblApplications[Cluster IKS source],$F724,TblApplications[Action],"À décommissionner",TblApplications[Mois lib (calc)],"&lt;="&amp;$E724)))))</f>
        <v/>
      </c>
      <c r="Z724" s="19" t="str">
        <f t="shared" si="196"/>
        <v/>
      </c>
      <c r="AA724" s="73" t="str">
        <f t="shared" si="197"/>
        <v/>
      </c>
      <c r="AB724" s="19" t="str">
        <f t="shared" si="198"/>
        <v/>
      </c>
      <c r="AC724" s="73" t="str">
        <f t="shared" si="199"/>
        <v/>
      </c>
      <c r="AD724" s="19" t="str">
        <f t="shared" si="200"/>
        <v/>
      </c>
      <c r="AE724" s="19" t="str">
        <f t="shared" si="201"/>
        <v/>
      </c>
      <c r="AF724" s="19" t="str">
        <f>IF($D724&lt;&gt;1,"",IF(INDEX(TblClusters[Environnement],$B724)="","(vide)",INDEX(TblClusters[Environnement],$B724)))</f>
        <v/>
      </c>
      <c r="AG724" s="19" t="str">
        <f t="shared" si="202"/>
        <v/>
      </c>
      <c r="AH724" s="19" t="str">
        <f t="shared" si="203"/>
        <v/>
      </c>
      <c r="AI724" s="19" t="str">
        <f>IF($D724&lt;&gt;1,"",IF(AND($G724="IKS",ISNUMBER(INDEX(TblClusters[Fermeture retenue],$B724))),IF($E724&gt;=INDEX(TblClusters[Fermeture retenue],$B724),1,0),0))</f>
        <v/>
      </c>
    </row>
    <row r="725" spans="1:35" x14ac:dyDescent="0.2">
      <c r="A725" s="19">
        <v>720</v>
      </c>
      <c r="B725" s="19">
        <f t="shared" si="187"/>
        <v>20</v>
      </c>
      <c r="C725" s="19">
        <f t="shared" si="188"/>
        <v>36</v>
      </c>
      <c r="D725" s="19">
        <f>IF($C725&gt;p_horizon,0,IFERROR(IF(AND(INDEX(TblClusters[Cluster],$B725)&lt;&gt;"",ISNUMBER(INDEX(TblClusters[CPU initial (vCPU)],$B725)),ISNUMBER(INDEX(TblClusters[CPU min (vCPU)],$B725)),OR(INDEX(TblClusters[Plateforme],$B725)="IKS",INDEX(TblClusters[Plateforme],$B725)="ROKS")),1,0),0))</f>
        <v>0</v>
      </c>
      <c r="E725" s="72" t="str">
        <f t="shared" si="189"/>
        <v/>
      </c>
      <c r="F725" s="19" t="str">
        <f>IF($D725=1,INDEX(TblClusters[Cluster],$B725),"")</f>
        <v/>
      </c>
      <c r="G725" s="19" t="str">
        <f>IF($D725=1,INDEX(TblClusters[Plateforme],$B725),"")</f>
        <v/>
      </c>
      <c r="H725" s="19" t="str">
        <f>IF($D725=1,INDEX(TblClusters[vCPU par nœud],$B725),"")</f>
        <v/>
      </c>
      <c r="I725" s="19" t="str">
        <f>IF($D725=1,INDEX(TblClusters[RAM par nœud (Go)],$B725),"")</f>
        <v/>
      </c>
      <c r="J725" s="19" t="str">
        <f>IF($D725=1,INDEX(TblClusters[Workers min],$B725),"")</f>
        <v/>
      </c>
      <c r="K725" s="73" t="str">
        <f>IF($D725=1,INDEX(TblClusters[Tarif par nœud],$B725),"")</f>
        <v/>
      </c>
      <c r="L725" s="19" t="str">
        <f>IF($D725=1,INDEX(TblClusters[CPU initial (vCPU)],$B725),"")</f>
        <v/>
      </c>
      <c r="M725" s="19" t="str">
        <f>IF($D725=1,INDEX(TblClusters[RAM initiale (Go)],$B725),"")</f>
        <v/>
      </c>
      <c r="N725" s="19" t="str">
        <f>IF($D725=1,INDEX(TblClusters[CPU min (vCPU)],$B725),"")</f>
        <v/>
      </c>
      <c r="O725" s="19" t="str">
        <f>IF($D725=1,INDEX(TblClusters[RAM min (Go)],$B725),"")</f>
        <v/>
      </c>
      <c r="P725" s="19" t="str">
        <f>IF($D725&lt;&gt;1,"",IF($G725="ROKS",SUMIFS(TblApplications[Besoin ROKS CPU (vCPU)],TblApplications[Cluster ROKS cible],$F725,TblApplications[Action],"À migrer",TblApplications[Déjà incluse ROKS],"Non",TblApplications[Mois prov (calc)],"&lt;="&amp;$E725),SUMIFS(TblApplications[CPU IKS libérable (vCPU)],TblApplications[Cluster IKS source],$F725,TblApplications[Mois lib (calc)],"&lt;="&amp;$E725)))</f>
        <v/>
      </c>
      <c r="Q725" s="19" t="str">
        <f>IF($D725&lt;&gt;1,"",IF($G725="ROKS",SUMIFS(TblApplications[Besoin ROKS RAM (Go)],TblApplications[Cluster ROKS cible],$F725,TblApplications[Action],"À migrer",TblApplications[Déjà incluse ROKS],"Non",TblApplications[Mois prov (calc)],"&lt;="&amp;$E725),SUMIFS(TblApplications[RAM IKS libérable (Go)],TblApplications[Cluster IKS source],$F725,TblApplications[Mois lib (calc)],"&lt;="&amp;$E725)))</f>
        <v/>
      </c>
      <c r="R725" s="19" t="str">
        <f t="shared" si="190"/>
        <v/>
      </c>
      <c r="S725" s="19" t="str">
        <f t="shared" si="191"/>
        <v/>
      </c>
      <c r="T725" s="19" t="str">
        <f t="shared" si="192"/>
        <v/>
      </c>
      <c r="U725" s="19" t="str">
        <f t="shared" si="193"/>
        <v/>
      </c>
      <c r="V725" s="19" t="str">
        <f t="shared" si="194"/>
        <v/>
      </c>
      <c r="W725" s="73" t="str">
        <f t="shared" si="195"/>
        <v/>
      </c>
      <c r="X725" s="19" t="str">
        <f>IF($D725&lt;&gt;1,"",IF($G725="ROKS",$R725,IF($AI725=1,0,MAX($N725,$L725-SUMIFS(TblApplications[CPU IKS libérable (vCPU)],TblApplications[Cluster IKS source],$F725,TblApplications[Action],"À migrer",TblApplications[Mois prov (calc)],"&lt;="&amp;$E725)-SUMIFS(TblApplications[CPU IKS libérable (vCPU)],TblApplications[Cluster IKS source],$F725,TblApplications[Action],"À décommissionner",TblApplications[Mois lib (calc)],"&lt;="&amp;$E725)))))</f>
        <v/>
      </c>
      <c r="Y725" s="19" t="str">
        <f>IF($D725&lt;&gt;1,"",IF($G725="ROKS",$S725,IF($AI725=1,0,MAX($O725,$M725-SUMIFS(TblApplications[RAM IKS libérable (Go)],TblApplications[Cluster IKS source],$F725,TblApplications[Action],"À migrer",TblApplications[Mois prov (calc)],"&lt;="&amp;$E725)-SUMIFS(TblApplications[RAM IKS libérable (Go)],TblApplications[Cluster IKS source],$F725,TblApplications[Action],"À décommissionner",TblApplications[Mois lib (calc)],"&lt;="&amp;$E725)))))</f>
        <v/>
      </c>
      <c r="Z725" s="19" t="str">
        <f t="shared" si="196"/>
        <v/>
      </c>
      <c r="AA725" s="73" t="str">
        <f t="shared" si="197"/>
        <v/>
      </c>
      <c r="AB725" s="19" t="str">
        <f t="shared" si="198"/>
        <v/>
      </c>
      <c r="AC725" s="73" t="str">
        <f t="shared" si="199"/>
        <v/>
      </c>
      <c r="AD725" s="19" t="str">
        <f t="shared" si="200"/>
        <v/>
      </c>
      <c r="AE725" s="19" t="str">
        <f t="shared" si="201"/>
        <v/>
      </c>
      <c r="AF725" s="19" t="str">
        <f>IF($D725&lt;&gt;1,"",IF(INDEX(TblClusters[Environnement],$B725)="","(vide)",INDEX(TblClusters[Environnement],$B725)))</f>
        <v/>
      </c>
      <c r="AG725" s="19" t="str">
        <f t="shared" si="202"/>
        <v/>
      </c>
      <c r="AH725" s="19" t="str">
        <f t="shared" si="203"/>
        <v/>
      </c>
      <c r="AI725" s="19" t="str">
        <f>IF($D725&lt;&gt;1,"",IF(AND($G725="IKS",ISNUMBER(INDEX(TblClusters[Fermeture retenue],$B725))),IF($E725&gt;=INDEX(TblClusters[Fermeture retenue],$B725),1,0),0))</f>
        <v/>
      </c>
    </row>
    <row r="726" spans="1:35" x14ac:dyDescent="0.2">
      <c r="A726" s="19">
        <v>721</v>
      </c>
      <c r="B726" s="19">
        <f t="shared" si="187"/>
        <v>21</v>
      </c>
      <c r="C726" s="19">
        <f t="shared" si="188"/>
        <v>1</v>
      </c>
      <c r="D726" s="19">
        <f>IF($C726&gt;p_horizon,0,IFERROR(IF(AND(INDEX(TblClusters[Cluster],$B726)&lt;&gt;"",ISNUMBER(INDEX(TblClusters[CPU initial (vCPU)],$B726)),ISNUMBER(INDEX(TblClusters[CPU min (vCPU)],$B726)),OR(INDEX(TblClusters[Plateforme],$B726)="IKS",INDEX(TblClusters[Plateforme],$B726)="ROKS")),1,0),0))</f>
        <v>0</v>
      </c>
      <c r="E726" s="72" t="str">
        <f t="shared" si="189"/>
        <v/>
      </c>
      <c r="F726" s="19" t="str">
        <f>IF($D726=1,INDEX(TblClusters[Cluster],$B726),"")</f>
        <v/>
      </c>
      <c r="G726" s="19" t="str">
        <f>IF($D726=1,INDEX(TblClusters[Plateforme],$B726),"")</f>
        <v/>
      </c>
      <c r="H726" s="19" t="str">
        <f>IF($D726=1,INDEX(TblClusters[vCPU par nœud],$B726),"")</f>
        <v/>
      </c>
      <c r="I726" s="19" t="str">
        <f>IF($D726=1,INDEX(TblClusters[RAM par nœud (Go)],$B726),"")</f>
        <v/>
      </c>
      <c r="J726" s="19" t="str">
        <f>IF($D726=1,INDEX(TblClusters[Workers min],$B726),"")</f>
        <v/>
      </c>
      <c r="K726" s="73" t="str">
        <f>IF($D726=1,INDEX(TblClusters[Tarif par nœud],$B726),"")</f>
        <v/>
      </c>
      <c r="L726" s="19" t="str">
        <f>IF($D726=1,INDEX(TblClusters[CPU initial (vCPU)],$B726),"")</f>
        <v/>
      </c>
      <c r="M726" s="19" t="str">
        <f>IF($D726=1,INDEX(TblClusters[RAM initiale (Go)],$B726),"")</f>
        <v/>
      </c>
      <c r="N726" s="19" t="str">
        <f>IF($D726=1,INDEX(TblClusters[CPU min (vCPU)],$B726),"")</f>
        <v/>
      </c>
      <c r="O726" s="19" t="str">
        <f>IF($D726=1,INDEX(TblClusters[RAM min (Go)],$B726),"")</f>
        <v/>
      </c>
      <c r="P726" s="19" t="str">
        <f>IF($D726&lt;&gt;1,"",IF($G726="ROKS",SUMIFS(TblApplications[Besoin ROKS CPU (vCPU)],TblApplications[Cluster ROKS cible],$F726,TblApplications[Action],"À migrer",TblApplications[Déjà incluse ROKS],"Non",TblApplications[Mois prov (calc)],"&lt;="&amp;$E726),SUMIFS(TblApplications[CPU IKS libérable (vCPU)],TblApplications[Cluster IKS source],$F726,TblApplications[Mois lib (calc)],"&lt;="&amp;$E726)))</f>
        <v/>
      </c>
      <c r="Q726" s="19" t="str">
        <f>IF($D726&lt;&gt;1,"",IF($G726="ROKS",SUMIFS(TblApplications[Besoin ROKS RAM (Go)],TblApplications[Cluster ROKS cible],$F726,TblApplications[Action],"À migrer",TblApplications[Déjà incluse ROKS],"Non",TblApplications[Mois prov (calc)],"&lt;="&amp;$E726),SUMIFS(TblApplications[RAM IKS libérable (Go)],TblApplications[Cluster IKS source],$F726,TblApplications[Mois lib (calc)],"&lt;="&amp;$E726)))</f>
        <v/>
      </c>
      <c r="R726" s="19" t="str">
        <f t="shared" si="190"/>
        <v/>
      </c>
      <c r="S726" s="19" t="str">
        <f t="shared" si="191"/>
        <v/>
      </c>
      <c r="T726" s="19" t="str">
        <f t="shared" si="192"/>
        <v/>
      </c>
      <c r="U726" s="19" t="str">
        <f t="shared" si="193"/>
        <v/>
      </c>
      <c r="V726" s="19" t="str">
        <f t="shared" si="194"/>
        <v/>
      </c>
      <c r="W726" s="73" t="str">
        <f t="shared" si="195"/>
        <v/>
      </c>
      <c r="X726" s="19" t="str">
        <f>IF($D726&lt;&gt;1,"",IF($G726="ROKS",$R726,IF($AI726=1,0,MAX($N726,$L726-SUMIFS(TblApplications[CPU IKS libérable (vCPU)],TblApplications[Cluster IKS source],$F726,TblApplications[Action],"À migrer",TblApplications[Mois prov (calc)],"&lt;="&amp;$E726)-SUMIFS(TblApplications[CPU IKS libérable (vCPU)],TblApplications[Cluster IKS source],$F726,TblApplications[Action],"À décommissionner",TblApplications[Mois lib (calc)],"&lt;="&amp;$E726)))))</f>
        <v/>
      </c>
      <c r="Y726" s="19" t="str">
        <f>IF($D726&lt;&gt;1,"",IF($G726="ROKS",$S726,IF($AI726=1,0,MAX($O726,$M726-SUMIFS(TblApplications[RAM IKS libérable (Go)],TblApplications[Cluster IKS source],$F726,TblApplications[Action],"À migrer",TblApplications[Mois prov (calc)],"&lt;="&amp;$E726)-SUMIFS(TblApplications[RAM IKS libérable (Go)],TblApplications[Cluster IKS source],$F726,TblApplications[Action],"À décommissionner",TblApplications[Mois lib (calc)],"&lt;="&amp;$E726)))))</f>
        <v/>
      </c>
      <c r="Z726" s="19" t="str">
        <f t="shared" si="196"/>
        <v/>
      </c>
      <c r="AA726" s="73" t="str">
        <f t="shared" si="197"/>
        <v/>
      </c>
      <c r="AB726" s="19" t="str">
        <f t="shared" si="198"/>
        <v/>
      </c>
      <c r="AC726" s="73" t="str">
        <f t="shared" si="199"/>
        <v/>
      </c>
      <c r="AD726" s="19" t="str">
        <f t="shared" si="200"/>
        <v/>
      </c>
      <c r="AE726" s="19" t="str">
        <f t="shared" si="201"/>
        <v/>
      </c>
      <c r="AF726" s="19" t="str">
        <f>IF($D726&lt;&gt;1,"",IF(INDEX(TblClusters[Environnement],$B726)="","(vide)",INDEX(TblClusters[Environnement],$B726)))</f>
        <v/>
      </c>
      <c r="AG726" s="19" t="str">
        <f t="shared" si="202"/>
        <v/>
      </c>
      <c r="AH726" s="19" t="str">
        <f t="shared" si="203"/>
        <v/>
      </c>
      <c r="AI726" s="19" t="str">
        <f>IF($D726&lt;&gt;1,"",IF(AND($G726="IKS",ISNUMBER(INDEX(TblClusters[Fermeture retenue],$B726))),IF($E726&gt;=INDEX(TblClusters[Fermeture retenue],$B726),1,0),0))</f>
        <v/>
      </c>
    </row>
    <row r="727" spans="1:35" x14ac:dyDescent="0.2">
      <c r="A727" s="19">
        <v>722</v>
      </c>
      <c r="B727" s="19">
        <f t="shared" si="187"/>
        <v>21</v>
      </c>
      <c r="C727" s="19">
        <f t="shared" si="188"/>
        <v>2</v>
      </c>
      <c r="D727" s="19">
        <f>IF($C727&gt;p_horizon,0,IFERROR(IF(AND(INDEX(TblClusters[Cluster],$B727)&lt;&gt;"",ISNUMBER(INDEX(TblClusters[CPU initial (vCPU)],$B727)),ISNUMBER(INDEX(TblClusters[CPU min (vCPU)],$B727)),OR(INDEX(TblClusters[Plateforme],$B727)="IKS",INDEX(TblClusters[Plateforme],$B727)="ROKS")),1,0),0))</f>
        <v>0</v>
      </c>
      <c r="E727" s="72" t="str">
        <f t="shared" si="189"/>
        <v/>
      </c>
      <c r="F727" s="19" t="str">
        <f>IF($D727=1,INDEX(TblClusters[Cluster],$B727),"")</f>
        <v/>
      </c>
      <c r="G727" s="19" t="str">
        <f>IF($D727=1,INDEX(TblClusters[Plateforme],$B727),"")</f>
        <v/>
      </c>
      <c r="H727" s="19" t="str">
        <f>IF($D727=1,INDEX(TblClusters[vCPU par nœud],$B727),"")</f>
        <v/>
      </c>
      <c r="I727" s="19" t="str">
        <f>IF($D727=1,INDEX(TblClusters[RAM par nœud (Go)],$B727),"")</f>
        <v/>
      </c>
      <c r="J727" s="19" t="str">
        <f>IF($D727=1,INDEX(TblClusters[Workers min],$B727),"")</f>
        <v/>
      </c>
      <c r="K727" s="73" t="str">
        <f>IF($D727=1,INDEX(TblClusters[Tarif par nœud],$B727),"")</f>
        <v/>
      </c>
      <c r="L727" s="19" t="str">
        <f>IF($D727=1,INDEX(TblClusters[CPU initial (vCPU)],$B727),"")</f>
        <v/>
      </c>
      <c r="M727" s="19" t="str">
        <f>IF($D727=1,INDEX(TblClusters[RAM initiale (Go)],$B727),"")</f>
        <v/>
      </c>
      <c r="N727" s="19" t="str">
        <f>IF($D727=1,INDEX(TblClusters[CPU min (vCPU)],$B727),"")</f>
        <v/>
      </c>
      <c r="O727" s="19" t="str">
        <f>IF($D727=1,INDEX(TblClusters[RAM min (Go)],$B727),"")</f>
        <v/>
      </c>
      <c r="P727" s="19" t="str">
        <f>IF($D727&lt;&gt;1,"",IF($G727="ROKS",SUMIFS(TblApplications[Besoin ROKS CPU (vCPU)],TblApplications[Cluster ROKS cible],$F727,TblApplications[Action],"À migrer",TblApplications[Déjà incluse ROKS],"Non",TblApplications[Mois prov (calc)],"&lt;="&amp;$E727),SUMIFS(TblApplications[CPU IKS libérable (vCPU)],TblApplications[Cluster IKS source],$F727,TblApplications[Mois lib (calc)],"&lt;="&amp;$E727)))</f>
        <v/>
      </c>
      <c r="Q727" s="19" t="str">
        <f>IF($D727&lt;&gt;1,"",IF($G727="ROKS",SUMIFS(TblApplications[Besoin ROKS RAM (Go)],TblApplications[Cluster ROKS cible],$F727,TblApplications[Action],"À migrer",TblApplications[Déjà incluse ROKS],"Non",TblApplications[Mois prov (calc)],"&lt;="&amp;$E727),SUMIFS(TblApplications[RAM IKS libérable (Go)],TblApplications[Cluster IKS source],$F727,TblApplications[Mois lib (calc)],"&lt;="&amp;$E727)))</f>
        <v/>
      </c>
      <c r="R727" s="19" t="str">
        <f t="shared" si="190"/>
        <v/>
      </c>
      <c r="S727" s="19" t="str">
        <f t="shared" si="191"/>
        <v/>
      </c>
      <c r="T727" s="19" t="str">
        <f t="shared" si="192"/>
        <v/>
      </c>
      <c r="U727" s="19" t="str">
        <f t="shared" si="193"/>
        <v/>
      </c>
      <c r="V727" s="19" t="str">
        <f t="shared" si="194"/>
        <v/>
      </c>
      <c r="W727" s="73" t="str">
        <f t="shared" si="195"/>
        <v/>
      </c>
      <c r="X727" s="19" t="str">
        <f>IF($D727&lt;&gt;1,"",IF($G727="ROKS",$R727,IF($AI727=1,0,MAX($N727,$L727-SUMIFS(TblApplications[CPU IKS libérable (vCPU)],TblApplications[Cluster IKS source],$F727,TblApplications[Action],"À migrer",TblApplications[Mois prov (calc)],"&lt;="&amp;$E727)-SUMIFS(TblApplications[CPU IKS libérable (vCPU)],TblApplications[Cluster IKS source],$F727,TblApplications[Action],"À décommissionner",TblApplications[Mois lib (calc)],"&lt;="&amp;$E727)))))</f>
        <v/>
      </c>
      <c r="Y727" s="19" t="str">
        <f>IF($D727&lt;&gt;1,"",IF($G727="ROKS",$S727,IF($AI727=1,0,MAX($O727,$M727-SUMIFS(TblApplications[RAM IKS libérable (Go)],TblApplications[Cluster IKS source],$F727,TblApplications[Action],"À migrer",TblApplications[Mois prov (calc)],"&lt;="&amp;$E727)-SUMIFS(TblApplications[RAM IKS libérable (Go)],TblApplications[Cluster IKS source],$F727,TblApplications[Action],"À décommissionner",TblApplications[Mois lib (calc)],"&lt;="&amp;$E727)))))</f>
        <v/>
      </c>
      <c r="Z727" s="19" t="str">
        <f t="shared" si="196"/>
        <v/>
      </c>
      <c r="AA727" s="73" t="str">
        <f t="shared" si="197"/>
        <v/>
      </c>
      <c r="AB727" s="19" t="str">
        <f t="shared" si="198"/>
        <v/>
      </c>
      <c r="AC727" s="73" t="str">
        <f t="shared" si="199"/>
        <v/>
      </c>
      <c r="AD727" s="19" t="str">
        <f t="shared" si="200"/>
        <v/>
      </c>
      <c r="AE727" s="19" t="str">
        <f t="shared" si="201"/>
        <v/>
      </c>
      <c r="AF727" s="19" t="str">
        <f>IF($D727&lt;&gt;1,"",IF(INDEX(TblClusters[Environnement],$B727)="","(vide)",INDEX(TblClusters[Environnement],$B727)))</f>
        <v/>
      </c>
      <c r="AG727" s="19" t="str">
        <f t="shared" si="202"/>
        <v/>
      </c>
      <c r="AH727" s="19" t="str">
        <f t="shared" si="203"/>
        <v/>
      </c>
      <c r="AI727" s="19" t="str">
        <f>IF($D727&lt;&gt;1,"",IF(AND($G727="IKS",ISNUMBER(INDEX(TblClusters[Fermeture retenue],$B727))),IF($E727&gt;=INDEX(TblClusters[Fermeture retenue],$B727),1,0),0))</f>
        <v/>
      </c>
    </row>
    <row r="728" spans="1:35" x14ac:dyDescent="0.2">
      <c r="A728" s="19">
        <v>723</v>
      </c>
      <c r="B728" s="19">
        <f t="shared" si="187"/>
        <v>21</v>
      </c>
      <c r="C728" s="19">
        <f t="shared" si="188"/>
        <v>3</v>
      </c>
      <c r="D728" s="19">
        <f>IF($C728&gt;p_horizon,0,IFERROR(IF(AND(INDEX(TblClusters[Cluster],$B728)&lt;&gt;"",ISNUMBER(INDEX(TblClusters[CPU initial (vCPU)],$B728)),ISNUMBER(INDEX(TblClusters[CPU min (vCPU)],$B728)),OR(INDEX(TblClusters[Plateforme],$B728)="IKS",INDEX(TblClusters[Plateforme],$B728)="ROKS")),1,0),0))</f>
        <v>0</v>
      </c>
      <c r="E728" s="72" t="str">
        <f t="shared" si="189"/>
        <v/>
      </c>
      <c r="F728" s="19" t="str">
        <f>IF($D728=1,INDEX(TblClusters[Cluster],$B728),"")</f>
        <v/>
      </c>
      <c r="G728" s="19" t="str">
        <f>IF($D728=1,INDEX(TblClusters[Plateforme],$B728),"")</f>
        <v/>
      </c>
      <c r="H728" s="19" t="str">
        <f>IF($D728=1,INDEX(TblClusters[vCPU par nœud],$B728),"")</f>
        <v/>
      </c>
      <c r="I728" s="19" t="str">
        <f>IF($D728=1,INDEX(TblClusters[RAM par nœud (Go)],$B728),"")</f>
        <v/>
      </c>
      <c r="J728" s="19" t="str">
        <f>IF($D728=1,INDEX(TblClusters[Workers min],$B728),"")</f>
        <v/>
      </c>
      <c r="K728" s="73" t="str">
        <f>IF($D728=1,INDEX(TblClusters[Tarif par nœud],$B728),"")</f>
        <v/>
      </c>
      <c r="L728" s="19" t="str">
        <f>IF($D728=1,INDEX(TblClusters[CPU initial (vCPU)],$B728),"")</f>
        <v/>
      </c>
      <c r="M728" s="19" t="str">
        <f>IF($D728=1,INDEX(TblClusters[RAM initiale (Go)],$B728),"")</f>
        <v/>
      </c>
      <c r="N728" s="19" t="str">
        <f>IF($D728=1,INDEX(TblClusters[CPU min (vCPU)],$B728),"")</f>
        <v/>
      </c>
      <c r="O728" s="19" t="str">
        <f>IF($D728=1,INDEX(TblClusters[RAM min (Go)],$B728),"")</f>
        <v/>
      </c>
      <c r="P728" s="19" t="str">
        <f>IF($D728&lt;&gt;1,"",IF($G728="ROKS",SUMIFS(TblApplications[Besoin ROKS CPU (vCPU)],TblApplications[Cluster ROKS cible],$F728,TblApplications[Action],"À migrer",TblApplications[Déjà incluse ROKS],"Non",TblApplications[Mois prov (calc)],"&lt;="&amp;$E728),SUMIFS(TblApplications[CPU IKS libérable (vCPU)],TblApplications[Cluster IKS source],$F728,TblApplications[Mois lib (calc)],"&lt;="&amp;$E728)))</f>
        <v/>
      </c>
      <c r="Q728" s="19" t="str">
        <f>IF($D728&lt;&gt;1,"",IF($G728="ROKS",SUMIFS(TblApplications[Besoin ROKS RAM (Go)],TblApplications[Cluster ROKS cible],$F728,TblApplications[Action],"À migrer",TblApplications[Déjà incluse ROKS],"Non",TblApplications[Mois prov (calc)],"&lt;="&amp;$E728),SUMIFS(TblApplications[RAM IKS libérable (Go)],TblApplications[Cluster IKS source],$F728,TblApplications[Mois lib (calc)],"&lt;="&amp;$E728)))</f>
        <v/>
      </c>
      <c r="R728" s="19" t="str">
        <f t="shared" si="190"/>
        <v/>
      </c>
      <c r="S728" s="19" t="str">
        <f t="shared" si="191"/>
        <v/>
      </c>
      <c r="T728" s="19" t="str">
        <f t="shared" si="192"/>
        <v/>
      </c>
      <c r="U728" s="19" t="str">
        <f t="shared" si="193"/>
        <v/>
      </c>
      <c r="V728" s="19" t="str">
        <f t="shared" si="194"/>
        <v/>
      </c>
      <c r="W728" s="73" t="str">
        <f t="shared" si="195"/>
        <v/>
      </c>
      <c r="X728" s="19" t="str">
        <f>IF($D728&lt;&gt;1,"",IF($G728="ROKS",$R728,IF($AI728=1,0,MAX($N728,$L728-SUMIFS(TblApplications[CPU IKS libérable (vCPU)],TblApplications[Cluster IKS source],$F728,TblApplications[Action],"À migrer",TblApplications[Mois prov (calc)],"&lt;="&amp;$E728)-SUMIFS(TblApplications[CPU IKS libérable (vCPU)],TblApplications[Cluster IKS source],$F728,TblApplications[Action],"À décommissionner",TblApplications[Mois lib (calc)],"&lt;="&amp;$E728)))))</f>
        <v/>
      </c>
      <c r="Y728" s="19" t="str">
        <f>IF($D728&lt;&gt;1,"",IF($G728="ROKS",$S728,IF($AI728=1,0,MAX($O728,$M728-SUMIFS(TblApplications[RAM IKS libérable (Go)],TblApplications[Cluster IKS source],$F728,TblApplications[Action],"À migrer",TblApplications[Mois prov (calc)],"&lt;="&amp;$E728)-SUMIFS(TblApplications[RAM IKS libérable (Go)],TblApplications[Cluster IKS source],$F728,TblApplications[Action],"À décommissionner",TblApplications[Mois lib (calc)],"&lt;="&amp;$E728)))))</f>
        <v/>
      </c>
      <c r="Z728" s="19" t="str">
        <f t="shared" si="196"/>
        <v/>
      </c>
      <c r="AA728" s="73" t="str">
        <f t="shared" si="197"/>
        <v/>
      </c>
      <c r="AB728" s="19" t="str">
        <f t="shared" si="198"/>
        <v/>
      </c>
      <c r="AC728" s="73" t="str">
        <f t="shared" si="199"/>
        <v/>
      </c>
      <c r="AD728" s="19" t="str">
        <f t="shared" si="200"/>
        <v/>
      </c>
      <c r="AE728" s="19" t="str">
        <f t="shared" si="201"/>
        <v/>
      </c>
      <c r="AF728" s="19" t="str">
        <f>IF($D728&lt;&gt;1,"",IF(INDEX(TblClusters[Environnement],$B728)="","(vide)",INDEX(TblClusters[Environnement],$B728)))</f>
        <v/>
      </c>
      <c r="AG728" s="19" t="str">
        <f t="shared" si="202"/>
        <v/>
      </c>
      <c r="AH728" s="19" t="str">
        <f t="shared" si="203"/>
        <v/>
      </c>
      <c r="AI728" s="19" t="str">
        <f>IF($D728&lt;&gt;1,"",IF(AND($G728="IKS",ISNUMBER(INDEX(TblClusters[Fermeture retenue],$B728))),IF($E728&gt;=INDEX(TblClusters[Fermeture retenue],$B728),1,0),0))</f>
        <v/>
      </c>
    </row>
    <row r="729" spans="1:35" x14ac:dyDescent="0.2">
      <c r="A729" s="19">
        <v>724</v>
      </c>
      <c r="B729" s="19">
        <f t="shared" si="187"/>
        <v>21</v>
      </c>
      <c r="C729" s="19">
        <f t="shared" si="188"/>
        <v>4</v>
      </c>
      <c r="D729" s="19">
        <f>IF($C729&gt;p_horizon,0,IFERROR(IF(AND(INDEX(TblClusters[Cluster],$B729)&lt;&gt;"",ISNUMBER(INDEX(TblClusters[CPU initial (vCPU)],$B729)),ISNUMBER(INDEX(TblClusters[CPU min (vCPU)],$B729)),OR(INDEX(TblClusters[Plateforme],$B729)="IKS",INDEX(TblClusters[Plateforme],$B729)="ROKS")),1,0),0))</f>
        <v>0</v>
      </c>
      <c r="E729" s="72" t="str">
        <f t="shared" si="189"/>
        <v/>
      </c>
      <c r="F729" s="19" t="str">
        <f>IF($D729=1,INDEX(TblClusters[Cluster],$B729),"")</f>
        <v/>
      </c>
      <c r="G729" s="19" t="str">
        <f>IF($D729=1,INDEX(TblClusters[Plateforme],$B729),"")</f>
        <v/>
      </c>
      <c r="H729" s="19" t="str">
        <f>IF($D729=1,INDEX(TblClusters[vCPU par nœud],$B729),"")</f>
        <v/>
      </c>
      <c r="I729" s="19" t="str">
        <f>IF($D729=1,INDEX(TblClusters[RAM par nœud (Go)],$B729),"")</f>
        <v/>
      </c>
      <c r="J729" s="19" t="str">
        <f>IF($D729=1,INDEX(TblClusters[Workers min],$B729),"")</f>
        <v/>
      </c>
      <c r="K729" s="73" t="str">
        <f>IF($D729=1,INDEX(TblClusters[Tarif par nœud],$B729),"")</f>
        <v/>
      </c>
      <c r="L729" s="19" t="str">
        <f>IF($D729=1,INDEX(TblClusters[CPU initial (vCPU)],$B729),"")</f>
        <v/>
      </c>
      <c r="M729" s="19" t="str">
        <f>IF($D729=1,INDEX(TblClusters[RAM initiale (Go)],$B729),"")</f>
        <v/>
      </c>
      <c r="N729" s="19" t="str">
        <f>IF($D729=1,INDEX(TblClusters[CPU min (vCPU)],$B729),"")</f>
        <v/>
      </c>
      <c r="O729" s="19" t="str">
        <f>IF($D729=1,INDEX(TblClusters[RAM min (Go)],$B729),"")</f>
        <v/>
      </c>
      <c r="P729" s="19" t="str">
        <f>IF($D729&lt;&gt;1,"",IF($G729="ROKS",SUMIFS(TblApplications[Besoin ROKS CPU (vCPU)],TblApplications[Cluster ROKS cible],$F729,TblApplications[Action],"À migrer",TblApplications[Déjà incluse ROKS],"Non",TblApplications[Mois prov (calc)],"&lt;="&amp;$E729),SUMIFS(TblApplications[CPU IKS libérable (vCPU)],TblApplications[Cluster IKS source],$F729,TblApplications[Mois lib (calc)],"&lt;="&amp;$E729)))</f>
        <v/>
      </c>
      <c r="Q729" s="19" t="str">
        <f>IF($D729&lt;&gt;1,"",IF($G729="ROKS",SUMIFS(TblApplications[Besoin ROKS RAM (Go)],TblApplications[Cluster ROKS cible],$F729,TblApplications[Action],"À migrer",TblApplications[Déjà incluse ROKS],"Non",TblApplications[Mois prov (calc)],"&lt;="&amp;$E729),SUMIFS(TblApplications[RAM IKS libérable (Go)],TblApplications[Cluster IKS source],$F729,TblApplications[Mois lib (calc)],"&lt;="&amp;$E729)))</f>
        <v/>
      </c>
      <c r="R729" s="19" t="str">
        <f t="shared" si="190"/>
        <v/>
      </c>
      <c r="S729" s="19" t="str">
        <f t="shared" si="191"/>
        <v/>
      </c>
      <c r="T729" s="19" t="str">
        <f t="shared" si="192"/>
        <v/>
      </c>
      <c r="U729" s="19" t="str">
        <f t="shared" si="193"/>
        <v/>
      </c>
      <c r="V729" s="19" t="str">
        <f t="shared" si="194"/>
        <v/>
      </c>
      <c r="W729" s="73" t="str">
        <f t="shared" si="195"/>
        <v/>
      </c>
      <c r="X729" s="19" t="str">
        <f>IF($D729&lt;&gt;1,"",IF($G729="ROKS",$R729,IF($AI729=1,0,MAX($N729,$L729-SUMIFS(TblApplications[CPU IKS libérable (vCPU)],TblApplications[Cluster IKS source],$F729,TblApplications[Action],"À migrer",TblApplications[Mois prov (calc)],"&lt;="&amp;$E729)-SUMIFS(TblApplications[CPU IKS libérable (vCPU)],TblApplications[Cluster IKS source],$F729,TblApplications[Action],"À décommissionner",TblApplications[Mois lib (calc)],"&lt;="&amp;$E729)))))</f>
        <v/>
      </c>
      <c r="Y729" s="19" t="str">
        <f>IF($D729&lt;&gt;1,"",IF($G729="ROKS",$S729,IF($AI729=1,0,MAX($O729,$M729-SUMIFS(TblApplications[RAM IKS libérable (Go)],TblApplications[Cluster IKS source],$F729,TblApplications[Action],"À migrer",TblApplications[Mois prov (calc)],"&lt;="&amp;$E729)-SUMIFS(TblApplications[RAM IKS libérable (Go)],TblApplications[Cluster IKS source],$F729,TblApplications[Action],"À décommissionner",TblApplications[Mois lib (calc)],"&lt;="&amp;$E729)))))</f>
        <v/>
      </c>
      <c r="Z729" s="19" t="str">
        <f t="shared" si="196"/>
        <v/>
      </c>
      <c r="AA729" s="73" t="str">
        <f t="shared" si="197"/>
        <v/>
      </c>
      <c r="AB729" s="19" t="str">
        <f t="shared" si="198"/>
        <v/>
      </c>
      <c r="AC729" s="73" t="str">
        <f t="shared" si="199"/>
        <v/>
      </c>
      <c r="AD729" s="19" t="str">
        <f t="shared" si="200"/>
        <v/>
      </c>
      <c r="AE729" s="19" t="str">
        <f t="shared" si="201"/>
        <v/>
      </c>
      <c r="AF729" s="19" t="str">
        <f>IF($D729&lt;&gt;1,"",IF(INDEX(TblClusters[Environnement],$B729)="","(vide)",INDEX(TblClusters[Environnement],$B729)))</f>
        <v/>
      </c>
      <c r="AG729" s="19" t="str">
        <f t="shared" si="202"/>
        <v/>
      </c>
      <c r="AH729" s="19" t="str">
        <f t="shared" si="203"/>
        <v/>
      </c>
      <c r="AI729" s="19" t="str">
        <f>IF($D729&lt;&gt;1,"",IF(AND($G729="IKS",ISNUMBER(INDEX(TblClusters[Fermeture retenue],$B729))),IF($E729&gt;=INDEX(TblClusters[Fermeture retenue],$B729),1,0),0))</f>
        <v/>
      </c>
    </row>
    <row r="730" spans="1:35" x14ac:dyDescent="0.2">
      <c r="A730" s="19">
        <v>725</v>
      </c>
      <c r="B730" s="19">
        <f t="shared" si="187"/>
        <v>21</v>
      </c>
      <c r="C730" s="19">
        <f t="shared" si="188"/>
        <v>5</v>
      </c>
      <c r="D730" s="19">
        <f>IF($C730&gt;p_horizon,0,IFERROR(IF(AND(INDEX(TblClusters[Cluster],$B730)&lt;&gt;"",ISNUMBER(INDEX(TblClusters[CPU initial (vCPU)],$B730)),ISNUMBER(INDEX(TblClusters[CPU min (vCPU)],$B730)),OR(INDEX(TblClusters[Plateforme],$B730)="IKS",INDEX(TblClusters[Plateforme],$B730)="ROKS")),1,0),0))</f>
        <v>0</v>
      </c>
      <c r="E730" s="72" t="str">
        <f t="shared" si="189"/>
        <v/>
      </c>
      <c r="F730" s="19" t="str">
        <f>IF($D730=1,INDEX(TblClusters[Cluster],$B730),"")</f>
        <v/>
      </c>
      <c r="G730" s="19" t="str">
        <f>IF($D730=1,INDEX(TblClusters[Plateforme],$B730),"")</f>
        <v/>
      </c>
      <c r="H730" s="19" t="str">
        <f>IF($D730=1,INDEX(TblClusters[vCPU par nœud],$B730),"")</f>
        <v/>
      </c>
      <c r="I730" s="19" t="str">
        <f>IF($D730=1,INDEX(TblClusters[RAM par nœud (Go)],$B730),"")</f>
        <v/>
      </c>
      <c r="J730" s="19" t="str">
        <f>IF($D730=1,INDEX(TblClusters[Workers min],$B730),"")</f>
        <v/>
      </c>
      <c r="K730" s="73" t="str">
        <f>IF($D730=1,INDEX(TblClusters[Tarif par nœud],$B730),"")</f>
        <v/>
      </c>
      <c r="L730" s="19" t="str">
        <f>IF($D730=1,INDEX(TblClusters[CPU initial (vCPU)],$B730),"")</f>
        <v/>
      </c>
      <c r="M730" s="19" t="str">
        <f>IF($D730=1,INDEX(TblClusters[RAM initiale (Go)],$B730),"")</f>
        <v/>
      </c>
      <c r="N730" s="19" t="str">
        <f>IF($D730=1,INDEX(TblClusters[CPU min (vCPU)],$B730),"")</f>
        <v/>
      </c>
      <c r="O730" s="19" t="str">
        <f>IF($D730=1,INDEX(TblClusters[RAM min (Go)],$B730),"")</f>
        <v/>
      </c>
      <c r="P730" s="19" t="str">
        <f>IF($D730&lt;&gt;1,"",IF($G730="ROKS",SUMIFS(TblApplications[Besoin ROKS CPU (vCPU)],TblApplications[Cluster ROKS cible],$F730,TblApplications[Action],"À migrer",TblApplications[Déjà incluse ROKS],"Non",TblApplications[Mois prov (calc)],"&lt;="&amp;$E730),SUMIFS(TblApplications[CPU IKS libérable (vCPU)],TblApplications[Cluster IKS source],$F730,TblApplications[Mois lib (calc)],"&lt;="&amp;$E730)))</f>
        <v/>
      </c>
      <c r="Q730" s="19" t="str">
        <f>IF($D730&lt;&gt;1,"",IF($G730="ROKS",SUMIFS(TblApplications[Besoin ROKS RAM (Go)],TblApplications[Cluster ROKS cible],$F730,TblApplications[Action],"À migrer",TblApplications[Déjà incluse ROKS],"Non",TblApplications[Mois prov (calc)],"&lt;="&amp;$E730),SUMIFS(TblApplications[RAM IKS libérable (Go)],TblApplications[Cluster IKS source],$F730,TblApplications[Mois lib (calc)],"&lt;="&amp;$E730)))</f>
        <v/>
      </c>
      <c r="R730" s="19" t="str">
        <f t="shared" si="190"/>
        <v/>
      </c>
      <c r="S730" s="19" t="str">
        <f t="shared" si="191"/>
        <v/>
      </c>
      <c r="T730" s="19" t="str">
        <f t="shared" si="192"/>
        <v/>
      </c>
      <c r="U730" s="19" t="str">
        <f t="shared" si="193"/>
        <v/>
      </c>
      <c r="V730" s="19" t="str">
        <f t="shared" si="194"/>
        <v/>
      </c>
      <c r="W730" s="73" t="str">
        <f t="shared" si="195"/>
        <v/>
      </c>
      <c r="X730" s="19" t="str">
        <f>IF($D730&lt;&gt;1,"",IF($G730="ROKS",$R730,IF($AI730=1,0,MAX($N730,$L730-SUMIFS(TblApplications[CPU IKS libérable (vCPU)],TblApplications[Cluster IKS source],$F730,TblApplications[Action],"À migrer",TblApplications[Mois prov (calc)],"&lt;="&amp;$E730)-SUMIFS(TblApplications[CPU IKS libérable (vCPU)],TblApplications[Cluster IKS source],$F730,TblApplications[Action],"À décommissionner",TblApplications[Mois lib (calc)],"&lt;="&amp;$E730)))))</f>
        <v/>
      </c>
      <c r="Y730" s="19" t="str">
        <f>IF($D730&lt;&gt;1,"",IF($G730="ROKS",$S730,IF($AI730=1,0,MAX($O730,$M730-SUMIFS(TblApplications[RAM IKS libérable (Go)],TblApplications[Cluster IKS source],$F730,TblApplications[Action],"À migrer",TblApplications[Mois prov (calc)],"&lt;="&amp;$E730)-SUMIFS(TblApplications[RAM IKS libérable (Go)],TblApplications[Cluster IKS source],$F730,TblApplications[Action],"À décommissionner",TblApplications[Mois lib (calc)],"&lt;="&amp;$E730)))))</f>
        <v/>
      </c>
      <c r="Z730" s="19" t="str">
        <f t="shared" si="196"/>
        <v/>
      </c>
      <c r="AA730" s="73" t="str">
        <f t="shared" si="197"/>
        <v/>
      </c>
      <c r="AB730" s="19" t="str">
        <f t="shared" si="198"/>
        <v/>
      </c>
      <c r="AC730" s="73" t="str">
        <f t="shared" si="199"/>
        <v/>
      </c>
      <c r="AD730" s="19" t="str">
        <f t="shared" si="200"/>
        <v/>
      </c>
      <c r="AE730" s="19" t="str">
        <f t="shared" si="201"/>
        <v/>
      </c>
      <c r="AF730" s="19" t="str">
        <f>IF($D730&lt;&gt;1,"",IF(INDEX(TblClusters[Environnement],$B730)="","(vide)",INDEX(TblClusters[Environnement],$B730)))</f>
        <v/>
      </c>
      <c r="AG730" s="19" t="str">
        <f t="shared" si="202"/>
        <v/>
      </c>
      <c r="AH730" s="19" t="str">
        <f t="shared" si="203"/>
        <v/>
      </c>
      <c r="AI730" s="19" t="str">
        <f>IF($D730&lt;&gt;1,"",IF(AND($G730="IKS",ISNUMBER(INDEX(TblClusters[Fermeture retenue],$B730))),IF($E730&gt;=INDEX(TblClusters[Fermeture retenue],$B730),1,0),0))</f>
        <v/>
      </c>
    </row>
    <row r="731" spans="1:35" x14ac:dyDescent="0.2">
      <c r="A731" s="19">
        <v>726</v>
      </c>
      <c r="B731" s="19">
        <f t="shared" si="187"/>
        <v>21</v>
      </c>
      <c r="C731" s="19">
        <f t="shared" si="188"/>
        <v>6</v>
      </c>
      <c r="D731" s="19">
        <f>IF($C731&gt;p_horizon,0,IFERROR(IF(AND(INDEX(TblClusters[Cluster],$B731)&lt;&gt;"",ISNUMBER(INDEX(TblClusters[CPU initial (vCPU)],$B731)),ISNUMBER(INDEX(TblClusters[CPU min (vCPU)],$B731)),OR(INDEX(TblClusters[Plateforme],$B731)="IKS",INDEX(TblClusters[Plateforme],$B731)="ROKS")),1,0),0))</f>
        <v>0</v>
      </c>
      <c r="E731" s="72" t="str">
        <f t="shared" si="189"/>
        <v/>
      </c>
      <c r="F731" s="19" t="str">
        <f>IF($D731=1,INDEX(TblClusters[Cluster],$B731),"")</f>
        <v/>
      </c>
      <c r="G731" s="19" t="str">
        <f>IF($D731=1,INDEX(TblClusters[Plateforme],$B731),"")</f>
        <v/>
      </c>
      <c r="H731" s="19" t="str">
        <f>IF($D731=1,INDEX(TblClusters[vCPU par nœud],$B731),"")</f>
        <v/>
      </c>
      <c r="I731" s="19" t="str">
        <f>IF($D731=1,INDEX(TblClusters[RAM par nœud (Go)],$B731),"")</f>
        <v/>
      </c>
      <c r="J731" s="19" t="str">
        <f>IF($D731=1,INDEX(TblClusters[Workers min],$B731),"")</f>
        <v/>
      </c>
      <c r="K731" s="73" t="str">
        <f>IF($D731=1,INDEX(TblClusters[Tarif par nœud],$B731),"")</f>
        <v/>
      </c>
      <c r="L731" s="19" t="str">
        <f>IF($D731=1,INDEX(TblClusters[CPU initial (vCPU)],$B731),"")</f>
        <v/>
      </c>
      <c r="M731" s="19" t="str">
        <f>IF($D731=1,INDEX(TblClusters[RAM initiale (Go)],$B731),"")</f>
        <v/>
      </c>
      <c r="N731" s="19" t="str">
        <f>IF($D731=1,INDEX(TblClusters[CPU min (vCPU)],$B731),"")</f>
        <v/>
      </c>
      <c r="O731" s="19" t="str">
        <f>IF($D731=1,INDEX(TblClusters[RAM min (Go)],$B731),"")</f>
        <v/>
      </c>
      <c r="P731" s="19" t="str">
        <f>IF($D731&lt;&gt;1,"",IF($G731="ROKS",SUMIFS(TblApplications[Besoin ROKS CPU (vCPU)],TblApplications[Cluster ROKS cible],$F731,TblApplications[Action],"À migrer",TblApplications[Déjà incluse ROKS],"Non",TblApplications[Mois prov (calc)],"&lt;="&amp;$E731),SUMIFS(TblApplications[CPU IKS libérable (vCPU)],TblApplications[Cluster IKS source],$F731,TblApplications[Mois lib (calc)],"&lt;="&amp;$E731)))</f>
        <v/>
      </c>
      <c r="Q731" s="19" t="str">
        <f>IF($D731&lt;&gt;1,"",IF($G731="ROKS",SUMIFS(TblApplications[Besoin ROKS RAM (Go)],TblApplications[Cluster ROKS cible],$F731,TblApplications[Action],"À migrer",TblApplications[Déjà incluse ROKS],"Non",TblApplications[Mois prov (calc)],"&lt;="&amp;$E731),SUMIFS(TblApplications[RAM IKS libérable (Go)],TblApplications[Cluster IKS source],$F731,TblApplications[Mois lib (calc)],"&lt;="&amp;$E731)))</f>
        <v/>
      </c>
      <c r="R731" s="19" t="str">
        <f t="shared" si="190"/>
        <v/>
      </c>
      <c r="S731" s="19" t="str">
        <f t="shared" si="191"/>
        <v/>
      </c>
      <c r="T731" s="19" t="str">
        <f t="shared" si="192"/>
        <v/>
      </c>
      <c r="U731" s="19" t="str">
        <f t="shared" si="193"/>
        <v/>
      </c>
      <c r="V731" s="19" t="str">
        <f t="shared" si="194"/>
        <v/>
      </c>
      <c r="W731" s="73" t="str">
        <f t="shared" si="195"/>
        <v/>
      </c>
      <c r="X731" s="19" t="str">
        <f>IF($D731&lt;&gt;1,"",IF($G731="ROKS",$R731,IF($AI731=1,0,MAX($N731,$L731-SUMIFS(TblApplications[CPU IKS libérable (vCPU)],TblApplications[Cluster IKS source],$F731,TblApplications[Action],"À migrer",TblApplications[Mois prov (calc)],"&lt;="&amp;$E731)-SUMIFS(TblApplications[CPU IKS libérable (vCPU)],TblApplications[Cluster IKS source],$F731,TblApplications[Action],"À décommissionner",TblApplications[Mois lib (calc)],"&lt;="&amp;$E731)))))</f>
        <v/>
      </c>
      <c r="Y731" s="19" t="str">
        <f>IF($D731&lt;&gt;1,"",IF($G731="ROKS",$S731,IF($AI731=1,0,MAX($O731,$M731-SUMIFS(TblApplications[RAM IKS libérable (Go)],TblApplications[Cluster IKS source],$F731,TblApplications[Action],"À migrer",TblApplications[Mois prov (calc)],"&lt;="&amp;$E731)-SUMIFS(TblApplications[RAM IKS libérable (Go)],TblApplications[Cluster IKS source],$F731,TblApplications[Action],"À décommissionner",TblApplications[Mois lib (calc)],"&lt;="&amp;$E731)))))</f>
        <v/>
      </c>
      <c r="Z731" s="19" t="str">
        <f t="shared" si="196"/>
        <v/>
      </c>
      <c r="AA731" s="73" t="str">
        <f t="shared" si="197"/>
        <v/>
      </c>
      <c r="AB731" s="19" t="str">
        <f t="shared" si="198"/>
        <v/>
      </c>
      <c r="AC731" s="73" t="str">
        <f t="shared" si="199"/>
        <v/>
      </c>
      <c r="AD731" s="19" t="str">
        <f t="shared" si="200"/>
        <v/>
      </c>
      <c r="AE731" s="19" t="str">
        <f t="shared" si="201"/>
        <v/>
      </c>
      <c r="AF731" s="19" t="str">
        <f>IF($D731&lt;&gt;1,"",IF(INDEX(TblClusters[Environnement],$B731)="","(vide)",INDEX(TblClusters[Environnement],$B731)))</f>
        <v/>
      </c>
      <c r="AG731" s="19" t="str">
        <f t="shared" si="202"/>
        <v/>
      </c>
      <c r="AH731" s="19" t="str">
        <f t="shared" si="203"/>
        <v/>
      </c>
      <c r="AI731" s="19" t="str">
        <f>IF($D731&lt;&gt;1,"",IF(AND($G731="IKS",ISNUMBER(INDEX(TblClusters[Fermeture retenue],$B731))),IF($E731&gt;=INDEX(TblClusters[Fermeture retenue],$B731),1,0),0))</f>
        <v/>
      </c>
    </row>
    <row r="732" spans="1:35" x14ac:dyDescent="0.2">
      <c r="A732" s="19">
        <v>727</v>
      </c>
      <c r="B732" s="19">
        <f t="shared" si="187"/>
        <v>21</v>
      </c>
      <c r="C732" s="19">
        <f t="shared" si="188"/>
        <v>7</v>
      </c>
      <c r="D732" s="19">
        <f>IF($C732&gt;p_horizon,0,IFERROR(IF(AND(INDEX(TblClusters[Cluster],$B732)&lt;&gt;"",ISNUMBER(INDEX(TblClusters[CPU initial (vCPU)],$B732)),ISNUMBER(INDEX(TblClusters[CPU min (vCPU)],$B732)),OR(INDEX(TblClusters[Plateforme],$B732)="IKS",INDEX(TblClusters[Plateforme],$B732)="ROKS")),1,0),0))</f>
        <v>0</v>
      </c>
      <c r="E732" s="72" t="str">
        <f t="shared" si="189"/>
        <v/>
      </c>
      <c r="F732" s="19" t="str">
        <f>IF($D732=1,INDEX(TblClusters[Cluster],$B732),"")</f>
        <v/>
      </c>
      <c r="G732" s="19" t="str">
        <f>IF($D732=1,INDEX(TblClusters[Plateforme],$B732),"")</f>
        <v/>
      </c>
      <c r="H732" s="19" t="str">
        <f>IF($D732=1,INDEX(TblClusters[vCPU par nœud],$B732),"")</f>
        <v/>
      </c>
      <c r="I732" s="19" t="str">
        <f>IF($D732=1,INDEX(TblClusters[RAM par nœud (Go)],$B732),"")</f>
        <v/>
      </c>
      <c r="J732" s="19" t="str">
        <f>IF($D732=1,INDEX(TblClusters[Workers min],$B732),"")</f>
        <v/>
      </c>
      <c r="K732" s="73" t="str">
        <f>IF($D732=1,INDEX(TblClusters[Tarif par nœud],$B732),"")</f>
        <v/>
      </c>
      <c r="L732" s="19" t="str">
        <f>IF($D732=1,INDEX(TblClusters[CPU initial (vCPU)],$B732),"")</f>
        <v/>
      </c>
      <c r="M732" s="19" t="str">
        <f>IF($D732=1,INDEX(TblClusters[RAM initiale (Go)],$B732),"")</f>
        <v/>
      </c>
      <c r="N732" s="19" t="str">
        <f>IF($D732=1,INDEX(TblClusters[CPU min (vCPU)],$B732),"")</f>
        <v/>
      </c>
      <c r="O732" s="19" t="str">
        <f>IF($D732=1,INDEX(TblClusters[RAM min (Go)],$B732),"")</f>
        <v/>
      </c>
      <c r="P732" s="19" t="str">
        <f>IF($D732&lt;&gt;1,"",IF($G732="ROKS",SUMIFS(TblApplications[Besoin ROKS CPU (vCPU)],TblApplications[Cluster ROKS cible],$F732,TblApplications[Action],"À migrer",TblApplications[Déjà incluse ROKS],"Non",TblApplications[Mois prov (calc)],"&lt;="&amp;$E732),SUMIFS(TblApplications[CPU IKS libérable (vCPU)],TblApplications[Cluster IKS source],$F732,TblApplications[Mois lib (calc)],"&lt;="&amp;$E732)))</f>
        <v/>
      </c>
      <c r="Q732" s="19" t="str">
        <f>IF($D732&lt;&gt;1,"",IF($G732="ROKS",SUMIFS(TblApplications[Besoin ROKS RAM (Go)],TblApplications[Cluster ROKS cible],$F732,TblApplications[Action],"À migrer",TblApplications[Déjà incluse ROKS],"Non",TblApplications[Mois prov (calc)],"&lt;="&amp;$E732),SUMIFS(TblApplications[RAM IKS libérable (Go)],TblApplications[Cluster IKS source],$F732,TblApplications[Mois lib (calc)],"&lt;="&amp;$E732)))</f>
        <v/>
      </c>
      <c r="R732" s="19" t="str">
        <f t="shared" si="190"/>
        <v/>
      </c>
      <c r="S732" s="19" t="str">
        <f t="shared" si="191"/>
        <v/>
      </c>
      <c r="T732" s="19" t="str">
        <f t="shared" si="192"/>
        <v/>
      </c>
      <c r="U732" s="19" t="str">
        <f t="shared" si="193"/>
        <v/>
      </c>
      <c r="V732" s="19" t="str">
        <f t="shared" si="194"/>
        <v/>
      </c>
      <c r="W732" s="73" t="str">
        <f t="shared" si="195"/>
        <v/>
      </c>
      <c r="X732" s="19" t="str">
        <f>IF($D732&lt;&gt;1,"",IF($G732="ROKS",$R732,IF($AI732=1,0,MAX($N732,$L732-SUMIFS(TblApplications[CPU IKS libérable (vCPU)],TblApplications[Cluster IKS source],$F732,TblApplications[Action],"À migrer",TblApplications[Mois prov (calc)],"&lt;="&amp;$E732)-SUMIFS(TblApplications[CPU IKS libérable (vCPU)],TblApplications[Cluster IKS source],$F732,TblApplications[Action],"À décommissionner",TblApplications[Mois lib (calc)],"&lt;="&amp;$E732)))))</f>
        <v/>
      </c>
      <c r="Y732" s="19" t="str">
        <f>IF($D732&lt;&gt;1,"",IF($G732="ROKS",$S732,IF($AI732=1,0,MAX($O732,$M732-SUMIFS(TblApplications[RAM IKS libérable (Go)],TblApplications[Cluster IKS source],$F732,TblApplications[Action],"À migrer",TblApplications[Mois prov (calc)],"&lt;="&amp;$E732)-SUMIFS(TblApplications[RAM IKS libérable (Go)],TblApplications[Cluster IKS source],$F732,TblApplications[Action],"À décommissionner",TblApplications[Mois lib (calc)],"&lt;="&amp;$E732)))))</f>
        <v/>
      </c>
      <c r="Z732" s="19" t="str">
        <f t="shared" si="196"/>
        <v/>
      </c>
      <c r="AA732" s="73" t="str">
        <f t="shared" si="197"/>
        <v/>
      </c>
      <c r="AB732" s="19" t="str">
        <f t="shared" si="198"/>
        <v/>
      </c>
      <c r="AC732" s="73" t="str">
        <f t="shared" si="199"/>
        <v/>
      </c>
      <c r="AD732" s="19" t="str">
        <f t="shared" si="200"/>
        <v/>
      </c>
      <c r="AE732" s="19" t="str">
        <f t="shared" si="201"/>
        <v/>
      </c>
      <c r="AF732" s="19" t="str">
        <f>IF($D732&lt;&gt;1,"",IF(INDEX(TblClusters[Environnement],$B732)="","(vide)",INDEX(TblClusters[Environnement],$B732)))</f>
        <v/>
      </c>
      <c r="AG732" s="19" t="str">
        <f t="shared" si="202"/>
        <v/>
      </c>
      <c r="AH732" s="19" t="str">
        <f t="shared" si="203"/>
        <v/>
      </c>
      <c r="AI732" s="19" t="str">
        <f>IF($D732&lt;&gt;1,"",IF(AND($G732="IKS",ISNUMBER(INDEX(TblClusters[Fermeture retenue],$B732))),IF($E732&gt;=INDEX(TblClusters[Fermeture retenue],$B732),1,0),0))</f>
        <v/>
      </c>
    </row>
    <row r="733" spans="1:35" x14ac:dyDescent="0.2">
      <c r="A733" s="19">
        <v>728</v>
      </c>
      <c r="B733" s="19">
        <f t="shared" si="187"/>
        <v>21</v>
      </c>
      <c r="C733" s="19">
        <f t="shared" si="188"/>
        <v>8</v>
      </c>
      <c r="D733" s="19">
        <f>IF($C733&gt;p_horizon,0,IFERROR(IF(AND(INDEX(TblClusters[Cluster],$B733)&lt;&gt;"",ISNUMBER(INDEX(TblClusters[CPU initial (vCPU)],$B733)),ISNUMBER(INDEX(TblClusters[CPU min (vCPU)],$B733)),OR(INDEX(TblClusters[Plateforme],$B733)="IKS",INDEX(TblClusters[Plateforme],$B733)="ROKS")),1,0),0))</f>
        <v>0</v>
      </c>
      <c r="E733" s="72" t="str">
        <f t="shared" si="189"/>
        <v/>
      </c>
      <c r="F733" s="19" t="str">
        <f>IF($D733=1,INDEX(TblClusters[Cluster],$B733),"")</f>
        <v/>
      </c>
      <c r="G733" s="19" t="str">
        <f>IF($D733=1,INDEX(TblClusters[Plateforme],$B733),"")</f>
        <v/>
      </c>
      <c r="H733" s="19" t="str">
        <f>IF($D733=1,INDEX(TblClusters[vCPU par nœud],$B733),"")</f>
        <v/>
      </c>
      <c r="I733" s="19" t="str">
        <f>IF($D733=1,INDEX(TblClusters[RAM par nœud (Go)],$B733),"")</f>
        <v/>
      </c>
      <c r="J733" s="19" t="str">
        <f>IF($D733=1,INDEX(TblClusters[Workers min],$B733),"")</f>
        <v/>
      </c>
      <c r="K733" s="73" t="str">
        <f>IF($D733=1,INDEX(TblClusters[Tarif par nœud],$B733),"")</f>
        <v/>
      </c>
      <c r="L733" s="19" t="str">
        <f>IF($D733=1,INDEX(TblClusters[CPU initial (vCPU)],$B733),"")</f>
        <v/>
      </c>
      <c r="M733" s="19" t="str">
        <f>IF($D733=1,INDEX(TblClusters[RAM initiale (Go)],$B733),"")</f>
        <v/>
      </c>
      <c r="N733" s="19" t="str">
        <f>IF($D733=1,INDEX(TblClusters[CPU min (vCPU)],$B733),"")</f>
        <v/>
      </c>
      <c r="O733" s="19" t="str">
        <f>IF($D733=1,INDEX(TblClusters[RAM min (Go)],$B733),"")</f>
        <v/>
      </c>
      <c r="P733" s="19" t="str">
        <f>IF($D733&lt;&gt;1,"",IF($G733="ROKS",SUMIFS(TblApplications[Besoin ROKS CPU (vCPU)],TblApplications[Cluster ROKS cible],$F733,TblApplications[Action],"À migrer",TblApplications[Déjà incluse ROKS],"Non",TblApplications[Mois prov (calc)],"&lt;="&amp;$E733),SUMIFS(TblApplications[CPU IKS libérable (vCPU)],TblApplications[Cluster IKS source],$F733,TblApplications[Mois lib (calc)],"&lt;="&amp;$E733)))</f>
        <v/>
      </c>
      <c r="Q733" s="19" t="str">
        <f>IF($D733&lt;&gt;1,"",IF($G733="ROKS",SUMIFS(TblApplications[Besoin ROKS RAM (Go)],TblApplications[Cluster ROKS cible],$F733,TblApplications[Action],"À migrer",TblApplications[Déjà incluse ROKS],"Non",TblApplications[Mois prov (calc)],"&lt;="&amp;$E733),SUMIFS(TblApplications[RAM IKS libérable (Go)],TblApplications[Cluster IKS source],$F733,TblApplications[Mois lib (calc)],"&lt;="&amp;$E733)))</f>
        <v/>
      </c>
      <c r="R733" s="19" t="str">
        <f t="shared" si="190"/>
        <v/>
      </c>
      <c r="S733" s="19" t="str">
        <f t="shared" si="191"/>
        <v/>
      </c>
      <c r="T733" s="19" t="str">
        <f t="shared" si="192"/>
        <v/>
      </c>
      <c r="U733" s="19" t="str">
        <f t="shared" si="193"/>
        <v/>
      </c>
      <c r="V733" s="19" t="str">
        <f t="shared" si="194"/>
        <v/>
      </c>
      <c r="W733" s="73" t="str">
        <f t="shared" si="195"/>
        <v/>
      </c>
      <c r="X733" s="19" t="str">
        <f>IF($D733&lt;&gt;1,"",IF($G733="ROKS",$R733,IF($AI733=1,0,MAX($N733,$L733-SUMIFS(TblApplications[CPU IKS libérable (vCPU)],TblApplications[Cluster IKS source],$F733,TblApplications[Action],"À migrer",TblApplications[Mois prov (calc)],"&lt;="&amp;$E733)-SUMIFS(TblApplications[CPU IKS libérable (vCPU)],TblApplications[Cluster IKS source],$F733,TblApplications[Action],"À décommissionner",TblApplications[Mois lib (calc)],"&lt;="&amp;$E733)))))</f>
        <v/>
      </c>
      <c r="Y733" s="19" t="str">
        <f>IF($D733&lt;&gt;1,"",IF($G733="ROKS",$S733,IF($AI733=1,0,MAX($O733,$M733-SUMIFS(TblApplications[RAM IKS libérable (Go)],TblApplications[Cluster IKS source],$F733,TblApplications[Action],"À migrer",TblApplications[Mois prov (calc)],"&lt;="&amp;$E733)-SUMIFS(TblApplications[RAM IKS libérable (Go)],TblApplications[Cluster IKS source],$F733,TblApplications[Action],"À décommissionner",TblApplications[Mois lib (calc)],"&lt;="&amp;$E733)))))</f>
        <v/>
      </c>
      <c r="Z733" s="19" t="str">
        <f t="shared" si="196"/>
        <v/>
      </c>
      <c r="AA733" s="73" t="str">
        <f t="shared" si="197"/>
        <v/>
      </c>
      <c r="AB733" s="19" t="str">
        <f t="shared" si="198"/>
        <v/>
      </c>
      <c r="AC733" s="73" t="str">
        <f t="shared" si="199"/>
        <v/>
      </c>
      <c r="AD733" s="19" t="str">
        <f t="shared" si="200"/>
        <v/>
      </c>
      <c r="AE733" s="19" t="str">
        <f t="shared" si="201"/>
        <v/>
      </c>
      <c r="AF733" s="19" t="str">
        <f>IF($D733&lt;&gt;1,"",IF(INDEX(TblClusters[Environnement],$B733)="","(vide)",INDEX(TblClusters[Environnement],$B733)))</f>
        <v/>
      </c>
      <c r="AG733" s="19" t="str">
        <f t="shared" si="202"/>
        <v/>
      </c>
      <c r="AH733" s="19" t="str">
        <f t="shared" si="203"/>
        <v/>
      </c>
      <c r="AI733" s="19" t="str">
        <f>IF($D733&lt;&gt;1,"",IF(AND($G733="IKS",ISNUMBER(INDEX(TblClusters[Fermeture retenue],$B733))),IF($E733&gt;=INDEX(TblClusters[Fermeture retenue],$B733),1,0),0))</f>
        <v/>
      </c>
    </row>
    <row r="734" spans="1:35" x14ac:dyDescent="0.2">
      <c r="A734" s="19">
        <v>729</v>
      </c>
      <c r="B734" s="19">
        <f t="shared" si="187"/>
        <v>21</v>
      </c>
      <c r="C734" s="19">
        <f t="shared" si="188"/>
        <v>9</v>
      </c>
      <c r="D734" s="19">
        <f>IF($C734&gt;p_horizon,0,IFERROR(IF(AND(INDEX(TblClusters[Cluster],$B734)&lt;&gt;"",ISNUMBER(INDEX(TblClusters[CPU initial (vCPU)],$B734)),ISNUMBER(INDEX(TblClusters[CPU min (vCPU)],$B734)),OR(INDEX(TblClusters[Plateforme],$B734)="IKS",INDEX(TblClusters[Plateforme],$B734)="ROKS")),1,0),0))</f>
        <v>0</v>
      </c>
      <c r="E734" s="72" t="str">
        <f t="shared" si="189"/>
        <v/>
      </c>
      <c r="F734" s="19" t="str">
        <f>IF($D734=1,INDEX(TblClusters[Cluster],$B734),"")</f>
        <v/>
      </c>
      <c r="G734" s="19" t="str">
        <f>IF($D734=1,INDEX(TblClusters[Plateforme],$B734),"")</f>
        <v/>
      </c>
      <c r="H734" s="19" t="str">
        <f>IF($D734=1,INDEX(TblClusters[vCPU par nœud],$B734),"")</f>
        <v/>
      </c>
      <c r="I734" s="19" t="str">
        <f>IF($D734=1,INDEX(TblClusters[RAM par nœud (Go)],$B734),"")</f>
        <v/>
      </c>
      <c r="J734" s="19" t="str">
        <f>IF($D734=1,INDEX(TblClusters[Workers min],$B734),"")</f>
        <v/>
      </c>
      <c r="K734" s="73" t="str">
        <f>IF($D734=1,INDEX(TblClusters[Tarif par nœud],$B734),"")</f>
        <v/>
      </c>
      <c r="L734" s="19" t="str">
        <f>IF($D734=1,INDEX(TblClusters[CPU initial (vCPU)],$B734),"")</f>
        <v/>
      </c>
      <c r="M734" s="19" t="str">
        <f>IF($D734=1,INDEX(TblClusters[RAM initiale (Go)],$B734),"")</f>
        <v/>
      </c>
      <c r="N734" s="19" t="str">
        <f>IF($D734=1,INDEX(TblClusters[CPU min (vCPU)],$B734),"")</f>
        <v/>
      </c>
      <c r="O734" s="19" t="str">
        <f>IF($D734=1,INDEX(TblClusters[RAM min (Go)],$B734),"")</f>
        <v/>
      </c>
      <c r="P734" s="19" t="str">
        <f>IF($D734&lt;&gt;1,"",IF($G734="ROKS",SUMIFS(TblApplications[Besoin ROKS CPU (vCPU)],TblApplications[Cluster ROKS cible],$F734,TblApplications[Action],"À migrer",TblApplications[Déjà incluse ROKS],"Non",TblApplications[Mois prov (calc)],"&lt;="&amp;$E734),SUMIFS(TblApplications[CPU IKS libérable (vCPU)],TblApplications[Cluster IKS source],$F734,TblApplications[Mois lib (calc)],"&lt;="&amp;$E734)))</f>
        <v/>
      </c>
      <c r="Q734" s="19" t="str">
        <f>IF($D734&lt;&gt;1,"",IF($G734="ROKS",SUMIFS(TblApplications[Besoin ROKS RAM (Go)],TblApplications[Cluster ROKS cible],$F734,TblApplications[Action],"À migrer",TblApplications[Déjà incluse ROKS],"Non",TblApplications[Mois prov (calc)],"&lt;="&amp;$E734),SUMIFS(TblApplications[RAM IKS libérable (Go)],TblApplications[Cluster IKS source],$F734,TblApplications[Mois lib (calc)],"&lt;="&amp;$E734)))</f>
        <v/>
      </c>
      <c r="R734" s="19" t="str">
        <f t="shared" si="190"/>
        <v/>
      </c>
      <c r="S734" s="19" t="str">
        <f t="shared" si="191"/>
        <v/>
      </c>
      <c r="T734" s="19" t="str">
        <f t="shared" si="192"/>
        <v/>
      </c>
      <c r="U734" s="19" t="str">
        <f t="shared" si="193"/>
        <v/>
      </c>
      <c r="V734" s="19" t="str">
        <f t="shared" si="194"/>
        <v/>
      </c>
      <c r="W734" s="73" t="str">
        <f t="shared" si="195"/>
        <v/>
      </c>
      <c r="X734" s="19" t="str">
        <f>IF($D734&lt;&gt;1,"",IF($G734="ROKS",$R734,IF($AI734=1,0,MAX($N734,$L734-SUMIFS(TblApplications[CPU IKS libérable (vCPU)],TblApplications[Cluster IKS source],$F734,TblApplications[Action],"À migrer",TblApplications[Mois prov (calc)],"&lt;="&amp;$E734)-SUMIFS(TblApplications[CPU IKS libérable (vCPU)],TblApplications[Cluster IKS source],$F734,TblApplications[Action],"À décommissionner",TblApplications[Mois lib (calc)],"&lt;="&amp;$E734)))))</f>
        <v/>
      </c>
      <c r="Y734" s="19" t="str">
        <f>IF($D734&lt;&gt;1,"",IF($G734="ROKS",$S734,IF($AI734=1,0,MAX($O734,$M734-SUMIFS(TblApplications[RAM IKS libérable (Go)],TblApplications[Cluster IKS source],$F734,TblApplications[Action],"À migrer",TblApplications[Mois prov (calc)],"&lt;="&amp;$E734)-SUMIFS(TblApplications[RAM IKS libérable (Go)],TblApplications[Cluster IKS source],$F734,TblApplications[Action],"À décommissionner",TblApplications[Mois lib (calc)],"&lt;="&amp;$E734)))))</f>
        <v/>
      </c>
      <c r="Z734" s="19" t="str">
        <f t="shared" si="196"/>
        <v/>
      </c>
      <c r="AA734" s="73" t="str">
        <f t="shared" si="197"/>
        <v/>
      </c>
      <c r="AB734" s="19" t="str">
        <f t="shared" si="198"/>
        <v/>
      </c>
      <c r="AC734" s="73" t="str">
        <f t="shared" si="199"/>
        <v/>
      </c>
      <c r="AD734" s="19" t="str">
        <f t="shared" si="200"/>
        <v/>
      </c>
      <c r="AE734" s="19" t="str">
        <f t="shared" si="201"/>
        <v/>
      </c>
      <c r="AF734" s="19" t="str">
        <f>IF($D734&lt;&gt;1,"",IF(INDEX(TblClusters[Environnement],$B734)="","(vide)",INDEX(TblClusters[Environnement],$B734)))</f>
        <v/>
      </c>
      <c r="AG734" s="19" t="str">
        <f t="shared" si="202"/>
        <v/>
      </c>
      <c r="AH734" s="19" t="str">
        <f t="shared" si="203"/>
        <v/>
      </c>
      <c r="AI734" s="19" t="str">
        <f>IF($D734&lt;&gt;1,"",IF(AND($G734="IKS",ISNUMBER(INDEX(TblClusters[Fermeture retenue],$B734))),IF($E734&gt;=INDEX(TblClusters[Fermeture retenue],$B734),1,0),0))</f>
        <v/>
      </c>
    </row>
    <row r="735" spans="1:35" x14ac:dyDescent="0.2">
      <c r="A735" s="19">
        <v>730</v>
      </c>
      <c r="B735" s="19">
        <f t="shared" si="187"/>
        <v>21</v>
      </c>
      <c r="C735" s="19">
        <f t="shared" si="188"/>
        <v>10</v>
      </c>
      <c r="D735" s="19">
        <f>IF($C735&gt;p_horizon,0,IFERROR(IF(AND(INDEX(TblClusters[Cluster],$B735)&lt;&gt;"",ISNUMBER(INDEX(TblClusters[CPU initial (vCPU)],$B735)),ISNUMBER(INDEX(TblClusters[CPU min (vCPU)],$B735)),OR(INDEX(TblClusters[Plateforme],$B735)="IKS",INDEX(TblClusters[Plateforme],$B735)="ROKS")),1,0),0))</f>
        <v>0</v>
      </c>
      <c r="E735" s="72" t="str">
        <f t="shared" si="189"/>
        <v/>
      </c>
      <c r="F735" s="19" t="str">
        <f>IF($D735=1,INDEX(TblClusters[Cluster],$B735),"")</f>
        <v/>
      </c>
      <c r="G735" s="19" t="str">
        <f>IF($D735=1,INDEX(TblClusters[Plateforme],$B735),"")</f>
        <v/>
      </c>
      <c r="H735" s="19" t="str">
        <f>IF($D735=1,INDEX(TblClusters[vCPU par nœud],$B735),"")</f>
        <v/>
      </c>
      <c r="I735" s="19" t="str">
        <f>IF($D735=1,INDEX(TblClusters[RAM par nœud (Go)],$B735),"")</f>
        <v/>
      </c>
      <c r="J735" s="19" t="str">
        <f>IF($D735=1,INDEX(TblClusters[Workers min],$B735),"")</f>
        <v/>
      </c>
      <c r="K735" s="73" t="str">
        <f>IF($D735=1,INDEX(TblClusters[Tarif par nœud],$B735),"")</f>
        <v/>
      </c>
      <c r="L735" s="19" t="str">
        <f>IF($D735=1,INDEX(TblClusters[CPU initial (vCPU)],$B735),"")</f>
        <v/>
      </c>
      <c r="M735" s="19" t="str">
        <f>IF($D735=1,INDEX(TblClusters[RAM initiale (Go)],$B735),"")</f>
        <v/>
      </c>
      <c r="N735" s="19" t="str">
        <f>IF($D735=1,INDEX(TblClusters[CPU min (vCPU)],$B735),"")</f>
        <v/>
      </c>
      <c r="O735" s="19" t="str">
        <f>IF($D735=1,INDEX(TblClusters[RAM min (Go)],$B735),"")</f>
        <v/>
      </c>
      <c r="P735" s="19" t="str">
        <f>IF($D735&lt;&gt;1,"",IF($G735="ROKS",SUMIFS(TblApplications[Besoin ROKS CPU (vCPU)],TblApplications[Cluster ROKS cible],$F735,TblApplications[Action],"À migrer",TblApplications[Déjà incluse ROKS],"Non",TblApplications[Mois prov (calc)],"&lt;="&amp;$E735),SUMIFS(TblApplications[CPU IKS libérable (vCPU)],TblApplications[Cluster IKS source],$F735,TblApplications[Mois lib (calc)],"&lt;="&amp;$E735)))</f>
        <v/>
      </c>
      <c r="Q735" s="19" t="str">
        <f>IF($D735&lt;&gt;1,"",IF($G735="ROKS",SUMIFS(TblApplications[Besoin ROKS RAM (Go)],TblApplications[Cluster ROKS cible],$F735,TblApplications[Action],"À migrer",TblApplications[Déjà incluse ROKS],"Non",TblApplications[Mois prov (calc)],"&lt;="&amp;$E735),SUMIFS(TblApplications[RAM IKS libérable (Go)],TblApplications[Cluster IKS source],$F735,TblApplications[Mois lib (calc)],"&lt;="&amp;$E735)))</f>
        <v/>
      </c>
      <c r="R735" s="19" t="str">
        <f t="shared" si="190"/>
        <v/>
      </c>
      <c r="S735" s="19" t="str">
        <f t="shared" si="191"/>
        <v/>
      </c>
      <c r="T735" s="19" t="str">
        <f t="shared" si="192"/>
        <v/>
      </c>
      <c r="U735" s="19" t="str">
        <f t="shared" si="193"/>
        <v/>
      </c>
      <c r="V735" s="19" t="str">
        <f t="shared" si="194"/>
        <v/>
      </c>
      <c r="W735" s="73" t="str">
        <f t="shared" si="195"/>
        <v/>
      </c>
      <c r="X735" s="19" t="str">
        <f>IF($D735&lt;&gt;1,"",IF($G735="ROKS",$R735,IF($AI735=1,0,MAX($N735,$L735-SUMIFS(TblApplications[CPU IKS libérable (vCPU)],TblApplications[Cluster IKS source],$F735,TblApplications[Action],"À migrer",TblApplications[Mois prov (calc)],"&lt;="&amp;$E735)-SUMIFS(TblApplications[CPU IKS libérable (vCPU)],TblApplications[Cluster IKS source],$F735,TblApplications[Action],"À décommissionner",TblApplications[Mois lib (calc)],"&lt;="&amp;$E735)))))</f>
        <v/>
      </c>
      <c r="Y735" s="19" t="str">
        <f>IF($D735&lt;&gt;1,"",IF($G735="ROKS",$S735,IF($AI735=1,0,MAX($O735,$M735-SUMIFS(TblApplications[RAM IKS libérable (Go)],TblApplications[Cluster IKS source],$F735,TblApplications[Action],"À migrer",TblApplications[Mois prov (calc)],"&lt;="&amp;$E735)-SUMIFS(TblApplications[RAM IKS libérable (Go)],TblApplications[Cluster IKS source],$F735,TblApplications[Action],"À décommissionner",TblApplications[Mois lib (calc)],"&lt;="&amp;$E735)))))</f>
        <v/>
      </c>
      <c r="Z735" s="19" t="str">
        <f t="shared" si="196"/>
        <v/>
      </c>
      <c r="AA735" s="73" t="str">
        <f t="shared" si="197"/>
        <v/>
      </c>
      <c r="AB735" s="19" t="str">
        <f t="shared" si="198"/>
        <v/>
      </c>
      <c r="AC735" s="73" t="str">
        <f t="shared" si="199"/>
        <v/>
      </c>
      <c r="AD735" s="19" t="str">
        <f t="shared" si="200"/>
        <v/>
      </c>
      <c r="AE735" s="19" t="str">
        <f t="shared" si="201"/>
        <v/>
      </c>
      <c r="AF735" s="19" t="str">
        <f>IF($D735&lt;&gt;1,"",IF(INDEX(TblClusters[Environnement],$B735)="","(vide)",INDEX(TblClusters[Environnement],$B735)))</f>
        <v/>
      </c>
      <c r="AG735" s="19" t="str">
        <f t="shared" si="202"/>
        <v/>
      </c>
      <c r="AH735" s="19" t="str">
        <f t="shared" si="203"/>
        <v/>
      </c>
      <c r="AI735" s="19" t="str">
        <f>IF($D735&lt;&gt;1,"",IF(AND($G735="IKS",ISNUMBER(INDEX(TblClusters[Fermeture retenue],$B735))),IF($E735&gt;=INDEX(TblClusters[Fermeture retenue],$B735),1,0),0))</f>
        <v/>
      </c>
    </row>
    <row r="736" spans="1:35" x14ac:dyDescent="0.2">
      <c r="A736" s="19">
        <v>731</v>
      </c>
      <c r="B736" s="19">
        <f t="shared" si="187"/>
        <v>21</v>
      </c>
      <c r="C736" s="19">
        <f t="shared" si="188"/>
        <v>11</v>
      </c>
      <c r="D736" s="19">
        <f>IF($C736&gt;p_horizon,0,IFERROR(IF(AND(INDEX(TblClusters[Cluster],$B736)&lt;&gt;"",ISNUMBER(INDEX(TblClusters[CPU initial (vCPU)],$B736)),ISNUMBER(INDEX(TblClusters[CPU min (vCPU)],$B736)),OR(INDEX(TblClusters[Plateforme],$B736)="IKS",INDEX(TblClusters[Plateforme],$B736)="ROKS")),1,0),0))</f>
        <v>0</v>
      </c>
      <c r="E736" s="72" t="str">
        <f t="shared" si="189"/>
        <v/>
      </c>
      <c r="F736" s="19" t="str">
        <f>IF($D736=1,INDEX(TblClusters[Cluster],$B736),"")</f>
        <v/>
      </c>
      <c r="G736" s="19" t="str">
        <f>IF($D736=1,INDEX(TblClusters[Plateforme],$B736),"")</f>
        <v/>
      </c>
      <c r="H736" s="19" t="str">
        <f>IF($D736=1,INDEX(TblClusters[vCPU par nœud],$B736),"")</f>
        <v/>
      </c>
      <c r="I736" s="19" t="str">
        <f>IF($D736=1,INDEX(TblClusters[RAM par nœud (Go)],$B736),"")</f>
        <v/>
      </c>
      <c r="J736" s="19" t="str">
        <f>IF($D736=1,INDEX(TblClusters[Workers min],$B736),"")</f>
        <v/>
      </c>
      <c r="K736" s="73" t="str">
        <f>IF($D736=1,INDEX(TblClusters[Tarif par nœud],$B736),"")</f>
        <v/>
      </c>
      <c r="L736" s="19" t="str">
        <f>IF($D736=1,INDEX(TblClusters[CPU initial (vCPU)],$B736),"")</f>
        <v/>
      </c>
      <c r="M736" s="19" t="str">
        <f>IF($D736=1,INDEX(TblClusters[RAM initiale (Go)],$B736),"")</f>
        <v/>
      </c>
      <c r="N736" s="19" t="str">
        <f>IF($D736=1,INDEX(TblClusters[CPU min (vCPU)],$B736),"")</f>
        <v/>
      </c>
      <c r="O736" s="19" t="str">
        <f>IF($D736=1,INDEX(TblClusters[RAM min (Go)],$B736),"")</f>
        <v/>
      </c>
      <c r="P736" s="19" t="str">
        <f>IF($D736&lt;&gt;1,"",IF($G736="ROKS",SUMIFS(TblApplications[Besoin ROKS CPU (vCPU)],TblApplications[Cluster ROKS cible],$F736,TblApplications[Action],"À migrer",TblApplications[Déjà incluse ROKS],"Non",TblApplications[Mois prov (calc)],"&lt;="&amp;$E736),SUMIFS(TblApplications[CPU IKS libérable (vCPU)],TblApplications[Cluster IKS source],$F736,TblApplications[Mois lib (calc)],"&lt;="&amp;$E736)))</f>
        <v/>
      </c>
      <c r="Q736" s="19" t="str">
        <f>IF($D736&lt;&gt;1,"",IF($G736="ROKS",SUMIFS(TblApplications[Besoin ROKS RAM (Go)],TblApplications[Cluster ROKS cible],$F736,TblApplications[Action],"À migrer",TblApplications[Déjà incluse ROKS],"Non",TblApplications[Mois prov (calc)],"&lt;="&amp;$E736),SUMIFS(TblApplications[RAM IKS libérable (Go)],TblApplications[Cluster IKS source],$F736,TblApplications[Mois lib (calc)],"&lt;="&amp;$E736)))</f>
        <v/>
      </c>
      <c r="R736" s="19" t="str">
        <f t="shared" si="190"/>
        <v/>
      </c>
      <c r="S736" s="19" t="str">
        <f t="shared" si="191"/>
        <v/>
      </c>
      <c r="T736" s="19" t="str">
        <f t="shared" si="192"/>
        <v/>
      </c>
      <c r="U736" s="19" t="str">
        <f t="shared" si="193"/>
        <v/>
      </c>
      <c r="V736" s="19" t="str">
        <f t="shared" si="194"/>
        <v/>
      </c>
      <c r="W736" s="73" t="str">
        <f t="shared" si="195"/>
        <v/>
      </c>
      <c r="X736" s="19" t="str">
        <f>IF($D736&lt;&gt;1,"",IF($G736="ROKS",$R736,IF($AI736=1,0,MAX($N736,$L736-SUMIFS(TblApplications[CPU IKS libérable (vCPU)],TblApplications[Cluster IKS source],$F736,TblApplications[Action],"À migrer",TblApplications[Mois prov (calc)],"&lt;="&amp;$E736)-SUMIFS(TblApplications[CPU IKS libérable (vCPU)],TblApplications[Cluster IKS source],$F736,TblApplications[Action],"À décommissionner",TblApplications[Mois lib (calc)],"&lt;="&amp;$E736)))))</f>
        <v/>
      </c>
      <c r="Y736" s="19" t="str">
        <f>IF($D736&lt;&gt;1,"",IF($G736="ROKS",$S736,IF($AI736=1,0,MAX($O736,$M736-SUMIFS(TblApplications[RAM IKS libérable (Go)],TblApplications[Cluster IKS source],$F736,TblApplications[Action],"À migrer",TblApplications[Mois prov (calc)],"&lt;="&amp;$E736)-SUMIFS(TblApplications[RAM IKS libérable (Go)],TblApplications[Cluster IKS source],$F736,TblApplications[Action],"À décommissionner",TblApplications[Mois lib (calc)],"&lt;="&amp;$E736)))))</f>
        <v/>
      </c>
      <c r="Z736" s="19" t="str">
        <f t="shared" si="196"/>
        <v/>
      </c>
      <c r="AA736" s="73" t="str">
        <f t="shared" si="197"/>
        <v/>
      </c>
      <c r="AB736" s="19" t="str">
        <f t="shared" si="198"/>
        <v/>
      </c>
      <c r="AC736" s="73" t="str">
        <f t="shared" si="199"/>
        <v/>
      </c>
      <c r="AD736" s="19" t="str">
        <f t="shared" si="200"/>
        <v/>
      </c>
      <c r="AE736" s="19" t="str">
        <f t="shared" si="201"/>
        <v/>
      </c>
      <c r="AF736" s="19" t="str">
        <f>IF($D736&lt;&gt;1,"",IF(INDEX(TblClusters[Environnement],$B736)="","(vide)",INDEX(TblClusters[Environnement],$B736)))</f>
        <v/>
      </c>
      <c r="AG736" s="19" t="str">
        <f t="shared" si="202"/>
        <v/>
      </c>
      <c r="AH736" s="19" t="str">
        <f t="shared" si="203"/>
        <v/>
      </c>
      <c r="AI736" s="19" t="str">
        <f>IF($D736&lt;&gt;1,"",IF(AND($G736="IKS",ISNUMBER(INDEX(TblClusters[Fermeture retenue],$B736))),IF($E736&gt;=INDEX(TblClusters[Fermeture retenue],$B736),1,0),0))</f>
        <v/>
      </c>
    </row>
    <row r="737" spans="1:35" x14ac:dyDescent="0.2">
      <c r="A737" s="19">
        <v>732</v>
      </c>
      <c r="B737" s="19">
        <f t="shared" si="187"/>
        <v>21</v>
      </c>
      <c r="C737" s="19">
        <f t="shared" si="188"/>
        <v>12</v>
      </c>
      <c r="D737" s="19">
        <f>IF($C737&gt;p_horizon,0,IFERROR(IF(AND(INDEX(TblClusters[Cluster],$B737)&lt;&gt;"",ISNUMBER(INDEX(TblClusters[CPU initial (vCPU)],$B737)),ISNUMBER(INDEX(TblClusters[CPU min (vCPU)],$B737)),OR(INDEX(TblClusters[Plateforme],$B737)="IKS",INDEX(TblClusters[Plateforme],$B737)="ROKS")),1,0),0))</f>
        <v>0</v>
      </c>
      <c r="E737" s="72" t="str">
        <f t="shared" si="189"/>
        <v/>
      </c>
      <c r="F737" s="19" t="str">
        <f>IF($D737=1,INDEX(TblClusters[Cluster],$B737),"")</f>
        <v/>
      </c>
      <c r="G737" s="19" t="str">
        <f>IF($D737=1,INDEX(TblClusters[Plateforme],$B737),"")</f>
        <v/>
      </c>
      <c r="H737" s="19" t="str">
        <f>IF($D737=1,INDEX(TblClusters[vCPU par nœud],$B737),"")</f>
        <v/>
      </c>
      <c r="I737" s="19" t="str">
        <f>IF($D737=1,INDEX(TblClusters[RAM par nœud (Go)],$B737),"")</f>
        <v/>
      </c>
      <c r="J737" s="19" t="str">
        <f>IF($D737=1,INDEX(TblClusters[Workers min],$B737),"")</f>
        <v/>
      </c>
      <c r="K737" s="73" t="str">
        <f>IF($D737=1,INDEX(TblClusters[Tarif par nœud],$B737),"")</f>
        <v/>
      </c>
      <c r="L737" s="19" t="str">
        <f>IF($D737=1,INDEX(TblClusters[CPU initial (vCPU)],$B737),"")</f>
        <v/>
      </c>
      <c r="M737" s="19" t="str">
        <f>IF($D737=1,INDEX(TblClusters[RAM initiale (Go)],$B737),"")</f>
        <v/>
      </c>
      <c r="N737" s="19" t="str">
        <f>IF($D737=1,INDEX(TblClusters[CPU min (vCPU)],$B737),"")</f>
        <v/>
      </c>
      <c r="O737" s="19" t="str">
        <f>IF($D737=1,INDEX(TblClusters[RAM min (Go)],$B737),"")</f>
        <v/>
      </c>
      <c r="P737" s="19" t="str">
        <f>IF($D737&lt;&gt;1,"",IF($G737="ROKS",SUMIFS(TblApplications[Besoin ROKS CPU (vCPU)],TblApplications[Cluster ROKS cible],$F737,TblApplications[Action],"À migrer",TblApplications[Déjà incluse ROKS],"Non",TblApplications[Mois prov (calc)],"&lt;="&amp;$E737),SUMIFS(TblApplications[CPU IKS libérable (vCPU)],TblApplications[Cluster IKS source],$F737,TblApplications[Mois lib (calc)],"&lt;="&amp;$E737)))</f>
        <v/>
      </c>
      <c r="Q737" s="19" t="str">
        <f>IF($D737&lt;&gt;1,"",IF($G737="ROKS",SUMIFS(TblApplications[Besoin ROKS RAM (Go)],TblApplications[Cluster ROKS cible],$F737,TblApplications[Action],"À migrer",TblApplications[Déjà incluse ROKS],"Non",TblApplications[Mois prov (calc)],"&lt;="&amp;$E737),SUMIFS(TblApplications[RAM IKS libérable (Go)],TblApplications[Cluster IKS source],$F737,TblApplications[Mois lib (calc)],"&lt;="&amp;$E737)))</f>
        <v/>
      </c>
      <c r="R737" s="19" t="str">
        <f t="shared" si="190"/>
        <v/>
      </c>
      <c r="S737" s="19" t="str">
        <f t="shared" si="191"/>
        <v/>
      </c>
      <c r="T737" s="19" t="str">
        <f t="shared" si="192"/>
        <v/>
      </c>
      <c r="U737" s="19" t="str">
        <f t="shared" si="193"/>
        <v/>
      </c>
      <c r="V737" s="19" t="str">
        <f t="shared" si="194"/>
        <v/>
      </c>
      <c r="W737" s="73" t="str">
        <f t="shared" si="195"/>
        <v/>
      </c>
      <c r="X737" s="19" t="str">
        <f>IF($D737&lt;&gt;1,"",IF($G737="ROKS",$R737,IF($AI737=1,0,MAX($N737,$L737-SUMIFS(TblApplications[CPU IKS libérable (vCPU)],TblApplications[Cluster IKS source],$F737,TblApplications[Action],"À migrer",TblApplications[Mois prov (calc)],"&lt;="&amp;$E737)-SUMIFS(TblApplications[CPU IKS libérable (vCPU)],TblApplications[Cluster IKS source],$F737,TblApplications[Action],"À décommissionner",TblApplications[Mois lib (calc)],"&lt;="&amp;$E737)))))</f>
        <v/>
      </c>
      <c r="Y737" s="19" t="str">
        <f>IF($D737&lt;&gt;1,"",IF($G737="ROKS",$S737,IF($AI737=1,0,MAX($O737,$M737-SUMIFS(TblApplications[RAM IKS libérable (Go)],TblApplications[Cluster IKS source],$F737,TblApplications[Action],"À migrer",TblApplications[Mois prov (calc)],"&lt;="&amp;$E737)-SUMIFS(TblApplications[RAM IKS libérable (Go)],TblApplications[Cluster IKS source],$F737,TblApplications[Action],"À décommissionner",TblApplications[Mois lib (calc)],"&lt;="&amp;$E737)))))</f>
        <v/>
      </c>
      <c r="Z737" s="19" t="str">
        <f t="shared" si="196"/>
        <v/>
      </c>
      <c r="AA737" s="73" t="str">
        <f t="shared" si="197"/>
        <v/>
      </c>
      <c r="AB737" s="19" t="str">
        <f t="shared" si="198"/>
        <v/>
      </c>
      <c r="AC737" s="73" t="str">
        <f t="shared" si="199"/>
        <v/>
      </c>
      <c r="AD737" s="19" t="str">
        <f t="shared" si="200"/>
        <v/>
      </c>
      <c r="AE737" s="19" t="str">
        <f t="shared" si="201"/>
        <v/>
      </c>
      <c r="AF737" s="19" t="str">
        <f>IF($D737&lt;&gt;1,"",IF(INDEX(TblClusters[Environnement],$B737)="","(vide)",INDEX(TblClusters[Environnement],$B737)))</f>
        <v/>
      </c>
      <c r="AG737" s="19" t="str">
        <f t="shared" si="202"/>
        <v/>
      </c>
      <c r="AH737" s="19" t="str">
        <f t="shared" si="203"/>
        <v/>
      </c>
      <c r="AI737" s="19" t="str">
        <f>IF($D737&lt;&gt;1,"",IF(AND($G737="IKS",ISNUMBER(INDEX(TblClusters[Fermeture retenue],$B737))),IF($E737&gt;=INDEX(TblClusters[Fermeture retenue],$B737),1,0),0))</f>
        <v/>
      </c>
    </row>
    <row r="738" spans="1:35" x14ac:dyDescent="0.2">
      <c r="A738" s="19">
        <v>733</v>
      </c>
      <c r="B738" s="19">
        <f t="shared" si="187"/>
        <v>21</v>
      </c>
      <c r="C738" s="19">
        <f t="shared" si="188"/>
        <v>13</v>
      </c>
      <c r="D738" s="19">
        <f>IF($C738&gt;p_horizon,0,IFERROR(IF(AND(INDEX(TblClusters[Cluster],$B738)&lt;&gt;"",ISNUMBER(INDEX(TblClusters[CPU initial (vCPU)],$B738)),ISNUMBER(INDEX(TblClusters[CPU min (vCPU)],$B738)),OR(INDEX(TblClusters[Plateforme],$B738)="IKS",INDEX(TblClusters[Plateforme],$B738)="ROKS")),1,0),0))</f>
        <v>0</v>
      </c>
      <c r="E738" s="72" t="str">
        <f t="shared" si="189"/>
        <v/>
      </c>
      <c r="F738" s="19" t="str">
        <f>IF($D738=1,INDEX(TblClusters[Cluster],$B738),"")</f>
        <v/>
      </c>
      <c r="G738" s="19" t="str">
        <f>IF($D738=1,INDEX(TblClusters[Plateforme],$B738),"")</f>
        <v/>
      </c>
      <c r="H738" s="19" t="str">
        <f>IF($D738=1,INDEX(TblClusters[vCPU par nœud],$B738),"")</f>
        <v/>
      </c>
      <c r="I738" s="19" t="str">
        <f>IF($D738=1,INDEX(TblClusters[RAM par nœud (Go)],$B738),"")</f>
        <v/>
      </c>
      <c r="J738" s="19" t="str">
        <f>IF($D738=1,INDEX(TblClusters[Workers min],$B738),"")</f>
        <v/>
      </c>
      <c r="K738" s="73" t="str">
        <f>IF($D738=1,INDEX(TblClusters[Tarif par nœud],$B738),"")</f>
        <v/>
      </c>
      <c r="L738" s="19" t="str">
        <f>IF($D738=1,INDEX(TblClusters[CPU initial (vCPU)],$B738),"")</f>
        <v/>
      </c>
      <c r="M738" s="19" t="str">
        <f>IF($D738=1,INDEX(TblClusters[RAM initiale (Go)],$B738),"")</f>
        <v/>
      </c>
      <c r="N738" s="19" t="str">
        <f>IF($D738=1,INDEX(TblClusters[CPU min (vCPU)],$B738),"")</f>
        <v/>
      </c>
      <c r="O738" s="19" t="str">
        <f>IF($D738=1,INDEX(TblClusters[RAM min (Go)],$B738),"")</f>
        <v/>
      </c>
      <c r="P738" s="19" t="str">
        <f>IF($D738&lt;&gt;1,"",IF($G738="ROKS",SUMIFS(TblApplications[Besoin ROKS CPU (vCPU)],TblApplications[Cluster ROKS cible],$F738,TblApplications[Action],"À migrer",TblApplications[Déjà incluse ROKS],"Non",TblApplications[Mois prov (calc)],"&lt;="&amp;$E738),SUMIFS(TblApplications[CPU IKS libérable (vCPU)],TblApplications[Cluster IKS source],$F738,TblApplications[Mois lib (calc)],"&lt;="&amp;$E738)))</f>
        <v/>
      </c>
      <c r="Q738" s="19" t="str">
        <f>IF($D738&lt;&gt;1,"",IF($G738="ROKS",SUMIFS(TblApplications[Besoin ROKS RAM (Go)],TblApplications[Cluster ROKS cible],$F738,TblApplications[Action],"À migrer",TblApplications[Déjà incluse ROKS],"Non",TblApplications[Mois prov (calc)],"&lt;="&amp;$E738),SUMIFS(TblApplications[RAM IKS libérable (Go)],TblApplications[Cluster IKS source],$F738,TblApplications[Mois lib (calc)],"&lt;="&amp;$E738)))</f>
        <v/>
      </c>
      <c r="R738" s="19" t="str">
        <f t="shared" si="190"/>
        <v/>
      </c>
      <c r="S738" s="19" t="str">
        <f t="shared" si="191"/>
        <v/>
      </c>
      <c r="T738" s="19" t="str">
        <f t="shared" si="192"/>
        <v/>
      </c>
      <c r="U738" s="19" t="str">
        <f t="shared" si="193"/>
        <v/>
      </c>
      <c r="V738" s="19" t="str">
        <f t="shared" si="194"/>
        <v/>
      </c>
      <c r="W738" s="73" t="str">
        <f t="shared" si="195"/>
        <v/>
      </c>
      <c r="X738" s="19" t="str">
        <f>IF($D738&lt;&gt;1,"",IF($G738="ROKS",$R738,IF($AI738=1,0,MAX($N738,$L738-SUMIFS(TblApplications[CPU IKS libérable (vCPU)],TblApplications[Cluster IKS source],$F738,TblApplications[Action],"À migrer",TblApplications[Mois prov (calc)],"&lt;="&amp;$E738)-SUMIFS(TblApplications[CPU IKS libérable (vCPU)],TblApplications[Cluster IKS source],$F738,TblApplications[Action],"À décommissionner",TblApplications[Mois lib (calc)],"&lt;="&amp;$E738)))))</f>
        <v/>
      </c>
      <c r="Y738" s="19" t="str">
        <f>IF($D738&lt;&gt;1,"",IF($G738="ROKS",$S738,IF($AI738=1,0,MAX($O738,$M738-SUMIFS(TblApplications[RAM IKS libérable (Go)],TblApplications[Cluster IKS source],$F738,TblApplications[Action],"À migrer",TblApplications[Mois prov (calc)],"&lt;="&amp;$E738)-SUMIFS(TblApplications[RAM IKS libérable (Go)],TblApplications[Cluster IKS source],$F738,TblApplications[Action],"À décommissionner",TblApplications[Mois lib (calc)],"&lt;="&amp;$E738)))))</f>
        <v/>
      </c>
      <c r="Z738" s="19" t="str">
        <f t="shared" si="196"/>
        <v/>
      </c>
      <c r="AA738" s="73" t="str">
        <f t="shared" si="197"/>
        <v/>
      </c>
      <c r="AB738" s="19" t="str">
        <f t="shared" si="198"/>
        <v/>
      </c>
      <c r="AC738" s="73" t="str">
        <f t="shared" si="199"/>
        <v/>
      </c>
      <c r="AD738" s="19" t="str">
        <f t="shared" si="200"/>
        <v/>
      </c>
      <c r="AE738" s="19" t="str">
        <f t="shared" si="201"/>
        <v/>
      </c>
      <c r="AF738" s="19" t="str">
        <f>IF($D738&lt;&gt;1,"",IF(INDEX(TblClusters[Environnement],$B738)="","(vide)",INDEX(TblClusters[Environnement],$B738)))</f>
        <v/>
      </c>
      <c r="AG738" s="19" t="str">
        <f t="shared" si="202"/>
        <v/>
      </c>
      <c r="AH738" s="19" t="str">
        <f t="shared" si="203"/>
        <v/>
      </c>
      <c r="AI738" s="19" t="str">
        <f>IF($D738&lt;&gt;1,"",IF(AND($G738="IKS",ISNUMBER(INDEX(TblClusters[Fermeture retenue],$B738))),IF($E738&gt;=INDEX(TblClusters[Fermeture retenue],$B738),1,0),0))</f>
        <v/>
      </c>
    </row>
    <row r="739" spans="1:35" x14ac:dyDescent="0.2">
      <c r="A739" s="19">
        <v>734</v>
      </c>
      <c r="B739" s="19">
        <f t="shared" si="187"/>
        <v>21</v>
      </c>
      <c r="C739" s="19">
        <f t="shared" si="188"/>
        <v>14</v>
      </c>
      <c r="D739" s="19">
        <f>IF($C739&gt;p_horizon,0,IFERROR(IF(AND(INDEX(TblClusters[Cluster],$B739)&lt;&gt;"",ISNUMBER(INDEX(TblClusters[CPU initial (vCPU)],$B739)),ISNUMBER(INDEX(TblClusters[CPU min (vCPU)],$B739)),OR(INDEX(TblClusters[Plateforme],$B739)="IKS",INDEX(TblClusters[Plateforme],$B739)="ROKS")),1,0),0))</f>
        <v>0</v>
      </c>
      <c r="E739" s="72" t="str">
        <f t="shared" si="189"/>
        <v/>
      </c>
      <c r="F739" s="19" t="str">
        <f>IF($D739=1,INDEX(TblClusters[Cluster],$B739),"")</f>
        <v/>
      </c>
      <c r="G739" s="19" t="str">
        <f>IF($D739=1,INDEX(TblClusters[Plateforme],$B739),"")</f>
        <v/>
      </c>
      <c r="H739" s="19" t="str">
        <f>IF($D739=1,INDEX(TblClusters[vCPU par nœud],$B739),"")</f>
        <v/>
      </c>
      <c r="I739" s="19" t="str">
        <f>IF($D739=1,INDEX(TblClusters[RAM par nœud (Go)],$B739),"")</f>
        <v/>
      </c>
      <c r="J739" s="19" t="str">
        <f>IF($D739=1,INDEX(TblClusters[Workers min],$B739),"")</f>
        <v/>
      </c>
      <c r="K739" s="73" t="str">
        <f>IF($D739=1,INDEX(TblClusters[Tarif par nœud],$B739),"")</f>
        <v/>
      </c>
      <c r="L739" s="19" t="str">
        <f>IF($D739=1,INDEX(TblClusters[CPU initial (vCPU)],$B739),"")</f>
        <v/>
      </c>
      <c r="M739" s="19" t="str">
        <f>IF($D739=1,INDEX(TblClusters[RAM initiale (Go)],$B739),"")</f>
        <v/>
      </c>
      <c r="N739" s="19" t="str">
        <f>IF($D739=1,INDEX(TblClusters[CPU min (vCPU)],$B739),"")</f>
        <v/>
      </c>
      <c r="O739" s="19" t="str">
        <f>IF($D739=1,INDEX(TblClusters[RAM min (Go)],$B739),"")</f>
        <v/>
      </c>
      <c r="P739" s="19" t="str">
        <f>IF($D739&lt;&gt;1,"",IF($G739="ROKS",SUMIFS(TblApplications[Besoin ROKS CPU (vCPU)],TblApplications[Cluster ROKS cible],$F739,TblApplications[Action],"À migrer",TblApplications[Déjà incluse ROKS],"Non",TblApplications[Mois prov (calc)],"&lt;="&amp;$E739),SUMIFS(TblApplications[CPU IKS libérable (vCPU)],TblApplications[Cluster IKS source],$F739,TblApplications[Mois lib (calc)],"&lt;="&amp;$E739)))</f>
        <v/>
      </c>
      <c r="Q739" s="19" t="str">
        <f>IF($D739&lt;&gt;1,"",IF($G739="ROKS",SUMIFS(TblApplications[Besoin ROKS RAM (Go)],TblApplications[Cluster ROKS cible],$F739,TblApplications[Action],"À migrer",TblApplications[Déjà incluse ROKS],"Non",TblApplications[Mois prov (calc)],"&lt;="&amp;$E739),SUMIFS(TblApplications[RAM IKS libérable (Go)],TblApplications[Cluster IKS source],$F739,TblApplications[Mois lib (calc)],"&lt;="&amp;$E739)))</f>
        <v/>
      </c>
      <c r="R739" s="19" t="str">
        <f t="shared" si="190"/>
        <v/>
      </c>
      <c r="S739" s="19" t="str">
        <f t="shared" si="191"/>
        <v/>
      </c>
      <c r="T739" s="19" t="str">
        <f t="shared" si="192"/>
        <v/>
      </c>
      <c r="U739" s="19" t="str">
        <f t="shared" si="193"/>
        <v/>
      </c>
      <c r="V739" s="19" t="str">
        <f t="shared" si="194"/>
        <v/>
      </c>
      <c r="W739" s="73" t="str">
        <f t="shared" si="195"/>
        <v/>
      </c>
      <c r="X739" s="19" t="str">
        <f>IF($D739&lt;&gt;1,"",IF($G739="ROKS",$R739,IF($AI739=1,0,MAX($N739,$L739-SUMIFS(TblApplications[CPU IKS libérable (vCPU)],TblApplications[Cluster IKS source],$F739,TblApplications[Action],"À migrer",TblApplications[Mois prov (calc)],"&lt;="&amp;$E739)-SUMIFS(TblApplications[CPU IKS libérable (vCPU)],TblApplications[Cluster IKS source],$F739,TblApplications[Action],"À décommissionner",TblApplications[Mois lib (calc)],"&lt;="&amp;$E739)))))</f>
        <v/>
      </c>
      <c r="Y739" s="19" t="str">
        <f>IF($D739&lt;&gt;1,"",IF($G739="ROKS",$S739,IF($AI739=1,0,MAX($O739,$M739-SUMIFS(TblApplications[RAM IKS libérable (Go)],TblApplications[Cluster IKS source],$F739,TblApplications[Action],"À migrer",TblApplications[Mois prov (calc)],"&lt;="&amp;$E739)-SUMIFS(TblApplications[RAM IKS libérable (Go)],TblApplications[Cluster IKS source],$F739,TblApplications[Action],"À décommissionner",TblApplications[Mois lib (calc)],"&lt;="&amp;$E739)))))</f>
        <v/>
      </c>
      <c r="Z739" s="19" t="str">
        <f t="shared" si="196"/>
        <v/>
      </c>
      <c r="AA739" s="73" t="str">
        <f t="shared" si="197"/>
        <v/>
      </c>
      <c r="AB739" s="19" t="str">
        <f t="shared" si="198"/>
        <v/>
      </c>
      <c r="AC739" s="73" t="str">
        <f t="shared" si="199"/>
        <v/>
      </c>
      <c r="AD739" s="19" t="str">
        <f t="shared" si="200"/>
        <v/>
      </c>
      <c r="AE739" s="19" t="str">
        <f t="shared" si="201"/>
        <v/>
      </c>
      <c r="AF739" s="19" t="str">
        <f>IF($D739&lt;&gt;1,"",IF(INDEX(TblClusters[Environnement],$B739)="","(vide)",INDEX(TblClusters[Environnement],$B739)))</f>
        <v/>
      </c>
      <c r="AG739" s="19" t="str">
        <f t="shared" si="202"/>
        <v/>
      </c>
      <c r="AH739" s="19" t="str">
        <f t="shared" si="203"/>
        <v/>
      </c>
      <c r="AI739" s="19" t="str">
        <f>IF($D739&lt;&gt;1,"",IF(AND($G739="IKS",ISNUMBER(INDEX(TblClusters[Fermeture retenue],$B739))),IF($E739&gt;=INDEX(TblClusters[Fermeture retenue],$B739),1,0),0))</f>
        <v/>
      </c>
    </row>
    <row r="740" spans="1:35" x14ac:dyDescent="0.2">
      <c r="A740" s="19">
        <v>735</v>
      </c>
      <c r="B740" s="19">
        <f t="shared" si="187"/>
        <v>21</v>
      </c>
      <c r="C740" s="19">
        <f t="shared" si="188"/>
        <v>15</v>
      </c>
      <c r="D740" s="19">
        <f>IF($C740&gt;p_horizon,0,IFERROR(IF(AND(INDEX(TblClusters[Cluster],$B740)&lt;&gt;"",ISNUMBER(INDEX(TblClusters[CPU initial (vCPU)],$B740)),ISNUMBER(INDEX(TblClusters[CPU min (vCPU)],$B740)),OR(INDEX(TblClusters[Plateforme],$B740)="IKS",INDEX(TblClusters[Plateforme],$B740)="ROKS")),1,0),0))</f>
        <v>0</v>
      </c>
      <c r="E740" s="72" t="str">
        <f t="shared" si="189"/>
        <v/>
      </c>
      <c r="F740" s="19" t="str">
        <f>IF($D740=1,INDEX(TblClusters[Cluster],$B740),"")</f>
        <v/>
      </c>
      <c r="G740" s="19" t="str">
        <f>IF($D740=1,INDEX(TblClusters[Plateforme],$B740),"")</f>
        <v/>
      </c>
      <c r="H740" s="19" t="str">
        <f>IF($D740=1,INDEX(TblClusters[vCPU par nœud],$B740),"")</f>
        <v/>
      </c>
      <c r="I740" s="19" t="str">
        <f>IF($D740=1,INDEX(TblClusters[RAM par nœud (Go)],$B740),"")</f>
        <v/>
      </c>
      <c r="J740" s="19" t="str">
        <f>IF($D740=1,INDEX(TblClusters[Workers min],$B740),"")</f>
        <v/>
      </c>
      <c r="K740" s="73" t="str">
        <f>IF($D740=1,INDEX(TblClusters[Tarif par nœud],$B740),"")</f>
        <v/>
      </c>
      <c r="L740" s="19" t="str">
        <f>IF($D740=1,INDEX(TblClusters[CPU initial (vCPU)],$B740),"")</f>
        <v/>
      </c>
      <c r="M740" s="19" t="str">
        <f>IF($D740=1,INDEX(TblClusters[RAM initiale (Go)],$B740),"")</f>
        <v/>
      </c>
      <c r="N740" s="19" t="str">
        <f>IF($D740=1,INDEX(TblClusters[CPU min (vCPU)],$B740),"")</f>
        <v/>
      </c>
      <c r="O740" s="19" t="str">
        <f>IF($D740=1,INDEX(TblClusters[RAM min (Go)],$B740),"")</f>
        <v/>
      </c>
      <c r="P740" s="19" t="str">
        <f>IF($D740&lt;&gt;1,"",IF($G740="ROKS",SUMIFS(TblApplications[Besoin ROKS CPU (vCPU)],TblApplications[Cluster ROKS cible],$F740,TblApplications[Action],"À migrer",TblApplications[Déjà incluse ROKS],"Non",TblApplications[Mois prov (calc)],"&lt;="&amp;$E740),SUMIFS(TblApplications[CPU IKS libérable (vCPU)],TblApplications[Cluster IKS source],$F740,TblApplications[Mois lib (calc)],"&lt;="&amp;$E740)))</f>
        <v/>
      </c>
      <c r="Q740" s="19" t="str">
        <f>IF($D740&lt;&gt;1,"",IF($G740="ROKS",SUMIFS(TblApplications[Besoin ROKS RAM (Go)],TblApplications[Cluster ROKS cible],$F740,TblApplications[Action],"À migrer",TblApplications[Déjà incluse ROKS],"Non",TblApplications[Mois prov (calc)],"&lt;="&amp;$E740),SUMIFS(TblApplications[RAM IKS libérable (Go)],TblApplications[Cluster IKS source],$F740,TblApplications[Mois lib (calc)],"&lt;="&amp;$E740)))</f>
        <v/>
      </c>
      <c r="R740" s="19" t="str">
        <f t="shared" si="190"/>
        <v/>
      </c>
      <c r="S740" s="19" t="str">
        <f t="shared" si="191"/>
        <v/>
      </c>
      <c r="T740" s="19" t="str">
        <f t="shared" si="192"/>
        <v/>
      </c>
      <c r="U740" s="19" t="str">
        <f t="shared" si="193"/>
        <v/>
      </c>
      <c r="V740" s="19" t="str">
        <f t="shared" si="194"/>
        <v/>
      </c>
      <c r="W740" s="73" t="str">
        <f t="shared" si="195"/>
        <v/>
      </c>
      <c r="X740" s="19" t="str">
        <f>IF($D740&lt;&gt;1,"",IF($G740="ROKS",$R740,IF($AI740=1,0,MAX($N740,$L740-SUMIFS(TblApplications[CPU IKS libérable (vCPU)],TblApplications[Cluster IKS source],$F740,TblApplications[Action],"À migrer",TblApplications[Mois prov (calc)],"&lt;="&amp;$E740)-SUMIFS(TblApplications[CPU IKS libérable (vCPU)],TblApplications[Cluster IKS source],$F740,TblApplications[Action],"À décommissionner",TblApplications[Mois lib (calc)],"&lt;="&amp;$E740)))))</f>
        <v/>
      </c>
      <c r="Y740" s="19" t="str">
        <f>IF($D740&lt;&gt;1,"",IF($G740="ROKS",$S740,IF($AI740=1,0,MAX($O740,$M740-SUMIFS(TblApplications[RAM IKS libérable (Go)],TblApplications[Cluster IKS source],$F740,TblApplications[Action],"À migrer",TblApplications[Mois prov (calc)],"&lt;="&amp;$E740)-SUMIFS(TblApplications[RAM IKS libérable (Go)],TblApplications[Cluster IKS source],$F740,TblApplications[Action],"À décommissionner",TblApplications[Mois lib (calc)],"&lt;="&amp;$E740)))))</f>
        <v/>
      </c>
      <c r="Z740" s="19" t="str">
        <f t="shared" si="196"/>
        <v/>
      </c>
      <c r="AA740" s="73" t="str">
        <f t="shared" si="197"/>
        <v/>
      </c>
      <c r="AB740" s="19" t="str">
        <f t="shared" si="198"/>
        <v/>
      </c>
      <c r="AC740" s="73" t="str">
        <f t="shared" si="199"/>
        <v/>
      </c>
      <c r="AD740" s="19" t="str">
        <f t="shared" si="200"/>
        <v/>
      </c>
      <c r="AE740" s="19" t="str">
        <f t="shared" si="201"/>
        <v/>
      </c>
      <c r="AF740" s="19" t="str">
        <f>IF($D740&lt;&gt;1,"",IF(INDEX(TblClusters[Environnement],$B740)="","(vide)",INDEX(TblClusters[Environnement],$B740)))</f>
        <v/>
      </c>
      <c r="AG740" s="19" t="str">
        <f t="shared" si="202"/>
        <v/>
      </c>
      <c r="AH740" s="19" t="str">
        <f t="shared" si="203"/>
        <v/>
      </c>
      <c r="AI740" s="19" t="str">
        <f>IF($D740&lt;&gt;1,"",IF(AND($G740="IKS",ISNUMBER(INDEX(TblClusters[Fermeture retenue],$B740))),IF($E740&gt;=INDEX(TblClusters[Fermeture retenue],$B740),1,0),0))</f>
        <v/>
      </c>
    </row>
    <row r="741" spans="1:35" x14ac:dyDescent="0.2">
      <c r="A741" s="19">
        <v>736</v>
      </c>
      <c r="B741" s="19">
        <f t="shared" si="187"/>
        <v>21</v>
      </c>
      <c r="C741" s="19">
        <f t="shared" si="188"/>
        <v>16</v>
      </c>
      <c r="D741" s="19">
        <f>IF($C741&gt;p_horizon,0,IFERROR(IF(AND(INDEX(TblClusters[Cluster],$B741)&lt;&gt;"",ISNUMBER(INDEX(TblClusters[CPU initial (vCPU)],$B741)),ISNUMBER(INDEX(TblClusters[CPU min (vCPU)],$B741)),OR(INDEX(TblClusters[Plateforme],$B741)="IKS",INDEX(TblClusters[Plateforme],$B741)="ROKS")),1,0),0))</f>
        <v>0</v>
      </c>
      <c r="E741" s="72" t="str">
        <f t="shared" si="189"/>
        <v/>
      </c>
      <c r="F741" s="19" t="str">
        <f>IF($D741=1,INDEX(TblClusters[Cluster],$B741),"")</f>
        <v/>
      </c>
      <c r="G741" s="19" t="str">
        <f>IF($D741=1,INDEX(TblClusters[Plateforme],$B741),"")</f>
        <v/>
      </c>
      <c r="H741" s="19" t="str">
        <f>IF($D741=1,INDEX(TblClusters[vCPU par nœud],$B741),"")</f>
        <v/>
      </c>
      <c r="I741" s="19" t="str">
        <f>IF($D741=1,INDEX(TblClusters[RAM par nœud (Go)],$B741),"")</f>
        <v/>
      </c>
      <c r="J741" s="19" t="str">
        <f>IF($D741=1,INDEX(TblClusters[Workers min],$B741),"")</f>
        <v/>
      </c>
      <c r="K741" s="73" t="str">
        <f>IF($D741=1,INDEX(TblClusters[Tarif par nœud],$B741),"")</f>
        <v/>
      </c>
      <c r="L741" s="19" t="str">
        <f>IF($D741=1,INDEX(TblClusters[CPU initial (vCPU)],$B741),"")</f>
        <v/>
      </c>
      <c r="M741" s="19" t="str">
        <f>IF($D741=1,INDEX(TblClusters[RAM initiale (Go)],$B741),"")</f>
        <v/>
      </c>
      <c r="N741" s="19" t="str">
        <f>IF($D741=1,INDEX(TblClusters[CPU min (vCPU)],$B741),"")</f>
        <v/>
      </c>
      <c r="O741" s="19" t="str">
        <f>IF($D741=1,INDEX(TblClusters[RAM min (Go)],$B741),"")</f>
        <v/>
      </c>
      <c r="P741" s="19" t="str">
        <f>IF($D741&lt;&gt;1,"",IF($G741="ROKS",SUMIFS(TblApplications[Besoin ROKS CPU (vCPU)],TblApplications[Cluster ROKS cible],$F741,TblApplications[Action],"À migrer",TblApplications[Déjà incluse ROKS],"Non",TblApplications[Mois prov (calc)],"&lt;="&amp;$E741),SUMIFS(TblApplications[CPU IKS libérable (vCPU)],TblApplications[Cluster IKS source],$F741,TblApplications[Mois lib (calc)],"&lt;="&amp;$E741)))</f>
        <v/>
      </c>
      <c r="Q741" s="19" t="str">
        <f>IF($D741&lt;&gt;1,"",IF($G741="ROKS",SUMIFS(TblApplications[Besoin ROKS RAM (Go)],TblApplications[Cluster ROKS cible],$F741,TblApplications[Action],"À migrer",TblApplications[Déjà incluse ROKS],"Non",TblApplications[Mois prov (calc)],"&lt;="&amp;$E741),SUMIFS(TblApplications[RAM IKS libérable (Go)],TblApplications[Cluster IKS source],$F741,TblApplications[Mois lib (calc)],"&lt;="&amp;$E741)))</f>
        <v/>
      </c>
      <c r="R741" s="19" t="str">
        <f t="shared" si="190"/>
        <v/>
      </c>
      <c r="S741" s="19" t="str">
        <f t="shared" si="191"/>
        <v/>
      </c>
      <c r="T741" s="19" t="str">
        <f t="shared" si="192"/>
        <v/>
      </c>
      <c r="U741" s="19" t="str">
        <f t="shared" si="193"/>
        <v/>
      </c>
      <c r="V741" s="19" t="str">
        <f t="shared" si="194"/>
        <v/>
      </c>
      <c r="W741" s="73" t="str">
        <f t="shared" si="195"/>
        <v/>
      </c>
      <c r="X741" s="19" t="str">
        <f>IF($D741&lt;&gt;1,"",IF($G741="ROKS",$R741,IF($AI741=1,0,MAX($N741,$L741-SUMIFS(TblApplications[CPU IKS libérable (vCPU)],TblApplications[Cluster IKS source],$F741,TblApplications[Action],"À migrer",TblApplications[Mois prov (calc)],"&lt;="&amp;$E741)-SUMIFS(TblApplications[CPU IKS libérable (vCPU)],TblApplications[Cluster IKS source],$F741,TblApplications[Action],"À décommissionner",TblApplications[Mois lib (calc)],"&lt;="&amp;$E741)))))</f>
        <v/>
      </c>
      <c r="Y741" s="19" t="str">
        <f>IF($D741&lt;&gt;1,"",IF($G741="ROKS",$S741,IF($AI741=1,0,MAX($O741,$M741-SUMIFS(TblApplications[RAM IKS libérable (Go)],TblApplications[Cluster IKS source],$F741,TblApplications[Action],"À migrer",TblApplications[Mois prov (calc)],"&lt;="&amp;$E741)-SUMIFS(TblApplications[RAM IKS libérable (Go)],TblApplications[Cluster IKS source],$F741,TblApplications[Action],"À décommissionner",TblApplications[Mois lib (calc)],"&lt;="&amp;$E741)))))</f>
        <v/>
      </c>
      <c r="Z741" s="19" t="str">
        <f t="shared" si="196"/>
        <v/>
      </c>
      <c r="AA741" s="73" t="str">
        <f t="shared" si="197"/>
        <v/>
      </c>
      <c r="AB741" s="19" t="str">
        <f t="shared" si="198"/>
        <v/>
      </c>
      <c r="AC741" s="73" t="str">
        <f t="shared" si="199"/>
        <v/>
      </c>
      <c r="AD741" s="19" t="str">
        <f t="shared" si="200"/>
        <v/>
      </c>
      <c r="AE741" s="19" t="str">
        <f t="shared" si="201"/>
        <v/>
      </c>
      <c r="AF741" s="19" t="str">
        <f>IF($D741&lt;&gt;1,"",IF(INDEX(TblClusters[Environnement],$B741)="","(vide)",INDEX(TblClusters[Environnement],$B741)))</f>
        <v/>
      </c>
      <c r="AG741" s="19" t="str">
        <f t="shared" si="202"/>
        <v/>
      </c>
      <c r="AH741" s="19" t="str">
        <f t="shared" si="203"/>
        <v/>
      </c>
      <c r="AI741" s="19" t="str">
        <f>IF($D741&lt;&gt;1,"",IF(AND($G741="IKS",ISNUMBER(INDEX(TblClusters[Fermeture retenue],$B741))),IF($E741&gt;=INDEX(TblClusters[Fermeture retenue],$B741),1,0),0))</f>
        <v/>
      </c>
    </row>
    <row r="742" spans="1:35" x14ac:dyDescent="0.2">
      <c r="A742" s="19">
        <v>737</v>
      </c>
      <c r="B742" s="19">
        <f t="shared" si="187"/>
        <v>21</v>
      </c>
      <c r="C742" s="19">
        <f t="shared" si="188"/>
        <v>17</v>
      </c>
      <c r="D742" s="19">
        <f>IF($C742&gt;p_horizon,0,IFERROR(IF(AND(INDEX(TblClusters[Cluster],$B742)&lt;&gt;"",ISNUMBER(INDEX(TblClusters[CPU initial (vCPU)],$B742)),ISNUMBER(INDEX(TblClusters[CPU min (vCPU)],$B742)),OR(INDEX(TblClusters[Plateforme],$B742)="IKS",INDEX(TblClusters[Plateforme],$B742)="ROKS")),1,0),0))</f>
        <v>0</v>
      </c>
      <c r="E742" s="72" t="str">
        <f t="shared" si="189"/>
        <v/>
      </c>
      <c r="F742" s="19" t="str">
        <f>IF($D742=1,INDEX(TblClusters[Cluster],$B742),"")</f>
        <v/>
      </c>
      <c r="G742" s="19" t="str">
        <f>IF($D742=1,INDEX(TblClusters[Plateforme],$B742),"")</f>
        <v/>
      </c>
      <c r="H742" s="19" t="str">
        <f>IF($D742=1,INDEX(TblClusters[vCPU par nœud],$B742),"")</f>
        <v/>
      </c>
      <c r="I742" s="19" t="str">
        <f>IF($D742=1,INDEX(TblClusters[RAM par nœud (Go)],$B742),"")</f>
        <v/>
      </c>
      <c r="J742" s="19" t="str">
        <f>IF($D742=1,INDEX(TblClusters[Workers min],$B742),"")</f>
        <v/>
      </c>
      <c r="K742" s="73" t="str">
        <f>IF($D742=1,INDEX(TblClusters[Tarif par nœud],$B742),"")</f>
        <v/>
      </c>
      <c r="L742" s="19" t="str">
        <f>IF($D742=1,INDEX(TblClusters[CPU initial (vCPU)],$B742),"")</f>
        <v/>
      </c>
      <c r="M742" s="19" t="str">
        <f>IF($D742=1,INDEX(TblClusters[RAM initiale (Go)],$B742),"")</f>
        <v/>
      </c>
      <c r="N742" s="19" t="str">
        <f>IF($D742=1,INDEX(TblClusters[CPU min (vCPU)],$B742),"")</f>
        <v/>
      </c>
      <c r="O742" s="19" t="str">
        <f>IF($D742=1,INDEX(TblClusters[RAM min (Go)],$B742),"")</f>
        <v/>
      </c>
      <c r="P742" s="19" t="str">
        <f>IF($D742&lt;&gt;1,"",IF($G742="ROKS",SUMIFS(TblApplications[Besoin ROKS CPU (vCPU)],TblApplications[Cluster ROKS cible],$F742,TblApplications[Action],"À migrer",TblApplications[Déjà incluse ROKS],"Non",TblApplications[Mois prov (calc)],"&lt;="&amp;$E742),SUMIFS(TblApplications[CPU IKS libérable (vCPU)],TblApplications[Cluster IKS source],$F742,TblApplications[Mois lib (calc)],"&lt;="&amp;$E742)))</f>
        <v/>
      </c>
      <c r="Q742" s="19" t="str">
        <f>IF($D742&lt;&gt;1,"",IF($G742="ROKS",SUMIFS(TblApplications[Besoin ROKS RAM (Go)],TblApplications[Cluster ROKS cible],$F742,TblApplications[Action],"À migrer",TblApplications[Déjà incluse ROKS],"Non",TblApplications[Mois prov (calc)],"&lt;="&amp;$E742),SUMIFS(TblApplications[RAM IKS libérable (Go)],TblApplications[Cluster IKS source],$F742,TblApplications[Mois lib (calc)],"&lt;="&amp;$E742)))</f>
        <v/>
      </c>
      <c r="R742" s="19" t="str">
        <f t="shared" si="190"/>
        <v/>
      </c>
      <c r="S742" s="19" t="str">
        <f t="shared" si="191"/>
        <v/>
      </c>
      <c r="T742" s="19" t="str">
        <f t="shared" si="192"/>
        <v/>
      </c>
      <c r="U742" s="19" t="str">
        <f t="shared" si="193"/>
        <v/>
      </c>
      <c r="V742" s="19" t="str">
        <f t="shared" si="194"/>
        <v/>
      </c>
      <c r="W742" s="73" t="str">
        <f t="shared" si="195"/>
        <v/>
      </c>
      <c r="X742" s="19" t="str">
        <f>IF($D742&lt;&gt;1,"",IF($G742="ROKS",$R742,IF($AI742=1,0,MAX($N742,$L742-SUMIFS(TblApplications[CPU IKS libérable (vCPU)],TblApplications[Cluster IKS source],$F742,TblApplications[Action],"À migrer",TblApplications[Mois prov (calc)],"&lt;="&amp;$E742)-SUMIFS(TblApplications[CPU IKS libérable (vCPU)],TblApplications[Cluster IKS source],$F742,TblApplications[Action],"À décommissionner",TblApplications[Mois lib (calc)],"&lt;="&amp;$E742)))))</f>
        <v/>
      </c>
      <c r="Y742" s="19" t="str">
        <f>IF($D742&lt;&gt;1,"",IF($G742="ROKS",$S742,IF($AI742=1,0,MAX($O742,$M742-SUMIFS(TblApplications[RAM IKS libérable (Go)],TblApplications[Cluster IKS source],$F742,TblApplications[Action],"À migrer",TblApplications[Mois prov (calc)],"&lt;="&amp;$E742)-SUMIFS(TblApplications[RAM IKS libérable (Go)],TblApplications[Cluster IKS source],$F742,TblApplications[Action],"À décommissionner",TblApplications[Mois lib (calc)],"&lt;="&amp;$E742)))))</f>
        <v/>
      </c>
      <c r="Z742" s="19" t="str">
        <f t="shared" si="196"/>
        <v/>
      </c>
      <c r="AA742" s="73" t="str">
        <f t="shared" si="197"/>
        <v/>
      </c>
      <c r="AB742" s="19" t="str">
        <f t="shared" si="198"/>
        <v/>
      </c>
      <c r="AC742" s="73" t="str">
        <f t="shared" si="199"/>
        <v/>
      </c>
      <c r="AD742" s="19" t="str">
        <f t="shared" si="200"/>
        <v/>
      </c>
      <c r="AE742" s="19" t="str">
        <f t="shared" si="201"/>
        <v/>
      </c>
      <c r="AF742" s="19" t="str">
        <f>IF($D742&lt;&gt;1,"",IF(INDEX(TblClusters[Environnement],$B742)="","(vide)",INDEX(TblClusters[Environnement],$B742)))</f>
        <v/>
      </c>
      <c r="AG742" s="19" t="str">
        <f t="shared" si="202"/>
        <v/>
      </c>
      <c r="AH742" s="19" t="str">
        <f t="shared" si="203"/>
        <v/>
      </c>
      <c r="AI742" s="19" t="str">
        <f>IF($D742&lt;&gt;1,"",IF(AND($G742="IKS",ISNUMBER(INDEX(TblClusters[Fermeture retenue],$B742))),IF($E742&gt;=INDEX(TblClusters[Fermeture retenue],$B742),1,0),0))</f>
        <v/>
      </c>
    </row>
    <row r="743" spans="1:35" x14ac:dyDescent="0.2">
      <c r="A743" s="19">
        <v>738</v>
      </c>
      <c r="B743" s="19">
        <f t="shared" si="187"/>
        <v>21</v>
      </c>
      <c r="C743" s="19">
        <f t="shared" si="188"/>
        <v>18</v>
      </c>
      <c r="D743" s="19">
        <f>IF($C743&gt;p_horizon,0,IFERROR(IF(AND(INDEX(TblClusters[Cluster],$B743)&lt;&gt;"",ISNUMBER(INDEX(TblClusters[CPU initial (vCPU)],$B743)),ISNUMBER(INDEX(TblClusters[CPU min (vCPU)],$B743)),OR(INDEX(TblClusters[Plateforme],$B743)="IKS",INDEX(TblClusters[Plateforme],$B743)="ROKS")),1,0),0))</f>
        <v>0</v>
      </c>
      <c r="E743" s="72" t="str">
        <f t="shared" si="189"/>
        <v/>
      </c>
      <c r="F743" s="19" t="str">
        <f>IF($D743=1,INDEX(TblClusters[Cluster],$B743),"")</f>
        <v/>
      </c>
      <c r="G743" s="19" t="str">
        <f>IF($D743=1,INDEX(TblClusters[Plateforme],$B743),"")</f>
        <v/>
      </c>
      <c r="H743" s="19" t="str">
        <f>IF($D743=1,INDEX(TblClusters[vCPU par nœud],$B743),"")</f>
        <v/>
      </c>
      <c r="I743" s="19" t="str">
        <f>IF($D743=1,INDEX(TblClusters[RAM par nœud (Go)],$B743),"")</f>
        <v/>
      </c>
      <c r="J743" s="19" t="str">
        <f>IF($D743=1,INDEX(TblClusters[Workers min],$B743),"")</f>
        <v/>
      </c>
      <c r="K743" s="73" t="str">
        <f>IF($D743=1,INDEX(TblClusters[Tarif par nœud],$B743),"")</f>
        <v/>
      </c>
      <c r="L743" s="19" t="str">
        <f>IF($D743=1,INDEX(TblClusters[CPU initial (vCPU)],$B743),"")</f>
        <v/>
      </c>
      <c r="M743" s="19" t="str">
        <f>IF($D743=1,INDEX(TblClusters[RAM initiale (Go)],$B743),"")</f>
        <v/>
      </c>
      <c r="N743" s="19" t="str">
        <f>IF($D743=1,INDEX(TblClusters[CPU min (vCPU)],$B743),"")</f>
        <v/>
      </c>
      <c r="O743" s="19" t="str">
        <f>IF($D743=1,INDEX(TblClusters[RAM min (Go)],$B743),"")</f>
        <v/>
      </c>
      <c r="P743" s="19" t="str">
        <f>IF($D743&lt;&gt;1,"",IF($G743="ROKS",SUMIFS(TblApplications[Besoin ROKS CPU (vCPU)],TblApplications[Cluster ROKS cible],$F743,TblApplications[Action],"À migrer",TblApplications[Déjà incluse ROKS],"Non",TblApplications[Mois prov (calc)],"&lt;="&amp;$E743),SUMIFS(TblApplications[CPU IKS libérable (vCPU)],TblApplications[Cluster IKS source],$F743,TblApplications[Mois lib (calc)],"&lt;="&amp;$E743)))</f>
        <v/>
      </c>
      <c r="Q743" s="19" t="str">
        <f>IF($D743&lt;&gt;1,"",IF($G743="ROKS",SUMIFS(TblApplications[Besoin ROKS RAM (Go)],TblApplications[Cluster ROKS cible],$F743,TblApplications[Action],"À migrer",TblApplications[Déjà incluse ROKS],"Non",TblApplications[Mois prov (calc)],"&lt;="&amp;$E743),SUMIFS(TblApplications[RAM IKS libérable (Go)],TblApplications[Cluster IKS source],$F743,TblApplications[Mois lib (calc)],"&lt;="&amp;$E743)))</f>
        <v/>
      </c>
      <c r="R743" s="19" t="str">
        <f t="shared" si="190"/>
        <v/>
      </c>
      <c r="S743" s="19" t="str">
        <f t="shared" si="191"/>
        <v/>
      </c>
      <c r="T743" s="19" t="str">
        <f t="shared" si="192"/>
        <v/>
      </c>
      <c r="U743" s="19" t="str">
        <f t="shared" si="193"/>
        <v/>
      </c>
      <c r="V743" s="19" t="str">
        <f t="shared" si="194"/>
        <v/>
      </c>
      <c r="W743" s="73" t="str">
        <f t="shared" si="195"/>
        <v/>
      </c>
      <c r="X743" s="19" t="str">
        <f>IF($D743&lt;&gt;1,"",IF($G743="ROKS",$R743,IF($AI743=1,0,MAX($N743,$L743-SUMIFS(TblApplications[CPU IKS libérable (vCPU)],TblApplications[Cluster IKS source],$F743,TblApplications[Action],"À migrer",TblApplications[Mois prov (calc)],"&lt;="&amp;$E743)-SUMIFS(TblApplications[CPU IKS libérable (vCPU)],TblApplications[Cluster IKS source],$F743,TblApplications[Action],"À décommissionner",TblApplications[Mois lib (calc)],"&lt;="&amp;$E743)))))</f>
        <v/>
      </c>
      <c r="Y743" s="19" t="str">
        <f>IF($D743&lt;&gt;1,"",IF($G743="ROKS",$S743,IF($AI743=1,0,MAX($O743,$M743-SUMIFS(TblApplications[RAM IKS libérable (Go)],TblApplications[Cluster IKS source],$F743,TblApplications[Action],"À migrer",TblApplications[Mois prov (calc)],"&lt;="&amp;$E743)-SUMIFS(TblApplications[RAM IKS libérable (Go)],TblApplications[Cluster IKS source],$F743,TblApplications[Action],"À décommissionner",TblApplications[Mois lib (calc)],"&lt;="&amp;$E743)))))</f>
        <v/>
      </c>
      <c r="Z743" s="19" t="str">
        <f t="shared" si="196"/>
        <v/>
      </c>
      <c r="AA743" s="73" t="str">
        <f t="shared" si="197"/>
        <v/>
      </c>
      <c r="AB743" s="19" t="str">
        <f t="shared" si="198"/>
        <v/>
      </c>
      <c r="AC743" s="73" t="str">
        <f t="shared" si="199"/>
        <v/>
      </c>
      <c r="AD743" s="19" t="str">
        <f t="shared" si="200"/>
        <v/>
      </c>
      <c r="AE743" s="19" t="str">
        <f t="shared" si="201"/>
        <v/>
      </c>
      <c r="AF743" s="19" t="str">
        <f>IF($D743&lt;&gt;1,"",IF(INDEX(TblClusters[Environnement],$B743)="","(vide)",INDEX(TblClusters[Environnement],$B743)))</f>
        <v/>
      </c>
      <c r="AG743" s="19" t="str">
        <f t="shared" si="202"/>
        <v/>
      </c>
      <c r="AH743" s="19" t="str">
        <f t="shared" si="203"/>
        <v/>
      </c>
      <c r="AI743" s="19" t="str">
        <f>IF($D743&lt;&gt;1,"",IF(AND($G743="IKS",ISNUMBER(INDEX(TblClusters[Fermeture retenue],$B743))),IF($E743&gt;=INDEX(TblClusters[Fermeture retenue],$B743),1,0),0))</f>
        <v/>
      </c>
    </row>
    <row r="744" spans="1:35" x14ac:dyDescent="0.2">
      <c r="A744" s="19">
        <v>739</v>
      </c>
      <c r="B744" s="19">
        <f t="shared" si="187"/>
        <v>21</v>
      </c>
      <c r="C744" s="19">
        <f t="shared" si="188"/>
        <v>19</v>
      </c>
      <c r="D744" s="19">
        <f>IF($C744&gt;p_horizon,0,IFERROR(IF(AND(INDEX(TblClusters[Cluster],$B744)&lt;&gt;"",ISNUMBER(INDEX(TblClusters[CPU initial (vCPU)],$B744)),ISNUMBER(INDEX(TblClusters[CPU min (vCPU)],$B744)),OR(INDEX(TblClusters[Plateforme],$B744)="IKS",INDEX(TblClusters[Plateforme],$B744)="ROKS")),1,0),0))</f>
        <v>0</v>
      </c>
      <c r="E744" s="72" t="str">
        <f t="shared" si="189"/>
        <v/>
      </c>
      <c r="F744" s="19" t="str">
        <f>IF($D744=1,INDEX(TblClusters[Cluster],$B744),"")</f>
        <v/>
      </c>
      <c r="G744" s="19" t="str">
        <f>IF($D744=1,INDEX(TblClusters[Plateforme],$B744),"")</f>
        <v/>
      </c>
      <c r="H744" s="19" t="str">
        <f>IF($D744=1,INDEX(TblClusters[vCPU par nœud],$B744),"")</f>
        <v/>
      </c>
      <c r="I744" s="19" t="str">
        <f>IF($D744=1,INDEX(TblClusters[RAM par nœud (Go)],$B744),"")</f>
        <v/>
      </c>
      <c r="J744" s="19" t="str">
        <f>IF($D744=1,INDEX(TblClusters[Workers min],$B744),"")</f>
        <v/>
      </c>
      <c r="K744" s="73" t="str">
        <f>IF($D744=1,INDEX(TblClusters[Tarif par nœud],$B744),"")</f>
        <v/>
      </c>
      <c r="L744" s="19" t="str">
        <f>IF($D744=1,INDEX(TblClusters[CPU initial (vCPU)],$B744),"")</f>
        <v/>
      </c>
      <c r="M744" s="19" t="str">
        <f>IF($D744=1,INDEX(TblClusters[RAM initiale (Go)],$B744),"")</f>
        <v/>
      </c>
      <c r="N744" s="19" t="str">
        <f>IF($D744=1,INDEX(TblClusters[CPU min (vCPU)],$B744),"")</f>
        <v/>
      </c>
      <c r="O744" s="19" t="str">
        <f>IF($D744=1,INDEX(TblClusters[RAM min (Go)],$B744),"")</f>
        <v/>
      </c>
      <c r="P744" s="19" t="str">
        <f>IF($D744&lt;&gt;1,"",IF($G744="ROKS",SUMIFS(TblApplications[Besoin ROKS CPU (vCPU)],TblApplications[Cluster ROKS cible],$F744,TblApplications[Action],"À migrer",TblApplications[Déjà incluse ROKS],"Non",TblApplications[Mois prov (calc)],"&lt;="&amp;$E744),SUMIFS(TblApplications[CPU IKS libérable (vCPU)],TblApplications[Cluster IKS source],$F744,TblApplications[Mois lib (calc)],"&lt;="&amp;$E744)))</f>
        <v/>
      </c>
      <c r="Q744" s="19" t="str">
        <f>IF($D744&lt;&gt;1,"",IF($G744="ROKS",SUMIFS(TblApplications[Besoin ROKS RAM (Go)],TblApplications[Cluster ROKS cible],$F744,TblApplications[Action],"À migrer",TblApplications[Déjà incluse ROKS],"Non",TblApplications[Mois prov (calc)],"&lt;="&amp;$E744),SUMIFS(TblApplications[RAM IKS libérable (Go)],TblApplications[Cluster IKS source],$F744,TblApplications[Mois lib (calc)],"&lt;="&amp;$E744)))</f>
        <v/>
      </c>
      <c r="R744" s="19" t="str">
        <f t="shared" si="190"/>
        <v/>
      </c>
      <c r="S744" s="19" t="str">
        <f t="shared" si="191"/>
        <v/>
      </c>
      <c r="T744" s="19" t="str">
        <f t="shared" si="192"/>
        <v/>
      </c>
      <c r="U744" s="19" t="str">
        <f t="shared" si="193"/>
        <v/>
      </c>
      <c r="V744" s="19" t="str">
        <f t="shared" si="194"/>
        <v/>
      </c>
      <c r="W744" s="73" t="str">
        <f t="shared" si="195"/>
        <v/>
      </c>
      <c r="X744" s="19" t="str">
        <f>IF($D744&lt;&gt;1,"",IF($G744="ROKS",$R744,IF($AI744=1,0,MAX($N744,$L744-SUMIFS(TblApplications[CPU IKS libérable (vCPU)],TblApplications[Cluster IKS source],$F744,TblApplications[Action],"À migrer",TblApplications[Mois prov (calc)],"&lt;="&amp;$E744)-SUMIFS(TblApplications[CPU IKS libérable (vCPU)],TblApplications[Cluster IKS source],$F744,TblApplications[Action],"À décommissionner",TblApplications[Mois lib (calc)],"&lt;="&amp;$E744)))))</f>
        <v/>
      </c>
      <c r="Y744" s="19" t="str">
        <f>IF($D744&lt;&gt;1,"",IF($G744="ROKS",$S744,IF($AI744=1,0,MAX($O744,$M744-SUMIFS(TblApplications[RAM IKS libérable (Go)],TblApplications[Cluster IKS source],$F744,TblApplications[Action],"À migrer",TblApplications[Mois prov (calc)],"&lt;="&amp;$E744)-SUMIFS(TblApplications[RAM IKS libérable (Go)],TblApplications[Cluster IKS source],$F744,TblApplications[Action],"À décommissionner",TblApplications[Mois lib (calc)],"&lt;="&amp;$E744)))))</f>
        <v/>
      </c>
      <c r="Z744" s="19" t="str">
        <f t="shared" si="196"/>
        <v/>
      </c>
      <c r="AA744" s="73" t="str">
        <f t="shared" si="197"/>
        <v/>
      </c>
      <c r="AB744" s="19" t="str">
        <f t="shared" si="198"/>
        <v/>
      </c>
      <c r="AC744" s="73" t="str">
        <f t="shared" si="199"/>
        <v/>
      </c>
      <c r="AD744" s="19" t="str">
        <f t="shared" si="200"/>
        <v/>
      </c>
      <c r="AE744" s="19" t="str">
        <f t="shared" si="201"/>
        <v/>
      </c>
      <c r="AF744" s="19" t="str">
        <f>IF($D744&lt;&gt;1,"",IF(INDEX(TblClusters[Environnement],$B744)="","(vide)",INDEX(TblClusters[Environnement],$B744)))</f>
        <v/>
      </c>
      <c r="AG744" s="19" t="str">
        <f t="shared" si="202"/>
        <v/>
      </c>
      <c r="AH744" s="19" t="str">
        <f t="shared" si="203"/>
        <v/>
      </c>
      <c r="AI744" s="19" t="str">
        <f>IF($D744&lt;&gt;1,"",IF(AND($G744="IKS",ISNUMBER(INDEX(TblClusters[Fermeture retenue],$B744))),IF($E744&gt;=INDEX(TblClusters[Fermeture retenue],$B744),1,0),0))</f>
        <v/>
      </c>
    </row>
    <row r="745" spans="1:35" x14ac:dyDescent="0.2">
      <c r="A745" s="19">
        <v>740</v>
      </c>
      <c r="B745" s="19">
        <f t="shared" si="187"/>
        <v>21</v>
      </c>
      <c r="C745" s="19">
        <f t="shared" si="188"/>
        <v>20</v>
      </c>
      <c r="D745" s="19">
        <f>IF($C745&gt;p_horizon,0,IFERROR(IF(AND(INDEX(TblClusters[Cluster],$B745)&lt;&gt;"",ISNUMBER(INDEX(TblClusters[CPU initial (vCPU)],$B745)),ISNUMBER(INDEX(TblClusters[CPU min (vCPU)],$B745)),OR(INDEX(TblClusters[Plateforme],$B745)="IKS",INDEX(TblClusters[Plateforme],$B745)="ROKS")),1,0),0))</f>
        <v>0</v>
      </c>
      <c r="E745" s="72" t="str">
        <f t="shared" si="189"/>
        <v/>
      </c>
      <c r="F745" s="19" t="str">
        <f>IF($D745=1,INDEX(TblClusters[Cluster],$B745),"")</f>
        <v/>
      </c>
      <c r="G745" s="19" t="str">
        <f>IF($D745=1,INDEX(TblClusters[Plateforme],$B745),"")</f>
        <v/>
      </c>
      <c r="H745" s="19" t="str">
        <f>IF($D745=1,INDEX(TblClusters[vCPU par nœud],$B745),"")</f>
        <v/>
      </c>
      <c r="I745" s="19" t="str">
        <f>IF($D745=1,INDEX(TblClusters[RAM par nœud (Go)],$B745),"")</f>
        <v/>
      </c>
      <c r="J745" s="19" t="str">
        <f>IF($D745=1,INDEX(TblClusters[Workers min],$B745),"")</f>
        <v/>
      </c>
      <c r="K745" s="73" t="str">
        <f>IF($D745=1,INDEX(TblClusters[Tarif par nœud],$B745),"")</f>
        <v/>
      </c>
      <c r="L745" s="19" t="str">
        <f>IF($D745=1,INDEX(TblClusters[CPU initial (vCPU)],$B745),"")</f>
        <v/>
      </c>
      <c r="M745" s="19" t="str">
        <f>IF($D745=1,INDEX(TblClusters[RAM initiale (Go)],$B745),"")</f>
        <v/>
      </c>
      <c r="N745" s="19" t="str">
        <f>IF($D745=1,INDEX(TblClusters[CPU min (vCPU)],$B745),"")</f>
        <v/>
      </c>
      <c r="O745" s="19" t="str">
        <f>IF($D745=1,INDEX(TblClusters[RAM min (Go)],$B745),"")</f>
        <v/>
      </c>
      <c r="P745" s="19" t="str">
        <f>IF($D745&lt;&gt;1,"",IF($G745="ROKS",SUMIFS(TblApplications[Besoin ROKS CPU (vCPU)],TblApplications[Cluster ROKS cible],$F745,TblApplications[Action],"À migrer",TblApplications[Déjà incluse ROKS],"Non",TblApplications[Mois prov (calc)],"&lt;="&amp;$E745),SUMIFS(TblApplications[CPU IKS libérable (vCPU)],TblApplications[Cluster IKS source],$F745,TblApplications[Mois lib (calc)],"&lt;="&amp;$E745)))</f>
        <v/>
      </c>
      <c r="Q745" s="19" t="str">
        <f>IF($D745&lt;&gt;1,"",IF($G745="ROKS",SUMIFS(TblApplications[Besoin ROKS RAM (Go)],TblApplications[Cluster ROKS cible],$F745,TblApplications[Action],"À migrer",TblApplications[Déjà incluse ROKS],"Non",TblApplications[Mois prov (calc)],"&lt;="&amp;$E745),SUMIFS(TblApplications[RAM IKS libérable (Go)],TblApplications[Cluster IKS source],$F745,TblApplications[Mois lib (calc)],"&lt;="&amp;$E745)))</f>
        <v/>
      </c>
      <c r="R745" s="19" t="str">
        <f t="shared" si="190"/>
        <v/>
      </c>
      <c r="S745" s="19" t="str">
        <f t="shared" si="191"/>
        <v/>
      </c>
      <c r="T745" s="19" t="str">
        <f t="shared" si="192"/>
        <v/>
      </c>
      <c r="U745" s="19" t="str">
        <f t="shared" si="193"/>
        <v/>
      </c>
      <c r="V745" s="19" t="str">
        <f t="shared" si="194"/>
        <v/>
      </c>
      <c r="W745" s="73" t="str">
        <f t="shared" si="195"/>
        <v/>
      </c>
      <c r="X745" s="19" t="str">
        <f>IF($D745&lt;&gt;1,"",IF($G745="ROKS",$R745,IF($AI745=1,0,MAX($N745,$L745-SUMIFS(TblApplications[CPU IKS libérable (vCPU)],TblApplications[Cluster IKS source],$F745,TblApplications[Action],"À migrer",TblApplications[Mois prov (calc)],"&lt;="&amp;$E745)-SUMIFS(TblApplications[CPU IKS libérable (vCPU)],TblApplications[Cluster IKS source],$F745,TblApplications[Action],"À décommissionner",TblApplications[Mois lib (calc)],"&lt;="&amp;$E745)))))</f>
        <v/>
      </c>
      <c r="Y745" s="19" t="str">
        <f>IF($D745&lt;&gt;1,"",IF($G745="ROKS",$S745,IF($AI745=1,0,MAX($O745,$M745-SUMIFS(TblApplications[RAM IKS libérable (Go)],TblApplications[Cluster IKS source],$F745,TblApplications[Action],"À migrer",TblApplications[Mois prov (calc)],"&lt;="&amp;$E745)-SUMIFS(TblApplications[RAM IKS libérable (Go)],TblApplications[Cluster IKS source],$F745,TblApplications[Action],"À décommissionner",TblApplications[Mois lib (calc)],"&lt;="&amp;$E745)))))</f>
        <v/>
      </c>
      <c r="Z745" s="19" t="str">
        <f t="shared" si="196"/>
        <v/>
      </c>
      <c r="AA745" s="73" t="str">
        <f t="shared" si="197"/>
        <v/>
      </c>
      <c r="AB745" s="19" t="str">
        <f t="shared" si="198"/>
        <v/>
      </c>
      <c r="AC745" s="73" t="str">
        <f t="shared" si="199"/>
        <v/>
      </c>
      <c r="AD745" s="19" t="str">
        <f t="shared" si="200"/>
        <v/>
      </c>
      <c r="AE745" s="19" t="str">
        <f t="shared" si="201"/>
        <v/>
      </c>
      <c r="AF745" s="19" t="str">
        <f>IF($D745&lt;&gt;1,"",IF(INDEX(TblClusters[Environnement],$B745)="","(vide)",INDEX(TblClusters[Environnement],$B745)))</f>
        <v/>
      </c>
      <c r="AG745" s="19" t="str">
        <f t="shared" si="202"/>
        <v/>
      </c>
      <c r="AH745" s="19" t="str">
        <f t="shared" si="203"/>
        <v/>
      </c>
      <c r="AI745" s="19" t="str">
        <f>IF($D745&lt;&gt;1,"",IF(AND($G745="IKS",ISNUMBER(INDEX(TblClusters[Fermeture retenue],$B745))),IF($E745&gt;=INDEX(TblClusters[Fermeture retenue],$B745),1,0),0))</f>
        <v/>
      </c>
    </row>
    <row r="746" spans="1:35" x14ac:dyDescent="0.2">
      <c r="A746" s="19">
        <v>741</v>
      </c>
      <c r="B746" s="19">
        <f t="shared" si="187"/>
        <v>21</v>
      </c>
      <c r="C746" s="19">
        <f t="shared" si="188"/>
        <v>21</v>
      </c>
      <c r="D746" s="19">
        <f>IF($C746&gt;p_horizon,0,IFERROR(IF(AND(INDEX(TblClusters[Cluster],$B746)&lt;&gt;"",ISNUMBER(INDEX(TblClusters[CPU initial (vCPU)],$B746)),ISNUMBER(INDEX(TblClusters[CPU min (vCPU)],$B746)),OR(INDEX(TblClusters[Plateforme],$B746)="IKS",INDEX(TblClusters[Plateforme],$B746)="ROKS")),1,0),0))</f>
        <v>0</v>
      </c>
      <c r="E746" s="72" t="str">
        <f t="shared" si="189"/>
        <v/>
      </c>
      <c r="F746" s="19" t="str">
        <f>IF($D746=1,INDEX(TblClusters[Cluster],$B746),"")</f>
        <v/>
      </c>
      <c r="G746" s="19" t="str">
        <f>IF($D746=1,INDEX(TblClusters[Plateforme],$B746),"")</f>
        <v/>
      </c>
      <c r="H746" s="19" t="str">
        <f>IF($D746=1,INDEX(TblClusters[vCPU par nœud],$B746),"")</f>
        <v/>
      </c>
      <c r="I746" s="19" t="str">
        <f>IF($D746=1,INDEX(TblClusters[RAM par nœud (Go)],$B746),"")</f>
        <v/>
      </c>
      <c r="J746" s="19" t="str">
        <f>IF($D746=1,INDEX(TblClusters[Workers min],$B746),"")</f>
        <v/>
      </c>
      <c r="K746" s="73" t="str">
        <f>IF($D746=1,INDEX(TblClusters[Tarif par nœud],$B746),"")</f>
        <v/>
      </c>
      <c r="L746" s="19" t="str">
        <f>IF($D746=1,INDEX(TblClusters[CPU initial (vCPU)],$B746),"")</f>
        <v/>
      </c>
      <c r="M746" s="19" t="str">
        <f>IF($D746=1,INDEX(TblClusters[RAM initiale (Go)],$B746),"")</f>
        <v/>
      </c>
      <c r="N746" s="19" t="str">
        <f>IF($D746=1,INDEX(TblClusters[CPU min (vCPU)],$B746),"")</f>
        <v/>
      </c>
      <c r="O746" s="19" t="str">
        <f>IF($D746=1,INDEX(TblClusters[RAM min (Go)],$B746),"")</f>
        <v/>
      </c>
      <c r="P746" s="19" t="str">
        <f>IF($D746&lt;&gt;1,"",IF($G746="ROKS",SUMIFS(TblApplications[Besoin ROKS CPU (vCPU)],TblApplications[Cluster ROKS cible],$F746,TblApplications[Action],"À migrer",TblApplications[Déjà incluse ROKS],"Non",TblApplications[Mois prov (calc)],"&lt;="&amp;$E746),SUMIFS(TblApplications[CPU IKS libérable (vCPU)],TblApplications[Cluster IKS source],$F746,TblApplications[Mois lib (calc)],"&lt;="&amp;$E746)))</f>
        <v/>
      </c>
      <c r="Q746" s="19" t="str">
        <f>IF($D746&lt;&gt;1,"",IF($G746="ROKS",SUMIFS(TblApplications[Besoin ROKS RAM (Go)],TblApplications[Cluster ROKS cible],$F746,TblApplications[Action],"À migrer",TblApplications[Déjà incluse ROKS],"Non",TblApplications[Mois prov (calc)],"&lt;="&amp;$E746),SUMIFS(TblApplications[RAM IKS libérable (Go)],TblApplications[Cluster IKS source],$F746,TblApplications[Mois lib (calc)],"&lt;="&amp;$E746)))</f>
        <v/>
      </c>
      <c r="R746" s="19" t="str">
        <f t="shared" si="190"/>
        <v/>
      </c>
      <c r="S746" s="19" t="str">
        <f t="shared" si="191"/>
        <v/>
      </c>
      <c r="T746" s="19" t="str">
        <f t="shared" si="192"/>
        <v/>
      </c>
      <c r="U746" s="19" t="str">
        <f t="shared" si="193"/>
        <v/>
      </c>
      <c r="V746" s="19" t="str">
        <f t="shared" si="194"/>
        <v/>
      </c>
      <c r="W746" s="73" t="str">
        <f t="shared" si="195"/>
        <v/>
      </c>
      <c r="X746" s="19" t="str">
        <f>IF($D746&lt;&gt;1,"",IF($G746="ROKS",$R746,IF($AI746=1,0,MAX($N746,$L746-SUMIFS(TblApplications[CPU IKS libérable (vCPU)],TblApplications[Cluster IKS source],$F746,TblApplications[Action],"À migrer",TblApplications[Mois prov (calc)],"&lt;="&amp;$E746)-SUMIFS(TblApplications[CPU IKS libérable (vCPU)],TblApplications[Cluster IKS source],$F746,TblApplications[Action],"À décommissionner",TblApplications[Mois lib (calc)],"&lt;="&amp;$E746)))))</f>
        <v/>
      </c>
      <c r="Y746" s="19" t="str">
        <f>IF($D746&lt;&gt;1,"",IF($G746="ROKS",$S746,IF($AI746=1,0,MAX($O746,$M746-SUMIFS(TblApplications[RAM IKS libérable (Go)],TblApplications[Cluster IKS source],$F746,TblApplications[Action],"À migrer",TblApplications[Mois prov (calc)],"&lt;="&amp;$E746)-SUMIFS(TblApplications[RAM IKS libérable (Go)],TblApplications[Cluster IKS source],$F746,TblApplications[Action],"À décommissionner",TblApplications[Mois lib (calc)],"&lt;="&amp;$E746)))))</f>
        <v/>
      </c>
      <c r="Z746" s="19" t="str">
        <f t="shared" si="196"/>
        <v/>
      </c>
      <c r="AA746" s="73" t="str">
        <f t="shared" si="197"/>
        <v/>
      </c>
      <c r="AB746" s="19" t="str">
        <f t="shared" si="198"/>
        <v/>
      </c>
      <c r="AC746" s="73" t="str">
        <f t="shared" si="199"/>
        <v/>
      </c>
      <c r="AD746" s="19" t="str">
        <f t="shared" si="200"/>
        <v/>
      </c>
      <c r="AE746" s="19" t="str">
        <f t="shared" si="201"/>
        <v/>
      </c>
      <c r="AF746" s="19" t="str">
        <f>IF($D746&lt;&gt;1,"",IF(INDEX(TblClusters[Environnement],$B746)="","(vide)",INDEX(TblClusters[Environnement],$B746)))</f>
        <v/>
      </c>
      <c r="AG746" s="19" t="str">
        <f t="shared" si="202"/>
        <v/>
      </c>
      <c r="AH746" s="19" t="str">
        <f t="shared" si="203"/>
        <v/>
      </c>
      <c r="AI746" s="19" t="str">
        <f>IF($D746&lt;&gt;1,"",IF(AND($G746="IKS",ISNUMBER(INDEX(TblClusters[Fermeture retenue],$B746))),IF($E746&gt;=INDEX(TblClusters[Fermeture retenue],$B746),1,0),0))</f>
        <v/>
      </c>
    </row>
    <row r="747" spans="1:35" x14ac:dyDescent="0.2">
      <c r="A747" s="19">
        <v>742</v>
      </c>
      <c r="B747" s="19">
        <f t="shared" si="187"/>
        <v>21</v>
      </c>
      <c r="C747" s="19">
        <f t="shared" si="188"/>
        <v>22</v>
      </c>
      <c r="D747" s="19">
        <f>IF($C747&gt;p_horizon,0,IFERROR(IF(AND(INDEX(TblClusters[Cluster],$B747)&lt;&gt;"",ISNUMBER(INDEX(TblClusters[CPU initial (vCPU)],$B747)),ISNUMBER(INDEX(TblClusters[CPU min (vCPU)],$B747)),OR(INDEX(TblClusters[Plateforme],$B747)="IKS",INDEX(TblClusters[Plateforme],$B747)="ROKS")),1,0),0))</f>
        <v>0</v>
      </c>
      <c r="E747" s="72" t="str">
        <f t="shared" si="189"/>
        <v/>
      </c>
      <c r="F747" s="19" t="str">
        <f>IF($D747=1,INDEX(TblClusters[Cluster],$B747),"")</f>
        <v/>
      </c>
      <c r="G747" s="19" t="str">
        <f>IF($D747=1,INDEX(TblClusters[Plateforme],$B747),"")</f>
        <v/>
      </c>
      <c r="H747" s="19" t="str">
        <f>IF($D747=1,INDEX(TblClusters[vCPU par nœud],$B747),"")</f>
        <v/>
      </c>
      <c r="I747" s="19" t="str">
        <f>IF($D747=1,INDEX(TblClusters[RAM par nœud (Go)],$B747),"")</f>
        <v/>
      </c>
      <c r="J747" s="19" t="str">
        <f>IF($D747=1,INDEX(TblClusters[Workers min],$B747),"")</f>
        <v/>
      </c>
      <c r="K747" s="73" t="str">
        <f>IF($D747=1,INDEX(TblClusters[Tarif par nœud],$B747),"")</f>
        <v/>
      </c>
      <c r="L747" s="19" t="str">
        <f>IF($D747=1,INDEX(TblClusters[CPU initial (vCPU)],$B747),"")</f>
        <v/>
      </c>
      <c r="M747" s="19" t="str">
        <f>IF($D747=1,INDEX(TblClusters[RAM initiale (Go)],$B747),"")</f>
        <v/>
      </c>
      <c r="N747" s="19" t="str">
        <f>IF($D747=1,INDEX(TblClusters[CPU min (vCPU)],$B747),"")</f>
        <v/>
      </c>
      <c r="O747" s="19" t="str">
        <f>IF($D747=1,INDEX(TblClusters[RAM min (Go)],$B747),"")</f>
        <v/>
      </c>
      <c r="P747" s="19" t="str">
        <f>IF($D747&lt;&gt;1,"",IF($G747="ROKS",SUMIFS(TblApplications[Besoin ROKS CPU (vCPU)],TblApplications[Cluster ROKS cible],$F747,TblApplications[Action],"À migrer",TblApplications[Déjà incluse ROKS],"Non",TblApplications[Mois prov (calc)],"&lt;="&amp;$E747),SUMIFS(TblApplications[CPU IKS libérable (vCPU)],TblApplications[Cluster IKS source],$F747,TblApplications[Mois lib (calc)],"&lt;="&amp;$E747)))</f>
        <v/>
      </c>
      <c r="Q747" s="19" t="str">
        <f>IF($D747&lt;&gt;1,"",IF($G747="ROKS",SUMIFS(TblApplications[Besoin ROKS RAM (Go)],TblApplications[Cluster ROKS cible],$F747,TblApplications[Action],"À migrer",TblApplications[Déjà incluse ROKS],"Non",TblApplications[Mois prov (calc)],"&lt;="&amp;$E747),SUMIFS(TblApplications[RAM IKS libérable (Go)],TblApplications[Cluster IKS source],$F747,TblApplications[Mois lib (calc)],"&lt;="&amp;$E747)))</f>
        <v/>
      </c>
      <c r="R747" s="19" t="str">
        <f t="shared" si="190"/>
        <v/>
      </c>
      <c r="S747" s="19" t="str">
        <f t="shared" si="191"/>
        <v/>
      </c>
      <c r="T747" s="19" t="str">
        <f t="shared" si="192"/>
        <v/>
      </c>
      <c r="U747" s="19" t="str">
        <f t="shared" si="193"/>
        <v/>
      </c>
      <c r="V747" s="19" t="str">
        <f t="shared" si="194"/>
        <v/>
      </c>
      <c r="W747" s="73" t="str">
        <f t="shared" si="195"/>
        <v/>
      </c>
      <c r="X747" s="19" t="str">
        <f>IF($D747&lt;&gt;1,"",IF($G747="ROKS",$R747,IF($AI747=1,0,MAX($N747,$L747-SUMIFS(TblApplications[CPU IKS libérable (vCPU)],TblApplications[Cluster IKS source],$F747,TblApplications[Action],"À migrer",TblApplications[Mois prov (calc)],"&lt;="&amp;$E747)-SUMIFS(TblApplications[CPU IKS libérable (vCPU)],TblApplications[Cluster IKS source],$F747,TblApplications[Action],"À décommissionner",TblApplications[Mois lib (calc)],"&lt;="&amp;$E747)))))</f>
        <v/>
      </c>
      <c r="Y747" s="19" t="str">
        <f>IF($D747&lt;&gt;1,"",IF($G747="ROKS",$S747,IF($AI747=1,0,MAX($O747,$M747-SUMIFS(TblApplications[RAM IKS libérable (Go)],TblApplications[Cluster IKS source],$F747,TblApplications[Action],"À migrer",TblApplications[Mois prov (calc)],"&lt;="&amp;$E747)-SUMIFS(TblApplications[RAM IKS libérable (Go)],TblApplications[Cluster IKS source],$F747,TblApplications[Action],"À décommissionner",TblApplications[Mois lib (calc)],"&lt;="&amp;$E747)))))</f>
        <v/>
      </c>
      <c r="Z747" s="19" t="str">
        <f t="shared" si="196"/>
        <v/>
      </c>
      <c r="AA747" s="73" t="str">
        <f t="shared" si="197"/>
        <v/>
      </c>
      <c r="AB747" s="19" t="str">
        <f t="shared" si="198"/>
        <v/>
      </c>
      <c r="AC747" s="73" t="str">
        <f t="shared" si="199"/>
        <v/>
      </c>
      <c r="AD747" s="19" t="str">
        <f t="shared" si="200"/>
        <v/>
      </c>
      <c r="AE747" s="19" t="str">
        <f t="shared" si="201"/>
        <v/>
      </c>
      <c r="AF747" s="19" t="str">
        <f>IF($D747&lt;&gt;1,"",IF(INDEX(TblClusters[Environnement],$B747)="","(vide)",INDEX(TblClusters[Environnement],$B747)))</f>
        <v/>
      </c>
      <c r="AG747" s="19" t="str">
        <f t="shared" si="202"/>
        <v/>
      </c>
      <c r="AH747" s="19" t="str">
        <f t="shared" si="203"/>
        <v/>
      </c>
      <c r="AI747" s="19" t="str">
        <f>IF($D747&lt;&gt;1,"",IF(AND($G747="IKS",ISNUMBER(INDEX(TblClusters[Fermeture retenue],$B747))),IF($E747&gt;=INDEX(TblClusters[Fermeture retenue],$B747),1,0),0))</f>
        <v/>
      </c>
    </row>
    <row r="748" spans="1:35" x14ac:dyDescent="0.2">
      <c r="A748" s="19">
        <v>743</v>
      </c>
      <c r="B748" s="19">
        <f t="shared" si="187"/>
        <v>21</v>
      </c>
      <c r="C748" s="19">
        <f t="shared" si="188"/>
        <v>23</v>
      </c>
      <c r="D748" s="19">
        <f>IF($C748&gt;p_horizon,0,IFERROR(IF(AND(INDEX(TblClusters[Cluster],$B748)&lt;&gt;"",ISNUMBER(INDEX(TblClusters[CPU initial (vCPU)],$B748)),ISNUMBER(INDEX(TblClusters[CPU min (vCPU)],$B748)),OR(INDEX(TblClusters[Plateforme],$B748)="IKS",INDEX(TblClusters[Plateforme],$B748)="ROKS")),1,0),0))</f>
        <v>0</v>
      </c>
      <c r="E748" s="72" t="str">
        <f t="shared" si="189"/>
        <v/>
      </c>
      <c r="F748" s="19" t="str">
        <f>IF($D748=1,INDEX(TblClusters[Cluster],$B748),"")</f>
        <v/>
      </c>
      <c r="G748" s="19" t="str">
        <f>IF($D748=1,INDEX(TblClusters[Plateforme],$B748),"")</f>
        <v/>
      </c>
      <c r="H748" s="19" t="str">
        <f>IF($D748=1,INDEX(TblClusters[vCPU par nœud],$B748),"")</f>
        <v/>
      </c>
      <c r="I748" s="19" t="str">
        <f>IF($D748=1,INDEX(TblClusters[RAM par nœud (Go)],$B748),"")</f>
        <v/>
      </c>
      <c r="J748" s="19" t="str">
        <f>IF($D748=1,INDEX(TblClusters[Workers min],$B748),"")</f>
        <v/>
      </c>
      <c r="K748" s="73" t="str">
        <f>IF($D748=1,INDEX(TblClusters[Tarif par nœud],$B748),"")</f>
        <v/>
      </c>
      <c r="L748" s="19" t="str">
        <f>IF($D748=1,INDEX(TblClusters[CPU initial (vCPU)],$B748),"")</f>
        <v/>
      </c>
      <c r="M748" s="19" t="str">
        <f>IF($D748=1,INDEX(TblClusters[RAM initiale (Go)],$B748),"")</f>
        <v/>
      </c>
      <c r="N748" s="19" t="str">
        <f>IF($D748=1,INDEX(TblClusters[CPU min (vCPU)],$B748),"")</f>
        <v/>
      </c>
      <c r="O748" s="19" t="str">
        <f>IF($D748=1,INDEX(TblClusters[RAM min (Go)],$B748),"")</f>
        <v/>
      </c>
      <c r="P748" s="19" t="str">
        <f>IF($D748&lt;&gt;1,"",IF($G748="ROKS",SUMIFS(TblApplications[Besoin ROKS CPU (vCPU)],TblApplications[Cluster ROKS cible],$F748,TblApplications[Action],"À migrer",TblApplications[Déjà incluse ROKS],"Non",TblApplications[Mois prov (calc)],"&lt;="&amp;$E748),SUMIFS(TblApplications[CPU IKS libérable (vCPU)],TblApplications[Cluster IKS source],$F748,TblApplications[Mois lib (calc)],"&lt;="&amp;$E748)))</f>
        <v/>
      </c>
      <c r="Q748" s="19" t="str">
        <f>IF($D748&lt;&gt;1,"",IF($G748="ROKS",SUMIFS(TblApplications[Besoin ROKS RAM (Go)],TblApplications[Cluster ROKS cible],$F748,TblApplications[Action],"À migrer",TblApplications[Déjà incluse ROKS],"Non",TblApplications[Mois prov (calc)],"&lt;="&amp;$E748),SUMIFS(TblApplications[RAM IKS libérable (Go)],TblApplications[Cluster IKS source],$F748,TblApplications[Mois lib (calc)],"&lt;="&amp;$E748)))</f>
        <v/>
      </c>
      <c r="R748" s="19" t="str">
        <f t="shared" si="190"/>
        <v/>
      </c>
      <c r="S748" s="19" t="str">
        <f t="shared" si="191"/>
        <v/>
      </c>
      <c r="T748" s="19" t="str">
        <f t="shared" si="192"/>
        <v/>
      </c>
      <c r="U748" s="19" t="str">
        <f t="shared" si="193"/>
        <v/>
      </c>
      <c r="V748" s="19" t="str">
        <f t="shared" si="194"/>
        <v/>
      </c>
      <c r="W748" s="73" t="str">
        <f t="shared" si="195"/>
        <v/>
      </c>
      <c r="X748" s="19" t="str">
        <f>IF($D748&lt;&gt;1,"",IF($G748="ROKS",$R748,IF($AI748=1,0,MAX($N748,$L748-SUMIFS(TblApplications[CPU IKS libérable (vCPU)],TblApplications[Cluster IKS source],$F748,TblApplications[Action],"À migrer",TblApplications[Mois prov (calc)],"&lt;="&amp;$E748)-SUMIFS(TblApplications[CPU IKS libérable (vCPU)],TblApplications[Cluster IKS source],$F748,TblApplications[Action],"À décommissionner",TblApplications[Mois lib (calc)],"&lt;="&amp;$E748)))))</f>
        <v/>
      </c>
      <c r="Y748" s="19" t="str">
        <f>IF($D748&lt;&gt;1,"",IF($G748="ROKS",$S748,IF($AI748=1,0,MAX($O748,$M748-SUMIFS(TblApplications[RAM IKS libérable (Go)],TblApplications[Cluster IKS source],$F748,TblApplications[Action],"À migrer",TblApplications[Mois prov (calc)],"&lt;="&amp;$E748)-SUMIFS(TblApplications[RAM IKS libérable (Go)],TblApplications[Cluster IKS source],$F748,TblApplications[Action],"À décommissionner",TblApplications[Mois lib (calc)],"&lt;="&amp;$E748)))))</f>
        <v/>
      </c>
      <c r="Z748" s="19" t="str">
        <f t="shared" si="196"/>
        <v/>
      </c>
      <c r="AA748" s="73" t="str">
        <f t="shared" si="197"/>
        <v/>
      </c>
      <c r="AB748" s="19" t="str">
        <f t="shared" si="198"/>
        <v/>
      </c>
      <c r="AC748" s="73" t="str">
        <f t="shared" si="199"/>
        <v/>
      </c>
      <c r="AD748" s="19" t="str">
        <f t="shared" si="200"/>
        <v/>
      </c>
      <c r="AE748" s="19" t="str">
        <f t="shared" si="201"/>
        <v/>
      </c>
      <c r="AF748" s="19" t="str">
        <f>IF($D748&lt;&gt;1,"",IF(INDEX(TblClusters[Environnement],$B748)="","(vide)",INDEX(TblClusters[Environnement],$B748)))</f>
        <v/>
      </c>
      <c r="AG748" s="19" t="str">
        <f t="shared" si="202"/>
        <v/>
      </c>
      <c r="AH748" s="19" t="str">
        <f t="shared" si="203"/>
        <v/>
      </c>
      <c r="AI748" s="19" t="str">
        <f>IF($D748&lt;&gt;1,"",IF(AND($G748="IKS",ISNUMBER(INDEX(TblClusters[Fermeture retenue],$B748))),IF($E748&gt;=INDEX(TblClusters[Fermeture retenue],$B748),1,0),0))</f>
        <v/>
      </c>
    </row>
    <row r="749" spans="1:35" x14ac:dyDescent="0.2">
      <c r="A749" s="19">
        <v>744</v>
      </c>
      <c r="B749" s="19">
        <f t="shared" si="187"/>
        <v>21</v>
      </c>
      <c r="C749" s="19">
        <f t="shared" si="188"/>
        <v>24</v>
      </c>
      <c r="D749" s="19">
        <f>IF($C749&gt;p_horizon,0,IFERROR(IF(AND(INDEX(TblClusters[Cluster],$B749)&lt;&gt;"",ISNUMBER(INDEX(TblClusters[CPU initial (vCPU)],$B749)),ISNUMBER(INDEX(TblClusters[CPU min (vCPU)],$B749)),OR(INDEX(TblClusters[Plateforme],$B749)="IKS",INDEX(TblClusters[Plateforme],$B749)="ROKS")),1,0),0))</f>
        <v>0</v>
      </c>
      <c r="E749" s="72" t="str">
        <f t="shared" si="189"/>
        <v/>
      </c>
      <c r="F749" s="19" t="str">
        <f>IF($D749=1,INDEX(TblClusters[Cluster],$B749),"")</f>
        <v/>
      </c>
      <c r="G749" s="19" t="str">
        <f>IF($D749=1,INDEX(TblClusters[Plateforme],$B749),"")</f>
        <v/>
      </c>
      <c r="H749" s="19" t="str">
        <f>IF($D749=1,INDEX(TblClusters[vCPU par nœud],$B749),"")</f>
        <v/>
      </c>
      <c r="I749" s="19" t="str">
        <f>IF($D749=1,INDEX(TblClusters[RAM par nœud (Go)],$B749),"")</f>
        <v/>
      </c>
      <c r="J749" s="19" t="str">
        <f>IF($D749=1,INDEX(TblClusters[Workers min],$B749),"")</f>
        <v/>
      </c>
      <c r="K749" s="73" t="str">
        <f>IF($D749=1,INDEX(TblClusters[Tarif par nœud],$B749),"")</f>
        <v/>
      </c>
      <c r="L749" s="19" t="str">
        <f>IF($D749=1,INDEX(TblClusters[CPU initial (vCPU)],$B749),"")</f>
        <v/>
      </c>
      <c r="M749" s="19" t="str">
        <f>IF($D749=1,INDEX(TblClusters[RAM initiale (Go)],$B749),"")</f>
        <v/>
      </c>
      <c r="N749" s="19" t="str">
        <f>IF($D749=1,INDEX(TblClusters[CPU min (vCPU)],$B749),"")</f>
        <v/>
      </c>
      <c r="O749" s="19" t="str">
        <f>IF($D749=1,INDEX(TblClusters[RAM min (Go)],$B749),"")</f>
        <v/>
      </c>
      <c r="P749" s="19" t="str">
        <f>IF($D749&lt;&gt;1,"",IF($G749="ROKS",SUMIFS(TblApplications[Besoin ROKS CPU (vCPU)],TblApplications[Cluster ROKS cible],$F749,TblApplications[Action],"À migrer",TblApplications[Déjà incluse ROKS],"Non",TblApplications[Mois prov (calc)],"&lt;="&amp;$E749),SUMIFS(TblApplications[CPU IKS libérable (vCPU)],TblApplications[Cluster IKS source],$F749,TblApplications[Mois lib (calc)],"&lt;="&amp;$E749)))</f>
        <v/>
      </c>
      <c r="Q749" s="19" t="str">
        <f>IF($D749&lt;&gt;1,"",IF($G749="ROKS",SUMIFS(TblApplications[Besoin ROKS RAM (Go)],TblApplications[Cluster ROKS cible],$F749,TblApplications[Action],"À migrer",TblApplications[Déjà incluse ROKS],"Non",TblApplications[Mois prov (calc)],"&lt;="&amp;$E749),SUMIFS(TblApplications[RAM IKS libérable (Go)],TblApplications[Cluster IKS source],$F749,TblApplications[Mois lib (calc)],"&lt;="&amp;$E749)))</f>
        <v/>
      </c>
      <c r="R749" s="19" t="str">
        <f t="shared" si="190"/>
        <v/>
      </c>
      <c r="S749" s="19" t="str">
        <f t="shared" si="191"/>
        <v/>
      </c>
      <c r="T749" s="19" t="str">
        <f t="shared" si="192"/>
        <v/>
      </c>
      <c r="U749" s="19" t="str">
        <f t="shared" si="193"/>
        <v/>
      </c>
      <c r="V749" s="19" t="str">
        <f t="shared" si="194"/>
        <v/>
      </c>
      <c r="W749" s="73" t="str">
        <f t="shared" si="195"/>
        <v/>
      </c>
      <c r="X749" s="19" t="str">
        <f>IF($D749&lt;&gt;1,"",IF($G749="ROKS",$R749,IF($AI749=1,0,MAX($N749,$L749-SUMIFS(TblApplications[CPU IKS libérable (vCPU)],TblApplications[Cluster IKS source],$F749,TblApplications[Action],"À migrer",TblApplications[Mois prov (calc)],"&lt;="&amp;$E749)-SUMIFS(TblApplications[CPU IKS libérable (vCPU)],TblApplications[Cluster IKS source],$F749,TblApplications[Action],"À décommissionner",TblApplications[Mois lib (calc)],"&lt;="&amp;$E749)))))</f>
        <v/>
      </c>
      <c r="Y749" s="19" t="str">
        <f>IF($D749&lt;&gt;1,"",IF($G749="ROKS",$S749,IF($AI749=1,0,MAX($O749,$M749-SUMIFS(TblApplications[RAM IKS libérable (Go)],TblApplications[Cluster IKS source],$F749,TblApplications[Action],"À migrer",TblApplications[Mois prov (calc)],"&lt;="&amp;$E749)-SUMIFS(TblApplications[RAM IKS libérable (Go)],TblApplications[Cluster IKS source],$F749,TblApplications[Action],"À décommissionner",TblApplications[Mois lib (calc)],"&lt;="&amp;$E749)))))</f>
        <v/>
      </c>
      <c r="Z749" s="19" t="str">
        <f t="shared" si="196"/>
        <v/>
      </c>
      <c r="AA749" s="73" t="str">
        <f t="shared" si="197"/>
        <v/>
      </c>
      <c r="AB749" s="19" t="str">
        <f t="shared" si="198"/>
        <v/>
      </c>
      <c r="AC749" s="73" t="str">
        <f t="shared" si="199"/>
        <v/>
      </c>
      <c r="AD749" s="19" t="str">
        <f t="shared" si="200"/>
        <v/>
      </c>
      <c r="AE749" s="19" t="str">
        <f t="shared" si="201"/>
        <v/>
      </c>
      <c r="AF749" s="19" t="str">
        <f>IF($D749&lt;&gt;1,"",IF(INDEX(TblClusters[Environnement],$B749)="","(vide)",INDEX(TblClusters[Environnement],$B749)))</f>
        <v/>
      </c>
      <c r="AG749" s="19" t="str">
        <f t="shared" si="202"/>
        <v/>
      </c>
      <c r="AH749" s="19" t="str">
        <f t="shared" si="203"/>
        <v/>
      </c>
      <c r="AI749" s="19" t="str">
        <f>IF($D749&lt;&gt;1,"",IF(AND($G749="IKS",ISNUMBER(INDEX(TblClusters[Fermeture retenue],$B749))),IF($E749&gt;=INDEX(TblClusters[Fermeture retenue],$B749),1,0),0))</f>
        <v/>
      </c>
    </row>
    <row r="750" spans="1:35" x14ac:dyDescent="0.2">
      <c r="A750" s="19">
        <v>745</v>
      </c>
      <c r="B750" s="19">
        <f t="shared" si="187"/>
        <v>21</v>
      </c>
      <c r="C750" s="19">
        <f t="shared" si="188"/>
        <v>25</v>
      </c>
      <c r="D750" s="19">
        <f>IF($C750&gt;p_horizon,0,IFERROR(IF(AND(INDEX(TblClusters[Cluster],$B750)&lt;&gt;"",ISNUMBER(INDEX(TblClusters[CPU initial (vCPU)],$B750)),ISNUMBER(INDEX(TblClusters[CPU min (vCPU)],$B750)),OR(INDEX(TblClusters[Plateforme],$B750)="IKS",INDEX(TblClusters[Plateforme],$B750)="ROKS")),1,0),0))</f>
        <v>0</v>
      </c>
      <c r="E750" s="72" t="str">
        <f t="shared" si="189"/>
        <v/>
      </c>
      <c r="F750" s="19" t="str">
        <f>IF($D750=1,INDEX(TblClusters[Cluster],$B750),"")</f>
        <v/>
      </c>
      <c r="G750" s="19" t="str">
        <f>IF($D750=1,INDEX(TblClusters[Plateforme],$B750),"")</f>
        <v/>
      </c>
      <c r="H750" s="19" t="str">
        <f>IF($D750=1,INDEX(TblClusters[vCPU par nœud],$B750),"")</f>
        <v/>
      </c>
      <c r="I750" s="19" t="str">
        <f>IF($D750=1,INDEX(TblClusters[RAM par nœud (Go)],$B750),"")</f>
        <v/>
      </c>
      <c r="J750" s="19" t="str">
        <f>IF($D750=1,INDEX(TblClusters[Workers min],$B750),"")</f>
        <v/>
      </c>
      <c r="K750" s="73" t="str">
        <f>IF($D750=1,INDEX(TblClusters[Tarif par nœud],$B750),"")</f>
        <v/>
      </c>
      <c r="L750" s="19" t="str">
        <f>IF($D750=1,INDEX(TblClusters[CPU initial (vCPU)],$B750),"")</f>
        <v/>
      </c>
      <c r="M750" s="19" t="str">
        <f>IF($D750=1,INDEX(TblClusters[RAM initiale (Go)],$B750),"")</f>
        <v/>
      </c>
      <c r="N750" s="19" t="str">
        <f>IF($D750=1,INDEX(TblClusters[CPU min (vCPU)],$B750),"")</f>
        <v/>
      </c>
      <c r="O750" s="19" t="str">
        <f>IF($D750=1,INDEX(TblClusters[RAM min (Go)],$B750),"")</f>
        <v/>
      </c>
      <c r="P750" s="19" t="str">
        <f>IF($D750&lt;&gt;1,"",IF($G750="ROKS",SUMIFS(TblApplications[Besoin ROKS CPU (vCPU)],TblApplications[Cluster ROKS cible],$F750,TblApplications[Action],"À migrer",TblApplications[Déjà incluse ROKS],"Non",TblApplications[Mois prov (calc)],"&lt;="&amp;$E750),SUMIFS(TblApplications[CPU IKS libérable (vCPU)],TblApplications[Cluster IKS source],$F750,TblApplications[Mois lib (calc)],"&lt;="&amp;$E750)))</f>
        <v/>
      </c>
      <c r="Q750" s="19" t="str">
        <f>IF($D750&lt;&gt;1,"",IF($G750="ROKS",SUMIFS(TblApplications[Besoin ROKS RAM (Go)],TblApplications[Cluster ROKS cible],$F750,TblApplications[Action],"À migrer",TblApplications[Déjà incluse ROKS],"Non",TblApplications[Mois prov (calc)],"&lt;="&amp;$E750),SUMIFS(TblApplications[RAM IKS libérable (Go)],TblApplications[Cluster IKS source],$F750,TblApplications[Mois lib (calc)],"&lt;="&amp;$E750)))</f>
        <v/>
      </c>
      <c r="R750" s="19" t="str">
        <f t="shared" si="190"/>
        <v/>
      </c>
      <c r="S750" s="19" t="str">
        <f t="shared" si="191"/>
        <v/>
      </c>
      <c r="T750" s="19" t="str">
        <f t="shared" si="192"/>
        <v/>
      </c>
      <c r="U750" s="19" t="str">
        <f t="shared" si="193"/>
        <v/>
      </c>
      <c r="V750" s="19" t="str">
        <f t="shared" si="194"/>
        <v/>
      </c>
      <c r="W750" s="73" t="str">
        <f t="shared" si="195"/>
        <v/>
      </c>
      <c r="X750" s="19" t="str">
        <f>IF($D750&lt;&gt;1,"",IF($G750="ROKS",$R750,IF($AI750=1,0,MAX($N750,$L750-SUMIFS(TblApplications[CPU IKS libérable (vCPU)],TblApplications[Cluster IKS source],$F750,TblApplications[Action],"À migrer",TblApplications[Mois prov (calc)],"&lt;="&amp;$E750)-SUMIFS(TblApplications[CPU IKS libérable (vCPU)],TblApplications[Cluster IKS source],$F750,TblApplications[Action],"À décommissionner",TblApplications[Mois lib (calc)],"&lt;="&amp;$E750)))))</f>
        <v/>
      </c>
      <c r="Y750" s="19" t="str">
        <f>IF($D750&lt;&gt;1,"",IF($G750="ROKS",$S750,IF($AI750=1,0,MAX($O750,$M750-SUMIFS(TblApplications[RAM IKS libérable (Go)],TblApplications[Cluster IKS source],$F750,TblApplications[Action],"À migrer",TblApplications[Mois prov (calc)],"&lt;="&amp;$E750)-SUMIFS(TblApplications[RAM IKS libérable (Go)],TblApplications[Cluster IKS source],$F750,TblApplications[Action],"À décommissionner",TblApplications[Mois lib (calc)],"&lt;="&amp;$E750)))))</f>
        <v/>
      </c>
      <c r="Z750" s="19" t="str">
        <f t="shared" si="196"/>
        <v/>
      </c>
      <c r="AA750" s="73" t="str">
        <f t="shared" si="197"/>
        <v/>
      </c>
      <c r="AB750" s="19" t="str">
        <f t="shared" si="198"/>
        <v/>
      </c>
      <c r="AC750" s="73" t="str">
        <f t="shared" si="199"/>
        <v/>
      </c>
      <c r="AD750" s="19" t="str">
        <f t="shared" si="200"/>
        <v/>
      </c>
      <c r="AE750" s="19" t="str">
        <f t="shared" si="201"/>
        <v/>
      </c>
      <c r="AF750" s="19" t="str">
        <f>IF($D750&lt;&gt;1,"",IF(INDEX(TblClusters[Environnement],$B750)="","(vide)",INDEX(TblClusters[Environnement],$B750)))</f>
        <v/>
      </c>
      <c r="AG750" s="19" t="str">
        <f t="shared" si="202"/>
        <v/>
      </c>
      <c r="AH750" s="19" t="str">
        <f t="shared" si="203"/>
        <v/>
      </c>
      <c r="AI750" s="19" t="str">
        <f>IF($D750&lt;&gt;1,"",IF(AND($G750="IKS",ISNUMBER(INDEX(TblClusters[Fermeture retenue],$B750))),IF($E750&gt;=INDEX(TblClusters[Fermeture retenue],$B750),1,0),0))</f>
        <v/>
      </c>
    </row>
    <row r="751" spans="1:35" x14ac:dyDescent="0.2">
      <c r="A751" s="19">
        <v>746</v>
      </c>
      <c r="B751" s="19">
        <f t="shared" si="187"/>
        <v>21</v>
      </c>
      <c r="C751" s="19">
        <f t="shared" si="188"/>
        <v>26</v>
      </c>
      <c r="D751" s="19">
        <f>IF($C751&gt;p_horizon,0,IFERROR(IF(AND(INDEX(TblClusters[Cluster],$B751)&lt;&gt;"",ISNUMBER(INDEX(TblClusters[CPU initial (vCPU)],$B751)),ISNUMBER(INDEX(TblClusters[CPU min (vCPU)],$B751)),OR(INDEX(TblClusters[Plateforme],$B751)="IKS",INDEX(TblClusters[Plateforme],$B751)="ROKS")),1,0),0))</f>
        <v>0</v>
      </c>
      <c r="E751" s="72" t="str">
        <f t="shared" si="189"/>
        <v/>
      </c>
      <c r="F751" s="19" t="str">
        <f>IF($D751=1,INDEX(TblClusters[Cluster],$B751),"")</f>
        <v/>
      </c>
      <c r="G751" s="19" t="str">
        <f>IF($D751=1,INDEX(TblClusters[Plateforme],$B751),"")</f>
        <v/>
      </c>
      <c r="H751" s="19" t="str">
        <f>IF($D751=1,INDEX(TblClusters[vCPU par nœud],$B751),"")</f>
        <v/>
      </c>
      <c r="I751" s="19" t="str">
        <f>IF($D751=1,INDEX(TblClusters[RAM par nœud (Go)],$B751),"")</f>
        <v/>
      </c>
      <c r="J751" s="19" t="str">
        <f>IF($D751=1,INDEX(TblClusters[Workers min],$B751),"")</f>
        <v/>
      </c>
      <c r="K751" s="73" t="str">
        <f>IF($D751=1,INDEX(TblClusters[Tarif par nœud],$B751),"")</f>
        <v/>
      </c>
      <c r="L751" s="19" t="str">
        <f>IF($D751=1,INDEX(TblClusters[CPU initial (vCPU)],$B751),"")</f>
        <v/>
      </c>
      <c r="M751" s="19" t="str">
        <f>IF($D751=1,INDEX(TblClusters[RAM initiale (Go)],$B751),"")</f>
        <v/>
      </c>
      <c r="N751" s="19" t="str">
        <f>IF($D751=1,INDEX(TblClusters[CPU min (vCPU)],$B751),"")</f>
        <v/>
      </c>
      <c r="O751" s="19" t="str">
        <f>IF($D751=1,INDEX(TblClusters[RAM min (Go)],$B751),"")</f>
        <v/>
      </c>
      <c r="P751" s="19" t="str">
        <f>IF($D751&lt;&gt;1,"",IF($G751="ROKS",SUMIFS(TblApplications[Besoin ROKS CPU (vCPU)],TblApplications[Cluster ROKS cible],$F751,TblApplications[Action],"À migrer",TblApplications[Déjà incluse ROKS],"Non",TblApplications[Mois prov (calc)],"&lt;="&amp;$E751),SUMIFS(TblApplications[CPU IKS libérable (vCPU)],TblApplications[Cluster IKS source],$F751,TblApplications[Mois lib (calc)],"&lt;="&amp;$E751)))</f>
        <v/>
      </c>
      <c r="Q751" s="19" t="str">
        <f>IF($D751&lt;&gt;1,"",IF($G751="ROKS",SUMIFS(TblApplications[Besoin ROKS RAM (Go)],TblApplications[Cluster ROKS cible],$F751,TblApplications[Action],"À migrer",TblApplications[Déjà incluse ROKS],"Non",TblApplications[Mois prov (calc)],"&lt;="&amp;$E751),SUMIFS(TblApplications[RAM IKS libérable (Go)],TblApplications[Cluster IKS source],$F751,TblApplications[Mois lib (calc)],"&lt;="&amp;$E751)))</f>
        <v/>
      </c>
      <c r="R751" s="19" t="str">
        <f t="shared" si="190"/>
        <v/>
      </c>
      <c r="S751" s="19" t="str">
        <f t="shared" si="191"/>
        <v/>
      </c>
      <c r="T751" s="19" t="str">
        <f t="shared" si="192"/>
        <v/>
      </c>
      <c r="U751" s="19" t="str">
        <f t="shared" si="193"/>
        <v/>
      </c>
      <c r="V751" s="19" t="str">
        <f t="shared" si="194"/>
        <v/>
      </c>
      <c r="W751" s="73" t="str">
        <f t="shared" si="195"/>
        <v/>
      </c>
      <c r="X751" s="19" t="str">
        <f>IF($D751&lt;&gt;1,"",IF($G751="ROKS",$R751,IF($AI751=1,0,MAX($N751,$L751-SUMIFS(TblApplications[CPU IKS libérable (vCPU)],TblApplications[Cluster IKS source],$F751,TblApplications[Action],"À migrer",TblApplications[Mois prov (calc)],"&lt;="&amp;$E751)-SUMIFS(TblApplications[CPU IKS libérable (vCPU)],TblApplications[Cluster IKS source],$F751,TblApplications[Action],"À décommissionner",TblApplications[Mois lib (calc)],"&lt;="&amp;$E751)))))</f>
        <v/>
      </c>
      <c r="Y751" s="19" t="str">
        <f>IF($D751&lt;&gt;1,"",IF($G751="ROKS",$S751,IF($AI751=1,0,MAX($O751,$M751-SUMIFS(TblApplications[RAM IKS libérable (Go)],TblApplications[Cluster IKS source],$F751,TblApplications[Action],"À migrer",TblApplications[Mois prov (calc)],"&lt;="&amp;$E751)-SUMIFS(TblApplications[RAM IKS libérable (Go)],TblApplications[Cluster IKS source],$F751,TblApplications[Action],"À décommissionner",TblApplications[Mois lib (calc)],"&lt;="&amp;$E751)))))</f>
        <v/>
      </c>
      <c r="Z751" s="19" t="str">
        <f t="shared" si="196"/>
        <v/>
      </c>
      <c r="AA751" s="73" t="str">
        <f t="shared" si="197"/>
        <v/>
      </c>
      <c r="AB751" s="19" t="str">
        <f t="shared" si="198"/>
        <v/>
      </c>
      <c r="AC751" s="73" t="str">
        <f t="shared" si="199"/>
        <v/>
      </c>
      <c r="AD751" s="19" t="str">
        <f t="shared" si="200"/>
        <v/>
      </c>
      <c r="AE751" s="19" t="str">
        <f t="shared" si="201"/>
        <v/>
      </c>
      <c r="AF751" s="19" t="str">
        <f>IF($D751&lt;&gt;1,"",IF(INDEX(TblClusters[Environnement],$B751)="","(vide)",INDEX(TblClusters[Environnement],$B751)))</f>
        <v/>
      </c>
      <c r="AG751" s="19" t="str">
        <f t="shared" si="202"/>
        <v/>
      </c>
      <c r="AH751" s="19" t="str">
        <f t="shared" si="203"/>
        <v/>
      </c>
      <c r="AI751" s="19" t="str">
        <f>IF($D751&lt;&gt;1,"",IF(AND($G751="IKS",ISNUMBER(INDEX(TblClusters[Fermeture retenue],$B751))),IF($E751&gt;=INDEX(TblClusters[Fermeture retenue],$B751),1,0),0))</f>
        <v/>
      </c>
    </row>
    <row r="752" spans="1:35" x14ac:dyDescent="0.2">
      <c r="A752" s="19">
        <v>747</v>
      </c>
      <c r="B752" s="19">
        <f t="shared" si="187"/>
        <v>21</v>
      </c>
      <c r="C752" s="19">
        <f t="shared" si="188"/>
        <v>27</v>
      </c>
      <c r="D752" s="19">
        <f>IF($C752&gt;p_horizon,0,IFERROR(IF(AND(INDEX(TblClusters[Cluster],$B752)&lt;&gt;"",ISNUMBER(INDEX(TblClusters[CPU initial (vCPU)],$B752)),ISNUMBER(INDEX(TblClusters[CPU min (vCPU)],$B752)),OR(INDEX(TblClusters[Plateforme],$B752)="IKS",INDEX(TblClusters[Plateforme],$B752)="ROKS")),1,0),0))</f>
        <v>0</v>
      </c>
      <c r="E752" s="72" t="str">
        <f t="shared" si="189"/>
        <v/>
      </c>
      <c r="F752" s="19" t="str">
        <f>IF($D752=1,INDEX(TblClusters[Cluster],$B752),"")</f>
        <v/>
      </c>
      <c r="G752" s="19" t="str">
        <f>IF($D752=1,INDEX(TblClusters[Plateforme],$B752),"")</f>
        <v/>
      </c>
      <c r="H752" s="19" t="str">
        <f>IF($D752=1,INDEX(TblClusters[vCPU par nœud],$B752),"")</f>
        <v/>
      </c>
      <c r="I752" s="19" t="str">
        <f>IF($D752=1,INDEX(TblClusters[RAM par nœud (Go)],$B752),"")</f>
        <v/>
      </c>
      <c r="J752" s="19" t="str">
        <f>IF($D752=1,INDEX(TblClusters[Workers min],$B752),"")</f>
        <v/>
      </c>
      <c r="K752" s="73" t="str">
        <f>IF($D752=1,INDEX(TblClusters[Tarif par nœud],$B752),"")</f>
        <v/>
      </c>
      <c r="L752" s="19" t="str">
        <f>IF($D752=1,INDEX(TblClusters[CPU initial (vCPU)],$B752),"")</f>
        <v/>
      </c>
      <c r="M752" s="19" t="str">
        <f>IF($D752=1,INDEX(TblClusters[RAM initiale (Go)],$B752),"")</f>
        <v/>
      </c>
      <c r="N752" s="19" t="str">
        <f>IF($D752=1,INDEX(TblClusters[CPU min (vCPU)],$B752),"")</f>
        <v/>
      </c>
      <c r="O752" s="19" t="str">
        <f>IF($D752=1,INDEX(TblClusters[RAM min (Go)],$B752),"")</f>
        <v/>
      </c>
      <c r="P752" s="19" t="str">
        <f>IF($D752&lt;&gt;1,"",IF($G752="ROKS",SUMIFS(TblApplications[Besoin ROKS CPU (vCPU)],TblApplications[Cluster ROKS cible],$F752,TblApplications[Action],"À migrer",TblApplications[Déjà incluse ROKS],"Non",TblApplications[Mois prov (calc)],"&lt;="&amp;$E752),SUMIFS(TblApplications[CPU IKS libérable (vCPU)],TblApplications[Cluster IKS source],$F752,TblApplications[Mois lib (calc)],"&lt;="&amp;$E752)))</f>
        <v/>
      </c>
      <c r="Q752" s="19" t="str">
        <f>IF($D752&lt;&gt;1,"",IF($G752="ROKS",SUMIFS(TblApplications[Besoin ROKS RAM (Go)],TblApplications[Cluster ROKS cible],$F752,TblApplications[Action],"À migrer",TblApplications[Déjà incluse ROKS],"Non",TblApplications[Mois prov (calc)],"&lt;="&amp;$E752),SUMIFS(TblApplications[RAM IKS libérable (Go)],TblApplications[Cluster IKS source],$F752,TblApplications[Mois lib (calc)],"&lt;="&amp;$E752)))</f>
        <v/>
      </c>
      <c r="R752" s="19" t="str">
        <f t="shared" si="190"/>
        <v/>
      </c>
      <c r="S752" s="19" t="str">
        <f t="shared" si="191"/>
        <v/>
      </c>
      <c r="T752" s="19" t="str">
        <f t="shared" si="192"/>
        <v/>
      </c>
      <c r="U752" s="19" t="str">
        <f t="shared" si="193"/>
        <v/>
      </c>
      <c r="V752" s="19" t="str">
        <f t="shared" si="194"/>
        <v/>
      </c>
      <c r="W752" s="73" t="str">
        <f t="shared" si="195"/>
        <v/>
      </c>
      <c r="X752" s="19" t="str">
        <f>IF($D752&lt;&gt;1,"",IF($G752="ROKS",$R752,IF($AI752=1,0,MAX($N752,$L752-SUMIFS(TblApplications[CPU IKS libérable (vCPU)],TblApplications[Cluster IKS source],$F752,TblApplications[Action],"À migrer",TblApplications[Mois prov (calc)],"&lt;="&amp;$E752)-SUMIFS(TblApplications[CPU IKS libérable (vCPU)],TblApplications[Cluster IKS source],$F752,TblApplications[Action],"À décommissionner",TblApplications[Mois lib (calc)],"&lt;="&amp;$E752)))))</f>
        <v/>
      </c>
      <c r="Y752" s="19" t="str">
        <f>IF($D752&lt;&gt;1,"",IF($G752="ROKS",$S752,IF($AI752=1,0,MAX($O752,$M752-SUMIFS(TblApplications[RAM IKS libérable (Go)],TblApplications[Cluster IKS source],$F752,TblApplications[Action],"À migrer",TblApplications[Mois prov (calc)],"&lt;="&amp;$E752)-SUMIFS(TblApplications[RAM IKS libérable (Go)],TblApplications[Cluster IKS source],$F752,TblApplications[Action],"À décommissionner",TblApplications[Mois lib (calc)],"&lt;="&amp;$E752)))))</f>
        <v/>
      </c>
      <c r="Z752" s="19" t="str">
        <f t="shared" si="196"/>
        <v/>
      </c>
      <c r="AA752" s="73" t="str">
        <f t="shared" si="197"/>
        <v/>
      </c>
      <c r="AB752" s="19" t="str">
        <f t="shared" si="198"/>
        <v/>
      </c>
      <c r="AC752" s="73" t="str">
        <f t="shared" si="199"/>
        <v/>
      </c>
      <c r="AD752" s="19" t="str">
        <f t="shared" si="200"/>
        <v/>
      </c>
      <c r="AE752" s="19" t="str">
        <f t="shared" si="201"/>
        <v/>
      </c>
      <c r="AF752" s="19" t="str">
        <f>IF($D752&lt;&gt;1,"",IF(INDEX(TblClusters[Environnement],$B752)="","(vide)",INDEX(TblClusters[Environnement],$B752)))</f>
        <v/>
      </c>
      <c r="AG752" s="19" t="str">
        <f t="shared" si="202"/>
        <v/>
      </c>
      <c r="AH752" s="19" t="str">
        <f t="shared" si="203"/>
        <v/>
      </c>
      <c r="AI752" s="19" t="str">
        <f>IF($D752&lt;&gt;1,"",IF(AND($G752="IKS",ISNUMBER(INDEX(TblClusters[Fermeture retenue],$B752))),IF($E752&gt;=INDEX(TblClusters[Fermeture retenue],$B752),1,0),0))</f>
        <v/>
      </c>
    </row>
    <row r="753" spans="1:35" x14ac:dyDescent="0.2">
      <c r="A753" s="19">
        <v>748</v>
      </c>
      <c r="B753" s="19">
        <f t="shared" si="187"/>
        <v>21</v>
      </c>
      <c r="C753" s="19">
        <f t="shared" si="188"/>
        <v>28</v>
      </c>
      <c r="D753" s="19">
        <f>IF($C753&gt;p_horizon,0,IFERROR(IF(AND(INDEX(TblClusters[Cluster],$B753)&lt;&gt;"",ISNUMBER(INDEX(TblClusters[CPU initial (vCPU)],$B753)),ISNUMBER(INDEX(TblClusters[CPU min (vCPU)],$B753)),OR(INDEX(TblClusters[Plateforme],$B753)="IKS",INDEX(TblClusters[Plateforme],$B753)="ROKS")),1,0),0))</f>
        <v>0</v>
      </c>
      <c r="E753" s="72" t="str">
        <f t="shared" si="189"/>
        <v/>
      </c>
      <c r="F753" s="19" t="str">
        <f>IF($D753=1,INDEX(TblClusters[Cluster],$B753),"")</f>
        <v/>
      </c>
      <c r="G753" s="19" t="str">
        <f>IF($D753=1,INDEX(TblClusters[Plateforme],$B753),"")</f>
        <v/>
      </c>
      <c r="H753" s="19" t="str">
        <f>IF($D753=1,INDEX(TblClusters[vCPU par nœud],$B753),"")</f>
        <v/>
      </c>
      <c r="I753" s="19" t="str">
        <f>IF($D753=1,INDEX(TblClusters[RAM par nœud (Go)],$B753),"")</f>
        <v/>
      </c>
      <c r="J753" s="19" t="str">
        <f>IF($D753=1,INDEX(TblClusters[Workers min],$B753),"")</f>
        <v/>
      </c>
      <c r="K753" s="73" t="str">
        <f>IF($D753=1,INDEX(TblClusters[Tarif par nœud],$B753),"")</f>
        <v/>
      </c>
      <c r="L753" s="19" t="str">
        <f>IF($D753=1,INDEX(TblClusters[CPU initial (vCPU)],$B753),"")</f>
        <v/>
      </c>
      <c r="M753" s="19" t="str">
        <f>IF($D753=1,INDEX(TblClusters[RAM initiale (Go)],$B753),"")</f>
        <v/>
      </c>
      <c r="N753" s="19" t="str">
        <f>IF($D753=1,INDEX(TblClusters[CPU min (vCPU)],$B753),"")</f>
        <v/>
      </c>
      <c r="O753" s="19" t="str">
        <f>IF($D753=1,INDEX(TblClusters[RAM min (Go)],$B753),"")</f>
        <v/>
      </c>
      <c r="P753" s="19" t="str">
        <f>IF($D753&lt;&gt;1,"",IF($G753="ROKS",SUMIFS(TblApplications[Besoin ROKS CPU (vCPU)],TblApplications[Cluster ROKS cible],$F753,TblApplications[Action],"À migrer",TblApplications[Déjà incluse ROKS],"Non",TblApplications[Mois prov (calc)],"&lt;="&amp;$E753),SUMIFS(TblApplications[CPU IKS libérable (vCPU)],TblApplications[Cluster IKS source],$F753,TblApplications[Mois lib (calc)],"&lt;="&amp;$E753)))</f>
        <v/>
      </c>
      <c r="Q753" s="19" t="str">
        <f>IF($D753&lt;&gt;1,"",IF($G753="ROKS",SUMIFS(TblApplications[Besoin ROKS RAM (Go)],TblApplications[Cluster ROKS cible],$F753,TblApplications[Action],"À migrer",TblApplications[Déjà incluse ROKS],"Non",TblApplications[Mois prov (calc)],"&lt;="&amp;$E753),SUMIFS(TblApplications[RAM IKS libérable (Go)],TblApplications[Cluster IKS source],$F753,TblApplications[Mois lib (calc)],"&lt;="&amp;$E753)))</f>
        <v/>
      </c>
      <c r="R753" s="19" t="str">
        <f t="shared" si="190"/>
        <v/>
      </c>
      <c r="S753" s="19" t="str">
        <f t="shared" si="191"/>
        <v/>
      </c>
      <c r="T753" s="19" t="str">
        <f t="shared" si="192"/>
        <v/>
      </c>
      <c r="U753" s="19" t="str">
        <f t="shared" si="193"/>
        <v/>
      </c>
      <c r="V753" s="19" t="str">
        <f t="shared" si="194"/>
        <v/>
      </c>
      <c r="W753" s="73" t="str">
        <f t="shared" si="195"/>
        <v/>
      </c>
      <c r="X753" s="19" t="str">
        <f>IF($D753&lt;&gt;1,"",IF($G753="ROKS",$R753,IF($AI753=1,0,MAX($N753,$L753-SUMIFS(TblApplications[CPU IKS libérable (vCPU)],TblApplications[Cluster IKS source],$F753,TblApplications[Action],"À migrer",TblApplications[Mois prov (calc)],"&lt;="&amp;$E753)-SUMIFS(TblApplications[CPU IKS libérable (vCPU)],TblApplications[Cluster IKS source],$F753,TblApplications[Action],"À décommissionner",TblApplications[Mois lib (calc)],"&lt;="&amp;$E753)))))</f>
        <v/>
      </c>
      <c r="Y753" s="19" t="str">
        <f>IF($D753&lt;&gt;1,"",IF($G753="ROKS",$S753,IF($AI753=1,0,MAX($O753,$M753-SUMIFS(TblApplications[RAM IKS libérable (Go)],TblApplications[Cluster IKS source],$F753,TblApplications[Action],"À migrer",TblApplications[Mois prov (calc)],"&lt;="&amp;$E753)-SUMIFS(TblApplications[RAM IKS libérable (Go)],TblApplications[Cluster IKS source],$F753,TblApplications[Action],"À décommissionner",TblApplications[Mois lib (calc)],"&lt;="&amp;$E753)))))</f>
        <v/>
      </c>
      <c r="Z753" s="19" t="str">
        <f t="shared" si="196"/>
        <v/>
      </c>
      <c r="AA753" s="73" t="str">
        <f t="shared" si="197"/>
        <v/>
      </c>
      <c r="AB753" s="19" t="str">
        <f t="shared" si="198"/>
        <v/>
      </c>
      <c r="AC753" s="73" t="str">
        <f t="shared" si="199"/>
        <v/>
      </c>
      <c r="AD753" s="19" t="str">
        <f t="shared" si="200"/>
        <v/>
      </c>
      <c r="AE753" s="19" t="str">
        <f t="shared" si="201"/>
        <v/>
      </c>
      <c r="AF753" s="19" t="str">
        <f>IF($D753&lt;&gt;1,"",IF(INDEX(TblClusters[Environnement],$B753)="","(vide)",INDEX(TblClusters[Environnement],$B753)))</f>
        <v/>
      </c>
      <c r="AG753" s="19" t="str">
        <f t="shared" si="202"/>
        <v/>
      </c>
      <c r="AH753" s="19" t="str">
        <f t="shared" si="203"/>
        <v/>
      </c>
      <c r="AI753" s="19" t="str">
        <f>IF($D753&lt;&gt;1,"",IF(AND($G753="IKS",ISNUMBER(INDEX(TblClusters[Fermeture retenue],$B753))),IF($E753&gt;=INDEX(TblClusters[Fermeture retenue],$B753),1,0),0))</f>
        <v/>
      </c>
    </row>
    <row r="754" spans="1:35" x14ac:dyDescent="0.2">
      <c r="A754" s="19">
        <v>749</v>
      </c>
      <c r="B754" s="19">
        <f t="shared" si="187"/>
        <v>21</v>
      </c>
      <c r="C754" s="19">
        <f t="shared" si="188"/>
        <v>29</v>
      </c>
      <c r="D754" s="19">
        <f>IF($C754&gt;p_horizon,0,IFERROR(IF(AND(INDEX(TblClusters[Cluster],$B754)&lt;&gt;"",ISNUMBER(INDEX(TblClusters[CPU initial (vCPU)],$B754)),ISNUMBER(INDEX(TblClusters[CPU min (vCPU)],$B754)),OR(INDEX(TblClusters[Plateforme],$B754)="IKS",INDEX(TblClusters[Plateforme],$B754)="ROKS")),1,0),0))</f>
        <v>0</v>
      </c>
      <c r="E754" s="72" t="str">
        <f t="shared" si="189"/>
        <v/>
      </c>
      <c r="F754" s="19" t="str">
        <f>IF($D754=1,INDEX(TblClusters[Cluster],$B754),"")</f>
        <v/>
      </c>
      <c r="G754" s="19" t="str">
        <f>IF($D754=1,INDEX(TblClusters[Plateforme],$B754),"")</f>
        <v/>
      </c>
      <c r="H754" s="19" t="str">
        <f>IF($D754=1,INDEX(TblClusters[vCPU par nœud],$B754),"")</f>
        <v/>
      </c>
      <c r="I754" s="19" t="str">
        <f>IF($D754=1,INDEX(TblClusters[RAM par nœud (Go)],$B754),"")</f>
        <v/>
      </c>
      <c r="J754" s="19" t="str">
        <f>IF($D754=1,INDEX(TblClusters[Workers min],$B754),"")</f>
        <v/>
      </c>
      <c r="K754" s="73" t="str">
        <f>IF($D754=1,INDEX(TblClusters[Tarif par nœud],$B754),"")</f>
        <v/>
      </c>
      <c r="L754" s="19" t="str">
        <f>IF($D754=1,INDEX(TblClusters[CPU initial (vCPU)],$B754),"")</f>
        <v/>
      </c>
      <c r="M754" s="19" t="str">
        <f>IF($D754=1,INDEX(TblClusters[RAM initiale (Go)],$B754),"")</f>
        <v/>
      </c>
      <c r="N754" s="19" t="str">
        <f>IF($D754=1,INDEX(TblClusters[CPU min (vCPU)],$B754),"")</f>
        <v/>
      </c>
      <c r="O754" s="19" t="str">
        <f>IF($D754=1,INDEX(TblClusters[RAM min (Go)],$B754),"")</f>
        <v/>
      </c>
      <c r="P754" s="19" t="str">
        <f>IF($D754&lt;&gt;1,"",IF($G754="ROKS",SUMIFS(TblApplications[Besoin ROKS CPU (vCPU)],TblApplications[Cluster ROKS cible],$F754,TblApplications[Action],"À migrer",TblApplications[Déjà incluse ROKS],"Non",TblApplications[Mois prov (calc)],"&lt;="&amp;$E754),SUMIFS(TblApplications[CPU IKS libérable (vCPU)],TblApplications[Cluster IKS source],$F754,TblApplications[Mois lib (calc)],"&lt;="&amp;$E754)))</f>
        <v/>
      </c>
      <c r="Q754" s="19" t="str">
        <f>IF($D754&lt;&gt;1,"",IF($G754="ROKS",SUMIFS(TblApplications[Besoin ROKS RAM (Go)],TblApplications[Cluster ROKS cible],$F754,TblApplications[Action],"À migrer",TblApplications[Déjà incluse ROKS],"Non",TblApplications[Mois prov (calc)],"&lt;="&amp;$E754),SUMIFS(TblApplications[RAM IKS libérable (Go)],TblApplications[Cluster IKS source],$F754,TblApplications[Mois lib (calc)],"&lt;="&amp;$E754)))</f>
        <v/>
      </c>
      <c r="R754" s="19" t="str">
        <f t="shared" si="190"/>
        <v/>
      </c>
      <c r="S754" s="19" t="str">
        <f t="shared" si="191"/>
        <v/>
      </c>
      <c r="T754" s="19" t="str">
        <f t="shared" si="192"/>
        <v/>
      </c>
      <c r="U754" s="19" t="str">
        <f t="shared" si="193"/>
        <v/>
      </c>
      <c r="V754" s="19" t="str">
        <f t="shared" si="194"/>
        <v/>
      </c>
      <c r="W754" s="73" t="str">
        <f t="shared" si="195"/>
        <v/>
      </c>
      <c r="X754" s="19" t="str">
        <f>IF($D754&lt;&gt;1,"",IF($G754="ROKS",$R754,IF($AI754=1,0,MAX($N754,$L754-SUMIFS(TblApplications[CPU IKS libérable (vCPU)],TblApplications[Cluster IKS source],$F754,TblApplications[Action],"À migrer",TblApplications[Mois prov (calc)],"&lt;="&amp;$E754)-SUMIFS(TblApplications[CPU IKS libérable (vCPU)],TblApplications[Cluster IKS source],$F754,TblApplications[Action],"À décommissionner",TblApplications[Mois lib (calc)],"&lt;="&amp;$E754)))))</f>
        <v/>
      </c>
      <c r="Y754" s="19" t="str">
        <f>IF($D754&lt;&gt;1,"",IF($G754="ROKS",$S754,IF($AI754=1,0,MAX($O754,$M754-SUMIFS(TblApplications[RAM IKS libérable (Go)],TblApplications[Cluster IKS source],$F754,TblApplications[Action],"À migrer",TblApplications[Mois prov (calc)],"&lt;="&amp;$E754)-SUMIFS(TblApplications[RAM IKS libérable (Go)],TblApplications[Cluster IKS source],$F754,TblApplications[Action],"À décommissionner",TblApplications[Mois lib (calc)],"&lt;="&amp;$E754)))))</f>
        <v/>
      </c>
      <c r="Z754" s="19" t="str">
        <f t="shared" si="196"/>
        <v/>
      </c>
      <c r="AA754" s="73" t="str">
        <f t="shared" si="197"/>
        <v/>
      </c>
      <c r="AB754" s="19" t="str">
        <f t="shared" si="198"/>
        <v/>
      </c>
      <c r="AC754" s="73" t="str">
        <f t="shared" si="199"/>
        <v/>
      </c>
      <c r="AD754" s="19" t="str">
        <f t="shared" si="200"/>
        <v/>
      </c>
      <c r="AE754" s="19" t="str">
        <f t="shared" si="201"/>
        <v/>
      </c>
      <c r="AF754" s="19" t="str">
        <f>IF($D754&lt;&gt;1,"",IF(INDEX(TblClusters[Environnement],$B754)="","(vide)",INDEX(TblClusters[Environnement],$B754)))</f>
        <v/>
      </c>
      <c r="AG754" s="19" t="str">
        <f t="shared" si="202"/>
        <v/>
      </c>
      <c r="AH754" s="19" t="str">
        <f t="shared" si="203"/>
        <v/>
      </c>
      <c r="AI754" s="19" t="str">
        <f>IF($D754&lt;&gt;1,"",IF(AND($G754="IKS",ISNUMBER(INDEX(TblClusters[Fermeture retenue],$B754))),IF($E754&gt;=INDEX(TblClusters[Fermeture retenue],$B754),1,0),0))</f>
        <v/>
      </c>
    </row>
    <row r="755" spans="1:35" x14ac:dyDescent="0.2">
      <c r="A755" s="19">
        <v>750</v>
      </c>
      <c r="B755" s="19">
        <f t="shared" si="187"/>
        <v>21</v>
      </c>
      <c r="C755" s="19">
        <f t="shared" si="188"/>
        <v>30</v>
      </c>
      <c r="D755" s="19">
        <f>IF($C755&gt;p_horizon,0,IFERROR(IF(AND(INDEX(TblClusters[Cluster],$B755)&lt;&gt;"",ISNUMBER(INDEX(TblClusters[CPU initial (vCPU)],$B755)),ISNUMBER(INDEX(TblClusters[CPU min (vCPU)],$B755)),OR(INDEX(TblClusters[Plateforme],$B755)="IKS",INDEX(TblClusters[Plateforme],$B755)="ROKS")),1,0),0))</f>
        <v>0</v>
      </c>
      <c r="E755" s="72" t="str">
        <f t="shared" si="189"/>
        <v/>
      </c>
      <c r="F755" s="19" t="str">
        <f>IF($D755=1,INDEX(TblClusters[Cluster],$B755),"")</f>
        <v/>
      </c>
      <c r="G755" s="19" t="str">
        <f>IF($D755=1,INDEX(TblClusters[Plateforme],$B755),"")</f>
        <v/>
      </c>
      <c r="H755" s="19" t="str">
        <f>IF($D755=1,INDEX(TblClusters[vCPU par nœud],$B755),"")</f>
        <v/>
      </c>
      <c r="I755" s="19" t="str">
        <f>IF($D755=1,INDEX(TblClusters[RAM par nœud (Go)],$B755),"")</f>
        <v/>
      </c>
      <c r="J755" s="19" t="str">
        <f>IF($D755=1,INDEX(TblClusters[Workers min],$B755),"")</f>
        <v/>
      </c>
      <c r="K755" s="73" t="str">
        <f>IF($D755=1,INDEX(TblClusters[Tarif par nœud],$B755),"")</f>
        <v/>
      </c>
      <c r="L755" s="19" t="str">
        <f>IF($D755=1,INDEX(TblClusters[CPU initial (vCPU)],$B755),"")</f>
        <v/>
      </c>
      <c r="M755" s="19" t="str">
        <f>IF($D755=1,INDEX(TblClusters[RAM initiale (Go)],$B755),"")</f>
        <v/>
      </c>
      <c r="N755" s="19" t="str">
        <f>IF($D755=1,INDEX(TblClusters[CPU min (vCPU)],$B755),"")</f>
        <v/>
      </c>
      <c r="O755" s="19" t="str">
        <f>IF($D755=1,INDEX(TblClusters[RAM min (Go)],$B755),"")</f>
        <v/>
      </c>
      <c r="P755" s="19" t="str">
        <f>IF($D755&lt;&gt;1,"",IF($G755="ROKS",SUMIFS(TblApplications[Besoin ROKS CPU (vCPU)],TblApplications[Cluster ROKS cible],$F755,TblApplications[Action],"À migrer",TblApplications[Déjà incluse ROKS],"Non",TblApplications[Mois prov (calc)],"&lt;="&amp;$E755),SUMIFS(TblApplications[CPU IKS libérable (vCPU)],TblApplications[Cluster IKS source],$F755,TblApplications[Mois lib (calc)],"&lt;="&amp;$E755)))</f>
        <v/>
      </c>
      <c r="Q755" s="19" t="str">
        <f>IF($D755&lt;&gt;1,"",IF($G755="ROKS",SUMIFS(TblApplications[Besoin ROKS RAM (Go)],TblApplications[Cluster ROKS cible],$F755,TblApplications[Action],"À migrer",TblApplications[Déjà incluse ROKS],"Non",TblApplications[Mois prov (calc)],"&lt;="&amp;$E755),SUMIFS(TblApplications[RAM IKS libérable (Go)],TblApplications[Cluster IKS source],$F755,TblApplications[Mois lib (calc)],"&lt;="&amp;$E755)))</f>
        <v/>
      </c>
      <c r="R755" s="19" t="str">
        <f t="shared" si="190"/>
        <v/>
      </c>
      <c r="S755" s="19" t="str">
        <f t="shared" si="191"/>
        <v/>
      </c>
      <c r="T755" s="19" t="str">
        <f t="shared" si="192"/>
        <v/>
      </c>
      <c r="U755" s="19" t="str">
        <f t="shared" si="193"/>
        <v/>
      </c>
      <c r="V755" s="19" t="str">
        <f t="shared" si="194"/>
        <v/>
      </c>
      <c r="W755" s="73" t="str">
        <f t="shared" si="195"/>
        <v/>
      </c>
      <c r="X755" s="19" t="str">
        <f>IF($D755&lt;&gt;1,"",IF($G755="ROKS",$R755,IF($AI755=1,0,MAX($N755,$L755-SUMIFS(TblApplications[CPU IKS libérable (vCPU)],TblApplications[Cluster IKS source],$F755,TblApplications[Action],"À migrer",TblApplications[Mois prov (calc)],"&lt;="&amp;$E755)-SUMIFS(TblApplications[CPU IKS libérable (vCPU)],TblApplications[Cluster IKS source],$F755,TblApplications[Action],"À décommissionner",TblApplications[Mois lib (calc)],"&lt;="&amp;$E755)))))</f>
        <v/>
      </c>
      <c r="Y755" s="19" t="str">
        <f>IF($D755&lt;&gt;1,"",IF($G755="ROKS",$S755,IF($AI755=1,0,MAX($O755,$M755-SUMIFS(TblApplications[RAM IKS libérable (Go)],TblApplications[Cluster IKS source],$F755,TblApplications[Action],"À migrer",TblApplications[Mois prov (calc)],"&lt;="&amp;$E755)-SUMIFS(TblApplications[RAM IKS libérable (Go)],TblApplications[Cluster IKS source],$F755,TblApplications[Action],"À décommissionner",TblApplications[Mois lib (calc)],"&lt;="&amp;$E755)))))</f>
        <v/>
      </c>
      <c r="Z755" s="19" t="str">
        <f t="shared" si="196"/>
        <v/>
      </c>
      <c r="AA755" s="73" t="str">
        <f t="shared" si="197"/>
        <v/>
      </c>
      <c r="AB755" s="19" t="str">
        <f t="shared" si="198"/>
        <v/>
      </c>
      <c r="AC755" s="73" t="str">
        <f t="shared" si="199"/>
        <v/>
      </c>
      <c r="AD755" s="19" t="str">
        <f t="shared" si="200"/>
        <v/>
      </c>
      <c r="AE755" s="19" t="str">
        <f t="shared" si="201"/>
        <v/>
      </c>
      <c r="AF755" s="19" t="str">
        <f>IF($D755&lt;&gt;1,"",IF(INDEX(TblClusters[Environnement],$B755)="","(vide)",INDEX(TblClusters[Environnement],$B755)))</f>
        <v/>
      </c>
      <c r="AG755" s="19" t="str">
        <f t="shared" si="202"/>
        <v/>
      </c>
      <c r="AH755" s="19" t="str">
        <f t="shared" si="203"/>
        <v/>
      </c>
      <c r="AI755" s="19" t="str">
        <f>IF($D755&lt;&gt;1,"",IF(AND($G755="IKS",ISNUMBER(INDEX(TblClusters[Fermeture retenue],$B755))),IF($E755&gt;=INDEX(TblClusters[Fermeture retenue],$B755),1,0),0))</f>
        <v/>
      </c>
    </row>
    <row r="756" spans="1:35" x14ac:dyDescent="0.2">
      <c r="A756" s="19">
        <v>751</v>
      </c>
      <c r="B756" s="19">
        <f t="shared" si="187"/>
        <v>21</v>
      </c>
      <c r="C756" s="19">
        <f t="shared" si="188"/>
        <v>31</v>
      </c>
      <c r="D756" s="19">
        <f>IF($C756&gt;p_horizon,0,IFERROR(IF(AND(INDEX(TblClusters[Cluster],$B756)&lt;&gt;"",ISNUMBER(INDEX(TblClusters[CPU initial (vCPU)],$B756)),ISNUMBER(INDEX(TblClusters[CPU min (vCPU)],$B756)),OR(INDEX(TblClusters[Plateforme],$B756)="IKS",INDEX(TblClusters[Plateforme],$B756)="ROKS")),1,0),0))</f>
        <v>0</v>
      </c>
      <c r="E756" s="72" t="str">
        <f t="shared" si="189"/>
        <v/>
      </c>
      <c r="F756" s="19" t="str">
        <f>IF($D756=1,INDEX(TblClusters[Cluster],$B756),"")</f>
        <v/>
      </c>
      <c r="G756" s="19" t="str">
        <f>IF($D756=1,INDEX(TblClusters[Plateforme],$B756),"")</f>
        <v/>
      </c>
      <c r="H756" s="19" t="str">
        <f>IF($D756=1,INDEX(TblClusters[vCPU par nœud],$B756),"")</f>
        <v/>
      </c>
      <c r="I756" s="19" t="str">
        <f>IF($D756=1,INDEX(TblClusters[RAM par nœud (Go)],$B756),"")</f>
        <v/>
      </c>
      <c r="J756" s="19" t="str">
        <f>IF($D756=1,INDEX(TblClusters[Workers min],$B756),"")</f>
        <v/>
      </c>
      <c r="K756" s="73" t="str">
        <f>IF($D756=1,INDEX(TblClusters[Tarif par nœud],$B756),"")</f>
        <v/>
      </c>
      <c r="L756" s="19" t="str">
        <f>IF($D756=1,INDEX(TblClusters[CPU initial (vCPU)],$B756),"")</f>
        <v/>
      </c>
      <c r="M756" s="19" t="str">
        <f>IF($D756=1,INDEX(TblClusters[RAM initiale (Go)],$B756),"")</f>
        <v/>
      </c>
      <c r="N756" s="19" t="str">
        <f>IF($D756=1,INDEX(TblClusters[CPU min (vCPU)],$B756),"")</f>
        <v/>
      </c>
      <c r="O756" s="19" t="str">
        <f>IF($D756=1,INDEX(TblClusters[RAM min (Go)],$B756),"")</f>
        <v/>
      </c>
      <c r="P756" s="19" t="str">
        <f>IF($D756&lt;&gt;1,"",IF($G756="ROKS",SUMIFS(TblApplications[Besoin ROKS CPU (vCPU)],TblApplications[Cluster ROKS cible],$F756,TblApplications[Action],"À migrer",TblApplications[Déjà incluse ROKS],"Non",TblApplications[Mois prov (calc)],"&lt;="&amp;$E756),SUMIFS(TblApplications[CPU IKS libérable (vCPU)],TblApplications[Cluster IKS source],$F756,TblApplications[Mois lib (calc)],"&lt;="&amp;$E756)))</f>
        <v/>
      </c>
      <c r="Q756" s="19" t="str">
        <f>IF($D756&lt;&gt;1,"",IF($G756="ROKS",SUMIFS(TblApplications[Besoin ROKS RAM (Go)],TblApplications[Cluster ROKS cible],$F756,TblApplications[Action],"À migrer",TblApplications[Déjà incluse ROKS],"Non",TblApplications[Mois prov (calc)],"&lt;="&amp;$E756),SUMIFS(TblApplications[RAM IKS libérable (Go)],TblApplications[Cluster IKS source],$F756,TblApplications[Mois lib (calc)],"&lt;="&amp;$E756)))</f>
        <v/>
      </c>
      <c r="R756" s="19" t="str">
        <f t="shared" si="190"/>
        <v/>
      </c>
      <c r="S756" s="19" t="str">
        <f t="shared" si="191"/>
        <v/>
      </c>
      <c r="T756" s="19" t="str">
        <f t="shared" si="192"/>
        <v/>
      </c>
      <c r="U756" s="19" t="str">
        <f t="shared" si="193"/>
        <v/>
      </c>
      <c r="V756" s="19" t="str">
        <f t="shared" si="194"/>
        <v/>
      </c>
      <c r="W756" s="73" t="str">
        <f t="shared" si="195"/>
        <v/>
      </c>
      <c r="X756" s="19" t="str">
        <f>IF($D756&lt;&gt;1,"",IF($G756="ROKS",$R756,IF($AI756=1,0,MAX($N756,$L756-SUMIFS(TblApplications[CPU IKS libérable (vCPU)],TblApplications[Cluster IKS source],$F756,TblApplications[Action],"À migrer",TblApplications[Mois prov (calc)],"&lt;="&amp;$E756)-SUMIFS(TblApplications[CPU IKS libérable (vCPU)],TblApplications[Cluster IKS source],$F756,TblApplications[Action],"À décommissionner",TblApplications[Mois lib (calc)],"&lt;="&amp;$E756)))))</f>
        <v/>
      </c>
      <c r="Y756" s="19" t="str">
        <f>IF($D756&lt;&gt;1,"",IF($G756="ROKS",$S756,IF($AI756=1,0,MAX($O756,$M756-SUMIFS(TblApplications[RAM IKS libérable (Go)],TblApplications[Cluster IKS source],$F756,TblApplications[Action],"À migrer",TblApplications[Mois prov (calc)],"&lt;="&amp;$E756)-SUMIFS(TblApplications[RAM IKS libérable (Go)],TblApplications[Cluster IKS source],$F756,TblApplications[Action],"À décommissionner",TblApplications[Mois lib (calc)],"&lt;="&amp;$E756)))))</f>
        <v/>
      </c>
      <c r="Z756" s="19" t="str">
        <f t="shared" si="196"/>
        <v/>
      </c>
      <c r="AA756" s="73" t="str">
        <f t="shared" si="197"/>
        <v/>
      </c>
      <c r="AB756" s="19" t="str">
        <f t="shared" si="198"/>
        <v/>
      </c>
      <c r="AC756" s="73" t="str">
        <f t="shared" si="199"/>
        <v/>
      </c>
      <c r="AD756" s="19" t="str">
        <f t="shared" si="200"/>
        <v/>
      </c>
      <c r="AE756" s="19" t="str">
        <f t="shared" si="201"/>
        <v/>
      </c>
      <c r="AF756" s="19" t="str">
        <f>IF($D756&lt;&gt;1,"",IF(INDEX(TblClusters[Environnement],$B756)="","(vide)",INDEX(TblClusters[Environnement],$B756)))</f>
        <v/>
      </c>
      <c r="AG756" s="19" t="str">
        <f t="shared" si="202"/>
        <v/>
      </c>
      <c r="AH756" s="19" t="str">
        <f t="shared" si="203"/>
        <v/>
      </c>
      <c r="AI756" s="19" t="str">
        <f>IF($D756&lt;&gt;1,"",IF(AND($G756="IKS",ISNUMBER(INDEX(TblClusters[Fermeture retenue],$B756))),IF($E756&gt;=INDEX(TblClusters[Fermeture retenue],$B756),1,0),0))</f>
        <v/>
      </c>
    </row>
    <row r="757" spans="1:35" x14ac:dyDescent="0.2">
      <c r="A757" s="19">
        <v>752</v>
      </c>
      <c r="B757" s="19">
        <f t="shared" si="187"/>
        <v>21</v>
      </c>
      <c r="C757" s="19">
        <f t="shared" si="188"/>
        <v>32</v>
      </c>
      <c r="D757" s="19">
        <f>IF($C757&gt;p_horizon,0,IFERROR(IF(AND(INDEX(TblClusters[Cluster],$B757)&lt;&gt;"",ISNUMBER(INDEX(TblClusters[CPU initial (vCPU)],$B757)),ISNUMBER(INDEX(TblClusters[CPU min (vCPU)],$B757)),OR(INDEX(TblClusters[Plateforme],$B757)="IKS",INDEX(TblClusters[Plateforme],$B757)="ROKS")),1,0),0))</f>
        <v>0</v>
      </c>
      <c r="E757" s="72" t="str">
        <f t="shared" si="189"/>
        <v/>
      </c>
      <c r="F757" s="19" t="str">
        <f>IF($D757=1,INDEX(TblClusters[Cluster],$B757),"")</f>
        <v/>
      </c>
      <c r="G757" s="19" t="str">
        <f>IF($D757=1,INDEX(TblClusters[Plateforme],$B757),"")</f>
        <v/>
      </c>
      <c r="H757" s="19" t="str">
        <f>IF($D757=1,INDEX(TblClusters[vCPU par nœud],$B757),"")</f>
        <v/>
      </c>
      <c r="I757" s="19" t="str">
        <f>IF($D757=1,INDEX(TblClusters[RAM par nœud (Go)],$B757),"")</f>
        <v/>
      </c>
      <c r="J757" s="19" t="str">
        <f>IF($D757=1,INDEX(TblClusters[Workers min],$B757),"")</f>
        <v/>
      </c>
      <c r="K757" s="73" t="str">
        <f>IF($D757=1,INDEX(TblClusters[Tarif par nœud],$B757),"")</f>
        <v/>
      </c>
      <c r="L757" s="19" t="str">
        <f>IF($D757=1,INDEX(TblClusters[CPU initial (vCPU)],$B757),"")</f>
        <v/>
      </c>
      <c r="M757" s="19" t="str">
        <f>IF($D757=1,INDEX(TblClusters[RAM initiale (Go)],$B757),"")</f>
        <v/>
      </c>
      <c r="N757" s="19" t="str">
        <f>IF($D757=1,INDEX(TblClusters[CPU min (vCPU)],$B757),"")</f>
        <v/>
      </c>
      <c r="O757" s="19" t="str">
        <f>IF($D757=1,INDEX(TblClusters[RAM min (Go)],$B757),"")</f>
        <v/>
      </c>
      <c r="P757" s="19" t="str">
        <f>IF($D757&lt;&gt;1,"",IF($G757="ROKS",SUMIFS(TblApplications[Besoin ROKS CPU (vCPU)],TblApplications[Cluster ROKS cible],$F757,TblApplications[Action],"À migrer",TblApplications[Déjà incluse ROKS],"Non",TblApplications[Mois prov (calc)],"&lt;="&amp;$E757),SUMIFS(TblApplications[CPU IKS libérable (vCPU)],TblApplications[Cluster IKS source],$F757,TblApplications[Mois lib (calc)],"&lt;="&amp;$E757)))</f>
        <v/>
      </c>
      <c r="Q757" s="19" t="str">
        <f>IF($D757&lt;&gt;1,"",IF($G757="ROKS",SUMIFS(TblApplications[Besoin ROKS RAM (Go)],TblApplications[Cluster ROKS cible],$F757,TblApplications[Action],"À migrer",TblApplications[Déjà incluse ROKS],"Non",TblApplications[Mois prov (calc)],"&lt;="&amp;$E757),SUMIFS(TblApplications[RAM IKS libérable (Go)],TblApplications[Cluster IKS source],$F757,TblApplications[Mois lib (calc)],"&lt;="&amp;$E757)))</f>
        <v/>
      </c>
      <c r="R757" s="19" t="str">
        <f t="shared" si="190"/>
        <v/>
      </c>
      <c r="S757" s="19" t="str">
        <f t="shared" si="191"/>
        <v/>
      </c>
      <c r="T757" s="19" t="str">
        <f t="shared" si="192"/>
        <v/>
      </c>
      <c r="U757" s="19" t="str">
        <f t="shared" si="193"/>
        <v/>
      </c>
      <c r="V757" s="19" t="str">
        <f t="shared" si="194"/>
        <v/>
      </c>
      <c r="W757" s="73" t="str">
        <f t="shared" si="195"/>
        <v/>
      </c>
      <c r="X757" s="19" t="str">
        <f>IF($D757&lt;&gt;1,"",IF($G757="ROKS",$R757,IF($AI757=1,0,MAX($N757,$L757-SUMIFS(TblApplications[CPU IKS libérable (vCPU)],TblApplications[Cluster IKS source],$F757,TblApplications[Action],"À migrer",TblApplications[Mois prov (calc)],"&lt;="&amp;$E757)-SUMIFS(TblApplications[CPU IKS libérable (vCPU)],TblApplications[Cluster IKS source],$F757,TblApplications[Action],"À décommissionner",TblApplications[Mois lib (calc)],"&lt;="&amp;$E757)))))</f>
        <v/>
      </c>
      <c r="Y757" s="19" t="str">
        <f>IF($D757&lt;&gt;1,"",IF($G757="ROKS",$S757,IF($AI757=1,0,MAX($O757,$M757-SUMIFS(TblApplications[RAM IKS libérable (Go)],TblApplications[Cluster IKS source],$F757,TblApplications[Action],"À migrer",TblApplications[Mois prov (calc)],"&lt;="&amp;$E757)-SUMIFS(TblApplications[RAM IKS libérable (Go)],TblApplications[Cluster IKS source],$F757,TblApplications[Action],"À décommissionner",TblApplications[Mois lib (calc)],"&lt;="&amp;$E757)))))</f>
        <v/>
      </c>
      <c r="Z757" s="19" t="str">
        <f t="shared" si="196"/>
        <v/>
      </c>
      <c r="AA757" s="73" t="str">
        <f t="shared" si="197"/>
        <v/>
      </c>
      <c r="AB757" s="19" t="str">
        <f t="shared" si="198"/>
        <v/>
      </c>
      <c r="AC757" s="73" t="str">
        <f t="shared" si="199"/>
        <v/>
      </c>
      <c r="AD757" s="19" t="str">
        <f t="shared" si="200"/>
        <v/>
      </c>
      <c r="AE757" s="19" t="str">
        <f t="shared" si="201"/>
        <v/>
      </c>
      <c r="AF757" s="19" t="str">
        <f>IF($D757&lt;&gt;1,"",IF(INDEX(TblClusters[Environnement],$B757)="","(vide)",INDEX(TblClusters[Environnement],$B757)))</f>
        <v/>
      </c>
      <c r="AG757" s="19" t="str">
        <f t="shared" si="202"/>
        <v/>
      </c>
      <c r="AH757" s="19" t="str">
        <f t="shared" si="203"/>
        <v/>
      </c>
      <c r="AI757" s="19" t="str">
        <f>IF($D757&lt;&gt;1,"",IF(AND($G757="IKS",ISNUMBER(INDEX(TblClusters[Fermeture retenue],$B757))),IF($E757&gt;=INDEX(TblClusters[Fermeture retenue],$B757),1,0),0))</f>
        <v/>
      </c>
    </row>
    <row r="758" spans="1:35" x14ac:dyDescent="0.2">
      <c r="A758" s="19">
        <v>753</v>
      </c>
      <c r="B758" s="19">
        <f t="shared" si="187"/>
        <v>21</v>
      </c>
      <c r="C758" s="19">
        <f t="shared" si="188"/>
        <v>33</v>
      </c>
      <c r="D758" s="19">
        <f>IF($C758&gt;p_horizon,0,IFERROR(IF(AND(INDEX(TblClusters[Cluster],$B758)&lt;&gt;"",ISNUMBER(INDEX(TblClusters[CPU initial (vCPU)],$B758)),ISNUMBER(INDEX(TblClusters[CPU min (vCPU)],$B758)),OR(INDEX(TblClusters[Plateforme],$B758)="IKS",INDEX(TblClusters[Plateforme],$B758)="ROKS")),1,0),0))</f>
        <v>0</v>
      </c>
      <c r="E758" s="72" t="str">
        <f t="shared" si="189"/>
        <v/>
      </c>
      <c r="F758" s="19" t="str">
        <f>IF($D758=1,INDEX(TblClusters[Cluster],$B758),"")</f>
        <v/>
      </c>
      <c r="G758" s="19" t="str">
        <f>IF($D758=1,INDEX(TblClusters[Plateforme],$B758),"")</f>
        <v/>
      </c>
      <c r="H758" s="19" t="str">
        <f>IF($D758=1,INDEX(TblClusters[vCPU par nœud],$B758),"")</f>
        <v/>
      </c>
      <c r="I758" s="19" t="str">
        <f>IF($D758=1,INDEX(TblClusters[RAM par nœud (Go)],$B758),"")</f>
        <v/>
      </c>
      <c r="J758" s="19" t="str">
        <f>IF($D758=1,INDEX(TblClusters[Workers min],$B758),"")</f>
        <v/>
      </c>
      <c r="K758" s="73" t="str">
        <f>IF($D758=1,INDEX(TblClusters[Tarif par nœud],$B758),"")</f>
        <v/>
      </c>
      <c r="L758" s="19" t="str">
        <f>IF($D758=1,INDEX(TblClusters[CPU initial (vCPU)],$B758),"")</f>
        <v/>
      </c>
      <c r="M758" s="19" t="str">
        <f>IF($D758=1,INDEX(TblClusters[RAM initiale (Go)],$B758),"")</f>
        <v/>
      </c>
      <c r="N758" s="19" t="str">
        <f>IF($D758=1,INDEX(TblClusters[CPU min (vCPU)],$B758),"")</f>
        <v/>
      </c>
      <c r="O758" s="19" t="str">
        <f>IF($D758=1,INDEX(TblClusters[RAM min (Go)],$B758),"")</f>
        <v/>
      </c>
      <c r="P758" s="19" t="str">
        <f>IF($D758&lt;&gt;1,"",IF($G758="ROKS",SUMIFS(TblApplications[Besoin ROKS CPU (vCPU)],TblApplications[Cluster ROKS cible],$F758,TblApplications[Action],"À migrer",TblApplications[Déjà incluse ROKS],"Non",TblApplications[Mois prov (calc)],"&lt;="&amp;$E758),SUMIFS(TblApplications[CPU IKS libérable (vCPU)],TblApplications[Cluster IKS source],$F758,TblApplications[Mois lib (calc)],"&lt;="&amp;$E758)))</f>
        <v/>
      </c>
      <c r="Q758" s="19" t="str">
        <f>IF($D758&lt;&gt;1,"",IF($G758="ROKS",SUMIFS(TblApplications[Besoin ROKS RAM (Go)],TblApplications[Cluster ROKS cible],$F758,TblApplications[Action],"À migrer",TblApplications[Déjà incluse ROKS],"Non",TblApplications[Mois prov (calc)],"&lt;="&amp;$E758),SUMIFS(TblApplications[RAM IKS libérable (Go)],TblApplications[Cluster IKS source],$F758,TblApplications[Mois lib (calc)],"&lt;="&amp;$E758)))</f>
        <v/>
      </c>
      <c r="R758" s="19" t="str">
        <f t="shared" si="190"/>
        <v/>
      </c>
      <c r="S758" s="19" t="str">
        <f t="shared" si="191"/>
        <v/>
      </c>
      <c r="T758" s="19" t="str">
        <f t="shared" si="192"/>
        <v/>
      </c>
      <c r="U758" s="19" t="str">
        <f t="shared" si="193"/>
        <v/>
      </c>
      <c r="V758" s="19" t="str">
        <f t="shared" si="194"/>
        <v/>
      </c>
      <c r="W758" s="73" t="str">
        <f t="shared" si="195"/>
        <v/>
      </c>
      <c r="X758" s="19" t="str">
        <f>IF($D758&lt;&gt;1,"",IF($G758="ROKS",$R758,IF($AI758=1,0,MAX($N758,$L758-SUMIFS(TblApplications[CPU IKS libérable (vCPU)],TblApplications[Cluster IKS source],$F758,TblApplications[Action],"À migrer",TblApplications[Mois prov (calc)],"&lt;="&amp;$E758)-SUMIFS(TblApplications[CPU IKS libérable (vCPU)],TblApplications[Cluster IKS source],$F758,TblApplications[Action],"À décommissionner",TblApplications[Mois lib (calc)],"&lt;="&amp;$E758)))))</f>
        <v/>
      </c>
      <c r="Y758" s="19" t="str">
        <f>IF($D758&lt;&gt;1,"",IF($G758="ROKS",$S758,IF($AI758=1,0,MAX($O758,$M758-SUMIFS(TblApplications[RAM IKS libérable (Go)],TblApplications[Cluster IKS source],$F758,TblApplications[Action],"À migrer",TblApplications[Mois prov (calc)],"&lt;="&amp;$E758)-SUMIFS(TblApplications[RAM IKS libérable (Go)],TblApplications[Cluster IKS source],$F758,TblApplications[Action],"À décommissionner",TblApplications[Mois lib (calc)],"&lt;="&amp;$E758)))))</f>
        <v/>
      </c>
      <c r="Z758" s="19" t="str">
        <f t="shared" si="196"/>
        <v/>
      </c>
      <c r="AA758" s="73" t="str">
        <f t="shared" si="197"/>
        <v/>
      </c>
      <c r="AB758" s="19" t="str">
        <f t="shared" si="198"/>
        <v/>
      </c>
      <c r="AC758" s="73" t="str">
        <f t="shared" si="199"/>
        <v/>
      </c>
      <c r="AD758" s="19" t="str">
        <f t="shared" si="200"/>
        <v/>
      </c>
      <c r="AE758" s="19" t="str">
        <f t="shared" si="201"/>
        <v/>
      </c>
      <c r="AF758" s="19" t="str">
        <f>IF($D758&lt;&gt;1,"",IF(INDEX(TblClusters[Environnement],$B758)="","(vide)",INDEX(TblClusters[Environnement],$B758)))</f>
        <v/>
      </c>
      <c r="AG758" s="19" t="str">
        <f t="shared" si="202"/>
        <v/>
      </c>
      <c r="AH758" s="19" t="str">
        <f t="shared" si="203"/>
        <v/>
      </c>
      <c r="AI758" s="19" t="str">
        <f>IF($D758&lt;&gt;1,"",IF(AND($G758="IKS",ISNUMBER(INDEX(TblClusters[Fermeture retenue],$B758))),IF($E758&gt;=INDEX(TblClusters[Fermeture retenue],$B758),1,0),0))</f>
        <v/>
      </c>
    </row>
    <row r="759" spans="1:35" x14ac:dyDescent="0.2">
      <c r="A759" s="19">
        <v>754</v>
      </c>
      <c r="B759" s="19">
        <f t="shared" si="187"/>
        <v>21</v>
      </c>
      <c r="C759" s="19">
        <f t="shared" si="188"/>
        <v>34</v>
      </c>
      <c r="D759" s="19">
        <f>IF($C759&gt;p_horizon,0,IFERROR(IF(AND(INDEX(TblClusters[Cluster],$B759)&lt;&gt;"",ISNUMBER(INDEX(TblClusters[CPU initial (vCPU)],$B759)),ISNUMBER(INDEX(TblClusters[CPU min (vCPU)],$B759)),OR(INDEX(TblClusters[Plateforme],$B759)="IKS",INDEX(TblClusters[Plateforme],$B759)="ROKS")),1,0),0))</f>
        <v>0</v>
      </c>
      <c r="E759" s="72" t="str">
        <f t="shared" si="189"/>
        <v/>
      </c>
      <c r="F759" s="19" t="str">
        <f>IF($D759=1,INDEX(TblClusters[Cluster],$B759),"")</f>
        <v/>
      </c>
      <c r="G759" s="19" t="str">
        <f>IF($D759=1,INDEX(TblClusters[Plateforme],$B759),"")</f>
        <v/>
      </c>
      <c r="H759" s="19" t="str">
        <f>IF($D759=1,INDEX(TblClusters[vCPU par nœud],$B759),"")</f>
        <v/>
      </c>
      <c r="I759" s="19" t="str">
        <f>IF($D759=1,INDEX(TblClusters[RAM par nœud (Go)],$B759),"")</f>
        <v/>
      </c>
      <c r="J759" s="19" t="str">
        <f>IF($D759=1,INDEX(TblClusters[Workers min],$B759),"")</f>
        <v/>
      </c>
      <c r="K759" s="73" t="str">
        <f>IF($D759=1,INDEX(TblClusters[Tarif par nœud],$B759),"")</f>
        <v/>
      </c>
      <c r="L759" s="19" t="str">
        <f>IF($D759=1,INDEX(TblClusters[CPU initial (vCPU)],$B759),"")</f>
        <v/>
      </c>
      <c r="M759" s="19" t="str">
        <f>IF($D759=1,INDEX(TblClusters[RAM initiale (Go)],$B759),"")</f>
        <v/>
      </c>
      <c r="N759" s="19" t="str">
        <f>IF($D759=1,INDEX(TblClusters[CPU min (vCPU)],$B759),"")</f>
        <v/>
      </c>
      <c r="O759" s="19" t="str">
        <f>IF($D759=1,INDEX(TblClusters[RAM min (Go)],$B759),"")</f>
        <v/>
      </c>
      <c r="P759" s="19" t="str">
        <f>IF($D759&lt;&gt;1,"",IF($G759="ROKS",SUMIFS(TblApplications[Besoin ROKS CPU (vCPU)],TblApplications[Cluster ROKS cible],$F759,TblApplications[Action],"À migrer",TblApplications[Déjà incluse ROKS],"Non",TblApplications[Mois prov (calc)],"&lt;="&amp;$E759),SUMIFS(TblApplications[CPU IKS libérable (vCPU)],TblApplications[Cluster IKS source],$F759,TblApplications[Mois lib (calc)],"&lt;="&amp;$E759)))</f>
        <v/>
      </c>
      <c r="Q759" s="19" t="str">
        <f>IF($D759&lt;&gt;1,"",IF($G759="ROKS",SUMIFS(TblApplications[Besoin ROKS RAM (Go)],TblApplications[Cluster ROKS cible],$F759,TblApplications[Action],"À migrer",TblApplications[Déjà incluse ROKS],"Non",TblApplications[Mois prov (calc)],"&lt;="&amp;$E759),SUMIFS(TblApplications[RAM IKS libérable (Go)],TblApplications[Cluster IKS source],$F759,TblApplications[Mois lib (calc)],"&lt;="&amp;$E759)))</f>
        <v/>
      </c>
      <c r="R759" s="19" t="str">
        <f t="shared" si="190"/>
        <v/>
      </c>
      <c r="S759" s="19" t="str">
        <f t="shared" si="191"/>
        <v/>
      </c>
      <c r="T759" s="19" t="str">
        <f t="shared" si="192"/>
        <v/>
      </c>
      <c r="U759" s="19" t="str">
        <f t="shared" si="193"/>
        <v/>
      </c>
      <c r="V759" s="19" t="str">
        <f t="shared" si="194"/>
        <v/>
      </c>
      <c r="W759" s="73" t="str">
        <f t="shared" si="195"/>
        <v/>
      </c>
      <c r="X759" s="19" t="str">
        <f>IF($D759&lt;&gt;1,"",IF($G759="ROKS",$R759,IF($AI759=1,0,MAX($N759,$L759-SUMIFS(TblApplications[CPU IKS libérable (vCPU)],TblApplications[Cluster IKS source],$F759,TblApplications[Action],"À migrer",TblApplications[Mois prov (calc)],"&lt;="&amp;$E759)-SUMIFS(TblApplications[CPU IKS libérable (vCPU)],TblApplications[Cluster IKS source],$F759,TblApplications[Action],"À décommissionner",TblApplications[Mois lib (calc)],"&lt;="&amp;$E759)))))</f>
        <v/>
      </c>
      <c r="Y759" s="19" t="str">
        <f>IF($D759&lt;&gt;1,"",IF($G759="ROKS",$S759,IF($AI759=1,0,MAX($O759,$M759-SUMIFS(TblApplications[RAM IKS libérable (Go)],TblApplications[Cluster IKS source],$F759,TblApplications[Action],"À migrer",TblApplications[Mois prov (calc)],"&lt;="&amp;$E759)-SUMIFS(TblApplications[RAM IKS libérable (Go)],TblApplications[Cluster IKS source],$F759,TblApplications[Action],"À décommissionner",TblApplications[Mois lib (calc)],"&lt;="&amp;$E759)))))</f>
        <v/>
      </c>
      <c r="Z759" s="19" t="str">
        <f t="shared" si="196"/>
        <v/>
      </c>
      <c r="AA759" s="73" t="str">
        <f t="shared" si="197"/>
        <v/>
      </c>
      <c r="AB759" s="19" t="str">
        <f t="shared" si="198"/>
        <v/>
      </c>
      <c r="AC759" s="73" t="str">
        <f t="shared" si="199"/>
        <v/>
      </c>
      <c r="AD759" s="19" t="str">
        <f t="shared" si="200"/>
        <v/>
      </c>
      <c r="AE759" s="19" t="str">
        <f t="shared" si="201"/>
        <v/>
      </c>
      <c r="AF759" s="19" t="str">
        <f>IF($D759&lt;&gt;1,"",IF(INDEX(TblClusters[Environnement],$B759)="","(vide)",INDEX(TblClusters[Environnement],$B759)))</f>
        <v/>
      </c>
      <c r="AG759" s="19" t="str">
        <f t="shared" si="202"/>
        <v/>
      </c>
      <c r="AH759" s="19" t="str">
        <f t="shared" si="203"/>
        <v/>
      </c>
      <c r="AI759" s="19" t="str">
        <f>IF($D759&lt;&gt;1,"",IF(AND($G759="IKS",ISNUMBER(INDEX(TblClusters[Fermeture retenue],$B759))),IF($E759&gt;=INDEX(TblClusters[Fermeture retenue],$B759),1,0),0))</f>
        <v/>
      </c>
    </row>
    <row r="760" spans="1:35" x14ac:dyDescent="0.2">
      <c r="A760" s="19">
        <v>755</v>
      </c>
      <c r="B760" s="19">
        <f t="shared" si="187"/>
        <v>21</v>
      </c>
      <c r="C760" s="19">
        <f t="shared" si="188"/>
        <v>35</v>
      </c>
      <c r="D760" s="19">
        <f>IF($C760&gt;p_horizon,0,IFERROR(IF(AND(INDEX(TblClusters[Cluster],$B760)&lt;&gt;"",ISNUMBER(INDEX(TblClusters[CPU initial (vCPU)],$B760)),ISNUMBER(INDEX(TblClusters[CPU min (vCPU)],$B760)),OR(INDEX(TblClusters[Plateforme],$B760)="IKS",INDEX(TblClusters[Plateforme],$B760)="ROKS")),1,0),0))</f>
        <v>0</v>
      </c>
      <c r="E760" s="72" t="str">
        <f t="shared" si="189"/>
        <v/>
      </c>
      <c r="F760" s="19" t="str">
        <f>IF($D760=1,INDEX(TblClusters[Cluster],$B760),"")</f>
        <v/>
      </c>
      <c r="G760" s="19" t="str">
        <f>IF($D760=1,INDEX(TblClusters[Plateforme],$B760),"")</f>
        <v/>
      </c>
      <c r="H760" s="19" t="str">
        <f>IF($D760=1,INDEX(TblClusters[vCPU par nœud],$B760),"")</f>
        <v/>
      </c>
      <c r="I760" s="19" t="str">
        <f>IF($D760=1,INDEX(TblClusters[RAM par nœud (Go)],$B760),"")</f>
        <v/>
      </c>
      <c r="J760" s="19" t="str">
        <f>IF($D760=1,INDEX(TblClusters[Workers min],$B760),"")</f>
        <v/>
      </c>
      <c r="K760" s="73" t="str">
        <f>IF($D760=1,INDEX(TblClusters[Tarif par nœud],$B760),"")</f>
        <v/>
      </c>
      <c r="L760" s="19" t="str">
        <f>IF($D760=1,INDEX(TblClusters[CPU initial (vCPU)],$B760),"")</f>
        <v/>
      </c>
      <c r="M760" s="19" t="str">
        <f>IF($D760=1,INDEX(TblClusters[RAM initiale (Go)],$B760),"")</f>
        <v/>
      </c>
      <c r="N760" s="19" t="str">
        <f>IF($D760=1,INDEX(TblClusters[CPU min (vCPU)],$B760),"")</f>
        <v/>
      </c>
      <c r="O760" s="19" t="str">
        <f>IF($D760=1,INDEX(TblClusters[RAM min (Go)],$B760),"")</f>
        <v/>
      </c>
      <c r="P760" s="19" t="str">
        <f>IF($D760&lt;&gt;1,"",IF($G760="ROKS",SUMIFS(TblApplications[Besoin ROKS CPU (vCPU)],TblApplications[Cluster ROKS cible],$F760,TblApplications[Action],"À migrer",TblApplications[Déjà incluse ROKS],"Non",TblApplications[Mois prov (calc)],"&lt;="&amp;$E760),SUMIFS(TblApplications[CPU IKS libérable (vCPU)],TblApplications[Cluster IKS source],$F760,TblApplications[Mois lib (calc)],"&lt;="&amp;$E760)))</f>
        <v/>
      </c>
      <c r="Q760" s="19" t="str">
        <f>IF($D760&lt;&gt;1,"",IF($G760="ROKS",SUMIFS(TblApplications[Besoin ROKS RAM (Go)],TblApplications[Cluster ROKS cible],$F760,TblApplications[Action],"À migrer",TblApplications[Déjà incluse ROKS],"Non",TblApplications[Mois prov (calc)],"&lt;="&amp;$E760),SUMIFS(TblApplications[RAM IKS libérable (Go)],TblApplications[Cluster IKS source],$F760,TblApplications[Mois lib (calc)],"&lt;="&amp;$E760)))</f>
        <v/>
      </c>
      <c r="R760" s="19" t="str">
        <f t="shared" si="190"/>
        <v/>
      </c>
      <c r="S760" s="19" t="str">
        <f t="shared" si="191"/>
        <v/>
      </c>
      <c r="T760" s="19" t="str">
        <f t="shared" si="192"/>
        <v/>
      </c>
      <c r="U760" s="19" t="str">
        <f t="shared" si="193"/>
        <v/>
      </c>
      <c r="V760" s="19" t="str">
        <f t="shared" si="194"/>
        <v/>
      </c>
      <c r="W760" s="73" t="str">
        <f t="shared" si="195"/>
        <v/>
      </c>
      <c r="X760" s="19" t="str">
        <f>IF($D760&lt;&gt;1,"",IF($G760="ROKS",$R760,IF($AI760=1,0,MAX($N760,$L760-SUMIFS(TblApplications[CPU IKS libérable (vCPU)],TblApplications[Cluster IKS source],$F760,TblApplications[Action],"À migrer",TblApplications[Mois prov (calc)],"&lt;="&amp;$E760)-SUMIFS(TblApplications[CPU IKS libérable (vCPU)],TblApplications[Cluster IKS source],$F760,TblApplications[Action],"À décommissionner",TblApplications[Mois lib (calc)],"&lt;="&amp;$E760)))))</f>
        <v/>
      </c>
      <c r="Y760" s="19" t="str">
        <f>IF($D760&lt;&gt;1,"",IF($G760="ROKS",$S760,IF($AI760=1,0,MAX($O760,$M760-SUMIFS(TblApplications[RAM IKS libérable (Go)],TblApplications[Cluster IKS source],$F760,TblApplications[Action],"À migrer",TblApplications[Mois prov (calc)],"&lt;="&amp;$E760)-SUMIFS(TblApplications[RAM IKS libérable (Go)],TblApplications[Cluster IKS source],$F760,TblApplications[Action],"À décommissionner",TblApplications[Mois lib (calc)],"&lt;="&amp;$E760)))))</f>
        <v/>
      </c>
      <c r="Z760" s="19" t="str">
        <f t="shared" si="196"/>
        <v/>
      </c>
      <c r="AA760" s="73" t="str">
        <f t="shared" si="197"/>
        <v/>
      </c>
      <c r="AB760" s="19" t="str">
        <f t="shared" si="198"/>
        <v/>
      </c>
      <c r="AC760" s="73" t="str">
        <f t="shared" si="199"/>
        <v/>
      </c>
      <c r="AD760" s="19" t="str">
        <f t="shared" si="200"/>
        <v/>
      </c>
      <c r="AE760" s="19" t="str">
        <f t="shared" si="201"/>
        <v/>
      </c>
      <c r="AF760" s="19" t="str">
        <f>IF($D760&lt;&gt;1,"",IF(INDEX(TblClusters[Environnement],$B760)="","(vide)",INDEX(TblClusters[Environnement],$B760)))</f>
        <v/>
      </c>
      <c r="AG760" s="19" t="str">
        <f t="shared" si="202"/>
        <v/>
      </c>
      <c r="AH760" s="19" t="str">
        <f t="shared" si="203"/>
        <v/>
      </c>
      <c r="AI760" s="19" t="str">
        <f>IF($D760&lt;&gt;1,"",IF(AND($G760="IKS",ISNUMBER(INDEX(TblClusters[Fermeture retenue],$B760))),IF($E760&gt;=INDEX(TblClusters[Fermeture retenue],$B760),1,0),0))</f>
        <v/>
      </c>
    </row>
    <row r="761" spans="1:35" x14ac:dyDescent="0.2">
      <c r="A761" s="19">
        <v>756</v>
      </c>
      <c r="B761" s="19">
        <f t="shared" si="187"/>
        <v>21</v>
      </c>
      <c r="C761" s="19">
        <f t="shared" si="188"/>
        <v>36</v>
      </c>
      <c r="D761" s="19">
        <f>IF($C761&gt;p_horizon,0,IFERROR(IF(AND(INDEX(TblClusters[Cluster],$B761)&lt;&gt;"",ISNUMBER(INDEX(TblClusters[CPU initial (vCPU)],$B761)),ISNUMBER(INDEX(TblClusters[CPU min (vCPU)],$B761)),OR(INDEX(TblClusters[Plateforme],$B761)="IKS",INDEX(TblClusters[Plateforme],$B761)="ROKS")),1,0),0))</f>
        <v>0</v>
      </c>
      <c r="E761" s="72" t="str">
        <f t="shared" si="189"/>
        <v/>
      </c>
      <c r="F761" s="19" t="str">
        <f>IF($D761=1,INDEX(TblClusters[Cluster],$B761),"")</f>
        <v/>
      </c>
      <c r="G761" s="19" t="str">
        <f>IF($D761=1,INDEX(TblClusters[Plateforme],$B761),"")</f>
        <v/>
      </c>
      <c r="H761" s="19" t="str">
        <f>IF($D761=1,INDEX(TblClusters[vCPU par nœud],$B761),"")</f>
        <v/>
      </c>
      <c r="I761" s="19" t="str">
        <f>IF($D761=1,INDEX(TblClusters[RAM par nœud (Go)],$B761),"")</f>
        <v/>
      </c>
      <c r="J761" s="19" t="str">
        <f>IF($D761=1,INDEX(TblClusters[Workers min],$B761),"")</f>
        <v/>
      </c>
      <c r="K761" s="73" t="str">
        <f>IF($D761=1,INDEX(TblClusters[Tarif par nœud],$B761),"")</f>
        <v/>
      </c>
      <c r="L761" s="19" t="str">
        <f>IF($D761=1,INDEX(TblClusters[CPU initial (vCPU)],$B761),"")</f>
        <v/>
      </c>
      <c r="M761" s="19" t="str">
        <f>IF($D761=1,INDEX(TblClusters[RAM initiale (Go)],$B761),"")</f>
        <v/>
      </c>
      <c r="N761" s="19" t="str">
        <f>IF($D761=1,INDEX(TblClusters[CPU min (vCPU)],$B761),"")</f>
        <v/>
      </c>
      <c r="O761" s="19" t="str">
        <f>IF($D761=1,INDEX(TblClusters[RAM min (Go)],$B761),"")</f>
        <v/>
      </c>
      <c r="P761" s="19" t="str">
        <f>IF($D761&lt;&gt;1,"",IF($G761="ROKS",SUMIFS(TblApplications[Besoin ROKS CPU (vCPU)],TblApplications[Cluster ROKS cible],$F761,TblApplications[Action],"À migrer",TblApplications[Déjà incluse ROKS],"Non",TblApplications[Mois prov (calc)],"&lt;="&amp;$E761),SUMIFS(TblApplications[CPU IKS libérable (vCPU)],TblApplications[Cluster IKS source],$F761,TblApplications[Mois lib (calc)],"&lt;="&amp;$E761)))</f>
        <v/>
      </c>
      <c r="Q761" s="19" t="str">
        <f>IF($D761&lt;&gt;1,"",IF($G761="ROKS",SUMIFS(TblApplications[Besoin ROKS RAM (Go)],TblApplications[Cluster ROKS cible],$F761,TblApplications[Action],"À migrer",TblApplications[Déjà incluse ROKS],"Non",TblApplications[Mois prov (calc)],"&lt;="&amp;$E761),SUMIFS(TblApplications[RAM IKS libérable (Go)],TblApplications[Cluster IKS source],$F761,TblApplications[Mois lib (calc)],"&lt;="&amp;$E761)))</f>
        <v/>
      </c>
      <c r="R761" s="19" t="str">
        <f t="shared" si="190"/>
        <v/>
      </c>
      <c r="S761" s="19" t="str">
        <f t="shared" si="191"/>
        <v/>
      </c>
      <c r="T761" s="19" t="str">
        <f t="shared" si="192"/>
        <v/>
      </c>
      <c r="U761" s="19" t="str">
        <f t="shared" si="193"/>
        <v/>
      </c>
      <c r="V761" s="19" t="str">
        <f t="shared" si="194"/>
        <v/>
      </c>
      <c r="W761" s="73" t="str">
        <f t="shared" si="195"/>
        <v/>
      </c>
      <c r="X761" s="19" t="str">
        <f>IF($D761&lt;&gt;1,"",IF($G761="ROKS",$R761,IF($AI761=1,0,MAX($N761,$L761-SUMIFS(TblApplications[CPU IKS libérable (vCPU)],TblApplications[Cluster IKS source],$F761,TblApplications[Action],"À migrer",TblApplications[Mois prov (calc)],"&lt;="&amp;$E761)-SUMIFS(TblApplications[CPU IKS libérable (vCPU)],TblApplications[Cluster IKS source],$F761,TblApplications[Action],"À décommissionner",TblApplications[Mois lib (calc)],"&lt;="&amp;$E761)))))</f>
        <v/>
      </c>
      <c r="Y761" s="19" t="str">
        <f>IF($D761&lt;&gt;1,"",IF($G761="ROKS",$S761,IF($AI761=1,0,MAX($O761,$M761-SUMIFS(TblApplications[RAM IKS libérable (Go)],TblApplications[Cluster IKS source],$F761,TblApplications[Action],"À migrer",TblApplications[Mois prov (calc)],"&lt;="&amp;$E761)-SUMIFS(TblApplications[RAM IKS libérable (Go)],TblApplications[Cluster IKS source],$F761,TblApplications[Action],"À décommissionner",TblApplications[Mois lib (calc)],"&lt;="&amp;$E761)))))</f>
        <v/>
      </c>
      <c r="Z761" s="19" t="str">
        <f t="shared" si="196"/>
        <v/>
      </c>
      <c r="AA761" s="73" t="str">
        <f t="shared" si="197"/>
        <v/>
      </c>
      <c r="AB761" s="19" t="str">
        <f t="shared" si="198"/>
        <v/>
      </c>
      <c r="AC761" s="73" t="str">
        <f t="shared" si="199"/>
        <v/>
      </c>
      <c r="AD761" s="19" t="str">
        <f t="shared" si="200"/>
        <v/>
      </c>
      <c r="AE761" s="19" t="str">
        <f t="shared" si="201"/>
        <v/>
      </c>
      <c r="AF761" s="19" t="str">
        <f>IF($D761&lt;&gt;1,"",IF(INDEX(TblClusters[Environnement],$B761)="","(vide)",INDEX(TblClusters[Environnement],$B761)))</f>
        <v/>
      </c>
      <c r="AG761" s="19" t="str">
        <f t="shared" si="202"/>
        <v/>
      </c>
      <c r="AH761" s="19" t="str">
        <f t="shared" si="203"/>
        <v/>
      </c>
      <c r="AI761" s="19" t="str">
        <f>IF($D761&lt;&gt;1,"",IF(AND($G761="IKS",ISNUMBER(INDEX(TblClusters[Fermeture retenue],$B761))),IF($E761&gt;=INDEX(TblClusters[Fermeture retenue],$B761),1,0),0))</f>
        <v/>
      </c>
    </row>
    <row r="762" spans="1:35" x14ac:dyDescent="0.2">
      <c r="A762" s="19">
        <v>757</v>
      </c>
      <c r="B762" s="19">
        <f t="shared" si="187"/>
        <v>22</v>
      </c>
      <c r="C762" s="19">
        <f t="shared" si="188"/>
        <v>1</v>
      </c>
      <c r="D762" s="19">
        <f>IF($C762&gt;p_horizon,0,IFERROR(IF(AND(INDEX(TblClusters[Cluster],$B762)&lt;&gt;"",ISNUMBER(INDEX(TblClusters[CPU initial (vCPU)],$B762)),ISNUMBER(INDEX(TblClusters[CPU min (vCPU)],$B762)),OR(INDEX(TblClusters[Plateforme],$B762)="IKS",INDEX(TblClusters[Plateforme],$B762)="ROKS")),1,0),0))</f>
        <v>1</v>
      </c>
      <c r="E762" s="72">
        <f t="shared" si="189"/>
        <v>46296</v>
      </c>
      <c r="F762" s="19" t="str">
        <f>IF($D762=1,INDEX(TblClusters[Cluster],$B762),"")</f>
        <v>ku002i000249</v>
      </c>
      <c r="G762" s="19" t="str">
        <f>IF($D762=1,INDEX(TblClusters[Plateforme],$B762),"")</f>
        <v>IKS</v>
      </c>
      <c r="H762" s="19">
        <f>IF($D762=1,INDEX(TblClusters[vCPU par nœud],$B762),"")</f>
        <v>32</v>
      </c>
      <c r="I762" s="19">
        <f>IF($D762=1,INDEX(TblClusters[RAM par nœud (Go)],$B762),"")</f>
        <v>128</v>
      </c>
      <c r="J762" s="19">
        <f>IF($D762=1,INDEX(TblClusters[Workers min],$B762),"")</f>
        <v>3</v>
      </c>
      <c r="K762" s="73">
        <f>IF($D762=1,INDEX(TblClusters[Tarif par nœud],$B762),"")</f>
        <v>1062</v>
      </c>
      <c r="L762" s="19">
        <f>IF($D762=1,INDEX(TblClusters[CPU initial (vCPU)],$B762),"")</f>
        <v>480</v>
      </c>
      <c r="M762" s="19">
        <f>IF($D762=1,INDEX(TblClusters[RAM initiale (Go)],$B762),"")</f>
        <v>1920</v>
      </c>
      <c r="N762" s="19">
        <f>IF($D762=1,INDEX(TblClusters[CPU min (vCPU)],$B762),"")</f>
        <v>96</v>
      </c>
      <c r="O762" s="19">
        <f>IF($D762=1,INDEX(TblClusters[RAM min (Go)],$B762),"")</f>
        <v>384</v>
      </c>
      <c r="P762" s="19">
        <f>IF($D762&lt;&gt;1,"",IF($G762="ROKS",SUMIFS(TblApplications[Besoin ROKS CPU (vCPU)],TblApplications[Cluster ROKS cible],$F762,TblApplications[Action],"À migrer",TblApplications[Déjà incluse ROKS],"Non",TblApplications[Mois prov (calc)],"&lt;="&amp;$E762),SUMIFS(TblApplications[CPU IKS libérable (vCPU)],TblApplications[Cluster IKS source],$F762,TblApplications[Mois lib (calc)],"&lt;="&amp;$E762)))</f>
        <v>0</v>
      </c>
      <c r="Q762" s="19">
        <f>IF($D762&lt;&gt;1,"",IF($G762="ROKS",SUMIFS(TblApplications[Besoin ROKS RAM (Go)],TblApplications[Cluster ROKS cible],$F762,TblApplications[Action],"À migrer",TblApplications[Déjà incluse ROKS],"Non",TblApplications[Mois prov (calc)],"&lt;="&amp;$E762),SUMIFS(TblApplications[RAM IKS libérable (Go)],TblApplications[Cluster IKS source],$F762,TblApplications[Mois lib (calc)],"&lt;="&amp;$E762)))</f>
        <v>0</v>
      </c>
      <c r="R762" s="19">
        <f t="shared" si="190"/>
        <v>480</v>
      </c>
      <c r="S762" s="19">
        <f t="shared" si="191"/>
        <v>1920</v>
      </c>
      <c r="T762" s="19">
        <f t="shared" si="192"/>
        <v>15</v>
      </c>
      <c r="U762" s="19">
        <f t="shared" si="193"/>
        <v>480</v>
      </c>
      <c r="V762" s="19">
        <f t="shared" si="194"/>
        <v>1920</v>
      </c>
      <c r="W762" s="73">
        <f t="shared" si="195"/>
        <v>15930</v>
      </c>
      <c r="X762" s="19">
        <f>IF($D762&lt;&gt;1,"",IF($G762="ROKS",$R762,IF($AI762=1,0,MAX($N762,$L762-SUMIFS(TblApplications[CPU IKS libérable (vCPU)],TblApplications[Cluster IKS source],$F762,TblApplications[Action],"À migrer",TblApplications[Mois prov (calc)],"&lt;="&amp;$E762)-SUMIFS(TblApplications[CPU IKS libérable (vCPU)],TblApplications[Cluster IKS source],$F762,TblApplications[Action],"À décommissionner",TblApplications[Mois lib (calc)],"&lt;="&amp;$E762)))))</f>
        <v>480</v>
      </c>
      <c r="Y762" s="19">
        <f>IF($D762&lt;&gt;1,"",IF($G762="ROKS",$S762,IF($AI762=1,0,MAX($O762,$M762-SUMIFS(TblApplications[RAM IKS libérable (Go)],TblApplications[Cluster IKS source],$F762,TblApplications[Action],"À migrer",TblApplications[Mois prov (calc)],"&lt;="&amp;$E762)-SUMIFS(TblApplications[RAM IKS libérable (Go)],TblApplications[Cluster IKS source],$F762,TblApplications[Action],"À décommissionner",TblApplications[Mois lib (calc)],"&lt;="&amp;$E762)))))</f>
        <v>1920</v>
      </c>
      <c r="Z762" s="19">
        <f t="shared" si="196"/>
        <v>15</v>
      </c>
      <c r="AA762" s="73">
        <f t="shared" si="197"/>
        <v>15930</v>
      </c>
      <c r="AB762" s="19">
        <f t="shared" si="198"/>
        <v>15</v>
      </c>
      <c r="AC762" s="73">
        <f t="shared" si="199"/>
        <v>15930</v>
      </c>
      <c r="AD762" s="19">
        <f t="shared" si="200"/>
        <v>0</v>
      </c>
      <c r="AE762" s="19">
        <f t="shared" si="201"/>
        <v>0</v>
      </c>
      <c r="AF762" s="19" t="str">
        <f>IF($D762&lt;&gt;1,"",IF(INDEX(TblClusters[Environnement],$B762)="","(vide)",INDEX(TblClusters[Environnement],$B762)))</f>
        <v>PRD</v>
      </c>
      <c r="AG762" s="19">
        <f t="shared" si="202"/>
        <v>672</v>
      </c>
      <c r="AH762" s="19">
        <f t="shared" si="203"/>
        <v>23.705357142857142</v>
      </c>
      <c r="AI762" s="19">
        <f>IF($D762&lt;&gt;1,"",IF(AND($G762="IKS",ISNUMBER(INDEX(TblClusters[Fermeture retenue],$B762))),IF($E762&gt;=INDEX(TblClusters[Fermeture retenue],$B762),1,0),0))</f>
        <v>0</v>
      </c>
    </row>
    <row r="763" spans="1:35" x14ac:dyDescent="0.2">
      <c r="A763" s="19">
        <v>758</v>
      </c>
      <c r="B763" s="19">
        <f t="shared" si="187"/>
        <v>22</v>
      </c>
      <c r="C763" s="19">
        <f t="shared" si="188"/>
        <v>2</v>
      </c>
      <c r="D763" s="19">
        <f>IF($C763&gt;p_horizon,0,IFERROR(IF(AND(INDEX(TblClusters[Cluster],$B763)&lt;&gt;"",ISNUMBER(INDEX(TblClusters[CPU initial (vCPU)],$B763)),ISNUMBER(INDEX(TblClusters[CPU min (vCPU)],$B763)),OR(INDEX(TblClusters[Plateforme],$B763)="IKS",INDEX(TblClusters[Plateforme],$B763)="ROKS")),1,0),0))</f>
        <v>1</v>
      </c>
      <c r="E763" s="72">
        <f t="shared" si="189"/>
        <v>46327</v>
      </c>
      <c r="F763" s="19" t="str">
        <f>IF($D763=1,INDEX(TblClusters[Cluster],$B763),"")</f>
        <v>ku002i000249</v>
      </c>
      <c r="G763" s="19" t="str">
        <f>IF($D763=1,INDEX(TblClusters[Plateforme],$B763),"")</f>
        <v>IKS</v>
      </c>
      <c r="H763" s="19">
        <f>IF($D763=1,INDEX(TblClusters[vCPU par nœud],$B763),"")</f>
        <v>32</v>
      </c>
      <c r="I763" s="19">
        <f>IF($D763=1,INDEX(TblClusters[RAM par nœud (Go)],$B763),"")</f>
        <v>128</v>
      </c>
      <c r="J763" s="19">
        <f>IF($D763=1,INDEX(TblClusters[Workers min],$B763),"")</f>
        <v>3</v>
      </c>
      <c r="K763" s="73">
        <f>IF($D763=1,INDEX(TblClusters[Tarif par nœud],$B763),"")</f>
        <v>1062</v>
      </c>
      <c r="L763" s="19">
        <f>IF($D763=1,INDEX(TblClusters[CPU initial (vCPU)],$B763),"")</f>
        <v>480</v>
      </c>
      <c r="M763" s="19">
        <f>IF($D763=1,INDEX(TblClusters[RAM initiale (Go)],$B763),"")</f>
        <v>1920</v>
      </c>
      <c r="N763" s="19">
        <f>IF($D763=1,INDEX(TblClusters[CPU min (vCPU)],$B763),"")</f>
        <v>96</v>
      </c>
      <c r="O763" s="19">
        <f>IF($D763=1,INDEX(TblClusters[RAM min (Go)],$B763),"")</f>
        <v>384</v>
      </c>
      <c r="P763" s="19">
        <f>IF($D763&lt;&gt;1,"",IF($G763="ROKS",SUMIFS(TblApplications[Besoin ROKS CPU (vCPU)],TblApplications[Cluster ROKS cible],$F763,TblApplications[Action],"À migrer",TblApplications[Déjà incluse ROKS],"Non",TblApplications[Mois prov (calc)],"&lt;="&amp;$E763),SUMIFS(TblApplications[CPU IKS libérable (vCPU)],TblApplications[Cluster IKS source],$F763,TblApplications[Mois lib (calc)],"&lt;="&amp;$E763)))</f>
        <v>0</v>
      </c>
      <c r="Q763" s="19">
        <f>IF($D763&lt;&gt;1,"",IF($G763="ROKS",SUMIFS(TblApplications[Besoin ROKS RAM (Go)],TblApplications[Cluster ROKS cible],$F763,TblApplications[Action],"À migrer",TblApplications[Déjà incluse ROKS],"Non",TblApplications[Mois prov (calc)],"&lt;="&amp;$E763),SUMIFS(TblApplications[RAM IKS libérable (Go)],TblApplications[Cluster IKS source],$F763,TblApplications[Mois lib (calc)],"&lt;="&amp;$E763)))</f>
        <v>0</v>
      </c>
      <c r="R763" s="19">
        <f t="shared" si="190"/>
        <v>480</v>
      </c>
      <c r="S763" s="19">
        <f t="shared" si="191"/>
        <v>1920</v>
      </c>
      <c r="T763" s="19">
        <f t="shared" si="192"/>
        <v>15</v>
      </c>
      <c r="U763" s="19">
        <f t="shared" si="193"/>
        <v>480</v>
      </c>
      <c r="V763" s="19">
        <f t="shared" si="194"/>
        <v>1920</v>
      </c>
      <c r="W763" s="73">
        <f t="shared" si="195"/>
        <v>15930</v>
      </c>
      <c r="X763" s="19">
        <f>IF($D763&lt;&gt;1,"",IF($G763="ROKS",$R763,IF($AI763=1,0,MAX($N763,$L763-SUMIFS(TblApplications[CPU IKS libérable (vCPU)],TblApplications[Cluster IKS source],$F763,TblApplications[Action],"À migrer",TblApplications[Mois prov (calc)],"&lt;="&amp;$E763)-SUMIFS(TblApplications[CPU IKS libérable (vCPU)],TblApplications[Cluster IKS source],$F763,TblApplications[Action],"À décommissionner",TblApplications[Mois lib (calc)],"&lt;="&amp;$E763)))))</f>
        <v>480</v>
      </c>
      <c r="Y763" s="19">
        <f>IF($D763&lt;&gt;1,"",IF($G763="ROKS",$S763,IF($AI763=1,0,MAX($O763,$M763-SUMIFS(TblApplications[RAM IKS libérable (Go)],TblApplications[Cluster IKS source],$F763,TblApplications[Action],"À migrer",TblApplications[Mois prov (calc)],"&lt;="&amp;$E763)-SUMIFS(TblApplications[RAM IKS libérable (Go)],TblApplications[Cluster IKS source],$F763,TblApplications[Action],"À décommissionner",TblApplications[Mois lib (calc)],"&lt;="&amp;$E763)))))</f>
        <v>1920</v>
      </c>
      <c r="Z763" s="19">
        <f t="shared" si="196"/>
        <v>15</v>
      </c>
      <c r="AA763" s="73">
        <f t="shared" si="197"/>
        <v>15930</v>
      </c>
      <c r="AB763" s="19">
        <f t="shared" si="198"/>
        <v>15</v>
      </c>
      <c r="AC763" s="73">
        <f t="shared" si="199"/>
        <v>15930</v>
      </c>
      <c r="AD763" s="19">
        <f t="shared" si="200"/>
        <v>0</v>
      </c>
      <c r="AE763" s="19">
        <f t="shared" si="201"/>
        <v>0</v>
      </c>
      <c r="AF763" s="19" t="str">
        <f>IF($D763&lt;&gt;1,"",IF(INDEX(TblClusters[Environnement],$B763)="","(vide)",INDEX(TblClusters[Environnement],$B763)))</f>
        <v>PRD</v>
      </c>
      <c r="AG763" s="19">
        <f t="shared" si="202"/>
        <v>672</v>
      </c>
      <c r="AH763" s="19">
        <f t="shared" si="203"/>
        <v>23.705357142857142</v>
      </c>
      <c r="AI763" s="19">
        <f>IF($D763&lt;&gt;1,"",IF(AND($G763="IKS",ISNUMBER(INDEX(TblClusters[Fermeture retenue],$B763))),IF($E763&gt;=INDEX(TblClusters[Fermeture retenue],$B763),1,0),0))</f>
        <v>0</v>
      </c>
    </row>
    <row r="764" spans="1:35" x14ac:dyDescent="0.2">
      <c r="A764" s="19">
        <v>759</v>
      </c>
      <c r="B764" s="19">
        <f t="shared" si="187"/>
        <v>22</v>
      </c>
      <c r="C764" s="19">
        <f t="shared" si="188"/>
        <v>3</v>
      </c>
      <c r="D764" s="19">
        <f>IF($C764&gt;p_horizon,0,IFERROR(IF(AND(INDEX(TblClusters[Cluster],$B764)&lt;&gt;"",ISNUMBER(INDEX(TblClusters[CPU initial (vCPU)],$B764)),ISNUMBER(INDEX(TblClusters[CPU min (vCPU)],$B764)),OR(INDEX(TblClusters[Plateforme],$B764)="IKS",INDEX(TblClusters[Plateforme],$B764)="ROKS")),1,0),0))</f>
        <v>1</v>
      </c>
      <c r="E764" s="72">
        <f t="shared" si="189"/>
        <v>46357</v>
      </c>
      <c r="F764" s="19" t="str">
        <f>IF($D764=1,INDEX(TblClusters[Cluster],$B764),"")</f>
        <v>ku002i000249</v>
      </c>
      <c r="G764" s="19" t="str">
        <f>IF($D764=1,INDEX(TblClusters[Plateforme],$B764),"")</f>
        <v>IKS</v>
      </c>
      <c r="H764" s="19">
        <f>IF($D764=1,INDEX(TblClusters[vCPU par nœud],$B764),"")</f>
        <v>32</v>
      </c>
      <c r="I764" s="19">
        <f>IF($D764=1,INDEX(TblClusters[RAM par nœud (Go)],$B764),"")</f>
        <v>128</v>
      </c>
      <c r="J764" s="19">
        <f>IF($D764=1,INDEX(TblClusters[Workers min],$B764),"")</f>
        <v>3</v>
      </c>
      <c r="K764" s="73">
        <f>IF($D764=1,INDEX(TblClusters[Tarif par nœud],$B764),"")</f>
        <v>1062</v>
      </c>
      <c r="L764" s="19">
        <f>IF($D764=1,INDEX(TblClusters[CPU initial (vCPU)],$B764),"")</f>
        <v>480</v>
      </c>
      <c r="M764" s="19">
        <f>IF($D764=1,INDEX(TblClusters[RAM initiale (Go)],$B764),"")</f>
        <v>1920</v>
      </c>
      <c r="N764" s="19">
        <f>IF($D764=1,INDEX(TblClusters[CPU min (vCPU)],$B764),"")</f>
        <v>96</v>
      </c>
      <c r="O764" s="19">
        <f>IF($D764=1,INDEX(TblClusters[RAM min (Go)],$B764),"")</f>
        <v>384</v>
      </c>
      <c r="P764" s="19">
        <f>IF($D764&lt;&gt;1,"",IF($G764="ROKS",SUMIFS(TblApplications[Besoin ROKS CPU (vCPU)],TblApplications[Cluster ROKS cible],$F764,TblApplications[Action],"À migrer",TblApplications[Déjà incluse ROKS],"Non",TblApplications[Mois prov (calc)],"&lt;="&amp;$E764),SUMIFS(TblApplications[CPU IKS libérable (vCPU)],TblApplications[Cluster IKS source],$F764,TblApplications[Mois lib (calc)],"&lt;="&amp;$E764)))</f>
        <v>0</v>
      </c>
      <c r="Q764" s="19">
        <f>IF($D764&lt;&gt;1,"",IF($G764="ROKS",SUMIFS(TblApplications[Besoin ROKS RAM (Go)],TblApplications[Cluster ROKS cible],$F764,TblApplications[Action],"À migrer",TblApplications[Déjà incluse ROKS],"Non",TblApplications[Mois prov (calc)],"&lt;="&amp;$E764),SUMIFS(TblApplications[RAM IKS libérable (Go)],TblApplications[Cluster IKS source],$F764,TblApplications[Mois lib (calc)],"&lt;="&amp;$E764)))</f>
        <v>0</v>
      </c>
      <c r="R764" s="19">
        <f t="shared" si="190"/>
        <v>480</v>
      </c>
      <c r="S764" s="19">
        <f t="shared" si="191"/>
        <v>1920</v>
      </c>
      <c r="T764" s="19">
        <f t="shared" si="192"/>
        <v>15</v>
      </c>
      <c r="U764" s="19">
        <f t="shared" si="193"/>
        <v>480</v>
      </c>
      <c r="V764" s="19">
        <f t="shared" si="194"/>
        <v>1920</v>
      </c>
      <c r="W764" s="73">
        <f t="shared" si="195"/>
        <v>15930</v>
      </c>
      <c r="X764" s="19">
        <f>IF($D764&lt;&gt;1,"",IF($G764="ROKS",$R764,IF($AI764=1,0,MAX($N764,$L764-SUMIFS(TblApplications[CPU IKS libérable (vCPU)],TblApplications[Cluster IKS source],$F764,TblApplications[Action],"À migrer",TblApplications[Mois prov (calc)],"&lt;="&amp;$E764)-SUMIFS(TblApplications[CPU IKS libérable (vCPU)],TblApplications[Cluster IKS source],$F764,TblApplications[Action],"À décommissionner",TblApplications[Mois lib (calc)],"&lt;="&amp;$E764)))))</f>
        <v>480</v>
      </c>
      <c r="Y764" s="19">
        <f>IF($D764&lt;&gt;1,"",IF($G764="ROKS",$S764,IF($AI764=1,0,MAX($O764,$M764-SUMIFS(TblApplications[RAM IKS libérable (Go)],TblApplications[Cluster IKS source],$F764,TblApplications[Action],"À migrer",TblApplications[Mois prov (calc)],"&lt;="&amp;$E764)-SUMIFS(TblApplications[RAM IKS libérable (Go)],TblApplications[Cluster IKS source],$F764,TblApplications[Action],"À décommissionner",TblApplications[Mois lib (calc)],"&lt;="&amp;$E764)))))</f>
        <v>1920</v>
      </c>
      <c r="Z764" s="19">
        <f t="shared" si="196"/>
        <v>15</v>
      </c>
      <c r="AA764" s="73">
        <f t="shared" si="197"/>
        <v>15930</v>
      </c>
      <c r="AB764" s="19">
        <f t="shared" si="198"/>
        <v>15</v>
      </c>
      <c r="AC764" s="73">
        <f t="shared" si="199"/>
        <v>15930</v>
      </c>
      <c r="AD764" s="19">
        <f t="shared" si="200"/>
        <v>0</v>
      </c>
      <c r="AE764" s="19">
        <f t="shared" si="201"/>
        <v>0</v>
      </c>
      <c r="AF764" s="19" t="str">
        <f>IF($D764&lt;&gt;1,"",IF(INDEX(TblClusters[Environnement],$B764)="","(vide)",INDEX(TblClusters[Environnement],$B764)))</f>
        <v>PRD</v>
      </c>
      <c r="AG764" s="19">
        <f t="shared" si="202"/>
        <v>672</v>
      </c>
      <c r="AH764" s="19">
        <f t="shared" si="203"/>
        <v>23.705357142857142</v>
      </c>
      <c r="AI764" s="19">
        <f>IF($D764&lt;&gt;1,"",IF(AND($G764="IKS",ISNUMBER(INDEX(TblClusters[Fermeture retenue],$B764))),IF($E764&gt;=INDEX(TblClusters[Fermeture retenue],$B764),1,0),0))</f>
        <v>0</v>
      </c>
    </row>
    <row r="765" spans="1:35" x14ac:dyDescent="0.2">
      <c r="A765" s="19">
        <v>760</v>
      </c>
      <c r="B765" s="19">
        <f t="shared" si="187"/>
        <v>22</v>
      </c>
      <c r="C765" s="19">
        <f t="shared" si="188"/>
        <v>4</v>
      </c>
      <c r="D765" s="19">
        <f>IF($C765&gt;p_horizon,0,IFERROR(IF(AND(INDEX(TblClusters[Cluster],$B765)&lt;&gt;"",ISNUMBER(INDEX(TblClusters[CPU initial (vCPU)],$B765)),ISNUMBER(INDEX(TblClusters[CPU min (vCPU)],$B765)),OR(INDEX(TblClusters[Plateforme],$B765)="IKS",INDEX(TblClusters[Plateforme],$B765)="ROKS")),1,0),0))</f>
        <v>1</v>
      </c>
      <c r="E765" s="72">
        <f t="shared" si="189"/>
        <v>46388</v>
      </c>
      <c r="F765" s="19" t="str">
        <f>IF($D765=1,INDEX(TblClusters[Cluster],$B765),"")</f>
        <v>ku002i000249</v>
      </c>
      <c r="G765" s="19" t="str">
        <f>IF($D765=1,INDEX(TblClusters[Plateforme],$B765),"")</f>
        <v>IKS</v>
      </c>
      <c r="H765" s="19">
        <f>IF($D765=1,INDEX(TblClusters[vCPU par nœud],$B765),"")</f>
        <v>32</v>
      </c>
      <c r="I765" s="19">
        <f>IF($D765=1,INDEX(TblClusters[RAM par nœud (Go)],$B765),"")</f>
        <v>128</v>
      </c>
      <c r="J765" s="19">
        <f>IF($D765=1,INDEX(TblClusters[Workers min],$B765),"")</f>
        <v>3</v>
      </c>
      <c r="K765" s="73">
        <f>IF($D765=1,INDEX(TblClusters[Tarif par nœud],$B765),"")</f>
        <v>1062</v>
      </c>
      <c r="L765" s="19">
        <f>IF($D765=1,INDEX(TblClusters[CPU initial (vCPU)],$B765),"")</f>
        <v>480</v>
      </c>
      <c r="M765" s="19">
        <f>IF($D765=1,INDEX(TblClusters[RAM initiale (Go)],$B765),"")</f>
        <v>1920</v>
      </c>
      <c r="N765" s="19">
        <f>IF($D765=1,INDEX(TblClusters[CPU min (vCPU)],$B765),"")</f>
        <v>96</v>
      </c>
      <c r="O765" s="19">
        <f>IF($D765=1,INDEX(TblClusters[RAM min (Go)],$B765),"")</f>
        <v>384</v>
      </c>
      <c r="P765" s="19">
        <f>IF($D765&lt;&gt;1,"",IF($G765="ROKS",SUMIFS(TblApplications[Besoin ROKS CPU (vCPU)],TblApplications[Cluster ROKS cible],$F765,TblApplications[Action],"À migrer",TblApplications[Déjà incluse ROKS],"Non",TblApplications[Mois prov (calc)],"&lt;="&amp;$E765),SUMIFS(TblApplications[CPU IKS libérable (vCPU)],TblApplications[Cluster IKS source],$F765,TblApplications[Mois lib (calc)],"&lt;="&amp;$E765)))</f>
        <v>0</v>
      </c>
      <c r="Q765" s="19">
        <f>IF($D765&lt;&gt;1,"",IF($G765="ROKS",SUMIFS(TblApplications[Besoin ROKS RAM (Go)],TblApplications[Cluster ROKS cible],$F765,TblApplications[Action],"À migrer",TblApplications[Déjà incluse ROKS],"Non",TblApplications[Mois prov (calc)],"&lt;="&amp;$E765),SUMIFS(TblApplications[RAM IKS libérable (Go)],TblApplications[Cluster IKS source],$F765,TblApplications[Mois lib (calc)],"&lt;="&amp;$E765)))</f>
        <v>0</v>
      </c>
      <c r="R765" s="19">
        <f t="shared" si="190"/>
        <v>480</v>
      </c>
      <c r="S765" s="19">
        <f t="shared" si="191"/>
        <v>1920</v>
      </c>
      <c r="T765" s="19">
        <f t="shared" si="192"/>
        <v>15</v>
      </c>
      <c r="U765" s="19">
        <f t="shared" si="193"/>
        <v>480</v>
      </c>
      <c r="V765" s="19">
        <f t="shared" si="194"/>
        <v>1920</v>
      </c>
      <c r="W765" s="73">
        <f t="shared" si="195"/>
        <v>15930</v>
      </c>
      <c r="X765" s="19">
        <f>IF($D765&lt;&gt;1,"",IF($G765="ROKS",$R765,IF($AI765=1,0,MAX($N765,$L765-SUMIFS(TblApplications[CPU IKS libérable (vCPU)],TblApplications[Cluster IKS source],$F765,TblApplications[Action],"À migrer",TblApplications[Mois prov (calc)],"&lt;="&amp;$E765)-SUMIFS(TblApplications[CPU IKS libérable (vCPU)],TblApplications[Cluster IKS source],$F765,TblApplications[Action],"À décommissionner",TblApplications[Mois lib (calc)],"&lt;="&amp;$E765)))))</f>
        <v>480</v>
      </c>
      <c r="Y765" s="19">
        <f>IF($D765&lt;&gt;1,"",IF($G765="ROKS",$S765,IF($AI765=1,0,MAX($O765,$M765-SUMIFS(TblApplications[RAM IKS libérable (Go)],TblApplications[Cluster IKS source],$F765,TblApplications[Action],"À migrer",TblApplications[Mois prov (calc)],"&lt;="&amp;$E765)-SUMIFS(TblApplications[RAM IKS libérable (Go)],TblApplications[Cluster IKS source],$F765,TblApplications[Action],"À décommissionner",TblApplications[Mois lib (calc)],"&lt;="&amp;$E765)))))</f>
        <v>1920</v>
      </c>
      <c r="Z765" s="19">
        <f t="shared" si="196"/>
        <v>15</v>
      </c>
      <c r="AA765" s="73">
        <f t="shared" si="197"/>
        <v>15930</v>
      </c>
      <c r="AB765" s="19">
        <f t="shared" si="198"/>
        <v>15</v>
      </c>
      <c r="AC765" s="73">
        <f t="shared" si="199"/>
        <v>15930</v>
      </c>
      <c r="AD765" s="19">
        <f t="shared" si="200"/>
        <v>0</v>
      </c>
      <c r="AE765" s="19">
        <f t="shared" si="201"/>
        <v>0</v>
      </c>
      <c r="AF765" s="19" t="str">
        <f>IF($D765&lt;&gt;1,"",IF(INDEX(TblClusters[Environnement],$B765)="","(vide)",INDEX(TblClusters[Environnement],$B765)))</f>
        <v>PRD</v>
      </c>
      <c r="AG765" s="19">
        <f t="shared" si="202"/>
        <v>672</v>
      </c>
      <c r="AH765" s="19">
        <f t="shared" si="203"/>
        <v>23.705357142857142</v>
      </c>
      <c r="AI765" s="19">
        <f>IF($D765&lt;&gt;1,"",IF(AND($G765="IKS",ISNUMBER(INDEX(TblClusters[Fermeture retenue],$B765))),IF($E765&gt;=INDEX(TblClusters[Fermeture retenue],$B765),1,0),0))</f>
        <v>0</v>
      </c>
    </row>
    <row r="766" spans="1:35" x14ac:dyDescent="0.2">
      <c r="A766" s="19">
        <v>761</v>
      </c>
      <c r="B766" s="19">
        <f t="shared" si="187"/>
        <v>22</v>
      </c>
      <c r="C766" s="19">
        <f t="shared" si="188"/>
        <v>5</v>
      </c>
      <c r="D766" s="19">
        <f>IF($C766&gt;p_horizon,0,IFERROR(IF(AND(INDEX(TblClusters[Cluster],$B766)&lt;&gt;"",ISNUMBER(INDEX(TblClusters[CPU initial (vCPU)],$B766)),ISNUMBER(INDEX(TblClusters[CPU min (vCPU)],$B766)),OR(INDEX(TblClusters[Plateforme],$B766)="IKS",INDEX(TblClusters[Plateforme],$B766)="ROKS")),1,0),0))</f>
        <v>1</v>
      </c>
      <c r="E766" s="72">
        <f t="shared" si="189"/>
        <v>46419</v>
      </c>
      <c r="F766" s="19" t="str">
        <f>IF($D766=1,INDEX(TblClusters[Cluster],$B766),"")</f>
        <v>ku002i000249</v>
      </c>
      <c r="G766" s="19" t="str">
        <f>IF($D766=1,INDEX(TblClusters[Plateforme],$B766),"")</f>
        <v>IKS</v>
      </c>
      <c r="H766" s="19">
        <f>IF($D766=1,INDEX(TblClusters[vCPU par nœud],$B766),"")</f>
        <v>32</v>
      </c>
      <c r="I766" s="19">
        <f>IF($D766=1,INDEX(TblClusters[RAM par nœud (Go)],$B766),"")</f>
        <v>128</v>
      </c>
      <c r="J766" s="19">
        <f>IF($D766=1,INDEX(TblClusters[Workers min],$B766),"")</f>
        <v>3</v>
      </c>
      <c r="K766" s="73">
        <f>IF($D766=1,INDEX(TblClusters[Tarif par nœud],$B766),"")</f>
        <v>1062</v>
      </c>
      <c r="L766" s="19">
        <f>IF($D766=1,INDEX(TblClusters[CPU initial (vCPU)],$B766),"")</f>
        <v>480</v>
      </c>
      <c r="M766" s="19">
        <f>IF($D766=1,INDEX(TblClusters[RAM initiale (Go)],$B766),"")</f>
        <v>1920</v>
      </c>
      <c r="N766" s="19">
        <f>IF($D766=1,INDEX(TblClusters[CPU min (vCPU)],$B766),"")</f>
        <v>96</v>
      </c>
      <c r="O766" s="19">
        <f>IF($D766=1,INDEX(TblClusters[RAM min (Go)],$B766),"")</f>
        <v>384</v>
      </c>
      <c r="P766" s="19">
        <f>IF($D766&lt;&gt;1,"",IF($G766="ROKS",SUMIFS(TblApplications[Besoin ROKS CPU (vCPU)],TblApplications[Cluster ROKS cible],$F766,TblApplications[Action],"À migrer",TblApplications[Déjà incluse ROKS],"Non",TblApplications[Mois prov (calc)],"&lt;="&amp;$E766),SUMIFS(TblApplications[CPU IKS libérable (vCPU)],TblApplications[Cluster IKS source],$F766,TblApplications[Mois lib (calc)],"&lt;="&amp;$E766)))</f>
        <v>0</v>
      </c>
      <c r="Q766" s="19">
        <f>IF($D766&lt;&gt;1,"",IF($G766="ROKS",SUMIFS(TblApplications[Besoin ROKS RAM (Go)],TblApplications[Cluster ROKS cible],$F766,TblApplications[Action],"À migrer",TblApplications[Déjà incluse ROKS],"Non",TblApplications[Mois prov (calc)],"&lt;="&amp;$E766),SUMIFS(TblApplications[RAM IKS libérable (Go)],TblApplications[Cluster IKS source],$F766,TblApplications[Mois lib (calc)],"&lt;="&amp;$E766)))</f>
        <v>0</v>
      </c>
      <c r="R766" s="19">
        <f t="shared" si="190"/>
        <v>480</v>
      </c>
      <c r="S766" s="19">
        <f t="shared" si="191"/>
        <v>1920</v>
      </c>
      <c r="T766" s="19">
        <f t="shared" si="192"/>
        <v>15</v>
      </c>
      <c r="U766" s="19">
        <f t="shared" si="193"/>
        <v>480</v>
      </c>
      <c r="V766" s="19">
        <f t="shared" si="194"/>
        <v>1920</v>
      </c>
      <c r="W766" s="73">
        <f t="shared" si="195"/>
        <v>15930</v>
      </c>
      <c r="X766" s="19">
        <f>IF($D766&lt;&gt;1,"",IF($G766="ROKS",$R766,IF($AI766=1,0,MAX($N766,$L766-SUMIFS(TblApplications[CPU IKS libérable (vCPU)],TblApplications[Cluster IKS source],$F766,TblApplications[Action],"À migrer",TblApplications[Mois prov (calc)],"&lt;="&amp;$E766)-SUMIFS(TblApplications[CPU IKS libérable (vCPU)],TblApplications[Cluster IKS source],$F766,TblApplications[Action],"À décommissionner",TblApplications[Mois lib (calc)],"&lt;="&amp;$E766)))))</f>
        <v>480</v>
      </c>
      <c r="Y766" s="19">
        <f>IF($D766&lt;&gt;1,"",IF($G766="ROKS",$S766,IF($AI766=1,0,MAX($O766,$M766-SUMIFS(TblApplications[RAM IKS libérable (Go)],TblApplications[Cluster IKS source],$F766,TblApplications[Action],"À migrer",TblApplications[Mois prov (calc)],"&lt;="&amp;$E766)-SUMIFS(TblApplications[RAM IKS libérable (Go)],TblApplications[Cluster IKS source],$F766,TblApplications[Action],"À décommissionner",TblApplications[Mois lib (calc)],"&lt;="&amp;$E766)))))</f>
        <v>1920</v>
      </c>
      <c r="Z766" s="19">
        <f t="shared" si="196"/>
        <v>15</v>
      </c>
      <c r="AA766" s="73">
        <f t="shared" si="197"/>
        <v>15930</v>
      </c>
      <c r="AB766" s="19">
        <f t="shared" si="198"/>
        <v>15</v>
      </c>
      <c r="AC766" s="73">
        <f t="shared" si="199"/>
        <v>15930</v>
      </c>
      <c r="AD766" s="19">
        <f t="shared" si="200"/>
        <v>0</v>
      </c>
      <c r="AE766" s="19">
        <f t="shared" si="201"/>
        <v>0</v>
      </c>
      <c r="AF766" s="19" t="str">
        <f>IF($D766&lt;&gt;1,"",IF(INDEX(TblClusters[Environnement],$B766)="","(vide)",INDEX(TblClusters[Environnement],$B766)))</f>
        <v>PRD</v>
      </c>
      <c r="AG766" s="19">
        <f t="shared" si="202"/>
        <v>672</v>
      </c>
      <c r="AH766" s="19">
        <f t="shared" si="203"/>
        <v>23.705357142857142</v>
      </c>
      <c r="AI766" s="19">
        <f>IF($D766&lt;&gt;1,"",IF(AND($G766="IKS",ISNUMBER(INDEX(TblClusters[Fermeture retenue],$B766))),IF($E766&gt;=INDEX(TblClusters[Fermeture retenue],$B766),1,0),0))</f>
        <v>0</v>
      </c>
    </row>
    <row r="767" spans="1:35" x14ac:dyDescent="0.2">
      <c r="A767" s="19">
        <v>762</v>
      </c>
      <c r="B767" s="19">
        <f t="shared" si="187"/>
        <v>22</v>
      </c>
      <c r="C767" s="19">
        <f t="shared" si="188"/>
        <v>6</v>
      </c>
      <c r="D767" s="19">
        <f>IF($C767&gt;p_horizon,0,IFERROR(IF(AND(INDEX(TblClusters[Cluster],$B767)&lt;&gt;"",ISNUMBER(INDEX(TblClusters[CPU initial (vCPU)],$B767)),ISNUMBER(INDEX(TblClusters[CPU min (vCPU)],$B767)),OR(INDEX(TblClusters[Plateforme],$B767)="IKS",INDEX(TblClusters[Plateforme],$B767)="ROKS")),1,0),0))</f>
        <v>1</v>
      </c>
      <c r="E767" s="72">
        <f t="shared" si="189"/>
        <v>46447</v>
      </c>
      <c r="F767" s="19" t="str">
        <f>IF($D767=1,INDEX(TblClusters[Cluster],$B767),"")</f>
        <v>ku002i000249</v>
      </c>
      <c r="G767" s="19" t="str">
        <f>IF($D767=1,INDEX(TblClusters[Plateforme],$B767),"")</f>
        <v>IKS</v>
      </c>
      <c r="H767" s="19">
        <f>IF($D767=1,INDEX(TblClusters[vCPU par nœud],$B767),"")</f>
        <v>32</v>
      </c>
      <c r="I767" s="19">
        <f>IF($D767=1,INDEX(TblClusters[RAM par nœud (Go)],$B767),"")</f>
        <v>128</v>
      </c>
      <c r="J767" s="19">
        <f>IF($D767=1,INDEX(TblClusters[Workers min],$B767),"")</f>
        <v>3</v>
      </c>
      <c r="K767" s="73">
        <f>IF($D767=1,INDEX(TblClusters[Tarif par nœud],$B767),"")</f>
        <v>1062</v>
      </c>
      <c r="L767" s="19">
        <f>IF($D767=1,INDEX(TblClusters[CPU initial (vCPU)],$B767),"")</f>
        <v>480</v>
      </c>
      <c r="M767" s="19">
        <f>IF($D767=1,INDEX(TblClusters[RAM initiale (Go)],$B767),"")</f>
        <v>1920</v>
      </c>
      <c r="N767" s="19">
        <f>IF($D767=1,INDEX(TblClusters[CPU min (vCPU)],$B767),"")</f>
        <v>96</v>
      </c>
      <c r="O767" s="19">
        <f>IF($D767=1,INDEX(TblClusters[RAM min (Go)],$B767),"")</f>
        <v>384</v>
      </c>
      <c r="P767" s="19">
        <f>IF($D767&lt;&gt;1,"",IF($G767="ROKS",SUMIFS(TblApplications[Besoin ROKS CPU (vCPU)],TblApplications[Cluster ROKS cible],$F767,TblApplications[Action],"À migrer",TblApplications[Déjà incluse ROKS],"Non",TblApplications[Mois prov (calc)],"&lt;="&amp;$E767),SUMIFS(TblApplications[CPU IKS libérable (vCPU)],TblApplications[Cluster IKS source],$F767,TblApplications[Mois lib (calc)],"&lt;="&amp;$E767)))</f>
        <v>0</v>
      </c>
      <c r="Q767" s="19">
        <f>IF($D767&lt;&gt;1,"",IF($G767="ROKS",SUMIFS(TblApplications[Besoin ROKS RAM (Go)],TblApplications[Cluster ROKS cible],$F767,TblApplications[Action],"À migrer",TblApplications[Déjà incluse ROKS],"Non",TblApplications[Mois prov (calc)],"&lt;="&amp;$E767),SUMIFS(TblApplications[RAM IKS libérable (Go)],TblApplications[Cluster IKS source],$F767,TblApplications[Mois lib (calc)],"&lt;="&amp;$E767)))</f>
        <v>0</v>
      </c>
      <c r="R767" s="19">
        <f t="shared" si="190"/>
        <v>480</v>
      </c>
      <c r="S767" s="19">
        <f t="shared" si="191"/>
        <v>1920</v>
      </c>
      <c r="T767" s="19">
        <f t="shared" si="192"/>
        <v>15</v>
      </c>
      <c r="U767" s="19">
        <f t="shared" si="193"/>
        <v>480</v>
      </c>
      <c r="V767" s="19">
        <f t="shared" si="194"/>
        <v>1920</v>
      </c>
      <c r="W767" s="73">
        <f t="shared" si="195"/>
        <v>15930</v>
      </c>
      <c r="X767" s="19">
        <f>IF($D767&lt;&gt;1,"",IF($G767="ROKS",$R767,IF($AI767=1,0,MAX($N767,$L767-SUMIFS(TblApplications[CPU IKS libérable (vCPU)],TblApplications[Cluster IKS source],$F767,TblApplications[Action],"À migrer",TblApplications[Mois prov (calc)],"&lt;="&amp;$E767)-SUMIFS(TblApplications[CPU IKS libérable (vCPU)],TblApplications[Cluster IKS source],$F767,TblApplications[Action],"À décommissionner",TblApplications[Mois lib (calc)],"&lt;="&amp;$E767)))))</f>
        <v>480</v>
      </c>
      <c r="Y767" s="19">
        <f>IF($D767&lt;&gt;1,"",IF($G767="ROKS",$S767,IF($AI767=1,0,MAX($O767,$M767-SUMIFS(TblApplications[RAM IKS libérable (Go)],TblApplications[Cluster IKS source],$F767,TblApplications[Action],"À migrer",TblApplications[Mois prov (calc)],"&lt;="&amp;$E767)-SUMIFS(TblApplications[RAM IKS libérable (Go)],TblApplications[Cluster IKS source],$F767,TblApplications[Action],"À décommissionner",TblApplications[Mois lib (calc)],"&lt;="&amp;$E767)))))</f>
        <v>1920</v>
      </c>
      <c r="Z767" s="19">
        <f t="shared" si="196"/>
        <v>15</v>
      </c>
      <c r="AA767" s="73">
        <f t="shared" si="197"/>
        <v>15930</v>
      </c>
      <c r="AB767" s="19">
        <f t="shared" si="198"/>
        <v>15</v>
      </c>
      <c r="AC767" s="73">
        <f t="shared" si="199"/>
        <v>15930</v>
      </c>
      <c r="AD767" s="19">
        <f t="shared" si="200"/>
        <v>0</v>
      </c>
      <c r="AE767" s="19">
        <f t="shared" si="201"/>
        <v>0</v>
      </c>
      <c r="AF767" s="19" t="str">
        <f>IF($D767&lt;&gt;1,"",IF(INDEX(TblClusters[Environnement],$B767)="","(vide)",INDEX(TblClusters[Environnement],$B767)))</f>
        <v>PRD</v>
      </c>
      <c r="AG767" s="19">
        <f t="shared" si="202"/>
        <v>672</v>
      </c>
      <c r="AH767" s="19">
        <f t="shared" si="203"/>
        <v>23.705357142857142</v>
      </c>
      <c r="AI767" s="19">
        <f>IF($D767&lt;&gt;1,"",IF(AND($G767="IKS",ISNUMBER(INDEX(TblClusters[Fermeture retenue],$B767))),IF($E767&gt;=INDEX(TblClusters[Fermeture retenue],$B767),1,0),0))</f>
        <v>0</v>
      </c>
    </row>
    <row r="768" spans="1:35" x14ac:dyDescent="0.2">
      <c r="A768" s="19">
        <v>763</v>
      </c>
      <c r="B768" s="19">
        <f t="shared" si="187"/>
        <v>22</v>
      </c>
      <c r="C768" s="19">
        <f t="shared" si="188"/>
        <v>7</v>
      </c>
      <c r="D768" s="19">
        <f>IF($C768&gt;p_horizon,0,IFERROR(IF(AND(INDEX(TblClusters[Cluster],$B768)&lt;&gt;"",ISNUMBER(INDEX(TblClusters[CPU initial (vCPU)],$B768)),ISNUMBER(INDEX(TblClusters[CPU min (vCPU)],$B768)),OR(INDEX(TblClusters[Plateforme],$B768)="IKS",INDEX(TblClusters[Plateforme],$B768)="ROKS")),1,0),0))</f>
        <v>1</v>
      </c>
      <c r="E768" s="72">
        <f t="shared" si="189"/>
        <v>46478</v>
      </c>
      <c r="F768" s="19" t="str">
        <f>IF($D768=1,INDEX(TblClusters[Cluster],$B768),"")</f>
        <v>ku002i000249</v>
      </c>
      <c r="G768" s="19" t="str">
        <f>IF($D768=1,INDEX(TblClusters[Plateforme],$B768),"")</f>
        <v>IKS</v>
      </c>
      <c r="H768" s="19">
        <f>IF($D768=1,INDEX(TblClusters[vCPU par nœud],$B768),"")</f>
        <v>32</v>
      </c>
      <c r="I768" s="19">
        <f>IF($D768=1,INDEX(TblClusters[RAM par nœud (Go)],$B768),"")</f>
        <v>128</v>
      </c>
      <c r="J768" s="19">
        <f>IF($D768=1,INDEX(TblClusters[Workers min],$B768),"")</f>
        <v>3</v>
      </c>
      <c r="K768" s="73">
        <f>IF($D768=1,INDEX(TblClusters[Tarif par nœud],$B768),"")</f>
        <v>1062</v>
      </c>
      <c r="L768" s="19">
        <f>IF($D768=1,INDEX(TblClusters[CPU initial (vCPU)],$B768),"")</f>
        <v>480</v>
      </c>
      <c r="M768" s="19">
        <f>IF($D768=1,INDEX(TblClusters[RAM initiale (Go)],$B768),"")</f>
        <v>1920</v>
      </c>
      <c r="N768" s="19">
        <f>IF($D768=1,INDEX(TblClusters[CPU min (vCPU)],$B768),"")</f>
        <v>96</v>
      </c>
      <c r="O768" s="19">
        <f>IF($D768=1,INDEX(TblClusters[RAM min (Go)],$B768),"")</f>
        <v>384</v>
      </c>
      <c r="P768" s="19">
        <f>IF($D768&lt;&gt;1,"",IF($G768="ROKS",SUMIFS(TblApplications[Besoin ROKS CPU (vCPU)],TblApplications[Cluster ROKS cible],$F768,TblApplications[Action],"À migrer",TblApplications[Déjà incluse ROKS],"Non",TblApplications[Mois prov (calc)],"&lt;="&amp;$E768),SUMIFS(TblApplications[CPU IKS libérable (vCPU)],TblApplications[Cluster IKS source],$F768,TblApplications[Mois lib (calc)],"&lt;="&amp;$E768)))</f>
        <v>0</v>
      </c>
      <c r="Q768" s="19">
        <f>IF($D768&lt;&gt;1,"",IF($G768="ROKS",SUMIFS(TblApplications[Besoin ROKS RAM (Go)],TblApplications[Cluster ROKS cible],$F768,TblApplications[Action],"À migrer",TblApplications[Déjà incluse ROKS],"Non",TblApplications[Mois prov (calc)],"&lt;="&amp;$E768),SUMIFS(TblApplications[RAM IKS libérable (Go)],TblApplications[Cluster IKS source],$F768,TblApplications[Mois lib (calc)],"&lt;="&amp;$E768)))</f>
        <v>0</v>
      </c>
      <c r="R768" s="19">
        <f t="shared" si="190"/>
        <v>480</v>
      </c>
      <c r="S768" s="19">
        <f t="shared" si="191"/>
        <v>1920</v>
      </c>
      <c r="T768" s="19">
        <f t="shared" si="192"/>
        <v>15</v>
      </c>
      <c r="U768" s="19">
        <f t="shared" si="193"/>
        <v>480</v>
      </c>
      <c r="V768" s="19">
        <f t="shared" si="194"/>
        <v>1920</v>
      </c>
      <c r="W768" s="73">
        <f t="shared" si="195"/>
        <v>15930</v>
      </c>
      <c r="X768" s="19">
        <f>IF($D768&lt;&gt;1,"",IF($G768="ROKS",$R768,IF($AI768=1,0,MAX($N768,$L768-SUMIFS(TblApplications[CPU IKS libérable (vCPU)],TblApplications[Cluster IKS source],$F768,TblApplications[Action],"À migrer",TblApplications[Mois prov (calc)],"&lt;="&amp;$E768)-SUMIFS(TblApplications[CPU IKS libérable (vCPU)],TblApplications[Cluster IKS source],$F768,TblApplications[Action],"À décommissionner",TblApplications[Mois lib (calc)],"&lt;="&amp;$E768)))))</f>
        <v>369.23076923076923</v>
      </c>
      <c r="Y768" s="19">
        <f>IF($D768&lt;&gt;1,"",IF($G768="ROKS",$S768,IF($AI768=1,0,MAX($O768,$M768-SUMIFS(TblApplications[RAM IKS libérable (Go)],TblApplications[Cluster IKS source],$F768,TblApplications[Action],"À migrer",TblApplications[Mois prov (calc)],"&lt;="&amp;$E768)-SUMIFS(TblApplications[RAM IKS libérable (Go)],TblApplications[Cluster IKS source],$F768,TblApplications[Action],"À décommissionner",TblApplications[Mois lib (calc)],"&lt;="&amp;$E768)))))</f>
        <v>1555.4430379746836</v>
      </c>
      <c r="Z768" s="19">
        <f t="shared" si="196"/>
        <v>13</v>
      </c>
      <c r="AA768" s="73">
        <f t="shared" si="197"/>
        <v>13806</v>
      </c>
      <c r="AB768" s="19">
        <f t="shared" si="198"/>
        <v>15</v>
      </c>
      <c r="AC768" s="73">
        <f t="shared" si="199"/>
        <v>15930</v>
      </c>
      <c r="AD768" s="19">
        <f t="shared" si="200"/>
        <v>0</v>
      </c>
      <c r="AE768" s="19">
        <f t="shared" si="201"/>
        <v>0</v>
      </c>
      <c r="AF768" s="19" t="str">
        <f>IF($D768&lt;&gt;1,"",IF(INDEX(TblClusters[Environnement],$B768)="","(vide)",INDEX(TblClusters[Environnement],$B768)))</f>
        <v>PRD</v>
      </c>
      <c r="AG768" s="19">
        <f t="shared" si="202"/>
        <v>672</v>
      </c>
      <c r="AH768" s="19">
        <f t="shared" si="203"/>
        <v>23.705357142857142</v>
      </c>
      <c r="AI768" s="19">
        <f>IF($D768&lt;&gt;1,"",IF(AND($G768="IKS",ISNUMBER(INDEX(TblClusters[Fermeture retenue],$B768))),IF($E768&gt;=INDEX(TblClusters[Fermeture retenue],$B768),1,0),0))</f>
        <v>0</v>
      </c>
    </row>
    <row r="769" spans="1:35" x14ac:dyDescent="0.2">
      <c r="A769" s="19">
        <v>764</v>
      </c>
      <c r="B769" s="19">
        <f t="shared" si="187"/>
        <v>22</v>
      </c>
      <c r="C769" s="19">
        <f t="shared" si="188"/>
        <v>8</v>
      </c>
      <c r="D769" s="19">
        <f>IF($C769&gt;p_horizon,0,IFERROR(IF(AND(INDEX(TblClusters[Cluster],$B769)&lt;&gt;"",ISNUMBER(INDEX(TblClusters[CPU initial (vCPU)],$B769)),ISNUMBER(INDEX(TblClusters[CPU min (vCPU)],$B769)),OR(INDEX(TblClusters[Plateforme],$B769)="IKS",INDEX(TblClusters[Plateforme],$B769)="ROKS")),1,0),0))</f>
        <v>1</v>
      </c>
      <c r="E769" s="72">
        <f t="shared" si="189"/>
        <v>46508</v>
      </c>
      <c r="F769" s="19" t="str">
        <f>IF($D769=1,INDEX(TblClusters[Cluster],$B769),"")</f>
        <v>ku002i000249</v>
      </c>
      <c r="G769" s="19" t="str">
        <f>IF($D769=1,INDEX(TblClusters[Plateforme],$B769),"")</f>
        <v>IKS</v>
      </c>
      <c r="H769" s="19">
        <f>IF($D769=1,INDEX(TblClusters[vCPU par nœud],$B769),"")</f>
        <v>32</v>
      </c>
      <c r="I769" s="19">
        <f>IF($D769=1,INDEX(TblClusters[RAM par nœud (Go)],$B769),"")</f>
        <v>128</v>
      </c>
      <c r="J769" s="19">
        <f>IF($D769=1,INDEX(TblClusters[Workers min],$B769),"")</f>
        <v>3</v>
      </c>
      <c r="K769" s="73">
        <f>IF($D769=1,INDEX(TblClusters[Tarif par nœud],$B769),"")</f>
        <v>1062</v>
      </c>
      <c r="L769" s="19">
        <f>IF($D769=1,INDEX(TblClusters[CPU initial (vCPU)],$B769),"")</f>
        <v>480</v>
      </c>
      <c r="M769" s="19">
        <f>IF($D769=1,INDEX(TblClusters[RAM initiale (Go)],$B769),"")</f>
        <v>1920</v>
      </c>
      <c r="N769" s="19">
        <f>IF($D769=1,INDEX(TblClusters[CPU min (vCPU)],$B769),"")</f>
        <v>96</v>
      </c>
      <c r="O769" s="19">
        <f>IF($D769=1,INDEX(TblClusters[RAM min (Go)],$B769),"")</f>
        <v>384</v>
      </c>
      <c r="P769" s="19">
        <f>IF($D769&lt;&gt;1,"",IF($G769="ROKS",SUMIFS(TblApplications[Besoin ROKS CPU (vCPU)],TblApplications[Cluster ROKS cible],$F769,TblApplications[Action],"À migrer",TblApplications[Déjà incluse ROKS],"Non",TblApplications[Mois prov (calc)],"&lt;="&amp;$E769),SUMIFS(TblApplications[CPU IKS libérable (vCPU)],TblApplications[Cluster IKS source],$F769,TblApplications[Mois lib (calc)],"&lt;="&amp;$E769)))</f>
        <v>0</v>
      </c>
      <c r="Q769" s="19">
        <f>IF($D769&lt;&gt;1,"",IF($G769="ROKS",SUMIFS(TblApplications[Besoin ROKS RAM (Go)],TblApplications[Cluster ROKS cible],$F769,TblApplications[Action],"À migrer",TblApplications[Déjà incluse ROKS],"Non",TblApplications[Mois prov (calc)],"&lt;="&amp;$E769),SUMIFS(TblApplications[RAM IKS libérable (Go)],TblApplications[Cluster IKS source],$F769,TblApplications[Mois lib (calc)],"&lt;="&amp;$E769)))</f>
        <v>0</v>
      </c>
      <c r="R769" s="19">
        <f t="shared" si="190"/>
        <v>480</v>
      </c>
      <c r="S769" s="19">
        <f t="shared" si="191"/>
        <v>1920</v>
      </c>
      <c r="T769" s="19">
        <f t="shared" si="192"/>
        <v>15</v>
      </c>
      <c r="U769" s="19">
        <f t="shared" si="193"/>
        <v>480</v>
      </c>
      <c r="V769" s="19">
        <f t="shared" si="194"/>
        <v>1920</v>
      </c>
      <c r="W769" s="73">
        <f t="shared" si="195"/>
        <v>15930</v>
      </c>
      <c r="X769" s="19">
        <f>IF($D769&lt;&gt;1,"",IF($G769="ROKS",$R769,IF($AI769=1,0,MAX($N769,$L769-SUMIFS(TblApplications[CPU IKS libérable (vCPU)],TblApplications[Cluster IKS source],$F769,TblApplications[Action],"À migrer",TblApplications[Mois prov (calc)],"&lt;="&amp;$E769)-SUMIFS(TblApplications[CPU IKS libérable (vCPU)],TblApplications[Cluster IKS source],$F769,TblApplications[Action],"À décommissionner",TblApplications[Mois lib (calc)],"&lt;="&amp;$E769)))))</f>
        <v>369.23076923076923</v>
      </c>
      <c r="Y769" s="19">
        <f>IF($D769&lt;&gt;1,"",IF($G769="ROKS",$S769,IF($AI769=1,0,MAX($O769,$M769-SUMIFS(TblApplications[RAM IKS libérable (Go)],TblApplications[Cluster IKS source],$F769,TblApplications[Action],"À migrer",TblApplications[Mois prov (calc)],"&lt;="&amp;$E769)-SUMIFS(TblApplications[RAM IKS libérable (Go)],TblApplications[Cluster IKS source],$F769,TblApplications[Action],"À décommissionner",TblApplications[Mois lib (calc)],"&lt;="&amp;$E769)))))</f>
        <v>1555.4430379746836</v>
      </c>
      <c r="Z769" s="19">
        <f t="shared" si="196"/>
        <v>13</v>
      </c>
      <c r="AA769" s="73">
        <f t="shared" si="197"/>
        <v>13806</v>
      </c>
      <c r="AB769" s="19">
        <f t="shared" si="198"/>
        <v>15</v>
      </c>
      <c r="AC769" s="73">
        <f t="shared" si="199"/>
        <v>15930</v>
      </c>
      <c r="AD769" s="19">
        <f t="shared" si="200"/>
        <v>0</v>
      </c>
      <c r="AE769" s="19">
        <f t="shared" si="201"/>
        <v>0</v>
      </c>
      <c r="AF769" s="19" t="str">
        <f>IF($D769&lt;&gt;1,"",IF(INDEX(TblClusters[Environnement],$B769)="","(vide)",INDEX(TblClusters[Environnement],$B769)))</f>
        <v>PRD</v>
      </c>
      <c r="AG769" s="19">
        <f t="shared" si="202"/>
        <v>672</v>
      </c>
      <c r="AH769" s="19">
        <f t="shared" si="203"/>
        <v>23.705357142857142</v>
      </c>
      <c r="AI769" s="19">
        <f>IF($D769&lt;&gt;1,"",IF(AND($G769="IKS",ISNUMBER(INDEX(TblClusters[Fermeture retenue],$B769))),IF($E769&gt;=INDEX(TblClusters[Fermeture retenue],$B769),1,0),0))</f>
        <v>0</v>
      </c>
    </row>
    <row r="770" spans="1:35" x14ac:dyDescent="0.2">
      <c r="A770" s="19">
        <v>765</v>
      </c>
      <c r="B770" s="19">
        <f t="shared" si="187"/>
        <v>22</v>
      </c>
      <c r="C770" s="19">
        <f t="shared" si="188"/>
        <v>9</v>
      </c>
      <c r="D770" s="19">
        <f>IF($C770&gt;p_horizon,0,IFERROR(IF(AND(INDEX(TblClusters[Cluster],$B770)&lt;&gt;"",ISNUMBER(INDEX(TblClusters[CPU initial (vCPU)],$B770)),ISNUMBER(INDEX(TblClusters[CPU min (vCPU)],$B770)),OR(INDEX(TblClusters[Plateforme],$B770)="IKS",INDEX(TblClusters[Plateforme],$B770)="ROKS")),1,0),0))</f>
        <v>1</v>
      </c>
      <c r="E770" s="72">
        <f t="shared" si="189"/>
        <v>46539</v>
      </c>
      <c r="F770" s="19" t="str">
        <f>IF($D770=1,INDEX(TblClusters[Cluster],$B770),"")</f>
        <v>ku002i000249</v>
      </c>
      <c r="G770" s="19" t="str">
        <f>IF($D770=1,INDEX(TblClusters[Plateforme],$B770),"")</f>
        <v>IKS</v>
      </c>
      <c r="H770" s="19">
        <f>IF($D770=1,INDEX(TblClusters[vCPU par nœud],$B770),"")</f>
        <v>32</v>
      </c>
      <c r="I770" s="19">
        <f>IF($D770=1,INDEX(TblClusters[RAM par nœud (Go)],$B770),"")</f>
        <v>128</v>
      </c>
      <c r="J770" s="19">
        <f>IF($D770=1,INDEX(TblClusters[Workers min],$B770),"")</f>
        <v>3</v>
      </c>
      <c r="K770" s="73">
        <f>IF($D770=1,INDEX(TblClusters[Tarif par nœud],$B770),"")</f>
        <v>1062</v>
      </c>
      <c r="L770" s="19">
        <f>IF($D770=1,INDEX(TblClusters[CPU initial (vCPU)],$B770),"")</f>
        <v>480</v>
      </c>
      <c r="M770" s="19">
        <f>IF($D770=1,INDEX(TblClusters[RAM initiale (Go)],$B770),"")</f>
        <v>1920</v>
      </c>
      <c r="N770" s="19">
        <f>IF($D770=1,INDEX(TblClusters[CPU min (vCPU)],$B770),"")</f>
        <v>96</v>
      </c>
      <c r="O770" s="19">
        <f>IF($D770=1,INDEX(TblClusters[RAM min (Go)],$B770),"")</f>
        <v>384</v>
      </c>
      <c r="P770" s="19">
        <f>IF($D770&lt;&gt;1,"",IF($G770="ROKS",SUMIFS(TblApplications[Besoin ROKS CPU (vCPU)],TblApplications[Cluster ROKS cible],$F770,TblApplications[Action],"À migrer",TblApplications[Déjà incluse ROKS],"Non",TblApplications[Mois prov (calc)],"&lt;="&amp;$E770),SUMIFS(TblApplications[CPU IKS libérable (vCPU)],TblApplications[Cluster IKS source],$F770,TblApplications[Mois lib (calc)],"&lt;="&amp;$E770)))</f>
        <v>184.61538461538461</v>
      </c>
      <c r="Q770" s="19">
        <f>IF($D770&lt;&gt;1,"",IF($G770="ROKS",SUMIFS(TblApplications[Besoin ROKS RAM (Go)],TblApplications[Cluster ROKS cible],$F770,TblApplications[Action],"À migrer",TblApplications[Déjà incluse ROKS],"Non",TblApplications[Mois prov (calc)],"&lt;="&amp;$E770),SUMIFS(TblApplications[RAM IKS libérable (Go)],TblApplications[Cluster IKS source],$F770,TblApplications[Mois lib (calc)],"&lt;="&amp;$E770)))</f>
        <v>729.11392405063293</v>
      </c>
      <c r="R770" s="19">
        <f t="shared" si="190"/>
        <v>295.38461538461536</v>
      </c>
      <c r="S770" s="19">
        <f t="shared" si="191"/>
        <v>1190.8860759493671</v>
      </c>
      <c r="T770" s="19">
        <f t="shared" si="192"/>
        <v>10</v>
      </c>
      <c r="U770" s="19">
        <f t="shared" si="193"/>
        <v>320</v>
      </c>
      <c r="V770" s="19">
        <f t="shared" si="194"/>
        <v>1280</v>
      </c>
      <c r="W770" s="73">
        <f t="shared" si="195"/>
        <v>10620</v>
      </c>
      <c r="X770" s="19">
        <f>IF($D770&lt;&gt;1,"",IF($G770="ROKS",$R770,IF($AI770=1,0,MAX($N770,$L770-SUMIFS(TblApplications[CPU IKS libérable (vCPU)],TblApplications[Cluster IKS source],$F770,TblApplications[Action],"À migrer",TblApplications[Mois prov (calc)],"&lt;="&amp;$E770)-SUMIFS(TblApplications[CPU IKS libérable (vCPU)],TblApplications[Cluster IKS source],$F770,TblApplications[Action],"À décommissionner",TblApplications[Mois lib (calc)],"&lt;="&amp;$E770)))))</f>
        <v>184.61538461538461</v>
      </c>
      <c r="Y770" s="19">
        <f>IF($D770&lt;&gt;1,"",IF($G770="ROKS",$S770,IF($AI770=1,0,MAX($O770,$M770-SUMIFS(TblApplications[RAM IKS libérable (Go)],TblApplications[Cluster IKS source],$F770,TblApplications[Action],"À migrer",TblApplications[Mois prov (calc)],"&lt;="&amp;$E770)-SUMIFS(TblApplications[RAM IKS libérable (Go)],TblApplications[Cluster IKS source],$F770,TblApplications[Action],"À décommissionner",TblApplications[Mois lib (calc)],"&lt;="&amp;$E770)))))</f>
        <v>826.32911392405072</v>
      </c>
      <c r="Z770" s="19">
        <f t="shared" si="196"/>
        <v>7</v>
      </c>
      <c r="AA770" s="73">
        <f t="shared" si="197"/>
        <v>7434</v>
      </c>
      <c r="AB770" s="19">
        <f t="shared" si="198"/>
        <v>15</v>
      </c>
      <c r="AC770" s="73">
        <f t="shared" si="199"/>
        <v>15930</v>
      </c>
      <c r="AD770" s="19">
        <f t="shared" si="200"/>
        <v>0</v>
      </c>
      <c r="AE770" s="19">
        <f t="shared" si="201"/>
        <v>0</v>
      </c>
      <c r="AF770" s="19" t="str">
        <f>IF($D770&lt;&gt;1,"",IF(INDEX(TblClusters[Environnement],$B770)="","(vide)",INDEX(TblClusters[Environnement],$B770)))</f>
        <v>PRD</v>
      </c>
      <c r="AG770" s="19">
        <f t="shared" si="202"/>
        <v>414.47322297955208</v>
      </c>
      <c r="AH770" s="19">
        <f t="shared" si="203"/>
        <v>25.622885656292286</v>
      </c>
      <c r="AI770" s="19">
        <f>IF($D770&lt;&gt;1,"",IF(AND($G770="IKS",ISNUMBER(INDEX(TblClusters[Fermeture retenue],$B770))),IF($E770&gt;=INDEX(TblClusters[Fermeture retenue],$B770),1,0),0))</f>
        <v>0</v>
      </c>
    </row>
    <row r="771" spans="1:35" x14ac:dyDescent="0.2">
      <c r="A771" s="19">
        <v>766</v>
      </c>
      <c r="B771" s="19">
        <f t="shared" si="187"/>
        <v>22</v>
      </c>
      <c r="C771" s="19">
        <f t="shared" si="188"/>
        <v>10</v>
      </c>
      <c r="D771" s="19">
        <f>IF($C771&gt;p_horizon,0,IFERROR(IF(AND(INDEX(TblClusters[Cluster],$B771)&lt;&gt;"",ISNUMBER(INDEX(TblClusters[CPU initial (vCPU)],$B771)),ISNUMBER(INDEX(TblClusters[CPU min (vCPU)],$B771)),OR(INDEX(TblClusters[Plateforme],$B771)="IKS",INDEX(TblClusters[Plateforme],$B771)="ROKS")),1,0),0))</f>
        <v>1</v>
      </c>
      <c r="E771" s="72">
        <f t="shared" si="189"/>
        <v>46569</v>
      </c>
      <c r="F771" s="19" t="str">
        <f>IF($D771=1,INDEX(TblClusters[Cluster],$B771),"")</f>
        <v>ku002i000249</v>
      </c>
      <c r="G771" s="19" t="str">
        <f>IF($D771=1,INDEX(TblClusters[Plateforme],$B771),"")</f>
        <v>IKS</v>
      </c>
      <c r="H771" s="19">
        <f>IF($D771=1,INDEX(TblClusters[vCPU par nœud],$B771),"")</f>
        <v>32</v>
      </c>
      <c r="I771" s="19">
        <f>IF($D771=1,INDEX(TblClusters[RAM par nœud (Go)],$B771),"")</f>
        <v>128</v>
      </c>
      <c r="J771" s="19">
        <f>IF($D771=1,INDEX(TblClusters[Workers min],$B771),"")</f>
        <v>3</v>
      </c>
      <c r="K771" s="73">
        <f>IF($D771=1,INDEX(TblClusters[Tarif par nœud],$B771),"")</f>
        <v>1062</v>
      </c>
      <c r="L771" s="19">
        <f>IF($D771=1,INDEX(TblClusters[CPU initial (vCPU)],$B771),"")</f>
        <v>480</v>
      </c>
      <c r="M771" s="19">
        <f>IF($D771=1,INDEX(TblClusters[RAM initiale (Go)],$B771),"")</f>
        <v>1920</v>
      </c>
      <c r="N771" s="19">
        <f>IF($D771=1,INDEX(TblClusters[CPU min (vCPU)],$B771),"")</f>
        <v>96</v>
      </c>
      <c r="O771" s="19">
        <f>IF($D771=1,INDEX(TblClusters[RAM min (Go)],$B771),"")</f>
        <v>384</v>
      </c>
      <c r="P771" s="19">
        <f>IF($D771&lt;&gt;1,"",IF($G771="ROKS",SUMIFS(TblApplications[Besoin ROKS CPU (vCPU)],TblApplications[Cluster ROKS cible],$F771,TblApplications[Action],"À migrer",TblApplications[Déjà incluse ROKS],"Non",TblApplications[Mois prov (calc)],"&lt;="&amp;$E771),SUMIFS(TblApplications[CPU IKS libérable (vCPU)],TblApplications[Cluster IKS source],$F771,TblApplications[Mois lib (calc)],"&lt;="&amp;$E771)))</f>
        <v>295.38461538461536</v>
      </c>
      <c r="Q771" s="19">
        <f>IF($D771&lt;&gt;1,"",IF($G771="ROKS",SUMIFS(TblApplications[Besoin ROKS RAM (Go)],TblApplications[Cluster ROKS cible],$F771,TblApplications[Action],"À migrer",TblApplications[Déjà incluse ROKS],"Non",TblApplications[Mois prov (calc)],"&lt;="&amp;$E771),SUMIFS(TblApplications[RAM IKS libérable (Go)],TblApplications[Cluster IKS source],$F771,TblApplications[Mois lib (calc)],"&lt;="&amp;$E771)))</f>
        <v>1093.6708860759495</v>
      </c>
      <c r="R771" s="19">
        <f t="shared" si="190"/>
        <v>184.61538461538464</v>
      </c>
      <c r="S771" s="19">
        <f t="shared" si="191"/>
        <v>826.32911392405049</v>
      </c>
      <c r="T771" s="19">
        <f t="shared" si="192"/>
        <v>7</v>
      </c>
      <c r="U771" s="19">
        <f t="shared" si="193"/>
        <v>224</v>
      </c>
      <c r="V771" s="19">
        <f t="shared" si="194"/>
        <v>896</v>
      </c>
      <c r="W771" s="73">
        <f t="shared" si="195"/>
        <v>7434</v>
      </c>
      <c r="X771" s="19">
        <f>IF($D771&lt;&gt;1,"",IF($G771="ROKS",$R771,IF($AI771=1,0,MAX($N771,$L771-SUMIFS(TblApplications[CPU IKS libérable (vCPU)],TblApplications[Cluster IKS source],$F771,TblApplications[Action],"À migrer",TblApplications[Mois prov (calc)],"&lt;="&amp;$E771)-SUMIFS(TblApplications[CPU IKS libérable (vCPU)],TblApplications[Cluster IKS source],$F771,TblApplications[Action],"À décommissionner",TblApplications[Mois lib (calc)],"&lt;="&amp;$E771)))))</f>
        <v>184.61538461538461</v>
      </c>
      <c r="Y771" s="19">
        <f>IF($D771&lt;&gt;1,"",IF($G771="ROKS",$S771,IF($AI771=1,0,MAX($O771,$M771-SUMIFS(TblApplications[RAM IKS libérable (Go)],TblApplications[Cluster IKS source],$F771,TblApplications[Action],"À migrer",TblApplications[Mois prov (calc)],"&lt;="&amp;$E771)-SUMIFS(TblApplications[RAM IKS libérable (Go)],TblApplications[Cluster IKS source],$F771,TblApplications[Action],"À décommissionner",TblApplications[Mois lib (calc)],"&lt;="&amp;$E771)))))</f>
        <v>826.32911392405072</v>
      </c>
      <c r="Z771" s="19">
        <f t="shared" si="196"/>
        <v>7</v>
      </c>
      <c r="AA771" s="73">
        <f t="shared" si="197"/>
        <v>7434</v>
      </c>
      <c r="AB771" s="19">
        <f t="shared" si="198"/>
        <v>15</v>
      </c>
      <c r="AC771" s="73">
        <f t="shared" si="199"/>
        <v>15930</v>
      </c>
      <c r="AD771" s="19">
        <f t="shared" si="200"/>
        <v>0</v>
      </c>
      <c r="AE771" s="19">
        <f t="shared" si="201"/>
        <v>0</v>
      </c>
      <c r="AF771" s="19" t="str">
        <f>IF($D771&lt;&gt;1,"",IF(INDEX(TblClusters[Environnement],$B771)="","(vide)",INDEX(TblClusters[Environnement],$B771)))</f>
        <v>PRD</v>
      </c>
      <c r="AG771" s="19">
        <f t="shared" si="202"/>
        <v>267.24829600778969</v>
      </c>
      <c r="AH771" s="19">
        <f t="shared" si="203"/>
        <v>27.816828436516264</v>
      </c>
      <c r="AI771" s="19">
        <f>IF($D771&lt;&gt;1,"",IF(AND($G771="IKS",ISNUMBER(INDEX(TblClusters[Fermeture retenue],$B771))),IF($E771&gt;=INDEX(TblClusters[Fermeture retenue],$B771),1,0),0))</f>
        <v>0</v>
      </c>
    </row>
    <row r="772" spans="1:35" x14ac:dyDescent="0.2">
      <c r="A772" s="19">
        <v>767</v>
      </c>
      <c r="B772" s="19">
        <f t="shared" si="187"/>
        <v>22</v>
      </c>
      <c r="C772" s="19">
        <f t="shared" si="188"/>
        <v>11</v>
      </c>
      <c r="D772" s="19">
        <f>IF($C772&gt;p_horizon,0,IFERROR(IF(AND(INDEX(TblClusters[Cluster],$B772)&lt;&gt;"",ISNUMBER(INDEX(TblClusters[CPU initial (vCPU)],$B772)),ISNUMBER(INDEX(TblClusters[CPU min (vCPU)],$B772)),OR(INDEX(TblClusters[Plateforme],$B772)="IKS",INDEX(TblClusters[Plateforme],$B772)="ROKS")),1,0),0))</f>
        <v>1</v>
      </c>
      <c r="E772" s="72">
        <f t="shared" si="189"/>
        <v>46600</v>
      </c>
      <c r="F772" s="19" t="str">
        <f>IF($D772=1,INDEX(TblClusters[Cluster],$B772),"")</f>
        <v>ku002i000249</v>
      </c>
      <c r="G772" s="19" t="str">
        <f>IF($D772=1,INDEX(TblClusters[Plateforme],$B772),"")</f>
        <v>IKS</v>
      </c>
      <c r="H772" s="19">
        <f>IF($D772=1,INDEX(TblClusters[vCPU par nœud],$B772),"")</f>
        <v>32</v>
      </c>
      <c r="I772" s="19">
        <f>IF($D772=1,INDEX(TblClusters[RAM par nœud (Go)],$B772),"")</f>
        <v>128</v>
      </c>
      <c r="J772" s="19">
        <f>IF($D772=1,INDEX(TblClusters[Workers min],$B772),"")</f>
        <v>3</v>
      </c>
      <c r="K772" s="73">
        <f>IF($D772=1,INDEX(TblClusters[Tarif par nœud],$B772),"")</f>
        <v>1062</v>
      </c>
      <c r="L772" s="19">
        <f>IF($D772=1,INDEX(TblClusters[CPU initial (vCPU)],$B772),"")</f>
        <v>480</v>
      </c>
      <c r="M772" s="19">
        <f>IF($D772=1,INDEX(TblClusters[RAM initiale (Go)],$B772),"")</f>
        <v>1920</v>
      </c>
      <c r="N772" s="19">
        <f>IF($D772=1,INDEX(TblClusters[CPU min (vCPU)],$B772),"")</f>
        <v>96</v>
      </c>
      <c r="O772" s="19">
        <f>IF($D772=1,INDEX(TblClusters[RAM min (Go)],$B772),"")</f>
        <v>384</v>
      </c>
      <c r="P772" s="19">
        <f>IF($D772&lt;&gt;1,"",IF($G772="ROKS",SUMIFS(TblApplications[Besoin ROKS CPU (vCPU)],TblApplications[Cluster ROKS cible],$F772,TblApplications[Action],"À migrer",TblApplications[Déjà incluse ROKS],"Non",TblApplications[Mois prov (calc)],"&lt;="&amp;$E772),SUMIFS(TblApplications[CPU IKS libérable (vCPU)],TblApplications[Cluster IKS source],$F772,TblApplications[Mois lib (calc)],"&lt;="&amp;$E772)))</f>
        <v>295.38461538461536</v>
      </c>
      <c r="Q772" s="19">
        <f>IF($D772&lt;&gt;1,"",IF($G772="ROKS",SUMIFS(TblApplications[Besoin ROKS RAM (Go)],TblApplications[Cluster ROKS cible],$F772,TblApplications[Action],"À migrer",TblApplications[Déjà incluse ROKS],"Non",TblApplications[Mois prov (calc)],"&lt;="&amp;$E772),SUMIFS(TblApplications[RAM IKS libérable (Go)],TblApplications[Cluster IKS source],$F772,TblApplications[Mois lib (calc)],"&lt;="&amp;$E772)))</f>
        <v>1093.6708860759495</v>
      </c>
      <c r="R772" s="19">
        <f t="shared" si="190"/>
        <v>184.61538461538464</v>
      </c>
      <c r="S772" s="19">
        <f t="shared" si="191"/>
        <v>826.32911392405049</v>
      </c>
      <c r="T772" s="19">
        <f t="shared" si="192"/>
        <v>7</v>
      </c>
      <c r="U772" s="19">
        <f t="shared" si="193"/>
        <v>224</v>
      </c>
      <c r="V772" s="19">
        <f t="shared" si="194"/>
        <v>896</v>
      </c>
      <c r="W772" s="73">
        <f t="shared" si="195"/>
        <v>7434</v>
      </c>
      <c r="X772" s="19">
        <f>IF($D772&lt;&gt;1,"",IF($G772="ROKS",$R772,IF($AI772=1,0,MAX($N772,$L772-SUMIFS(TblApplications[CPU IKS libérable (vCPU)],TblApplications[Cluster IKS source],$F772,TblApplications[Action],"À migrer",TblApplications[Mois prov (calc)],"&lt;="&amp;$E772)-SUMIFS(TblApplications[CPU IKS libérable (vCPU)],TblApplications[Cluster IKS source],$F772,TblApplications[Action],"À décommissionner",TblApplications[Mois lib (calc)],"&lt;="&amp;$E772)))))</f>
        <v>184.61538461538461</v>
      </c>
      <c r="Y772" s="19">
        <f>IF($D772&lt;&gt;1,"",IF($G772="ROKS",$S772,IF($AI772=1,0,MAX($O772,$M772-SUMIFS(TblApplications[RAM IKS libérable (Go)],TblApplications[Cluster IKS source],$F772,TblApplications[Action],"À migrer",TblApplications[Mois prov (calc)],"&lt;="&amp;$E772)-SUMIFS(TblApplications[RAM IKS libérable (Go)],TblApplications[Cluster IKS source],$F772,TblApplications[Action],"À décommissionner",TblApplications[Mois lib (calc)],"&lt;="&amp;$E772)))))</f>
        <v>826.32911392405072</v>
      </c>
      <c r="Z772" s="19">
        <f t="shared" si="196"/>
        <v>7</v>
      </c>
      <c r="AA772" s="73">
        <f t="shared" si="197"/>
        <v>7434</v>
      </c>
      <c r="AB772" s="19">
        <f t="shared" si="198"/>
        <v>15</v>
      </c>
      <c r="AC772" s="73">
        <f t="shared" si="199"/>
        <v>15930</v>
      </c>
      <c r="AD772" s="19">
        <f t="shared" si="200"/>
        <v>0</v>
      </c>
      <c r="AE772" s="19">
        <f t="shared" si="201"/>
        <v>0</v>
      </c>
      <c r="AF772" s="19" t="str">
        <f>IF($D772&lt;&gt;1,"",IF(INDEX(TblClusters[Environnement],$B772)="","(vide)",INDEX(TblClusters[Environnement],$B772)))</f>
        <v>PRD</v>
      </c>
      <c r="AG772" s="19">
        <f t="shared" si="202"/>
        <v>267.24829600778969</v>
      </c>
      <c r="AH772" s="19">
        <f t="shared" si="203"/>
        <v>27.816828436516264</v>
      </c>
      <c r="AI772" s="19">
        <f>IF($D772&lt;&gt;1,"",IF(AND($G772="IKS",ISNUMBER(INDEX(TblClusters[Fermeture retenue],$B772))),IF($E772&gt;=INDEX(TblClusters[Fermeture retenue],$B772),1,0),0))</f>
        <v>0</v>
      </c>
    </row>
    <row r="773" spans="1:35" x14ac:dyDescent="0.2">
      <c r="A773" s="19">
        <v>768</v>
      </c>
      <c r="B773" s="19">
        <f t="shared" si="187"/>
        <v>22</v>
      </c>
      <c r="C773" s="19">
        <f t="shared" si="188"/>
        <v>12</v>
      </c>
      <c r="D773" s="19">
        <f>IF($C773&gt;p_horizon,0,IFERROR(IF(AND(INDEX(TblClusters[Cluster],$B773)&lt;&gt;"",ISNUMBER(INDEX(TblClusters[CPU initial (vCPU)],$B773)),ISNUMBER(INDEX(TblClusters[CPU min (vCPU)],$B773)),OR(INDEX(TblClusters[Plateforme],$B773)="IKS",INDEX(TblClusters[Plateforme],$B773)="ROKS")),1,0),0))</f>
        <v>1</v>
      </c>
      <c r="E773" s="72">
        <f t="shared" si="189"/>
        <v>46631</v>
      </c>
      <c r="F773" s="19" t="str">
        <f>IF($D773=1,INDEX(TblClusters[Cluster],$B773),"")</f>
        <v>ku002i000249</v>
      </c>
      <c r="G773" s="19" t="str">
        <f>IF($D773=1,INDEX(TblClusters[Plateforme],$B773),"")</f>
        <v>IKS</v>
      </c>
      <c r="H773" s="19">
        <f>IF($D773=1,INDEX(TblClusters[vCPU par nœud],$B773),"")</f>
        <v>32</v>
      </c>
      <c r="I773" s="19">
        <f>IF($D773=1,INDEX(TblClusters[RAM par nœud (Go)],$B773),"")</f>
        <v>128</v>
      </c>
      <c r="J773" s="19">
        <f>IF($D773=1,INDEX(TblClusters[Workers min],$B773),"")</f>
        <v>3</v>
      </c>
      <c r="K773" s="73">
        <f>IF($D773=1,INDEX(TblClusters[Tarif par nœud],$B773),"")</f>
        <v>1062</v>
      </c>
      <c r="L773" s="19">
        <f>IF($D773=1,INDEX(TblClusters[CPU initial (vCPU)],$B773),"")</f>
        <v>480</v>
      </c>
      <c r="M773" s="19">
        <f>IF($D773=1,INDEX(TblClusters[RAM initiale (Go)],$B773),"")</f>
        <v>1920</v>
      </c>
      <c r="N773" s="19">
        <f>IF($D773=1,INDEX(TblClusters[CPU min (vCPU)],$B773),"")</f>
        <v>96</v>
      </c>
      <c r="O773" s="19">
        <f>IF($D773=1,INDEX(TblClusters[RAM min (Go)],$B773),"")</f>
        <v>384</v>
      </c>
      <c r="P773" s="19">
        <f>IF($D773&lt;&gt;1,"",IF($G773="ROKS",SUMIFS(TblApplications[Besoin ROKS CPU (vCPU)],TblApplications[Cluster ROKS cible],$F773,TblApplications[Action],"À migrer",TblApplications[Déjà incluse ROKS],"Non",TblApplications[Mois prov (calc)],"&lt;="&amp;$E773),SUMIFS(TblApplications[CPU IKS libérable (vCPU)],TblApplications[Cluster IKS source],$F773,TblApplications[Mois lib (calc)],"&lt;="&amp;$E773)))</f>
        <v>295.38461538461536</v>
      </c>
      <c r="Q773" s="19">
        <f>IF($D773&lt;&gt;1,"",IF($G773="ROKS",SUMIFS(TblApplications[Besoin ROKS RAM (Go)],TblApplications[Cluster ROKS cible],$F773,TblApplications[Action],"À migrer",TblApplications[Déjà incluse ROKS],"Non",TblApplications[Mois prov (calc)],"&lt;="&amp;$E773),SUMIFS(TblApplications[RAM IKS libérable (Go)],TblApplications[Cluster IKS source],$F773,TblApplications[Mois lib (calc)],"&lt;="&amp;$E773)))</f>
        <v>1093.6708860759495</v>
      </c>
      <c r="R773" s="19">
        <f t="shared" si="190"/>
        <v>184.61538461538464</v>
      </c>
      <c r="S773" s="19">
        <f t="shared" si="191"/>
        <v>826.32911392405049</v>
      </c>
      <c r="T773" s="19">
        <f t="shared" si="192"/>
        <v>7</v>
      </c>
      <c r="U773" s="19">
        <f t="shared" si="193"/>
        <v>224</v>
      </c>
      <c r="V773" s="19">
        <f t="shared" si="194"/>
        <v>896</v>
      </c>
      <c r="W773" s="73">
        <f t="shared" si="195"/>
        <v>7434</v>
      </c>
      <c r="X773" s="19">
        <f>IF($D773&lt;&gt;1,"",IF($G773="ROKS",$R773,IF($AI773=1,0,MAX($N773,$L773-SUMIFS(TblApplications[CPU IKS libérable (vCPU)],TblApplications[Cluster IKS source],$F773,TblApplications[Action],"À migrer",TblApplications[Mois prov (calc)],"&lt;="&amp;$E773)-SUMIFS(TblApplications[CPU IKS libérable (vCPU)],TblApplications[Cluster IKS source],$F773,TblApplications[Action],"À décommissionner",TblApplications[Mois lib (calc)],"&lt;="&amp;$E773)))))</f>
        <v>184.61538461538461</v>
      </c>
      <c r="Y773" s="19">
        <f>IF($D773&lt;&gt;1,"",IF($G773="ROKS",$S773,IF($AI773=1,0,MAX($O773,$M773-SUMIFS(TblApplications[RAM IKS libérable (Go)],TblApplications[Cluster IKS source],$F773,TblApplications[Action],"À migrer",TblApplications[Mois prov (calc)],"&lt;="&amp;$E773)-SUMIFS(TblApplications[RAM IKS libérable (Go)],TblApplications[Cluster IKS source],$F773,TblApplications[Action],"À décommissionner",TblApplications[Mois lib (calc)],"&lt;="&amp;$E773)))))</f>
        <v>826.32911392405072</v>
      </c>
      <c r="Z773" s="19">
        <f t="shared" si="196"/>
        <v>7</v>
      </c>
      <c r="AA773" s="73">
        <f t="shared" si="197"/>
        <v>7434</v>
      </c>
      <c r="AB773" s="19">
        <f t="shared" si="198"/>
        <v>15</v>
      </c>
      <c r="AC773" s="73">
        <f t="shared" si="199"/>
        <v>15930</v>
      </c>
      <c r="AD773" s="19">
        <f t="shared" si="200"/>
        <v>0</v>
      </c>
      <c r="AE773" s="19">
        <f t="shared" si="201"/>
        <v>0</v>
      </c>
      <c r="AF773" s="19" t="str">
        <f>IF($D773&lt;&gt;1,"",IF(INDEX(TblClusters[Environnement],$B773)="","(vide)",INDEX(TblClusters[Environnement],$B773)))</f>
        <v>PRD</v>
      </c>
      <c r="AG773" s="19">
        <f t="shared" si="202"/>
        <v>267.24829600778969</v>
      </c>
      <c r="AH773" s="19">
        <f t="shared" si="203"/>
        <v>27.816828436516264</v>
      </c>
      <c r="AI773" s="19">
        <f>IF($D773&lt;&gt;1,"",IF(AND($G773="IKS",ISNUMBER(INDEX(TblClusters[Fermeture retenue],$B773))),IF($E773&gt;=INDEX(TblClusters[Fermeture retenue],$B773),1,0),0))</f>
        <v>0</v>
      </c>
    </row>
    <row r="774" spans="1:35" x14ac:dyDescent="0.2">
      <c r="A774" s="19">
        <v>769</v>
      </c>
      <c r="B774" s="19">
        <f t="shared" ref="B774:B837" si="204">INT(($A774-1)/36)+1</f>
        <v>22</v>
      </c>
      <c r="C774" s="19">
        <f t="shared" ref="C774:C837" si="205">MOD($A774-1,36)+1</f>
        <v>13</v>
      </c>
      <c r="D774" s="19">
        <f>IF($C774&gt;p_horizon,0,IFERROR(IF(AND(INDEX(TblClusters[Cluster],$B774)&lt;&gt;"",ISNUMBER(INDEX(TblClusters[CPU initial (vCPU)],$B774)),ISNUMBER(INDEX(TblClusters[CPU min (vCPU)],$B774)),OR(INDEX(TblClusters[Plateforme],$B774)="IKS",INDEX(TblClusters[Plateforme],$B774)="ROKS")),1,0),0))</f>
        <v>1</v>
      </c>
      <c r="E774" s="72">
        <f t="shared" ref="E774:E837" si="206">IF($D774=1,EDATE(p_debut,$C774-1),"")</f>
        <v>46661</v>
      </c>
      <c r="F774" s="19" t="str">
        <f>IF($D774=1,INDEX(TblClusters[Cluster],$B774),"")</f>
        <v>ku002i000249</v>
      </c>
      <c r="G774" s="19" t="str">
        <f>IF($D774=1,INDEX(TblClusters[Plateforme],$B774),"")</f>
        <v>IKS</v>
      </c>
      <c r="H774" s="19">
        <f>IF($D774=1,INDEX(TblClusters[vCPU par nœud],$B774),"")</f>
        <v>32</v>
      </c>
      <c r="I774" s="19">
        <f>IF($D774=1,INDEX(TblClusters[RAM par nœud (Go)],$B774),"")</f>
        <v>128</v>
      </c>
      <c r="J774" s="19">
        <f>IF($D774=1,INDEX(TblClusters[Workers min],$B774),"")</f>
        <v>3</v>
      </c>
      <c r="K774" s="73">
        <f>IF($D774=1,INDEX(TblClusters[Tarif par nœud],$B774),"")</f>
        <v>1062</v>
      </c>
      <c r="L774" s="19">
        <f>IF($D774=1,INDEX(TblClusters[CPU initial (vCPU)],$B774),"")</f>
        <v>480</v>
      </c>
      <c r="M774" s="19">
        <f>IF($D774=1,INDEX(TblClusters[RAM initiale (Go)],$B774),"")</f>
        <v>1920</v>
      </c>
      <c r="N774" s="19">
        <f>IF($D774=1,INDEX(TblClusters[CPU min (vCPU)],$B774),"")</f>
        <v>96</v>
      </c>
      <c r="O774" s="19">
        <f>IF($D774=1,INDEX(TblClusters[RAM min (Go)],$B774),"")</f>
        <v>384</v>
      </c>
      <c r="P774" s="19">
        <f>IF($D774&lt;&gt;1,"",IF($G774="ROKS",SUMIFS(TblApplications[Besoin ROKS CPU (vCPU)],TblApplications[Cluster ROKS cible],$F774,TblApplications[Action],"À migrer",TblApplications[Déjà incluse ROKS],"Non",TblApplications[Mois prov (calc)],"&lt;="&amp;$E774),SUMIFS(TblApplications[CPU IKS libérable (vCPU)],TblApplications[Cluster IKS source],$F774,TblApplications[Mois lib (calc)],"&lt;="&amp;$E774)))</f>
        <v>295.38461538461536</v>
      </c>
      <c r="Q774" s="19">
        <f>IF($D774&lt;&gt;1,"",IF($G774="ROKS",SUMIFS(TblApplications[Besoin ROKS RAM (Go)],TblApplications[Cluster ROKS cible],$F774,TblApplications[Action],"À migrer",TblApplications[Déjà incluse ROKS],"Non",TblApplications[Mois prov (calc)],"&lt;="&amp;$E774),SUMIFS(TblApplications[RAM IKS libérable (Go)],TblApplications[Cluster IKS source],$F774,TblApplications[Mois lib (calc)],"&lt;="&amp;$E774)))</f>
        <v>1093.6708860759495</v>
      </c>
      <c r="R774" s="19">
        <f t="shared" ref="R774:R837" si="207">IF($D774&lt;&gt;1,"",IF($G774="ROKS",$L774+$P774,IF($AI774=1,0,MAX($N774,$L774-$P774))))</f>
        <v>184.61538461538464</v>
      </c>
      <c r="S774" s="19">
        <f t="shared" ref="S774:S837" si="208">IF($D774&lt;&gt;1,"",IF($G774="ROKS",$M774+$Q774,IF($AI774=1,0,MAX($O774,$M774-$Q774))))</f>
        <v>826.32911392405049</v>
      </c>
      <c r="T774" s="19">
        <f t="shared" ref="T774:T837" si="209">IF($D774&lt;&gt;1,"",IF($AI774=1,0,MAX($J774,ROUNDUP(MAX($R774/$H774,$S774/$I774),0))))</f>
        <v>7</v>
      </c>
      <c r="U774" s="19">
        <f t="shared" ref="U774:U837" si="210">IF($D774&lt;&gt;1,"",IF(p_mode="Nœud",$T774*$H774,$R774))</f>
        <v>224</v>
      </c>
      <c r="V774" s="19">
        <f t="shared" ref="V774:V837" si="211">IF($D774&lt;&gt;1,"",IF(p_mode="Nœud",$T774*$I774,$S774))</f>
        <v>896</v>
      </c>
      <c r="W774" s="73">
        <f t="shared" ref="W774:W837" si="212">IF($D774&lt;&gt;1,"",IF(p_mode="Nœud",$T774*$K774,$R774*IF($G774="IKS",p_iks_cpu,p_roks_cpu)+$S774*IF($G774="IKS",p_iks_ram,p_roks_ram))*p_facteur)</f>
        <v>7434</v>
      </c>
      <c r="X774" s="19">
        <f>IF($D774&lt;&gt;1,"",IF($G774="ROKS",$R774,IF($AI774=1,0,MAX($N774,$L774-SUMIFS(TblApplications[CPU IKS libérable (vCPU)],TblApplications[Cluster IKS source],$F774,TblApplications[Action],"À migrer",TblApplications[Mois prov (calc)],"&lt;="&amp;$E774)-SUMIFS(TblApplications[CPU IKS libérable (vCPU)],TblApplications[Cluster IKS source],$F774,TblApplications[Action],"À décommissionner",TblApplications[Mois lib (calc)],"&lt;="&amp;$E774)))))</f>
        <v>184.61538461538461</v>
      </c>
      <c r="Y774" s="19">
        <f>IF($D774&lt;&gt;1,"",IF($G774="ROKS",$S774,IF($AI774=1,0,MAX($O774,$M774-SUMIFS(TblApplications[RAM IKS libérable (Go)],TblApplications[Cluster IKS source],$F774,TblApplications[Action],"À migrer",TblApplications[Mois prov (calc)],"&lt;="&amp;$E774)-SUMIFS(TblApplications[RAM IKS libérable (Go)],TblApplications[Cluster IKS source],$F774,TblApplications[Action],"À décommissionner",TblApplications[Mois lib (calc)],"&lt;="&amp;$E774)))))</f>
        <v>826.32911392405072</v>
      </c>
      <c r="Z774" s="19">
        <f t="shared" ref="Z774:Z837" si="213">IF($D774&lt;&gt;1,"",IF($AI774=1,0,MAX($J774,ROUNDUP(MAX($X774/$H774,$Y774/$I774),0))))</f>
        <v>7</v>
      </c>
      <c r="AA774" s="73">
        <f t="shared" ref="AA774:AA837" si="214">IF($D774&lt;&gt;1,"",IF(p_mode="Nœud",$Z774*$K774,$X774*IF($G774="IKS",p_iks_cpu,p_roks_cpu)+$Y774*IF($G774="IKS",p_iks_ram,p_roks_ram))*p_facteur)</f>
        <v>7434</v>
      </c>
      <c r="AB774" s="19">
        <f t="shared" ref="AB774:AB837" si="215">IF($D774&lt;&gt;1,"",MAX($J774,ROUNDUP(MAX($L774/$H774,$M774/$I774),0)))</f>
        <v>15</v>
      </c>
      <c r="AC774" s="73">
        <f t="shared" ref="AC774:AC837" si="216">IF($D774&lt;&gt;1,"",IF(p_mode="Nœud",$AB774*$K774,$L774*IF($G774="IKS",p_iks_cpu,p_roks_cpu)+$M774*IF($G774="IKS",p_iks_ram,p_roks_ram))*p_facteur)</f>
        <v>15930</v>
      </c>
      <c r="AD774" s="19">
        <f t="shared" ref="AD774:AD837" si="217">IF($D774&lt;&gt;1,"",IF(AND($G774="IKS",$AI774&lt;&gt;1,OR($L774-$P774&lt;$N774,$M774-$Q774&lt;$O774)),1,0))</f>
        <v>0</v>
      </c>
      <c r="AE774" s="19">
        <f t="shared" ref="AE774:AE837" si="218">IF($D774&lt;&gt;1,"",IF(AND($G774="ROKS",$T774&gt;p_maxworkers),1,0))</f>
        <v>0</v>
      </c>
      <c r="AF774" s="19" t="str">
        <f>IF($D774&lt;&gt;1,"",IF(INDEX(TblClusters[Environnement],$B774)="","(vide)",INDEX(TblClusters[Environnement],$B774)))</f>
        <v>PRD</v>
      </c>
      <c r="AG774" s="19">
        <f t="shared" ref="AG774:AG837" si="219">IF($D774&lt;&gt;1,"",$R774+p_poidsram*$S774)</f>
        <v>267.24829600778969</v>
      </c>
      <c r="AH774" s="19">
        <f t="shared" ref="AH774:AH837" si="220">IF($D774&lt;&gt;1,"",IFERROR($W774/$AG774,0))</f>
        <v>27.816828436516264</v>
      </c>
      <c r="AI774" s="19">
        <f>IF($D774&lt;&gt;1,"",IF(AND($G774="IKS",ISNUMBER(INDEX(TblClusters[Fermeture retenue],$B774))),IF($E774&gt;=INDEX(TblClusters[Fermeture retenue],$B774),1,0),0))</f>
        <v>0</v>
      </c>
    </row>
    <row r="775" spans="1:35" x14ac:dyDescent="0.2">
      <c r="A775" s="19">
        <v>770</v>
      </c>
      <c r="B775" s="19">
        <f t="shared" si="204"/>
        <v>22</v>
      </c>
      <c r="C775" s="19">
        <f t="shared" si="205"/>
        <v>14</v>
      </c>
      <c r="D775" s="19">
        <f>IF($C775&gt;p_horizon,0,IFERROR(IF(AND(INDEX(TblClusters[Cluster],$B775)&lt;&gt;"",ISNUMBER(INDEX(TblClusters[CPU initial (vCPU)],$B775)),ISNUMBER(INDEX(TblClusters[CPU min (vCPU)],$B775)),OR(INDEX(TblClusters[Plateforme],$B775)="IKS",INDEX(TblClusters[Plateforme],$B775)="ROKS")),1,0),0))</f>
        <v>1</v>
      </c>
      <c r="E775" s="72">
        <f t="shared" si="206"/>
        <v>46692</v>
      </c>
      <c r="F775" s="19" t="str">
        <f>IF($D775=1,INDEX(TblClusters[Cluster],$B775),"")</f>
        <v>ku002i000249</v>
      </c>
      <c r="G775" s="19" t="str">
        <f>IF($D775=1,INDEX(TblClusters[Plateforme],$B775),"")</f>
        <v>IKS</v>
      </c>
      <c r="H775" s="19">
        <f>IF($D775=1,INDEX(TblClusters[vCPU par nœud],$B775),"")</f>
        <v>32</v>
      </c>
      <c r="I775" s="19">
        <f>IF($D775=1,INDEX(TblClusters[RAM par nœud (Go)],$B775),"")</f>
        <v>128</v>
      </c>
      <c r="J775" s="19">
        <f>IF($D775=1,INDEX(TblClusters[Workers min],$B775),"")</f>
        <v>3</v>
      </c>
      <c r="K775" s="73">
        <f>IF($D775=1,INDEX(TblClusters[Tarif par nœud],$B775),"")</f>
        <v>1062</v>
      </c>
      <c r="L775" s="19">
        <f>IF($D775=1,INDEX(TblClusters[CPU initial (vCPU)],$B775),"")</f>
        <v>480</v>
      </c>
      <c r="M775" s="19">
        <f>IF($D775=1,INDEX(TblClusters[RAM initiale (Go)],$B775),"")</f>
        <v>1920</v>
      </c>
      <c r="N775" s="19">
        <f>IF($D775=1,INDEX(TblClusters[CPU min (vCPU)],$B775),"")</f>
        <v>96</v>
      </c>
      <c r="O775" s="19">
        <f>IF($D775=1,INDEX(TblClusters[RAM min (Go)],$B775),"")</f>
        <v>384</v>
      </c>
      <c r="P775" s="19">
        <f>IF($D775&lt;&gt;1,"",IF($G775="ROKS",SUMIFS(TblApplications[Besoin ROKS CPU (vCPU)],TblApplications[Cluster ROKS cible],$F775,TblApplications[Action],"À migrer",TblApplications[Déjà incluse ROKS],"Non",TblApplications[Mois prov (calc)],"&lt;="&amp;$E775),SUMIFS(TblApplications[CPU IKS libérable (vCPU)],TblApplications[Cluster IKS source],$F775,TblApplications[Mois lib (calc)],"&lt;="&amp;$E775)))</f>
        <v>295.38461538461536</v>
      </c>
      <c r="Q775" s="19">
        <f>IF($D775&lt;&gt;1,"",IF($G775="ROKS",SUMIFS(TblApplications[Besoin ROKS RAM (Go)],TblApplications[Cluster ROKS cible],$F775,TblApplications[Action],"À migrer",TblApplications[Déjà incluse ROKS],"Non",TblApplications[Mois prov (calc)],"&lt;="&amp;$E775),SUMIFS(TblApplications[RAM IKS libérable (Go)],TblApplications[Cluster IKS source],$F775,TblApplications[Mois lib (calc)],"&lt;="&amp;$E775)))</f>
        <v>1093.6708860759495</v>
      </c>
      <c r="R775" s="19">
        <f t="shared" si="207"/>
        <v>184.61538461538464</v>
      </c>
      <c r="S775" s="19">
        <f t="shared" si="208"/>
        <v>826.32911392405049</v>
      </c>
      <c r="T775" s="19">
        <f t="shared" si="209"/>
        <v>7</v>
      </c>
      <c r="U775" s="19">
        <f t="shared" si="210"/>
        <v>224</v>
      </c>
      <c r="V775" s="19">
        <f t="shared" si="211"/>
        <v>896</v>
      </c>
      <c r="W775" s="73">
        <f t="shared" si="212"/>
        <v>7434</v>
      </c>
      <c r="X775" s="19">
        <f>IF($D775&lt;&gt;1,"",IF($G775="ROKS",$R775,IF($AI775=1,0,MAX($N775,$L775-SUMIFS(TblApplications[CPU IKS libérable (vCPU)],TblApplications[Cluster IKS source],$F775,TblApplications[Action],"À migrer",TblApplications[Mois prov (calc)],"&lt;="&amp;$E775)-SUMIFS(TblApplications[CPU IKS libérable (vCPU)],TblApplications[Cluster IKS source],$F775,TblApplications[Action],"À décommissionner",TblApplications[Mois lib (calc)],"&lt;="&amp;$E775)))))</f>
        <v>184.61538461538461</v>
      </c>
      <c r="Y775" s="19">
        <f>IF($D775&lt;&gt;1,"",IF($G775="ROKS",$S775,IF($AI775=1,0,MAX($O775,$M775-SUMIFS(TblApplications[RAM IKS libérable (Go)],TblApplications[Cluster IKS source],$F775,TblApplications[Action],"À migrer",TblApplications[Mois prov (calc)],"&lt;="&amp;$E775)-SUMIFS(TblApplications[RAM IKS libérable (Go)],TblApplications[Cluster IKS source],$F775,TblApplications[Action],"À décommissionner",TblApplications[Mois lib (calc)],"&lt;="&amp;$E775)))))</f>
        <v>826.32911392405072</v>
      </c>
      <c r="Z775" s="19">
        <f t="shared" si="213"/>
        <v>7</v>
      </c>
      <c r="AA775" s="73">
        <f t="shared" si="214"/>
        <v>7434</v>
      </c>
      <c r="AB775" s="19">
        <f t="shared" si="215"/>
        <v>15</v>
      </c>
      <c r="AC775" s="73">
        <f t="shared" si="216"/>
        <v>15930</v>
      </c>
      <c r="AD775" s="19">
        <f t="shared" si="217"/>
        <v>0</v>
      </c>
      <c r="AE775" s="19">
        <f t="shared" si="218"/>
        <v>0</v>
      </c>
      <c r="AF775" s="19" t="str">
        <f>IF($D775&lt;&gt;1,"",IF(INDEX(TblClusters[Environnement],$B775)="","(vide)",INDEX(TblClusters[Environnement],$B775)))</f>
        <v>PRD</v>
      </c>
      <c r="AG775" s="19">
        <f t="shared" si="219"/>
        <v>267.24829600778969</v>
      </c>
      <c r="AH775" s="19">
        <f t="shared" si="220"/>
        <v>27.816828436516264</v>
      </c>
      <c r="AI775" s="19">
        <f>IF($D775&lt;&gt;1,"",IF(AND($G775="IKS",ISNUMBER(INDEX(TblClusters[Fermeture retenue],$B775))),IF($E775&gt;=INDEX(TblClusters[Fermeture retenue],$B775),1,0),0))</f>
        <v>0</v>
      </c>
    </row>
    <row r="776" spans="1:35" x14ac:dyDescent="0.2">
      <c r="A776" s="19">
        <v>771</v>
      </c>
      <c r="B776" s="19">
        <f t="shared" si="204"/>
        <v>22</v>
      </c>
      <c r="C776" s="19">
        <f t="shared" si="205"/>
        <v>15</v>
      </c>
      <c r="D776" s="19">
        <f>IF($C776&gt;p_horizon,0,IFERROR(IF(AND(INDEX(TblClusters[Cluster],$B776)&lt;&gt;"",ISNUMBER(INDEX(TblClusters[CPU initial (vCPU)],$B776)),ISNUMBER(INDEX(TblClusters[CPU min (vCPU)],$B776)),OR(INDEX(TblClusters[Plateforme],$B776)="IKS",INDEX(TblClusters[Plateforme],$B776)="ROKS")),1,0),0))</f>
        <v>1</v>
      </c>
      <c r="E776" s="72">
        <f t="shared" si="206"/>
        <v>46722</v>
      </c>
      <c r="F776" s="19" t="str">
        <f>IF($D776=1,INDEX(TblClusters[Cluster],$B776),"")</f>
        <v>ku002i000249</v>
      </c>
      <c r="G776" s="19" t="str">
        <f>IF($D776=1,INDEX(TblClusters[Plateforme],$B776),"")</f>
        <v>IKS</v>
      </c>
      <c r="H776" s="19">
        <f>IF($D776=1,INDEX(TblClusters[vCPU par nœud],$B776),"")</f>
        <v>32</v>
      </c>
      <c r="I776" s="19">
        <f>IF($D776=1,INDEX(TblClusters[RAM par nœud (Go)],$B776),"")</f>
        <v>128</v>
      </c>
      <c r="J776" s="19">
        <f>IF($D776=1,INDEX(TblClusters[Workers min],$B776),"")</f>
        <v>3</v>
      </c>
      <c r="K776" s="73">
        <f>IF($D776=1,INDEX(TblClusters[Tarif par nœud],$B776),"")</f>
        <v>1062</v>
      </c>
      <c r="L776" s="19">
        <f>IF($D776=1,INDEX(TblClusters[CPU initial (vCPU)],$B776),"")</f>
        <v>480</v>
      </c>
      <c r="M776" s="19">
        <f>IF($D776=1,INDEX(TblClusters[RAM initiale (Go)],$B776),"")</f>
        <v>1920</v>
      </c>
      <c r="N776" s="19">
        <f>IF($D776=1,INDEX(TblClusters[CPU min (vCPU)],$B776),"")</f>
        <v>96</v>
      </c>
      <c r="O776" s="19">
        <f>IF($D776=1,INDEX(TblClusters[RAM min (Go)],$B776),"")</f>
        <v>384</v>
      </c>
      <c r="P776" s="19">
        <f>IF($D776&lt;&gt;1,"",IF($G776="ROKS",SUMIFS(TblApplications[Besoin ROKS CPU (vCPU)],TblApplications[Cluster ROKS cible],$F776,TblApplications[Action],"À migrer",TblApplications[Déjà incluse ROKS],"Non",TblApplications[Mois prov (calc)],"&lt;="&amp;$E776),SUMIFS(TblApplications[CPU IKS libérable (vCPU)],TblApplications[Cluster IKS source],$F776,TblApplications[Mois lib (calc)],"&lt;="&amp;$E776)))</f>
        <v>295.38461538461536</v>
      </c>
      <c r="Q776" s="19">
        <f>IF($D776&lt;&gt;1,"",IF($G776="ROKS",SUMIFS(TblApplications[Besoin ROKS RAM (Go)],TblApplications[Cluster ROKS cible],$F776,TblApplications[Action],"À migrer",TblApplications[Déjà incluse ROKS],"Non",TblApplications[Mois prov (calc)],"&lt;="&amp;$E776),SUMIFS(TblApplications[RAM IKS libérable (Go)],TblApplications[Cluster IKS source],$F776,TblApplications[Mois lib (calc)],"&lt;="&amp;$E776)))</f>
        <v>1093.6708860759495</v>
      </c>
      <c r="R776" s="19">
        <f t="shared" si="207"/>
        <v>184.61538461538464</v>
      </c>
      <c r="S776" s="19">
        <f t="shared" si="208"/>
        <v>826.32911392405049</v>
      </c>
      <c r="T776" s="19">
        <f t="shared" si="209"/>
        <v>7</v>
      </c>
      <c r="U776" s="19">
        <f t="shared" si="210"/>
        <v>224</v>
      </c>
      <c r="V776" s="19">
        <f t="shared" si="211"/>
        <v>896</v>
      </c>
      <c r="W776" s="73">
        <f t="shared" si="212"/>
        <v>7434</v>
      </c>
      <c r="X776" s="19">
        <f>IF($D776&lt;&gt;1,"",IF($G776="ROKS",$R776,IF($AI776=1,0,MAX($N776,$L776-SUMIFS(TblApplications[CPU IKS libérable (vCPU)],TblApplications[Cluster IKS source],$F776,TblApplications[Action],"À migrer",TblApplications[Mois prov (calc)],"&lt;="&amp;$E776)-SUMIFS(TblApplications[CPU IKS libérable (vCPU)],TblApplications[Cluster IKS source],$F776,TblApplications[Action],"À décommissionner",TblApplications[Mois lib (calc)],"&lt;="&amp;$E776)))))</f>
        <v>184.61538461538461</v>
      </c>
      <c r="Y776" s="19">
        <f>IF($D776&lt;&gt;1,"",IF($G776="ROKS",$S776,IF($AI776=1,0,MAX($O776,$M776-SUMIFS(TblApplications[RAM IKS libérable (Go)],TblApplications[Cluster IKS source],$F776,TblApplications[Action],"À migrer",TblApplications[Mois prov (calc)],"&lt;="&amp;$E776)-SUMIFS(TblApplications[RAM IKS libérable (Go)],TblApplications[Cluster IKS source],$F776,TblApplications[Action],"À décommissionner",TblApplications[Mois lib (calc)],"&lt;="&amp;$E776)))))</f>
        <v>826.32911392405072</v>
      </c>
      <c r="Z776" s="19">
        <f t="shared" si="213"/>
        <v>7</v>
      </c>
      <c r="AA776" s="73">
        <f t="shared" si="214"/>
        <v>7434</v>
      </c>
      <c r="AB776" s="19">
        <f t="shared" si="215"/>
        <v>15</v>
      </c>
      <c r="AC776" s="73">
        <f t="shared" si="216"/>
        <v>15930</v>
      </c>
      <c r="AD776" s="19">
        <f t="shared" si="217"/>
        <v>0</v>
      </c>
      <c r="AE776" s="19">
        <f t="shared" si="218"/>
        <v>0</v>
      </c>
      <c r="AF776" s="19" t="str">
        <f>IF($D776&lt;&gt;1,"",IF(INDEX(TblClusters[Environnement],$B776)="","(vide)",INDEX(TblClusters[Environnement],$B776)))</f>
        <v>PRD</v>
      </c>
      <c r="AG776" s="19">
        <f t="shared" si="219"/>
        <v>267.24829600778969</v>
      </c>
      <c r="AH776" s="19">
        <f t="shared" si="220"/>
        <v>27.816828436516264</v>
      </c>
      <c r="AI776" s="19">
        <f>IF($D776&lt;&gt;1,"",IF(AND($G776="IKS",ISNUMBER(INDEX(TblClusters[Fermeture retenue],$B776))),IF($E776&gt;=INDEX(TblClusters[Fermeture retenue],$B776),1,0),0))</f>
        <v>0</v>
      </c>
    </row>
    <row r="777" spans="1:35" x14ac:dyDescent="0.2">
      <c r="A777" s="19">
        <v>772</v>
      </c>
      <c r="B777" s="19">
        <f t="shared" si="204"/>
        <v>22</v>
      </c>
      <c r="C777" s="19">
        <f t="shared" si="205"/>
        <v>16</v>
      </c>
      <c r="D777" s="19">
        <f>IF($C777&gt;p_horizon,0,IFERROR(IF(AND(INDEX(TblClusters[Cluster],$B777)&lt;&gt;"",ISNUMBER(INDEX(TblClusters[CPU initial (vCPU)],$B777)),ISNUMBER(INDEX(TblClusters[CPU min (vCPU)],$B777)),OR(INDEX(TblClusters[Plateforme],$B777)="IKS",INDEX(TblClusters[Plateforme],$B777)="ROKS")),1,0),0))</f>
        <v>1</v>
      </c>
      <c r="E777" s="72">
        <f t="shared" si="206"/>
        <v>46753</v>
      </c>
      <c r="F777" s="19" t="str">
        <f>IF($D777=1,INDEX(TblClusters[Cluster],$B777),"")</f>
        <v>ku002i000249</v>
      </c>
      <c r="G777" s="19" t="str">
        <f>IF($D777=1,INDEX(TblClusters[Plateforme],$B777),"")</f>
        <v>IKS</v>
      </c>
      <c r="H777" s="19">
        <f>IF($D777=1,INDEX(TblClusters[vCPU par nœud],$B777),"")</f>
        <v>32</v>
      </c>
      <c r="I777" s="19">
        <f>IF($D777=1,INDEX(TblClusters[RAM par nœud (Go)],$B777),"")</f>
        <v>128</v>
      </c>
      <c r="J777" s="19">
        <f>IF($D777=1,INDEX(TblClusters[Workers min],$B777),"")</f>
        <v>3</v>
      </c>
      <c r="K777" s="73">
        <f>IF($D777=1,INDEX(TblClusters[Tarif par nœud],$B777),"")</f>
        <v>1062</v>
      </c>
      <c r="L777" s="19">
        <f>IF($D777=1,INDEX(TblClusters[CPU initial (vCPU)],$B777),"")</f>
        <v>480</v>
      </c>
      <c r="M777" s="19">
        <f>IF($D777=1,INDEX(TblClusters[RAM initiale (Go)],$B777),"")</f>
        <v>1920</v>
      </c>
      <c r="N777" s="19">
        <f>IF($D777=1,INDEX(TblClusters[CPU min (vCPU)],$B777),"")</f>
        <v>96</v>
      </c>
      <c r="O777" s="19">
        <f>IF($D777=1,INDEX(TblClusters[RAM min (Go)],$B777),"")</f>
        <v>384</v>
      </c>
      <c r="P777" s="19">
        <f>IF($D777&lt;&gt;1,"",IF($G777="ROKS",SUMIFS(TblApplications[Besoin ROKS CPU (vCPU)],TblApplications[Cluster ROKS cible],$F777,TblApplications[Action],"À migrer",TblApplications[Déjà incluse ROKS],"Non",TblApplications[Mois prov (calc)],"&lt;="&amp;$E777),SUMIFS(TblApplications[CPU IKS libérable (vCPU)],TblApplications[Cluster IKS source],$F777,TblApplications[Mois lib (calc)],"&lt;="&amp;$E777)))</f>
        <v>295.38461538461536</v>
      </c>
      <c r="Q777" s="19">
        <f>IF($D777&lt;&gt;1,"",IF($G777="ROKS",SUMIFS(TblApplications[Besoin ROKS RAM (Go)],TblApplications[Cluster ROKS cible],$F777,TblApplications[Action],"À migrer",TblApplications[Déjà incluse ROKS],"Non",TblApplications[Mois prov (calc)],"&lt;="&amp;$E777),SUMIFS(TblApplications[RAM IKS libérable (Go)],TblApplications[Cluster IKS source],$F777,TblApplications[Mois lib (calc)],"&lt;="&amp;$E777)))</f>
        <v>1093.6708860759495</v>
      </c>
      <c r="R777" s="19">
        <f t="shared" si="207"/>
        <v>184.61538461538464</v>
      </c>
      <c r="S777" s="19">
        <f t="shared" si="208"/>
        <v>826.32911392405049</v>
      </c>
      <c r="T777" s="19">
        <f t="shared" si="209"/>
        <v>7</v>
      </c>
      <c r="U777" s="19">
        <f t="shared" si="210"/>
        <v>224</v>
      </c>
      <c r="V777" s="19">
        <f t="shared" si="211"/>
        <v>896</v>
      </c>
      <c r="W777" s="73">
        <f t="shared" si="212"/>
        <v>7434</v>
      </c>
      <c r="X777" s="19">
        <f>IF($D777&lt;&gt;1,"",IF($G777="ROKS",$R777,IF($AI777=1,0,MAX($N777,$L777-SUMIFS(TblApplications[CPU IKS libérable (vCPU)],TblApplications[Cluster IKS source],$F777,TblApplications[Action],"À migrer",TblApplications[Mois prov (calc)],"&lt;="&amp;$E777)-SUMIFS(TblApplications[CPU IKS libérable (vCPU)],TblApplications[Cluster IKS source],$F777,TblApplications[Action],"À décommissionner",TblApplications[Mois lib (calc)],"&lt;="&amp;$E777)))))</f>
        <v>96</v>
      </c>
      <c r="Y777" s="19">
        <f>IF($D777&lt;&gt;1,"",IF($G777="ROKS",$S777,IF($AI777=1,0,MAX($O777,$M777-SUMIFS(TblApplications[RAM IKS libérable (Go)],TblApplications[Cluster IKS source],$F777,TblApplications[Action],"À migrer",TblApplications[Mois prov (calc)],"&lt;="&amp;$E777)-SUMIFS(TblApplications[RAM IKS libérable (Go)],TblApplications[Cluster IKS source],$F777,TblApplications[Action],"À décommissionner",TblApplications[Mois lib (calc)],"&lt;="&amp;$E777)))))</f>
        <v>486.0759493670887</v>
      </c>
      <c r="Z777" s="19">
        <f t="shared" si="213"/>
        <v>4</v>
      </c>
      <c r="AA777" s="73">
        <f t="shared" si="214"/>
        <v>4248</v>
      </c>
      <c r="AB777" s="19">
        <f t="shared" si="215"/>
        <v>15</v>
      </c>
      <c r="AC777" s="73">
        <f t="shared" si="216"/>
        <v>15930</v>
      </c>
      <c r="AD777" s="19">
        <f t="shared" si="217"/>
        <v>0</v>
      </c>
      <c r="AE777" s="19">
        <f t="shared" si="218"/>
        <v>0</v>
      </c>
      <c r="AF777" s="19" t="str">
        <f>IF($D777&lt;&gt;1,"",IF(INDEX(TblClusters[Environnement],$B777)="","(vide)",INDEX(TblClusters[Environnement],$B777)))</f>
        <v>PRD</v>
      </c>
      <c r="AG777" s="19">
        <f t="shared" si="219"/>
        <v>267.24829600778969</v>
      </c>
      <c r="AH777" s="19">
        <f t="shared" si="220"/>
        <v>27.816828436516264</v>
      </c>
      <c r="AI777" s="19">
        <f>IF($D777&lt;&gt;1,"",IF(AND($G777="IKS",ISNUMBER(INDEX(TblClusters[Fermeture retenue],$B777))),IF($E777&gt;=INDEX(TblClusters[Fermeture retenue],$B777),1,0),0))</f>
        <v>0</v>
      </c>
    </row>
    <row r="778" spans="1:35" x14ac:dyDescent="0.2">
      <c r="A778" s="19">
        <v>773</v>
      </c>
      <c r="B778" s="19">
        <f t="shared" si="204"/>
        <v>22</v>
      </c>
      <c r="C778" s="19">
        <f t="shared" si="205"/>
        <v>17</v>
      </c>
      <c r="D778" s="19">
        <f>IF($C778&gt;p_horizon,0,IFERROR(IF(AND(INDEX(TblClusters[Cluster],$B778)&lt;&gt;"",ISNUMBER(INDEX(TblClusters[CPU initial (vCPU)],$B778)),ISNUMBER(INDEX(TblClusters[CPU min (vCPU)],$B778)),OR(INDEX(TblClusters[Plateforme],$B778)="IKS",INDEX(TblClusters[Plateforme],$B778)="ROKS")),1,0),0))</f>
        <v>1</v>
      </c>
      <c r="E778" s="72">
        <f t="shared" si="206"/>
        <v>46784</v>
      </c>
      <c r="F778" s="19" t="str">
        <f>IF($D778=1,INDEX(TblClusters[Cluster],$B778),"")</f>
        <v>ku002i000249</v>
      </c>
      <c r="G778" s="19" t="str">
        <f>IF($D778=1,INDEX(TblClusters[Plateforme],$B778),"")</f>
        <v>IKS</v>
      </c>
      <c r="H778" s="19">
        <f>IF($D778=1,INDEX(TblClusters[vCPU par nœud],$B778),"")</f>
        <v>32</v>
      </c>
      <c r="I778" s="19">
        <f>IF($D778=1,INDEX(TblClusters[RAM par nœud (Go)],$B778),"")</f>
        <v>128</v>
      </c>
      <c r="J778" s="19">
        <f>IF($D778=1,INDEX(TblClusters[Workers min],$B778),"")</f>
        <v>3</v>
      </c>
      <c r="K778" s="73">
        <f>IF($D778=1,INDEX(TblClusters[Tarif par nœud],$B778),"")</f>
        <v>1062</v>
      </c>
      <c r="L778" s="19">
        <f>IF($D778=1,INDEX(TblClusters[CPU initial (vCPU)],$B778),"")</f>
        <v>480</v>
      </c>
      <c r="M778" s="19">
        <f>IF($D778=1,INDEX(TblClusters[RAM initiale (Go)],$B778),"")</f>
        <v>1920</v>
      </c>
      <c r="N778" s="19">
        <f>IF($D778=1,INDEX(TblClusters[CPU min (vCPU)],$B778),"")</f>
        <v>96</v>
      </c>
      <c r="O778" s="19">
        <f>IF($D778=1,INDEX(TblClusters[RAM min (Go)],$B778),"")</f>
        <v>384</v>
      </c>
      <c r="P778" s="19">
        <f>IF($D778&lt;&gt;1,"",IF($G778="ROKS",SUMIFS(TblApplications[Besoin ROKS CPU (vCPU)],TblApplications[Cluster ROKS cible],$F778,TblApplications[Action],"À migrer",TblApplications[Déjà incluse ROKS],"Non",TblApplications[Mois prov (calc)],"&lt;="&amp;$E778),SUMIFS(TblApplications[CPU IKS libérable (vCPU)],TblApplications[Cluster IKS source],$F778,TblApplications[Mois lib (calc)],"&lt;="&amp;$E778)))</f>
        <v>295.38461538461536</v>
      </c>
      <c r="Q778" s="19">
        <f>IF($D778&lt;&gt;1,"",IF($G778="ROKS",SUMIFS(TblApplications[Besoin ROKS RAM (Go)],TblApplications[Cluster ROKS cible],$F778,TblApplications[Action],"À migrer",TblApplications[Déjà incluse ROKS],"Non",TblApplications[Mois prov (calc)],"&lt;="&amp;$E778),SUMIFS(TblApplications[RAM IKS libérable (Go)],TblApplications[Cluster IKS source],$F778,TblApplications[Mois lib (calc)],"&lt;="&amp;$E778)))</f>
        <v>1093.6708860759495</v>
      </c>
      <c r="R778" s="19">
        <f t="shared" si="207"/>
        <v>184.61538461538464</v>
      </c>
      <c r="S778" s="19">
        <f t="shared" si="208"/>
        <v>826.32911392405049</v>
      </c>
      <c r="T778" s="19">
        <f t="shared" si="209"/>
        <v>7</v>
      </c>
      <c r="U778" s="19">
        <f t="shared" si="210"/>
        <v>224</v>
      </c>
      <c r="V778" s="19">
        <f t="shared" si="211"/>
        <v>896</v>
      </c>
      <c r="W778" s="73">
        <f t="shared" si="212"/>
        <v>7434</v>
      </c>
      <c r="X778" s="19">
        <f>IF($D778&lt;&gt;1,"",IF($G778="ROKS",$R778,IF($AI778=1,0,MAX($N778,$L778-SUMIFS(TblApplications[CPU IKS libérable (vCPU)],TblApplications[Cluster IKS source],$F778,TblApplications[Action],"À migrer",TblApplications[Mois prov (calc)],"&lt;="&amp;$E778)-SUMIFS(TblApplications[CPU IKS libérable (vCPU)],TblApplications[Cluster IKS source],$F778,TblApplications[Action],"À décommissionner",TblApplications[Mois lib (calc)],"&lt;="&amp;$E778)))))</f>
        <v>96</v>
      </c>
      <c r="Y778" s="19">
        <f>IF($D778&lt;&gt;1,"",IF($G778="ROKS",$S778,IF($AI778=1,0,MAX($O778,$M778-SUMIFS(TblApplications[RAM IKS libérable (Go)],TblApplications[Cluster IKS source],$F778,TblApplications[Action],"À migrer",TblApplications[Mois prov (calc)],"&lt;="&amp;$E778)-SUMIFS(TblApplications[RAM IKS libérable (Go)],TblApplications[Cluster IKS source],$F778,TblApplications[Action],"À décommissionner",TblApplications[Mois lib (calc)],"&lt;="&amp;$E778)))))</f>
        <v>486.0759493670887</v>
      </c>
      <c r="Z778" s="19">
        <f t="shared" si="213"/>
        <v>4</v>
      </c>
      <c r="AA778" s="73">
        <f t="shared" si="214"/>
        <v>4248</v>
      </c>
      <c r="AB778" s="19">
        <f t="shared" si="215"/>
        <v>15</v>
      </c>
      <c r="AC778" s="73">
        <f t="shared" si="216"/>
        <v>15930</v>
      </c>
      <c r="AD778" s="19">
        <f t="shared" si="217"/>
        <v>0</v>
      </c>
      <c r="AE778" s="19">
        <f t="shared" si="218"/>
        <v>0</v>
      </c>
      <c r="AF778" s="19" t="str">
        <f>IF($D778&lt;&gt;1,"",IF(INDEX(TblClusters[Environnement],$B778)="","(vide)",INDEX(TblClusters[Environnement],$B778)))</f>
        <v>PRD</v>
      </c>
      <c r="AG778" s="19">
        <f t="shared" si="219"/>
        <v>267.24829600778969</v>
      </c>
      <c r="AH778" s="19">
        <f t="shared" si="220"/>
        <v>27.816828436516264</v>
      </c>
      <c r="AI778" s="19">
        <f>IF($D778&lt;&gt;1,"",IF(AND($G778="IKS",ISNUMBER(INDEX(TblClusters[Fermeture retenue],$B778))),IF($E778&gt;=INDEX(TblClusters[Fermeture retenue],$B778),1,0),0))</f>
        <v>0</v>
      </c>
    </row>
    <row r="779" spans="1:35" x14ac:dyDescent="0.2">
      <c r="A779" s="19">
        <v>774</v>
      </c>
      <c r="B779" s="19">
        <f t="shared" si="204"/>
        <v>22</v>
      </c>
      <c r="C779" s="19">
        <f t="shared" si="205"/>
        <v>18</v>
      </c>
      <c r="D779" s="19">
        <f>IF($C779&gt;p_horizon,0,IFERROR(IF(AND(INDEX(TblClusters[Cluster],$B779)&lt;&gt;"",ISNUMBER(INDEX(TblClusters[CPU initial (vCPU)],$B779)),ISNUMBER(INDEX(TblClusters[CPU min (vCPU)],$B779)),OR(INDEX(TblClusters[Plateforme],$B779)="IKS",INDEX(TblClusters[Plateforme],$B779)="ROKS")),1,0),0))</f>
        <v>1</v>
      </c>
      <c r="E779" s="72">
        <f t="shared" si="206"/>
        <v>46813</v>
      </c>
      <c r="F779" s="19" t="str">
        <f>IF($D779=1,INDEX(TblClusters[Cluster],$B779),"")</f>
        <v>ku002i000249</v>
      </c>
      <c r="G779" s="19" t="str">
        <f>IF($D779=1,INDEX(TblClusters[Plateforme],$B779),"")</f>
        <v>IKS</v>
      </c>
      <c r="H779" s="19">
        <f>IF($D779=1,INDEX(TblClusters[vCPU par nœud],$B779),"")</f>
        <v>32</v>
      </c>
      <c r="I779" s="19">
        <f>IF($D779=1,INDEX(TblClusters[RAM par nœud (Go)],$B779),"")</f>
        <v>128</v>
      </c>
      <c r="J779" s="19">
        <f>IF($D779=1,INDEX(TblClusters[Workers min],$B779),"")</f>
        <v>3</v>
      </c>
      <c r="K779" s="73">
        <f>IF($D779=1,INDEX(TblClusters[Tarif par nœud],$B779),"")</f>
        <v>1062</v>
      </c>
      <c r="L779" s="19">
        <f>IF($D779=1,INDEX(TblClusters[CPU initial (vCPU)],$B779),"")</f>
        <v>480</v>
      </c>
      <c r="M779" s="19">
        <f>IF($D779=1,INDEX(TblClusters[RAM initiale (Go)],$B779),"")</f>
        <v>1920</v>
      </c>
      <c r="N779" s="19">
        <f>IF($D779=1,INDEX(TblClusters[CPU min (vCPU)],$B779),"")</f>
        <v>96</v>
      </c>
      <c r="O779" s="19">
        <f>IF($D779=1,INDEX(TblClusters[RAM min (Go)],$B779),"")</f>
        <v>384</v>
      </c>
      <c r="P779" s="19">
        <f>IF($D779&lt;&gt;1,"",IF($G779="ROKS",SUMIFS(TblApplications[Besoin ROKS CPU (vCPU)],TblApplications[Cluster ROKS cible],$F779,TblApplications[Action],"À migrer",TblApplications[Déjà incluse ROKS],"Non",TblApplications[Mois prov (calc)],"&lt;="&amp;$E779),SUMIFS(TblApplications[CPU IKS libérable (vCPU)],TblApplications[Cluster IKS source],$F779,TblApplications[Mois lib (calc)],"&lt;="&amp;$E779)))</f>
        <v>387.69230769230774</v>
      </c>
      <c r="Q779" s="19">
        <f>IF($D779&lt;&gt;1,"",IF($G779="ROKS",SUMIFS(TblApplications[Besoin ROKS RAM (Go)],TblApplications[Cluster ROKS cible],$F779,TblApplications[Action],"À migrer",TblApplications[Déjà incluse ROKS],"Non",TblApplications[Mois prov (calc)],"&lt;="&amp;$E779),SUMIFS(TblApplications[RAM IKS libérable (Go)],TblApplications[Cluster IKS source],$F779,TblApplications[Mois lib (calc)],"&lt;="&amp;$E779)))</f>
        <v>1433.9240506329115</v>
      </c>
      <c r="R779" s="19">
        <f t="shared" si="207"/>
        <v>96</v>
      </c>
      <c r="S779" s="19">
        <f t="shared" si="208"/>
        <v>486.07594936708847</v>
      </c>
      <c r="T779" s="19">
        <f t="shared" si="209"/>
        <v>4</v>
      </c>
      <c r="U779" s="19">
        <f t="shared" si="210"/>
        <v>128</v>
      </c>
      <c r="V779" s="19">
        <f t="shared" si="211"/>
        <v>512</v>
      </c>
      <c r="W779" s="73">
        <f t="shared" si="212"/>
        <v>4248</v>
      </c>
      <c r="X779" s="19">
        <f>IF($D779&lt;&gt;1,"",IF($G779="ROKS",$R779,IF($AI779=1,0,MAX($N779,$L779-SUMIFS(TblApplications[CPU IKS libérable (vCPU)],TblApplications[Cluster IKS source],$F779,TblApplications[Action],"À migrer",TblApplications[Mois prov (calc)],"&lt;="&amp;$E779)-SUMIFS(TblApplications[CPU IKS libérable (vCPU)],TblApplications[Cluster IKS source],$F779,TblApplications[Action],"À décommissionner",TblApplications[Mois lib (calc)],"&lt;="&amp;$E779)))))</f>
        <v>96</v>
      </c>
      <c r="Y779" s="19">
        <f>IF($D779&lt;&gt;1,"",IF($G779="ROKS",$S779,IF($AI779=1,0,MAX($O779,$M779-SUMIFS(TblApplications[RAM IKS libérable (Go)],TblApplications[Cluster IKS source],$F779,TblApplications[Action],"À migrer",TblApplications[Mois prov (calc)],"&lt;="&amp;$E779)-SUMIFS(TblApplications[RAM IKS libérable (Go)],TblApplications[Cluster IKS source],$F779,TblApplications[Action],"À décommissionner",TblApplications[Mois lib (calc)],"&lt;="&amp;$E779)))))</f>
        <v>486.0759493670887</v>
      </c>
      <c r="Z779" s="19">
        <f t="shared" si="213"/>
        <v>4</v>
      </c>
      <c r="AA779" s="73">
        <f t="shared" si="214"/>
        <v>4248</v>
      </c>
      <c r="AB779" s="19">
        <f t="shared" si="215"/>
        <v>15</v>
      </c>
      <c r="AC779" s="73">
        <f t="shared" si="216"/>
        <v>15930</v>
      </c>
      <c r="AD779" s="19">
        <f t="shared" si="217"/>
        <v>1</v>
      </c>
      <c r="AE779" s="19">
        <f t="shared" si="218"/>
        <v>0</v>
      </c>
      <c r="AF779" s="19" t="str">
        <f>IF($D779&lt;&gt;1,"",IF(INDEX(TblClusters[Environnement],$B779)="","(vide)",INDEX(TblClusters[Environnement],$B779)))</f>
        <v>PRD</v>
      </c>
      <c r="AG779" s="19">
        <f t="shared" si="219"/>
        <v>144.60759493670884</v>
      </c>
      <c r="AH779" s="19">
        <f t="shared" si="220"/>
        <v>29.376050420168074</v>
      </c>
      <c r="AI779" s="19">
        <f>IF($D779&lt;&gt;1,"",IF(AND($G779="IKS",ISNUMBER(INDEX(TblClusters[Fermeture retenue],$B779))),IF($E779&gt;=INDEX(TblClusters[Fermeture retenue],$B779),1,0),0))</f>
        <v>0</v>
      </c>
    </row>
    <row r="780" spans="1:35" x14ac:dyDescent="0.2">
      <c r="A780" s="19">
        <v>775</v>
      </c>
      <c r="B780" s="19">
        <f t="shared" si="204"/>
        <v>22</v>
      </c>
      <c r="C780" s="19">
        <f t="shared" si="205"/>
        <v>19</v>
      </c>
      <c r="D780" s="19">
        <f>IF($C780&gt;p_horizon,0,IFERROR(IF(AND(INDEX(TblClusters[Cluster],$B780)&lt;&gt;"",ISNUMBER(INDEX(TblClusters[CPU initial (vCPU)],$B780)),ISNUMBER(INDEX(TblClusters[CPU min (vCPU)],$B780)),OR(INDEX(TblClusters[Plateforme],$B780)="IKS",INDEX(TblClusters[Plateforme],$B780)="ROKS")),1,0),0))</f>
        <v>1</v>
      </c>
      <c r="E780" s="72">
        <f t="shared" si="206"/>
        <v>46844</v>
      </c>
      <c r="F780" s="19" t="str">
        <f>IF($D780=1,INDEX(TblClusters[Cluster],$B780),"")</f>
        <v>ku002i000249</v>
      </c>
      <c r="G780" s="19" t="str">
        <f>IF($D780=1,INDEX(TblClusters[Plateforme],$B780),"")</f>
        <v>IKS</v>
      </c>
      <c r="H780" s="19">
        <f>IF($D780=1,INDEX(TblClusters[vCPU par nœud],$B780),"")</f>
        <v>32</v>
      </c>
      <c r="I780" s="19">
        <f>IF($D780=1,INDEX(TblClusters[RAM par nœud (Go)],$B780),"")</f>
        <v>128</v>
      </c>
      <c r="J780" s="19">
        <f>IF($D780=1,INDEX(TblClusters[Workers min],$B780),"")</f>
        <v>3</v>
      </c>
      <c r="K780" s="73">
        <f>IF($D780=1,INDEX(TblClusters[Tarif par nœud],$B780),"")</f>
        <v>1062</v>
      </c>
      <c r="L780" s="19">
        <f>IF($D780=1,INDEX(TblClusters[CPU initial (vCPU)],$B780),"")</f>
        <v>480</v>
      </c>
      <c r="M780" s="19">
        <f>IF($D780=1,INDEX(TblClusters[RAM initiale (Go)],$B780),"")</f>
        <v>1920</v>
      </c>
      <c r="N780" s="19">
        <f>IF($D780=1,INDEX(TblClusters[CPU min (vCPU)],$B780),"")</f>
        <v>96</v>
      </c>
      <c r="O780" s="19">
        <f>IF($D780=1,INDEX(TblClusters[RAM min (Go)],$B780),"")</f>
        <v>384</v>
      </c>
      <c r="P780" s="19">
        <f>IF($D780&lt;&gt;1,"",IF($G780="ROKS",SUMIFS(TblApplications[Besoin ROKS CPU (vCPU)],TblApplications[Cluster ROKS cible],$F780,TblApplications[Action],"À migrer",TblApplications[Déjà incluse ROKS],"Non",TblApplications[Mois prov (calc)],"&lt;="&amp;$E780),SUMIFS(TblApplications[CPU IKS libérable (vCPU)],TblApplications[Cluster IKS source],$F780,TblApplications[Mois lib (calc)],"&lt;="&amp;$E780)))</f>
        <v>387.69230769230774</v>
      </c>
      <c r="Q780" s="19">
        <f>IF($D780&lt;&gt;1,"",IF($G780="ROKS",SUMIFS(TblApplications[Besoin ROKS RAM (Go)],TblApplications[Cluster ROKS cible],$F780,TblApplications[Action],"À migrer",TblApplications[Déjà incluse ROKS],"Non",TblApplications[Mois prov (calc)],"&lt;="&amp;$E780),SUMIFS(TblApplications[RAM IKS libérable (Go)],TblApplications[Cluster IKS source],$F780,TblApplications[Mois lib (calc)],"&lt;="&amp;$E780)))</f>
        <v>1433.9240506329115</v>
      </c>
      <c r="R780" s="19">
        <f t="shared" si="207"/>
        <v>96</v>
      </c>
      <c r="S780" s="19">
        <f t="shared" si="208"/>
        <v>486.07594936708847</v>
      </c>
      <c r="T780" s="19">
        <f t="shared" si="209"/>
        <v>4</v>
      </c>
      <c r="U780" s="19">
        <f t="shared" si="210"/>
        <v>128</v>
      </c>
      <c r="V780" s="19">
        <f t="shared" si="211"/>
        <v>512</v>
      </c>
      <c r="W780" s="73">
        <f t="shared" si="212"/>
        <v>4248</v>
      </c>
      <c r="X780" s="19">
        <f>IF($D780&lt;&gt;1,"",IF($G780="ROKS",$R780,IF($AI780=1,0,MAX($N780,$L780-SUMIFS(TblApplications[CPU IKS libérable (vCPU)],TblApplications[Cluster IKS source],$F780,TblApplications[Action],"À migrer",TblApplications[Mois prov (calc)],"&lt;="&amp;$E780)-SUMIFS(TblApplications[CPU IKS libérable (vCPU)],TblApplications[Cluster IKS source],$F780,TblApplications[Action],"À décommissionner",TblApplications[Mois lib (calc)],"&lt;="&amp;$E780)))))</f>
        <v>96</v>
      </c>
      <c r="Y780" s="19">
        <f>IF($D780&lt;&gt;1,"",IF($G780="ROKS",$S780,IF($AI780=1,0,MAX($O780,$M780-SUMIFS(TblApplications[RAM IKS libérable (Go)],TblApplications[Cluster IKS source],$F780,TblApplications[Action],"À migrer",TblApplications[Mois prov (calc)],"&lt;="&amp;$E780)-SUMIFS(TblApplications[RAM IKS libérable (Go)],TblApplications[Cluster IKS source],$F780,TblApplications[Action],"À décommissionner",TblApplications[Mois lib (calc)],"&lt;="&amp;$E780)))))</f>
        <v>486.0759493670887</v>
      </c>
      <c r="Z780" s="19">
        <f t="shared" si="213"/>
        <v>4</v>
      </c>
      <c r="AA780" s="73">
        <f t="shared" si="214"/>
        <v>4248</v>
      </c>
      <c r="AB780" s="19">
        <f t="shared" si="215"/>
        <v>15</v>
      </c>
      <c r="AC780" s="73">
        <f t="shared" si="216"/>
        <v>15930</v>
      </c>
      <c r="AD780" s="19">
        <f t="shared" si="217"/>
        <v>1</v>
      </c>
      <c r="AE780" s="19">
        <f t="shared" si="218"/>
        <v>0</v>
      </c>
      <c r="AF780" s="19" t="str">
        <f>IF($D780&lt;&gt;1,"",IF(INDEX(TblClusters[Environnement],$B780)="","(vide)",INDEX(TblClusters[Environnement],$B780)))</f>
        <v>PRD</v>
      </c>
      <c r="AG780" s="19">
        <f t="shared" si="219"/>
        <v>144.60759493670884</v>
      </c>
      <c r="AH780" s="19">
        <f t="shared" si="220"/>
        <v>29.376050420168074</v>
      </c>
      <c r="AI780" s="19">
        <f>IF($D780&lt;&gt;1,"",IF(AND($G780="IKS",ISNUMBER(INDEX(TblClusters[Fermeture retenue],$B780))),IF($E780&gt;=INDEX(TblClusters[Fermeture retenue],$B780),1,0),0))</f>
        <v>0</v>
      </c>
    </row>
    <row r="781" spans="1:35" x14ac:dyDescent="0.2">
      <c r="A781" s="19">
        <v>776</v>
      </c>
      <c r="B781" s="19">
        <f t="shared" si="204"/>
        <v>22</v>
      </c>
      <c r="C781" s="19">
        <f t="shared" si="205"/>
        <v>20</v>
      </c>
      <c r="D781" s="19">
        <f>IF($C781&gt;p_horizon,0,IFERROR(IF(AND(INDEX(TblClusters[Cluster],$B781)&lt;&gt;"",ISNUMBER(INDEX(TblClusters[CPU initial (vCPU)],$B781)),ISNUMBER(INDEX(TblClusters[CPU min (vCPU)],$B781)),OR(INDEX(TblClusters[Plateforme],$B781)="IKS",INDEX(TblClusters[Plateforme],$B781)="ROKS")),1,0),0))</f>
        <v>1</v>
      </c>
      <c r="E781" s="72">
        <f t="shared" si="206"/>
        <v>46874</v>
      </c>
      <c r="F781" s="19" t="str">
        <f>IF($D781=1,INDEX(TblClusters[Cluster],$B781),"")</f>
        <v>ku002i000249</v>
      </c>
      <c r="G781" s="19" t="str">
        <f>IF($D781=1,INDEX(TblClusters[Plateforme],$B781),"")</f>
        <v>IKS</v>
      </c>
      <c r="H781" s="19">
        <f>IF($D781=1,INDEX(TblClusters[vCPU par nœud],$B781),"")</f>
        <v>32</v>
      </c>
      <c r="I781" s="19">
        <f>IF($D781=1,INDEX(TblClusters[RAM par nœud (Go)],$B781),"")</f>
        <v>128</v>
      </c>
      <c r="J781" s="19">
        <f>IF($D781=1,INDEX(TblClusters[Workers min],$B781),"")</f>
        <v>3</v>
      </c>
      <c r="K781" s="73">
        <f>IF($D781=1,INDEX(TblClusters[Tarif par nœud],$B781),"")</f>
        <v>1062</v>
      </c>
      <c r="L781" s="19">
        <f>IF($D781=1,INDEX(TblClusters[CPU initial (vCPU)],$B781),"")</f>
        <v>480</v>
      </c>
      <c r="M781" s="19">
        <f>IF($D781=1,INDEX(TblClusters[RAM initiale (Go)],$B781),"")</f>
        <v>1920</v>
      </c>
      <c r="N781" s="19">
        <f>IF($D781=1,INDEX(TblClusters[CPU min (vCPU)],$B781),"")</f>
        <v>96</v>
      </c>
      <c r="O781" s="19">
        <f>IF($D781=1,INDEX(TblClusters[RAM min (Go)],$B781),"")</f>
        <v>384</v>
      </c>
      <c r="P781" s="19">
        <f>IF($D781&lt;&gt;1,"",IF($G781="ROKS",SUMIFS(TblApplications[Besoin ROKS CPU (vCPU)],TblApplications[Cluster ROKS cible],$F781,TblApplications[Action],"À migrer",TblApplications[Déjà incluse ROKS],"Non",TblApplications[Mois prov (calc)],"&lt;="&amp;$E781),SUMIFS(TblApplications[CPU IKS libérable (vCPU)],TblApplications[Cluster IKS source],$F781,TblApplications[Mois lib (calc)],"&lt;="&amp;$E781)))</f>
        <v>387.69230769230774</v>
      </c>
      <c r="Q781" s="19">
        <f>IF($D781&lt;&gt;1,"",IF($G781="ROKS",SUMIFS(TblApplications[Besoin ROKS RAM (Go)],TblApplications[Cluster ROKS cible],$F781,TblApplications[Action],"À migrer",TblApplications[Déjà incluse ROKS],"Non",TblApplications[Mois prov (calc)],"&lt;="&amp;$E781),SUMIFS(TblApplications[RAM IKS libérable (Go)],TblApplications[Cluster IKS source],$F781,TblApplications[Mois lib (calc)],"&lt;="&amp;$E781)))</f>
        <v>1433.9240506329115</v>
      </c>
      <c r="R781" s="19">
        <f t="shared" si="207"/>
        <v>96</v>
      </c>
      <c r="S781" s="19">
        <f t="shared" si="208"/>
        <v>486.07594936708847</v>
      </c>
      <c r="T781" s="19">
        <f t="shared" si="209"/>
        <v>4</v>
      </c>
      <c r="U781" s="19">
        <f t="shared" si="210"/>
        <v>128</v>
      </c>
      <c r="V781" s="19">
        <f t="shared" si="211"/>
        <v>512</v>
      </c>
      <c r="W781" s="73">
        <f t="shared" si="212"/>
        <v>4248</v>
      </c>
      <c r="X781" s="19">
        <f>IF($D781&lt;&gt;1,"",IF($G781="ROKS",$R781,IF($AI781=1,0,MAX($N781,$L781-SUMIFS(TblApplications[CPU IKS libérable (vCPU)],TblApplications[Cluster IKS source],$F781,TblApplications[Action],"À migrer",TblApplications[Mois prov (calc)],"&lt;="&amp;$E781)-SUMIFS(TblApplications[CPU IKS libérable (vCPU)],TblApplications[Cluster IKS source],$F781,TblApplications[Action],"À décommissionner",TblApplications[Mois lib (calc)],"&lt;="&amp;$E781)))))</f>
        <v>96</v>
      </c>
      <c r="Y781" s="19">
        <f>IF($D781&lt;&gt;1,"",IF($G781="ROKS",$S781,IF($AI781=1,0,MAX($O781,$M781-SUMIFS(TblApplications[RAM IKS libérable (Go)],TblApplications[Cluster IKS source],$F781,TblApplications[Action],"À migrer",TblApplications[Mois prov (calc)],"&lt;="&amp;$E781)-SUMIFS(TblApplications[RAM IKS libérable (Go)],TblApplications[Cluster IKS source],$F781,TblApplications[Action],"À décommissionner",TblApplications[Mois lib (calc)],"&lt;="&amp;$E781)))))</f>
        <v>486.0759493670887</v>
      </c>
      <c r="Z781" s="19">
        <f t="shared" si="213"/>
        <v>4</v>
      </c>
      <c r="AA781" s="73">
        <f t="shared" si="214"/>
        <v>4248</v>
      </c>
      <c r="AB781" s="19">
        <f t="shared" si="215"/>
        <v>15</v>
      </c>
      <c r="AC781" s="73">
        <f t="shared" si="216"/>
        <v>15930</v>
      </c>
      <c r="AD781" s="19">
        <f t="shared" si="217"/>
        <v>1</v>
      </c>
      <c r="AE781" s="19">
        <f t="shared" si="218"/>
        <v>0</v>
      </c>
      <c r="AF781" s="19" t="str">
        <f>IF($D781&lt;&gt;1,"",IF(INDEX(TblClusters[Environnement],$B781)="","(vide)",INDEX(TblClusters[Environnement],$B781)))</f>
        <v>PRD</v>
      </c>
      <c r="AG781" s="19">
        <f t="shared" si="219"/>
        <v>144.60759493670884</v>
      </c>
      <c r="AH781" s="19">
        <f t="shared" si="220"/>
        <v>29.376050420168074</v>
      </c>
      <c r="AI781" s="19">
        <f>IF($D781&lt;&gt;1,"",IF(AND($G781="IKS",ISNUMBER(INDEX(TblClusters[Fermeture retenue],$B781))),IF($E781&gt;=INDEX(TblClusters[Fermeture retenue],$B781),1,0),0))</f>
        <v>0</v>
      </c>
    </row>
    <row r="782" spans="1:35" x14ac:dyDescent="0.2">
      <c r="A782" s="19">
        <v>777</v>
      </c>
      <c r="B782" s="19">
        <f t="shared" si="204"/>
        <v>22</v>
      </c>
      <c r="C782" s="19">
        <f t="shared" si="205"/>
        <v>21</v>
      </c>
      <c r="D782" s="19">
        <f>IF($C782&gt;p_horizon,0,IFERROR(IF(AND(INDEX(TblClusters[Cluster],$B782)&lt;&gt;"",ISNUMBER(INDEX(TblClusters[CPU initial (vCPU)],$B782)),ISNUMBER(INDEX(TblClusters[CPU min (vCPU)],$B782)),OR(INDEX(TblClusters[Plateforme],$B782)="IKS",INDEX(TblClusters[Plateforme],$B782)="ROKS")),1,0),0))</f>
        <v>1</v>
      </c>
      <c r="E782" s="72">
        <f t="shared" si="206"/>
        <v>46905</v>
      </c>
      <c r="F782" s="19" t="str">
        <f>IF($D782=1,INDEX(TblClusters[Cluster],$B782),"")</f>
        <v>ku002i000249</v>
      </c>
      <c r="G782" s="19" t="str">
        <f>IF($D782=1,INDEX(TblClusters[Plateforme],$B782),"")</f>
        <v>IKS</v>
      </c>
      <c r="H782" s="19">
        <f>IF($D782=1,INDEX(TblClusters[vCPU par nœud],$B782),"")</f>
        <v>32</v>
      </c>
      <c r="I782" s="19">
        <f>IF($D782=1,INDEX(TblClusters[RAM par nœud (Go)],$B782),"")</f>
        <v>128</v>
      </c>
      <c r="J782" s="19">
        <f>IF($D782=1,INDEX(TblClusters[Workers min],$B782),"")</f>
        <v>3</v>
      </c>
      <c r="K782" s="73">
        <f>IF($D782=1,INDEX(TblClusters[Tarif par nœud],$B782),"")</f>
        <v>1062</v>
      </c>
      <c r="L782" s="19">
        <f>IF($D782=1,INDEX(TblClusters[CPU initial (vCPU)],$B782),"")</f>
        <v>480</v>
      </c>
      <c r="M782" s="19">
        <f>IF($D782=1,INDEX(TblClusters[RAM initiale (Go)],$B782),"")</f>
        <v>1920</v>
      </c>
      <c r="N782" s="19">
        <f>IF($D782=1,INDEX(TblClusters[CPU min (vCPU)],$B782),"")</f>
        <v>96</v>
      </c>
      <c r="O782" s="19">
        <f>IF($D782=1,INDEX(TblClusters[RAM min (Go)],$B782),"")</f>
        <v>384</v>
      </c>
      <c r="P782" s="19">
        <f>IF($D782&lt;&gt;1,"",IF($G782="ROKS",SUMIFS(TblApplications[Besoin ROKS CPU (vCPU)],TblApplications[Cluster ROKS cible],$F782,TblApplications[Action],"À migrer",TblApplications[Déjà incluse ROKS],"Non",TblApplications[Mois prov (calc)],"&lt;="&amp;$E782),SUMIFS(TblApplications[CPU IKS libérable (vCPU)],TblApplications[Cluster IKS source],$F782,TblApplications[Mois lib (calc)],"&lt;="&amp;$E782)))</f>
        <v>387.69230769230774</v>
      </c>
      <c r="Q782" s="19">
        <f>IF($D782&lt;&gt;1,"",IF($G782="ROKS",SUMIFS(TblApplications[Besoin ROKS RAM (Go)],TblApplications[Cluster ROKS cible],$F782,TblApplications[Action],"À migrer",TblApplications[Déjà incluse ROKS],"Non",TblApplications[Mois prov (calc)],"&lt;="&amp;$E782),SUMIFS(TblApplications[RAM IKS libérable (Go)],TblApplications[Cluster IKS source],$F782,TblApplications[Mois lib (calc)],"&lt;="&amp;$E782)))</f>
        <v>1433.9240506329115</v>
      </c>
      <c r="R782" s="19">
        <f t="shared" si="207"/>
        <v>96</v>
      </c>
      <c r="S782" s="19">
        <f t="shared" si="208"/>
        <v>486.07594936708847</v>
      </c>
      <c r="T782" s="19">
        <f t="shared" si="209"/>
        <v>4</v>
      </c>
      <c r="U782" s="19">
        <f t="shared" si="210"/>
        <v>128</v>
      </c>
      <c r="V782" s="19">
        <f t="shared" si="211"/>
        <v>512</v>
      </c>
      <c r="W782" s="73">
        <f t="shared" si="212"/>
        <v>4248</v>
      </c>
      <c r="X782" s="19">
        <f>IF($D782&lt;&gt;1,"",IF($G782="ROKS",$R782,IF($AI782=1,0,MAX($N782,$L782-SUMIFS(TblApplications[CPU IKS libérable (vCPU)],TblApplications[Cluster IKS source],$F782,TblApplications[Action],"À migrer",TblApplications[Mois prov (calc)],"&lt;="&amp;$E782)-SUMIFS(TblApplications[CPU IKS libérable (vCPU)],TblApplications[Cluster IKS source],$F782,TblApplications[Action],"À décommissionner",TblApplications[Mois lib (calc)],"&lt;="&amp;$E782)))))</f>
        <v>96</v>
      </c>
      <c r="Y782" s="19">
        <f>IF($D782&lt;&gt;1,"",IF($G782="ROKS",$S782,IF($AI782=1,0,MAX($O782,$M782-SUMIFS(TblApplications[RAM IKS libérable (Go)],TblApplications[Cluster IKS source],$F782,TblApplications[Action],"À migrer",TblApplications[Mois prov (calc)],"&lt;="&amp;$E782)-SUMIFS(TblApplications[RAM IKS libérable (Go)],TblApplications[Cluster IKS source],$F782,TblApplications[Action],"À décommissionner",TblApplications[Mois lib (calc)],"&lt;="&amp;$E782)))))</f>
        <v>486.0759493670887</v>
      </c>
      <c r="Z782" s="19">
        <f t="shared" si="213"/>
        <v>4</v>
      </c>
      <c r="AA782" s="73">
        <f t="shared" si="214"/>
        <v>4248</v>
      </c>
      <c r="AB782" s="19">
        <f t="shared" si="215"/>
        <v>15</v>
      </c>
      <c r="AC782" s="73">
        <f t="shared" si="216"/>
        <v>15930</v>
      </c>
      <c r="AD782" s="19">
        <f t="shared" si="217"/>
        <v>1</v>
      </c>
      <c r="AE782" s="19">
        <f t="shared" si="218"/>
        <v>0</v>
      </c>
      <c r="AF782" s="19" t="str">
        <f>IF($D782&lt;&gt;1,"",IF(INDEX(TblClusters[Environnement],$B782)="","(vide)",INDEX(TblClusters[Environnement],$B782)))</f>
        <v>PRD</v>
      </c>
      <c r="AG782" s="19">
        <f t="shared" si="219"/>
        <v>144.60759493670884</v>
      </c>
      <c r="AH782" s="19">
        <f t="shared" si="220"/>
        <v>29.376050420168074</v>
      </c>
      <c r="AI782" s="19">
        <f>IF($D782&lt;&gt;1,"",IF(AND($G782="IKS",ISNUMBER(INDEX(TblClusters[Fermeture retenue],$B782))),IF($E782&gt;=INDEX(TblClusters[Fermeture retenue],$B782),1,0),0))</f>
        <v>0</v>
      </c>
    </row>
    <row r="783" spans="1:35" x14ac:dyDescent="0.2">
      <c r="A783" s="19">
        <v>778</v>
      </c>
      <c r="B783" s="19">
        <f t="shared" si="204"/>
        <v>22</v>
      </c>
      <c r="C783" s="19">
        <f t="shared" si="205"/>
        <v>22</v>
      </c>
      <c r="D783" s="19">
        <f>IF($C783&gt;p_horizon,0,IFERROR(IF(AND(INDEX(TblClusters[Cluster],$B783)&lt;&gt;"",ISNUMBER(INDEX(TblClusters[CPU initial (vCPU)],$B783)),ISNUMBER(INDEX(TblClusters[CPU min (vCPU)],$B783)),OR(INDEX(TblClusters[Plateforme],$B783)="IKS",INDEX(TblClusters[Plateforme],$B783)="ROKS")),1,0),0))</f>
        <v>1</v>
      </c>
      <c r="E783" s="72">
        <f t="shared" si="206"/>
        <v>46935</v>
      </c>
      <c r="F783" s="19" t="str">
        <f>IF($D783=1,INDEX(TblClusters[Cluster],$B783),"")</f>
        <v>ku002i000249</v>
      </c>
      <c r="G783" s="19" t="str">
        <f>IF($D783=1,INDEX(TblClusters[Plateforme],$B783),"")</f>
        <v>IKS</v>
      </c>
      <c r="H783" s="19">
        <f>IF($D783=1,INDEX(TblClusters[vCPU par nœud],$B783),"")</f>
        <v>32</v>
      </c>
      <c r="I783" s="19">
        <f>IF($D783=1,INDEX(TblClusters[RAM par nœud (Go)],$B783),"")</f>
        <v>128</v>
      </c>
      <c r="J783" s="19">
        <f>IF($D783=1,INDEX(TblClusters[Workers min],$B783),"")</f>
        <v>3</v>
      </c>
      <c r="K783" s="73">
        <f>IF($D783=1,INDEX(TblClusters[Tarif par nœud],$B783),"")</f>
        <v>1062</v>
      </c>
      <c r="L783" s="19">
        <f>IF($D783=1,INDEX(TblClusters[CPU initial (vCPU)],$B783),"")</f>
        <v>480</v>
      </c>
      <c r="M783" s="19">
        <f>IF($D783=1,INDEX(TblClusters[RAM initiale (Go)],$B783),"")</f>
        <v>1920</v>
      </c>
      <c r="N783" s="19">
        <f>IF($D783=1,INDEX(TblClusters[CPU min (vCPU)],$B783),"")</f>
        <v>96</v>
      </c>
      <c r="O783" s="19">
        <f>IF($D783=1,INDEX(TblClusters[RAM min (Go)],$B783),"")</f>
        <v>384</v>
      </c>
      <c r="P783" s="19">
        <f>IF($D783&lt;&gt;1,"",IF($G783="ROKS",SUMIFS(TblApplications[Besoin ROKS CPU (vCPU)],TblApplications[Cluster ROKS cible],$F783,TblApplications[Action],"À migrer",TblApplications[Déjà incluse ROKS],"Non",TblApplications[Mois prov (calc)],"&lt;="&amp;$E783),SUMIFS(TblApplications[CPU IKS libérable (vCPU)],TblApplications[Cluster IKS source],$F783,TblApplications[Mois lib (calc)],"&lt;="&amp;$E783)))</f>
        <v>387.69230769230774</v>
      </c>
      <c r="Q783" s="19">
        <f>IF($D783&lt;&gt;1,"",IF($G783="ROKS",SUMIFS(TblApplications[Besoin ROKS RAM (Go)],TblApplications[Cluster ROKS cible],$F783,TblApplications[Action],"À migrer",TblApplications[Déjà incluse ROKS],"Non",TblApplications[Mois prov (calc)],"&lt;="&amp;$E783),SUMIFS(TblApplications[RAM IKS libérable (Go)],TblApplications[Cluster IKS source],$F783,TblApplications[Mois lib (calc)],"&lt;="&amp;$E783)))</f>
        <v>1433.9240506329115</v>
      </c>
      <c r="R783" s="19">
        <f t="shared" si="207"/>
        <v>96</v>
      </c>
      <c r="S783" s="19">
        <f t="shared" si="208"/>
        <v>486.07594936708847</v>
      </c>
      <c r="T783" s="19">
        <f t="shared" si="209"/>
        <v>4</v>
      </c>
      <c r="U783" s="19">
        <f t="shared" si="210"/>
        <v>128</v>
      </c>
      <c r="V783" s="19">
        <f t="shared" si="211"/>
        <v>512</v>
      </c>
      <c r="W783" s="73">
        <f t="shared" si="212"/>
        <v>4248</v>
      </c>
      <c r="X783" s="19">
        <f>IF($D783&lt;&gt;1,"",IF($G783="ROKS",$R783,IF($AI783=1,0,MAX($N783,$L783-SUMIFS(TblApplications[CPU IKS libérable (vCPU)],TblApplications[Cluster IKS source],$F783,TblApplications[Action],"À migrer",TblApplications[Mois prov (calc)],"&lt;="&amp;$E783)-SUMIFS(TblApplications[CPU IKS libérable (vCPU)],TblApplications[Cluster IKS source],$F783,TblApplications[Action],"À décommissionner",TblApplications[Mois lib (calc)],"&lt;="&amp;$E783)))))</f>
        <v>96</v>
      </c>
      <c r="Y783" s="19">
        <f>IF($D783&lt;&gt;1,"",IF($G783="ROKS",$S783,IF($AI783=1,0,MAX($O783,$M783-SUMIFS(TblApplications[RAM IKS libérable (Go)],TblApplications[Cluster IKS source],$F783,TblApplications[Action],"À migrer",TblApplications[Mois prov (calc)],"&lt;="&amp;$E783)-SUMIFS(TblApplications[RAM IKS libérable (Go)],TblApplications[Cluster IKS source],$F783,TblApplications[Action],"À décommissionner",TblApplications[Mois lib (calc)],"&lt;="&amp;$E783)))))</f>
        <v>486.0759493670887</v>
      </c>
      <c r="Z783" s="19">
        <f t="shared" si="213"/>
        <v>4</v>
      </c>
      <c r="AA783" s="73">
        <f t="shared" si="214"/>
        <v>4248</v>
      </c>
      <c r="AB783" s="19">
        <f t="shared" si="215"/>
        <v>15</v>
      </c>
      <c r="AC783" s="73">
        <f t="shared" si="216"/>
        <v>15930</v>
      </c>
      <c r="AD783" s="19">
        <f t="shared" si="217"/>
        <v>1</v>
      </c>
      <c r="AE783" s="19">
        <f t="shared" si="218"/>
        <v>0</v>
      </c>
      <c r="AF783" s="19" t="str">
        <f>IF($D783&lt;&gt;1,"",IF(INDEX(TblClusters[Environnement],$B783)="","(vide)",INDEX(TblClusters[Environnement],$B783)))</f>
        <v>PRD</v>
      </c>
      <c r="AG783" s="19">
        <f t="shared" si="219"/>
        <v>144.60759493670884</v>
      </c>
      <c r="AH783" s="19">
        <f t="shared" si="220"/>
        <v>29.376050420168074</v>
      </c>
      <c r="AI783" s="19">
        <f>IF($D783&lt;&gt;1,"",IF(AND($G783="IKS",ISNUMBER(INDEX(TblClusters[Fermeture retenue],$B783))),IF($E783&gt;=INDEX(TblClusters[Fermeture retenue],$B783),1,0),0))</f>
        <v>0</v>
      </c>
    </row>
    <row r="784" spans="1:35" x14ac:dyDescent="0.2">
      <c r="A784" s="19">
        <v>779</v>
      </c>
      <c r="B784" s="19">
        <f t="shared" si="204"/>
        <v>22</v>
      </c>
      <c r="C784" s="19">
        <f t="shared" si="205"/>
        <v>23</v>
      </c>
      <c r="D784" s="19">
        <f>IF($C784&gt;p_horizon,0,IFERROR(IF(AND(INDEX(TblClusters[Cluster],$B784)&lt;&gt;"",ISNUMBER(INDEX(TblClusters[CPU initial (vCPU)],$B784)),ISNUMBER(INDEX(TblClusters[CPU min (vCPU)],$B784)),OR(INDEX(TblClusters[Plateforme],$B784)="IKS",INDEX(TblClusters[Plateforme],$B784)="ROKS")),1,0),0))</f>
        <v>1</v>
      </c>
      <c r="E784" s="72">
        <f t="shared" si="206"/>
        <v>46966</v>
      </c>
      <c r="F784" s="19" t="str">
        <f>IF($D784=1,INDEX(TblClusters[Cluster],$B784),"")</f>
        <v>ku002i000249</v>
      </c>
      <c r="G784" s="19" t="str">
        <f>IF($D784=1,INDEX(TblClusters[Plateforme],$B784),"")</f>
        <v>IKS</v>
      </c>
      <c r="H784" s="19">
        <f>IF($D784=1,INDEX(TblClusters[vCPU par nœud],$B784),"")</f>
        <v>32</v>
      </c>
      <c r="I784" s="19">
        <f>IF($D784=1,INDEX(TblClusters[RAM par nœud (Go)],$B784),"")</f>
        <v>128</v>
      </c>
      <c r="J784" s="19">
        <f>IF($D784=1,INDEX(TblClusters[Workers min],$B784),"")</f>
        <v>3</v>
      </c>
      <c r="K784" s="73">
        <f>IF($D784=1,INDEX(TblClusters[Tarif par nœud],$B784),"")</f>
        <v>1062</v>
      </c>
      <c r="L784" s="19">
        <f>IF($D784=1,INDEX(TblClusters[CPU initial (vCPU)],$B784),"")</f>
        <v>480</v>
      </c>
      <c r="M784" s="19">
        <f>IF($D784=1,INDEX(TblClusters[RAM initiale (Go)],$B784),"")</f>
        <v>1920</v>
      </c>
      <c r="N784" s="19">
        <f>IF($D784=1,INDEX(TblClusters[CPU min (vCPU)],$B784),"")</f>
        <v>96</v>
      </c>
      <c r="O784" s="19">
        <f>IF($D784=1,INDEX(TblClusters[RAM min (Go)],$B784),"")</f>
        <v>384</v>
      </c>
      <c r="P784" s="19">
        <f>IF($D784&lt;&gt;1,"",IF($G784="ROKS",SUMIFS(TblApplications[Besoin ROKS CPU (vCPU)],TblApplications[Cluster ROKS cible],$F784,TblApplications[Action],"À migrer",TblApplications[Déjà incluse ROKS],"Non",TblApplications[Mois prov (calc)],"&lt;="&amp;$E784),SUMIFS(TblApplications[CPU IKS libérable (vCPU)],TblApplications[Cluster IKS source],$F784,TblApplications[Mois lib (calc)],"&lt;="&amp;$E784)))</f>
        <v>387.69230769230774</v>
      </c>
      <c r="Q784" s="19">
        <f>IF($D784&lt;&gt;1,"",IF($G784="ROKS",SUMIFS(TblApplications[Besoin ROKS RAM (Go)],TblApplications[Cluster ROKS cible],$F784,TblApplications[Action],"À migrer",TblApplications[Déjà incluse ROKS],"Non",TblApplications[Mois prov (calc)],"&lt;="&amp;$E784),SUMIFS(TblApplications[RAM IKS libérable (Go)],TblApplications[Cluster IKS source],$F784,TblApplications[Mois lib (calc)],"&lt;="&amp;$E784)))</f>
        <v>1433.9240506329115</v>
      </c>
      <c r="R784" s="19">
        <f t="shared" si="207"/>
        <v>96</v>
      </c>
      <c r="S784" s="19">
        <f t="shared" si="208"/>
        <v>486.07594936708847</v>
      </c>
      <c r="T784" s="19">
        <f t="shared" si="209"/>
        <v>4</v>
      </c>
      <c r="U784" s="19">
        <f t="shared" si="210"/>
        <v>128</v>
      </c>
      <c r="V784" s="19">
        <f t="shared" si="211"/>
        <v>512</v>
      </c>
      <c r="W784" s="73">
        <f t="shared" si="212"/>
        <v>4248</v>
      </c>
      <c r="X784" s="19">
        <f>IF($D784&lt;&gt;1,"",IF($G784="ROKS",$R784,IF($AI784=1,0,MAX($N784,$L784-SUMIFS(TblApplications[CPU IKS libérable (vCPU)],TblApplications[Cluster IKS source],$F784,TblApplications[Action],"À migrer",TblApplications[Mois prov (calc)],"&lt;="&amp;$E784)-SUMIFS(TblApplications[CPU IKS libérable (vCPU)],TblApplications[Cluster IKS source],$F784,TblApplications[Action],"À décommissionner",TblApplications[Mois lib (calc)],"&lt;="&amp;$E784)))))</f>
        <v>96</v>
      </c>
      <c r="Y784" s="19">
        <f>IF($D784&lt;&gt;1,"",IF($G784="ROKS",$S784,IF($AI784=1,0,MAX($O784,$M784-SUMIFS(TblApplications[RAM IKS libérable (Go)],TblApplications[Cluster IKS source],$F784,TblApplications[Action],"À migrer",TblApplications[Mois prov (calc)],"&lt;="&amp;$E784)-SUMIFS(TblApplications[RAM IKS libérable (Go)],TblApplications[Cluster IKS source],$F784,TblApplications[Action],"À décommissionner",TblApplications[Mois lib (calc)],"&lt;="&amp;$E784)))))</f>
        <v>486.0759493670887</v>
      </c>
      <c r="Z784" s="19">
        <f t="shared" si="213"/>
        <v>4</v>
      </c>
      <c r="AA784" s="73">
        <f t="shared" si="214"/>
        <v>4248</v>
      </c>
      <c r="AB784" s="19">
        <f t="shared" si="215"/>
        <v>15</v>
      </c>
      <c r="AC784" s="73">
        <f t="shared" si="216"/>
        <v>15930</v>
      </c>
      <c r="AD784" s="19">
        <f t="shared" si="217"/>
        <v>1</v>
      </c>
      <c r="AE784" s="19">
        <f t="shared" si="218"/>
        <v>0</v>
      </c>
      <c r="AF784" s="19" t="str">
        <f>IF($D784&lt;&gt;1,"",IF(INDEX(TblClusters[Environnement],$B784)="","(vide)",INDEX(TblClusters[Environnement],$B784)))</f>
        <v>PRD</v>
      </c>
      <c r="AG784" s="19">
        <f t="shared" si="219"/>
        <v>144.60759493670884</v>
      </c>
      <c r="AH784" s="19">
        <f t="shared" si="220"/>
        <v>29.376050420168074</v>
      </c>
      <c r="AI784" s="19">
        <f>IF($D784&lt;&gt;1,"",IF(AND($G784="IKS",ISNUMBER(INDEX(TblClusters[Fermeture retenue],$B784))),IF($E784&gt;=INDEX(TblClusters[Fermeture retenue],$B784),1,0),0))</f>
        <v>0</v>
      </c>
    </row>
    <row r="785" spans="1:35" x14ac:dyDescent="0.2">
      <c r="A785" s="19">
        <v>780</v>
      </c>
      <c r="B785" s="19">
        <f t="shared" si="204"/>
        <v>22</v>
      </c>
      <c r="C785" s="19">
        <f t="shared" si="205"/>
        <v>24</v>
      </c>
      <c r="D785" s="19">
        <f>IF($C785&gt;p_horizon,0,IFERROR(IF(AND(INDEX(TblClusters[Cluster],$B785)&lt;&gt;"",ISNUMBER(INDEX(TblClusters[CPU initial (vCPU)],$B785)),ISNUMBER(INDEX(TblClusters[CPU min (vCPU)],$B785)),OR(INDEX(TblClusters[Plateforme],$B785)="IKS",INDEX(TblClusters[Plateforme],$B785)="ROKS")),1,0),0))</f>
        <v>1</v>
      </c>
      <c r="E785" s="72">
        <f t="shared" si="206"/>
        <v>46997</v>
      </c>
      <c r="F785" s="19" t="str">
        <f>IF($D785=1,INDEX(TblClusters[Cluster],$B785),"")</f>
        <v>ku002i000249</v>
      </c>
      <c r="G785" s="19" t="str">
        <f>IF($D785=1,INDEX(TblClusters[Plateforme],$B785),"")</f>
        <v>IKS</v>
      </c>
      <c r="H785" s="19">
        <f>IF($D785=1,INDEX(TblClusters[vCPU par nœud],$B785),"")</f>
        <v>32</v>
      </c>
      <c r="I785" s="19">
        <f>IF($D785=1,INDEX(TblClusters[RAM par nœud (Go)],$B785),"")</f>
        <v>128</v>
      </c>
      <c r="J785" s="19">
        <f>IF($D785=1,INDEX(TblClusters[Workers min],$B785),"")</f>
        <v>3</v>
      </c>
      <c r="K785" s="73">
        <f>IF($D785=1,INDEX(TblClusters[Tarif par nœud],$B785),"")</f>
        <v>1062</v>
      </c>
      <c r="L785" s="19">
        <f>IF($D785=1,INDEX(TblClusters[CPU initial (vCPU)],$B785),"")</f>
        <v>480</v>
      </c>
      <c r="M785" s="19">
        <f>IF($D785=1,INDEX(TblClusters[RAM initiale (Go)],$B785),"")</f>
        <v>1920</v>
      </c>
      <c r="N785" s="19">
        <f>IF($D785=1,INDEX(TblClusters[CPU min (vCPU)],$B785),"")</f>
        <v>96</v>
      </c>
      <c r="O785" s="19">
        <f>IF($D785=1,INDEX(TblClusters[RAM min (Go)],$B785),"")</f>
        <v>384</v>
      </c>
      <c r="P785" s="19">
        <f>IF($D785&lt;&gt;1,"",IF($G785="ROKS",SUMIFS(TblApplications[Besoin ROKS CPU (vCPU)],TblApplications[Cluster ROKS cible],$F785,TblApplications[Action],"À migrer",TblApplications[Déjà incluse ROKS],"Non",TblApplications[Mois prov (calc)],"&lt;="&amp;$E785),SUMIFS(TblApplications[CPU IKS libérable (vCPU)],TblApplications[Cluster IKS source],$F785,TblApplications[Mois lib (calc)],"&lt;="&amp;$E785)))</f>
        <v>387.69230769230774</v>
      </c>
      <c r="Q785" s="19">
        <f>IF($D785&lt;&gt;1,"",IF($G785="ROKS",SUMIFS(TblApplications[Besoin ROKS RAM (Go)],TblApplications[Cluster ROKS cible],$F785,TblApplications[Action],"À migrer",TblApplications[Déjà incluse ROKS],"Non",TblApplications[Mois prov (calc)],"&lt;="&amp;$E785),SUMIFS(TblApplications[RAM IKS libérable (Go)],TblApplications[Cluster IKS source],$F785,TblApplications[Mois lib (calc)],"&lt;="&amp;$E785)))</f>
        <v>1433.9240506329115</v>
      </c>
      <c r="R785" s="19">
        <f t="shared" si="207"/>
        <v>96</v>
      </c>
      <c r="S785" s="19">
        <f t="shared" si="208"/>
        <v>486.07594936708847</v>
      </c>
      <c r="T785" s="19">
        <f t="shared" si="209"/>
        <v>4</v>
      </c>
      <c r="U785" s="19">
        <f t="shared" si="210"/>
        <v>128</v>
      </c>
      <c r="V785" s="19">
        <f t="shared" si="211"/>
        <v>512</v>
      </c>
      <c r="W785" s="73">
        <f t="shared" si="212"/>
        <v>4248</v>
      </c>
      <c r="X785" s="19">
        <f>IF($D785&lt;&gt;1,"",IF($G785="ROKS",$R785,IF($AI785=1,0,MAX($N785,$L785-SUMIFS(TblApplications[CPU IKS libérable (vCPU)],TblApplications[Cluster IKS source],$F785,TblApplications[Action],"À migrer",TblApplications[Mois prov (calc)],"&lt;="&amp;$E785)-SUMIFS(TblApplications[CPU IKS libérable (vCPU)],TblApplications[Cluster IKS source],$F785,TblApplications[Action],"À décommissionner",TblApplications[Mois lib (calc)],"&lt;="&amp;$E785)))))</f>
        <v>96</v>
      </c>
      <c r="Y785" s="19">
        <f>IF($D785&lt;&gt;1,"",IF($G785="ROKS",$S785,IF($AI785=1,0,MAX($O785,$M785-SUMIFS(TblApplications[RAM IKS libérable (Go)],TblApplications[Cluster IKS source],$F785,TblApplications[Action],"À migrer",TblApplications[Mois prov (calc)],"&lt;="&amp;$E785)-SUMIFS(TblApplications[RAM IKS libérable (Go)],TblApplications[Cluster IKS source],$F785,TblApplications[Action],"À décommissionner",TblApplications[Mois lib (calc)],"&lt;="&amp;$E785)))))</f>
        <v>384</v>
      </c>
      <c r="Z785" s="19">
        <f t="shared" si="213"/>
        <v>3</v>
      </c>
      <c r="AA785" s="73">
        <f t="shared" si="214"/>
        <v>3186</v>
      </c>
      <c r="AB785" s="19">
        <f t="shared" si="215"/>
        <v>15</v>
      </c>
      <c r="AC785" s="73">
        <f t="shared" si="216"/>
        <v>15930</v>
      </c>
      <c r="AD785" s="19">
        <f t="shared" si="217"/>
        <v>1</v>
      </c>
      <c r="AE785" s="19">
        <f t="shared" si="218"/>
        <v>0</v>
      </c>
      <c r="AF785" s="19" t="str">
        <f>IF($D785&lt;&gt;1,"",IF(INDEX(TblClusters[Environnement],$B785)="","(vide)",INDEX(TblClusters[Environnement],$B785)))</f>
        <v>PRD</v>
      </c>
      <c r="AG785" s="19">
        <f t="shared" si="219"/>
        <v>144.60759493670884</v>
      </c>
      <c r="AH785" s="19">
        <f t="shared" si="220"/>
        <v>29.376050420168074</v>
      </c>
      <c r="AI785" s="19">
        <f>IF($D785&lt;&gt;1,"",IF(AND($G785="IKS",ISNUMBER(INDEX(TblClusters[Fermeture retenue],$B785))),IF($E785&gt;=INDEX(TblClusters[Fermeture retenue],$B785),1,0),0))</f>
        <v>0</v>
      </c>
    </row>
    <row r="786" spans="1:35" x14ac:dyDescent="0.2">
      <c r="A786" s="19">
        <v>781</v>
      </c>
      <c r="B786" s="19">
        <f t="shared" si="204"/>
        <v>22</v>
      </c>
      <c r="C786" s="19">
        <f t="shared" si="205"/>
        <v>25</v>
      </c>
      <c r="D786" s="19">
        <f>IF($C786&gt;p_horizon,0,IFERROR(IF(AND(INDEX(TblClusters[Cluster],$B786)&lt;&gt;"",ISNUMBER(INDEX(TblClusters[CPU initial (vCPU)],$B786)),ISNUMBER(INDEX(TblClusters[CPU min (vCPU)],$B786)),OR(INDEX(TblClusters[Plateforme],$B786)="IKS",INDEX(TblClusters[Plateforme],$B786)="ROKS")),1,0),0))</f>
        <v>1</v>
      </c>
      <c r="E786" s="72">
        <f t="shared" si="206"/>
        <v>47027</v>
      </c>
      <c r="F786" s="19" t="str">
        <f>IF($D786=1,INDEX(TblClusters[Cluster],$B786),"")</f>
        <v>ku002i000249</v>
      </c>
      <c r="G786" s="19" t="str">
        <f>IF($D786=1,INDEX(TblClusters[Plateforme],$B786),"")</f>
        <v>IKS</v>
      </c>
      <c r="H786" s="19">
        <f>IF($D786=1,INDEX(TblClusters[vCPU par nœud],$B786),"")</f>
        <v>32</v>
      </c>
      <c r="I786" s="19">
        <f>IF($D786=1,INDEX(TblClusters[RAM par nœud (Go)],$B786),"")</f>
        <v>128</v>
      </c>
      <c r="J786" s="19">
        <f>IF($D786=1,INDEX(TblClusters[Workers min],$B786),"")</f>
        <v>3</v>
      </c>
      <c r="K786" s="73">
        <f>IF($D786=1,INDEX(TblClusters[Tarif par nœud],$B786),"")</f>
        <v>1062</v>
      </c>
      <c r="L786" s="19">
        <f>IF($D786=1,INDEX(TblClusters[CPU initial (vCPU)],$B786),"")</f>
        <v>480</v>
      </c>
      <c r="M786" s="19">
        <f>IF($D786=1,INDEX(TblClusters[RAM initiale (Go)],$B786),"")</f>
        <v>1920</v>
      </c>
      <c r="N786" s="19">
        <f>IF($D786=1,INDEX(TblClusters[CPU min (vCPU)],$B786),"")</f>
        <v>96</v>
      </c>
      <c r="O786" s="19">
        <f>IF($D786=1,INDEX(TblClusters[RAM min (Go)],$B786),"")</f>
        <v>384</v>
      </c>
      <c r="P786" s="19">
        <f>IF($D786&lt;&gt;1,"",IF($G786="ROKS",SUMIFS(TblApplications[Besoin ROKS CPU (vCPU)],TblApplications[Cluster ROKS cible],$F786,TblApplications[Action],"À migrer",TblApplications[Déjà incluse ROKS],"Non",TblApplications[Mois prov (calc)],"&lt;="&amp;$E786),SUMIFS(TblApplications[CPU IKS libérable (vCPU)],TblApplications[Cluster IKS source],$F786,TblApplications[Mois lib (calc)],"&lt;="&amp;$E786)))</f>
        <v>387.69230769230774</v>
      </c>
      <c r="Q786" s="19">
        <f>IF($D786&lt;&gt;1,"",IF($G786="ROKS",SUMIFS(TblApplications[Besoin ROKS RAM (Go)],TblApplications[Cluster ROKS cible],$F786,TblApplications[Action],"À migrer",TblApplications[Déjà incluse ROKS],"Non",TblApplications[Mois prov (calc)],"&lt;="&amp;$E786),SUMIFS(TblApplications[RAM IKS libérable (Go)],TblApplications[Cluster IKS source],$F786,TblApplications[Mois lib (calc)],"&lt;="&amp;$E786)))</f>
        <v>1433.9240506329115</v>
      </c>
      <c r="R786" s="19">
        <f t="shared" si="207"/>
        <v>96</v>
      </c>
      <c r="S786" s="19">
        <f t="shared" si="208"/>
        <v>486.07594936708847</v>
      </c>
      <c r="T786" s="19">
        <f t="shared" si="209"/>
        <v>4</v>
      </c>
      <c r="U786" s="19">
        <f t="shared" si="210"/>
        <v>128</v>
      </c>
      <c r="V786" s="19">
        <f t="shared" si="211"/>
        <v>512</v>
      </c>
      <c r="W786" s="73">
        <f t="shared" si="212"/>
        <v>4248</v>
      </c>
      <c r="X786" s="19">
        <f>IF($D786&lt;&gt;1,"",IF($G786="ROKS",$R786,IF($AI786=1,0,MAX($N786,$L786-SUMIFS(TblApplications[CPU IKS libérable (vCPU)],TblApplications[Cluster IKS source],$F786,TblApplications[Action],"À migrer",TblApplications[Mois prov (calc)],"&lt;="&amp;$E786)-SUMIFS(TblApplications[CPU IKS libérable (vCPU)],TblApplications[Cluster IKS source],$F786,TblApplications[Action],"À décommissionner",TblApplications[Mois lib (calc)],"&lt;="&amp;$E786)))))</f>
        <v>96</v>
      </c>
      <c r="Y786" s="19">
        <f>IF($D786&lt;&gt;1,"",IF($G786="ROKS",$S786,IF($AI786=1,0,MAX($O786,$M786-SUMIFS(TblApplications[RAM IKS libérable (Go)],TblApplications[Cluster IKS source],$F786,TblApplications[Action],"À migrer",TblApplications[Mois prov (calc)],"&lt;="&amp;$E786)-SUMIFS(TblApplications[RAM IKS libérable (Go)],TblApplications[Cluster IKS source],$F786,TblApplications[Action],"À décommissionner",TblApplications[Mois lib (calc)],"&lt;="&amp;$E786)))))</f>
        <v>384</v>
      </c>
      <c r="Z786" s="19">
        <f t="shared" si="213"/>
        <v>3</v>
      </c>
      <c r="AA786" s="73">
        <f t="shared" si="214"/>
        <v>3186</v>
      </c>
      <c r="AB786" s="19">
        <f t="shared" si="215"/>
        <v>15</v>
      </c>
      <c r="AC786" s="73">
        <f t="shared" si="216"/>
        <v>15930</v>
      </c>
      <c r="AD786" s="19">
        <f t="shared" si="217"/>
        <v>1</v>
      </c>
      <c r="AE786" s="19">
        <f t="shared" si="218"/>
        <v>0</v>
      </c>
      <c r="AF786" s="19" t="str">
        <f>IF($D786&lt;&gt;1,"",IF(INDEX(TblClusters[Environnement],$B786)="","(vide)",INDEX(TblClusters[Environnement],$B786)))</f>
        <v>PRD</v>
      </c>
      <c r="AG786" s="19">
        <f t="shared" si="219"/>
        <v>144.60759493670884</v>
      </c>
      <c r="AH786" s="19">
        <f t="shared" si="220"/>
        <v>29.376050420168074</v>
      </c>
      <c r="AI786" s="19">
        <f>IF($D786&lt;&gt;1,"",IF(AND($G786="IKS",ISNUMBER(INDEX(TblClusters[Fermeture retenue],$B786))),IF($E786&gt;=INDEX(TblClusters[Fermeture retenue],$B786),1,0),0))</f>
        <v>0</v>
      </c>
    </row>
    <row r="787" spans="1:35" x14ac:dyDescent="0.2">
      <c r="A787" s="19">
        <v>782</v>
      </c>
      <c r="B787" s="19">
        <f t="shared" si="204"/>
        <v>22</v>
      </c>
      <c r="C787" s="19">
        <f t="shared" si="205"/>
        <v>26</v>
      </c>
      <c r="D787" s="19">
        <f>IF($C787&gt;p_horizon,0,IFERROR(IF(AND(INDEX(TblClusters[Cluster],$B787)&lt;&gt;"",ISNUMBER(INDEX(TblClusters[CPU initial (vCPU)],$B787)),ISNUMBER(INDEX(TblClusters[CPU min (vCPU)],$B787)),OR(INDEX(TblClusters[Plateforme],$B787)="IKS",INDEX(TblClusters[Plateforme],$B787)="ROKS")),1,0),0))</f>
        <v>1</v>
      </c>
      <c r="E787" s="72">
        <f t="shared" si="206"/>
        <v>47058</v>
      </c>
      <c r="F787" s="19" t="str">
        <f>IF($D787=1,INDEX(TblClusters[Cluster],$B787),"")</f>
        <v>ku002i000249</v>
      </c>
      <c r="G787" s="19" t="str">
        <f>IF($D787=1,INDEX(TblClusters[Plateforme],$B787),"")</f>
        <v>IKS</v>
      </c>
      <c r="H787" s="19">
        <f>IF($D787=1,INDEX(TblClusters[vCPU par nœud],$B787),"")</f>
        <v>32</v>
      </c>
      <c r="I787" s="19">
        <f>IF($D787=1,INDEX(TblClusters[RAM par nœud (Go)],$B787),"")</f>
        <v>128</v>
      </c>
      <c r="J787" s="19">
        <f>IF($D787=1,INDEX(TblClusters[Workers min],$B787),"")</f>
        <v>3</v>
      </c>
      <c r="K787" s="73">
        <f>IF($D787=1,INDEX(TblClusters[Tarif par nœud],$B787),"")</f>
        <v>1062</v>
      </c>
      <c r="L787" s="19">
        <f>IF($D787=1,INDEX(TblClusters[CPU initial (vCPU)],$B787),"")</f>
        <v>480</v>
      </c>
      <c r="M787" s="19">
        <f>IF($D787=1,INDEX(TblClusters[RAM initiale (Go)],$B787),"")</f>
        <v>1920</v>
      </c>
      <c r="N787" s="19">
        <f>IF($D787=1,INDEX(TblClusters[CPU min (vCPU)],$B787),"")</f>
        <v>96</v>
      </c>
      <c r="O787" s="19">
        <f>IF($D787=1,INDEX(TblClusters[RAM min (Go)],$B787),"")</f>
        <v>384</v>
      </c>
      <c r="P787" s="19">
        <f>IF($D787&lt;&gt;1,"",IF($G787="ROKS",SUMIFS(TblApplications[Besoin ROKS CPU (vCPU)],TblApplications[Cluster ROKS cible],$F787,TblApplications[Action],"À migrer",TblApplications[Déjà incluse ROKS],"Non",TblApplications[Mois prov (calc)],"&lt;="&amp;$E787),SUMIFS(TblApplications[CPU IKS libérable (vCPU)],TblApplications[Cluster IKS source],$F787,TblApplications[Mois lib (calc)],"&lt;="&amp;$E787)))</f>
        <v>387.69230769230774</v>
      </c>
      <c r="Q787" s="19">
        <f>IF($D787&lt;&gt;1,"",IF($G787="ROKS",SUMIFS(TblApplications[Besoin ROKS RAM (Go)],TblApplications[Cluster ROKS cible],$F787,TblApplications[Action],"À migrer",TblApplications[Déjà incluse ROKS],"Non",TblApplications[Mois prov (calc)],"&lt;="&amp;$E787),SUMIFS(TblApplications[RAM IKS libérable (Go)],TblApplications[Cluster IKS source],$F787,TblApplications[Mois lib (calc)],"&lt;="&amp;$E787)))</f>
        <v>1433.9240506329115</v>
      </c>
      <c r="R787" s="19">
        <f t="shared" si="207"/>
        <v>96</v>
      </c>
      <c r="S787" s="19">
        <f t="shared" si="208"/>
        <v>486.07594936708847</v>
      </c>
      <c r="T787" s="19">
        <f t="shared" si="209"/>
        <v>4</v>
      </c>
      <c r="U787" s="19">
        <f t="shared" si="210"/>
        <v>128</v>
      </c>
      <c r="V787" s="19">
        <f t="shared" si="211"/>
        <v>512</v>
      </c>
      <c r="W787" s="73">
        <f t="shared" si="212"/>
        <v>4248</v>
      </c>
      <c r="X787" s="19">
        <f>IF($D787&lt;&gt;1,"",IF($G787="ROKS",$R787,IF($AI787=1,0,MAX($N787,$L787-SUMIFS(TblApplications[CPU IKS libérable (vCPU)],TblApplications[Cluster IKS source],$F787,TblApplications[Action],"À migrer",TblApplications[Mois prov (calc)],"&lt;="&amp;$E787)-SUMIFS(TblApplications[CPU IKS libérable (vCPU)],TblApplications[Cluster IKS source],$F787,TblApplications[Action],"À décommissionner",TblApplications[Mois lib (calc)],"&lt;="&amp;$E787)))))</f>
        <v>96</v>
      </c>
      <c r="Y787" s="19">
        <f>IF($D787&lt;&gt;1,"",IF($G787="ROKS",$S787,IF($AI787=1,0,MAX($O787,$M787-SUMIFS(TblApplications[RAM IKS libérable (Go)],TblApplications[Cluster IKS source],$F787,TblApplications[Action],"À migrer",TblApplications[Mois prov (calc)],"&lt;="&amp;$E787)-SUMIFS(TblApplications[RAM IKS libérable (Go)],TblApplications[Cluster IKS source],$F787,TblApplications[Action],"À décommissionner",TblApplications[Mois lib (calc)],"&lt;="&amp;$E787)))))</f>
        <v>384</v>
      </c>
      <c r="Z787" s="19">
        <f t="shared" si="213"/>
        <v>3</v>
      </c>
      <c r="AA787" s="73">
        <f t="shared" si="214"/>
        <v>3186</v>
      </c>
      <c r="AB787" s="19">
        <f t="shared" si="215"/>
        <v>15</v>
      </c>
      <c r="AC787" s="73">
        <f t="shared" si="216"/>
        <v>15930</v>
      </c>
      <c r="AD787" s="19">
        <f t="shared" si="217"/>
        <v>1</v>
      </c>
      <c r="AE787" s="19">
        <f t="shared" si="218"/>
        <v>0</v>
      </c>
      <c r="AF787" s="19" t="str">
        <f>IF($D787&lt;&gt;1,"",IF(INDEX(TblClusters[Environnement],$B787)="","(vide)",INDEX(TblClusters[Environnement],$B787)))</f>
        <v>PRD</v>
      </c>
      <c r="AG787" s="19">
        <f t="shared" si="219"/>
        <v>144.60759493670884</v>
      </c>
      <c r="AH787" s="19">
        <f t="shared" si="220"/>
        <v>29.376050420168074</v>
      </c>
      <c r="AI787" s="19">
        <f>IF($D787&lt;&gt;1,"",IF(AND($G787="IKS",ISNUMBER(INDEX(TblClusters[Fermeture retenue],$B787))),IF($E787&gt;=INDEX(TblClusters[Fermeture retenue],$B787),1,0),0))</f>
        <v>0</v>
      </c>
    </row>
    <row r="788" spans="1:35" x14ac:dyDescent="0.2">
      <c r="A788" s="19">
        <v>783</v>
      </c>
      <c r="B788" s="19">
        <f t="shared" si="204"/>
        <v>22</v>
      </c>
      <c r="C788" s="19">
        <f t="shared" si="205"/>
        <v>27</v>
      </c>
      <c r="D788" s="19">
        <f>IF($C788&gt;p_horizon,0,IFERROR(IF(AND(INDEX(TblClusters[Cluster],$B788)&lt;&gt;"",ISNUMBER(INDEX(TblClusters[CPU initial (vCPU)],$B788)),ISNUMBER(INDEX(TblClusters[CPU min (vCPU)],$B788)),OR(INDEX(TblClusters[Plateforme],$B788)="IKS",INDEX(TblClusters[Plateforme],$B788)="ROKS")),1,0),0))</f>
        <v>1</v>
      </c>
      <c r="E788" s="72">
        <f t="shared" si="206"/>
        <v>47088</v>
      </c>
      <c r="F788" s="19" t="str">
        <f>IF($D788=1,INDEX(TblClusters[Cluster],$B788),"")</f>
        <v>ku002i000249</v>
      </c>
      <c r="G788" s="19" t="str">
        <f>IF($D788=1,INDEX(TblClusters[Plateforme],$B788),"")</f>
        <v>IKS</v>
      </c>
      <c r="H788" s="19">
        <f>IF($D788=1,INDEX(TblClusters[vCPU par nœud],$B788),"")</f>
        <v>32</v>
      </c>
      <c r="I788" s="19">
        <f>IF($D788=1,INDEX(TblClusters[RAM par nœud (Go)],$B788),"")</f>
        <v>128</v>
      </c>
      <c r="J788" s="19">
        <f>IF($D788=1,INDEX(TblClusters[Workers min],$B788),"")</f>
        <v>3</v>
      </c>
      <c r="K788" s="73">
        <f>IF($D788=1,INDEX(TblClusters[Tarif par nœud],$B788),"")</f>
        <v>1062</v>
      </c>
      <c r="L788" s="19">
        <f>IF($D788=1,INDEX(TblClusters[CPU initial (vCPU)],$B788),"")</f>
        <v>480</v>
      </c>
      <c r="M788" s="19">
        <f>IF($D788=1,INDEX(TblClusters[RAM initiale (Go)],$B788),"")</f>
        <v>1920</v>
      </c>
      <c r="N788" s="19">
        <f>IF($D788=1,INDEX(TblClusters[CPU min (vCPU)],$B788),"")</f>
        <v>96</v>
      </c>
      <c r="O788" s="19">
        <f>IF($D788=1,INDEX(TblClusters[RAM min (Go)],$B788),"")</f>
        <v>384</v>
      </c>
      <c r="P788" s="19">
        <f>IF($D788&lt;&gt;1,"",IF($G788="ROKS",SUMIFS(TblApplications[Besoin ROKS CPU (vCPU)],TblApplications[Cluster ROKS cible],$F788,TblApplications[Action],"À migrer",TblApplications[Déjà incluse ROKS],"Non",TblApplications[Mois prov (calc)],"&lt;="&amp;$E788),SUMIFS(TblApplications[CPU IKS libérable (vCPU)],TblApplications[Cluster IKS source],$F788,TblApplications[Mois lib (calc)],"&lt;="&amp;$E788)))</f>
        <v>480</v>
      </c>
      <c r="Q788" s="19">
        <f>IF($D788&lt;&gt;1,"",IF($G788="ROKS",SUMIFS(TblApplications[Besoin ROKS RAM (Go)],TblApplications[Cluster ROKS cible],$F788,TblApplications[Action],"À migrer",TblApplications[Déjà incluse ROKS],"Non",TblApplications[Mois prov (calc)],"&lt;="&amp;$E788),SUMIFS(TblApplications[RAM IKS libérable (Go)],TblApplications[Cluster IKS source],$F788,TblApplications[Mois lib (calc)],"&lt;="&amp;$E788)))</f>
        <v>1920</v>
      </c>
      <c r="R788" s="19">
        <f t="shared" si="207"/>
        <v>0</v>
      </c>
      <c r="S788" s="19">
        <f t="shared" si="208"/>
        <v>0</v>
      </c>
      <c r="T788" s="19">
        <f t="shared" si="209"/>
        <v>0</v>
      </c>
      <c r="U788" s="19">
        <f t="shared" si="210"/>
        <v>0</v>
      </c>
      <c r="V788" s="19">
        <f t="shared" si="211"/>
        <v>0</v>
      </c>
      <c r="W788" s="73">
        <f t="shared" si="212"/>
        <v>0</v>
      </c>
      <c r="X788" s="19">
        <f>IF($D788&lt;&gt;1,"",IF($G788="ROKS",$R788,IF($AI788=1,0,MAX($N788,$L788-SUMIFS(TblApplications[CPU IKS libérable (vCPU)],TblApplications[Cluster IKS source],$F788,TblApplications[Action],"À migrer",TblApplications[Mois prov (calc)],"&lt;="&amp;$E788)-SUMIFS(TblApplications[CPU IKS libérable (vCPU)],TblApplications[Cluster IKS source],$F788,TblApplications[Action],"À décommissionner",TblApplications[Mois lib (calc)],"&lt;="&amp;$E788)))))</f>
        <v>0</v>
      </c>
      <c r="Y788" s="19">
        <f>IF($D788&lt;&gt;1,"",IF($G788="ROKS",$S788,IF($AI788=1,0,MAX($O788,$M788-SUMIFS(TblApplications[RAM IKS libérable (Go)],TblApplications[Cluster IKS source],$F788,TblApplications[Action],"À migrer",TblApplications[Mois prov (calc)],"&lt;="&amp;$E788)-SUMIFS(TblApplications[RAM IKS libérable (Go)],TblApplications[Cluster IKS source],$F788,TblApplications[Action],"À décommissionner",TblApplications[Mois lib (calc)],"&lt;="&amp;$E788)))))</f>
        <v>0</v>
      </c>
      <c r="Z788" s="19">
        <f t="shared" si="213"/>
        <v>0</v>
      </c>
      <c r="AA788" s="73">
        <f t="shared" si="214"/>
        <v>0</v>
      </c>
      <c r="AB788" s="19">
        <f t="shared" si="215"/>
        <v>15</v>
      </c>
      <c r="AC788" s="73">
        <f t="shared" si="216"/>
        <v>15930</v>
      </c>
      <c r="AD788" s="19">
        <f t="shared" si="217"/>
        <v>0</v>
      </c>
      <c r="AE788" s="19">
        <f t="shared" si="218"/>
        <v>0</v>
      </c>
      <c r="AF788" s="19" t="str">
        <f>IF($D788&lt;&gt;1,"",IF(INDEX(TblClusters[Environnement],$B788)="","(vide)",INDEX(TblClusters[Environnement],$B788)))</f>
        <v>PRD</v>
      </c>
      <c r="AG788" s="19">
        <f t="shared" si="219"/>
        <v>0</v>
      </c>
      <c r="AH788" s="19">
        <f t="shared" si="220"/>
        <v>0</v>
      </c>
      <c r="AI788" s="19">
        <f>IF($D788&lt;&gt;1,"",IF(AND($G788="IKS",ISNUMBER(INDEX(TblClusters[Fermeture retenue],$B788))),IF($E788&gt;=INDEX(TblClusters[Fermeture retenue],$B788),1,0),0))</f>
        <v>1</v>
      </c>
    </row>
    <row r="789" spans="1:35" x14ac:dyDescent="0.2">
      <c r="A789" s="19">
        <v>784</v>
      </c>
      <c r="B789" s="19">
        <f t="shared" si="204"/>
        <v>22</v>
      </c>
      <c r="C789" s="19">
        <f t="shared" si="205"/>
        <v>28</v>
      </c>
      <c r="D789" s="19">
        <f>IF($C789&gt;p_horizon,0,IFERROR(IF(AND(INDEX(TblClusters[Cluster],$B789)&lt;&gt;"",ISNUMBER(INDEX(TblClusters[CPU initial (vCPU)],$B789)),ISNUMBER(INDEX(TblClusters[CPU min (vCPU)],$B789)),OR(INDEX(TblClusters[Plateforme],$B789)="IKS",INDEX(TblClusters[Plateforme],$B789)="ROKS")),1,0),0))</f>
        <v>1</v>
      </c>
      <c r="E789" s="72">
        <f t="shared" si="206"/>
        <v>47119</v>
      </c>
      <c r="F789" s="19" t="str">
        <f>IF($D789=1,INDEX(TblClusters[Cluster],$B789),"")</f>
        <v>ku002i000249</v>
      </c>
      <c r="G789" s="19" t="str">
        <f>IF($D789=1,INDEX(TblClusters[Plateforme],$B789),"")</f>
        <v>IKS</v>
      </c>
      <c r="H789" s="19">
        <f>IF($D789=1,INDEX(TblClusters[vCPU par nœud],$B789),"")</f>
        <v>32</v>
      </c>
      <c r="I789" s="19">
        <f>IF($D789=1,INDEX(TblClusters[RAM par nœud (Go)],$B789),"")</f>
        <v>128</v>
      </c>
      <c r="J789" s="19">
        <f>IF($D789=1,INDEX(TblClusters[Workers min],$B789),"")</f>
        <v>3</v>
      </c>
      <c r="K789" s="73">
        <f>IF($D789=1,INDEX(TblClusters[Tarif par nœud],$B789),"")</f>
        <v>1062</v>
      </c>
      <c r="L789" s="19">
        <f>IF($D789=1,INDEX(TblClusters[CPU initial (vCPU)],$B789),"")</f>
        <v>480</v>
      </c>
      <c r="M789" s="19">
        <f>IF($D789=1,INDEX(TblClusters[RAM initiale (Go)],$B789),"")</f>
        <v>1920</v>
      </c>
      <c r="N789" s="19">
        <f>IF($D789=1,INDEX(TblClusters[CPU min (vCPU)],$B789),"")</f>
        <v>96</v>
      </c>
      <c r="O789" s="19">
        <f>IF($D789=1,INDEX(TblClusters[RAM min (Go)],$B789),"")</f>
        <v>384</v>
      </c>
      <c r="P789" s="19">
        <f>IF($D789&lt;&gt;1,"",IF($G789="ROKS",SUMIFS(TblApplications[Besoin ROKS CPU (vCPU)],TblApplications[Cluster ROKS cible],$F789,TblApplications[Action],"À migrer",TblApplications[Déjà incluse ROKS],"Non",TblApplications[Mois prov (calc)],"&lt;="&amp;$E789),SUMIFS(TblApplications[CPU IKS libérable (vCPU)],TblApplications[Cluster IKS source],$F789,TblApplications[Mois lib (calc)],"&lt;="&amp;$E789)))</f>
        <v>480</v>
      </c>
      <c r="Q789" s="19">
        <f>IF($D789&lt;&gt;1,"",IF($G789="ROKS",SUMIFS(TblApplications[Besoin ROKS RAM (Go)],TblApplications[Cluster ROKS cible],$F789,TblApplications[Action],"À migrer",TblApplications[Déjà incluse ROKS],"Non",TblApplications[Mois prov (calc)],"&lt;="&amp;$E789),SUMIFS(TblApplications[RAM IKS libérable (Go)],TblApplications[Cluster IKS source],$F789,TblApplications[Mois lib (calc)],"&lt;="&amp;$E789)))</f>
        <v>1920</v>
      </c>
      <c r="R789" s="19">
        <f t="shared" si="207"/>
        <v>0</v>
      </c>
      <c r="S789" s="19">
        <f t="shared" si="208"/>
        <v>0</v>
      </c>
      <c r="T789" s="19">
        <f t="shared" si="209"/>
        <v>0</v>
      </c>
      <c r="U789" s="19">
        <f t="shared" si="210"/>
        <v>0</v>
      </c>
      <c r="V789" s="19">
        <f t="shared" si="211"/>
        <v>0</v>
      </c>
      <c r="W789" s="73">
        <f t="shared" si="212"/>
        <v>0</v>
      </c>
      <c r="X789" s="19">
        <f>IF($D789&lt;&gt;1,"",IF($G789="ROKS",$R789,IF($AI789=1,0,MAX($N789,$L789-SUMIFS(TblApplications[CPU IKS libérable (vCPU)],TblApplications[Cluster IKS source],$F789,TblApplications[Action],"À migrer",TblApplications[Mois prov (calc)],"&lt;="&amp;$E789)-SUMIFS(TblApplications[CPU IKS libérable (vCPU)],TblApplications[Cluster IKS source],$F789,TblApplications[Action],"À décommissionner",TblApplications[Mois lib (calc)],"&lt;="&amp;$E789)))))</f>
        <v>0</v>
      </c>
      <c r="Y789" s="19">
        <f>IF($D789&lt;&gt;1,"",IF($G789="ROKS",$S789,IF($AI789=1,0,MAX($O789,$M789-SUMIFS(TblApplications[RAM IKS libérable (Go)],TblApplications[Cluster IKS source],$F789,TblApplications[Action],"À migrer",TblApplications[Mois prov (calc)],"&lt;="&amp;$E789)-SUMIFS(TblApplications[RAM IKS libérable (Go)],TblApplications[Cluster IKS source],$F789,TblApplications[Action],"À décommissionner",TblApplications[Mois lib (calc)],"&lt;="&amp;$E789)))))</f>
        <v>0</v>
      </c>
      <c r="Z789" s="19">
        <f t="shared" si="213"/>
        <v>0</v>
      </c>
      <c r="AA789" s="73">
        <f t="shared" si="214"/>
        <v>0</v>
      </c>
      <c r="AB789" s="19">
        <f t="shared" si="215"/>
        <v>15</v>
      </c>
      <c r="AC789" s="73">
        <f t="shared" si="216"/>
        <v>15930</v>
      </c>
      <c r="AD789" s="19">
        <f t="shared" si="217"/>
        <v>0</v>
      </c>
      <c r="AE789" s="19">
        <f t="shared" si="218"/>
        <v>0</v>
      </c>
      <c r="AF789" s="19" t="str">
        <f>IF($D789&lt;&gt;1,"",IF(INDEX(TblClusters[Environnement],$B789)="","(vide)",INDEX(TblClusters[Environnement],$B789)))</f>
        <v>PRD</v>
      </c>
      <c r="AG789" s="19">
        <f t="shared" si="219"/>
        <v>0</v>
      </c>
      <c r="AH789" s="19">
        <f t="shared" si="220"/>
        <v>0</v>
      </c>
      <c r="AI789" s="19">
        <f>IF($D789&lt;&gt;1,"",IF(AND($G789="IKS",ISNUMBER(INDEX(TblClusters[Fermeture retenue],$B789))),IF($E789&gt;=INDEX(TblClusters[Fermeture retenue],$B789),1,0),0))</f>
        <v>1</v>
      </c>
    </row>
    <row r="790" spans="1:35" x14ac:dyDescent="0.2">
      <c r="A790" s="19">
        <v>785</v>
      </c>
      <c r="B790" s="19">
        <f t="shared" si="204"/>
        <v>22</v>
      </c>
      <c r="C790" s="19">
        <f t="shared" si="205"/>
        <v>29</v>
      </c>
      <c r="D790" s="19">
        <f>IF($C790&gt;p_horizon,0,IFERROR(IF(AND(INDEX(TblClusters[Cluster],$B790)&lt;&gt;"",ISNUMBER(INDEX(TblClusters[CPU initial (vCPU)],$B790)),ISNUMBER(INDEX(TblClusters[CPU min (vCPU)],$B790)),OR(INDEX(TblClusters[Plateforme],$B790)="IKS",INDEX(TblClusters[Plateforme],$B790)="ROKS")),1,0),0))</f>
        <v>1</v>
      </c>
      <c r="E790" s="72">
        <f t="shared" si="206"/>
        <v>47150</v>
      </c>
      <c r="F790" s="19" t="str">
        <f>IF($D790=1,INDEX(TblClusters[Cluster],$B790),"")</f>
        <v>ku002i000249</v>
      </c>
      <c r="G790" s="19" t="str">
        <f>IF($D790=1,INDEX(TblClusters[Plateforme],$B790),"")</f>
        <v>IKS</v>
      </c>
      <c r="H790" s="19">
        <f>IF($D790=1,INDEX(TblClusters[vCPU par nœud],$B790),"")</f>
        <v>32</v>
      </c>
      <c r="I790" s="19">
        <f>IF($D790=1,INDEX(TblClusters[RAM par nœud (Go)],$B790),"")</f>
        <v>128</v>
      </c>
      <c r="J790" s="19">
        <f>IF($D790=1,INDEX(TblClusters[Workers min],$B790),"")</f>
        <v>3</v>
      </c>
      <c r="K790" s="73">
        <f>IF($D790=1,INDEX(TblClusters[Tarif par nœud],$B790),"")</f>
        <v>1062</v>
      </c>
      <c r="L790" s="19">
        <f>IF($D790=1,INDEX(TblClusters[CPU initial (vCPU)],$B790),"")</f>
        <v>480</v>
      </c>
      <c r="M790" s="19">
        <f>IF($D790=1,INDEX(TblClusters[RAM initiale (Go)],$B790),"")</f>
        <v>1920</v>
      </c>
      <c r="N790" s="19">
        <f>IF($D790=1,INDEX(TblClusters[CPU min (vCPU)],$B790),"")</f>
        <v>96</v>
      </c>
      <c r="O790" s="19">
        <f>IF($D790=1,INDEX(TblClusters[RAM min (Go)],$B790),"")</f>
        <v>384</v>
      </c>
      <c r="P790" s="19">
        <f>IF($D790&lt;&gt;1,"",IF($G790="ROKS",SUMIFS(TblApplications[Besoin ROKS CPU (vCPU)],TblApplications[Cluster ROKS cible],$F790,TblApplications[Action],"À migrer",TblApplications[Déjà incluse ROKS],"Non",TblApplications[Mois prov (calc)],"&lt;="&amp;$E790),SUMIFS(TblApplications[CPU IKS libérable (vCPU)],TblApplications[Cluster IKS source],$F790,TblApplications[Mois lib (calc)],"&lt;="&amp;$E790)))</f>
        <v>480</v>
      </c>
      <c r="Q790" s="19">
        <f>IF($D790&lt;&gt;1,"",IF($G790="ROKS",SUMIFS(TblApplications[Besoin ROKS RAM (Go)],TblApplications[Cluster ROKS cible],$F790,TblApplications[Action],"À migrer",TblApplications[Déjà incluse ROKS],"Non",TblApplications[Mois prov (calc)],"&lt;="&amp;$E790),SUMIFS(TblApplications[RAM IKS libérable (Go)],TblApplications[Cluster IKS source],$F790,TblApplications[Mois lib (calc)],"&lt;="&amp;$E790)))</f>
        <v>1920</v>
      </c>
      <c r="R790" s="19">
        <f t="shared" si="207"/>
        <v>0</v>
      </c>
      <c r="S790" s="19">
        <f t="shared" si="208"/>
        <v>0</v>
      </c>
      <c r="T790" s="19">
        <f t="shared" si="209"/>
        <v>0</v>
      </c>
      <c r="U790" s="19">
        <f t="shared" si="210"/>
        <v>0</v>
      </c>
      <c r="V790" s="19">
        <f t="shared" si="211"/>
        <v>0</v>
      </c>
      <c r="W790" s="73">
        <f t="shared" si="212"/>
        <v>0</v>
      </c>
      <c r="X790" s="19">
        <f>IF($D790&lt;&gt;1,"",IF($G790="ROKS",$R790,IF($AI790=1,0,MAX($N790,$L790-SUMIFS(TblApplications[CPU IKS libérable (vCPU)],TblApplications[Cluster IKS source],$F790,TblApplications[Action],"À migrer",TblApplications[Mois prov (calc)],"&lt;="&amp;$E790)-SUMIFS(TblApplications[CPU IKS libérable (vCPU)],TblApplications[Cluster IKS source],$F790,TblApplications[Action],"À décommissionner",TblApplications[Mois lib (calc)],"&lt;="&amp;$E790)))))</f>
        <v>0</v>
      </c>
      <c r="Y790" s="19">
        <f>IF($D790&lt;&gt;1,"",IF($G790="ROKS",$S790,IF($AI790=1,0,MAX($O790,$M790-SUMIFS(TblApplications[RAM IKS libérable (Go)],TblApplications[Cluster IKS source],$F790,TblApplications[Action],"À migrer",TblApplications[Mois prov (calc)],"&lt;="&amp;$E790)-SUMIFS(TblApplications[RAM IKS libérable (Go)],TblApplications[Cluster IKS source],$F790,TblApplications[Action],"À décommissionner",TblApplications[Mois lib (calc)],"&lt;="&amp;$E790)))))</f>
        <v>0</v>
      </c>
      <c r="Z790" s="19">
        <f t="shared" si="213"/>
        <v>0</v>
      </c>
      <c r="AA790" s="73">
        <f t="shared" si="214"/>
        <v>0</v>
      </c>
      <c r="AB790" s="19">
        <f t="shared" si="215"/>
        <v>15</v>
      </c>
      <c r="AC790" s="73">
        <f t="shared" si="216"/>
        <v>15930</v>
      </c>
      <c r="AD790" s="19">
        <f t="shared" si="217"/>
        <v>0</v>
      </c>
      <c r="AE790" s="19">
        <f t="shared" si="218"/>
        <v>0</v>
      </c>
      <c r="AF790" s="19" t="str">
        <f>IF($D790&lt;&gt;1,"",IF(INDEX(TblClusters[Environnement],$B790)="","(vide)",INDEX(TblClusters[Environnement],$B790)))</f>
        <v>PRD</v>
      </c>
      <c r="AG790" s="19">
        <f t="shared" si="219"/>
        <v>0</v>
      </c>
      <c r="AH790" s="19">
        <f t="shared" si="220"/>
        <v>0</v>
      </c>
      <c r="AI790" s="19">
        <f>IF($D790&lt;&gt;1,"",IF(AND($G790="IKS",ISNUMBER(INDEX(TblClusters[Fermeture retenue],$B790))),IF($E790&gt;=INDEX(TblClusters[Fermeture retenue],$B790),1,0),0))</f>
        <v>1</v>
      </c>
    </row>
    <row r="791" spans="1:35" x14ac:dyDescent="0.2">
      <c r="A791" s="19">
        <v>786</v>
      </c>
      <c r="B791" s="19">
        <f t="shared" si="204"/>
        <v>22</v>
      </c>
      <c r="C791" s="19">
        <f t="shared" si="205"/>
        <v>30</v>
      </c>
      <c r="D791" s="19">
        <f>IF($C791&gt;p_horizon,0,IFERROR(IF(AND(INDEX(TblClusters[Cluster],$B791)&lt;&gt;"",ISNUMBER(INDEX(TblClusters[CPU initial (vCPU)],$B791)),ISNUMBER(INDEX(TblClusters[CPU min (vCPU)],$B791)),OR(INDEX(TblClusters[Plateforme],$B791)="IKS",INDEX(TblClusters[Plateforme],$B791)="ROKS")),1,0),0))</f>
        <v>1</v>
      </c>
      <c r="E791" s="72">
        <f t="shared" si="206"/>
        <v>47178</v>
      </c>
      <c r="F791" s="19" t="str">
        <f>IF($D791=1,INDEX(TblClusters[Cluster],$B791),"")</f>
        <v>ku002i000249</v>
      </c>
      <c r="G791" s="19" t="str">
        <f>IF($D791=1,INDEX(TblClusters[Plateforme],$B791),"")</f>
        <v>IKS</v>
      </c>
      <c r="H791" s="19">
        <f>IF($D791=1,INDEX(TblClusters[vCPU par nœud],$B791),"")</f>
        <v>32</v>
      </c>
      <c r="I791" s="19">
        <f>IF($D791=1,INDEX(TblClusters[RAM par nœud (Go)],$B791),"")</f>
        <v>128</v>
      </c>
      <c r="J791" s="19">
        <f>IF($D791=1,INDEX(TblClusters[Workers min],$B791),"")</f>
        <v>3</v>
      </c>
      <c r="K791" s="73">
        <f>IF($D791=1,INDEX(TblClusters[Tarif par nœud],$B791),"")</f>
        <v>1062</v>
      </c>
      <c r="L791" s="19">
        <f>IF($D791=1,INDEX(TblClusters[CPU initial (vCPU)],$B791),"")</f>
        <v>480</v>
      </c>
      <c r="M791" s="19">
        <f>IF($D791=1,INDEX(TblClusters[RAM initiale (Go)],$B791),"")</f>
        <v>1920</v>
      </c>
      <c r="N791" s="19">
        <f>IF($D791=1,INDEX(TblClusters[CPU min (vCPU)],$B791),"")</f>
        <v>96</v>
      </c>
      <c r="O791" s="19">
        <f>IF($D791=1,INDEX(TblClusters[RAM min (Go)],$B791),"")</f>
        <v>384</v>
      </c>
      <c r="P791" s="19">
        <f>IF($D791&lt;&gt;1,"",IF($G791="ROKS",SUMIFS(TblApplications[Besoin ROKS CPU (vCPU)],TblApplications[Cluster ROKS cible],$F791,TblApplications[Action],"À migrer",TblApplications[Déjà incluse ROKS],"Non",TblApplications[Mois prov (calc)],"&lt;="&amp;$E791),SUMIFS(TblApplications[CPU IKS libérable (vCPU)],TblApplications[Cluster IKS source],$F791,TblApplications[Mois lib (calc)],"&lt;="&amp;$E791)))</f>
        <v>480</v>
      </c>
      <c r="Q791" s="19">
        <f>IF($D791&lt;&gt;1,"",IF($G791="ROKS",SUMIFS(TblApplications[Besoin ROKS RAM (Go)],TblApplications[Cluster ROKS cible],$F791,TblApplications[Action],"À migrer",TblApplications[Déjà incluse ROKS],"Non",TblApplications[Mois prov (calc)],"&lt;="&amp;$E791),SUMIFS(TblApplications[RAM IKS libérable (Go)],TblApplications[Cluster IKS source],$F791,TblApplications[Mois lib (calc)],"&lt;="&amp;$E791)))</f>
        <v>1920</v>
      </c>
      <c r="R791" s="19">
        <f t="shared" si="207"/>
        <v>0</v>
      </c>
      <c r="S791" s="19">
        <f t="shared" si="208"/>
        <v>0</v>
      </c>
      <c r="T791" s="19">
        <f t="shared" si="209"/>
        <v>0</v>
      </c>
      <c r="U791" s="19">
        <f t="shared" si="210"/>
        <v>0</v>
      </c>
      <c r="V791" s="19">
        <f t="shared" si="211"/>
        <v>0</v>
      </c>
      <c r="W791" s="73">
        <f t="shared" si="212"/>
        <v>0</v>
      </c>
      <c r="X791" s="19">
        <f>IF($D791&lt;&gt;1,"",IF($G791="ROKS",$R791,IF($AI791=1,0,MAX($N791,$L791-SUMIFS(TblApplications[CPU IKS libérable (vCPU)],TblApplications[Cluster IKS source],$F791,TblApplications[Action],"À migrer",TblApplications[Mois prov (calc)],"&lt;="&amp;$E791)-SUMIFS(TblApplications[CPU IKS libérable (vCPU)],TblApplications[Cluster IKS source],$F791,TblApplications[Action],"À décommissionner",TblApplications[Mois lib (calc)],"&lt;="&amp;$E791)))))</f>
        <v>0</v>
      </c>
      <c r="Y791" s="19">
        <f>IF($D791&lt;&gt;1,"",IF($G791="ROKS",$S791,IF($AI791=1,0,MAX($O791,$M791-SUMIFS(TblApplications[RAM IKS libérable (Go)],TblApplications[Cluster IKS source],$F791,TblApplications[Action],"À migrer",TblApplications[Mois prov (calc)],"&lt;="&amp;$E791)-SUMIFS(TblApplications[RAM IKS libérable (Go)],TblApplications[Cluster IKS source],$F791,TblApplications[Action],"À décommissionner",TblApplications[Mois lib (calc)],"&lt;="&amp;$E791)))))</f>
        <v>0</v>
      </c>
      <c r="Z791" s="19">
        <f t="shared" si="213"/>
        <v>0</v>
      </c>
      <c r="AA791" s="73">
        <f t="shared" si="214"/>
        <v>0</v>
      </c>
      <c r="AB791" s="19">
        <f t="shared" si="215"/>
        <v>15</v>
      </c>
      <c r="AC791" s="73">
        <f t="shared" si="216"/>
        <v>15930</v>
      </c>
      <c r="AD791" s="19">
        <f t="shared" si="217"/>
        <v>0</v>
      </c>
      <c r="AE791" s="19">
        <f t="shared" si="218"/>
        <v>0</v>
      </c>
      <c r="AF791" s="19" t="str">
        <f>IF($D791&lt;&gt;1,"",IF(INDEX(TblClusters[Environnement],$B791)="","(vide)",INDEX(TblClusters[Environnement],$B791)))</f>
        <v>PRD</v>
      </c>
      <c r="AG791" s="19">
        <f t="shared" si="219"/>
        <v>0</v>
      </c>
      <c r="AH791" s="19">
        <f t="shared" si="220"/>
        <v>0</v>
      </c>
      <c r="AI791" s="19">
        <f>IF($D791&lt;&gt;1,"",IF(AND($G791="IKS",ISNUMBER(INDEX(TblClusters[Fermeture retenue],$B791))),IF($E791&gt;=INDEX(TblClusters[Fermeture retenue],$B791),1,0),0))</f>
        <v>1</v>
      </c>
    </row>
    <row r="792" spans="1:35" x14ac:dyDescent="0.2">
      <c r="A792" s="19">
        <v>787</v>
      </c>
      <c r="B792" s="19">
        <f t="shared" si="204"/>
        <v>22</v>
      </c>
      <c r="C792" s="19">
        <f t="shared" si="205"/>
        <v>31</v>
      </c>
      <c r="D792" s="19">
        <f>IF($C792&gt;p_horizon,0,IFERROR(IF(AND(INDEX(TblClusters[Cluster],$B792)&lt;&gt;"",ISNUMBER(INDEX(TblClusters[CPU initial (vCPU)],$B792)),ISNUMBER(INDEX(TblClusters[CPU min (vCPU)],$B792)),OR(INDEX(TblClusters[Plateforme],$B792)="IKS",INDEX(TblClusters[Plateforme],$B792)="ROKS")),1,0),0))</f>
        <v>1</v>
      </c>
      <c r="E792" s="72">
        <f t="shared" si="206"/>
        <v>47209</v>
      </c>
      <c r="F792" s="19" t="str">
        <f>IF($D792=1,INDEX(TblClusters[Cluster],$B792),"")</f>
        <v>ku002i000249</v>
      </c>
      <c r="G792" s="19" t="str">
        <f>IF($D792=1,INDEX(TblClusters[Plateforme],$B792),"")</f>
        <v>IKS</v>
      </c>
      <c r="H792" s="19">
        <f>IF($D792=1,INDEX(TblClusters[vCPU par nœud],$B792),"")</f>
        <v>32</v>
      </c>
      <c r="I792" s="19">
        <f>IF($D792=1,INDEX(TblClusters[RAM par nœud (Go)],$B792),"")</f>
        <v>128</v>
      </c>
      <c r="J792" s="19">
        <f>IF($D792=1,INDEX(TblClusters[Workers min],$B792),"")</f>
        <v>3</v>
      </c>
      <c r="K792" s="73">
        <f>IF($D792=1,INDEX(TblClusters[Tarif par nœud],$B792),"")</f>
        <v>1062</v>
      </c>
      <c r="L792" s="19">
        <f>IF($D792=1,INDEX(TblClusters[CPU initial (vCPU)],$B792),"")</f>
        <v>480</v>
      </c>
      <c r="M792" s="19">
        <f>IF($D792=1,INDEX(TblClusters[RAM initiale (Go)],$B792),"")</f>
        <v>1920</v>
      </c>
      <c r="N792" s="19">
        <f>IF($D792=1,INDEX(TblClusters[CPU min (vCPU)],$B792),"")</f>
        <v>96</v>
      </c>
      <c r="O792" s="19">
        <f>IF($D792=1,INDEX(TblClusters[RAM min (Go)],$B792),"")</f>
        <v>384</v>
      </c>
      <c r="P792" s="19">
        <f>IF($D792&lt;&gt;1,"",IF($G792="ROKS",SUMIFS(TblApplications[Besoin ROKS CPU (vCPU)],TblApplications[Cluster ROKS cible],$F792,TblApplications[Action],"À migrer",TblApplications[Déjà incluse ROKS],"Non",TblApplications[Mois prov (calc)],"&lt;="&amp;$E792),SUMIFS(TblApplications[CPU IKS libérable (vCPU)],TblApplications[Cluster IKS source],$F792,TblApplications[Mois lib (calc)],"&lt;="&amp;$E792)))</f>
        <v>480</v>
      </c>
      <c r="Q792" s="19">
        <f>IF($D792&lt;&gt;1,"",IF($G792="ROKS",SUMIFS(TblApplications[Besoin ROKS RAM (Go)],TblApplications[Cluster ROKS cible],$F792,TblApplications[Action],"À migrer",TblApplications[Déjà incluse ROKS],"Non",TblApplications[Mois prov (calc)],"&lt;="&amp;$E792),SUMIFS(TblApplications[RAM IKS libérable (Go)],TblApplications[Cluster IKS source],$F792,TblApplications[Mois lib (calc)],"&lt;="&amp;$E792)))</f>
        <v>1920</v>
      </c>
      <c r="R792" s="19">
        <f t="shared" si="207"/>
        <v>0</v>
      </c>
      <c r="S792" s="19">
        <f t="shared" si="208"/>
        <v>0</v>
      </c>
      <c r="T792" s="19">
        <f t="shared" si="209"/>
        <v>0</v>
      </c>
      <c r="U792" s="19">
        <f t="shared" si="210"/>
        <v>0</v>
      </c>
      <c r="V792" s="19">
        <f t="shared" si="211"/>
        <v>0</v>
      </c>
      <c r="W792" s="73">
        <f t="shared" si="212"/>
        <v>0</v>
      </c>
      <c r="X792" s="19">
        <f>IF($D792&lt;&gt;1,"",IF($G792="ROKS",$R792,IF($AI792=1,0,MAX($N792,$L792-SUMIFS(TblApplications[CPU IKS libérable (vCPU)],TblApplications[Cluster IKS source],$F792,TblApplications[Action],"À migrer",TblApplications[Mois prov (calc)],"&lt;="&amp;$E792)-SUMIFS(TblApplications[CPU IKS libérable (vCPU)],TblApplications[Cluster IKS source],$F792,TblApplications[Action],"À décommissionner",TblApplications[Mois lib (calc)],"&lt;="&amp;$E792)))))</f>
        <v>0</v>
      </c>
      <c r="Y792" s="19">
        <f>IF($D792&lt;&gt;1,"",IF($G792="ROKS",$S792,IF($AI792=1,0,MAX($O792,$M792-SUMIFS(TblApplications[RAM IKS libérable (Go)],TblApplications[Cluster IKS source],$F792,TblApplications[Action],"À migrer",TblApplications[Mois prov (calc)],"&lt;="&amp;$E792)-SUMIFS(TblApplications[RAM IKS libérable (Go)],TblApplications[Cluster IKS source],$F792,TblApplications[Action],"À décommissionner",TblApplications[Mois lib (calc)],"&lt;="&amp;$E792)))))</f>
        <v>0</v>
      </c>
      <c r="Z792" s="19">
        <f t="shared" si="213"/>
        <v>0</v>
      </c>
      <c r="AA792" s="73">
        <f t="shared" si="214"/>
        <v>0</v>
      </c>
      <c r="AB792" s="19">
        <f t="shared" si="215"/>
        <v>15</v>
      </c>
      <c r="AC792" s="73">
        <f t="shared" si="216"/>
        <v>15930</v>
      </c>
      <c r="AD792" s="19">
        <f t="shared" si="217"/>
        <v>0</v>
      </c>
      <c r="AE792" s="19">
        <f t="shared" si="218"/>
        <v>0</v>
      </c>
      <c r="AF792" s="19" t="str">
        <f>IF($D792&lt;&gt;1,"",IF(INDEX(TblClusters[Environnement],$B792)="","(vide)",INDEX(TblClusters[Environnement],$B792)))</f>
        <v>PRD</v>
      </c>
      <c r="AG792" s="19">
        <f t="shared" si="219"/>
        <v>0</v>
      </c>
      <c r="AH792" s="19">
        <f t="shared" si="220"/>
        <v>0</v>
      </c>
      <c r="AI792" s="19">
        <f>IF($D792&lt;&gt;1,"",IF(AND($G792="IKS",ISNUMBER(INDEX(TblClusters[Fermeture retenue],$B792))),IF($E792&gt;=INDEX(TblClusters[Fermeture retenue],$B792),1,0),0))</f>
        <v>1</v>
      </c>
    </row>
    <row r="793" spans="1:35" x14ac:dyDescent="0.2">
      <c r="A793" s="19">
        <v>788</v>
      </c>
      <c r="B793" s="19">
        <f t="shared" si="204"/>
        <v>22</v>
      </c>
      <c r="C793" s="19">
        <f t="shared" si="205"/>
        <v>32</v>
      </c>
      <c r="D793" s="19">
        <f>IF($C793&gt;p_horizon,0,IFERROR(IF(AND(INDEX(TblClusters[Cluster],$B793)&lt;&gt;"",ISNUMBER(INDEX(TblClusters[CPU initial (vCPU)],$B793)),ISNUMBER(INDEX(TblClusters[CPU min (vCPU)],$B793)),OR(INDEX(TblClusters[Plateforme],$B793)="IKS",INDEX(TblClusters[Plateforme],$B793)="ROKS")),1,0),0))</f>
        <v>1</v>
      </c>
      <c r="E793" s="72">
        <f t="shared" si="206"/>
        <v>47239</v>
      </c>
      <c r="F793" s="19" t="str">
        <f>IF($D793=1,INDEX(TblClusters[Cluster],$B793),"")</f>
        <v>ku002i000249</v>
      </c>
      <c r="G793" s="19" t="str">
        <f>IF($D793=1,INDEX(TblClusters[Plateforme],$B793),"")</f>
        <v>IKS</v>
      </c>
      <c r="H793" s="19">
        <f>IF($D793=1,INDEX(TblClusters[vCPU par nœud],$B793),"")</f>
        <v>32</v>
      </c>
      <c r="I793" s="19">
        <f>IF($D793=1,INDEX(TblClusters[RAM par nœud (Go)],$B793),"")</f>
        <v>128</v>
      </c>
      <c r="J793" s="19">
        <f>IF($D793=1,INDEX(TblClusters[Workers min],$B793),"")</f>
        <v>3</v>
      </c>
      <c r="K793" s="73">
        <f>IF($D793=1,INDEX(TblClusters[Tarif par nœud],$B793),"")</f>
        <v>1062</v>
      </c>
      <c r="L793" s="19">
        <f>IF($D793=1,INDEX(TblClusters[CPU initial (vCPU)],$B793),"")</f>
        <v>480</v>
      </c>
      <c r="M793" s="19">
        <f>IF($D793=1,INDEX(TblClusters[RAM initiale (Go)],$B793),"")</f>
        <v>1920</v>
      </c>
      <c r="N793" s="19">
        <f>IF($D793=1,INDEX(TblClusters[CPU min (vCPU)],$B793),"")</f>
        <v>96</v>
      </c>
      <c r="O793" s="19">
        <f>IF($D793=1,INDEX(TblClusters[RAM min (Go)],$B793),"")</f>
        <v>384</v>
      </c>
      <c r="P793" s="19">
        <f>IF($D793&lt;&gt;1,"",IF($G793="ROKS",SUMIFS(TblApplications[Besoin ROKS CPU (vCPU)],TblApplications[Cluster ROKS cible],$F793,TblApplications[Action],"À migrer",TblApplications[Déjà incluse ROKS],"Non",TblApplications[Mois prov (calc)],"&lt;="&amp;$E793),SUMIFS(TblApplications[CPU IKS libérable (vCPU)],TblApplications[Cluster IKS source],$F793,TblApplications[Mois lib (calc)],"&lt;="&amp;$E793)))</f>
        <v>480</v>
      </c>
      <c r="Q793" s="19">
        <f>IF($D793&lt;&gt;1,"",IF($G793="ROKS",SUMIFS(TblApplications[Besoin ROKS RAM (Go)],TblApplications[Cluster ROKS cible],$F793,TblApplications[Action],"À migrer",TblApplications[Déjà incluse ROKS],"Non",TblApplications[Mois prov (calc)],"&lt;="&amp;$E793),SUMIFS(TblApplications[RAM IKS libérable (Go)],TblApplications[Cluster IKS source],$F793,TblApplications[Mois lib (calc)],"&lt;="&amp;$E793)))</f>
        <v>1920</v>
      </c>
      <c r="R793" s="19">
        <f t="shared" si="207"/>
        <v>0</v>
      </c>
      <c r="S793" s="19">
        <f t="shared" si="208"/>
        <v>0</v>
      </c>
      <c r="T793" s="19">
        <f t="shared" si="209"/>
        <v>0</v>
      </c>
      <c r="U793" s="19">
        <f t="shared" si="210"/>
        <v>0</v>
      </c>
      <c r="V793" s="19">
        <f t="shared" si="211"/>
        <v>0</v>
      </c>
      <c r="W793" s="73">
        <f t="shared" si="212"/>
        <v>0</v>
      </c>
      <c r="X793" s="19">
        <f>IF($D793&lt;&gt;1,"",IF($G793="ROKS",$R793,IF($AI793=1,0,MAX($N793,$L793-SUMIFS(TblApplications[CPU IKS libérable (vCPU)],TblApplications[Cluster IKS source],$F793,TblApplications[Action],"À migrer",TblApplications[Mois prov (calc)],"&lt;="&amp;$E793)-SUMIFS(TblApplications[CPU IKS libérable (vCPU)],TblApplications[Cluster IKS source],$F793,TblApplications[Action],"À décommissionner",TblApplications[Mois lib (calc)],"&lt;="&amp;$E793)))))</f>
        <v>0</v>
      </c>
      <c r="Y793" s="19">
        <f>IF($D793&lt;&gt;1,"",IF($G793="ROKS",$S793,IF($AI793=1,0,MAX($O793,$M793-SUMIFS(TblApplications[RAM IKS libérable (Go)],TblApplications[Cluster IKS source],$F793,TblApplications[Action],"À migrer",TblApplications[Mois prov (calc)],"&lt;="&amp;$E793)-SUMIFS(TblApplications[RAM IKS libérable (Go)],TblApplications[Cluster IKS source],$F793,TblApplications[Action],"À décommissionner",TblApplications[Mois lib (calc)],"&lt;="&amp;$E793)))))</f>
        <v>0</v>
      </c>
      <c r="Z793" s="19">
        <f t="shared" si="213"/>
        <v>0</v>
      </c>
      <c r="AA793" s="73">
        <f t="shared" si="214"/>
        <v>0</v>
      </c>
      <c r="AB793" s="19">
        <f t="shared" si="215"/>
        <v>15</v>
      </c>
      <c r="AC793" s="73">
        <f t="shared" si="216"/>
        <v>15930</v>
      </c>
      <c r="AD793" s="19">
        <f t="shared" si="217"/>
        <v>0</v>
      </c>
      <c r="AE793" s="19">
        <f t="shared" si="218"/>
        <v>0</v>
      </c>
      <c r="AF793" s="19" t="str">
        <f>IF($D793&lt;&gt;1,"",IF(INDEX(TblClusters[Environnement],$B793)="","(vide)",INDEX(TblClusters[Environnement],$B793)))</f>
        <v>PRD</v>
      </c>
      <c r="AG793" s="19">
        <f t="shared" si="219"/>
        <v>0</v>
      </c>
      <c r="AH793" s="19">
        <f t="shared" si="220"/>
        <v>0</v>
      </c>
      <c r="AI793" s="19">
        <f>IF($D793&lt;&gt;1,"",IF(AND($G793="IKS",ISNUMBER(INDEX(TblClusters[Fermeture retenue],$B793))),IF($E793&gt;=INDEX(TblClusters[Fermeture retenue],$B793),1,0),0))</f>
        <v>1</v>
      </c>
    </row>
    <row r="794" spans="1:35" x14ac:dyDescent="0.2">
      <c r="A794" s="19">
        <v>789</v>
      </c>
      <c r="B794" s="19">
        <f t="shared" si="204"/>
        <v>22</v>
      </c>
      <c r="C794" s="19">
        <f t="shared" si="205"/>
        <v>33</v>
      </c>
      <c r="D794" s="19">
        <f>IF($C794&gt;p_horizon,0,IFERROR(IF(AND(INDEX(TblClusters[Cluster],$B794)&lt;&gt;"",ISNUMBER(INDEX(TblClusters[CPU initial (vCPU)],$B794)),ISNUMBER(INDEX(TblClusters[CPU min (vCPU)],$B794)),OR(INDEX(TblClusters[Plateforme],$B794)="IKS",INDEX(TblClusters[Plateforme],$B794)="ROKS")),1,0),0))</f>
        <v>1</v>
      </c>
      <c r="E794" s="72">
        <f t="shared" si="206"/>
        <v>47270</v>
      </c>
      <c r="F794" s="19" t="str">
        <f>IF($D794=1,INDEX(TblClusters[Cluster],$B794),"")</f>
        <v>ku002i000249</v>
      </c>
      <c r="G794" s="19" t="str">
        <f>IF($D794=1,INDEX(TblClusters[Plateforme],$B794),"")</f>
        <v>IKS</v>
      </c>
      <c r="H794" s="19">
        <f>IF($D794=1,INDEX(TblClusters[vCPU par nœud],$B794),"")</f>
        <v>32</v>
      </c>
      <c r="I794" s="19">
        <f>IF($D794=1,INDEX(TblClusters[RAM par nœud (Go)],$B794),"")</f>
        <v>128</v>
      </c>
      <c r="J794" s="19">
        <f>IF($D794=1,INDEX(TblClusters[Workers min],$B794),"")</f>
        <v>3</v>
      </c>
      <c r="K794" s="73">
        <f>IF($D794=1,INDEX(TblClusters[Tarif par nœud],$B794),"")</f>
        <v>1062</v>
      </c>
      <c r="L794" s="19">
        <f>IF($D794=1,INDEX(TblClusters[CPU initial (vCPU)],$B794),"")</f>
        <v>480</v>
      </c>
      <c r="M794" s="19">
        <f>IF($D794=1,INDEX(TblClusters[RAM initiale (Go)],$B794),"")</f>
        <v>1920</v>
      </c>
      <c r="N794" s="19">
        <f>IF($D794=1,INDEX(TblClusters[CPU min (vCPU)],$B794),"")</f>
        <v>96</v>
      </c>
      <c r="O794" s="19">
        <f>IF($D794=1,INDEX(TblClusters[RAM min (Go)],$B794),"")</f>
        <v>384</v>
      </c>
      <c r="P794" s="19">
        <f>IF($D794&lt;&gt;1,"",IF($G794="ROKS",SUMIFS(TblApplications[Besoin ROKS CPU (vCPU)],TblApplications[Cluster ROKS cible],$F794,TblApplications[Action],"À migrer",TblApplications[Déjà incluse ROKS],"Non",TblApplications[Mois prov (calc)],"&lt;="&amp;$E794),SUMIFS(TblApplications[CPU IKS libérable (vCPU)],TblApplications[Cluster IKS source],$F794,TblApplications[Mois lib (calc)],"&lt;="&amp;$E794)))</f>
        <v>480</v>
      </c>
      <c r="Q794" s="19">
        <f>IF($D794&lt;&gt;1,"",IF($G794="ROKS",SUMIFS(TblApplications[Besoin ROKS RAM (Go)],TblApplications[Cluster ROKS cible],$F794,TblApplications[Action],"À migrer",TblApplications[Déjà incluse ROKS],"Non",TblApplications[Mois prov (calc)],"&lt;="&amp;$E794),SUMIFS(TblApplications[RAM IKS libérable (Go)],TblApplications[Cluster IKS source],$F794,TblApplications[Mois lib (calc)],"&lt;="&amp;$E794)))</f>
        <v>1920</v>
      </c>
      <c r="R794" s="19">
        <f t="shared" si="207"/>
        <v>0</v>
      </c>
      <c r="S794" s="19">
        <f t="shared" si="208"/>
        <v>0</v>
      </c>
      <c r="T794" s="19">
        <f t="shared" si="209"/>
        <v>0</v>
      </c>
      <c r="U794" s="19">
        <f t="shared" si="210"/>
        <v>0</v>
      </c>
      <c r="V794" s="19">
        <f t="shared" si="211"/>
        <v>0</v>
      </c>
      <c r="W794" s="73">
        <f t="shared" si="212"/>
        <v>0</v>
      </c>
      <c r="X794" s="19">
        <f>IF($D794&lt;&gt;1,"",IF($G794="ROKS",$R794,IF($AI794=1,0,MAX($N794,$L794-SUMIFS(TblApplications[CPU IKS libérable (vCPU)],TblApplications[Cluster IKS source],$F794,TblApplications[Action],"À migrer",TblApplications[Mois prov (calc)],"&lt;="&amp;$E794)-SUMIFS(TblApplications[CPU IKS libérable (vCPU)],TblApplications[Cluster IKS source],$F794,TblApplications[Action],"À décommissionner",TblApplications[Mois lib (calc)],"&lt;="&amp;$E794)))))</f>
        <v>0</v>
      </c>
      <c r="Y794" s="19">
        <f>IF($D794&lt;&gt;1,"",IF($G794="ROKS",$S794,IF($AI794=1,0,MAX($O794,$M794-SUMIFS(TblApplications[RAM IKS libérable (Go)],TblApplications[Cluster IKS source],$F794,TblApplications[Action],"À migrer",TblApplications[Mois prov (calc)],"&lt;="&amp;$E794)-SUMIFS(TblApplications[RAM IKS libérable (Go)],TblApplications[Cluster IKS source],$F794,TblApplications[Action],"À décommissionner",TblApplications[Mois lib (calc)],"&lt;="&amp;$E794)))))</f>
        <v>0</v>
      </c>
      <c r="Z794" s="19">
        <f t="shared" si="213"/>
        <v>0</v>
      </c>
      <c r="AA794" s="73">
        <f t="shared" si="214"/>
        <v>0</v>
      </c>
      <c r="AB794" s="19">
        <f t="shared" si="215"/>
        <v>15</v>
      </c>
      <c r="AC794" s="73">
        <f t="shared" si="216"/>
        <v>15930</v>
      </c>
      <c r="AD794" s="19">
        <f t="shared" si="217"/>
        <v>0</v>
      </c>
      <c r="AE794" s="19">
        <f t="shared" si="218"/>
        <v>0</v>
      </c>
      <c r="AF794" s="19" t="str">
        <f>IF($D794&lt;&gt;1,"",IF(INDEX(TblClusters[Environnement],$B794)="","(vide)",INDEX(TblClusters[Environnement],$B794)))</f>
        <v>PRD</v>
      </c>
      <c r="AG794" s="19">
        <f t="shared" si="219"/>
        <v>0</v>
      </c>
      <c r="AH794" s="19">
        <f t="shared" si="220"/>
        <v>0</v>
      </c>
      <c r="AI794" s="19">
        <f>IF($D794&lt;&gt;1,"",IF(AND($G794="IKS",ISNUMBER(INDEX(TblClusters[Fermeture retenue],$B794))),IF($E794&gt;=INDEX(TblClusters[Fermeture retenue],$B794),1,0),0))</f>
        <v>1</v>
      </c>
    </row>
    <row r="795" spans="1:35" x14ac:dyDescent="0.2">
      <c r="A795" s="19">
        <v>790</v>
      </c>
      <c r="B795" s="19">
        <f t="shared" si="204"/>
        <v>22</v>
      </c>
      <c r="C795" s="19">
        <f t="shared" si="205"/>
        <v>34</v>
      </c>
      <c r="D795" s="19">
        <f>IF($C795&gt;p_horizon,0,IFERROR(IF(AND(INDEX(TblClusters[Cluster],$B795)&lt;&gt;"",ISNUMBER(INDEX(TblClusters[CPU initial (vCPU)],$B795)),ISNUMBER(INDEX(TblClusters[CPU min (vCPU)],$B795)),OR(INDEX(TblClusters[Plateforme],$B795)="IKS",INDEX(TblClusters[Plateforme],$B795)="ROKS")),1,0),0))</f>
        <v>1</v>
      </c>
      <c r="E795" s="72">
        <f t="shared" si="206"/>
        <v>47300</v>
      </c>
      <c r="F795" s="19" t="str">
        <f>IF($D795=1,INDEX(TblClusters[Cluster],$B795),"")</f>
        <v>ku002i000249</v>
      </c>
      <c r="G795" s="19" t="str">
        <f>IF($D795=1,INDEX(TblClusters[Plateforme],$B795),"")</f>
        <v>IKS</v>
      </c>
      <c r="H795" s="19">
        <f>IF($D795=1,INDEX(TblClusters[vCPU par nœud],$B795),"")</f>
        <v>32</v>
      </c>
      <c r="I795" s="19">
        <f>IF($D795=1,INDEX(TblClusters[RAM par nœud (Go)],$B795),"")</f>
        <v>128</v>
      </c>
      <c r="J795" s="19">
        <f>IF($D795=1,INDEX(TblClusters[Workers min],$B795),"")</f>
        <v>3</v>
      </c>
      <c r="K795" s="73">
        <f>IF($D795=1,INDEX(TblClusters[Tarif par nœud],$B795),"")</f>
        <v>1062</v>
      </c>
      <c r="L795" s="19">
        <f>IF($D795=1,INDEX(TblClusters[CPU initial (vCPU)],$B795),"")</f>
        <v>480</v>
      </c>
      <c r="M795" s="19">
        <f>IF($D795=1,INDEX(TblClusters[RAM initiale (Go)],$B795),"")</f>
        <v>1920</v>
      </c>
      <c r="N795" s="19">
        <f>IF($D795=1,INDEX(TblClusters[CPU min (vCPU)],$B795),"")</f>
        <v>96</v>
      </c>
      <c r="O795" s="19">
        <f>IF($D795=1,INDEX(TblClusters[RAM min (Go)],$B795),"")</f>
        <v>384</v>
      </c>
      <c r="P795" s="19">
        <f>IF($D795&lt;&gt;1,"",IF($G795="ROKS",SUMIFS(TblApplications[Besoin ROKS CPU (vCPU)],TblApplications[Cluster ROKS cible],$F795,TblApplications[Action],"À migrer",TblApplications[Déjà incluse ROKS],"Non",TblApplications[Mois prov (calc)],"&lt;="&amp;$E795),SUMIFS(TblApplications[CPU IKS libérable (vCPU)],TblApplications[Cluster IKS source],$F795,TblApplications[Mois lib (calc)],"&lt;="&amp;$E795)))</f>
        <v>480</v>
      </c>
      <c r="Q795" s="19">
        <f>IF($D795&lt;&gt;1,"",IF($G795="ROKS",SUMIFS(TblApplications[Besoin ROKS RAM (Go)],TblApplications[Cluster ROKS cible],$F795,TblApplications[Action],"À migrer",TblApplications[Déjà incluse ROKS],"Non",TblApplications[Mois prov (calc)],"&lt;="&amp;$E795),SUMIFS(TblApplications[RAM IKS libérable (Go)],TblApplications[Cluster IKS source],$F795,TblApplications[Mois lib (calc)],"&lt;="&amp;$E795)))</f>
        <v>1920</v>
      </c>
      <c r="R795" s="19">
        <f t="shared" si="207"/>
        <v>0</v>
      </c>
      <c r="S795" s="19">
        <f t="shared" si="208"/>
        <v>0</v>
      </c>
      <c r="T795" s="19">
        <f t="shared" si="209"/>
        <v>0</v>
      </c>
      <c r="U795" s="19">
        <f t="shared" si="210"/>
        <v>0</v>
      </c>
      <c r="V795" s="19">
        <f t="shared" si="211"/>
        <v>0</v>
      </c>
      <c r="W795" s="73">
        <f t="shared" si="212"/>
        <v>0</v>
      </c>
      <c r="X795" s="19">
        <f>IF($D795&lt;&gt;1,"",IF($G795="ROKS",$R795,IF($AI795=1,0,MAX($N795,$L795-SUMIFS(TblApplications[CPU IKS libérable (vCPU)],TblApplications[Cluster IKS source],$F795,TblApplications[Action],"À migrer",TblApplications[Mois prov (calc)],"&lt;="&amp;$E795)-SUMIFS(TblApplications[CPU IKS libérable (vCPU)],TblApplications[Cluster IKS source],$F795,TblApplications[Action],"À décommissionner",TblApplications[Mois lib (calc)],"&lt;="&amp;$E795)))))</f>
        <v>0</v>
      </c>
      <c r="Y795" s="19">
        <f>IF($D795&lt;&gt;1,"",IF($G795="ROKS",$S795,IF($AI795=1,0,MAX($O795,$M795-SUMIFS(TblApplications[RAM IKS libérable (Go)],TblApplications[Cluster IKS source],$F795,TblApplications[Action],"À migrer",TblApplications[Mois prov (calc)],"&lt;="&amp;$E795)-SUMIFS(TblApplications[RAM IKS libérable (Go)],TblApplications[Cluster IKS source],$F795,TblApplications[Action],"À décommissionner",TblApplications[Mois lib (calc)],"&lt;="&amp;$E795)))))</f>
        <v>0</v>
      </c>
      <c r="Z795" s="19">
        <f t="shared" si="213"/>
        <v>0</v>
      </c>
      <c r="AA795" s="73">
        <f t="shared" si="214"/>
        <v>0</v>
      </c>
      <c r="AB795" s="19">
        <f t="shared" si="215"/>
        <v>15</v>
      </c>
      <c r="AC795" s="73">
        <f t="shared" si="216"/>
        <v>15930</v>
      </c>
      <c r="AD795" s="19">
        <f t="shared" si="217"/>
        <v>0</v>
      </c>
      <c r="AE795" s="19">
        <f t="shared" si="218"/>
        <v>0</v>
      </c>
      <c r="AF795" s="19" t="str">
        <f>IF($D795&lt;&gt;1,"",IF(INDEX(TblClusters[Environnement],$B795)="","(vide)",INDEX(TblClusters[Environnement],$B795)))</f>
        <v>PRD</v>
      </c>
      <c r="AG795" s="19">
        <f t="shared" si="219"/>
        <v>0</v>
      </c>
      <c r="AH795" s="19">
        <f t="shared" si="220"/>
        <v>0</v>
      </c>
      <c r="AI795" s="19">
        <f>IF($D795&lt;&gt;1,"",IF(AND($G795="IKS",ISNUMBER(INDEX(TblClusters[Fermeture retenue],$B795))),IF($E795&gt;=INDEX(TblClusters[Fermeture retenue],$B795),1,0),0))</f>
        <v>1</v>
      </c>
    </row>
    <row r="796" spans="1:35" x14ac:dyDescent="0.2">
      <c r="A796" s="19">
        <v>791</v>
      </c>
      <c r="B796" s="19">
        <f t="shared" si="204"/>
        <v>22</v>
      </c>
      <c r="C796" s="19">
        <f t="shared" si="205"/>
        <v>35</v>
      </c>
      <c r="D796" s="19">
        <f>IF($C796&gt;p_horizon,0,IFERROR(IF(AND(INDEX(TblClusters[Cluster],$B796)&lt;&gt;"",ISNUMBER(INDEX(TblClusters[CPU initial (vCPU)],$B796)),ISNUMBER(INDEX(TblClusters[CPU min (vCPU)],$B796)),OR(INDEX(TblClusters[Plateforme],$B796)="IKS",INDEX(TblClusters[Plateforme],$B796)="ROKS")),1,0),0))</f>
        <v>1</v>
      </c>
      <c r="E796" s="72">
        <f t="shared" si="206"/>
        <v>47331</v>
      </c>
      <c r="F796" s="19" t="str">
        <f>IF($D796=1,INDEX(TblClusters[Cluster],$B796),"")</f>
        <v>ku002i000249</v>
      </c>
      <c r="G796" s="19" t="str">
        <f>IF($D796=1,INDEX(TblClusters[Plateforme],$B796),"")</f>
        <v>IKS</v>
      </c>
      <c r="H796" s="19">
        <f>IF($D796=1,INDEX(TblClusters[vCPU par nœud],$B796),"")</f>
        <v>32</v>
      </c>
      <c r="I796" s="19">
        <f>IF($D796=1,INDEX(TblClusters[RAM par nœud (Go)],$B796),"")</f>
        <v>128</v>
      </c>
      <c r="J796" s="19">
        <f>IF($D796=1,INDEX(TblClusters[Workers min],$B796),"")</f>
        <v>3</v>
      </c>
      <c r="K796" s="73">
        <f>IF($D796=1,INDEX(TblClusters[Tarif par nœud],$B796),"")</f>
        <v>1062</v>
      </c>
      <c r="L796" s="19">
        <f>IF($D796=1,INDEX(TblClusters[CPU initial (vCPU)],$B796),"")</f>
        <v>480</v>
      </c>
      <c r="M796" s="19">
        <f>IF($D796=1,INDEX(TblClusters[RAM initiale (Go)],$B796),"")</f>
        <v>1920</v>
      </c>
      <c r="N796" s="19">
        <f>IF($D796=1,INDEX(TblClusters[CPU min (vCPU)],$B796),"")</f>
        <v>96</v>
      </c>
      <c r="O796" s="19">
        <f>IF($D796=1,INDEX(TblClusters[RAM min (Go)],$B796),"")</f>
        <v>384</v>
      </c>
      <c r="P796" s="19">
        <f>IF($D796&lt;&gt;1,"",IF($G796="ROKS",SUMIFS(TblApplications[Besoin ROKS CPU (vCPU)],TblApplications[Cluster ROKS cible],$F796,TblApplications[Action],"À migrer",TblApplications[Déjà incluse ROKS],"Non",TblApplications[Mois prov (calc)],"&lt;="&amp;$E796),SUMIFS(TblApplications[CPU IKS libérable (vCPU)],TblApplications[Cluster IKS source],$F796,TblApplications[Mois lib (calc)],"&lt;="&amp;$E796)))</f>
        <v>480</v>
      </c>
      <c r="Q796" s="19">
        <f>IF($D796&lt;&gt;1,"",IF($G796="ROKS",SUMIFS(TblApplications[Besoin ROKS RAM (Go)],TblApplications[Cluster ROKS cible],$F796,TblApplications[Action],"À migrer",TblApplications[Déjà incluse ROKS],"Non",TblApplications[Mois prov (calc)],"&lt;="&amp;$E796),SUMIFS(TblApplications[RAM IKS libérable (Go)],TblApplications[Cluster IKS source],$F796,TblApplications[Mois lib (calc)],"&lt;="&amp;$E796)))</f>
        <v>1920</v>
      </c>
      <c r="R796" s="19">
        <f t="shared" si="207"/>
        <v>0</v>
      </c>
      <c r="S796" s="19">
        <f t="shared" si="208"/>
        <v>0</v>
      </c>
      <c r="T796" s="19">
        <f t="shared" si="209"/>
        <v>0</v>
      </c>
      <c r="U796" s="19">
        <f t="shared" si="210"/>
        <v>0</v>
      </c>
      <c r="V796" s="19">
        <f t="shared" si="211"/>
        <v>0</v>
      </c>
      <c r="W796" s="73">
        <f t="shared" si="212"/>
        <v>0</v>
      </c>
      <c r="X796" s="19">
        <f>IF($D796&lt;&gt;1,"",IF($G796="ROKS",$R796,IF($AI796=1,0,MAX($N796,$L796-SUMIFS(TblApplications[CPU IKS libérable (vCPU)],TblApplications[Cluster IKS source],$F796,TblApplications[Action],"À migrer",TblApplications[Mois prov (calc)],"&lt;="&amp;$E796)-SUMIFS(TblApplications[CPU IKS libérable (vCPU)],TblApplications[Cluster IKS source],$F796,TblApplications[Action],"À décommissionner",TblApplications[Mois lib (calc)],"&lt;="&amp;$E796)))))</f>
        <v>0</v>
      </c>
      <c r="Y796" s="19">
        <f>IF($D796&lt;&gt;1,"",IF($G796="ROKS",$S796,IF($AI796=1,0,MAX($O796,$M796-SUMIFS(TblApplications[RAM IKS libérable (Go)],TblApplications[Cluster IKS source],$F796,TblApplications[Action],"À migrer",TblApplications[Mois prov (calc)],"&lt;="&amp;$E796)-SUMIFS(TblApplications[RAM IKS libérable (Go)],TblApplications[Cluster IKS source],$F796,TblApplications[Action],"À décommissionner",TblApplications[Mois lib (calc)],"&lt;="&amp;$E796)))))</f>
        <v>0</v>
      </c>
      <c r="Z796" s="19">
        <f t="shared" si="213"/>
        <v>0</v>
      </c>
      <c r="AA796" s="73">
        <f t="shared" si="214"/>
        <v>0</v>
      </c>
      <c r="AB796" s="19">
        <f t="shared" si="215"/>
        <v>15</v>
      </c>
      <c r="AC796" s="73">
        <f t="shared" si="216"/>
        <v>15930</v>
      </c>
      <c r="AD796" s="19">
        <f t="shared" si="217"/>
        <v>0</v>
      </c>
      <c r="AE796" s="19">
        <f t="shared" si="218"/>
        <v>0</v>
      </c>
      <c r="AF796" s="19" t="str">
        <f>IF($D796&lt;&gt;1,"",IF(INDEX(TblClusters[Environnement],$B796)="","(vide)",INDEX(TblClusters[Environnement],$B796)))</f>
        <v>PRD</v>
      </c>
      <c r="AG796" s="19">
        <f t="shared" si="219"/>
        <v>0</v>
      </c>
      <c r="AH796" s="19">
        <f t="shared" si="220"/>
        <v>0</v>
      </c>
      <c r="AI796" s="19">
        <f>IF($D796&lt;&gt;1,"",IF(AND($G796="IKS",ISNUMBER(INDEX(TblClusters[Fermeture retenue],$B796))),IF($E796&gt;=INDEX(TblClusters[Fermeture retenue],$B796),1,0),0))</f>
        <v>1</v>
      </c>
    </row>
    <row r="797" spans="1:35" x14ac:dyDescent="0.2">
      <c r="A797" s="19">
        <v>792</v>
      </c>
      <c r="B797" s="19">
        <f t="shared" si="204"/>
        <v>22</v>
      </c>
      <c r="C797" s="19">
        <f t="shared" si="205"/>
        <v>36</v>
      </c>
      <c r="D797" s="19">
        <f>IF($C797&gt;p_horizon,0,IFERROR(IF(AND(INDEX(TblClusters[Cluster],$B797)&lt;&gt;"",ISNUMBER(INDEX(TblClusters[CPU initial (vCPU)],$B797)),ISNUMBER(INDEX(TblClusters[CPU min (vCPU)],$B797)),OR(INDEX(TblClusters[Plateforme],$B797)="IKS",INDEX(TblClusters[Plateforme],$B797)="ROKS")),1,0),0))</f>
        <v>1</v>
      </c>
      <c r="E797" s="72">
        <f t="shared" si="206"/>
        <v>47362</v>
      </c>
      <c r="F797" s="19" t="str">
        <f>IF($D797=1,INDEX(TblClusters[Cluster],$B797),"")</f>
        <v>ku002i000249</v>
      </c>
      <c r="G797" s="19" t="str">
        <f>IF($D797=1,INDEX(TblClusters[Plateforme],$B797),"")</f>
        <v>IKS</v>
      </c>
      <c r="H797" s="19">
        <f>IF($D797=1,INDEX(TblClusters[vCPU par nœud],$B797),"")</f>
        <v>32</v>
      </c>
      <c r="I797" s="19">
        <f>IF($D797=1,INDEX(TblClusters[RAM par nœud (Go)],$B797),"")</f>
        <v>128</v>
      </c>
      <c r="J797" s="19">
        <f>IF($D797=1,INDEX(TblClusters[Workers min],$B797),"")</f>
        <v>3</v>
      </c>
      <c r="K797" s="73">
        <f>IF($D797=1,INDEX(TblClusters[Tarif par nœud],$B797),"")</f>
        <v>1062</v>
      </c>
      <c r="L797" s="19">
        <f>IF($D797=1,INDEX(TblClusters[CPU initial (vCPU)],$B797),"")</f>
        <v>480</v>
      </c>
      <c r="M797" s="19">
        <f>IF($D797=1,INDEX(TblClusters[RAM initiale (Go)],$B797),"")</f>
        <v>1920</v>
      </c>
      <c r="N797" s="19">
        <f>IF($D797=1,INDEX(TblClusters[CPU min (vCPU)],$B797),"")</f>
        <v>96</v>
      </c>
      <c r="O797" s="19">
        <f>IF($D797=1,INDEX(TblClusters[RAM min (Go)],$B797),"")</f>
        <v>384</v>
      </c>
      <c r="P797" s="19">
        <f>IF($D797&lt;&gt;1,"",IF($G797="ROKS",SUMIFS(TblApplications[Besoin ROKS CPU (vCPU)],TblApplications[Cluster ROKS cible],$F797,TblApplications[Action],"À migrer",TblApplications[Déjà incluse ROKS],"Non",TblApplications[Mois prov (calc)],"&lt;="&amp;$E797),SUMIFS(TblApplications[CPU IKS libérable (vCPU)],TblApplications[Cluster IKS source],$F797,TblApplications[Mois lib (calc)],"&lt;="&amp;$E797)))</f>
        <v>480</v>
      </c>
      <c r="Q797" s="19">
        <f>IF($D797&lt;&gt;1,"",IF($G797="ROKS",SUMIFS(TblApplications[Besoin ROKS RAM (Go)],TblApplications[Cluster ROKS cible],$F797,TblApplications[Action],"À migrer",TblApplications[Déjà incluse ROKS],"Non",TblApplications[Mois prov (calc)],"&lt;="&amp;$E797),SUMIFS(TblApplications[RAM IKS libérable (Go)],TblApplications[Cluster IKS source],$F797,TblApplications[Mois lib (calc)],"&lt;="&amp;$E797)))</f>
        <v>1920</v>
      </c>
      <c r="R797" s="19">
        <f t="shared" si="207"/>
        <v>0</v>
      </c>
      <c r="S797" s="19">
        <f t="shared" si="208"/>
        <v>0</v>
      </c>
      <c r="T797" s="19">
        <f t="shared" si="209"/>
        <v>0</v>
      </c>
      <c r="U797" s="19">
        <f t="shared" si="210"/>
        <v>0</v>
      </c>
      <c r="V797" s="19">
        <f t="shared" si="211"/>
        <v>0</v>
      </c>
      <c r="W797" s="73">
        <f t="shared" si="212"/>
        <v>0</v>
      </c>
      <c r="X797" s="19">
        <f>IF($D797&lt;&gt;1,"",IF($G797="ROKS",$R797,IF($AI797=1,0,MAX($N797,$L797-SUMIFS(TblApplications[CPU IKS libérable (vCPU)],TblApplications[Cluster IKS source],$F797,TblApplications[Action],"À migrer",TblApplications[Mois prov (calc)],"&lt;="&amp;$E797)-SUMIFS(TblApplications[CPU IKS libérable (vCPU)],TblApplications[Cluster IKS source],$F797,TblApplications[Action],"À décommissionner",TblApplications[Mois lib (calc)],"&lt;="&amp;$E797)))))</f>
        <v>0</v>
      </c>
      <c r="Y797" s="19">
        <f>IF($D797&lt;&gt;1,"",IF($G797="ROKS",$S797,IF($AI797=1,0,MAX($O797,$M797-SUMIFS(TblApplications[RAM IKS libérable (Go)],TblApplications[Cluster IKS source],$F797,TblApplications[Action],"À migrer",TblApplications[Mois prov (calc)],"&lt;="&amp;$E797)-SUMIFS(TblApplications[RAM IKS libérable (Go)],TblApplications[Cluster IKS source],$F797,TblApplications[Action],"À décommissionner",TblApplications[Mois lib (calc)],"&lt;="&amp;$E797)))))</f>
        <v>0</v>
      </c>
      <c r="Z797" s="19">
        <f t="shared" si="213"/>
        <v>0</v>
      </c>
      <c r="AA797" s="73">
        <f t="shared" si="214"/>
        <v>0</v>
      </c>
      <c r="AB797" s="19">
        <f t="shared" si="215"/>
        <v>15</v>
      </c>
      <c r="AC797" s="73">
        <f t="shared" si="216"/>
        <v>15930</v>
      </c>
      <c r="AD797" s="19">
        <f t="shared" si="217"/>
        <v>0</v>
      </c>
      <c r="AE797" s="19">
        <f t="shared" si="218"/>
        <v>0</v>
      </c>
      <c r="AF797" s="19" t="str">
        <f>IF($D797&lt;&gt;1,"",IF(INDEX(TblClusters[Environnement],$B797)="","(vide)",INDEX(TblClusters[Environnement],$B797)))</f>
        <v>PRD</v>
      </c>
      <c r="AG797" s="19">
        <f t="shared" si="219"/>
        <v>0</v>
      </c>
      <c r="AH797" s="19">
        <f t="shared" si="220"/>
        <v>0</v>
      </c>
      <c r="AI797" s="19">
        <f>IF($D797&lt;&gt;1,"",IF(AND($G797="IKS",ISNUMBER(INDEX(TblClusters[Fermeture retenue],$B797))),IF($E797&gt;=INDEX(TblClusters[Fermeture retenue],$B797),1,0),0))</f>
        <v>1</v>
      </c>
    </row>
    <row r="798" spans="1:35" x14ac:dyDescent="0.2">
      <c r="A798" s="19">
        <v>793</v>
      </c>
      <c r="B798" s="19">
        <f t="shared" si="204"/>
        <v>23</v>
      </c>
      <c r="C798" s="19">
        <f t="shared" si="205"/>
        <v>1</v>
      </c>
      <c r="D798" s="19">
        <f>IF($C798&gt;p_horizon,0,IFERROR(IF(AND(INDEX(TblClusters[Cluster],$B798)&lt;&gt;"",ISNUMBER(INDEX(TblClusters[CPU initial (vCPU)],$B798)),ISNUMBER(INDEX(TblClusters[CPU min (vCPU)],$B798)),OR(INDEX(TblClusters[Plateforme],$B798)="IKS",INDEX(TblClusters[Plateforme],$B798)="ROKS")),1,0),0))</f>
        <v>1</v>
      </c>
      <c r="E798" s="72">
        <f t="shared" si="206"/>
        <v>46296</v>
      </c>
      <c r="F798" s="19" t="str">
        <f>IF($D798=1,INDEX(TblClusters[Cluster],$B798),"")</f>
        <v>ku002i000246</v>
      </c>
      <c r="G798" s="19" t="str">
        <f>IF($D798=1,INDEX(TblClusters[Plateforme],$B798),"")</f>
        <v>IKS</v>
      </c>
      <c r="H798" s="19">
        <f>IF($D798=1,INDEX(TblClusters[vCPU par nœud],$B798),"")</f>
        <v>32</v>
      </c>
      <c r="I798" s="19">
        <f>IF($D798=1,INDEX(TblClusters[RAM par nœud (Go)],$B798),"")</f>
        <v>128</v>
      </c>
      <c r="J798" s="19">
        <f>IF($D798=1,INDEX(TblClusters[Workers min],$B798),"")</f>
        <v>3</v>
      </c>
      <c r="K798" s="73">
        <f>IF($D798=1,INDEX(TblClusters[Tarif par nœud],$B798),"")</f>
        <v>1062</v>
      </c>
      <c r="L798" s="19">
        <f>IF($D798=1,INDEX(TblClusters[CPU initial (vCPU)],$B798),"")</f>
        <v>480</v>
      </c>
      <c r="M798" s="19">
        <f>IF($D798=1,INDEX(TblClusters[RAM initiale (Go)],$B798),"")</f>
        <v>1920</v>
      </c>
      <c r="N798" s="19">
        <f>IF($D798=1,INDEX(TblClusters[CPU min (vCPU)],$B798),"")</f>
        <v>96</v>
      </c>
      <c r="O798" s="19">
        <f>IF($D798=1,INDEX(TblClusters[RAM min (Go)],$B798),"")</f>
        <v>384</v>
      </c>
      <c r="P798" s="19">
        <f>IF($D798&lt;&gt;1,"",IF($G798="ROKS",SUMIFS(TblApplications[Besoin ROKS CPU (vCPU)],TblApplications[Cluster ROKS cible],$F798,TblApplications[Action],"À migrer",TblApplications[Déjà incluse ROKS],"Non",TblApplications[Mois prov (calc)],"&lt;="&amp;$E798),SUMIFS(TblApplications[CPU IKS libérable (vCPU)],TblApplications[Cluster IKS source],$F798,TblApplications[Mois lib (calc)],"&lt;="&amp;$E798)))</f>
        <v>0</v>
      </c>
      <c r="Q798" s="19">
        <f>IF($D798&lt;&gt;1,"",IF($G798="ROKS",SUMIFS(TblApplications[Besoin ROKS RAM (Go)],TblApplications[Cluster ROKS cible],$F798,TblApplications[Action],"À migrer",TblApplications[Déjà incluse ROKS],"Non",TblApplications[Mois prov (calc)],"&lt;="&amp;$E798),SUMIFS(TblApplications[RAM IKS libérable (Go)],TblApplications[Cluster IKS source],$F798,TblApplications[Mois lib (calc)],"&lt;="&amp;$E798)))</f>
        <v>0</v>
      </c>
      <c r="R798" s="19">
        <f t="shared" si="207"/>
        <v>480</v>
      </c>
      <c r="S798" s="19">
        <f t="shared" si="208"/>
        <v>1920</v>
      </c>
      <c r="T798" s="19">
        <f t="shared" si="209"/>
        <v>15</v>
      </c>
      <c r="U798" s="19">
        <f t="shared" si="210"/>
        <v>480</v>
      </c>
      <c r="V798" s="19">
        <f t="shared" si="211"/>
        <v>1920</v>
      </c>
      <c r="W798" s="73">
        <f t="shared" si="212"/>
        <v>15930</v>
      </c>
      <c r="X798" s="19">
        <f>IF($D798&lt;&gt;1,"",IF($G798="ROKS",$R798,IF($AI798=1,0,MAX($N798,$L798-SUMIFS(TblApplications[CPU IKS libérable (vCPU)],TblApplications[Cluster IKS source],$F798,TblApplications[Action],"À migrer",TblApplications[Mois prov (calc)],"&lt;="&amp;$E798)-SUMIFS(TblApplications[CPU IKS libérable (vCPU)],TblApplications[Cluster IKS source],$F798,TblApplications[Action],"À décommissionner",TblApplications[Mois lib (calc)],"&lt;="&amp;$E798)))))</f>
        <v>480</v>
      </c>
      <c r="Y798" s="19">
        <f>IF($D798&lt;&gt;1,"",IF($G798="ROKS",$S798,IF($AI798=1,0,MAX($O798,$M798-SUMIFS(TblApplications[RAM IKS libérable (Go)],TblApplications[Cluster IKS source],$F798,TblApplications[Action],"À migrer",TblApplications[Mois prov (calc)],"&lt;="&amp;$E798)-SUMIFS(TblApplications[RAM IKS libérable (Go)],TblApplications[Cluster IKS source],$F798,TblApplications[Action],"À décommissionner",TblApplications[Mois lib (calc)],"&lt;="&amp;$E798)))))</f>
        <v>1920</v>
      </c>
      <c r="Z798" s="19">
        <f t="shared" si="213"/>
        <v>15</v>
      </c>
      <c r="AA798" s="73">
        <f t="shared" si="214"/>
        <v>15930</v>
      </c>
      <c r="AB798" s="19">
        <f t="shared" si="215"/>
        <v>15</v>
      </c>
      <c r="AC798" s="73">
        <f t="shared" si="216"/>
        <v>15930</v>
      </c>
      <c r="AD798" s="19">
        <f t="shared" si="217"/>
        <v>0</v>
      </c>
      <c r="AE798" s="19">
        <f t="shared" si="218"/>
        <v>0</v>
      </c>
      <c r="AF798" s="19" t="str">
        <f>IF($D798&lt;&gt;1,"",IF(INDEX(TblClusters[Environnement],$B798)="","(vide)",INDEX(TblClusters[Environnement],$B798)))</f>
        <v>NPRD</v>
      </c>
      <c r="AG798" s="19">
        <f t="shared" si="219"/>
        <v>672</v>
      </c>
      <c r="AH798" s="19">
        <f t="shared" si="220"/>
        <v>23.705357142857142</v>
      </c>
      <c r="AI798" s="19">
        <f>IF($D798&lt;&gt;1,"",IF(AND($G798="IKS",ISNUMBER(INDEX(TblClusters[Fermeture retenue],$B798))),IF($E798&gt;=INDEX(TblClusters[Fermeture retenue],$B798),1,0),0))</f>
        <v>0</v>
      </c>
    </row>
    <row r="799" spans="1:35" x14ac:dyDescent="0.2">
      <c r="A799" s="19">
        <v>794</v>
      </c>
      <c r="B799" s="19">
        <f t="shared" si="204"/>
        <v>23</v>
      </c>
      <c r="C799" s="19">
        <f t="shared" si="205"/>
        <v>2</v>
      </c>
      <c r="D799" s="19">
        <f>IF($C799&gt;p_horizon,0,IFERROR(IF(AND(INDEX(TblClusters[Cluster],$B799)&lt;&gt;"",ISNUMBER(INDEX(TblClusters[CPU initial (vCPU)],$B799)),ISNUMBER(INDEX(TblClusters[CPU min (vCPU)],$B799)),OR(INDEX(TblClusters[Plateforme],$B799)="IKS",INDEX(TblClusters[Plateforme],$B799)="ROKS")),1,0),0))</f>
        <v>1</v>
      </c>
      <c r="E799" s="72">
        <f t="shared" si="206"/>
        <v>46327</v>
      </c>
      <c r="F799" s="19" t="str">
        <f>IF($D799=1,INDEX(TblClusters[Cluster],$B799),"")</f>
        <v>ku002i000246</v>
      </c>
      <c r="G799" s="19" t="str">
        <f>IF($D799=1,INDEX(TblClusters[Plateforme],$B799),"")</f>
        <v>IKS</v>
      </c>
      <c r="H799" s="19">
        <f>IF($D799=1,INDEX(TblClusters[vCPU par nœud],$B799),"")</f>
        <v>32</v>
      </c>
      <c r="I799" s="19">
        <f>IF($D799=1,INDEX(TblClusters[RAM par nœud (Go)],$B799),"")</f>
        <v>128</v>
      </c>
      <c r="J799" s="19">
        <f>IF($D799=1,INDEX(TblClusters[Workers min],$B799),"")</f>
        <v>3</v>
      </c>
      <c r="K799" s="73">
        <f>IF($D799=1,INDEX(TblClusters[Tarif par nœud],$B799),"")</f>
        <v>1062</v>
      </c>
      <c r="L799" s="19">
        <f>IF($D799=1,INDEX(TblClusters[CPU initial (vCPU)],$B799),"")</f>
        <v>480</v>
      </c>
      <c r="M799" s="19">
        <f>IF($D799=1,INDEX(TblClusters[RAM initiale (Go)],$B799),"")</f>
        <v>1920</v>
      </c>
      <c r="N799" s="19">
        <f>IF($D799=1,INDEX(TblClusters[CPU min (vCPU)],$B799),"")</f>
        <v>96</v>
      </c>
      <c r="O799" s="19">
        <f>IF($D799=1,INDEX(TblClusters[RAM min (Go)],$B799),"")</f>
        <v>384</v>
      </c>
      <c r="P799" s="19">
        <f>IF($D799&lt;&gt;1,"",IF($G799="ROKS",SUMIFS(TblApplications[Besoin ROKS CPU (vCPU)],TblApplications[Cluster ROKS cible],$F799,TblApplications[Action],"À migrer",TblApplications[Déjà incluse ROKS],"Non",TblApplications[Mois prov (calc)],"&lt;="&amp;$E799),SUMIFS(TblApplications[CPU IKS libérable (vCPU)],TblApplications[Cluster IKS source],$F799,TblApplications[Mois lib (calc)],"&lt;="&amp;$E799)))</f>
        <v>0</v>
      </c>
      <c r="Q799" s="19">
        <f>IF($D799&lt;&gt;1,"",IF($G799="ROKS",SUMIFS(TblApplications[Besoin ROKS RAM (Go)],TblApplications[Cluster ROKS cible],$F799,TblApplications[Action],"À migrer",TblApplications[Déjà incluse ROKS],"Non",TblApplications[Mois prov (calc)],"&lt;="&amp;$E799),SUMIFS(TblApplications[RAM IKS libérable (Go)],TblApplications[Cluster IKS source],$F799,TblApplications[Mois lib (calc)],"&lt;="&amp;$E799)))</f>
        <v>0</v>
      </c>
      <c r="R799" s="19">
        <f t="shared" si="207"/>
        <v>480</v>
      </c>
      <c r="S799" s="19">
        <f t="shared" si="208"/>
        <v>1920</v>
      </c>
      <c r="T799" s="19">
        <f t="shared" si="209"/>
        <v>15</v>
      </c>
      <c r="U799" s="19">
        <f t="shared" si="210"/>
        <v>480</v>
      </c>
      <c r="V799" s="19">
        <f t="shared" si="211"/>
        <v>1920</v>
      </c>
      <c r="W799" s="73">
        <f t="shared" si="212"/>
        <v>15930</v>
      </c>
      <c r="X799" s="19">
        <f>IF($D799&lt;&gt;1,"",IF($G799="ROKS",$R799,IF($AI799=1,0,MAX($N799,$L799-SUMIFS(TblApplications[CPU IKS libérable (vCPU)],TblApplications[Cluster IKS source],$F799,TblApplications[Action],"À migrer",TblApplications[Mois prov (calc)],"&lt;="&amp;$E799)-SUMIFS(TblApplications[CPU IKS libérable (vCPU)],TblApplications[Cluster IKS source],$F799,TblApplications[Action],"À décommissionner",TblApplications[Mois lib (calc)],"&lt;="&amp;$E799)))))</f>
        <v>480</v>
      </c>
      <c r="Y799" s="19">
        <f>IF($D799&lt;&gt;1,"",IF($G799="ROKS",$S799,IF($AI799=1,0,MAX($O799,$M799-SUMIFS(TblApplications[RAM IKS libérable (Go)],TblApplications[Cluster IKS source],$F799,TblApplications[Action],"À migrer",TblApplications[Mois prov (calc)],"&lt;="&amp;$E799)-SUMIFS(TblApplications[RAM IKS libérable (Go)],TblApplications[Cluster IKS source],$F799,TblApplications[Action],"À décommissionner",TblApplications[Mois lib (calc)],"&lt;="&amp;$E799)))))</f>
        <v>1920</v>
      </c>
      <c r="Z799" s="19">
        <f t="shared" si="213"/>
        <v>15</v>
      </c>
      <c r="AA799" s="73">
        <f t="shared" si="214"/>
        <v>15930</v>
      </c>
      <c r="AB799" s="19">
        <f t="shared" si="215"/>
        <v>15</v>
      </c>
      <c r="AC799" s="73">
        <f t="shared" si="216"/>
        <v>15930</v>
      </c>
      <c r="AD799" s="19">
        <f t="shared" si="217"/>
        <v>0</v>
      </c>
      <c r="AE799" s="19">
        <f t="shared" si="218"/>
        <v>0</v>
      </c>
      <c r="AF799" s="19" t="str">
        <f>IF($D799&lt;&gt;1,"",IF(INDEX(TblClusters[Environnement],$B799)="","(vide)",INDEX(TblClusters[Environnement],$B799)))</f>
        <v>NPRD</v>
      </c>
      <c r="AG799" s="19">
        <f t="shared" si="219"/>
        <v>672</v>
      </c>
      <c r="AH799" s="19">
        <f t="shared" si="220"/>
        <v>23.705357142857142</v>
      </c>
      <c r="AI799" s="19">
        <f>IF($D799&lt;&gt;1,"",IF(AND($G799="IKS",ISNUMBER(INDEX(TblClusters[Fermeture retenue],$B799))),IF($E799&gt;=INDEX(TblClusters[Fermeture retenue],$B799),1,0),0))</f>
        <v>0</v>
      </c>
    </row>
    <row r="800" spans="1:35" x14ac:dyDescent="0.2">
      <c r="A800" s="19">
        <v>795</v>
      </c>
      <c r="B800" s="19">
        <f t="shared" si="204"/>
        <v>23</v>
      </c>
      <c r="C800" s="19">
        <f t="shared" si="205"/>
        <v>3</v>
      </c>
      <c r="D800" s="19">
        <f>IF($C800&gt;p_horizon,0,IFERROR(IF(AND(INDEX(TblClusters[Cluster],$B800)&lt;&gt;"",ISNUMBER(INDEX(TblClusters[CPU initial (vCPU)],$B800)),ISNUMBER(INDEX(TblClusters[CPU min (vCPU)],$B800)),OR(INDEX(TblClusters[Plateforme],$B800)="IKS",INDEX(TblClusters[Plateforme],$B800)="ROKS")),1,0),0))</f>
        <v>1</v>
      </c>
      <c r="E800" s="72">
        <f t="shared" si="206"/>
        <v>46357</v>
      </c>
      <c r="F800" s="19" t="str">
        <f>IF($D800=1,INDEX(TblClusters[Cluster],$B800),"")</f>
        <v>ku002i000246</v>
      </c>
      <c r="G800" s="19" t="str">
        <f>IF($D800=1,INDEX(TblClusters[Plateforme],$B800),"")</f>
        <v>IKS</v>
      </c>
      <c r="H800" s="19">
        <f>IF($D800=1,INDEX(TblClusters[vCPU par nœud],$B800),"")</f>
        <v>32</v>
      </c>
      <c r="I800" s="19">
        <f>IF($D800=1,INDEX(TblClusters[RAM par nœud (Go)],$B800),"")</f>
        <v>128</v>
      </c>
      <c r="J800" s="19">
        <f>IF($D800=1,INDEX(TblClusters[Workers min],$B800),"")</f>
        <v>3</v>
      </c>
      <c r="K800" s="73">
        <f>IF($D800=1,INDEX(TblClusters[Tarif par nœud],$B800),"")</f>
        <v>1062</v>
      </c>
      <c r="L800" s="19">
        <f>IF($D800=1,INDEX(TblClusters[CPU initial (vCPU)],$B800),"")</f>
        <v>480</v>
      </c>
      <c r="M800" s="19">
        <f>IF($D800=1,INDEX(TblClusters[RAM initiale (Go)],$B800),"")</f>
        <v>1920</v>
      </c>
      <c r="N800" s="19">
        <f>IF($D800=1,INDEX(TblClusters[CPU min (vCPU)],$B800),"")</f>
        <v>96</v>
      </c>
      <c r="O800" s="19">
        <f>IF($D800=1,INDEX(TblClusters[RAM min (Go)],$B800),"")</f>
        <v>384</v>
      </c>
      <c r="P800" s="19">
        <f>IF($D800&lt;&gt;1,"",IF($G800="ROKS",SUMIFS(TblApplications[Besoin ROKS CPU (vCPU)],TblApplications[Cluster ROKS cible],$F800,TblApplications[Action],"À migrer",TblApplications[Déjà incluse ROKS],"Non",TblApplications[Mois prov (calc)],"&lt;="&amp;$E800),SUMIFS(TblApplications[CPU IKS libérable (vCPU)],TblApplications[Cluster IKS source],$F800,TblApplications[Mois lib (calc)],"&lt;="&amp;$E800)))</f>
        <v>0</v>
      </c>
      <c r="Q800" s="19">
        <f>IF($D800&lt;&gt;1,"",IF($G800="ROKS",SUMIFS(TblApplications[Besoin ROKS RAM (Go)],TblApplications[Cluster ROKS cible],$F800,TblApplications[Action],"À migrer",TblApplications[Déjà incluse ROKS],"Non",TblApplications[Mois prov (calc)],"&lt;="&amp;$E800),SUMIFS(TblApplications[RAM IKS libérable (Go)],TblApplications[Cluster IKS source],$F800,TblApplications[Mois lib (calc)],"&lt;="&amp;$E800)))</f>
        <v>0</v>
      </c>
      <c r="R800" s="19">
        <f t="shared" si="207"/>
        <v>480</v>
      </c>
      <c r="S800" s="19">
        <f t="shared" si="208"/>
        <v>1920</v>
      </c>
      <c r="T800" s="19">
        <f t="shared" si="209"/>
        <v>15</v>
      </c>
      <c r="U800" s="19">
        <f t="shared" si="210"/>
        <v>480</v>
      </c>
      <c r="V800" s="19">
        <f t="shared" si="211"/>
        <v>1920</v>
      </c>
      <c r="W800" s="73">
        <f t="shared" si="212"/>
        <v>15930</v>
      </c>
      <c r="X800" s="19">
        <f>IF($D800&lt;&gt;1,"",IF($G800="ROKS",$R800,IF($AI800=1,0,MAX($N800,$L800-SUMIFS(TblApplications[CPU IKS libérable (vCPU)],TblApplications[Cluster IKS source],$F800,TblApplications[Action],"À migrer",TblApplications[Mois prov (calc)],"&lt;="&amp;$E800)-SUMIFS(TblApplications[CPU IKS libérable (vCPU)],TblApplications[Cluster IKS source],$F800,TblApplications[Action],"À décommissionner",TblApplications[Mois lib (calc)],"&lt;="&amp;$E800)))))</f>
        <v>480</v>
      </c>
      <c r="Y800" s="19">
        <f>IF($D800&lt;&gt;1,"",IF($G800="ROKS",$S800,IF($AI800=1,0,MAX($O800,$M800-SUMIFS(TblApplications[RAM IKS libérable (Go)],TblApplications[Cluster IKS source],$F800,TblApplications[Action],"À migrer",TblApplications[Mois prov (calc)],"&lt;="&amp;$E800)-SUMIFS(TblApplications[RAM IKS libérable (Go)],TblApplications[Cluster IKS source],$F800,TblApplications[Action],"À décommissionner",TblApplications[Mois lib (calc)],"&lt;="&amp;$E800)))))</f>
        <v>1920</v>
      </c>
      <c r="Z800" s="19">
        <f t="shared" si="213"/>
        <v>15</v>
      </c>
      <c r="AA800" s="73">
        <f t="shared" si="214"/>
        <v>15930</v>
      </c>
      <c r="AB800" s="19">
        <f t="shared" si="215"/>
        <v>15</v>
      </c>
      <c r="AC800" s="73">
        <f t="shared" si="216"/>
        <v>15930</v>
      </c>
      <c r="AD800" s="19">
        <f t="shared" si="217"/>
        <v>0</v>
      </c>
      <c r="AE800" s="19">
        <f t="shared" si="218"/>
        <v>0</v>
      </c>
      <c r="AF800" s="19" t="str">
        <f>IF($D800&lt;&gt;1,"",IF(INDEX(TblClusters[Environnement],$B800)="","(vide)",INDEX(TblClusters[Environnement],$B800)))</f>
        <v>NPRD</v>
      </c>
      <c r="AG800" s="19">
        <f t="shared" si="219"/>
        <v>672</v>
      </c>
      <c r="AH800" s="19">
        <f t="shared" si="220"/>
        <v>23.705357142857142</v>
      </c>
      <c r="AI800" s="19">
        <f>IF($D800&lt;&gt;1,"",IF(AND($G800="IKS",ISNUMBER(INDEX(TblClusters[Fermeture retenue],$B800))),IF($E800&gt;=INDEX(TblClusters[Fermeture retenue],$B800),1,0),0))</f>
        <v>0</v>
      </c>
    </row>
    <row r="801" spans="1:35" x14ac:dyDescent="0.2">
      <c r="A801" s="19">
        <v>796</v>
      </c>
      <c r="B801" s="19">
        <f t="shared" si="204"/>
        <v>23</v>
      </c>
      <c r="C801" s="19">
        <f t="shared" si="205"/>
        <v>4</v>
      </c>
      <c r="D801" s="19">
        <f>IF($C801&gt;p_horizon,0,IFERROR(IF(AND(INDEX(TblClusters[Cluster],$B801)&lt;&gt;"",ISNUMBER(INDEX(TblClusters[CPU initial (vCPU)],$B801)),ISNUMBER(INDEX(TblClusters[CPU min (vCPU)],$B801)),OR(INDEX(TblClusters[Plateforme],$B801)="IKS",INDEX(TblClusters[Plateforme],$B801)="ROKS")),1,0),0))</f>
        <v>1</v>
      </c>
      <c r="E801" s="72">
        <f t="shared" si="206"/>
        <v>46388</v>
      </c>
      <c r="F801" s="19" t="str">
        <f>IF($D801=1,INDEX(TblClusters[Cluster],$B801),"")</f>
        <v>ku002i000246</v>
      </c>
      <c r="G801" s="19" t="str">
        <f>IF($D801=1,INDEX(TblClusters[Plateforme],$B801),"")</f>
        <v>IKS</v>
      </c>
      <c r="H801" s="19">
        <f>IF($D801=1,INDEX(TblClusters[vCPU par nœud],$B801),"")</f>
        <v>32</v>
      </c>
      <c r="I801" s="19">
        <f>IF($D801=1,INDEX(TblClusters[RAM par nœud (Go)],$B801),"")</f>
        <v>128</v>
      </c>
      <c r="J801" s="19">
        <f>IF($D801=1,INDEX(TblClusters[Workers min],$B801),"")</f>
        <v>3</v>
      </c>
      <c r="K801" s="73">
        <f>IF($D801=1,INDEX(TblClusters[Tarif par nœud],$B801),"")</f>
        <v>1062</v>
      </c>
      <c r="L801" s="19">
        <f>IF($D801=1,INDEX(TblClusters[CPU initial (vCPU)],$B801),"")</f>
        <v>480</v>
      </c>
      <c r="M801" s="19">
        <f>IF($D801=1,INDEX(TblClusters[RAM initiale (Go)],$B801),"")</f>
        <v>1920</v>
      </c>
      <c r="N801" s="19">
        <f>IF($D801=1,INDEX(TblClusters[CPU min (vCPU)],$B801),"")</f>
        <v>96</v>
      </c>
      <c r="O801" s="19">
        <f>IF($D801=1,INDEX(TblClusters[RAM min (Go)],$B801),"")</f>
        <v>384</v>
      </c>
      <c r="P801" s="19">
        <f>IF($D801&lt;&gt;1,"",IF($G801="ROKS",SUMIFS(TblApplications[Besoin ROKS CPU (vCPU)],TblApplications[Cluster ROKS cible],$F801,TblApplications[Action],"À migrer",TblApplications[Déjà incluse ROKS],"Non",TblApplications[Mois prov (calc)],"&lt;="&amp;$E801),SUMIFS(TblApplications[CPU IKS libérable (vCPU)],TblApplications[Cluster IKS source],$F801,TblApplications[Mois lib (calc)],"&lt;="&amp;$E801)))</f>
        <v>0</v>
      </c>
      <c r="Q801" s="19">
        <f>IF($D801&lt;&gt;1,"",IF($G801="ROKS",SUMIFS(TblApplications[Besoin ROKS RAM (Go)],TblApplications[Cluster ROKS cible],$F801,TblApplications[Action],"À migrer",TblApplications[Déjà incluse ROKS],"Non",TblApplications[Mois prov (calc)],"&lt;="&amp;$E801),SUMIFS(TblApplications[RAM IKS libérable (Go)],TblApplications[Cluster IKS source],$F801,TblApplications[Mois lib (calc)],"&lt;="&amp;$E801)))</f>
        <v>0</v>
      </c>
      <c r="R801" s="19">
        <f t="shared" si="207"/>
        <v>480</v>
      </c>
      <c r="S801" s="19">
        <f t="shared" si="208"/>
        <v>1920</v>
      </c>
      <c r="T801" s="19">
        <f t="shared" si="209"/>
        <v>15</v>
      </c>
      <c r="U801" s="19">
        <f t="shared" si="210"/>
        <v>480</v>
      </c>
      <c r="V801" s="19">
        <f t="shared" si="211"/>
        <v>1920</v>
      </c>
      <c r="W801" s="73">
        <f t="shared" si="212"/>
        <v>15930</v>
      </c>
      <c r="X801" s="19">
        <f>IF($D801&lt;&gt;1,"",IF($G801="ROKS",$R801,IF($AI801=1,0,MAX($N801,$L801-SUMIFS(TblApplications[CPU IKS libérable (vCPU)],TblApplications[Cluster IKS source],$F801,TblApplications[Action],"À migrer",TblApplications[Mois prov (calc)],"&lt;="&amp;$E801)-SUMIFS(TblApplications[CPU IKS libérable (vCPU)],TblApplications[Cluster IKS source],$F801,TblApplications[Action],"À décommissionner",TblApplications[Mois lib (calc)],"&lt;="&amp;$E801)))))</f>
        <v>480</v>
      </c>
      <c r="Y801" s="19">
        <f>IF($D801&lt;&gt;1,"",IF($G801="ROKS",$S801,IF($AI801=1,0,MAX($O801,$M801-SUMIFS(TblApplications[RAM IKS libérable (Go)],TblApplications[Cluster IKS source],$F801,TblApplications[Action],"À migrer",TblApplications[Mois prov (calc)],"&lt;="&amp;$E801)-SUMIFS(TblApplications[RAM IKS libérable (Go)],TblApplications[Cluster IKS source],$F801,TblApplications[Action],"À décommissionner",TblApplications[Mois lib (calc)],"&lt;="&amp;$E801)))))</f>
        <v>1920</v>
      </c>
      <c r="Z801" s="19">
        <f t="shared" si="213"/>
        <v>15</v>
      </c>
      <c r="AA801" s="73">
        <f t="shared" si="214"/>
        <v>15930</v>
      </c>
      <c r="AB801" s="19">
        <f t="shared" si="215"/>
        <v>15</v>
      </c>
      <c r="AC801" s="73">
        <f t="shared" si="216"/>
        <v>15930</v>
      </c>
      <c r="AD801" s="19">
        <f t="shared" si="217"/>
        <v>0</v>
      </c>
      <c r="AE801" s="19">
        <f t="shared" si="218"/>
        <v>0</v>
      </c>
      <c r="AF801" s="19" t="str">
        <f>IF($D801&lt;&gt;1,"",IF(INDEX(TblClusters[Environnement],$B801)="","(vide)",INDEX(TblClusters[Environnement],$B801)))</f>
        <v>NPRD</v>
      </c>
      <c r="AG801" s="19">
        <f t="shared" si="219"/>
        <v>672</v>
      </c>
      <c r="AH801" s="19">
        <f t="shared" si="220"/>
        <v>23.705357142857142</v>
      </c>
      <c r="AI801" s="19">
        <f>IF($D801&lt;&gt;1,"",IF(AND($G801="IKS",ISNUMBER(INDEX(TblClusters[Fermeture retenue],$B801))),IF($E801&gt;=INDEX(TblClusters[Fermeture retenue],$B801),1,0),0))</f>
        <v>0</v>
      </c>
    </row>
    <row r="802" spans="1:35" x14ac:dyDescent="0.2">
      <c r="A802" s="19">
        <v>797</v>
      </c>
      <c r="B802" s="19">
        <f t="shared" si="204"/>
        <v>23</v>
      </c>
      <c r="C802" s="19">
        <f t="shared" si="205"/>
        <v>5</v>
      </c>
      <c r="D802" s="19">
        <f>IF($C802&gt;p_horizon,0,IFERROR(IF(AND(INDEX(TblClusters[Cluster],$B802)&lt;&gt;"",ISNUMBER(INDEX(TblClusters[CPU initial (vCPU)],$B802)),ISNUMBER(INDEX(TblClusters[CPU min (vCPU)],$B802)),OR(INDEX(TblClusters[Plateforme],$B802)="IKS",INDEX(TblClusters[Plateforme],$B802)="ROKS")),1,0),0))</f>
        <v>1</v>
      </c>
      <c r="E802" s="72">
        <f t="shared" si="206"/>
        <v>46419</v>
      </c>
      <c r="F802" s="19" t="str">
        <f>IF($D802=1,INDEX(TblClusters[Cluster],$B802),"")</f>
        <v>ku002i000246</v>
      </c>
      <c r="G802" s="19" t="str">
        <f>IF($D802=1,INDEX(TblClusters[Plateforme],$B802),"")</f>
        <v>IKS</v>
      </c>
      <c r="H802" s="19">
        <f>IF($D802=1,INDEX(TblClusters[vCPU par nœud],$B802),"")</f>
        <v>32</v>
      </c>
      <c r="I802" s="19">
        <f>IF($D802=1,INDEX(TblClusters[RAM par nœud (Go)],$B802),"")</f>
        <v>128</v>
      </c>
      <c r="J802" s="19">
        <f>IF($D802=1,INDEX(TblClusters[Workers min],$B802),"")</f>
        <v>3</v>
      </c>
      <c r="K802" s="73">
        <f>IF($D802=1,INDEX(TblClusters[Tarif par nœud],$B802),"")</f>
        <v>1062</v>
      </c>
      <c r="L802" s="19">
        <f>IF($D802=1,INDEX(TblClusters[CPU initial (vCPU)],$B802),"")</f>
        <v>480</v>
      </c>
      <c r="M802" s="19">
        <f>IF($D802=1,INDEX(TblClusters[RAM initiale (Go)],$B802),"")</f>
        <v>1920</v>
      </c>
      <c r="N802" s="19">
        <f>IF($D802=1,INDEX(TblClusters[CPU min (vCPU)],$B802),"")</f>
        <v>96</v>
      </c>
      <c r="O802" s="19">
        <f>IF($D802=1,INDEX(TblClusters[RAM min (Go)],$B802),"")</f>
        <v>384</v>
      </c>
      <c r="P802" s="19">
        <f>IF($D802&lt;&gt;1,"",IF($G802="ROKS",SUMIFS(TblApplications[Besoin ROKS CPU (vCPU)],TblApplications[Cluster ROKS cible],$F802,TblApplications[Action],"À migrer",TblApplications[Déjà incluse ROKS],"Non",TblApplications[Mois prov (calc)],"&lt;="&amp;$E802),SUMIFS(TblApplications[CPU IKS libérable (vCPU)],TblApplications[Cluster IKS source],$F802,TblApplications[Mois lib (calc)],"&lt;="&amp;$E802)))</f>
        <v>0</v>
      </c>
      <c r="Q802" s="19">
        <f>IF($D802&lt;&gt;1,"",IF($G802="ROKS",SUMIFS(TblApplications[Besoin ROKS RAM (Go)],TblApplications[Cluster ROKS cible],$F802,TblApplications[Action],"À migrer",TblApplications[Déjà incluse ROKS],"Non",TblApplications[Mois prov (calc)],"&lt;="&amp;$E802),SUMIFS(TblApplications[RAM IKS libérable (Go)],TblApplications[Cluster IKS source],$F802,TblApplications[Mois lib (calc)],"&lt;="&amp;$E802)))</f>
        <v>0</v>
      </c>
      <c r="R802" s="19">
        <f t="shared" si="207"/>
        <v>480</v>
      </c>
      <c r="S802" s="19">
        <f t="shared" si="208"/>
        <v>1920</v>
      </c>
      <c r="T802" s="19">
        <f t="shared" si="209"/>
        <v>15</v>
      </c>
      <c r="U802" s="19">
        <f t="shared" si="210"/>
        <v>480</v>
      </c>
      <c r="V802" s="19">
        <f t="shared" si="211"/>
        <v>1920</v>
      </c>
      <c r="W802" s="73">
        <f t="shared" si="212"/>
        <v>15930</v>
      </c>
      <c r="X802" s="19">
        <f>IF($D802&lt;&gt;1,"",IF($G802="ROKS",$R802,IF($AI802=1,0,MAX($N802,$L802-SUMIFS(TblApplications[CPU IKS libérable (vCPU)],TblApplications[Cluster IKS source],$F802,TblApplications[Action],"À migrer",TblApplications[Mois prov (calc)],"&lt;="&amp;$E802)-SUMIFS(TblApplications[CPU IKS libérable (vCPU)],TblApplications[Cluster IKS source],$F802,TblApplications[Action],"À décommissionner",TblApplications[Mois lib (calc)],"&lt;="&amp;$E802)))))</f>
        <v>480</v>
      </c>
      <c r="Y802" s="19">
        <f>IF($D802&lt;&gt;1,"",IF($G802="ROKS",$S802,IF($AI802=1,0,MAX($O802,$M802-SUMIFS(TblApplications[RAM IKS libérable (Go)],TblApplications[Cluster IKS source],$F802,TblApplications[Action],"À migrer",TblApplications[Mois prov (calc)],"&lt;="&amp;$E802)-SUMIFS(TblApplications[RAM IKS libérable (Go)],TblApplications[Cluster IKS source],$F802,TblApplications[Action],"À décommissionner",TblApplications[Mois lib (calc)],"&lt;="&amp;$E802)))))</f>
        <v>1920</v>
      </c>
      <c r="Z802" s="19">
        <f t="shared" si="213"/>
        <v>15</v>
      </c>
      <c r="AA802" s="73">
        <f t="shared" si="214"/>
        <v>15930</v>
      </c>
      <c r="AB802" s="19">
        <f t="shared" si="215"/>
        <v>15</v>
      </c>
      <c r="AC802" s="73">
        <f t="shared" si="216"/>
        <v>15930</v>
      </c>
      <c r="AD802" s="19">
        <f t="shared" si="217"/>
        <v>0</v>
      </c>
      <c r="AE802" s="19">
        <f t="shared" si="218"/>
        <v>0</v>
      </c>
      <c r="AF802" s="19" t="str">
        <f>IF($D802&lt;&gt;1,"",IF(INDEX(TblClusters[Environnement],$B802)="","(vide)",INDEX(TblClusters[Environnement],$B802)))</f>
        <v>NPRD</v>
      </c>
      <c r="AG802" s="19">
        <f t="shared" si="219"/>
        <v>672</v>
      </c>
      <c r="AH802" s="19">
        <f t="shared" si="220"/>
        <v>23.705357142857142</v>
      </c>
      <c r="AI802" s="19">
        <f>IF($D802&lt;&gt;1,"",IF(AND($G802="IKS",ISNUMBER(INDEX(TblClusters[Fermeture retenue],$B802))),IF($E802&gt;=INDEX(TblClusters[Fermeture retenue],$B802),1,0),0))</f>
        <v>0</v>
      </c>
    </row>
    <row r="803" spans="1:35" x14ac:dyDescent="0.2">
      <c r="A803" s="19">
        <v>798</v>
      </c>
      <c r="B803" s="19">
        <f t="shared" si="204"/>
        <v>23</v>
      </c>
      <c r="C803" s="19">
        <f t="shared" si="205"/>
        <v>6</v>
      </c>
      <c r="D803" s="19">
        <f>IF($C803&gt;p_horizon,0,IFERROR(IF(AND(INDEX(TblClusters[Cluster],$B803)&lt;&gt;"",ISNUMBER(INDEX(TblClusters[CPU initial (vCPU)],$B803)),ISNUMBER(INDEX(TblClusters[CPU min (vCPU)],$B803)),OR(INDEX(TblClusters[Plateforme],$B803)="IKS",INDEX(TblClusters[Plateforme],$B803)="ROKS")),1,0),0))</f>
        <v>1</v>
      </c>
      <c r="E803" s="72">
        <f t="shared" si="206"/>
        <v>46447</v>
      </c>
      <c r="F803" s="19" t="str">
        <f>IF($D803=1,INDEX(TblClusters[Cluster],$B803),"")</f>
        <v>ku002i000246</v>
      </c>
      <c r="G803" s="19" t="str">
        <f>IF($D803=1,INDEX(TblClusters[Plateforme],$B803),"")</f>
        <v>IKS</v>
      </c>
      <c r="H803" s="19">
        <f>IF($D803=1,INDEX(TblClusters[vCPU par nœud],$B803),"")</f>
        <v>32</v>
      </c>
      <c r="I803" s="19">
        <f>IF($D803=1,INDEX(TblClusters[RAM par nœud (Go)],$B803),"")</f>
        <v>128</v>
      </c>
      <c r="J803" s="19">
        <f>IF($D803=1,INDEX(TblClusters[Workers min],$B803),"")</f>
        <v>3</v>
      </c>
      <c r="K803" s="73">
        <f>IF($D803=1,INDEX(TblClusters[Tarif par nœud],$B803),"")</f>
        <v>1062</v>
      </c>
      <c r="L803" s="19">
        <f>IF($D803=1,INDEX(TblClusters[CPU initial (vCPU)],$B803),"")</f>
        <v>480</v>
      </c>
      <c r="M803" s="19">
        <f>IF($D803=1,INDEX(TblClusters[RAM initiale (Go)],$B803),"")</f>
        <v>1920</v>
      </c>
      <c r="N803" s="19">
        <f>IF($D803=1,INDEX(TblClusters[CPU min (vCPU)],$B803),"")</f>
        <v>96</v>
      </c>
      <c r="O803" s="19">
        <f>IF($D803=1,INDEX(TblClusters[RAM min (Go)],$B803),"")</f>
        <v>384</v>
      </c>
      <c r="P803" s="19">
        <f>IF($D803&lt;&gt;1,"",IF($G803="ROKS",SUMIFS(TblApplications[Besoin ROKS CPU (vCPU)],TblApplications[Cluster ROKS cible],$F803,TblApplications[Action],"À migrer",TblApplications[Déjà incluse ROKS],"Non",TblApplications[Mois prov (calc)],"&lt;="&amp;$E803),SUMIFS(TblApplications[CPU IKS libérable (vCPU)],TblApplications[Cluster IKS source],$F803,TblApplications[Mois lib (calc)],"&lt;="&amp;$E803)))</f>
        <v>0</v>
      </c>
      <c r="Q803" s="19">
        <f>IF($D803&lt;&gt;1,"",IF($G803="ROKS",SUMIFS(TblApplications[Besoin ROKS RAM (Go)],TblApplications[Cluster ROKS cible],$F803,TblApplications[Action],"À migrer",TblApplications[Déjà incluse ROKS],"Non",TblApplications[Mois prov (calc)],"&lt;="&amp;$E803),SUMIFS(TblApplications[RAM IKS libérable (Go)],TblApplications[Cluster IKS source],$F803,TblApplications[Mois lib (calc)],"&lt;="&amp;$E803)))</f>
        <v>0</v>
      </c>
      <c r="R803" s="19">
        <f t="shared" si="207"/>
        <v>480</v>
      </c>
      <c r="S803" s="19">
        <f t="shared" si="208"/>
        <v>1920</v>
      </c>
      <c r="T803" s="19">
        <f t="shared" si="209"/>
        <v>15</v>
      </c>
      <c r="U803" s="19">
        <f t="shared" si="210"/>
        <v>480</v>
      </c>
      <c r="V803" s="19">
        <f t="shared" si="211"/>
        <v>1920</v>
      </c>
      <c r="W803" s="73">
        <f t="shared" si="212"/>
        <v>15930</v>
      </c>
      <c r="X803" s="19">
        <f>IF($D803&lt;&gt;1,"",IF($G803="ROKS",$R803,IF($AI803=1,0,MAX($N803,$L803-SUMIFS(TblApplications[CPU IKS libérable (vCPU)],TblApplications[Cluster IKS source],$F803,TblApplications[Action],"À migrer",TblApplications[Mois prov (calc)],"&lt;="&amp;$E803)-SUMIFS(TblApplications[CPU IKS libérable (vCPU)],TblApplications[Cluster IKS source],$F803,TblApplications[Action],"À décommissionner",TblApplications[Mois lib (calc)],"&lt;="&amp;$E803)))))</f>
        <v>480</v>
      </c>
      <c r="Y803" s="19">
        <f>IF($D803&lt;&gt;1,"",IF($G803="ROKS",$S803,IF($AI803=1,0,MAX($O803,$M803-SUMIFS(TblApplications[RAM IKS libérable (Go)],TblApplications[Cluster IKS source],$F803,TblApplications[Action],"À migrer",TblApplications[Mois prov (calc)],"&lt;="&amp;$E803)-SUMIFS(TblApplications[RAM IKS libérable (Go)],TblApplications[Cluster IKS source],$F803,TblApplications[Action],"À décommissionner",TblApplications[Mois lib (calc)],"&lt;="&amp;$E803)))))</f>
        <v>1920</v>
      </c>
      <c r="Z803" s="19">
        <f t="shared" si="213"/>
        <v>15</v>
      </c>
      <c r="AA803" s="73">
        <f t="shared" si="214"/>
        <v>15930</v>
      </c>
      <c r="AB803" s="19">
        <f t="shared" si="215"/>
        <v>15</v>
      </c>
      <c r="AC803" s="73">
        <f t="shared" si="216"/>
        <v>15930</v>
      </c>
      <c r="AD803" s="19">
        <f t="shared" si="217"/>
        <v>0</v>
      </c>
      <c r="AE803" s="19">
        <f t="shared" si="218"/>
        <v>0</v>
      </c>
      <c r="AF803" s="19" t="str">
        <f>IF($D803&lt;&gt;1,"",IF(INDEX(TblClusters[Environnement],$B803)="","(vide)",INDEX(TblClusters[Environnement],$B803)))</f>
        <v>NPRD</v>
      </c>
      <c r="AG803" s="19">
        <f t="shared" si="219"/>
        <v>672</v>
      </c>
      <c r="AH803" s="19">
        <f t="shared" si="220"/>
        <v>23.705357142857142</v>
      </c>
      <c r="AI803" s="19">
        <f>IF($D803&lt;&gt;1,"",IF(AND($G803="IKS",ISNUMBER(INDEX(TblClusters[Fermeture retenue],$B803))),IF($E803&gt;=INDEX(TblClusters[Fermeture retenue],$B803),1,0),0))</f>
        <v>0</v>
      </c>
    </row>
    <row r="804" spans="1:35" x14ac:dyDescent="0.2">
      <c r="A804" s="19">
        <v>799</v>
      </c>
      <c r="B804" s="19">
        <f t="shared" si="204"/>
        <v>23</v>
      </c>
      <c r="C804" s="19">
        <f t="shared" si="205"/>
        <v>7</v>
      </c>
      <c r="D804" s="19">
        <f>IF($C804&gt;p_horizon,0,IFERROR(IF(AND(INDEX(TblClusters[Cluster],$B804)&lt;&gt;"",ISNUMBER(INDEX(TblClusters[CPU initial (vCPU)],$B804)),ISNUMBER(INDEX(TblClusters[CPU min (vCPU)],$B804)),OR(INDEX(TblClusters[Plateforme],$B804)="IKS",INDEX(TblClusters[Plateforme],$B804)="ROKS")),1,0),0))</f>
        <v>1</v>
      </c>
      <c r="E804" s="72">
        <f t="shared" si="206"/>
        <v>46478</v>
      </c>
      <c r="F804" s="19" t="str">
        <f>IF($D804=1,INDEX(TblClusters[Cluster],$B804),"")</f>
        <v>ku002i000246</v>
      </c>
      <c r="G804" s="19" t="str">
        <f>IF($D804=1,INDEX(TblClusters[Plateforme],$B804),"")</f>
        <v>IKS</v>
      </c>
      <c r="H804" s="19">
        <f>IF($D804=1,INDEX(TblClusters[vCPU par nœud],$B804),"")</f>
        <v>32</v>
      </c>
      <c r="I804" s="19">
        <f>IF($D804=1,INDEX(TblClusters[RAM par nœud (Go)],$B804),"")</f>
        <v>128</v>
      </c>
      <c r="J804" s="19">
        <f>IF($D804=1,INDEX(TblClusters[Workers min],$B804),"")</f>
        <v>3</v>
      </c>
      <c r="K804" s="73">
        <f>IF($D804=1,INDEX(TblClusters[Tarif par nœud],$B804),"")</f>
        <v>1062</v>
      </c>
      <c r="L804" s="19">
        <f>IF($D804=1,INDEX(TblClusters[CPU initial (vCPU)],$B804),"")</f>
        <v>480</v>
      </c>
      <c r="M804" s="19">
        <f>IF($D804=1,INDEX(TblClusters[RAM initiale (Go)],$B804),"")</f>
        <v>1920</v>
      </c>
      <c r="N804" s="19">
        <f>IF($D804=1,INDEX(TblClusters[CPU min (vCPU)],$B804),"")</f>
        <v>96</v>
      </c>
      <c r="O804" s="19">
        <f>IF($D804=1,INDEX(TblClusters[RAM min (Go)],$B804),"")</f>
        <v>384</v>
      </c>
      <c r="P804" s="19">
        <f>IF($D804&lt;&gt;1,"",IF($G804="ROKS",SUMIFS(TblApplications[Besoin ROKS CPU (vCPU)],TblApplications[Cluster ROKS cible],$F804,TblApplications[Action],"À migrer",TblApplications[Déjà incluse ROKS],"Non",TblApplications[Mois prov (calc)],"&lt;="&amp;$E804),SUMIFS(TblApplications[CPU IKS libérable (vCPU)],TblApplications[Cluster IKS source],$F804,TblApplications[Mois lib (calc)],"&lt;="&amp;$E804)))</f>
        <v>0</v>
      </c>
      <c r="Q804" s="19">
        <f>IF($D804&lt;&gt;1,"",IF($G804="ROKS",SUMIFS(TblApplications[Besoin ROKS RAM (Go)],TblApplications[Cluster ROKS cible],$F804,TblApplications[Action],"À migrer",TblApplications[Déjà incluse ROKS],"Non",TblApplications[Mois prov (calc)],"&lt;="&amp;$E804),SUMIFS(TblApplications[RAM IKS libérable (Go)],TblApplications[Cluster IKS source],$F804,TblApplications[Mois lib (calc)],"&lt;="&amp;$E804)))</f>
        <v>0</v>
      </c>
      <c r="R804" s="19">
        <f t="shared" si="207"/>
        <v>480</v>
      </c>
      <c r="S804" s="19">
        <f t="shared" si="208"/>
        <v>1920</v>
      </c>
      <c r="T804" s="19">
        <f t="shared" si="209"/>
        <v>15</v>
      </c>
      <c r="U804" s="19">
        <f t="shared" si="210"/>
        <v>480</v>
      </c>
      <c r="V804" s="19">
        <f t="shared" si="211"/>
        <v>1920</v>
      </c>
      <c r="W804" s="73">
        <f t="shared" si="212"/>
        <v>15930</v>
      </c>
      <c r="X804" s="19">
        <f>IF($D804&lt;&gt;1,"",IF($G804="ROKS",$R804,IF($AI804=1,0,MAX($N804,$L804-SUMIFS(TblApplications[CPU IKS libérable (vCPU)],TblApplications[Cluster IKS source],$F804,TblApplications[Action],"À migrer",TblApplications[Mois prov (calc)],"&lt;="&amp;$E804)-SUMIFS(TblApplications[CPU IKS libérable (vCPU)],TblApplications[Cluster IKS source],$F804,TblApplications[Action],"À décommissionner",TblApplications[Mois lib (calc)],"&lt;="&amp;$E804)))))</f>
        <v>480</v>
      </c>
      <c r="Y804" s="19">
        <f>IF($D804&lt;&gt;1,"",IF($G804="ROKS",$S804,IF($AI804=1,0,MAX($O804,$M804-SUMIFS(TblApplications[RAM IKS libérable (Go)],TblApplications[Cluster IKS source],$F804,TblApplications[Action],"À migrer",TblApplications[Mois prov (calc)],"&lt;="&amp;$E804)-SUMIFS(TblApplications[RAM IKS libérable (Go)],TblApplications[Cluster IKS source],$F804,TblApplications[Action],"À décommissionner",TblApplications[Mois lib (calc)],"&lt;="&amp;$E804)))))</f>
        <v>1920</v>
      </c>
      <c r="Z804" s="19">
        <f t="shared" si="213"/>
        <v>15</v>
      </c>
      <c r="AA804" s="73">
        <f t="shared" si="214"/>
        <v>15930</v>
      </c>
      <c r="AB804" s="19">
        <f t="shared" si="215"/>
        <v>15</v>
      </c>
      <c r="AC804" s="73">
        <f t="shared" si="216"/>
        <v>15930</v>
      </c>
      <c r="AD804" s="19">
        <f t="shared" si="217"/>
        <v>0</v>
      </c>
      <c r="AE804" s="19">
        <f t="shared" si="218"/>
        <v>0</v>
      </c>
      <c r="AF804" s="19" t="str">
        <f>IF($D804&lt;&gt;1,"",IF(INDEX(TblClusters[Environnement],$B804)="","(vide)",INDEX(TblClusters[Environnement],$B804)))</f>
        <v>NPRD</v>
      </c>
      <c r="AG804" s="19">
        <f t="shared" si="219"/>
        <v>672</v>
      </c>
      <c r="AH804" s="19">
        <f t="shared" si="220"/>
        <v>23.705357142857142</v>
      </c>
      <c r="AI804" s="19">
        <f>IF($D804&lt;&gt;1,"",IF(AND($G804="IKS",ISNUMBER(INDEX(TblClusters[Fermeture retenue],$B804))),IF($E804&gt;=INDEX(TblClusters[Fermeture retenue],$B804),1,0),0))</f>
        <v>0</v>
      </c>
    </row>
    <row r="805" spans="1:35" x14ac:dyDescent="0.2">
      <c r="A805" s="19">
        <v>800</v>
      </c>
      <c r="B805" s="19">
        <f t="shared" si="204"/>
        <v>23</v>
      </c>
      <c r="C805" s="19">
        <f t="shared" si="205"/>
        <v>8</v>
      </c>
      <c r="D805" s="19">
        <f>IF($C805&gt;p_horizon,0,IFERROR(IF(AND(INDEX(TblClusters[Cluster],$B805)&lt;&gt;"",ISNUMBER(INDEX(TblClusters[CPU initial (vCPU)],$B805)),ISNUMBER(INDEX(TblClusters[CPU min (vCPU)],$B805)),OR(INDEX(TblClusters[Plateforme],$B805)="IKS",INDEX(TblClusters[Plateforme],$B805)="ROKS")),1,0),0))</f>
        <v>1</v>
      </c>
      <c r="E805" s="72">
        <f t="shared" si="206"/>
        <v>46508</v>
      </c>
      <c r="F805" s="19" t="str">
        <f>IF($D805=1,INDEX(TblClusters[Cluster],$B805),"")</f>
        <v>ku002i000246</v>
      </c>
      <c r="G805" s="19" t="str">
        <f>IF($D805=1,INDEX(TblClusters[Plateforme],$B805),"")</f>
        <v>IKS</v>
      </c>
      <c r="H805" s="19">
        <f>IF($D805=1,INDEX(TblClusters[vCPU par nœud],$B805),"")</f>
        <v>32</v>
      </c>
      <c r="I805" s="19">
        <f>IF($D805=1,INDEX(TblClusters[RAM par nœud (Go)],$B805),"")</f>
        <v>128</v>
      </c>
      <c r="J805" s="19">
        <f>IF($D805=1,INDEX(TblClusters[Workers min],$B805),"")</f>
        <v>3</v>
      </c>
      <c r="K805" s="73">
        <f>IF($D805=1,INDEX(TblClusters[Tarif par nœud],$B805),"")</f>
        <v>1062</v>
      </c>
      <c r="L805" s="19">
        <f>IF($D805=1,INDEX(TblClusters[CPU initial (vCPU)],$B805),"")</f>
        <v>480</v>
      </c>
      <c r="M805" s="19">
        <f>IF($D805=1,INDEX(TblClusters[RAM initiale (Go)],$B805),"")</f>
        <v>1920</v>
      </c>
      <c r="N805" s="19">
        <f>IF($D805=1,INDEX(TblClusters[CPU min (vCPU)],$B805),"")</f>
        <v>96</v>
      </c>
      <c r="O805" s="19">
        <f>IF($D805=1,INDEX(TblClusters[RAM min (Go)],$B805),"")</f>
        <v>384</v>
      </c>
      <c r="P805" s="19">
        <f>IF($D805&lt;&gt;1,"",IF($G805="ROKS",SUMIFS(TblApplications[Besoin ROKS CPU (vCPU)],TblApplications[Cluster ROKS cible],$F805,TblApplications[Action],"À migrer",TblApplications[Déjà incluse ROKS],"Non",TblApplications[Mois prov (calc)],"&lt;="&amp;$E805),SUMIFS(TblApplications[CPU IKS libérable (vCPU)],TblApplications[Cluster IKS source],$F805,TblApplications[Mois lib (calc)],"&lt;="&amp;$E805)))</f>
        <v>0</v>
      </c>
      <c r="Q805" s="19">
        <f>IF($D805&lt;&gt;1,"",IF($G805="ROKS",SUMIFS(TblApplications[Besoin ROKS RAM (Go)],TblApplications[Cluster ROKS cible],$F805,TblApplications[Action],"À migrer",TblApplications[Déjà incluse ROKS],"Non",TblApplications[Mois prov (calc)],"&lt;="&amp;$E805),SUMIFS(TblApplications[RAM IKS libérable (Go)],TblApplications[Cluster IKS source],$F805,TblApplications[Mois lib (calc)],"&lt;="&amp;$E805)))</f>
        <v>0</v>
      </c>
      <c r="R805" s="19">
        <f t="shared" si="207"/>
        <v>480</v>
      </c>
      <c r="S805" s="19">
        <f t="shared" si="208"/>
        <v>1920</v>
      </c>
      <c r="T805" s="19">
        <f t="shared" si="209"/>
        <v>15</v>
      </c>
      <c r="U805" s="19">
        <f t="shared" si="210"/>
        <v>480</v>
      </c>
      <c r="V805" s="19">
        <f t="shared" si="211"/>
        <v>1920</v>
      </c>
      <c r="W805" s="73">
        <f t="shared" si="212"/>
        <v>15930</v>
      </c>
      <c r="X805" s="19">
        <f>IF($D805&lt;&gt;1,"",IF($G805="ROKS",$R805,IF($AI805=1,0,MAX($N805,$L805-SUMIFS(TblApplications[CPU IKS libérable (vCPU)],TblApplications[Cluster IKS source],$F805,TblApplications[Action],"À migrer",TblApplications[Mois prov (calc)],"&lt;="&amp;$E805)-SUMIFS(TblApplications[CPU IKS libérable (vCPU)],TblApplications[Cluster IKS source],$F805,TblApplications[Action],"À décommissionner",TblApplications[Mois lib (calc)],"&lt;="&amp;$E805)))))</f>
        <v>480</v>
      </c>
      <c r="Y805" s="19">
        <f>IF($D805&lt;&gt;1,"",IF($G805="ROKS",$S805,IF($AI805=1,0,MAX($O805,$M805-SUMIFS(TblApplications[RAM IKS libérable (Go)],TblApplications[Cluster IKS source],$F805,TblApplications[Action],"À migrer",TblApplications[Mois prov (calc)],"&lt;="&amp;$E805)-SUMIFS(TblApplications[RAM IKS libérable (Go)],TblApplications[Cluster IKS source],$F805,TblApplications[Action],"À décommissionner",TblApplications[Mois lib (calc)],"&lt;="&amp;$E805)))))</f>
        <v>1920</v>
      </c>
      <c r="Z805" s="19">
        <f t="shared" si="213"/>
        <v>15</v>
      </c>
      <c r="AA805" s="73">
        <f t="shared" si="214"/>
        <v>15930</v>
      </c>
      <c r="AB805" s="19">
        <f t="shared" si="215"/>
        <v>15</v>
      </c>
      <c r="AC805" s="73">
        <f t="shared" si="216"/>
        <v>15930</v>
      </c>
      <c r="AD805" s="19">
        <f t="shared" si="217"/>
        <v>0</v>
      </c>
      <c r="AE805" s="19">
        <f t="shared" si="218"/>
        <v>0</v>
      </c>
      <c r="AF805" s="19" t="str">
        <f>IF($D805&lt;&gt;1,"",IF(INDEX(TblClusters[Environnement],$B805)="","(vide)",INDEX(TblClusters[Environnement],$B805)))</f>
        <v>NPRD</v>
      </c>
      <c r="AG805" s="19">
        <f t="shared" si="219"/>
        <v>672</v>
      </c>
      <c r="AH805" s="19">
        <f t="shared" si="220"/>
        <v>23.705357142857142</v>
      </c>
      <c r="AI805" s="19">
        <f>IF($D805&lt;&gt;1,"",IF(AND($G805="IKS",ISNUMBER(INDEX(TblClusters[Fermeture retenue],$B805))),IF($E805&gt;=INDEX(TblClusters[Fermeture retenue],$B805),1,0),0))</f>
        <v>0</v>
      </c>
    </row>
    <row r="806" spans="1:35" x14ac:dyDescent="0.2">
      <c r="A806" s="19">
        <v>801</v>
      </c>
      <c r="B806" s="19">
        <f t="shared" si="204"/>
        <v>23</v>
      </c>
      <c r="C806" s="19">
        <f t="shared" si="205"/>
        <v>9</v>
      </c>
      <c r="D806" s="19">
        <f>IF($C806&gt;p_horizon,0,IFERROR(IF(AND(INDEX(TblClusters[Cluster],$B806)&lt;&gt;"",ISNUMBER(INDEX(TblClusters[CPU initial (vCPU)],$B806)),ISNUMBER(INDEX(TblClusters[CPU min (vCPU)],$B806)),OR(INDEX(TblClusters[Plateforme],$B806)="IKS",INDEX(TblClusters[Plateforme],$B806)="ROKS")),1,0),0))</f>
        <v>1</v>
      </c>
      <c r="E806" s="72">
        <f t="shared" si="206"/>
        <v>46539</v>
      </c>
      <c r="F806" s="19" t="str">
        <f>IF($D806=1,INDEX(TblClusters[Cluster],$B806),"")</f>
        <v>ku002i000246</v>
      </c>
      <c r="G806" s="19" t="str">
        <f>IF($D806=1,INDEX(TblClusters[Plateforme],$B806),"")</f>
        <v>IKS</v>
      </c>
      <c r="H806" s="19">
        <f>IF($D806=1,INDEX(TblClusters[vCPU par nœud],$B806),"")</f>
        <v>32</v>
      </c>
      <c r="I806" s="19">
        <f>IF($D806=1,INDEX(TblClusters[RAM par nœud (Go)],$B806),"")</f>
        <v>128</v>
      </c>
      <c r="J806" s="19">
        <f>IF($D806=1,INDEX(TblClusters[Workers min],$B806),"")</f>
        <v>3</v>
      </c>
      <c r="K806" s="73">
        <f>IF($D806=1,INDEX(TblClusters[Tarif par nœud],$B806),"")</f>
        <v>1062</v>
      </c>
      <c r="L806" s="19">
        <f>IF($D806=1,INDEX(TblClusters[CPU initial (vCPU)],$B806),"")</f>
        <v>480</v>
      </c>
      <c r="M806" s="19">
        <f>IF($D806=1,INDEX(TblClusters[RAM initiale (Go)],$B806),"")</f>
        <v>1920</v>
      </c>
      <c r="N806" s="19">
        <f>IF($D806=1,INDEX(TblClusters[CPU min (vCPU)],$B806),"")</f>
        <v>96</v>
      </c>
      <c r="O806" s="19">
        <f>IF($D806=1,INDEX(TblClusters[RAM min (Go)],$B806),"")</f>
        <v>384</v>
      </c>
      <c r="P806" s="19">
        <f>IF($D806&lt;&gt;1,"",IF($G806="ROKS",SUMIFS(TblApplications[Besoin ROKS CPU (vCPU)],TblApplications[Cluster ROKS cible],$F806,TblApplications[Action],"À migrer",TblApplications[Déjà incluse ROKS],"Non",TblApplications[Mois prov (calc)],"&lt;="&amp;$E806),SUMIFS(TblApplications[CPU IKS libérable (vCPU)],TblApplications[Cluster IKS source],$F806,TblApplications[Mois lib (calc)],"&lt;="&amp;$E806)))</f>
        <v>0</v>
      </c>
      <c r="Q806" s="19">
        <f>IF($D806&lt;&gt;1,"",IF($G806="ROKS",SUMIFS(TblApplications[Besoin ROKS RAM (Go)],TblApplications[Cluster ROKS cible],$F806,TblApplications[Action],"À migrer",TblApplications[Déjà incluse ROKS],"Non",TblApplications[Mois prov (calc)],"&lt;="&amp;$E806),SUMIFS(TblApplications[RAM IKS libérable (Go)],TblApplications[Cluster IKS source],$F806,TblApplications[Mois lib (calc)],"&lt;="&amp;$E806)))</f>
        <v>0</v>
      </c>
      <c r="R806" s="19">
        <f t="shared" si="207"/>
        <v>480</v>
      </c>
      <c r="S806" s="19">
        <f t="shared" si="208"/>
        <v>1920</v>
      </c>
      <c r="T806" s="19">
        <f t="shared" si="209"/>
        <v>15</v>
      </c>
      <c r="U806" s="19">
        <f t="shared" si="210"/>
        <v>480</v>
      </c>
      <c r="V806" s="19">
        <f t="shared" si="211"/>
        <v>1920</v>
      </c>
      <c r="W806" s="73">
        <f t="shared" si="212"/>
        <v>15930</v>
      </c>
      <c r="X806" s="19">
        <f>IF($D806&lt;&gt;1,"",IF($G806="ROKS",$R806,IF($AI806=1,0,MAX($N806,$L806-SUMIFS(TblApplications[CPU IKS libérable (vCPU)],TblApplications[Cluster IKS source],$F806,TblApplications[Action],"À migrer",TblApplications[Mois prov (calc)],"&lt;="&amp;$E806)-SUMIFS(TblApplications[CPU IKS libérable (vCPU)],TblApplications[Cluster IKS source],$F806,TblApplications[Action],"À décommissionner",TblApplications[Mois lib (calc)],"&lt;="&amp;$E806)))))</f>
        <v>480</v>
      </c>
      <c r="Y806" s="19">
        <f>IF($D806&lt;&gt;1,"",IF($G806="ROKS",$S806,IF($AI806=1,0,MAX($O806,$M806-SUMIFS(TblApplications[RAM IKS libérable (Go)],TblApplications[Cluster IKS source],$F806,TblApplications[Action],"À migrer",TblApplications[Mois prov (calc)],"&lt;="&amp;$E806)-SUMIFS(TblApplications[RAM IKS libérable (Go)],TblApplications[Cluster IKS source],$F806,TblApplications[Action],"À décommissionner",TblApplications[Mois lib (calc)],"&lt;="&amp;$E806)))))</f>
        <v>1920</v>
      </c>
      <c r="Z806" s="19">
        <f t="shared" si="213"/>
        <v>15</v>
      </c>
      <c r="AA806" s="73">
        <f t="shared" si="214"/>
        <v>15930</v>
      </c>
      <c r="AB806" s="19">
        <f t="shared" si="215"/>
        <v>15</v>
      </c>
      <c r="AC806" s="73">
        <f t="shared" si="216"/>
        <v>15930</v>
      </c>
      <c r="AD806" s="19">
        <f t="shared" si="217"/>
        <v>0</v>
      </c>
      <c r="AE806" s="19">
        <f t="shared" si="218"/>
        <v>0</v>
      </c>
      <c r="AF806" s="19" t="str">
        <f>IF($D806&lt;&gt;1,"",IF(INDEX(TblClusters[Environnement],$B806)="","(vide)",INDEX(TblClusters[Environnement],$B806)))</f>
        <v>NPRD</v>
      </c>
      <c r="AG806" s="19">
        <f t="shared" si="219"/>
        <v>672</v>
      </c>
      <c r="AH806" s="19">
        <f t="shared" si="220"/>
        <v>23.705357142857142</v>
      </c>
      <c r="AI806" s="19">
        <f>IF($D806&lt;&gt;1,"",IF(AND($G806="IKS",ISNUMBER(INDEX(TblClusters[Fermeture retenue],$B806))),IF($E806&gt;=INDEX(TblClusters[Fermeture retenue],$B806),1,0),0))</f>
        <v>0</v>
      </c>
    </row>
    <row r="807" spans="1:35" x14ac:dyDescent="0.2">
      <c r="A807" s="19">
        <v>802</v>
      </c>
      <c r="B807" s="19">
        <f t="shared" si="204"/>
        <v>23</v>
      </c>
      <c r="C807" s="19">
        <f t="shared" si="205"/>
        <v>10</v>
      </c>
      <c r="D807" s="19">
        <f>IF($C807&gt;p_horizon,0,IFERROR(IF(AND(INDEX(TblClusters[Cluster],$B807)&lt;&gt;"",ISNUMBER(INDEX(TblClusters[CPU initial (vCPU)],$B807)),ISNUMBER(INDEX(TblClusters[CPU min (vCPU)],$B807)),OR(INDEX(TblClusters[Plateforme],$B807)="IKS",INDEX(TblClusters[Plateforme],$B807)="ROKS")),1,0),0))</f>
        <v>1</v>
      </c>
      <c r="E807" s="72">
        <f t="shared" si="206"/>
        <v>46569</v>
      </c>
      <c r="F807" s="19" t="str">
        <f>IF($D807=1,INDEX(TblClusters[Cluster],$B807),"")</f>
        <v>ku002i000246</v>
      </c>
      <c r="G807" s="19" t="str">
        <f>IF($D807=1,INDEX(TblClusters[Plateforme],$B807),"")</f>
        <v>IKS</v>
      </c>
      <c r="H807" s="19">
        <f>IF($D807=1,INDEX(TblClusters[vCPU par nœud],$B807),"")</f>
        <v>32</v>
      </c>
      <c r="I807" s="19">
        <f>IF($D807=1,INDEX(TblClusters[RAM par nœud (Go)],$B807),"")</f>
        <v>128</v>
      </c>
      <c r="J807" s="19">
        <f>IF($D807=1,INDEX(TblClusters[Workers min],$B807),"")</f>
        <v>3</v>
      </c>
      <c r="K807" s="73">
        <f>IF($D807=1,INDEX(TblClusters[Tarif par nœud],$B807),"")</f>
        <v>1062</v>
      </c>
      <c r="L807" s="19">
        <f>IF($D807=1,INDEX(TblClusters[CPU initial (vCPU)],$B807),"")</f>
        <v>480</v>
      </c>
      <c r="M807" s="19">
        <f>IF($D807=1,INDEX(TblClusters[RAM initiale (Go)],$B807),"")</f>
        <v>1920</v>
      </c>
      <c r="N807" s="19">
        <f>IF($D807=1,INDEX(TblClusters[CPU min (vCPU)],$B807),"")</f>
        <v>96</v>
      </c>
      <c r="O807" s="19">
        <f>IF($D807=1,INDEX(TblClusters[RAM min (Go)],$B807),"")</f>
        <v>384</v>
      </c>
      <c r="P807" s="19">
        <f>IF($D807&lt;&gt;1,"",IF($G807="ROKS",SUMIFS(TblApplications[Besoin ROKS CPU (vCPU)],TblApplications[Cluster ROKS cible],$F807,TblApplications[Action],"À migrer",TblApplications[Déjà incluse ROKS],"Non",TblApplications[Mois prov (calc)],"&lt;="&amp;$E807),SUMIFS(TblApplications[CPU IKS libérable (vCPU)],TblApplications[Cluster IKS source],$F807,TblApplications[Mois lib (calc)],"&lt;="&amp;$E807)))</f>
        <v>0</v>
      </c>
      <c r="Q807" s="19">
        <f>IF($D807&lt;&gt;1,"",IF($G807="ROKS",SUMIFS(TblApplications[Besoin ROKS RAM (Go)],TblApplications[Cluster ROKS cible],$F807,TblApplications[Action],"À migrer",TblApplications[Déjà incluse ROKS],"Non",TblApplications[Mois prov (calc)],"&lt;="&amp;$E807),SUMIFS(TblApplications[RAM IKS libérable (Go)],TblApplications[Cluster IKS source],$F807,TblApplications[Mois lib (calc)],"&lt;="&amp;$E807)))</f>
        <v>0</v>
      </c>
      <c r="R807" s="19">
        <f t="shared" si="207"/>
        <v>480</v>
      </c>
      <c r="S807" s="19">
        <f t="shared" si="208"/>
        <v>1920</v>
      </c>
      <c r="T807" s="19">
        <f t="shared" si="209"/>
        <v>15</v>
      </c>
      <c r="U807" s="19">
        <f t="shared" si="210"/>
        <v>480</v>
      </c>
      <c r="V807" s="19">
        <f t="shared" si="211"/>
        <v>1920</v>
      </c>
      <c r="W807" s="73">
        <f t="shared" si="212"/>
        <v>15930</v>
      </c>
      <c r="X807" s="19">
        <f>IF($D807&lt;&gt;1,"",IF($G807="ROKS",$R807,IF($AI807=1,0,MAX($N807,$L807-SUMIFS(TblApplications[CPU IKS libérable (vCPU)],TblApplications[Cluster IKS source],$F807,TblApplications[Action],"À migrer",TblApplications[Mois prov (calc)],"&lt;="&amp;$E807)-SUMIFS(TblApplications[CPU IKS libérable (vCPU)],TblApplications[Cluster IKS source],$F807,TblApplications[Action],"À décommissionner",TblApplications[Mois lib (calc)],"&lt;="&amp;$E807)))))</f>
        <v>480</v>
      </c>
      <c r="Y807" s="19">
        <f>IF($D807&lt;&gt;1,"",IF($G807="ROKS",$S807,IF($AI807=1,0,MAX($O807,$M807-SUMIFS(TblApplications[RAM IKS libérable (Go)],TblApplications[Cluster IKS source],$F807,TblApplications[Action],"À migrer",TblApplications[Mois prov (calc)],"&lt;="&amp;$E807)-SUMIFS(TblApplications[RAM IKS libérable (Go)],TblApplications[Cluster IKS source],$F807,TblApplications[Action],"À décommissionner",TblApplications[Mois lib (calc)],"&lt;="&amp;$E807)))))</f>
        <v>1920</v>
      </c>
      <c r="Z807" s="19">
        <f t="shared" si="213"/>
        <v>15</v>
      </c>
      <c r="AA807" s="73">
        <f t="shared" si="214"/>
        <v>15930</v>
      </c>
      <c r="AB807" s="19">
        <f t="shared" si="215"/>
        <v>15</v>
      </c>
      <c r="AC807" s="73">
        <f t="shared" si="216"/>
        <v>15930</v>
      </c>
      <c r="AD807" s="19">
        <f t="shared" si="217"/>
        <v>0</v>
      </c>
      <c r="AE807" s="19">
        <f t="shared" si="218"/>
        <v>0</v>
      </c>
      <c r="AF807" s="19" t="str">
        <f>IF($D807&lt;&gt;1,"",IF(INDEX(TblClusters[Environnement],$B807)="","(vide)",INDEX(TblClusters[Environnement],$B807)))</f>
        <v>NPRD</v>
      </c>
      <c r="AG807" s="19">
        <f t="shared" si="219"/>
        <v>672</v>
      </c>
      <c r="AH807" s="19">
        <f t="shared" si="220"/>
        <v>23.705357142857142</v>
      </c>
      <c r="AI807" s="19">
        <f>IF($D807&lt;&gt;1,"",IF(AND($G807="IKS",ISNUMBER(INDEX(TblClusters[Fermeture retenue],$B807))),IF($E807&gt;=INDEX(TblClusters[Fermeture retenue],$B807),1,0),0))</f>
        <v>0</v>
      </c>
    </row>
    <row r="808" spans="1:35" x14ac:dyDescent="0.2">
      <c r="A808" s="19">
        <v>803</v>
      </c>
      <c r="B808" s="19">
        <f t="shared" si="204"/>
        <v>23</v>
      </c>
      <c r="C808" s="19">
        <f t="shared" si="205"/>
        <v>11</v>
      </c>
      <c r="D808" s="19">
        <f>IF($C808&gt;p_horizon,0,IFERROR(IF(AND(INDEX(TblClusters[Cluster],$B808)&lt;&gt;"",ISNUMBER(INDEX(TblClusters[CPU initial (vCPU)],$B808)),ISNUMBER(INDEX(TblClusters[CPU min (vCPU)],$B808)),OR(INDEX(TblClusters[Plateforme],$B808)="IKS",INDEX(TblClusters[Plateforme],$B808)="ROKS")),1,0),0))</f>
        <v>1</v>
      </c>
      <c r="E808" s="72">
        <f t="shared" si="206"/>
        <v>46600</v>
      </c>
      <c r="F808" s="19" t="str">
        <f>IF($D808=1,INDEX(TblClusters[Cluster],$B808),"")</f>
        <v>ku002i000246</v>
      </c>
      <c r="G808" s="19" t="str">
        <f>IF($D808=1,INDEX(TblClusters[Plateforme],$B808),"")</f>
        <v>IKS</v>
      </c>
      <c r="H808" s="19">
        <f>IF($D808=1,INDEX(TblClusters[vCPU par nœud],$B808),"")</f>
        <v>32</v>
      </c>
      <c r="I808" s="19">
        <f>IF($D808=1,INDEX(TblClusters[RAM par nœud (Go)],$B808),"")</f>
        <v>128</v>
      </c>
      <c r="J808" s="19">
        <f>IF($D808=1,INDEX(TblClusters[Workers min],$B808),"")</f>
        <v>3</v>
      </c>
      <c r="K808" s="73">
        <f>IF($D808=1,INDEX(TblClusters[Tarif par nœud],$B808),"")</f>
        <v>1062</v>
      </c>
      <c r="L808" s="19">
        <f>IF($D808=1,INDEX(TblClusters[CPU initial (vCPU)],$B808),"")</f>
        <v>480</v>
      </c>
      <c r="M808" s="19">
        <f>IF($D808=1,INDEX(TblClusters[RAM initiale (Go)],$B808),"")</f>
        <v>1920</v>
      </c>
      <c r="N808" s="19">
        <f>IF($D808=1,INDEX(TblClusters[CPU min (vCPU)],$B808),"")</f>
        <v>96</v>
      </c>
      <c r="O808" s="19">
        <f>IF($D808=1,INDEX(TblClusters[RAM min (Go)],$B808),"")</f>
        <v>384</v>
      </c>
      <c r="P808" s="19">
        <f>IF($D808&lt;&gt;1,"",IF($G808="ROKS",SUMIFS(TblApplications[Besoin ROKS CPU (vCPU)],TblApplications[Cluster ROKS cible],$F808,TblApplications[Action],"À migrer",TblApplications[Déjà incluse ROKS],"Non",TblApplications[Mois prov (calc)],"&lt;="&amp;$E808),SUMIFS(TblApplications[CPU IKS libérable (vCPU)],TblApplications[Cluster IKS source],$F808,TblApplications[Mois lib (calc)],"&lt;="&amp;$E808)))</f>
        <v>0</v>
      </c>
      <c r="Q808" s="19">
        <f>IF($D808&lt;&gt;1,"",IF($G808="ROKS",SUMIFS(TblApplications[Besoin ROKS RAM (Go)],TblApplications[Cluster ROKS cible],$F808,TblApplications[Action],"À migrer",TblApplications[Déjà incluse ROKS],"Non",TblApplications[Mois prov (calc)],"&lt;="&amp;$E808),SUMIFS(TblApplications[RAM IKS libérable (Go)],TblApplications[Cluster IKS source],$F808,TblApplications[Mois lib (calc)],"&lt;="&amp;$E808)))</f>
        <v>0</v>
      </c>
      <c r="R808" s="19">
        <f t="shared" si="207"/>
        <v>480</v>
      </c>
      <c r="S808" s="19">
        <f t="shared" si="208"/>
        <v>1920</v>
      </c>
      <c r="T808" s="19">
        <f t="shared" si="209"/>
        <v>15</v>
      </c>
      <c r="U808" s="19">
        <f t="shared" si="210"/>
        <v>480</v>
      </c>
      <c r="V808" s="19">
        <f t="shared" si="211"/>
        <v>1920</v>
      </c>
      <c r="W808" s="73">
        <f t="shared" si="212"/>
        <v>15930</v>
      </c>
      <c r="X808" s="19">
        <f>IF($D808&lt;&gt;1,"",IF($G808="ROKS",$R808,IF($AI808=1,0,MAX($N808,$L808-SUMIFS(TblApplications[CPU IKS libérable (vCPU)],TblApplications[Cluster IKS source],$F808,TblApplications[Action],"À migrer",TblApplications[Mois prov (calc)],"&lt;="&amp;$E808)-SUMIFS(TblApplications[CPU IKS libérable (vCPU)],TblApplications[Cluster IKS source],$F808,TblApplications[Action],"À décommissionner",TblApplications[Mois lib (calc)],"&lt;="&amp;$E808)))))</f>
        <v>480</v>
      </c>
      <c r="Y808" s="19">
        <f>IF($D808&lt;&gt;1,"",IF($G808="ROKS",$S808,IF($AI808=1,0,MAX($O808,$M808-SUMIFS(TblApplications[RAM IKS libérable (Go)],TblApplications[Cluster IKS source],$F808,TblApplications[Action],"À migrer",TblApplications[Mois prov (calc)],"&lt;="&amp;$E808)-SUMIFS(TblApplications[RAM IKS libérable (Go)],TblApplications[Cluster IKS source],$F808,TblApplications[Action],"À décommissionner",TblApplications[Mois lib (calc)],"&lt;="&amp;$E808)))))</f>
        <v>1920</v>
      </c>
      <c r="Z808" s="19">
        <f t="shared" si="213"/>
        <v>15</v>
      </c>
      <c r="AA808" s="73">
        <f t="shared" si="214"/>
        <v>15930</v>
      </c>
      <c r="AB808" s="19">
        <f t="shared" si="215"/>
        <v>15</v>
      </c>
      <c r="AC808" s="73">
        <f t="shared" si="216"/>
        <v>15930</v>
      </c>
      <c r="AD808" s="19">
        <f t="shared" si="217"/>
        <v>0</v>
      </c>
      <c r="AE808" s="19">
        <f t="shared" si="218"/>
        <v>0</v>
      </c>
      <c r="AF808" s="19" t="str">
        <f>IF($D808&lt;&gt;1,"",IF(INDEX(TblClusters[Environnement],$B808)="","(vide)",INDEX(TblClusters[Environnement],$B808)))</f>
        <v>NPRD</v>
      </c>
      <c r="AG808" s="19">
        <f t="shared" si="219"/>
        <v>672</v>
      </c>
      <c r="AH808" s="19">
        <f t="shared" si="220"/>
        <v>23.705357142857142</v>
      </c>
      <c r="AI808" s="19">
        <f>IF($D808&lt;&gt;1,"",IF(AND($G808="IKS",ISNUMBER(INDEX(TblClusters[Fermeture retenue],$B808))),IF($E808&gt;=INDEX(TblClusters[Fermeture retenue],$B808),1,0),0))</f>
        <v>0</v>
      </c>
    </row>
    <row r="809" spans="1:35" x14ac:dyDescent="0.2">
      <c r="A809" s="19">
        <v>804</v>
      </c>
      <c r="B809" s="19">
        <f t="shared" si="204"/>
        <v>23</v>
      </c>
      <c r="C809" s="19">
        <f t="shared" si="205"/>
        <v>12</v>
      </c>
      <c r="D809" s="19">
        <f>IF($C809&gt;p_horizon,0,IFERROR(IF(AND(INDEX(TblClusters[Cluster],$B809)&lt;&gt;"",ISNUMBER(INDEX(TblClusters[CPU initial (vCPU)],$B809)),ISNUMBER(INDEX(TblClusters[CPU min (vCPU)],$B809)),OR(INDEX(TblClusters[Plateforme],$B809)="IKS",INDEX(TblClusters[Plateforme],$B809)="ROKS")),1,0),0))</f>
        <v>1</v>
      </c>
      <c r="E809" s="72">
        <f t="shared" si="206"/>
        <v>46631</v>
      </c>
      <c r="F809" s="19" t="str">
        <f>IF($D809=1,INDEX(TblClusters[Cluster],$B809),"")</f>
        <v>ku002i000246</v>
      </c>
      <c r="G809" s="19" t="str">
        <f>IF($D809=1,INDEX(TblClusters[Plateforme],$B809),"")</f>
        <v>IKS</v>
      </c>
      <c r="H809" s="19">
        <f>IF($D809=1,INDEX(TblClusters[vCPU par nœud],$B809),"")</f>
        <v>32</v>
      </c>
      <c r="I809" s="19">
        <f>IF($D809=1,INDEX(TblClusters[RAM par nœud (Go)],$B809),"")</f>
        <v>128</v>
      </c>
      <c r="J809" s="19">
        <f>IF($D809=1,INDEX(TblClusters[Workers min],$B809),"")</f>
        <v>3</v>
      </c>
      <c r="K809" s="73">
        <f>IF($D809=1,INDEX(TblClusters[Tarif par nœud],$B809),"")</f>
        <v>1062</v>
      </c>
      <c r="L809" s="19">
        <f>IF($D809=1,INDEX(TblClusters[CPU initial (vCPU)],$B809),"")</f>
        <v>480</v>
      </c>
      <c r="M809" s="19">
        <f>IF($D809=1,INDEX(TblClusters[RAM initiale (Go)],$B809),"")</f>
        <v>1920</v>
      </c>
      <c r="N809" s="19">
        <f>IF($D809=1,INDEX(TblClusters[CPU min (vCPU)],$B809),"")</f>
        <v>96</v>
      </c>
      <c r="O809" s="19">
        <f>IF($D809=1,INDEX(TblClusters[RAM min (Go)],$B809),"")</f>
        <v>384</v>
      </c>
      <c r="P809" s="19">
        <f>IF($D809&lt;&gt;1,"",IF($G809="ROKS",SUMIFS(TblApplications[Besoin ROKS CPU (vCPU)],TblApplications[Cluster ROKS cible],$F809,TblApplications[Action],"À migrer",TblApplications[Déjà incluse ROKS],"Non",TblApplications[Mois prov (calc)],"&lt;="&amp;$E809),SUMIFS(TblApplications[CPU IKS libérable (vCPU)],TblApplications[Cluster IKS source],$F809,TblApplications[Mois lib (calc)],"&lt;="&amp;$E809)))</f>
        <v>0</v>
      </c>
      <c r="Q809" s="19">
        <f>IF($D809&lt;&gt;1,"",IF($G809="ROKS",SUMIFS(TblApplications[Besoin ROKS RAM (Go)],TblApplications[Cluster ROKS cible],$F809,TblApplications[Action],"À migrer",TblApplications[Déjà incluse ROKS],"Non",TblApplications[Mois prov (calc)],"&lt;="&amp;$E809),SUMIFS(TblApplications[RAM IKS libérable (Go)],TblApplications[Cluster IKS source],$F809,TblApplications[Mois lib (calc)],"&lt;="&amp;$E809)))</f>
        <v>0</v>
      </c>
      <c r="R809" s="19">
        <f t="shared" si="207"/>
        <v>480</v>
      </c>
      <c r="S809" s="19">
        <f t="shared" si="208"/>
        <v>1920</v>
      </c>
      <c r="T809" s="19">
        <f t="shared" si="209"/>
        <v>15</v>
      </c>
      <c r="U809" s="19">
        <f t="shared" si="210"/>
        <v>480</v>
      </c>
      <c r="V809" s="19">
        <f t="shared" si="211"/>
        <v>1920</v>
      </c>
      <c r="W809" s="73">
        <f t="shared" si="212"/>
        <v>15930</v>
      </c>
      <c r="X809" s="19">
        <f>IF($D809&lt;&gt;1,"",IF($G809="ROKS",$R809,IF($AI809=1,0,MAX($N809,$L809-SUMIFS(TblApplications[CPU IKS libérable (vCPU)],TblApplications[Cluster IKS source],$F809,TblApplications[Action],"À migrer",TblApplications[Mois prov (calc)],"&lt;="&amp;$E809)-SUMIFS(TblApplications[CPU IKS libérable (vCPU)],TblApplications[Cluster IKS source],$F809,TblApplications[Action],"À décommissionner",TblApplications[Mois lib (calc)],"&lt;="&amp;$E809)))))</f>
        <v>480</v>
      </c>
      <c r="Y809" s="19">
        <f>IF($D809&lt;&gt;1,"",IF($G809="ROKS",$S809,IF($AI809=1,0,MAX($O809,$M809-SUMIFS(TblApplications[RAM IKS libérable (Go)],TblApplications[Cluster IKS source],$F809,TblApplications[Action],"À migrer",TblApplications[Mois prov (calc)],"&lt;="&amp;$E809)-SUMIFS(TblApplications[RAM IKS libérable (Go)],TblApplications[Cluster IKS source],$F809,TblApplications[Action],"À décommissionner",TblApplications[Mois lib (calc)],"&lt;="&amp;$E809)))))</f>
        <v>1920</v>
      </c>
      <c r="Z809" s="19">
        <f t="shared" si="213"/>
        <v>15</v>
      </c>
      <c r="AA809" s="73">
        <f t="shared" si="214"/>
        <v>15930</v>
      </c>
      <c r="AB809" s="19">
        <f t="shared" si="215"/>
        <v>15</v>
      </c>
      <c r="AC809" s="73">
        <f t="shared" si="216"/>
        <v>15930</v>
      </c>
      <c r="AD809" s="19">
        <f t="shared" si="217"/>
        <v>0</v>
      </c>
      <c r="AE809" s="19">
        <f t="shared" si="218"/>
        <v>0</v>
      </c>
      <c r="AF809" s="19" t="str">
        <f>IF($D809&lt;&gt;1,"",IF(INDEX(TblClusters[Environnement],$B809)="","(vide)",INDEX(TblClusters[Environnement],$B809)))</f>
        <v>NPRD</v>
      </c>
      <c r="AG809" s="19">
        <f t="shared" si="219"/>
        <v>672</v>
      </c>
      <c r="AH809" s="19">
        <f t="shared" si="220"/>
        <v>23.705357142857142</v>
      </c>
      <c r="AI809" s="19">
        <f>IF($D809&lt;&gt;1,"",IF(AND($G809="IKS",ISNUMBER(INDEX(TblClusters[Fermeture retenue],$B809))),IF($E809&gt;=INDEX(TblClusters[Fermeture retenue],$B809),1,0),0))</f>
        <v>0</v>
      </c>
    </row>
    <row r="810" spans="1:35" x14ac:dyDescent="0.2">
      <c r="A810" s="19">
        <v>805</v>
      </c>
      <c r="B810" s="19">
        <f t="shared" si="204"/>
        <v>23</v>
      </c>
      <c r="C810" s="19">
        <f t="shared" si="205"/>
        <v>13</v>
      </c>
      <c r="D810" s="19">
        <f>IF($C810&gt;p_horizon,0,IFERROR(IF(AND(INDEX(TblClusters[Cluster],$B810)&lt;&gt;"",ISNUMBER(INDEX(TblClusters[CPU initial (vCPU)],$B810)),ISNUMBER(INDEX(TblClusters[CPU min (vCPU)],$B810)),OR(INDEX(TblClusters[Plateforme],$B810)="IKS",INDEX(TblClusters[Plateforme],$B810)="ROKS")),1,0),0))</f>
        <v>1</v>
      </c>
      <c r="E810" s="72">
        <f t="shared" si="206"/>
        <v>46661</v>
      </c>
      <c r="F810" s="19" t="str">
        <f>IF($D810=1,INDEX(TblClusters[Cluster],$B810),"")</f>
        <v>ku002i000246</v>
      </c>
      <c r="G810" s="19" t="str">
        <f>IF($D810=1,INDEX(TblClusters[Plateforme],$B810),"")</f>
        <v>IKS</v>
      </c>
      <c r="H810" s="19">
        <f>IF($D810=1,INDEX(TblClusters[vCPU par nœud],$B810),"")</f>
        <v>32</v>
      </c>
      <c r="I810" s="19">
        <f>IF($D810=1,INDEX(TblClusters[RAM par nœud (Go)],$B810),"")</f>
        <v>128</v>
      </c>
      <c r="J810" s="19">
        <f>IF($D810=1,INDEX(TblClusters[Workers min],$B810),"")</f>
        <v>3</v>
      </c>
      <c r="K810" s="73">
        <f>IF($D810=1,INDEX(TblClusters[Tarif par nœud],$B810),"")</f>
        <v>1062</v>
      </c>
      <c r="L810" s="19">
        <f>IF($D810=1,INDEX(TblClusters[CPU initial (vCPU)],$B810),"")</f>
        <v>480</v>
      </c>
      <c r="M810" s="19">
        <f>IF($D810=1,INDEX(TblClusters[RAM initiale (Go)],$B810),"")</f>
        <v>1920</v>
      </c>
      <c r="N810" s="19">
        <f>IF($D810=1,INDEX(TblClusters[CPU min (vCPU)],$B810),"")</f>
        <v>96</v>
      </c>
      <c r="O810" s="19">
        <f>IF($D810=1,INDEX(TblClusters[RAM min (Go)],$B810),"")</f>
        <v>384</v>
      </c>
      <c r="P810" s="19">
        <f>IF($D810&lt;&gt;1,"",IF($G810="ROKS",SUMIFS(TblApplications[Besoin ROKS CPU (vCPU)],TblApplications[Cluster ROKS cible],$F810,TblApplications[Action],"À migrer",TblApplications[Déjà incluse ROKS],"Non",TblApplications[Mois prov (calc)],"&lt;="&amp;$E810),SUMIFS(TblApplications[CPU IKS libérable (vCPU)],TblApplications[Cluster IKS source],$F810,TblApplications[Mois lib (calc)],"&lt;="&amp;$E810)))</f>
        <v>0</v>
      </c>
      <c r="Q810" s="19">
        <f>IF($D810&lt;&gt;1,"",IF($G810="ROKS",SUMIFS(TblApplications[Besoin ROKS RAM (Go)],TblApplications[Cluster ROKS cible],$F810,TblApplications[Action],"À migrer",TblApplications[Déjà incluse ROKS],"Non",TblApplications[Mois prov (calc)],"&lt;="&amp;$E810),SUMIFS(TblApplications[RAM IKS libérable (Go)],TblApplications[Cluster IKS source],$F810,TblApplications[Mois lib (calc)],"&lt;="&amp;$E810)))</f>
        <v>0</v>
      </c>
      <c r="R810" s="19">
        <f t="shared" si="207"/>
        <v>480</v>
      </c>
      <c r="S810" s="19">
        <f t="shared" si="208"/>
        <v>1920</v>
      </c>
      <c r="T810" s="19">
        <f t="shared" si="209"/>
        <v>15</v>
      </c>
      <c r="U810" s="19">
        <f t="shared" si="210"/>
        <v>480</v>
      </c>
      <c r="V810" s="19">
        <f t="shared" si="211"/>
        <v>1920</v>
      </c>
      <c r="W810" s="73">
        <f t="shared" si="212"/>
        <v>15930</v>
      </c>
      <c r="X810" s="19">
        <f>IF($D810&lt;&gt;1,"",IF($G810="ROKS",$R810,IF($AI810=1,0,MAX($N810,$L810-SUMIFS(TblApplications[CPU IKS libérable (vCPU)],TblApplications[Cluster IKS source],$F810,TblApplications[Action],"À migrer",TblApplications[Mois prov (calc)],"&lt;="&amp;$E810)-SUMIFS(TblApplications[CPU IKS libérable (vCPU)],TblApplications[Cluster IKS source],$F810,TblApplications[Action],"À décommissionner",TblApplications[Mois lib (calc)],"&lt;="&amp;$E810)))))</f>
        <v>480</v>
      </c>
      <c r="Y810" s="19">
        <f>IF($D810&lt;&gt;1,"",IF($G810="ROKS",$S810,IF($AI810=1,0,MAX($O810,$M810-SUMIFS(TblApplications[RAM IKS libérable (Go)],TblApplications[Cluster IKS source],$F810,TblApplications[Action],"À migrer",TblApplications[Mois prov (calc)],"&lt;="&amp;$E810)-SUMIFS(TblApplications[RAM IKS libérable (Go)],TblApplications[Cluster IKS source],$F810,TblApplications[Action],"À décommissionner",TblApplications[Mois lib (calc)],"&lt;="&amp;$E810)))))</f>
        <v>1920</v>
      </c>
      <c r="Z810" s="19">
        <f t="shared" si="213"/>
        <v>15</v>
      </c>
      <c r="AA810" s="73">
        <f t="shared" si="214"/>
        <v>15930</v>
      </c>
      <c r="AB810" s="19">
        <f t="shared" si="215"/>
        <v>15</v>
      </c>
      <c r="AC810" s="73">
        <f t="shared" si="216"/>
        <v>15930</v>
      </c>
      <c r="AD810" s="19">
        <f t="shared" si="217"/>
        <v>0</v>
      </c>
      <c r="AE810" s="19">
        <f t="shared" si="218"/>
        <v>0</v>
      </c>
      <c r="AF810" s="19" t="str">
        <f>IF($D810&lt;&gt;1,"",IF(INDEX(TblClusters[Environnement],$B810)="","(vide)",INDEX(TblClusters[Environnement],$B810)))</f>
        <v>NPRD</v>
      </c>
      <c r="AG810" s="19">
        <f t="shared" si="219"/>
        <v>672</v>
      </c>
      <c r="AH810" s="19">
        <f t="shared" si="220"/>
        <v>23.705357142857142</v>
      </c>
      <c r="AI810" s="19">
        <f>IF($D810&lt;&gt;1,"",IF(AND($G810="IKS",ISNUMBER(INDEX(TblClusters[Fermeture retenue],$B810))),IF($E810&gt;=INDEX(TblClusters[Fermeture retenue],$B810),1,0),0))</f>
        <v>0</v>
      </c>
    </row>
    <row r="811" spans="1:35" x14ac:dyDescent="0.2">
      <c r="A811" s="19">
        <v>806</v>
      </c>
      <c r="B811" s="19">
        <f t="shared" si="204"/>
        <v>23</v>
      </c>
      <c r="C811" s="19">
        <f t="shared" si="205"/>
        <v>14</v>
      </c>
      <c r="D811" s="19">
        <f>IF($C811&gt;p_horizon,0,IFERROR(IF(AND(INDEX(TblClusters[Cluster],$B811)&lt;&gt;"",ISNUMBER(INDEX(TblClusters[CPU initial (vCPU)],$B811)),ISNUMBER(INDEX(TblClusters[CPU min (vCPU)],$B811)),OR(INDEX(TblClusters[Plateforme],$B811)="IKS",INDEX(TblClusters[Plateforme],$B811)="ROKS")),1,0),0))</f>
        <v>1</v>
      </c>
      <c r="E811" s="72">
        <f t="shared" si="206"/>
        <v>46692</v>
      </c>
      <c r="F811" s="19" t="str">
        <f>IF($D811=1,INDEX(TblClusters[Cluster],$B811),"")</f>
        <v>ku002i000246</v>
      </c>
      <c r="G811" s="19" t="str">
        <f>IF($D811=1,INDEX(TblClusters[Plateforme],$B811),"")</f>
        <v>IKS</v>
      </c>
      <c r="H811" s="19">
        <f>IF($D811=1,INDEX(TblClusters[vCPU par nœud],$B811),"")</f>
        <v>32</v>
      </c>
      <c r="I811" s="19">
        <f>IF($D811=1,INDEX(TblClusters[RAM par nœud (Go)],$B811),"")</f>
        <v>128</v>
      </c>
      <c r="J811" s="19">
        <f>IF($D811=1,INDEX(TblClusters[Workers min],$B811),"")</f>
        <v>3</v>
      </c>
      <c r="K811" s="73">
        <f>IF($D811=1,INDEX(TblClusters[Tarif par nœud],$B811),"")</f>
        <v>1062</v>
      </c>
      <c r="L811" s="19">
        <f>IF($D811=1,INDEX(TblClusters[CPU initial (vCPU)],$B811),"")</f>
        <v>480</v>
      </c>
      <c r="M811" s="19">
        <f>IF($D811=1,INDEX(TblClusters[RAM initiale (Go)],$B811),"")</f>
        <v>1920</v>
      </c>
      <c r="N811" s="19">
        <f>IF($D811=1,INDEX(TblClusters[CPU min (vCPU)],$B811),"")</f>
        <v>96</v>
      </c>
      <c r="O811" s="19">
        <f>IF($D811=1,INDEX(TblClusters[RAM min (Go)],$B811),"")</f>
        <v>384</v>
      </c>
      <c r="P811" s="19">
        <f>IF($D811&lt;&gt;1,"",IF($G811="ROKS",SUMIFS(TblApplications[Besoin ROKS CPU (vCPU)],TblApplications[Cluster ROKS cible],$F811,TblApplications[Action],"À migrer",TblApplications[Déjà incluse ROKS],"Non",TblApplications[Mois prov (calc)],"&lt;="&amp;$E811),SUMIFS(TblApplications[CPU IKS libérable (vCPU)],TblApplications[Cluster IKS source],$F811,TblApplications[Mois lib (calc)],"&lt;="&amp;$E811)))</f>
        <v>0</v>
      </c>
      <c r="Q811" s="19">
        <f>IF($D811&lt;&gt;1,"",IF($G811="ROKS",SUMIFS(TblApplications[Besoin ROKS RAM (Go)],TblApplications[Cluster ROKS cible],$F811,TblApplications[Action],"À migrer",TblApplications[Déjà incluse ROKS],"Non",TblApplications[Mois prov (calc)],"&lt;="&amp;$E811),SUMIFS(TblApplications[RAM IKS libérable (Go)],TblApplications[Cluster IKS source],$F811,TblApplications[Mois lib (calc)],"&lt;="&amp;$E811)))</f>
        <v>0</v>
      </c>
      <c r="R811" s="19">
        <f t="shared" si="207"/>
        <v>480</v>
      </c>
      <c r="S811" s="19">
        <f t="shared" si="208"/>
        <v>1920</v>
      </c>
      <c r="T811" s="19">
        <f t="shared" si="209"/>
        <v>15</v>
      </c>
      <c r="U811" s="19">
        <f t="shared" si="210"/>
        <v>480</v>
      </c>
      <c r="V811" s="19">
        <f t="shared" si="211"/>
        <v>1920</v>
      </c>
      <c r="W811" s="73">
        <f t="shared" si="212"/>
        <v>15930</v>
      </c>
      <c r="X811" s="19">
        <f>IF($D811&lt;&gt;1,"",IF($G811="ROKS",$R811,IF($AI811=1,0,MAX($N811,$L811-SUMIFS(TblApplications[CPU IKS libérable (vCPU)],TblApplications[Cluster IKS source],$F811,TblApplications[Action],"À migrer",TblApplications[Mois prov (calc)],"&lt;="&amp;$E811)-SUMIFS(TblApplications[CPU IKS libérable (vCPU)],TblApplications[Cluster IKS source],$F811,TblApplications[Action],"À décommissionner",TblApplications[Mois lib (calc)],"&lt;="&amp;$E811)))))</f>
        <v>480</v>
      </c>
      <c r="Y811" s="19">
        <f>IF($D811&lt;&gt;1,"",IF($G811="ROKS",$S811,IF($AI811=1,0,MAX($O811,$M811-SUMIFS(TblApplications[RAM IKS libérable (Go)],TblApplications[Cluster IKS source],$F811,TblApplications[Action],"À migrer",TblApplications[Mois prov (calc)],"&lt;="&amp;$E811)-SUMIFS(TblApplications[RAM IKS libérable (Go)],TblApplications[Cluster IKS source],$F811,TblApplications[Action],"À décommissionner",TblApplications[Mois lib (calc)],"&lt;="&amp;$E811)))))</f>
        <v>1920</v>
      </c>
      <c r="Z811" s="19">
        <f t="shared" si="213"/>
        <v>15</v>
      </c>
      <c r="AA811" s="73">
        <f t="shared" si="214"/>
        <v>15930</v>
      </c>
      <c r="AB811" s="19">
        <f t="shared" si="215"/>
        <v>15</v>
      </c>
      <c r="AC811" s="73">
        <f t="shared" si="216"/>
        <v>15930</v>
      </c>
      <c r="AD811" s="19">
        <f t="shared" si="217"/>
        <v>0</v>
      </c>
      <c r="AE811" s="19">
        <f t="shared" si="218"/>
        <v>0</v>
      </c>
      <c r="AF811" s="19" t="str">
        <f>IF($D811&lt;&gt;1,"",IF(INDEX(TblClusters[Environnement],$B811)="","(vide)",INDEX(TblClusters[Environnement],$B811)))</f>
        <v>NPRD</v>
      </c>
      <c r="AG811" s="19">
        <f t="shared" si="219"/>
        <v>672</v>
      </c>
      <c r="AH811" s="19">
        <f t="shared" si="220"/>
        <v>23.705357142857142</v>
      </c>
      <c r="AI811" s="19">
        <f>IF($D811&lt;&gt;1,"",IF(AND($G811="IKS",ISNUMBER(INDEX(TblClusters[Fermeture retenue],$B811))),IF($E811&gt;=INDEX(TblClusters[Fermeture retenue],$B811),1,0),0))</f>
        <v>0</v>
      </c>
    </row>
    <row r="812" spans="1:35" x14ac:dyDescent="0.2">
      <c r="A812" s="19">
        <v>807</v>
      </c>
      <c r="B812" s="19">
        <f t="shared" si="204"/>
        <v>23</v>
      </c>
      <c r="C812" s="19">
        <f t="shared" si="205"/>
        <v>15</v>
      </c>
      <c r="D812" s="19">
        <f>IF($C812&gt;p_horizon,0,IFERROR(IF(AND(INDEX(TblClusters[Cluster],$B812)&lt;&gt;"",ISNUMBER(INDEX(TblClusters[CPU initial (vCPU)],$B812)),ISNUMBER(INDEX(TblClusters[CPU min (vCPU)],$B812)),OR(INDEX(TblClusters[Plateforme],$B812)="IKS",INDEX(TblClusters[Plateforme],$B812)="ROKS")),1,0),0))</f>
        <v>1</v>
      </c>
      <c r="E812" s="72">
        <f t="shared" si="206"/>
        <v>46722</v>
      </c>
      <c r="F812" s="19" t="str">
        <f>IF($D812=1,INDEX(TblClusters[Cluster],$B812),"")</f>
        <v>ku002i000246</v>
      </c>
      <c r="G812" s="19" t="str">
        <f>IF($D812=1,INDEX(TblClusters[Plateforme],$B812),"")</f>
        <v>IKS</v>
      </c>
      <c r="H812" s="19">
        <f>IF($D812=1,INDEX(TblClusters[vCPU par nœud],$B812),"")</f>
        <v>32</v>
      </c>
      <c r="I812" s="19">
        <f>IF($D812=1,INDEX(TblClusters[RAM par nœud (Go)],$B812),"")</f>
        <v>128</v>
      </c>
      <c r="J812" s="19">
        <f>IF($D812=1,INDEX(TblClusters[Workers min],$B812),"")</f>
        <v>3</v>
      </c>
      <c r="K812" s="73">
        <f>IF($D812=1,INDEX(TblClusters[Tarif par nœud],$B812),"")</f>
        <v>1062</v>
      </c>
      <c r="L812" s="19">
        <f>IF($D812=1,INDEX(TblClusters[CPU initial (vCPU)],$B812),"")</f>
        <v>480</v>
      </c>
      <c r="M812" s="19">
        <f>IF($D812=1,INDEX(TblClusters[RAM initiale (Go)],$B812),"")</f>
        <v>1920</v>
      </c>
      <c r="N812" s="19">
        <f>IF($D812=1,INDEX(TblClusters[CPU min (vCPU)],$B812),"")</f>
        <v>96</v>
      </c>
      <c r="O812" s="19">
        <f>IF($D812=1,INDEX(TblClusters[RAM min (Go)],$B812),"")</f>
        <v>384</v>
      </c>
      <c r="P812" s="19">
        <f>IF($D812&lt;&gt;1,"",IF($G812="ROKS",SUMIFS(TblApplications[Besoin ROKS CPU (vCPU)],TblApplications[Cluster ROKS cible],$F812,TblApplications[Action],"À migrer",TblApplications[Déjà incluse ROKS],"Non",TblApplications[Mois prov (calc)],"&lt;="&amp;$E812),SUMIFS(TblApplications[CPU IKS libérable (vCPU)],TblApplications[Cluster IKS source],$F812,TblApplications[Mois lib (calc)],"&lt;="&amp;$E812)))</f>
        <v>0</v>
      </c>
      <c r="Q812" s="19">
        <f>IF($D812&lt;&gt;1,"",IF($G812="ROKS",SUMIFS(TblApplications[Besoin ROKS RAM (Go)],TblApplications[Cluster ROKS cible],$F812,TblApplications[Action],"À migrer",TblApplications[Déjà incluse ROKS],"Non",TblApplications[Mois prov (calc)],"&lt;="&amp;$E812),SUMIFS(TblApplications[RAM IKS libérable (Go)],TblApplications[Cluster IKS source],$F812,TblApplications[Mois lib (calc)],"&lt;="&amp;$E812)))</f>
        <v>0</v>
      </c>
      <c r="R812" s="19">
        <f t="shared" si="207"/>
        <v>480</v>
      </c>
      <c r="S812" s="19">
        <f t="shared" si="208"/>
        <v>1920</v>
      </c>
      <c r="T812" s="19">
        <f t="shared" si="209"/>
        <v>15</v>
      </c>
      <c r="U812" s="19">
        <f t="shared" si="210"/>
        <v>480</v>
      </c>
      <c r="V812" s="19">
        <f t="shared" si="211"/>
        <v>1920</v>
      </c>
      <c r="W812" s="73">
        <f t="shared" si="212"/>
        <v>15930</v>
      </c>
      <c r="X812" s="19">
        <f>IF($D812&lt;&gt;1,"",IF($G812="ROKS",$R812,IF($AI812=1,0,MAX($N812,$L812-SUMIFS(TblApplications[CPU IKS libérable (vCPU)],TblApplications[Cluster IKS source],$F812,TblApplications[Action],"À migrer",TblApplications[Mois prov (calc)],"&lt;="&amp;$E812)-SUMIFS(TblApplications[CPU IKS libérable (vCPU)],TblApplications[Cluster IKS source],$F812,TblApplications[Action],"À décommissionner",TblApplications[Mois lib (calc)],"&lt;="&amp;$E812)))))</f>
        <v>480</v>
      </c>
      <c r="Y812" s="19">
        <f>IF($D812&lt;&gt;1,"",IF($G812="ROKS",$S812,IF($AI812=1,0,MAX($O812,$M812-SUMIFS(TblApplications[RAM IKS libérable (Go)],TblApplications[Cluster IKS source],$F812,TblApplications[Action],"À migrer",TblApplications[Mois prov (calc)],"&lt;="&amp;$E812)-SUMIFS(TblApplications[RAM IKS libérable (Go)],TblApplications[Cluster IKS source],$F812,TblApplications[Action],"À décommissionner",TblApplications[Mois lib (calc)],"&lt;="&amp;$E812)))))</f>
        <v>1920</v>
      </c>
      <c r="Z812" s="19">
        <f t="shared" si="213"/>
        <v>15</v>
      </c>
      <c r="AA812" s="73">
        <f t="shared" si="214"/>
        <v>15930</v>
      </c>
      <c r="AB812" s="19">
        <f t="shared" si="215"/>
        <v>15</v>
      </c>
      <c r="AC812" s="73">
        <f t="shared" si="216"/>
        <v>15930</v>
      </c>
      <c r="AD812" s="19">
        <f t="shared" si="217"/>
        <v>0</v>
      </c>
      <c r="AE812" s="19">
        <f t="shared" si="218"/>
        <v>0</v>
      </c>
      <c r="AF812" s="19" t="str">
        <f>IF($D812&lt;&gt;1,"",IF(INDEX(TblClusters[Environnement],$B812)="","(vide)",INDEX(TblClusters[Environnement],$B812)))</f>
        <v>NPRD</v>
      </c>
      <c r="AG812" s="19">
        <f t="shared" si="219"/>
        <v>672</v>
      </c>
      <c r="AH812" s="19">
        <f t="shared" si="220"/>
        <v>23.705357142857142</v>
      </c>
      <c r="AI812" s="19">
        <f>IF($D812&lt;&gt;1,"",IF(AND($G812="IKS",ISNUMBER(INDEX(TblClusters[Fermeture retenue],$B812))),IF($E812&gt;=INDEX(TblClusters[Fermeture retenue],$B812),1,0),0))</f>
        <v>0</v>
      </c>
    </row>
    <row r="813" spans="1:35" x14ac:dyDescent="0.2">
      <c r="A813" s="19">
        <v>808</v>
      </c>
      <c r="B813" s="19">
        <f t="shared" si="204"/>
        <v>23</v>
      </c>
      <c r="C813" s="19">
        <f t="shared" si="205"/>
        <v>16</v>
      </c>
      <c r="D813" s="19">
        <f>IF($C813&gt;p_horizon,0,IFERROR(IF(AND(INDEX(TblClusters[Cluster],$B813)&lt;&gt;"",ISNUMBER(INDEX(TblClusters[CPU initial (vCPU)],$B813)),ISNUMBER(INDEX(TblClusters[CPU min (vCPU)],$B813)),OR(INDEX(TblClusters[Plateforme],$B813)="IKS",INDEX(TblClusters[Plateforme],$B813)="ROKS")),1,0),0))</f>
        <v>1</v>
      </c>
      <c r="E813" s="72">
        <f t="shared" si="206"/>
        <v>46753</v>
      </c>
      <c r="F813" s="19" t="str">
        <f>IF($D813=1,INDEX(TblClusters[Cluster],$B813),"")</f>
        <v>ku002i000246</v>
      </c>
      <c r="G813" s="19" t="str">
        <f>IF($D813=1,INDEX(TblClusters[Plateforme],$B813),"")</f>
        <v>IKS</v>
      </c>
      <c r="H813" s="19">
        <f>IF($D813=1,INDEX(TblClusters[vCPU par nœud],$B813),"")</f>
        <v>32</v>
      </c>
      <c r="I813" s="19">
        <f>IF($D813=1,INDEX(TblClusters[RAM par nœud (Go)],$B813),"")</f>
        <v>128</v>
      </c>
      <c r="J813" s="19">
        <f>IF($D813=1,INDEX(TblClusters[Workers min],$B813),"")</f>
        <v>3</v>
      </c>
      <c r="K813" s="73">
        <f>IF($D813=1,INDEX(TblClusters[Tarif par nœud],$B813),"")</f>
        <v>1062</v>
      </c>
      <c r="L813" s="19">
        <f>IF($D813=1,INDEX(TblClusters[CPU initial (vCPU)],$B813),"")</f>
        <v>480</v>
      </c>
      <c r="M813" s="19">
        <f>IF($D813=1,INDEX(TblClusters[RAM initiale (Go)],$B813),"")</f>
        <v>1920</v>
      </c>
      <c r="N813" s="19">
        <f>IF($D813=1,INDEX(TblClusters[CPU min (vCPU)],$B813),"")</f>
        <v>96</v>
      </c>
      <c r="O813" s="19">
        <f>IF($D813=1,INDEX(TblClusters[RAM min (Go)],$B813),"")</f>
        <v>384</v>
      </c>
      <c r="P813" s="19">
        <f>IF($D813&lt;&gt;1,"",IF($G813="ROKS",SUMIFS(TblApplications[Besoin ROKS CPU (vCPU)],TblApplications[Cluster ROKS cible],$F813,TblApplications[Action],"À migrer",TblApplications[Déjà incluse ROKS],"Non",TblApplications[Mois prov (calc)],"&lt;="&amp;$E813),SUMIFS(TblApplications[CPU IKS libérable (vCPU)],TblApplications[Cluster IKS source],$F813,TblApplications[Mois lib (calc)],"&lt;="&amp;$E813)))</f>
        <v>0</v>
      </c>
      <c r="Q813" s="19">
        <f>IF($D813&lt;&gt;1,"",IF($G813="ROKS",SUMIFS(TblApplications[Besoin ROKS RAM (Go)],TblApplications[Cluster ROKS cible],$F813,TblApplications[Action],"À migrer",TblApplications[Déjà incluse ROKS],"Non",TblApplications[Mois prov (calc)],"&lt;="&amp;$E813),SUMIFS(TblApplications[RAM IKS libérable (Go)],TblApplications[Cluster IKS source],$F813,TblApplications[Mois lib (calc)],"&lt;="&amp;$E813)))</f>
        <v>0</v>
      </c>
      <c r="R813" s="19">
        <f t="shared" si="207"/>
        <v>480</v>
      </c>
      <c r="S813" s="19">
        <f t="shared" si="208"/>
        <v>1920</v>
      </c>
      <c r="T813" s="19">
        <f t="shared" si="209"/>
        <v>15</v>
      </c>
      <c r="U813" s="19">
        <f t="shared" si="210"/>
        <v>480</v>
      </c>
      <c r="V813" s="19">
        <f t="shared" si="211"/>
        <v>1920</v>
      </c>
      <c r="W813" s="73">
        <f t="shared" si="212"/>
        <v>15930</v>
      </c>
      <c r="X813" s="19">
        <f>IF($D813&lt;&gt;1,"",IF($G813="ROKS",$R813,IF($AI813=1,0,MAX($N813,$L813-SUMIFS(TblApplications[CPU IKS libérable (vCPU)],TblApplications[Cluster IKS source],$F813,TblApplications[Action],"À migrer",TblApplications[Mois prov (calc)],"&lt;="&amp;$E813)-SUMIFS(TblApplications[CPU IKS libérable (vCPU)],TblApplications[Cluster IKS source],$F813,TblApplications[Action],"À décommissionner",TblApplications[Mois lib (calc)],"&lt;="&amp;$E813)))))</f>
        <v>480</v>
      </c>
      <c r="Y813" s="19">
        <f>IF($D813&lt;&gt;1,"",IF($G813="ROKS",$S813,IF($AI813=1,0,MAX($O813,$M813-SUMIFS(TblApplications[RAM IKS libérable (Go)],TblApplications[Cluster IKS source],$F813,TblApplications[Action],"À migrer",TblApplications[Mois prov (calc)],"&lt;="&amp;$E813)-SUMIFS(TblApplications[RAM IKS libérable (Go)],TblApplications[Cluster IKS source],$F813,TblApplications[Action],"À décommissionner",TblApplications[Mois lib (calc)],"&lt;="&amp;$E813)))))</f>
        <v>1920</v>
      </c>
      <c r="Z813" s="19">
        <f t="shared" si="213"/>
        <v>15</v>
      </c>
      <c r="AA813" s="73">
        <f t="shared" si="214"/>
        <v>15930</v>
      </c>
      <c r="AB813" s="19">
        <f t="shared" si="215"/>
        <v>15</v>
      </c>
      <c r="AC813" s="73">
        <f t="shared" si="216"/>
        <v>15930</v>
      </c>
      <c r="AD813" s="19">
        <f t="shared" si="217"/>
        <v>0</v>
      </c>
      <c r="AE813" s="19">
        <f t="shared" si="218"/>
        <v>0</v>
      </c>
      <c r="AF813" s="19" t="str">
        <f>IF($D813&lt;&gt;1,"",IF(INDEX(TblClusters[Environnement],$B813)="","(vide)",INDEX(TblClusters[Environnement],$B813)))</f>
        <v>NPRD</v>
      </c>
      <c r="AG813" s="19">
        <f t="shared" si="219"/>
        <v>672</v>
      </c>
      <c r="AH813" s="19">
        <f t="shared" si="220"/>
        <v>23.705357142857142</v>
      </c>
      <c r="AI813" s="19">
        <f>IF($D813&lt;&gt;1,"",IF(AND($G813="IKS",ISNUMBER(INDEX(TblClusters[Fermeture retenue],$B813))),IF($E813&gt;=INDEX(TblClusters[Fermeture retenue],$B813),1,0),0))</f>
        <v>0</v>
      </c>
    </row>
    <row r="814" spans="1:35" x14ac:dyDescent="0.2">
      <c r="A814" s="19">
        <v>809</v>
      </c>
      <c r="B814" s="19">
        <f t="shared" si="204"/>
        <v>23</v>
      </c>
      <c r="C814" s="19">
        <f t="shared" si="205"/>
        <v>17</v>
      </c>
      <c r="D814" s="19">
        <f>IF($C814&gt;p_horizon,0,IFERROR(IF(AND(INDEX(TblClusters[Cluster],$B814)&lt;&gt;"",ISNUMBER(INDEX(TblClusters[CPU initial (vCPU)],$B814)),ISNUMBER(INDEX(TblClusters[CPU min (vCPU)],$B814)),OR(INDEX(TblClusters[Plateforme],$B814)="IKS",INDEX(TblClusters[Plateforme],$B814)="ROKS")),1,0),0))</f>
        <v>1</v>
      </c>
      <c r="E814" s="72">
        <f t="shared" si="206"/>
        <v>46784</v>
      </c>
      <c r="F814" s="19" t="str">
        <f>IF($D814=1,INDEX(TblClusters[Cluster],$B814),"")</f>
        <v>ku002i000246</v>
      </c>
      <c r="G814" s="19" t="str">
        <f>IF($D814=1,INDEX(TblClusters[Plateforme],$B814),"")</f>
        <v>IKS</v>
      </c>
      <c r="H814" s="19">
        <f>IF($D814=1,INDEX(TblClusters[vCPU par nœud],$B814),"")</f>
        <v>32</v>
      </c>
      <c r="I814" s="19">
        <f>IF($D814=1,INDEX(TblClusters[RAM par nœud (Go)],$B814),"")</f>
        <v>128</v>
      </c>
      <c r="J814" s="19">
        <f>IF($D814=1,INDEX(TblClusters[Workers min],$B814),"")</f>
        <v>3</v>
      </c>
      <c r="K814" s="73">
        <f>IF($D814=1,INDEX(TblClusters[Tarif par nœud],$B814),"")</f>
        <v>1062</v>
      </c>
      <c r="L814" s="19">
        <f>IF($D814=1,INDEX(TblClusters[CPU initial (vCPU)],$B814),"")</f>
        <v>480</v>
      </c>
      <c r="M814" s="19">
        <f>IF($D814=1,INDEX(TblClusters[RAM initiale (Go)],$B814),"")</f>
        <v>1920</v>
      </c>
      <c r="N814" s="19">
        <f>IF($D814=1,INDEX(TblClusters[CPU min (vCPU)],$B814),"")</f>
        <v>96</v>
      </c>
      <c r="O814" s="19">
        <f>IF($D814=1,INDEX(TblClusters[RAM min (Go)],$B814),"")</f>
        <v>384</v>
      </c>
      <c r="P814" s="19">
        <f>IF($D814&lt;&gt;1,"",IF($G814="ROKS",SUMIFS(TblApplications[Besoin ROKS CPU (vCPU)],TblApplications[Cluster ROKS cible],$F814,TblApplications[Action],"À migrer",TblApplications[Déjà incluse ROKS],"Non",TblApplications[Mois prov (calc)],"&lt;="&amp;$E814),SUMIFS(TblApplications[CPU IKS libérable (vCPU)],TblApplications[Cluster IKS source],$F814,TblApplications[Mois lib (calc)],"&lt;="&amp;$E814)))</f>
        <v>0</v>
      </c>
      <c r="Q814" s="19">
        <f>IF($D814&lt;&gt;1,"",IF($G814="ROKS",SUMIFS(TblApplications[Besoin ROKS RAM (Go)],TblApplications[Cluster ROKS cible],$F814,TblApplications[Action],"À migrer",TblApplications[Déjà incluse ROKS],"Non",TblApplications[Mois prov (calc)],"&lt;="&amp;$E814),SUMIFS(TblApplications[RAM IKS libérable (Go)],TblApplications[Cluster IKS source],$F814,TblApplications[Mois lib (calc)],"&lt;="&amp;$E814)))</f>
        <v>0</v>
      </c>
      <c r="R814" s="19">
        <f t="shared" si="207"/>
        <v>480</v>
      </c>
      <c r="S814" s="19">
        <f t="shared" si="208"/>
        <v>1920</v>
      </c>
      <c r="T814" s="19">
        <f t="shared" si="209"/>
        <v>15</v>
      </c>
      <c r="U814" s="19">
        <f t="shared" si="210"/>
        <v>480</v>
      </c>
      <c r="V814" s="19">
        <f t="shared" si="211"/>
        <v>1920</v>
      </c>
      <c r="W814" s="73">
        <f t="shared" si="212"/>
        <v>15930</v>
      </c>
      <c r="X814" s="19">
        <f>IF($D814&lt;&gt;1,"",IF($G814="ROKS",$R814,IF($AI814=1,0,MAX($N814,$L814-SUMIFS(TblApplications[CPU IKS libérable (vCPU)],TblApplications[Cluster IKS source],$F814,TblApplications[Action],"À migrer",TblApplications[Mois prov (calc)],"&lt;="&amp;$E814)-SUMIFS(TblApplications[CPU IKS libérable (vCPU)],TblApplications[Cluster IKS source],$F814,TblApplications[Action],"À décommissionner",TblApplications[Mois lib (calc)],"&lt;="&amp;$E814)))))</f>
        <v>480</v>
      </c>
      <c r="Y814" s="19">
        <f>IF($D814&lt;&gt;1,"",IF($G814="ROKS",$S814,IF($AI814=1,0,MAX($O814,$M814-SUMIFS(TblApplications[RAM IKS libérable (Go)],TblApplications[Cluster IKS source],$F814,TblApplications[Action],"À migrer",TblApplications[Mois prov (calc)],"&lt;="&amp;$E814)-SUMIFS(TblApplications[RAM IKS libérable (Go)],TblApplications[Cluster IKS source],$F814,TblApplications[Action],"À décommissionner",TblApplications[Mois lib (calc)],"&lt;="&amp;$E814)))))</f>
        <v>1920</v>
      </c>
      <c r="Z814" s="19">
        <f t="shared" si="213"/>
        <v>15</v>
      </c>
      <c r="AA814" s="73">
        <f t="shared" si="214"/>
        <v>15930</v>
      </c>
      <c r="AB814" s="19">
        <f t="shared" si="215"/>
        <v>15</v>
      </c>
      <c r="AC814" s="73">
        <f t="shared" si="216"/>
        <v>15930</v>
      </c>
      <c r="AD814" s="19">
        <f t="shared" si="217"/>
        <v>0</v>
      </c>
      <c r="AE814" s="19">
        <f t="shared" si="218"/>
        <v>0</v>
      </c>
      <c r="AF814" s="19" t="str">
        <f>IF($D814&lt;&gt;1,"",IF(INDEX(TblClusters[Environnement],$B814)="","(vide)",INDEX(TblClusters[Environnement],$B814)))</f>
        <v>NPRD</v>
      </c>
      <c r="AG814" s="19">
        <f t="shared" si="219"/>
        <v>672</v>
      </c>
      <c r="AH814" s="19">
        <f t="shared" si="220"/>
        <v>23.705357142857142</v>
      </c>
      <c r="AI814" s="19">
        <f>IF($D814&lt;&gt;1,"",IF(AND($G814="IKS",ISNUMBER(INDEX(TblClusters[Fermeture retenue],$B814))),IF($E814&gt;=INDEX(TblClusters[Fermeture retenue],$B814),1,0),0))</f>
        <v>0</v>
      </c>
    </row>
    <row r="815" spans="1:35" x14ac:dyDescent="0.2">
      <c r="A815" s="19">
        <v>810</v>
      </c>
      <c r="B815" s="19">
        <f t="shared" si="204"/>
        <v>23</v>
      </c>
      <c r="C815" s="19">
        <f t="shared" si="205"/>
        <v>18</v>
      </c>
      <c r="D815" s="19">
        <f>IF($C815&gt;p_horizon,0,IFERROR(IF(AND(INDEX(TblClusters[Cluster],$B815)&lt;&gt;"",ISNUMBER(INDEX(TblClusters[CPU initial (vCPU)],$B815)),ISNUMBER(INDEX(TblClusters[CPU min (vCPU)],$B815)),OR(INDEX(TblClusters[Plateforme],$B815)="IKS",INDEX(TblClusters[Plateforme],$B815)="ROKS")),1,0),0))</f>
        <v>1</v>
      </c>
      <c r="E815" s="72">
        <f t="shared" si="206"/>
        <v>46813</v>
      </c>
      <c r="F815" s="19" t="str">
        <f>IF($D815=1,INDEX(TblClusters[Cluster],$B815),"")</f>
        <v>ku002i000246</v>
      </c>
      <c r="G815" s="19" t="str">
        <f>IF($D815=1,INDEX(TblClusters[Plateforme],$B815),"")</f>
        <v>IKS</v>
      </c>
      <c r="H815" s="19">
        <f>IF($D815=1,INDEX(TblClusters[vCPU par nœud],$B815),"")</f>
        <v>32</v>
      </c>
      <c r="I815" s="19">
        <f>IF($D815=1,INDEX(TblClusters[RAM par nœud (Go)],$B815),"")</f>
        <v>128</v>
      </c>
      <c r="J815" s="19">
        <f>IF($D815=1,INDEX(TblClusters[Workers min],$B815),"")</f>
        <v>3</v>
      </c>
      <c r="K815" s="73">
        <f>IF($D815=1,INDEX(TblClusters[Tarif par nœud],$B815),"")</f>
        <v>1062</v>
      </c>
      <c r="L815" s="19">
        <f>IF($D815=1,INDEX(TblClusters[CPU initial (vCPU)],$B815),"")</f>
        <v>480</v>
      </c>
      <c r="M815" s="19">
        <f>IF($D815=1,INDEX(TblClusters[RAM initiale (Go)],$B815),"")</f>
        <v>1920</v>
      </c>
      <c r="N815" s="19">
        <f>IF($D815=1,INDEX(TblClusters[CPU min (vCPU)],$B815),"")</f>
        <v>96</v>
      </c>
      <c r="O815" s="19">
        <f>IF($D815=1,INDEX(TblClusters[RAM min (Go)],$B815),"")</f>
        <v>384</v>
      </c>
      <c r="P815" s="19">
        <f>IF($D815&lt;&gt;1,"",IF($G815="ROKS",SUMIFS(TblApplications[Besoin ROKS CPU (vCPU)],TblApplications[Cluster ROKS cible],$F815,TblApplications[Action],"À migrer",TblApplications[Déjà incluse ROKS],"Non",TblApplications[Mois prov (calc)],"&lt;="&amp;$E815),SUMIFS(TblApplications[CPU IKS libérable (vCPU)],TblApplications[Cluster IKS source],$F815,TblApplications[Mois lib (calc)],"&lt;="&amp;$E815)))</f>
        <v>0</v>
      </c>
      <c r="Q815" s="19">
        <f>IF($D815&lt;&gt;1,"",IF($G815="ROKS",SUMIFS(TblApplications[Besoin ROKS RAM (Go)],TblApplications[Cluster ROKS cible],$F815,TblApplications[Action],"À migrer",TblApplications[Déjà incluse ROKS],"Non",TblApplications[Mois prov (calc)],"&lt;="&amp;$E815),SUMIFS(TblApplications[RAM IKS libérable (Go)],TblApplications[Cluster IKS source],$F815,TblApplications[Mois lib (calc)],"&lt;="&amp;$E815)))</f>
        <v>0</v>
      </c>
      <c r="R815" s="19">
        <f t="shared" si="207"/>
        <v>480</v>
      </c>
      <c r="S815" s="19">
        <f t="shared" si="208"/>
        <v>1920</v>
      </c>
      <c r="T815" s="19">
        <f t="shared" si="209"/>
        <v>15</v>
      </c>
      <c r="U815" s="19">
        <f t="shared" si="210"/>
        <v>480</v>
      </c>
      <c r="V815" s="19">
        <f t="shared" si="211"/>
        <v>1920</v>
      </c>
      <c r="W815" s="73">
        <f t="shared" si="212"/>
        <v>15930</v>
      </c>
      <c r="X815" s="19">
        <f>IF($D815&lt;&gt;1,"",IF($G815="ROKS",$R815,IF($AI815=1,0,MAX($N815,$L815-SUMIFS(TblApplications[CPU IKS libérable (vCPU)],TblApplications[Cluster IKS source],$F815,TblApplications[Action],"À migrer",TblApplications[Mois prov (calc)],"&lt;="&amp;$E815)-SUMIFS(TblApplications[CPU IKS libérable (vCPU)],TblApplications[Cluster IKS source],$F815,TblApplications[Action],"À décommissionner",TblApplications[Mois lib (calc)],"&lt;="&amp;$E815)))))</f>
        <v>480</v>
      </c>
      <c r="Y815" s="19">
        <f>IF($D815&lt;&gt;1,"",IF($G815="ROKS",$S815,IF($AI815=1,0,MAX($O815,$M815-SUMIFS(TblApplications[RAM IKS libérable (Go)],TblApplications[Cluster IKS source],$F815,TblApplications[Action],"À migrer",TblApplications[Mois prov (calc)],"&lt;="&amp;$E815)-SUMIFS(TblApplications[RAM IKS libérable (Go)],TblApplications[Cluster IKS source],$F815,TblApplications[Action],"À décommissionner",TblApplications[Mois lib (calc)],"&lt;="&amp;$E815)))))</f>
        <v>1920</v>
      </c>
      <c r="Z815" s="19">
        <f t="shared" si="213"/>
        <v>15</v>
      </c>
      <c r="AA815" s="73">
        <f t="shared" si="214"/>
        <v>15930</v>
      </c>
      <c r="AB815" s="19">
        <f t="shared" si="215"/>
        <v>15</v>
      </c>
      <c r="AC815" s="73">
        <f t="shared" si="216"/>
        <v>15930</v>
      </c>
      <c r="AD815" s="19">
        <f t="shared" si="217"/>
        <v>0</v>
      </c>
      <c r="AE815" s="19">
        <f t="shared" si="218"/>
        <v>0</v>
      </c>
      <c r="AF815" s="19" t="str">
        <f>IF($D815&lt;&gt;1,"",IF(INDEX(TblClusters[Environnement],$B815)="","(vide)",INDEX(TblClusters[Environnement],$B815)))</f>
        <v>NPRD</v>
      </c>
      <c r="AG815" s="19">
        <f t="shared" si="219"/>
        <v>672</v>
      </c>
      <c r="AH815" s="19">
        <f t="shared" si="220"/>
        <v>23.705357142857142</v>
      </c>
      <c r="AI815" s="19">
        <f>IF($D815&lt;&gt;1,"",IF(AND($G815="IKS",ISNUMBER(INDEX(TblClusters[Fermeture retenue],$B815))),IF($E815&gt;=INDEX(TblClusters[Fermeture retenue],$B815),1,0),0))</f>
        <v>0</v>
      </c>
    </row>
    <row r="816" spans="1:35" x14ac:dyDescent="0.2">
      <c r="A816" s="19">
        <v>811</v>
      </c>
      <c r="B816" s="19">
        <f t="shared" si="204"/>
        <v>23</v>
      </c>
      <c r="C816" s="19">
        <f t="shared" si="205"/>
        <v>19</v>
      </c>
      <c r="D816" s="19">
        <f>IF($C816&gt;p_horizon,0,IFERROR(IF(AND(INDEX(TblClusters[Cluster],$B816)&lt;&gt;"",ISNUMBER(INDEX(TblClusters[CPU initial (vCPU)],$B816)),ISNUMBER(INDEX(TblClusters[CPU min (vCPU)],$B816)),OR(INDEX(TblClusters[Plateforme],$B816)="IKS",INDEX(TblClusters[Plateforme],$B816)="ROKS")),1,0),0))</f>
        <v>1</v>
      </c>
      <c r="E816" s="72">
        <f t="shared" si="206"/>
        <v>46844</v>
      </c>
      <c r="F816" s="19" t="str">
        <f>IF($D816=1,INDEX(TblClusters[Cluster],$B816),"")</f>
        <v>ku002i000246</v>
      </c>
      <c r="G816" s="19" t="str">
        <f>IF($D816=1,INDEX(TblClusters[Plateforme],$B816),"")</f>
        <v>IKS</v>
      </c>
      <c r="H816" s="19">
        <f>IF($D816=1,INDEX(TblClusters[vCPU par nœud],$B816),"")</f>
        <v>32</v>
      </c>
      <c r="I816" s="19">
        <f>IF($D816=1,INDEX(TblClusters[RAM par nœud (Go)],$B816),"")</f>
        <v>128</v>
      </c>
      <c r="J816" s="19">
        <f>IF($D816=1,INDEX(TblClusters[Workers min],$B816),"")</f>
        <v>3</v>
      </c>
      <c r="K816" s="73">
        <f>IF($D816=1,INDEX(TblClusters[Tarif par nœud],$B816),"")</f>
        <v>1062</v>
      </c>
      <c r="L816" s="19">
        <f>IF($D816=1,INDEX(TblClusters[CPU initial (vCPU)],$B816),"")</f>
        <v>480</v>
      </c>
      <c r="M816" s="19">
        <f>IF($D816=1,INDEX(TblClusters[RAM initiale (Go)],$B816),"")</f>
        <v>1920</v>
      </c>
      <c r="N816" s="19">
        <f>IF($D816=1,INDEX(TblClusters[CPU min (vCPU)],$B816),"")</f>
        <v>96</v>
      </c>
      <c r="O816" s="19">
        <f>IF($D816=1,INDEX(TblClusters[RAM min (Go)],$B816),"")</f>
        <v>384</v>
      </c>
      <c r="P816" s="19">
        <f>IF($D816&lt;&gt;1,"",IF($G816="ROKS",SUMIFS(TblApplications[Besoin ROKS CPU (vCPU)],TblApplications[Cluster ROKS cible],$F816,TblApplications[Action],"À migrer",TblApplications[Déjà incluse ROKS],"Non",TblApplications[Mois prov (calc)],"&lt;="&amp;$E816),SUMIFS(TblApplications[CPU IKS libérable (vCPU)],TblApplications[Cluster IKS source],$F816,TblApplications[Mois lib (calc)],"&lt;="&amp;$E816)))</f>
        <v>0</v>
      </c>
      <c r="Q816" s="19">
        <f>IF($D816&lt;&gt;1,"",IF($G816="ROKS",SUMIFS(TblApplications[Besoin ROKS RAM (Go)],TblApplications[Cluster ROKS cible],$F816,TblApplications[Action],"À migrer",TblApplications[Déjà incluse ROKS],"Non",TblApplications[Mois prov (calc)],"&lt;="&amp;$E816),SUMIFS(TblApplications[RAM IKS libérable (Go)],TblApplications[Cluster IKS source],$F816,TblApplications[Mois lib (calc)],"&lt;="&amp;$E816)))</f>
        <v>0</v>
      </c>
      <c r="R816" s="19">
        <f t="shared" si="207"/>
        <v>480</v>
      </c>
      <c r="S816" s="19">
        <f t="shared" si="208"/>
        <v>1920</v>
      </c>
      <c r="T816" s="19">
        <f t="shared" si="209"/>
        <v>15</v>
      </c>
      <c r="U816" s="19">
        <f t="shared" si="210"/>
        <v>480</v>
      </c>
      <c r="V816" s="19">
        <f t="shared" si="211"/>
        <v>1920</v>
      </c>
      <c r="W816" s="73">
        <f t="shared" si="212"/>
        <v>15930</v>
      </c>
      <c r="X816" s="19">
        <f>IF($D816&lt;&gt;1,"",IF($G816="ROKS",$R816,IF($AI816=1,0,MAX($N816,$L816-SUMIFS(TblApplications[CPU IKS libérable (vCPU)],TblApplications[Cluster IKS source],$F816,TblApplications[Action],"À migrer",TblApplications[Mois prov (calc)],"&lt;="&amp;$E816)-SUMIFS(TblApplications[CPU IKS libérable (vCPU)],TblApplications[Cluster IKS source],$F816,TblApplications[Action],"À décommissionner",TblApplications[Mois lib (calc)],"&lt;="&amp;$E816)))))</f>
        <v>480</v>
      </c>
      <c r="Y816" s="19">
        <f>IF($D816&lt;&gt;1,"",IF($G816="ROKS",$S816,IF($AI816=1,0,MAX($O816,$M816-SUMIFS(TblApplications[RAM IKS libérable (Go)],TblApplications[Cluster IKS source],$F816,TblApplications[Action],"À migrer",TblApplications[Mois prov (calc)],"&lt;="&amp;$E816)-SUMIFS(TblApplications[RAM IKS libérable (Go)],TblApplications[Cluster IKS source],$F816,TblApplications[Action],"À décommissionner",TblApplications[Mois lib (calc)],"&lt;="&amp;$E816)))))</f>
        <v>1920</v>
      </c>
      <c r="Z816" s="19">
        <f t="shared" si="213"/>
        <v>15</v>
      </c>
      <c r="AA816" s="73">
        <f t="shared" si="214"/>
        <v>15930</v>
      </c>
      <c r="AB816" s="19">
        <f t="shared" si="215"/>
        <v>15</v>
      </c>
      <c r="AC816" s="73">
        <f t="shared" si="216"/>
        <v>15930</v>
      </c>
      <c r="AD816" s="19">
        <f t="shared" si="217"/>
        <v>0</v>
      </c>
      <c r="AE816" s="19">
        <f t="shared" si="218"/>
        <v>0</v>
      </c>
      <c r="AF816" s="19" t="str">
        <f>IF($D816&lt;&gt;1,"",IF(INDEX(TblClusters[Environnement],$B816)="","(vide)",INDEX(TblClusters[Environnement],$B816)))</f>
        <v>NPRD</v>
      </c>
      <c r="AG816" s="19">
        <f t="shared" si="219"/>
        <v>672</v>
      </c>
      <c r="AH816" s="19">
        <f t="shared" si="220"/>
        <v>23.705357142857142</v>
      </c>
      <c r="AI816" s="19">
        <f>IF($D816&lt;&gt;1,"",IF(AND($G816="IKS",ISNUMBER(INDEX(TblClusters[Fermeture retenue],$B816))),IF($E816&gt;=INDEX(TblClusters[Fermeture retenue],$B816),1,0),0))</f>
        <v>0</v>
      </c>
    </row>
    <row r="817" spans="1:35" x14ac:dyDescent="0.2">
      <c r="A817" s="19">
        <v>812</v>
      </c>
      <c r="B817" s="19">
        <f t="shared" si="204"/>
        <v>23</v>
      </c>
      <c r="C817" s="19">
        <f t="shared" si="205"/>
        <v>20</v>
      </c>
      <c r="D817" s="19">
        <f>IF($C817&gt;p_horizon,0,IFERROR(IF(AND(INDEX(TblClusters[Cluster],$B817)&lt;&gt;"",ISNUMBER(INDEX(TblClusters[CPU initial (vCPU)],$B817)),ISNUMBER(INDEX(TblClusters[CPU min (vCPU)],$B817)),OR(INDEX(TblClusters[Plateforme],$B817)="IKS",INDEX(TblClusters[Plateforme],$B817)="ROKS")),1,0),0))</f>
        <v>1</v>
      </c>
      <c r="E817" s="72">
        <f t="shared" si="206"/>
        <v>46874</v>
      </c>
      <c r="F817" s="19" t="str">
        <f>IF($D817=1,INDEX(TblClusters[Cluster],$B817),"")</f>
        <v>ku002i000246</v>
      </c>
      <c r="G817" s="19" t="str">
        <f>IF($D817=1,INDEX(TblClusters[Plateforme],$B817),"")</f>
        <v>IKS</v>
      </c>
      <c r="H817" s="19">
        <f>IF($D817=1,INDEX(TblClusters[vCPU par nœud],$B817),"")</f>
        <v>32</v>
      </c>
      <c r="I817" s="19">
        <f>IF($D817=1,INDEX(TblClusters[RAM par nœud (Go)],$B817),"")</f>
        <v>128</v>
      </c>
      <c r="J817" s="19">
        <f>IF($D817=1,INDEX(TblClusters[Workers min],$B817),"")</f>
        <v>3</v>
      </c>
      <c r="K817" s="73">
        <f>IF($D817=1,INDEX(TblClusters[Tarif par nœud],$B817),"")</f>
        <v>1062</v>
      </c>
      <c r="L817" s="19">
        <f>IF($D817=1,INDEX(TblClusters[CPU initial (vCPU)],$B817),"")</f>
        <v>480</v>
      </c>
      <c r="M817" s="19">
        <f>IF($D817=1,INDEX(TblClusters[RAM initiale (Go)],$B817),"")</f>
        <v>1920</v>
      </c>
      <c r="N817" s="19">
        <f>IF($D817=1,INDEX(TblClusters[CPU min (vCPU)],$B817),"")</f>
        <v>96</v>
      </c>
      <c r="O817" s="19">
        <f>IF($D817=1,INDEX(TblClusters[RAM min (Go)],$B817),"")</f>
        <v>384</v>
      </c>
      <c r="P817" s="19">
        <f>IF($D817&lt;&gt;1,"",IF($G817="ROKS",SUMIFS(TblApplications[Besoin ROKS CPU (vCPU)],TblApplications[Cluster ROKS cible],$F817,TblApplications[Action],"À migrer",TblApplications[Déjà incluse ROKS],"Non",TblApplications[Mois prov (calc)],"&lt;="&amp;$E817),SUMIFS(TblApplications[CPU IKS libérable (vCPU)],TblApplications[Cluster IKS source],$F817,TblApplications[Mois lib (calc)],"&lt;="&amp;$E817)))</f>
        <v>0</v>
      </c>
      <c r="Q817" s="19">
        <f>IF($D817&lt;&gt;1,"",IF($G817="ROKS",SUMIFS(TblApplications[Besoin ROKS RAM (Go)],TblApplications[Cluster ROKS cible],$F817,TblApplications[Action],"À migrer",TblApplications[Déjà incluse ROKS],"Non",TblApplications[Mois prov (calc)],"&lt;="&amp;$E817),SUMIFS(TblApplications[RAM IKS libérable (Go)],TblApplications[Cluster IKS source],$F817,TblApplications[Mois lib (calc)],"&lt;="&amp;$E817)))</f>
        <v>0</v>
      </c>
      <c r="R817" s="19">
        <f t="shared" si="207"/>
        <v>480</v>
      </c>
      <c r="S817" s="19">
        <f t="shared" si="208"/>
        <v>1920</v>
      </c>
      <c r="T817" s="19">
        <f t="shared" si="209"/>
        <v>15</v>
      </c>
      <c r="U817" s="19">
        <f t="shared" si="210"/>
        <v>480</v>
      </c>
      <c r="V817" s="19">
        <f t="shared" si="211"/>
        <v>1920</v>
      </c>
      <c r="W817" s="73">
        <f t="shared" si="212"/>
        <v>15930</v>
      </c>
      <c r="X817" s="19">
        <f>IF($D817&lt;&gt;1,"",IF($G817="ROKS",$R817,IF($AI817=1,0,MAX($N817,$L817-SUMIFS(TblApplications[CPU IKS libérable (vCPU)],TblApplications[Cluster IKS source],$F817,TblApplications[Action],"À migrer",TblApplications[Mois prov (calc)],"&lt;="&amp;$E817)-SUMIFS(TblApplications[CPU IKS libérable (vCPU)],TblApplications[Cluster IKS source],$F817,TblApplications[Action],"À décommissionner",TblApplications[Mois lib (calc)],"&lt;="&amp;$E817)))))</f>
        <v>480</v>
      </c>
      <c r="Y817" s="19">
        <f>IF($D817&lt;&gt;1,"",IF($G817="ROKS",$S817,IF($AI817=1,0,MAX($O817,$M817-SUMIFS(TblApplications[RAM IKS libérable (Go)],TblApplications[Cluster IKS source],$F817,TblApplications[Action],"À migrer",TblApplications[Mois prov (calc)],"&lt;="&amp;$E817)-SUMIFS(TblApplications[RAM IKS libérable (Go)],TblApplications[Cluster IKS source],$F817,TblApplications[Action],"À décommissionner",TblApplications[Mois lib (calc)],"&lt;="&amp;$E817)))))</f>
        <v>1920</v>
      </c>
      <c r="Z817" s="19">
        <f t="shared" si="213"/>
        <v>15</v>
      </c>
      <c r="AA817" s="73">
        <f t="shared" si="214"/>
        <v>15930</v>
      </c>
      <c r="AB817" s="19">
        <f t="shared" si="215"/>
        <v>15</v>
      </c>
      <c r="AC817" s="73">
        <f t="shared" si="216"/>
        <v>15930</v>
      </c>
      <c r="AD817" s="19">
        <f t="shared" si="217"/>
        <v>0</v>
      </c>
      <c r="AE817" s="19">
        <f t="shared" si="218"/>
        <v>0</v>
      </c>
      <c r="AF817" s="19" t="str">
        <f>IF($D817&lt;&gt;1,"",IF(INDEX(TblClusters[Environnement],$B817)="","(vide)",INDEX(TblClusters[Environnement],$B817)))</f>
        <v>NPRD</v>
      </c>
      <c r="AG817" s="19">
        <f t="shared" si="219"/>
        <v>672</v>
      </c>
      <c r="AH817" s="19">
        <f t="shared" si="220"/>
        <v>23.705357142857142</v>
      </c>
      <c r="AI817" s="19">
        <f>IF($D817&lt;&gt;1,"",IF(AND($G817="IKS",ISNUMBER(INDEX(TblClusters[Fermeture retenue],$B817))),IF($E817&gt;=INDEX(TblClusters[Fermeture retenue],$B817),1,0),0))</f>
        <v>0</v>
      </c>
    </row>
    <row r="818" spans="1:35" x14ac:dyDescent="0.2">
      <c r="A818" s="19">
        <v>813</v>
      </c>
      <c r="B818" s="19">
        <f t="shared" si="204"/>
        <v>23</v>
      </c>
      <c r="C818" s="19">
        <f t="shared" si="205"/>
        <v>21</v>
      </c>
      <c r="D818" s="19">
        <f>IF($C818&gt;p_horizon,0,IFERROR(IF(AND(INDEX(TblClusters[Cluster],$B818)&lt;&gt;"",ISNUMBER(INDEX(TblClusters[CPU initial (vCPU)],$B818)),ISNUMBER(INDEX(TblClusters[CPU min (vCPU)],$B818)),OR(INDEX(TblClusters[Plateforme],$B818)="IKS",INDEX(TblClusters[Plateforme],$B818)="ROKS")),1,0),0))</f>
        <v>1</v>
      </c>
      <c r="E818" s="72">
        <f t="shared" si="206"/>
        <v>46905</v>
      </c>
      <c r="F818" s="19" t="str">
        <f>IF($D818=1,INDEX(TblClusters[Cluster],$B818),"")</f>
        <v>ku002i000246</v>
      </c>
      <c r="G818" s="19" t="str">
        <f>IF($D818=1,INDEX(TblClusters[Plateforme],$B818),"")</f>
        <v>IKS</v>
      </c>
      <c r="H818" s="19">
        <f>IF($D818=1,INDEX(TblClusters[vCPU par nœud],$B818),"")</f>
        <v>32</v>
      </c>
      <c r="I818" s="19">
        <f>IF($D818=1,INDEX(TblClusters[RAM par nœud (Go)],$B818),"")</f>
        <v>128</v>
      </c>
      <c r="J818" s="19">
        <f>IF($D818=1,INDEX(TblClusters[Workers min],$B818),"")</f>
        <v>3</v>
      </c>
      <c r="K818" s="73">
        <f>IF($D818=1,INDEX(TblClusters[Tarif par nœud],$B818),"")</f>
        <v>1062</v>
      </c>
      <c r="L818" s="19">
        <f>IF($D818=1,INDEX(TblClusters[CPU initial (vCPU)],$B818),"")</f>
        <v>480</v>
      </c>
      <c r="M818" s="19">
        <f>IF($D818=1,INDEX(TblClusters[RAM initiale (Go)],$B818),"")</f>
        <v>1920</v>
      </c>
      <c r="N818" s="19">
        <f>IF($D818=1,INDEX(TblClusters[CPU min (vCPU)],$B818),"")</f>
        <v>96</v>
      </c>
      <c r="O818" s="19">
        <f>IF($D818=1,INDEX(TblClusters[RAM min (Go)],$B818),"")</f>
        <v>384</v>
      </c>
      <c r="P818" s="19">
        <f>IF($D818&lt;&gt;1,"",IF($G818="ROKS",SUMIFS(TblApplications[Besoin ROKS CPU (vCPU)],TblApplications[Cluster ROKS cible],$F818,TblApplications[Action],"À migrer",TblApplications[Déjà incluse ROKS],"Non",TblApplications[Mois prov (calc)],"&lt;="&amp;$E818),SUMIFS(TblApplications[CPU IKS libérable (vCPU)],TblApplications[Cluster IKS source],$F818,TblApplications[Mois lib (calc)],"&lt;="&amp;$E818)))</f>
        <v>0</v>
      </c>
      <c r="Q818" s="19">
        <f>IF($D818&lt;&gt;1,"",IF($G818="ROKS",SUMIFS(TblApplications[Besoin ROKS RAM (Go)],TblApplications[Cluster ROKS cible],$F818,TblApplications[Action],"À migrer",TblApplications[Déjà incluse ROKS],"Non",TblApplications[Mois prov (calc)],"&lt;="&amp;$E818),SUMIFS(TblApplications[RAM IKS libérable (Go)],TblApplications[Cluster IKS source],$F818,TblApplications[Mois lib (calc)],"&lt;="&amp;$E818)))</f>
        <v>0</v>
      </c>
      <c r="R818" s="19">
        <f t="shared" si="207"/>
        <v>480</v>
      </c>
      <c r="S818" s="19">
        <f t="shared" si="208"/>
        <v>1920</v>
      </c>
      <c r="T818" s="19">
        <f t="shared" si="209"/>
        <v>15</v>
      </c>
      <c r="U818" s="19">
        <f t="shared" si="210"/>
        <v>480</v>
      </c>
      <c r="V818" s="19">
        <f t="shared" si="211"/>
        <v>1920</v>
      </c>
      <c r="W818" s="73">
        <f t="shared" si="212"/>
        <v>15930</v>
      </c>
      <c r="X818" s="19">
        <f>IF($D818&lt;&gt;1,"",IF($G818="ROKS",$R818,IF($AI818=1,0,MAX($N818,$L818-SUMIFS(TblApplications[CPU IKS libérable (vCPU)],TblApplications[Cluster IKS source],$F818,TblApplications[Action],"À migrer",TblApplications[Mois prov (calc)],"&lt;="&amp;$E818)-SUMIFS(TblApplications[CPU IKS libérable (vCPU)],TblApplications[Cluster IKS source],$F818,TblApplications[Action],"À décommissionner",TblApplications[Mois lib (calc)],"&lt;="&amp;$E818)))))</f>
        <v>480</v>
      </c>
      <c r="Y818" s="19">
        <f>IF($D818&lt;&gt;1,"",IF($G818="ROKS",$S818,IF($AI818=1,0,MAX($O818,$M818-SUMIFS(TblApplications[RAM IKS libérable (Go)],TblApplications[Cluster IKS source],$F818,TblApplications[Action],"À migrer",TblApplications[Mois prov (calc)],"&lt;="&amp;$E818)-SUMIFS(TblApplications[RAM IKS libérable (Go)],TblApplications[Cluster IKS source],$F818,TblApplications[Action],"À décommissionner",TblApplications[Mois lib (calc)],"&lt;="&amp;$E818)))))</f>
        <v>1920</v>
      </c>
      <c r="Z818" s="19">
        <f t="shared" si="213"/>
        <v>15</v>
      </c>
      <c r="AA818" s="73">
        <f t="shared" si="214"/>
        <v>15930</v>
      </c>
      <c r="AB818" s="19">
        <f t="shared" si="215"/>
        <v>15</v>
      </c>
      <c r="AC818" s="73">
        <f t="shared" si="216"/>
        <v>15930</v>
      </c>
      <c r="AD818" s="19">
        <f t="shared" si="217"/>
        <v>0</v>
      </c>
      <c r="AE818" s="19">
        <f t="shared" si="218"/>
        <v>0</v>
      </c>
      <c r="AF818" s="19" t="str">
        <f>IF($D818&lt;&gt;1,"",IF(INDEX(TblClusters[Environnement],$B818)="","(vide)",INDEX(TblClusters[Environnement],$B818)))</f>
        <v>NPRD</v>
      </c>
      <c r="AG818" s="19">
        <f t="shared" si="219"/>
        <v>672</v>
      </c>
      <c r="AH818" s="19">
        <f t="shared" si="220"/>
        <v>23.705357142857142</v>
      </c>
      <c r="AI818" s="19">
        <f>IF($D818&lt;&gt;1,"",IF(AND($G818="IKS",ISNUMBER(INDEX(TblClusters[Fermeture retenue],$B818))),IF($E818&gt;=INDEX(TblClusters[Fermeture retenue],$B818),1,0),0))</f>
        <v>0</v>
      </c>
    </row>
    <row r="819" spans="1:35" x14ac:dyDescent="0.2">
      <c r="A819" s="19">
        <v>814</v>
      </c>
      <c r="B819" s="19">
        <f t="shared" si="204"/>
        <v>23</v>
      </c>
      <c r="C819" s="19">
        <f t="shared" si="205"/>
        <v>22</v>
      </c>
      <c r="D819" s="19">
        <f>IF($C819&gt;p_horizon,0,IFERROR(IF(AND(INDEX(TblClusters[Cluster],$B819)&lt;&gt;"",ISNUMBER(INDEX(TblClusters[CPU initial (vCPU)],$B819)),ISNUMBER(INDEX(TblClusters[CPU min (vCPU)],$B819)),OR(INDEX(TblClusters[Plateforme],$B819)="IKS",INDEX(TblClusters[Plateforme],$B819)="ROKS")),1,0),0))</f>
        <v>1</v>
      </c>
      <c r="E819" s="72">
        <f t="shared" si="206"/>
        <v>46935</v>
      </c>
      <c r="F819" s="19" t="str">
        <f>IF($D819=1,INDEX(TblClusters[Cluster],$B819),"")</f>
        <v>ku002i000246</v>
      </c>
      <c r="G819" s="19" t="str">
        <f>IF($D819=1,INDEX(TblClusters[Plateforme],$B819),"")</f>
        <v>IKS</v>
      </c>
      <c r="H819" s="19">
        <f>IF($D819=1,INDEX(TblClusters[vCPU par nœud],$B819),"")</f>
        <v>32</v>
      </c>
      <c r="I819" s="19">
        <f>IF($D819=1,INDEX(TblClusters[RAM par nœud (Go)],$B819),"")</f>
        <v>128</v>
      </c>
      <c r="J819" s="19">
        <f>IF($D819=1,INDEX(TblClusters[Workers min],$B819),"")</f>
        <v>3</v>
      </c>
      <c r="K819" s="73">
        <f>IF($D819=1,INDEX(TblClusters[Tarif par nœud],$B819),"")</f>
        <v>1062</v>
      </c>
      <c r="L819" s="19">
        <f>IF($D819=1,INDEX(TblClusters[CPU initial (vCPU)],$B819),"")</f>
        <v>480</v>
      </c>
      <c r="M819" s="19">
        <f>IF($D819=1,INDEX(TblClusters[RAM initiale (Go)],$B819),"")</f>
        <v>1920</v>
      </c>
      <c r="N819" s="19">
        <f>IF($D819=1,INDEX(TblClusters[CPU min (vCPU)],$B819),"")</f>
        <v>96</v>
      </c>
      <c r="O819" s="19">
        <f>IF($D819=1,INDEX(TblClusters[RAM min (Go)],$B819),"")</f>
        <v>384</v>
      </c>
      <c r="P819" s="19">
        <f>IF($D819&lt;&gt;1,"",IF($G819="ROKS",SUMIFS(TblApplications[Besoin ROKS CPU (vCPU)],TblApplications[Cluster ROKS cible],$F819,TblApplications[Action],"À migrer",TblApplications[Déjà incluse ROKS],"Non",TblApplications[Mois prov (calc)],"&lt;="&amp;$E819),SUMIFS(TblApplications[CPU IKS libérable (vCPU)],TblApplications[Cluster IKS source],$F819,TblApplications[Mois lib (calc)],"&lt;="&amp;$E819)))</f>
        <v>0</v>
      </c>
      <c r="Q819" s="19">
        <f>IF($D819&lt;&gt;1,"",IF($G819="ROKS",SUMIFS(TblApplications[Besoin ROKS RAM (Go)],TblApplications[Cluster ROKS cible],$F819,TblApplications[Action],"À migrer",TblApplications[Déjà incluse ROKS],"Non",TblApplications[Mois prov (calc)],"&lt;="&amp;$E819),SUMIFS(TblApplications[RAM IKS libérable (Go)],TblApplications[Cluster IKS source],$F819,TblApplications[Mois lib (calc)],"&lt;="&amp;$E819)))</f>
        <v>0</v>
      </c>
      <c r="R819" s="19">
        <f t="shared" si="207"/>
        <v>480</v>
      </c>
      <c r="S819" s="19">
        <f t="shared" si="208"/>
        <v>1920</v>
      </c>
      <c r="T819" s="19">
        <f t="shared" si="209"/>
        <v>15</v>
      </c>
      <c r="U819" s="19">
        <f t="shared" si="210"/>
        <v>480</v>
      </c>
      <c r="V819" s="19">
        <f t="shared" si="211"/>
        <v>1920</v>
      </c>
      <c r="W819" s="73">
        <f t="shared" si="212"/>
        <v>15930</v>
      </c>
      <c r="X819" s="19">
        <f>IF($D819&lt;&gt;1,"",IF($G819="ROKS",$R819,IF($AI819=1,0,MAX($N819,$L819-SUMIFS(TblApplications[CPU IKS libérable (vCPU)],TblApplications[Cluster IKS source],$F819,TblApplications[Action],"À migrer",TblApplications[Mois prov (calc)],"&lt;="&amp;$E819)-SUMIFS(TblApplications[CPU IKS libérable (vCPU)],TblApplications[Cluster IKS source],$F819,TblApplications[Action],"À décommissionner",TblApplications[Mois lib (calc)],"&lt;="&amp;$E819)))))</f>
        <v>480</v>
      </c>
      <c r="Y819" s="19">
        <f>IF($D819&lt;&gt;1,"",IF($G819="ROKS",$S819,IF($AI819=1,0,MAX($O819,$M819-SUMIFS(TblApplications[RAM IKS libérable (Go)],TblApplications[Cluster IKS source],$F819,TblApplications[Action],"À migrer",TblApplications[Mois prov (calc)],"&lt;="&amp;$E819)-SUMIFS(TblApplications[RAM IKS libérable (Go)],TblApplications[Cluster IKS source],$F819,TblApplications[Action],"À décommissionner",TblApplications[Mois lib (calc)],"&lt;="&amp;$E819)))))</f>
        <v>1920</v>
      </c>
      <c r="Z819" s="19">
        <f t="shared" si="213"/>
        <v>15</v>
      </c>
      <c r="AA819" s="73">
        <f t="shared" si="214"/>
        <v>15930</v>
      </c>
      <c r="AB819" s="19">
        <f t="shared" si="215"/>
        <v>15</v>
      </c>
      <c r="AC819" s="73">
        <f t="shared" si="216"/>
        <v>15930</v>
      </c>
      <c r="AD819" s="19">
        <f t="shared" si="217"/>
        <v>0</v>
      </c>
      <c r="AE819" s="19">
        <f t="shared" si="218"/>
        <v>0</v>
      </c>
      <c r="AF819" s="19" t="str">
        <f>IF($D819&lt;&gt;1,"",IF(INDEX(TblClusters[Environnement],$B819)="","(vide)",INDEX(TblClusters[Environnement],$B819)))</f>
        <v>NPRD</v>
      </c>
      <c r="AG819" s="19">
        <f t="shared" si="219"/>
        <v>672</v>
      </c>
      <c r="AH819" s="19">
        <f t="shared" si="220"/>
        <v>23.705357142857142</v>
      </c>
      <c r="AI819" s="19">
        <f>IF($D819&lt;&gt;1,"",IF(AND($G819="IKS",ISNUMBER(INDEX(TblClusters[Fermeture retenue],$B819))),IF($E819&gt;=INDEX(TblClusters[Fermeture retenue],$B819),1,0),0))</f>
        <v>0</v>
      </c>
    </row>
    <row r="820" spans="1:35" x14ac:dyDescent="0.2">
      <c r="A820" s="19">
        <v>815</v>
      </c>
      <c r="B820" s="19">
        <f t="shared" si="204"/>
        <v>23</v>
      </c>
      <c r="C820" s="19">
        <f t="shared" si="205"/>
        <v>23</v>
      </c>
      <c r="D820" s="19">
        <f>IF($C820&gt;p_horizon,0,IFERROR(IF(AND(INDEX(TblClusters[Cluster],$B820)&lt;&gt;"",ISNUMBER(INDEX(TblClusters[CPU initial (vCPU)],$B820)),ISNUMBER(INDEX(TblClusters[CPU min (vCPU)],$B820)),OR(INDEX(TblClusters[Plateforme],$B820)="IKS",INDEX(TblClusters[Plateforme],$B820)="ROKS")),1,0),0))</f>
        <v>1</v>
      </c>
      <c r="E820" s="72">
        <f t="shared" si="206"/>
        <v>46966</v>
      </c>
      <c r="F820" s="19" t="str">
        <f>IF($D820=1,INDEX(TblClusters[Cluster],$B820),"")</f>
        <v>ku002i000246</v>
      </c>
      <c r="G820" s="19" t="str">
        <f>IF($D820=1,INDEX(TblClusters[Plateforme],$B820),"")</f>
        <v>IKS</v>
      </c>
      <c r="H820" s="19">
        <f>IF($D820=1,INDEX(TblClusters[vCPU par nœud],$B820),"")</f>
        <v>32</v>
      </c>
      <c r="I820" s="19">
        <f>IF($D820=1,INDEX(TblClusters[RAM par nœud (Go)],$B820),"")</f>
        <v>128</v>
      </c>
      <c r="J820" s="19">
        <f>IF($D820=1,INDEX(TblClusters[Workers min],$B820),"")</f>
        <v>3</v>
      </c>
      <c r="K820" s="73">
        <f>IF($D820=1,INDEX(TblClusters[Tarif par nœud],$B820),"")</f>
        <v>1062</v>
      </c>
      <c r="L820" s="19">
        <f>IF($D820=1,INDEX(TblClusters[CPU initial (vCPU)],$B820),"")</f>
        <v>480</v>
      </c>
      <c r="M820" s="19">
        <f>IF($D820=1,INDEX(TblClusters[RAM initiale (Go)],$B820),"")</f>
        <v>1920</v>
      </c>
      <c r="N820" s="19">
        <f>IF($D820=1,INDEX(TblClusters[CPU min (vCPU)],$B820),"")</f>
        <v>96</v>
      </c>
      <c r="O820" s="19">
        <f>IF($D820=1,INDEX(TblClusters[RAM min (Go)],$B820),"")</f>
        <v>384</v>
      </c>
      <c r="P820" s="19">
        <f>IF($D820&lt;&gt;1,"",IF($G820="ROKS",SUMIFS(TblApplications[Besoin ROKS CPU (vCPU)],TblApplications[Cluster ROKS cible],$F820,TblApplications[Action],"À migrer",TblApplications[Déjà incluse ROKS],"Non",TblApplications[Mois prov (calc)],"&lt;="&amp;$E820),SUMIFS(TblApplications[CPU IKS libérable (vCPU)],TblApplications[Cluster IKS source],$F820,TblApplications[Mois lib (calc)],"&lt;="&amp;$E820)))</f>
        <v>0</v>
      </c>
      <c r="Q820" s="19">
        <f>IF($D820&lt;&gt;1,"",IF($G820="ROKS",SUMIFS(TblApplications[Besoin ROKS RAM (Go)],TblApplications[Cluster ROKS cible],$F820,TblApplications[Action],"À migrer",TblApplications[Déjà incluse ROKS],"Non",TblApplications[Mois prov (calc)],"&lt;="&amp;$E820),SUMIFS(TblApplications[RAM IKS libérable (Go)],TblApplications[Cluster IKS source],$F820,TblApplications[Mois lib (calc)],"&lt;="&amp;$E820)))</f>
        <v>0</v>
      </c>
      <c r="R820" s="19">
        <f t="shared" si="207"/>
        <v>480</v>
      </c>
      <c r="S820" s="19">
        <f t="shared" si="208"/>
        <v>1920</v>
      </c>
      <c r="T820" s="19">
        <f t="shared" si="209"/>
        <v>15</v>
      </c>
      <c r="U820" s="19">
        <f t="shared" si="210"/>
        <v>480</v>
      </c>
      <c r="V820" s="19">
        <f t="shared" si="211"/>
        <v>1920</v>
      </c>
      <c r="W820" s="73">
        <f t="shared" si="212"/>
        <v>15930</v>
      </c>
      <c r="X820" s="19">
        <f>IF($D820&lt;&gt;1,"",IF($G820="ROKS",$R820,IF($AI820=1,0,MAX($N820,$L820-SUMIFS(TblApplications[CPU IKS libérable (vCPU)],TblApplications[Cluster IKS source],$F820,TblApplications[Action],"À migrer",TblApplications[Mois prov (calc)],"&lt;="&amp;$E820)-SUMIFS(TblApplications[CPU IKS libérable (vCPU)],TblApplications[Cluster IKS source],$F820,TblApplications[Action],"À décommissionner",TblApplications[Mois lib (calc)],"&lt;="&amp;$E820)))))</f>
        <v>480</v>
      </c>
      <c r="Y820" s="19">
        <f>IF($D820&lt;&gt;1,"",IF($G820="ROKS",$S820,IF($AI820=1,0,MAX($O820,$M820-SUMIFS(TblApplications[RAM IKS libérable (Go)],TblApplications[Cluster IKS source],$F820,TblApplications[Action],"À migrer",TblApplications[Mois prov (calc)],"&lt;="&amp;$E820)-SUMIFS(TblApplications[RAM IKS libérable (Go)],TblApplications[Cluster IKS source],$F820,TblApplications[Action],"À décommissionner",TblApplications[Mois lib (calc)],"&lt;="&amp;$E820)))))</f>
        <v>1920</v>
      </c>
      <c r="Z820" s="19">
        <f t="shared" si="213"/>
        <v>15</v>
      </c>
      <c r="AA820" s="73">
        <f t="shared" si="214"/>
        <v>15930</v>
      </c>
      <c r="AB820" s="19">
        <f t="shared" si="215"/>
        <v>15</v>
      </c>
      <c r="AC820" s="73">
        <f t="shared" si="216"/>
        <v>15930</v>
      </c>
      <c r="AD820" s="19">
        <f t="shared" si="217"/>
        <v>0</v>
      </c>
      <c r="AE820" s="19">
        <f t="shared" si="218"/>
        <v>0</v>
      </c>
      <c r="AF820" s="19" t="str">
        <f>IF($D820&lt;&gt;1,"",IF(INDEX(TblClusters[Environnement],$B820)="","(vide)",INDEX(TblClusters[Environnement],$B820)))</f>
        <v>NPRD</v>
      </c>
      <c r="AG820" s="19">
        <f t="shared" si="219"/>
        <v>672</v>
      </c>
      <c r="AH820" s="19">
        <f t="shared" si="220"/>
        <v>23.705357142857142</v>
      </c>
      <c r="AI820" s="19">
        <f>IF($D820&lt;&gt;1,"",IF(AND($G820="IKS",ISNUMBER(INDEX(TblClusters[Fermeture retenue],$B820))),IF($E820&gt;=INDEX(TblClusters[Fermeture retenue],$B820),1,0),0))</f>
        <v>0</v>
      </c>
    </row>
    <row r="821" spans="1:35" x14ac:dyDescent="0.2">
      <c r="A821" s="19">
        <v>816</v>
      </c>
      <c r="B821" s="19">
        <f t="shared" si="204"/>
        <v>23</v>
      </c>
      <c r="C821" s="19">
        <f t="shared" si="205"/>
        <v>24</v>
      </c>
      <c r="D821" s="19">
        <f>IF($C821&gt;p_horizon,0,IFERROR(IF(AND(INDEX(TblClusters[Cluster],$B821)&lt;&gt;"",ISNUMBER(INDEX(TblClusters[CPU initial (vCPU)],$B821)),ISNUMBER(INDEX(TblClusters[CPU min (vCPU)],$B821)),OR(INDEX(TblClusters[Plateforme],$B821)="IKS",INDEX(TblClusters[Plateforme],$B821)="ROKS")),1,0),0))</f>
        <v>1</v>
      </c>
      <c r="E821" s="72">
        <f t="shared" si="206"/>
        <v>46997</v>
      </c>
      <c r="F821" s="19" t="str">
        <f>IF($D821=1,INDEX(TblClusters[Cluster],$B821),"")</f>
        <v>ku002i000246</v>
      </c>
      <c r="G821" s="19" t="str">
        <f>IF($D821=1,INDEX(TblClusters[Plateforme],$B821),"")</f>
        <v>IKS</v>
      </c>
      <c r="H821" s="19">
        <f>IF($D821=1,INDEX(TblClusters[vCPU par nœud],$B821),"")</f>
        <v>32</v>
      </c>
      <c r="I821" s="19">
        <f>IF($D821=1,INDEX(TblClusters[RAM par nœud (Go)],$B821),"")</f>
        <v>128</v>
      </c>
      <c r="J821" s="19">
        <f>IF($D821=1,INDEX(TblClusters[Workers min],$B821),"")</f>
        <v>3</v>
      </c>
      <c r="K821" s="73">
        <f>IF($D821=1,INDEX(TblClusters[Tarif par nœud],$B821),"")</f>
        <v>1062</v>
      </c>
      <c r="L821" s="19">
        <f>IF($D821=1,INDEX(TblClusters[CPU initial (vCPU)],$B821),"")</f>
        <v>480</v>
      </c>
      <c r="M821" s="19">
        <f>IF($D821=1,INDEX(TblClusters[RAM initiale (Go)],$B821),"")</f>
        <v>1920</v>
      </c>
      <c r="N821" s="19">
        <f>IF($D821=1,INDEX(TblClusters[CPU min (vCPU)],$B821),"")</f>
        <v>96</v>
      </c>
      <c r="O821" s="19">
        <f>IF($D821=1,INDEX(TblClusters[RAM min (Go)],$B821),"")</f>
        <v>384</v>
      </c>
      <c r="P821" s="19">
        <f>IF($D821&lt;&gt;1,"",IF($G821="ROKS",SUMIFS(TblApplications[Besoin ROKS CPU (vCPU)],TblApplications[Cluster ROKS cible],$F821,TblApplications[Action],"À migrer",TblApplications[Déjà incluse ROKS],"Non",TblApplications[Mois prov (calc)],"&lt;="&amp;$E821),SUMIFS(TblApplications[CPU IKS libérable (vCPU)],TblApplications[Cluster IKS source],$F821,TblApplications[Mois lib (calc)],"&lt;="&amp;$E821)))</f>
        <v>0</v>
      </c>
      <c r="Q821" s="19">
        <f>IF($D821&lt;&gt;1,"",IF($G821="ROKS",SUMIFS(TblApplications[Besoin ROKS RAM (Go)],TblApplications[Cluster ROKS cible],$F821,TblApplications[Action],"À migrer",TblApplications[Déjà incluse ROKS],"Non",TblApplications[Mois prov (calc)],"&lt;="&amp;$E821),SUMIFS(TblApplications[RAM IKS libérable (Go)],TblApplications[Cluster IKS source],$F821,TblApplications[Mois lib (calc)],"&lt;="&amp;$E821)))</f>
        <v>0</v>
      </c>
      <c r="R821" s="19">
        <f t="shared" si="207"/>
        <v>480</v>
      </c>
      <c r="S821" s="19">
        <f t="shared" si="208"/>
        <v>1920</v>
      </c>
      <c r="T821" s="19">
        <f t="shared" si="209"/>
        <v>15</v>
      </c>
      <c r="U821" s="19">
        <f t="shared" si="210"/>
        <v>480</v>
      </c>
      <c r="V821" s="19">
        <f t="shared" si="211"/>
        <v>1920</v>
      </c>
      <c r="W821" s="73">
        <f t="shared" si="212"/>
        <v>15930</v>
      </c>
      <c r="X821" s="19">
        <f>IF($D821&lt;&gt;1,"",IF($G821="ROKS",$R821,IF($AI821=1,0,MAX($N821,$L821-SUMIFS(TblApplications[CPU IKS libérable (vCPU)],TblApplications[Cluster IKS source],$F821,TblApplications[Action],"À migrer",TblApplications[Mois prov (calc)],"&lt;="&amp;$E821)-SUMIFS(TblApplications[CPU IKS libérable (vCPU)],TblApplications[Cluster IKS source],$F821,TblApplications[Action],"À décommissionner",TblApplications[Mois lib (calc)],"&lt;="&amp;$E821)))))</f>
        <v>480</v>
      </c>
      <c r="Y821" s="19">
        <f>IF($D821&lt;&gt;1,"",IF($G821="ROKS",$S821,IF($AI821=1,0,MAX($O821,$M821-SUMIFS(TblApplications[RAM IKS libérable (Go)],TblApplications[Cluster IKS source],$F821,TblApplications[Action],"À migrer",TblApplications[Mois prov (calc)],"&lt;="&amp;$E821)-SUMIFS(TblApplications[RAM IKS libérable (Go)],TblApplications[Cluster IKS source],$F821,TblApplications[Action],"À décommissionner",TblApplications[Mois lib (calc)],"&lt;="&amp;$E821)))))</f>
        <v>1920</v>
      </c>
      <c r="Z821" s="19">
        <f t="shared" si="213"/>
        <v>15</v>
      </c>
      <c r="AA821" s="73">
        <f t="shared" si="214"/>
        <v>15930</v>
      </c>
      <c r="AB821" s="19">
        <f t="shared" si="215"/>
        <v>15</v>
      </c>
      <c r="AC821" s="73">
        <f t="shared" si="216"/>
        <v>15930</v>
      </c>
      <c r="AD821" s="19">
        <f t="shared" si="217"/>
        <v>0</v>
      </c>
      <c r="AE821" s="19">
        <f t="shared" si="218"/>
        <v>0</v>
      </c>
      <c r="AF821" s="19" t="str">
        <f>IF($D821&lt;&gt;1,"",IF(INDEX(TblClusters[Environnement],$B821)="","(vide)",INDEX(TblClusters[Environnement],$B821)))</f>
        <v>NPRD</v>
      </c>
      <c r="AG821" s="19">
        <f t="shared" si="219"/>
        <v>672</v>
      </c>
      <c r="AH821" s="19">
        <f t="shared" si="220"/>
        <v>23.705357142857142</v>
      </c>
      <c r="AI821" s="19">
        <f>IF($D821&lt;&gt;1,"",IF(AND($G821="IKS",ISNUMBER(INDEX(TblClusters[Fermeture retenue],$B821))),IF($E821&gt;=INDEX(TblClusters[Fermeture retenue],$B821),1,0),0))</f>
        <v>0</v>
      </c>
    </row>
    <row r="822" spans="1:35" x14ac:dyDescent="0.2">
      <c r="A822" s="19">
        <v>817</v>
      </c>
      <c r="B822" s="19">
        <f t="shared" si="204"/>
        <v>23</v>
      </c>
      <c r="C822" s="19">
        <f t="shared" si="205"/>
        <v>25</v>
      </c>
      <c r="D822" s="19">
        <f>IF($C822&gt;p_horizon,0,IFERROR(IF(AND(INDEX(TblClusters[Cluster],$B822)&lt;&gt;"",ISNUMBER(INDEX(TblClusters[CPU initial (vCPU)],$B822)),ISNUMBER(INDEX(TblClusters[CPU min (vCPU)],$B822)),OR(INDEX(TblClusters[Plateforme],$B822)="IKS",INDEX(TblClusters[Plateforme],$B822)="ROKS")),1,0),0))</f>
        <v>1</v>
      </c>
      <c r="E822" s="72">
        <f t="shared" si="206"/>
        <v>47027</v>
      </c>
      <c r="F822" s="19" t="str">
        <f>IF($D822=1,INDEX(TblClusters[Cluster],$B822),"")</f>
        <v>ku002i000246</v>
      </c>
      <c r="G822" s="19" t="str">
        <f>IF($D822=1,INDEX(TblClusters[Plateforme],$B822),"")</f>
        <v>IKS</v>
      </c>
      <c r="H822" s="19">
        <f>IF($D822=1,INDEX(TblClusters[vCPU par nœud],$B822),"")</f>
        <v>32</v>
      </c>
      <c r="I822" s="19">
        <f>IF($D822=1,INDEX(TblClusters[RAM par nœud (Go)],$B822),"")</f>
        <v>128</v>
      </c>
      <c r="J822" s="19">
        <f>IF($D822=1,INDEX(TblClusters[Workers min],$B822),"")</f>
        <v>3</v>
      </c>
      <c r="K822" s="73">
        <f>IF($D822=1,INDEX(TblClusters[Tarif par nœud],$B822),"")</f>
        <v>1062</v>
      </c>
      <c r="L822" s="19">
        <f>IF($D822=1,INDEX(TblClusters[CPU initial (vCPU)],$B822),"")</f>
        <v>480</v>
      </c>
      <c r="M822" s="19">
        <f>IF($D822=1,INDEX(TblClusters[RAM initiale (Go)],$B822),"")</f>
        <v>1920</v>
      </c>
      <c r="N822" s="19">
        <f>IF($D822=1,INDEX(TblClusters[CPU min (vCPU)],$B822),"")</f>
        <v>96</v>
      </c>
      <c r="O822" s="19">
        <f>IF($D822=1,INDEX(TblClusters[RAM min (Go)],$B822),"")</f>
        <v>384</v>
      </c>
      <c r="P822" s="19">
        <f>IF($D822&lt;&gt;1,"",IF($G822="ROKS",SUMIFS(TblApplications[Besoin ROKS CPU (vCPU)],TblApplications[Cluster ROKS cible],$F822,TblApplications[Action],"À migrer",TblApplications[Déjà incluse ROKS],"Non",TblApplications[Mois prov (calc)],"&lt;="&amp;$E822),SUMIFS(TblApplications[CPU IKS libérable (vCPU)],TblApplications[Cluster IKS source],$F822,TblApplications[Mois lib (calc)],"&lt;="&amp;$E822)))</f>
        <v>0</v>
      </c>
      <c r="Q822" s="19">
        <f>IF($D822&lt;&gt;1,"",IF($G822="ROKS",SUMIFS(TblApplications[Besoin ROKS RAM (Go)],TblApplications[Cluster ROKS cible],$F822,TblApplications[Action],"À migrer",TblApplications[Déjà incluse ROKS],"Non",TblApplications[Mois prov (calc)],"&lt;="&amp;$E822),SUMIFS(TblApplications[RAM IKS libérable (Go)],TblApplications[Cluster IKS source],$F822,TblApplications[Mois lib (calc)],"&lt;="&amp;$E822)))</f>
        <v>0</v>
      </c>
      <c r="R822" s="19">
        <f t="shared" si="207"/>
        <v>480</v>
      </c>
      <c r="S822" s="19">
        <f t="shared" si="208"/>
        <v>1920</v>
      </c>
      <c r="T822" s="19">
        <f t="shared" si="209"/>
        <v>15</v>
      </c>
      <c r="U822" s="19">
        <f t="shared" si="210"/>
        <v>480</v>
      </c>
      <c r="V822" s="19">
        <f t="shared" si="211"/>
        <v>1920</v>
      </c>
      <c r="W822" s="73">
        <f t="shared" si="212"/>
        <v>15930</v>
      </c>
      <c r="X822" s="19">
        <f>IF($D822&lt;&gt;1,"",IF($G822="ROKS",$R822,IF($AI822=1,0,MAX($N822,$L822-SUMIFS(TblApplications[CPU IKS libérable (vCPU)],TblApplications[Cluster IKS source],$F822,TblApplications[Action],"À migrer",TblApplications[Mois prov (calc)],"&lt;="&amp;$E822)-SUMIFS(TblApplications[CPU IKS libérable (vCPU)],TblApplications[Cluster IKS source],$F822,TblApplications[Action],"À décommissionner",TblApplications[Mois lib (calc)],"&lt;="&amp;$E822)))))</f>
        <v>480</v>
      </c>
      <c r="Y822" s="19">
        <f>IF($D822&lt;&gt;1,"",IF($G822="ROKS",$S822,IF($AI822=1,0,MAX($O822,$M822-SUMIFS(TblApplications[RAM IKS libérable (Go)],TblApplications[Cluster IKS source],$F822,TblApplications[Action],"À migrer",TblApplications[Mois prov (calc)],"&lt;="&amp;$E822)-SUMIFS(TblApplications[RAM IKS libérable (Go)],TblApplications[Cluster IKS source],$F822,TblApplications[Action],"À décommissionner",TblApplications[Mois lib (calc)],"&lt;="&amp;$E822)))))</f>
        <v>1920</v>
      </c>
      <c r="Z822" s="19">
        <f t="shared" si="213"/>
        <v>15</v>
      </c>
      <c r="AA822" s="73">
        <f t="shared" si="214"/>
        <v>15930</v>
      </c>
      <c r="AB822" s="19">
        <f t="shared" si="215"/>
        <v>15</v>
      </c>
      <c r="AC822" s="73">
        <f t="shared" si="216"/>
        <v>15930</v>
      </c>
      <c r="AD822" s="19">
        <f t="shared" si="217"/>
        <v>0</v>
      </c>
      <c r="AE822" s="19">
        <f t="shared" si="218"/>
        <v>0</v>
      </c>
      <c r="AF822" s="19" t="str">
        <f>IF($D822&lt;&gt;1,"",IF(INDEX(TblClusters[Environnement],$B822)="","(vide)",INDEX(TblClusters[Environnement],$B822)))</f>
        <v>NPRD</v>
      </c>
      <c r="AG822" s="19">
        <f t="shared" si="219"/>
        <v>672</v>
      </c>
      <c r="AH822" s="19">
        <f t="shared" si="220"/>
        <v>23.705357142857142</v>
      </c>
      <c r="AI822" s="19">
        <f>IF($D822&lt;&gt;1,"",IF(AND($G822="IKS",ISNUMBER(INDEX(TblClusters[Fermeture retenue],$B822))),IF($E822&gt;=INDEX(TblClusters[Fermeture retenue],$B822),1,0),0))</f>
        <v>0</v>
      </c>
    </row>
    <row r="823" spans="1:35" x14ac:dyDescent="0.2">
      <c r="A823" s="19">
        <v>818</v>
      </c>
      <c r="B823" s="19">
        <f t="shared" si="204"/>
        <v>23</v>
      </c>
      <c r="C823" s="19">
        <f t="shared" si="205"/>
        <v>26</v>
      </c>
      <c r="D823" s="19">
        <f>IF($C823&gt;p_horizon,0,IFERROR(IF(AND(INDEX(TblClusters[Cluster],$B823)&lt;&gt;"",ISNUMBER(INDEX(TblClusters[CPU initial (vCPU)],$B823)),ISNUMBER(INDEX(TblClusters[CPU min (vCPU)],$B823)),OR(INDEX(TblClusters[Plateforme],$B823)="IKS",INDEX(TblClusters[Plateforme],$B823)="ROKS")),1,0),0))</f>
        <v>1</v>
      </c>
      <c r="E823" s="72">
        <f t="shared" si="206"/>
        <v>47058</v>
      </c>
      <c r="F823" s="19" t="str">
        <f>IF($D823=1,INDEX(TblClusters[Cluster],$B823),"")</f>
        <v>ku002i000246</v>
      </c>
      <c r="G823" s="19" t="str">
        <f>IF($D823=1,INDEX(TblClusters[Plateforme],$B823),"")</f>
        <v>IKS</v>
      </c>
      <c r="H823" s="19">
        <f>IF($D823=1,INDEX(TblClusters[vCPU par nœud],$B823),"")</f>
        <v>32</v>
      </c>
      <c r="I823" s="19">
        <f>IF($D823=1,INDEX(TblClusters[RAM par nœud (Go)],$B823),"")</f>
        <v>128</v>
      </c>
      <c r="J823" s="19">
        <f>IF($D823=1,INDEX(TblClusters[Workers min],$B823),"")</f>
        <v>3</v>
      </c>
      <c r="K823" s="73">
        <f>IF($D823=1,INDEX(TblClusters[Tarif par nœud],$B823),"")</f>
        <v>1062</v>
      </c>
      <c r="L823" s="19">
        <f>IF($D823=1,INDEX(TblClusters[CPU initial (vCPU)],$B823),"")</f>
        <v>480</v>
      </c>
      <c r="M823" s="19">
        <f>IF($D823=1,INDEX(TblClusters[RAM initiale (Go)],$B823),"")</f>
        <v>1920</v>
      </c>
      <c r="N823" s="19">
        <f>IF($D823=1,INDEX(TblClusters[CPU min (vCPU)],$B823),"")</f>
        <v>96</v>
      </c>
      <c r="O823" s="19">
        <f>IF($D823=1,INDEX(TblClusters[RAM min (Go)],$B823),"")</f>
        <v>384</v>
      </c>
      <c r="P823" s="19">
        <f>IF($D823&lt;&gt;1,"",IF($G823="ROKS",SUMIFS(TblApplications[Besoin ROKS CPU (vCPU)],TblApplications[Cluster ROKS cible],$F823,TblApplications[Action],"À migrer",TblApplications[Déjà incluse ROKS],"Non",TblApplications[Mois prov (calc)],"&lt;="&amp;$E823),SUMIFS(TblApplications[CPU IKS libérable (vCPU)],TblApplications[Cluster IKS source],$F823,TblApplications[Mois lib (calc)],"&lt;="&amp;$E823)))</f>
        <v>0</v>
      </c>
      <c r="Q823" s="19">
        <f>IF($D823&lt;&gt;1,"",IF($G823="ROKS",SUMIFS(TblApplications[Besoin ROKS RAM (Go)],TblApplications[Cluster ROKS cible],$F823,TblApplications[Action],"À migrer",TblApplications[Déjà incluse ROKS],"Non",TblApplications[Mois prov (calc)],"&lt;="&amp;$E823),SUMIFS(TblApplications[RAM IKS libérable (Go)],TblApplications[Cluster IKS source],$F823,TblApplications[Mois lib (calc)],"&lt;="&amp;$E823)))</f>
        <v>0</v>
      </c>
      <c r="R823" s="19">
        <f t="shared" si="207"/>
        <v>480</v>
      </c>
      <c r="S823" s="19">
        <f t="shared" si="208"/>
        <v>1920</v>
      </c>
      <c r="T823" s="19">
        <f t="shared" si="209"/>
        <v>15</v>
      </c>
      <c r="U823" s="19">
        <f t="shared" si="210"/>
        <v>480</v>
      </c>
      <c r="V823" s="19">
        <f t="shared" si="211"/>
        <v>1920</v>
      </c>
      <c r="W823" s="73">
        <f t="shared" si="212"/>
        <v>15930</v>
      </c>
      <c r="X823" s="19">
        <f>IF($D823&lt;&gt;1,"",IF($G823="ROKS",$R823,IF($AI823=1,0,MAX($N823,$L823-SUMIFS(TblApplications[CPU IKS libérable (vCPU)],TblApplications[Cluster IKS source],$F823,TblApplications[Action],"À migrer",TblApplications[Mois prov (calc)],"&lt;="&amp;$E823)-SUMIFS(TblApplications[CPU IKS libérable (vCPU)],TblApplications[Cluster IKS source],$F823,TblApplications[Action],"À décommissionner",TblApplications[Mois lib (calc)],"&lt;="&amp;$E823)))))</f>
        <v>480</v>
      </c>
      <c r="Y823" s="19">
        <f>IF($D823&lt;&gt;1,"",IF($G823="ROKS",$S823,IF($AI823=1,0,MAX($O823,$M823-SUMIFS(TblApplications[RAM IKS libérable (Go)],TblApplications[Cluster IKS source],$F823,TblApplications[Action],"À migrer",TblApplications[Mois prov (calc)],"&lt;="&amp;$E823)-SUMIFS(TblApplications[RAM IKS libérable (Go)],TblApplications[Cluster IKS source],$F823,TblApplications[Action],"À décommissionner",TblApplications[Mois lib (calc)],"&lt;="&amp;$E823)))))</f>
        <v>1920</v>
      </c>
      <c r="Z823" s="19">
        <f t="shared" si="213"/>
        <v>15</v>
      </c>
      <c r="AA823" s="73">
        <f t="shared" si="214"/>
        <v>15930</v>
      </c>
      <c r="AB823" s="19">
        <f t="shared" si="215"/>
        <v>15</v>
      </c>
      <c r="AC823" s="73">
        <f t="shared" si="216"/>
        <v>15930</v>
      </c>
      <c r="AD823" s="19">
        <f t="shared" si="217"/>
        <v>0</v>
      </c>
      <c r="AE823" s="19">
        <f t="shared" si="218"/>
        <v>0</v>
      </c>
      <c r="AF823" s="19" t="str">
        <f>IF($D823&lt;&gt;1,"",IF(INDEX(TblClusters[Environnement],$B823)="","(vide)",INDEX(TblClusters[Environnement],$B823)))</f>
        <v>NPRD</v>
      </c>
      <c r="AG823" s="19">
        <f t="shared" si="219"/>
        <v>672</v>
      </c>
      <c r="AH823" s="19">
        <f t="shared" si="220"/>
        <v>23.705357142857142</v>
      </c>
      <c r="AI823" s="19">
        <f>IF($D823&lt;&gt;1,"",IF(AND($G823="IKS",ISNUMBER(INDEX(TblClusters[Fermeture retenue],$B823))),IF($E823&gt;=INDEX(TblClusters[Fermeture retenue],$B823),1,0),0))</f>
        <v>0</v>
      </c>
    </row>
    <row r="824" spans="1:35" x14ac:dyDescent="0.2">
      <c r="A824" s="19">
        <v>819</v>
      </c>
      <c r="B824" s="19">
        <f t="shared" si="204"/>
        <v>23</v>
      </c>
      <c r="C824" s="19">
        <f t="shared" si="205"/>
        <v>27</v>
      </c>
      <c r="D824" s="19">
        <f>IF($C824&gt;p_horizon,0,IFERROR(IF(AND(INDEX(TblClusters[Cluster],$B824)&lt;&gt;"",ISNUMBER(INDEX(TblClusters[CPU initial (vCPU)],$B824)),ISNUMBER(INDEX(TblClusters[CPU min (vCPU)],$B824)),OR(INDEX(TblClusters[Plateforme],$B824)="IKS",INDEX(TblClusters[Plateforme],$B824)="ROKS")),1,0),0))</f>
        <v>1</v>
      </c>
      <c r="E824" s="72">
        <f t="shared" si="206"/>
        <v>47088</v>
      </c>
      <c r="F824" s="19" t="str">
        <f>IF($D824=1,INDEX(TblClusters[Cluster],$B824),"")</f>
        <v>ku002i000246</v>
      </c>
      <c r="G824" s="19" t="str">
        <f>IF($D824=1,INDEX(TblClusters[Plateforme],$B824),"")</f>
        <v>IKS</v>
      </c>
      <c r="H824" s="19">
        <f>IF($D824=1,INDEX(TblClusters[vCPU par nœud],$B824),"")</f>
        <v>32</v>
      </c>
      <c r="I824" s="19">
        <f>IF($D824=1,INDEX(TblClusters[RAM par nœud (Go)],$B824),"")</f>
        <v>128</v>
      </c>
      <c r="J824" s="19">
        <f>IF($D824=1,INDEX(TblClusters[Workers min],$B824),"")</f>
        <v>3</v>
      </c>
      <c r="K824" s="73">
        <f>IF($D824=1,INDEX(TblClusters[Tarif par nœud],$B824),"")</f>
        <v>1062</v>
      </c>
      <c r="L824" s="19">
        <f>IF($D824=1,INDEX(TblClusters[CPU initial (vCPU)],$B824),"")</f>
        <v>480</v>
      </c>
      <c r="M824" s="19">
        <f>IF($D824=1,INDEX(TblClusters[RAM initiale (Go)],$B824),"")</f>
        <v>1920</v>
      </c>
      <c r="N824" s="19">
        <f>IF($D824=1,INDEX(TblClusters[CPU min (vCPU)],$B824),"")</f>
        <v>96</v>
      </c>
      <c r="O824" s="19">
        <f>IF($D824=1,INDEX(TblClusters[RAM min (Go)],$B824),"")</f>
        <v>384</v>
      </c>
      <c r="P824" s="19">
        <f>IF($D824&lt;&gt;1,"",IF($G824="ROKS",SUMIFS(TblApplications[Besoin ROKS CPU (vCPU)],TblApplications[Cluster ROKS cible],$F824,TblApplications[Action],"À migrer",TblApplications[Déjà incluse ROKS],"Non",TblApplications[Mois prov (calc)],"&lt;="&amp;$E824),SUMIFS(TblApplications[CPU IKS libérable (vCPU)],TblApplications[Cluster IKS source],$F824,TblApplications[Mois lib (calc)],"&lt;="&amp;$E824)))</f>
        <v>0</v>
      </c>
      <c r="Q824" s="19">
        <f>IF($D824&lt;&gt;1,"",IF($G824="ROKS",SUMIFS(TblApplications[Besoin ROKS RAM (Go)],TblApplications[Cluster ROKS cible],$F824,TblApplications[Action],"À migrer",TblApplications[Déjà incluse ROKS],"Non",TblApplications[Mois prov (calc)],"&lt;="&amp;$E824),SUMIFS(TblApplications[RAM IKS libérable (Go)],TblApplications[Cluster IKS source],$F824,TblApplications[Mois lib (calc)],"&lt;="&amp;$E824)))</f>
        <v>0</v>
      </c>
      <c r="R824" s="19">
        <f t="shared" si="207"/>
        <v>480</v>
      </c>
      <c r="S824" s="19">
        <f t="shared" si="208"/>
        <v>1920</v>
      </c>
      <c r="T824" s="19">
        <f t="shared" si="209"/>
        <v>15</v>
      </c>
      <c r="U824" s="19">
        <f t="shared" si="210"/>
        <v>480</v>
      </c>
      <c r="V824" s="19">
        <f t="shared" si="211"/>
        <v>1920</v>
      </c>
      <c r="W824" s="73">
        <f t="shared" si="212"/>
        <v>15930</v>
      </c>
      <c r="X824" s="19">
        <f>IF($D824&lt;&gt;1,"",IF($G824="ROKS",$R824,IF($AI824=1,0,MAX($N824,$L824-SUMIFS(TblApplications[CPU IKS libérable (vCPU)],TblApplications[Cluster IKS source],$F824,TblApplications[Action],"À migrer",TblApplications[Mois prov (calc)],"&lt;="&amp;$E824)-SUMIFS(TblApplications[CPU IKS libérable (vCPU)],TblApplications[Cluster IKS source],$F824,TblApplications[Action],"À décommissionner",TblApplications[Mois lib (calc)],"&lt;="&amp;$E824)))))</f>
        <v>480</v>
      </c>
      <c r="Y824" s="19">
        <f>IF($D824&lt;&gt;1,"",IF($G824="ROKS",$S824,IF($AI824=1,0,MAX($O824,$M824-SUMIFS(TblApplications[RAM IKS libérable (Go)],TblApplications[Cluster IKS source],$F824,TblApplications[Action],"À migrer",TblApplications[Mois prov (calc)],"&lt;="&amp;$E824)-SUMIFS(TblApplications[RAM IKS libérable (Go)],TblApplications[Cluster IKS source],$F824,TblApplications[Action],"À décommissionner",TblApplications[Mois lib (calc)],"&lt;="&amp;$E824)))))</f>
        <v>1920</v>
      </c>
      <c r="Z824" s="19">
        <f t="shared" si="213"/>
        <v>15</v>
      </c>
      <c r="AA824" s="73">
        <f t="shared" si="214"/>
        <v>15930</v>
      </c>
      <c r="AB824" s="19">
        <f t="shared" si="215"/>
        <v>15</v>
      </c>
      <c r="AC824" s="73">
        <f t="shared" si="216"/>
        <v>15930</v>
      </c>
      <c r="AD824" s="19">
        <f t="shared" si="217"/>
        <v>0</v>
      </c>
      <c r="AE824" s="19">
        <f t="shared" si="218"/>
        <v>0</v>
      </c>
      <c r="AF824" s="19" t="str">
        <f>IF($D824&lt;&gt;1,"",IF(INDEX(TblClusters[Environnement],$B824)="","(vide)",INDEX(TblClusters[Environnement],$B824)))</f>
        <v>NPRD</v>
      </c>
      <c r="AG824" s="19">
        <f t="shared" si="219"/>
        <v>672</v>
      </c>
      <c r="AH824" s="19">
        <f t="shared" si="220"/>
        <v>23.705357142857142</v>
      </c>
      <c r="AI824" s="19">
        <f>IF($D824&lt;&gt;1,"",IF(AND($G824="IKS",ISNUMBER(INDEX(TblClusters[Fermeture retenue],$B824))),IF($E824&gt;=INDEX(TblClusters[Fermeture retenue],$B824),1,0),0))</f>
        <v>0</v>
      </c>
    </row>
    <row r="825" spans="1:35" x14ac:dyDescent="0.2">
      <c r="A825" s="19">
        <v>820</v>
      </c>
      <c r="B825" s="19">
        <f t="shared" si="204"/>
        <v>23</v>
      </c>
      <c r="C825" s="19">
        <f t="shared" si="205"/>
        <v>28</v>
      </c>
      <c r="D825" s="19">
        <f>IF($C825&gt;p_horizon,0,IFERROR(IF(AND(INDEX(TblClusters[Cluster],$B825)&lt;&gt;"",ISNUMBER(INDEX(TblClusters[CPU initial (vCPU)],$B825)),ISNUMBER(INDEX(TblClusters[CPU min (vCPU)],$B825)),OR(INDEX(TblClusters[Plateforme],$B825)="IKS",INDEX(TblClusters[Plateforme],$B825)="ROKS")),1,0),0))</f>
        <v>1</v>
      </c>
      <c r="E825" s="72">
        <f t="shared" si="206"/>
        <v>47119</v>
      </c>
      <c r="F825" s="19" t="str">
        <f>IF($D825=1,INDEX(TblClusters[Cluster],$B825),"")</f>
        <v>ku002i000246</v>
      </c>
      <c r="G825" s="19" t="str">
        <f>IF($D825=1,INDEX(TblClusters[Plateforme],$B825),"")</f>
        <v>IKS</v>
      </c>
      <c r="H825" s="19">
        <f>IF($D825=1,INDEX(TblClusters[vCPU par nœud],$B825),"")</f>
        <v>32</v>
      </c>
      <c r="I825" s="19">
        <f>IF($D825=1,INDEX(TblClusters[RAM par nœud (Go)],$B825),"")</f>
        <v>128</v>
      </c>
      <c r="J825" s="19">
        <f>IF($D825=1,INDEX(TblClusters[Workers min],$B825),"")</f>
        <v>3</v>
      </c>
      <c r="K825" s="73">
        <f>IF($D825=1,INDEX(TblClusters[Tarif par nœud],$B825),"")</f>
        <v>1062</v>
      </c>
      <c r="L825" s="19">
        <f>IF($D825=1,INDEX(TblClusters[CPU initial (vCPU)],$B825),"")</f>
        <v>480</v>
      </c>
      <c r="M825" s="19">
        <f>IF($D825=1,INDEX(TblClusters[RAM initiale (Go)],$B825),"")</f>
        <v>1920</v>
      </c>
      <c r="N825" s="19">
        <f>IF($D825=1,INDEX(TblClusters[CPU min (vCPU)],$B825),"")</f>
        <v>96</v>
      </c>
      <c r="O825" s="19">
        <f>IF($D825=1,INDEX(TblClusters[RAM min (Go)],$B825),"")</f>
        <v>384</v>
      </c>
      <c r="P825" s="19">
        <f>IF($D825&lt;&gt;1,"",IF($G825="ROKS",SUMIFS(TblApplications[Besoin ROKS CPU (vCPU)],TblApplications[Cluster ROKS cible],$F825,TblApplications[Action],"À migrer",TblApplications[Déjà incluse ROKS],"Non",TblApplications[Mois prov (calc)],"&lt;="&amp;$E825),SUMIFS(TblApplications[CPU IKS libérable (vCPU)],TblApplications[Cluster IKS source],$F825,TblApplications[Mois lib (calc)],"&lt;="&amp;$E825)))</f>
        <v>0</v>
      </c>
      <c r="Q825" s="19">
        <f>IF($D825&lt;&gt;1,"",IF($G825="ROKS",SUMIFS(TblApplications[Besoin ROKS RAM (Go)],TblApplications[Cluster ROKS cible],$F825,TblApplications[Action],"À migrer",TblApplications[Déjà incluse ROKS],"Non",TblApplications[Mois prov (calc)],"&lt;="&amp;$E825),SUMIFS(TblApplications[RAM IKS libérable (Go)],TblApplications[Cluster IKS source],$F825,TblApplications[Mois lib (calc)],"&lt;="&amp;$E825)))</f>
        <v>0</v>
      </c>
      <c r="R825" s="19">
        <f t="shared" si="207"/>
        <v>480</v>
      </c>
      <c r="S825" s="19">
        <f t="shared" si="208"/>
        <v>1920</v>
      </c>
      <c r="T825" s="19">
        <f t="shared" si="209"/>
        <v>15</v>
      </c>
      <c r="U825" s="19">
        <f t="shared" si="210"/>
        <v>480</v>
      </c>
      <c r="V825" s="19">
        <f t="shared" si="211"/>
        <v>1920</v>
      </c>
      <c r="W825" s="73">
        <f t="shared" si="212"/>
        <v>15930</v>
      </c>
      <c r="X825" s="19">
        <f>IF($D825&lt;&gt;1,"",IF($G825="ROKS",$R825,IF($AI825=1,0,MAX($N825,$L825-SUMIFS(TblApplications[CPU IKS libérable (vCPU)],TblApplications[Cluster IKS source],$F825,TblApplications[Action],"À migrer",TblApplications[Mois prov (calc)],"&lt;="&amp;$E825)-SUMIFS(TblApplications[CPU IKS libérable (vCPU)],TblApplications[Cluster IKS source],$F825,TblApplications[Action],"À décommissionner",TblApplications[Mois lib (calc)],"&lt;="&amp;$E825)))))</f>
        <v>480</v>
      </c>
      <c r="Y825" s="19">
        <f>IF($D825&lt;&gt;1,"",IF($G825="ROKS",$S825,IF($AI825=1,0,MAX($O825,$M825-SUMIFS(TblApplications[RAM IKS libérable (Go)],TblApplications[Cluster IKS source],$F825,TblApplications[Action],"À migrer",TblApplications[Mois prov (calc)],"&lt;="&amp;$E825)-SUMIFS(TblApplications[RAM IKS libérable (Go)],TblApplications[Cluster IKS source],$F825,TblApplications[Action],"À décommissionner",TblApplications[Mois lib (calc)],"&lt;="&amp;$E825)))))</f>
        <v>1920</v>
      </c>
      <c r="Z825" s="19">
        <f t="shared" si="213"/>
        <v>15</v>
      </c>
      <c r="AA825" s="73">
        <f t="shared" si="214"/>
        <v>15930</v>
      </c>
      <c r="AB825" s="19">
        <f t="shared" si="215"/>
        <v>15</v>
      </c>
      <c r="AC825" s="73">
        <f t="shared" si="216"/>
        <v>15930</v>
      </c>
      <c r="AD825" s="19">
        <f t="shared" si="217"/>
        <v>0</v>
      </c>
      <c r="AE825" s="19">
        <f t="shared" si="218"/>
        <v>0</v>
      </c>
      <c r="AF825" s="19" t="str">
        <f>IF($D825&lt;&gt;1,"",IF(INDEX(TblClusters[Environnement],$B825)="","(vide)",INDEX(TblClusters[Environnement],$B825)))</f>
        <v>NPRD</v>
      </c>
      <c r="AG825" s="19">
        <f t="shared" si="219"/>
        <v>672</v>
      </c>
      <c r="AH825" s="19">
        <f t="shared" si="220"/>
        <v>23.705357142857142</v>
      </c>
      <c r="AI825" s="19">
        <f>IF($D825&lt;&gt;1,"",IF(AND($G825="IKS",ISNUMBER(INDEX(TblClusters[Fermeture retenue],$B825))),IF($E825&gt;=INDEX(TblClusters[Fermeture retenue],$B825),1,0),0))</f>
        <v>0</v>
      </c>
    </row>
    <row r="826" spans="1:35" x14ac:dyDescent="0.2">
      <c r="A826" s="19">
        <v>821</v>
      </c>
      <c r="B826" s="19">
        <f t="shared" si="204"/>
        <v>23</v>
      </c>
      <c r="C826" s="19">
        <f t="shared" si="205"/>
        <v>29</v>
      </c>
      <c r="D826" s="19">
        <f>IF($C826&gt;p_horizon,0,IFERROR(IF(AND(INDEX(TblClusters[Cluster],$B826)&lt;&gt;"",ISNUMBER(INDEX(TblClusters[CPU initial (vCPU)],$B826)),ISNUMBER(INDEX(TblClusters[CPU min (vCPU)],$B826)),OR(INDEX(TblClusters[Plateforme],$B826)="IKS",INDEX(TblClusters[Plateforme],$B826)="ROKS")),1,0),0))</f>
        <v>1</v>
      </c>
      <c r="E826" s="72">
        <f t="shared" si="206"/>
        <v>47150</v>
      </c>
      <c r="F826" s="19" t="str">
        <f>IF($D826=1,INDEX(TblClusters[Cluster],$B826),"")</f>
        <v>ku002i000246</v>
      </c>
      <c r="G826" s="19" t="str">
        <f>IF($D826=1,INDEX(TblClusters[Plateforme],$B826),"")</f>
        <v>IKS</v>
      </c>
      <c r="H826" s="19">
        <f>IF($D826=1,INDEX(TblClusters[vCPU par nœud],$B826),"")</f>
        <v>32</v>
      </c>
      <c r="I826" s="19">
        <f>IF($D826=1,INDEX(TblClusters[RAM par nœud (Go)],$B826),"")</f>
        <v>128</v>
      </c>
      <c r="J826" s="19">
        <f>IF($D826=1,INDEX(TblClusters[Workers min],$B826),"")</f>
        <v>3</v>
      </c>
      <c r="K826" s="73">
        <f>IF($D826=1,INDEX(TblClusters[Tarif par nœud],$B826),"")</f>
        <v>1062</v>
      </c>
      <c r="L826" s="19">
        <f>IF($D826=1,INDEX(TblClusters[CPU initial (vCPU)],$B826),"")</f>
        <v>480</v>
      </c>
      <c r="M826" s="19">
        <f>IF($D826=1,INDEX(TblClusters[RAM initiale (Go)],$B826),"")</f>
        <v>1920</v>
      </c>
      <c r="N826" s="19">
        <f>IF($D826=1,INDEX(TblClusters[CPU min (vCPU)],$B826),"")</f>
        <v>96</v>
      </c>
      <c r="O826" s="19">
        <f>IF($D826=1,INDEX(TblClusters[RAM min (Go)],$B826),"")</f>
        <v>384</v>
      </c>
      <c r="P826" s="19">
        <f>IF($D826&lt;&gt;1,"",IF($G826="ROKS",SUMIFS(TblApplications[Besoin ROKS CPU (vCPU)],TblApplications[Cluster ROKS cible],$F826,TblApplications[Action],"À migrer",TblApplications[Déjà incluse ROKS],"Non",TblApplications[Mois prov (calc)],"&lt;="&amp;$E826),SUMIFS(TblApplications[CPU IKS libérable (vCPU)],TblApplications[Cluster IKS source],$F826,TblApplications[Mois lib (calc)],"&lt;="&amp;$E826)))</f>
        <v>0</v>
      </c>
      <c r="Q826" s="19">
        <f>IF($D826&lt;&gt;1,"",IF($G826="ROKS",SUMIFS(TblApplications[Besoin ROKS RAM (Go)],TblApplications[Cluster ROKS cible],$F826,TblApplications[Action],"À migrer",TblApplications[Déjà incluse ROKS],"Non",TblApplications[Mois prov (calc)],"&lt;="&amp;$E826),SUMIFS(TblApplications[RAM IKS libérable (Go)],TblApplications[Cluster IKS source],$F826,TblApplications[Mois lib (calc)],"&lt;="&amp;$E826)))</f>
        <v>0</v>
      </c>
      <c r="R826" s="19">
        <f t="shared" si="207"/>
        <v>480</v>
      </c>
      <c r="S826" s="19">
        <f t="shared" si="208"/>
        <v>1920</v>
      </c>
      <c r="T826" s="19">
        <f t="shared" si="209"/>
        <v>15</v>
      </c>
      <c r="U826" s="19">
        <f t="shared" si="210"/>
        <v>480</v>
      </c>
      <c r="V826" s="19">
        <f t="shared" si="211"/>
        <v>1920</v>
      </c>
      <c r="W826" s="73">
        <f t="shared" si="212"/>
        <v>15930</v>
      </c>
      <c r="X826" s="19">
        <f>IF($D826&lt;&gt;1,"",IF($G826="ROKS",$R826,IF($AI826=1,0,MAX($N826,$L826-SUMIFS(TblApplications[CPU IKS libérable (vCPU)],TblApplications[Cluster IKS source],$F826,TblApplications[Action],"À migrer",TblApplications[Mois prov (calc)],"&lt;="&amp;$E826)-SUMIFS(TblApplications[CPU IKS libérable (vCPU)],TblApplications[Cluster IKS source],$F826,TblApplications[Action],"À décommissionner",TblApplications[Mois lib (calc)],"&lt;="&amp;$E826)))))</f>
        <v>480</v>
      </c>
      <c r="Y826" s="19">
        <f>IF($D826&lt;&gt;1,"",IF($G826="ROKS",$S826,IF($AI826=1,0,MAX($O826,$M826-SUMIFS(TblApplications[RAM IKS libérable (Go)],TblApplications[Cluster IKS source],$F826,TblApplications[Action],"À migrer",TblApplications[Mois prov (calc)],"&lt;="&amp;$E826)-SUMIFS(TblApplications[RAM IKS libérable (Go)],TblApplications[Cluster IKS source],$F826,TblApplications[Action],"À décommissionner",TblApplications[Mois lib (calc)],"&lt;="&amp;$E826)))))</f>
        <v>1920</v>
      </c>
      <c r="Z826" s="19">
        <f t="shared" si="213"/>
        <v>15</v>
      </c>
      <c r="AA826" s="73">
        <f t="shared" si="214"/>
        <v>15930</v>
      </c>
      <c r="AB826" s="19">
        <f t="shared" si="215"/>
        <v>15</v>
      </c>
      <c r="AC826" s="73">
        <f t="shared" si="216"/>
        <v>15930</v>
      </c>
      <c r="AD826" s="19">
        <f t="shared" si="217"/>
        <v>0</v>
      </c>
      <c r="AE826" s="19">
        <f t="shared" si="218"/>
        <v>0</v>
      </c>
      <c r="AF826" s="19" t="str">
        <f>IF($D826&lt;&gt;1,"",IF(INDEX(TblClusters[Environnement],$B826)="","(vide)",INDEX(TblClusters[Environnement],$B826)))</f>
        <v>NPRD</v>
      </c>
      <c r="AG826" s="19">
        <f t="shared" si="219"/>
        <v>672</v>
      </c>
      <c r="AH826" s="19">
        <f t="shared" si="220"/>
        <v>23.705357142857142</v>
      </c>
      <c r="AI826" s="19">
        <f>IF($D826&lt;&gt;1,"",IF(AND($G826="IKS",ISNUMBER(INDEX(TblClusters[Fermeture retenue],$B826))),IF($E826&gt;=INDEX(TblClusters[Fermeture retenue],$B826),1,0),0))</f>
        <v>0</v>
      </c>
    </row>
    <row r="827" spans="1:35" x14ac:dyDescent="0.2">
      <c r="A827" s="19">
        <v>822</v>
      </c>
      <c r="B827" s="19">
        <f t="shared" si="204"/>
        <v>23</v>
      </c>
      <c r="C827" s="19">
        <f t="shared" si="205"/>
        <v>30</v>
      </c>
      <c r="D827" s="19">
        <f>IF($C827&gt;p_horizon,0,IFERROR(IF(AND(INDEX(TblClusters[Cluster],$B827)&lt;&gt;"",ISNUMBER(INDEX(TblClusters[CPU initial (vCPU)],$B827)),ISNUMBER(INDEX(TblClusters[CPU min (vCPU)],$B827)),OR(INDEX(TblClusters[Plateforme],$B827)="IKS",INDEX(TblClusters[Plateforme],$B827)="ROKS")),1,0),0))</f>
        <v>1</v>
      </c>
      <c r="E827" s="72">
        <f t="shared" si="206"/>
        <v>47178</v>
      </c>
      <c r="F827" s="19" t="str">
        <f>IF($D827=1,INDEX(TblClusters[Cluster],$B827),"")</f>
        <v>ku002i000246</v>
      </c>
      <c r="G827" s="19" t="str">
        <f>IF($D827=1,INDEX(TblClusters[Plateforme],$B827),"")</f>
        <v>IKS</v>
      </c>
      <c r="H827" s="19">
        <f>IF($D827=1,INDEX(TblClusters[vCPU par nœud],$B827),"")</f>
        <v>32</v>
      </c>
      <c r="I827" s="19">
        <f>IF($D827=1,INDEX(TblClusters[RAM par nœud (Go)],$B827),"")</f>
        <v>128</v>
      </c>
      <c r="J827" s="19">
        <f>IF($D827=1,INDEX(TblClusters[Workers min],$B827),"")</f>
        <v>3</v>
      </c>
      <c r="K827" s="73">
        <f>IF($D827=1,INDEX(TblClusters[Tarif par nœud],$B827),"")</f>
        <v>1062</v>
      </c>
      <c r="L827" s="19">
        <f>IF($D827=1,INDEX(TblClusters[CPU initial (vCPU)],$B827),"")</f>
        <v>480</v>
      </c>
      <c r="M827" s="19">
        <f>IF($D827=1,INDEX(TblClusters[RAM initiale (Go)],$B827),"")</f>
        <v>1920</v>
      </c>
      <c r="N827" s="19">
        <f>IF($D827=1,INDEX(TblClusters[CPU min (vCPU)],$B827),"")</f>
        <v>96</v>
      </c>
      <c r="O827" s="19">
        <f>IF($D827=1,INDEX(TblClusters[RAM min (Go)],$B827),"")</f>
        <v>384</v>
      </c>
      <c r="P827" s="19">
        <f>IF($D827&lt;&gt;1,"",IF($G827="ROKS",SUMIFS(TblApplications[Besoin ROKS CPU (vCPU)],TblApplications[Cluster ROKS cible],$F827,TblApplications[Action],"À migrer",TblApplications[Déjà incluse ROKS],"Non",TblApplications[Mois prov (calc)],"&lt;="&amp;$E827),SUMIFS(TblApplications[CPU IKS libérable (vCPU)],TblApplications[Cluster IKS source],$F827,TblApplications[Mois lib (calc)],"&lt;="&amp;$E827)))</f>
        <v>0</v>
      </c>
      <c r="Q827" s="19">
        <f>IF($D827&lt;&gt;1,"",IF($G827="ROKS",SUMIFS(TblApplications[Besoin ROKS RAM (Go)],TblApplications[Cluster ROKS cible],$F827,TblApplications[Action],"À migrer",TblApplications[Déjà incluse ROKS],"Non",TblApplications[Mois prov (calc)],"&lt;="&amp;$E827),SUMIFS(TblApplications[RAM IKS libérable (Go)],TblApplications[Cluster IKS source],$F827,TblApplications[Mois lib (calc)],"&lt;="&amp;$E827)))</f>
        <v>0</v>
      </c>
      <c r="R827" s="19">
        <f t="shared" si="207"/>
        <v>480</v>
      </c>
      <c r="S827" s="19">
        <f t="shared" si="208"/>
        <v>1920</v>
      </c>
      <c r="T827" s="19">
        <f t="shared" si="209"/>
        <v>15</v>
      </c>
      <c r="U827" s="19">
        <f t="shared" si="210"/>
        <v>480</v>
      </c>
      <c r="V827" s="19">
        <f t="shared" si="211"/>
        <v>1920</v>
      </c>
      <c r="W827" s="73">
        <f t="shared" si="212"/>
        <v>15930</v>
      </c>
      <c r="X827" s="19">
        <f>IF($D827&lt;&gt;1,"",IF($G827="ROKS",$R827,IF($AI827=1,0,MAX($N827,$L827-SUMIFS(TblApplications[CPU IKS libérable (vCPU)],TblApplications[Cluster IKS source],$F827,TblApplications[Action],"À migrer",TblApplications[Mois prov (calc)],"&lt;="&amp;$E827)-SUMIFS(TblApplications[CPU IKS libérable (vCPU)],TblApplications[Cluster IKS source],$F827,TblApplications[Action],"À décommissionner",TblApplications[Mois lib (calc)],"&lt;="&amp;$E827)))))</f>
        <v>480</v>
      </c>
      <c r="Y827" s="19">
        <f>IF($D827&lt;&gt;1,"",IF($G827="ROKS",$S827,IF($AI827=1,0,MAX($O827,$M827-SUMIFS(TblApplications[RAM IKS libérable (Go)],TblApplications[Cluster IKS source],$F827,TblApplications[Action],"À migrer",TblApplications[Mois prov (calc)],"&lt;="&amp;$E827)-SUMIFS(TblApplications[RAM IKS libérable (Go)],TblApplications[Cluster IKS source],$F827,TblApplications[Action],"À décommissionner",TblApplications[Mois lib (calc)],"&lt;="&amp;$E827)))))</f>
        <v>1920</v>
      </c>
      <c r="Z827" s="19">
        <f t="shared" si="213"/>
        <v>15</v>
      </c>
      <c r="AA827" s="73">
        <f t="shared" si="214"/>
        <v>15930</v>
      </c>
      <c r="AB827" s="19">
        <f t="shared" si="215"/>
        <v>15</v>
      </c>
      <c r="AC827" s="73">
        <f t="shared" si="216"/>
        <v>15930</v>
      </c>
      <c r="AD827" s="19">
        <f t="shared" si="217"/>
        <v>0</v>
      </c>
      <c r="AE827" s="19">
        <f t="shared" si="218"/>
        <v>0</v>
      </c>
      <c r="AF827" s="19" t="str">
        <f>IF($D827&lt;&gt;1,"",IF(INDEX(TblClusters[Environnement],$B827)="","(vide)",INDEX(TblClusters[Environnement],$B827)))</f>
        <v>NPRD</v>
      </c>
      <c r="AG827" s="19">
        <f t="shared" si="219"/>
        <v>672</v>
      </c>
      <c r="AH827" s="19">
        <f t="shared" si="220"/>
        <v>23.705357142857142</v>
      </c>
      <c r="AI827" s="19">
        <f>IF($D827&lt;&gt;1,"",IF(AND($G827="IKS",ISNUMBER(INDEX(TblClusters[Fermeture retenue],$B827))),IF($E827&gt;=INDEX(TblClusters[Fermeture retenue],$B827),1,0),0))</f>
        <v>0</v>
      </c>
    </row>
    <row r="828" spans="1:35" x14ac:dyDescent="0.2">
      <c r="A828" s="19">
        <v>823</v>
      </c>
      <c r="B828" s="19">
        <f t="shared" si="204"/>
        <v>23</v>
      </c>
      <c r="C828" s="19">
        <f t="shared" si="205"/>
        <v>31</v>
      </c>
      <c r="D828" s="19">
        <f>IF($C828&gt;p_horizon,0,IFERROR(IF(AND(INDEX(TblClusters[Cluster],$B828)&lt;&gt;"",ISNUMBER(INDEX(TblClusters[CPU initial (vCPU)],$B828)),ISNUMBER(INDEX(TblClusters[CPU min (vCPU)],$B828)),OR(INDEX(TblClusters[Plateforme],$B828)="IKS",INDEX(TblClusters[Plateforme],$B828)="ROKS")),1,0),0))</f>
        <v>1</v>
      </c>
      <c r="E828" s="72">
        <f t="shared" si="206"/>
        <v>47209</v>
      </c>
      <c r="F828" s="19" t="str">
        <f>IF($D828=1,INDEX(TblClusters[Cluster],$B828),"")</f>
        <v>ku002i000246</v>
      </c>
      <c r="G828" s="19" t="str">
        <f>IF($D828=1,INDEX(TblClusters[Plateforme],$B828),"")</f>
        <v>IKS</v>
      </c>
      <c r="H828" s="19">
        <f>IF($D828=1,INDEX(TblClusters[vCPU par nœud],$B828),"")</f>
        <v>32</v>
      </c>
      <c r="I828" s="19">
        <f>IF($D828=1,INDEX(TblClusters[RAM par nœud (Go)],$B828),"")</f>
        <v>128</v>
      </c>
      <c r="J828" s="19">
        <f>IF($D828=1,INDEX(TblClusters[Workers min],$B828),"")</f>
        <v>3</v>
      </c>
      <c r="K828" s="73">
        <f>IF($D828=1,INDEX(TblClusters[Tarif par nœud],$B828),"")</f>
        <v>1062</v>
      </c>
      <c r="L828" s="19">
        <f>IF($D828=1,INDEX(TblClusters[CPU initial (vCPU)],$B828),"")</f>
        <v>480</v>
      </c>
      <c r="M828" s="19">
        <f>IF($D828=1,INDEX(TblClusters[RAM initiale (Go)],$B828),"")</f>
        <v>1920</v>
      </c>
      <c r="N828" s="19">
        <f>IF($D828=1,INDEX(TblClusters[CPU min (vCPU)],$B828),"")</f>
        <v>96</v>
      </c>
      <c r="O828" s="19">
        <f>IF($D828=1,INDEX(TblClusters[RAM min (Go)],$B828),"")</f>
        <v>384</v>
      </c>
      <c r="P828" s="19">
        <f>IF($D828&lt;&gt;1,"",IF($G828="ROKS",SUMIFS(TblApplications[Besoin ROKS CPU (vCPU)],TblApplications[Cluster ROKS cible],$F828,TblApplications[Action],"À migrer",TblApplications[Déjà incluse ROKS],"Non",TblApplications[Mois prov (calc)],"&lt;="&amp;$E828),SUMIFS(TblApplications[CPU IKS libérable (vCPU)],TblApplications[Cluster IKS source],$F828,TblApplications[Mois lib (calc)],"&lt;="&amp;$E828)))</f>
        <v>0</v>
      </c>
      <c r="Q828" s="19">
        <f>IF($D828&lt;&gt;1,"",IF($G828="ROKS",SUMIFS(TblApplications[Besoin ROKS RAM (Go)],TblApplications[Cluster ROKS cible],$F828,TblApplications[Action],"À migrer",TblApplications[Déjà incluse ROKS],"Non",TblApplications[Mois prov (calc)],"&lt;="&amp;$E828),SUMIFS(TblApplications[RAM IKS libérable (Go)],TblApplications[Cluster IKS source],$F828,TblApplications[Mois lib (calc)],"&lt;="&amp;$E828)))</f>
        <v>0</v>
      </c>
      <c r="R828" s="19">
        <f t="shared" si="207"/>
        <v>480</v>
      </c>
      <c r="S828" s="19">
        <f t="shared" si="208"/>
        <v>1920</v>
      </c>
      <c r="T828" s="19">
        <f t="shared" si="209"/>
        <v>15</v>
      </c>
      <c r="U828" s="19">
        <f t="shared" si="210"/>
        <v>480</v>
      </c>
      <c r="V828" s="19">
        <f t="shared" si="211"/>
        <v>1920</v>
      </c>
      <c r="W828" s="73">
        <f t="shared" si="212"/>
        <v>15930</v>
      </c>
      <c r="X828" s="19">
        <f>IF($D828&lt;&gt;1,"",IF($G828="ROKS",$R828,IF($AI828=1,0,MAX($N828,$L828-SUMIFS(TblApplications[CPU IKS libérable (vCPU)],TblApplications[Cluster IKS source],$F828,TblApplications[Action],"À migrer",TblApplications[Mois prov (calc)],"&lt;="&amp;$E828)-SUMIFS(TblApplications[CPU IKS libérable (vCPU)],TblApplications[Cluster IKS source],$F828,TblApplications[Action],"À décommissionner",TblApplications[Mois lib (calc)],"&lt;="&amp;$E828)))))</f>
        <v>480</v>
      </c>
      <c r="Y828" s="19">
        <f>IF($D828&lt;&gt;1,"",IF($G828="ROKS",$S828,IF($AI828=1,0,MAX($O828,$M828-SUMIFS(TblApplications[RAM IKS libérable (Go)],TblApplications[Cluster IKS source],$F828,TblApplications[Action],"À migrer",TblApplications[Mois prov (calc)],"&lt;="&amp;$E828)-SUMIFS(TblApplications[RAM IKS libérable (Go)],TblApplications[Cluster IKS source],$F828,TblApplications[Action],"À décommissionner",TblApplications[Mois lib (calc)],"&lt;="&amp;$E828)))))</f>
        <v>1920</v>
      </c>
      <c r="Z828" s="19">
        <f t="shared" si="213"/>
        <v>15</v>
      </c>
      <c r="AA828" s="73">
        <f t="shared" si="214"/>
        <v>15930</v>
      </c>
      <c r="AB828" s="19">
        <f t="shared" si="215"/>
        <v>15</v>
      </c>
      <c r="AC828" s="73">
        <f t="shared" si="216"/>
        <v>15930</v>
      </c>
      <c r="AD828" s="19">
        <f t="shared" si="217"/>
        <v>0</v>
      </c>
      <c r="AE828" s="19">
        <f t="shared" si="218"/>
        <v>0</v>
      </c>
      <c r="AF828" s="19" t="str">
        <f>IF($D828&lt;&gt;1,"",IF(INDEX(TblClusters[Environnement],$B828)="","(vide)",INDEX(TblClusters[Environnement],$B828)))</f>
        <v>NPRD</v>
      </c>
      <c r="AG828" s="19">
        <f t="shared" si="219"/>
        <v>672</v>
      </c>
      <c r="AH828" s="19">
        <f t="shared" si="220"/>
        <v>23.705357142857142</v>
      </c>
      <c r="AI828" s="19">
        <f>IF($D828&lt;&gt;1,"",IF(AND($G828="IKS",ISNUMBER(INDEX(TblClusters[Fermeture retenue],$B828))),IF($E828&gt;=INDEX(TblClusters[Fermeture retenue],$B828),1,0),0))</f>
        <v>0</v>
      </c>
    </row>
    <row r="829" spans="1:35" x14ac:dyDescent="0.2">
      <c r="A829" s="19">
        <v>824</v>
      </c>
      <c r="B829" s="19">
        <f t="shared" si="204"/>
        <v>23</v>
      </c>
      <c r="C829" s="19">
        <f t="shared" si="205"/>
        <v>32</v>
      </c>
      <c r="D829" s="19">
        <f>IF($C829&gt;p_horizon,0,IFERROR(IF(AND(INDEX(TblClusters[Cluster],$B829)&lt;&gt;"",ISNUMBER(INDEX(TblClusters[CPU initial (vCPU)],$B829)),ISNUMBER(INDEX(TblClusters[CPU min (vCPU)],$B829)),OR(INDEX(TblClusters[Plateforme],$B829)="IKS",INDEX(TblClusters[Plateforme],$B829)="ROKS")),1,0),0))</f>
        <v>1</v>
      </c>
      <c r="E829" s="72">
        <f t="shared" si="206"/>
        <v>47239</v>
      </c>
      <c r="F829" s="19" t="str">
        <f>IF($D829=1,INDEX(TblClusters[Cluster],$B829),"")</f>
        <v>ku002i000246</v>
      </c>
      <c r="G829" s="19" t="str">
        <f>IF($D829=1,INDEX(TblClusters[Plateforme],$B829),"")</f>
        <v>IKS</v>
      </c>
      <c r="H829" s="19">
        <f>IF($D829=1,INDEX(TblClusters[vCPU par nœud],$B829),"")</f>
        <v>32</v>
      </c>
      <c r="I829" s="19">
        <f>IF($D829=1,INDEX(TblClusters[RAM par nœud (Go)],$B829),"")</f>
        <v>128</v>
      </c>
      <c r="J829" s="19">
        <f>IF($D829=1,INDEX(TblClusters[Workers min],$B829),"")</f>
        <v>3</v>
      </c>
      <c r="K829" s="73">
        <f>IF($D829=1,INDEX(TblClusters[Tarif par nœud],$B829),"")</f>
        <v>1062</v>
      </c>
      <c r="L829" s="19">
        <f>IF($D829=1,INDEX(TblClusters[CPU initial (vCPU)],$B829),"")</f>
        <v>480</v>
      </c>
      <c r="M829" s="19">
        <f>IF($D829=1,INDEX(TblClusters[RAM initiale (Go)],$B829),"")</f>
        <v>1920</v>
      </c>
      <c r="N829" s="19">
        <f>IF($D829=1,INDEX(TblClusters[CPU min (vCPU)],$B829),"")</f>
        <v>96</v>
      </c>
      <c r="O829" s="19">
        <f>IF($D829=1,INDEX(TblClusters[RAM min (Go)],$B829),"")</f>
        <v>384</v>
      </c>
      <c r="P829" s="19">
        <f>IF($D829&lt;&gt;1,"",IF($G829="ROKS",SUMIFS(TblApplications[Besoin ROKS CPU (vCPU)],TblApplications[Cluster ROKS cible],$F829,TblApplications[Action],"À migrer",TblApplications[Déjà incluse ROKS],"Non",TblApplications[Mois prov (calc)],"&lt;="&amp;$E829),SUMIFS(TblApplications[CPU IKS libérable (vCPU)],TblApplications[Cluster IKS source],$F829,TblApplications[Mois lib (calc)],"&lt;="&amp;$E829)))</f>
        <v>0</v>
      </c>
      <c r="Q829" s="19">
        <f>IF($D829&lt;&gt;1,"",IF($G829="ROKS",SUMIFS(TblApplications[Besoin ROKS RAM (Go)],TblApplications[Cluster ROKS cible],$F829,TblApplications[Action],"À migrer",TblApplications[Déjà incluse ROKS],"Non",TblApplications[Mois prov (calc)],"&lt;="&amp;$E829),SUMIFS(TblApplications[RAM IKS libérable (Go)],TblApplications[Cluster IKS source],$F829,TblApplications[Mois lib (calc)],"&lt;="&amp;$E829)))</f>
        <v>0</v>
      </c>
      <c r="R829" s="19">
        <f t="shared" si="207"/>
        <v>480</v>
      </c>
      <c r="S829" s="19">
        <f t="shared" si="208"/>
        <v>1920</v>
      </c>
      <c r="T829" s="19">
        <f t="shared" si="209"/>
        <v>15</v>
      </c>
      <c r="U829" s="19">
        <f t="shared" si="210"/>
        <v>480</v>
      </c>
      <c r="V829" s="19">
        <f t="shared" si="211"/>
        <v>1920</v>
      </c>
      <c r="W829" s="73">
        <f t="shared" si="212"/>
        <v>15930</v>
      </c>
      <c r="X829" s="19">
        <f>IF($D829&lt;&gt;1,"",IF($G829="ROKS",$R829,IF($AI829=1,0,MAX($N829,$L829-SUMIFS(TblApplications[CPU IKS libérable (vCPU)],TblApplications[Cluster IKS source],$F829,TblApplications[Action],"À migrer",TblApplications[Mois prov (calc)],"&lt;="&amp;$E829)-SUMIFS(TblApplications[CPU IKS libérable (vCPU)],TblApplications[Cluster IKS source],$F829,TblApplications[Action],"À décommissionner",TblApplications[Mois lib (calc)],"&lt;="&amp;$E829)))))</f>
        <v>480</v>
      </c>
      <c r="Y829" s="19">
        <f>IF($D829&lt;&gt;1,"",IF($G829="ROKS",$S829,IF($AI829=1,0,MAX($O829,$M829-SUMIFS(TblApplications[RAM IKS libérable (Go)],TblApplications[Cluster IKS source],$F829,TblApplications[Action],"À migrer",TblApplications[Mois prov (calc)],"&lt;="&amp;$E829)-SUMIFS(TblApplications[RAM IKS libérable (Go)],TblApplications[Cluster IKS source],$F829,TblApplications[Action],"À décommissionner",TblApplications[Mois lib (calc)],"&lt;="&amp;$E829)))))</f>
        <v>1920</v>
      </c>
      <c r="Z829" s="19">
        <f t="shared" si="213"/>
        <v>15</v>
      </c>
      <c r="AA829" s="73">
        <f t="shared" si="214"/>
        <v>15930</v>
      </c>
      <c r="AB829" s="19">
        <f t="shared" si="215"/>
        <v>15</v>
      </c>
      <c r="AC829" s="73">
        <f t="shared" si="216"/>
        <v>15930</v>
      </c>
      <c r="AD829" s="19">
        <f t="shared" si="217"/>
        <v>0</v>
      </c>
      <c r="AE829" s="19">
        <f t="shared" si="218"/>
        <v>0</v>
      </c>
      <c r="AF829" s="19" t="str">
        <f>IF($D829&lt;&gt;1,"",IF(INDEX(TblClusters[Environnement],$B829)="","(vide)",INDEX(TblClusters[Environnement],$B829)))</f>
        <v>NPRD</v>
      </c>
      <c r="AG829" s="19">
        <f t="shared" si="219"/>
        <v>672</v>
      </c>
      <c r="AH829" s="19">
        <f t="shared" si="220"/>
        <v>23.705357142857142</v>
      </c>
      <c r="AI829" s="19">
        <f>IF($D829&lt;&gt;1,"",IF(AND($G829="IKS",ISNUMBER(INDEX(TblClusters[Fermeture retenue],$B829))),IF($E829&gt;=INDEX(TblClusters[Fermeture retenue],$B829),1,0),0))</f>
        <v>0</v>
      </c>
    </row>
    <row r="830" spans="1:35" x14ac:dyDescent="0.2">
      <c r="A830" s="19">
        <v>825</v>
      </c>
      <c r="B830" s="19">
        <f t="shared" si="204"/>
        <v>23</v>
      </c>
      <c r="C830" s="19">
        <f t="shared" si="205"/>
        <v>33</v>
      </c>
      <c r="D830" s="19">
        <f>IF($C830&gt;p_horizon,0,IFERROR(IF(AND(INDEX(TblClusters[Cluster],$B830)&lt;&gt;"",ISNUMBER(INDEX(TblClusters[CPU initial (vCPU)],$B830)),ISNUMBER(INDEX(TblClusters[CPU min (vCPU)],$B830)),OR(INDEX(TblClusters[Plateforme],$B830)="IKS",INDEX(TblClusters[Plateforme],$B830)="ROKS")),1,0),0))</f>
        <v>1</v>
      </c>
      <c r="E830" s="72">
        <f t="shared" si="206"/>
        <v>47270</v>
      </c>
      <c r="F830" s="19" t="str">
        <f>IF($D830=1,INDEX(TblClusters[Cluster],$B830),"")</f>
        <v>ku002i000246</v>
      </c>
      <c r="G830" s="19" t="str">
        <f>IF($D830=1,INDEX(TblClusters[Plateforme],$B830),"")</f>
        <v>IKS</v>
      </c>
      <c r="H830" s="19">
        <f>IF($D830=1,INDEX(TblClusters[vCPU par nœud],$B830),"")</f>
        <v>32</v>
      </c>
      <c r="I830" s="19">
        <f>IF($D830=1,INDEX(TblClusters[RAM par nœud (Go)],$B830),"")</f>
        <v>128</v>
      </c>
      <c r="J830" s="19">
        <f>IF($D830=1,INDEX(TblClusters[Workers min],$B830),"")</f>
        <v>3</v>
      </c>
      <c r="K830" s="73">
        <f>IF($D830=1,INDEX(TblClusters[Tarif par nœud],$B830),"")</f>
        <v>1062</v>
      </c>
      <c r="L830" s="19">
        <f>IF($D830=1,INDEX(TblClusters[CPU initial (vCPU)],$B830),"")</f>
        <v>480</v>
      </c>
      <c r="M830" s="19">
        <f>IF($D830=1,INDEX(TblClusters[RAM initiale (Go)],$B830),"")</f>
        <v>1920</v>
      </c>
      <c r="N830" s="19">
        <f>IF($D830=1,INDEX(TblClusters[CPU min (vCPU)],$B830),"")</f>
        <v>96</v>
      </c>
      <c r="O830" s="19">
        <f>IF($D830=1,INDEX(TblClusters[RAM min (Go)],$B830),"")</f>
        <v>384</v>
      </c>
      <c r="P830" s="19">
        <f>IF($D830&lt;&gt;1,"",IF($G830="ROKS",SUMIFS(TblApplications[Besoin ROKS CPU (vCPU)],TblApplications[Cluster ROKS cible],$F830,TblApplications[Action],"À migrer",TblApplications[Déjà incluse ROKS],"Non",TblApplications[Mois prov (calc)],"&lt;="&amp;$E830),SUMIFS(TblApplications[CPU IKS libérable (vCPU)],TblApplications[Cluster IKS source],$F830,TblApplications[Mois lib (calc)],"&lt;="&amp;$E830)))</f>
        <v>0</v>
      </c>
      <c r="Q830" s="19">
        <f>IF($D830&lt;&gt;1,"",IF($G830="ROKS",SUMIFS(TblApplications[Besoin ROKS RAM (Go)],TblApplications[Cluster ROKS cible],$F830,TblApplications[Action],"À migrer",TblApplications[Déjà incluse ROKS],"Non",TblApplications[Mois prov (calc)],"&lt;="&amp;$E830),SUMIFS(TblApplications[RAM IKS libérable (Go)],TblApplications[Cluster IKS source],$F830,TblApplications[Mois lib (calc)],"&lt;="&amp;$E830)))</f>
        <v>0</v>
      </c>
      <c r="R830" s="19">
        <f t="shared" si="207"/>
        <v>480</v>
      </c>
      <c r="S830" s="19">
        <f t="shared" si="208"/>
        <v>1920</v>
      </c>
      <c r="T830" s="19">
        <f t="shared" si="209"/>
        <v>15</v>
      </c>
      <c r="U830" s="19">
        <f t="shared" si="210"/>
        <v>480</v>
      </c>
      <c r="V830" s="19">
        <f t="shared" si="211"/>
        <v>1920</v>
      </c>
      <c r="W830" s="73">
        <f t="shared" si="212"/>
        <v>15930</v>
      </c>
      <c r="X830" s="19">
        <f>IF($D830&lt;&gt;1,"",IF($G830="ROKS",$R830,IF($AI830=1,0,MAX($N830,$L830-SUMIFS(TblApplications[CPU IKS libérable (vCPU)],TblApplications[Cluster IKS source],$F830,TblApplications[Action],"À migrer",TblApplications[Mois prov (calc)],"&lt;="&amp;$E830)-SUMIFS(TblApplications[CPU IKS libérable (vCPU)],TblApplications[Cluster IKS source],$F830,TblApplications[Action],"À décommissionner",TblApplications[Mois lib (calc)],"&lt;="&amp;$E830)))))</f>
        <v>480</v>
      </c>
      <c r="Y830" s="19">
        <f>IF($D830&lt;&gt;1,"",IF($G830="ROKS",$S830,IF($AI830=1,0,MAX($O830,$M830-SUMIFS(TblApplications[RAM IKS libérable (Go)],TblApplications[Cluster IKS source],$F830,TblApplications[Action],"À migrer",TblApplications[Mois prov (calc)],"&lt;="&amp;$E830)-SUMIFS(TblApplications[RAM IKS libérable (Go)],TblApplications[Cluster IKS source],$F830,TblApplications[Action],"À décommissionner",TblApplications[Mois lib (calc)],"&lt;="&amp;$E830)))))</f>
        <v>1920</v>
      </c>
      <c r="Z830" s="19">
        <f t="shared" si="213"/>
        <v>15</v>
      </c>
      <c r="AA830" s="73">
        <f t="shared" si="214"/>
        <v>15930</v>
      </c>
      <c r="AB830" s="19">
        <f t="shared" si="215"/>
        <v>15</v>
      </c>
      <c r="AC830" s="73">
        <f t="shared" si="216"/>
        <v>15930</v>
      </c>
      <c r="AD830" s="19">
        <f t="shared" si="217"/>
        <v>0</v>
      </c>
      <c r="AE830" s="19">
        <f t="shared" si="218"/>
        <v>0</v>
      </c>
      <c r="AF830" s="19" t="str">
        <f>IF($D830&lt;&gt;1,"",IF(INDEX(TblClusters[Environnement],$B830)="","(vide)",INDEX(TblClusters[Environnement],$B830)))</f>
        <v>NPRD</v>
      </c>
      <c r="AG830" s="19">
        <f t="shared" si="219"/>
        <v>672</v>
      </c>
      <c r="AH830" s="19">
        <f t="shared" si="220"/>
        <v>23.705357142857142</v>
      </c>
      <c r="AI830" s="19">
        <f>IF($D830&lt;&gt;1,"",IF(AND($G830="IKS",ISNUMBER(INDEX(TblClusters[Fermeture retenue],$B830))),IF($E830&gt;=INDEX(TblClusters[Fermeture retenue],$B830),1,0),0))</f>
        <v>0</v>
      </c>
    </row>
    <row r="831" spans="1:35" x14ac:dyDescent="0.2">
      <c r="A831" s="19">
        <v>826</v>
      </c>
      <c r="B831" s="19">
        <f t="shared" si="204"/>
        <v>23</v>
      </c>
      <c r="C831" s="19">
        <f t="shared" si="205"/>
        <v>34</v>
      </c>
      <c r="D831" s="19">
        <f>IF($C831&gt;p_horizon,0,IFERROR(IF(AND(INDEX(TblClusters[Cluster],$B831)&lt;&gt;"",ISNUMBER(INDEX(TblClusters[CPU initial (vCPU)],$B831)),ISNUMBER(INDEX(TblClusters[CPU min (vCPU)],$B831)),OR(INDEX(TblClusters[Plateforme],$B831)="IKS",INDEX(TblClusters[Plateforme],$B831)="ROKS")),1,0),0))</f>
        <v>1</v>
      </c>
      <c r="E831" s="72">
        <f t="shared" si="206"/>
        <v>47300</v>
      </c>
      <c r="F831" s="19" t="str">
        <f>IF($D831=1,INDEX(TblClusters[Cluster],$B831),"")</f>
        <v>ku002i000246</v>
      </c>
      <c r="G831" s="19" t="str">
        <f>IF($D831=1,INDEX(TblClusters[Plateforme],$B831),"")</f>
        <v>IKS</v>
      </c>
      <c r="H831" s="19">
        <f>IF($D831=1,INDEX(TblClusters[vCPU par nœud],$B831),"")</f>
        <v>32</v>
      </c>
      <c r="I831" s="19">
        <f>IF($D831=1,INDEX(TblClusters[RAM par nœud (Go)],$B831),"")</f>
        <v>128</v>
      </c>
      <c r="J831" s="19">
        <f>IF($D831=1,INDEX(TblClusters[Workers min],$B831),"")</f>
        <v>3</v>
      </c>
      <c r="K831" s="73">
        <f>IF($D831=1,INDEX(TblClusters[Tarif par nœud],$B831),"")</f>
        <v>1062</v>
      </c>
      <c r="L831" s="19">
        <f>IF($D831=1,INDEX(TblClusters[CPU initial (vCPU)],$B831),"")</f>
        <v>480</v>
      </c>
      <c r="M831" s="19">
        <f>IF($D831=1,INDEX(TblClusters[RAM initiale (Go)],$B831),"")</f>
        <v>1920</v>
      </c>
      <c r="N831" s="19">
        <f>IF($D831=1,INDEX(TblClusters[CPU min (vCPU)],$B831),"")</f>
        <v>96</v>
      </c>
      <c r="O831" s="19">
        <f>IF($D831=1,INDEX(TblClusters[RAM min (Go)],$B831),"")</f>
        <v>384</v>
      </c>
      <c r="P831" s="19">
        <f>IF($D831&lt;&gt;1,"",IF($G831="ROKS",SUMIFS(TblApplications[Besoin ROKS CPU (vCPU)],TblApplications[Cluster ROKS cible],$F831,TblApplications[Action],"À migrer",TblApplications[Déjà incluse ROKS],"Non",TblApplications[Mois prov (calc)],"&lt;="&amp;$E831),SUMIFS(TblApplications[CPU IKS libérable (vCPU)],TblApplications[Cluster IKS source],$F831,TblApplications[Mois lib (calc)],"&lt;="&amp;$E831)))</f>
        <v>0</v>
      </c>
      <c r="Q831" s="19">
        <f>IF($D831&lt;&gt;1,"",IF($G831="ROKS",SUMIFS(TblApplications[Besoin ROKS RAM (Go)],TblApplications[Cluster ROKS cible],$F831,TblApplications[Action],"À migrer",TblApplications[Déjà incluse ROKS],"Non",TblApplications[Mois prov (calc)],"&lt;="&amp;$E831),SUMIFS(TblApplications[RAM IKS libérable (Go)],TblApplications[Cluster IKS source],$F831,TblApplications[Mois lib (calc)],"&lt;="&amp;$E831)))</f>
        <v>0</v>
      </c>
      <c r="R831" s="19">
        <f t="shared" si="207"/>
        <v>480</v>
      </c>
      <c r="S831" s="19">
        <f t="shared" si="208"/>
        <v>1920</v>
      </c>
      <c r="T831" s="19">
        <f t="shared" si="209"/>
        <v>15</v>
      </c>
      <c r="U831" s="19">
        <f t="shared" si="210"/>
        <v>480</v>
      </c>
      <c r="V831" s="19">
        <f t="shared" si="211"/>
        <v>1920</v>
      </c>
      <c r="W831" s="73">
        <f t="shared" si="212"/>
        <v>15930</v>
      </c>
      <c r="X831" s="19">
        <f>IF($D831&lt;&gt;1,"",IF($G831="ROKS",$R831,IF($AI831=1,0,MAX($N831,$L831-SUMIFS(TblApplications[CPU IKS libérable (vCPU)],TblApplications[Cluster IKS source],$F831,TblApplications[Action],"À migrer",TblApplications[Mois prov (calc)],"&lt;="&amp;$E831)-SUMIFS(TblApplications[CPU IKS libérable (vCPU)],TblApplications[Cluster IKS source],$F831,TblApplications[Action],"À décommissionner",TblApplications[Mois lib (calc)],"&lt;="&amp;$E831)))))</f>
        <v>480</v>
      </c>
      <c r="Y831" s="19">
        <f>IF($D831&lt;&gt;1,"",IF($G831="ROKS",$S831,IF($AI831=1,0,MAX($O831,$M831-SUMIFS(TblApplications[RAM IKS libérable (Go)],TblApplications[Cluster IKS source],$F831,TblApplications[Action],"À migrer",TblApplications[Mois prov (calc)],"&lt;="&amp;$E831)-SUMIFS(TblApplications[RAM IKS libérable (Go)],TblApplications[Cluster IKS source],$F831,TblApplications[Action],"À décommissionner",TblApplications[Mois lib (calc)],"&lt;="&amp;$E831)))))</f>
        <v>1920</v>
      </c>
      <c r="Z831" s="19">
        <f t="shared" si="213"/>
        <v>15</v>
      </c>
      <c r="AA831" s="73">
        <f t="shared" si="214"/>
        <v>15930</v>
      </c>
      <c r="AB831" s="19">
        <f t="shared" si="215"/>
        <v>15</v>
      </c>
      <c r="AC831" s="73">
        <f t="shared" si="216"/>
        <v>15930</v>
      </c>
      <c r="AD831" s="19">
        <f t="shared" si="217"/>
        <v>0</v>
      </c>
      <c r="AE831" s="19">
        <f t="shared" si="218"/>
        <v>0</v>
      </c>
      <c r="AF831" s="19" t="str">
        <f>IF($D831&lt;&gt;1,"",IF(INDEX(TblClusters[Environnement],$B831)="","(vide)",INDEX(TblClusters[Environnement],$B831)))</f>
        <v>NPRD</v>
      </c>
      <c r="AG831" s="19">
        <f t="shared" si="219"/>
        <v>672</v>
      </c>
      <c r="AH831" s="19">
        <f t="shared" si="220"/>
        <v>23.705357142857142</v>
      </c>
      <c r="AI831" s="19">
        <f>IF($D831&lt;&gt;1,"",IF(AND($G831="IKS",ISNUMBER(INDEX(TblClusters[Fermeture retenue],$B831))),IF($E831&gt;=INDEX(TblClusters[Fermeture retenue],$B831),1,0),0))</f>
        <v>0</v>
      </c>
    </row>
    <row r="832" spans="1:35" x14ac:dyDescent="0.2">
      <c r="A832" s="19">
        <v>827</v>
      </c>
      <c r="B832" s="19">
        <f t="shared" si="204"/>
        <v>23</v>
      </c>
      <c r="C832" s="19">
        <f t="shared" si="205"/>
        <v>35</v>
      </c>
      <c r="D832" s="19">
        <f>IF($C832&gt;p_horizon,0,IFERROR(IF(AND(INDEX(TblClusters[Cluster],$B832)&lt;&gt;"",ISNUMBER(INDEX(TblClusters[CPU initial (vCPU)],$B832)),ISNUMBER(INDEX(TblClusters[CPU min (vCPU)],$B832)),OR(INDEX(TblClusters[Plateforme],$B832)="IKS",INDEX(TblClusters[Plateforme],$B832)="ROKS")),1,0),0))</f>
        <v>1</v>
      </c>
      <c r="E832" s="72">
        <f t="shared" si="206"/>
        <v>47331</v>
      </c>
      <c r="F832" s="19" t="str">
        <f>IF($D832=1,INDEX(TblClusters[Cluster],$B832),"")</f>
        <v>ku002i000246</v>
      </c>
      <c r="G832" s="19" t="str">
        <f>IF($D832=1,INDEX(TblClusters[Plateforme],$B832),"")</f>
        <v>IKS</v>
      </c>
      <c r="H832" s="19">
        <f>IF($D832=1,INDEX(TblClusters[vCPU par nœud],$B832),"")</f>
        <v>32</v>
      </c>
      <c r="I832" s="19">
        <f>IF($D832=1,INDEX(TblClusters[RAM par nœud (Go)],$B832),"")</f>
        <v>128</v>
      </c>
      <c r="J832" s="19">
        <f>IF($D832=1,INDEX(TblClusters[Workers min],$B832),"")</f>
        <v>3</v>
      </c>
      <c r="K832" s="73">
        <f>IF($D832=1,INDEX(TblClusters[Tarif par nœud],$B832),"")</f>
        <v>1062</v>
      </c>
      <c r="L832" s="19">
        <f>IF($D832=1,INDEX(TblClusters[CPU initial (vCPU)],$B832),"")</f>
        <v>480</v>
      </c>
      <c r="M832" s="19">
        <f>IF($D832=1,INDEX(TblClusters[RAM initiale (Go)],$B832),"")</f>
        <v>1920</v>
      </c>
      <c r="N832" s="19">
        <f>IF($D832=1,INDEX(TblClusters[CPU min (vCPU)],$B832),"")</f>
        <v>96</v>
      </c>
      <c r="O832" s="19">
        <f>IF($D832=1,INDEX(TblClusters[RAM min (Go)],$B832),"")</f>
        <v>384</v>
      </c>
      <c r="P832" s="19">
        <f>IF($D832&lt;&gt;1,"",IF($G832="ROKS",SUMIFS(TblApplications[Besoin ROKS CPU (vCPU)],TblApplications[Cluster ROKS cible],$F832,TblApplications[Action],"À migrer",TblApplications[Déjà incluse ROKS],"Non",TblApplications[Mois prov (calc)],"&lt;="&amp;$E832),SUMIFS(TblApplications[CPU IKS libérable (vCPU)],TblApplications[Cluster IKS source],$F832,TblApplications[Mois lib (calc)],"&lt;="&amp;$E832)))</f>
        <v>0</v>
      </c>
      <c r="Q832" s="19">
        <f>IF($D832&lt;&gt;1,"",IF($G832="ROKS",SUMIFS(TblApplications[Besoin ROKS RAM (Go)],TblApplications[Cluster ROKS cible],$F832,TblApplications[Action],"À migrer",TblApplications[Déjà incluse ROKS],"Non",TblApplications[Mois prov (calc)],"&lt;="&amp;$E832),SUMIFS(TblApplications[RAM IKS libérable (Go)],TblApplications[Cluster IKS source],$F832,TblApplications[Mois lib (calc)],"&lt;="&amp;$E832)))</f>
        <v>0</v>
      </c>
      <c r="R832" s="19">
        <f t="shared" si="207"/>
        <v>480</v>
      </c>
      <c r="S832" s="19">
        <f t="shared" si="208"/>
        <v>1920</v>
      </c>
      <c r="T832" s="19">
        <f t="shared" si="209"/>
        <v>15</v>
      </c>
      <c r="U832" s="19">
        <f t="shared" si="210"/>
        <v>480</v>
      </c>
      <c r="V832" s="19">
        <f t="shared" si="211"/>
        <v>1920</v>
      </c>
      <c r="W832" s="73">
        <f t="shared" si="212"/>
        <v>15930</v>
      </c>
      <c r="X832" s="19">
        <f>IF($D832&lt;&gt;1,"",IF($G832="ROKS",$R832,IF($AI832=1,0,MAX($N832,$L832-SUMIFS(TblApplications[CPU IKS libérable (vCPU)],TblApplications[Cluster IKS source],$F832,TblApplications[Action],"À migrer",TblApplications[Mois prov (calc)],"&lt;="&amp;$E832)-SUMIFS(TblApplications[CPU IKS libérable (vCPU)],TblApplications[Cluster IKS source],$F832,TblApplications[Action],"À décommissionner",TblApplications[Mois lib (calc)],"&lt;="&amp;$E832)))))</f>
        <v>480</v>
      </c>
      <c r="Y832" s="19">
        <f>IF($D832&lt;&gt;1,"",IF($G832="ROKS",$S832,IF($AI832=1,0,MAX($O832,$M832-SUMIFS(TblApplications[RAM IKS libérable (Go)],TblApplications[Cluster IKS source],$F832,TblApplications[Action],"À migrer",TblApplications[Mois prov (calc)],"&lt;="&amp;$E832)-SUMIFS(TblApplications[RAM IKS libérable (Go)],TblApplications[Cluster IKS source],$F832,TblApplications[Action],"À décommissionner",TblApplications[Mois lib (calc)],"&lt;="&amp;$E832)))))</f>
        <v>1920</v>
      </c>
      <c r="Z832" s="19">
        <f t="shared" si="213"/>
        <v>15</v>
      </c>
      <c r="AA832" s="73">
        <f t="shared" si="214"/>
        <v>15930</v>
      </c>
      <c r="AB832" s="19">
        <f t="shared" si="215"/>
        <v>15</v>
      </c>
      <c r="AC832" s="73">
        <f t="shared" si="216"/>
        <v>15930</v>
      </c>
      <c r="AD832" s="19">
        <f t="shared" si="217"/>
        <v>0</v>
      </c>
      <c r="AE832" s="19">
        <f t="shared" si="218"/>
        <v>0</v>
      </c>
      <c r="AF832" s="19" t="str">
        <f>IF($D832&lt;&gt;1,"",IF(INDEX(TblClusters[Environnement],$B832)="","(vide)",INDEX(TblClusters[Environnement],$B832)))</f>
        <v>NPRD</v>
      </c>
      <c r="AG832" s="19">
        <f t="shared" si="219"/>
        <v>672</v>
      </c>
      <c r="AH832" s="19">
        <f t="shared" si="220"/>
        <v>23.705357142857142</v>
      </c>
      <c r="AI832" s="19">
        <f>IF($D832&lt;&gt;1,"",IF(AND($G832="IKS",ISNUMBER(INDEX(TblClusters[Fermeture retenue],$B832))),IF($E832&gt;=INDEX(TblClusters[Fermeture retenue],$B832),1,0),0))</f>
        <v>0</v>
      </c>
    </row>
    <row r="833" spans="1:35" x14ac:dyDescent="0.2">
      <c r="A833" s="19">
        <v>828</v>
      </c>
      <c r="B833" s="19">
        <f t="shared" si="204"/>
        <v>23</v>
      </c>
      <c r="C833" s="19">
        <f t="shared" si="205"/>
        <v>36</v>
      </c>
      <c r="D833" s="19">
        <f>IF($C833&gt;p_horizon,0,IFERROR(IF(AND(INDEX(TblClusters[Cluster],$B833)&lt;&gt;"",ISNUMBER(INDEX(TblClusters[CPU initial (vCPU)],$B833)),ISNUMBER(INDEX(TblClusters[CPU min (vCPU)],$B833)),OR(INDEX(TblClusters[Plateforme],$B833)="IKS",INDEX(TblClusters[Plateforme],$B833)="ROKS")),1,0),0))</f>
        <v>1</v>
      </c>
      <c r="E833" s="72">
        <f t="shared" si="206"/>
        <v>47362</v>
      </c>
      <c r="F833" s="19" t="str">
        <f>IF($D833=1,INDEX(TblClusters[Cluster],$B833),"")</f>
        <v>ku002i000246</v>
      </c>
      <c r="G833" s="19" t="str">
        <f>IF($D833=1,INDEX(TblClusters[Plateforme],$B833),"")</f>
        <v>IKS</v>
      </c>
      <c r="H833" s="19">
        <f>IF($D833=1,INDEX(TblClusters[vCPU par nœud],$B833),"")</f>
        <v>32</v>
      </c>
      <c r="I833" s="19">
        <f>IF($D833=1,INDEX(TblClusters[RAM par nœud (Go)],$B833),"")</f>
        <v>128</v>
      </c>
      <c r="J833" s="19">
        <f>IF($D833=1,INDEX(TblClusters[Workers min],$B833),"")</f>
        <v>3</v>
      </c>
      <c r="K833" s="73">
        <f>IF($D833=1,INDEX(TblClusters[Tarif par nœud],$B833),"")</f>
        <v>1062</v>
      </c>
      <c r="L833" s="19">
        <f>IF($D833=1,INDEX(TblClusters[CPU initial (vCPU)],$B833),"")</f>
        <v>480</v>
      </c>
      <c r="M833" s="19">
        <f>IF($D833=1,INDEX(TblClusters[RAM initiale (Go)],$B833),"")</f>
        <v>1920</v>
      </c>
      <c r="N833" s="19">
        <f>IF($D833=1,INDEX(TblClusters[CPU min (vCPU)],$B833),"")</f>
        <v>96</v>
      </c>
      <c r="O833" s="19">
        <f>IF($D833=1,INDEX(TblClusters[RAM min (Go)],$B833),"")</f>
        <v>384</v>
      </c>
      <c r="P833" s="19">
        <f>IF($D833&lt;&gt;1,"",IF($G833="ROKS",SUMIFS(TblApplications[Besoin ROKS CPU (vCPU)],TblApplications[Cluster ROKS cible],$F833,TblApplications[Action],"À migrer",TblApplications[Déjà incluse ROKS],"Non",TblApplications[Mois prov (calc)],"&lt;="&amp;$E833),SUMIFS(TblApplications[CPU IKS libérable (vCPU)],TblApplications[Cluster IKS source],$F833,TblApplications[Mois lib (calc)],"&lt;="&amp;$E833)))</f>
        <v>0</v>
      </c>
      <c r="Q833" s="19">
        <f>IF($D833&lt;&gt;1,"",IF($G833="ROKS",SUMIFS(TblApplications[Besoin ROKS RAM (Go)],TblApplications[Cluster ROKS cible],$F833,TblApplications[Action],"À migrer",TblApplications[Déjà incluse ROKS],"Non",TblApplications[Mois prov (calc)],"&lt;="&amp;$E833),SUMIFS(TblApplications[RAM IKS libérable (Go)],TblApplications[Cluster IKS source],$F833,TblApplications[Mois lib (calc)],"&lt;="&amp;$E833)))</f>
        <v>0</v>
      </c>
      <c r="R833" s="19">
        <f t="shared" si="207"/>
        <v>480</v>
      </c>
      <c r="S833" s="19">
        <f t="shared" si="208"/>
        <v>1920</v>
      </c>
      <c r="T833" s="19">
        <f t="shared" si="209"/>
        <v>15</v>
      </c>
      <c r="U833" s="19">
        <f t="shared" si="210"/>
        <v>480</v>
      </c>
      <c r="V833" s="19">
        <f t="shared" si="211"/>
        <v>1920</v>
      </c>
      <c r="W833" s="73">
        <f t="shared" si="212"/>
        <v>15930</v>
      </c>
      <c r="X833" s="19">
        <f>IF($D833&lt;&gt;1,"",IF($G833="ROKS",$R833,IF($AI833=1,0,MAX($N833,$L833-SUMIFS(TblApplications[CPU IKS libérable (vCPU)],TblApplications[Cluster IKS source],$F833,TblApplications[Action],"À migrer",TblApplications[Mois prov (calc)],"&lt;="&amp;$E833)-SUMIFS(TblApplications[CPU IKS libérable (vCPU)],TblApplications[Cluster IKS source],$F833,TblApplications[Action],"À décommissionner",TblApplications[Mois lib (calc)],"&lt;="&amp;$E833)))))</f>
        <v>480</v>
      </c>
      <c r="Y833" s="19">
        <f>IF($D833&lt;&gt;1,"",IF($G833="ROKS",$S833,IF($AI833=1,0,MAX($O833,$M833-SUMIFS(TblApplications[RAM IKS libérable (Go)],TblApplications[Cluster IKS source],$F833,TblApplications[Action],"À migrer",TblApplications[Mois prov (calc)],"&lt;="&amp;$E833)-SUMIFS(TblApplications[RAM IKS libérable (Go)],TblApplications[Cluster IKS source],$F833,TblApplications[Action],"À décommissionner",TblApplications[Mois lib (calc)],"&lt;="&amp;$E833)))))</f>
        <v>1920</v>
      </c>
      <c r="Z833" s="19">
        <f t="shared" si="213"/>
        <v>15</v>
      </c>
      <c r="AA833" s="73">
        <f t="shared" si="214"/>
        <v>15930</v>
      </c>
      <c r="AB833" s="19">
        <f t="shared" si="215"/>
        <v>15</v>
      </c>
      <c r="AC833" s="73">
        <f t="shared" si="216"/>
        <v>15930</v>
      </c>
      <c r="AD833" s="19">
        <f t="shared" si="217"/>
        <v>0</v>
      </c>
      <c r="AE833" s="19">
        <f t="shared" si="218"/>
        <v>0</v>
      </c>
      <c r="AF833" s="19" t="str">
        <f>IF($D833&lt;&gt;1,"",IF(INDEX(TblClusters[Environnement],$B833)="","(vide)",INDEX(TblClusters[Environnement],$B833)))</f>
        <v>NPRD</v>
      </c>
      <c r="AG833" s="19">
        <f t="shared" si="219"/>
        <v>672</v>
      </c>
      <c r="AH833" s="19">
        <f t="shared" si="220"/>
        <v>23.705357142857142</v>
      </c>
      <c r="AI833" s="19">
        <f>IF($D833&lt;&gt;1,"",IF(AND($G833="IKS",ISNUMBER(INDEX(TblClusters[Fermeture retenue],$B833))),IF($E833&gt;=INDEX(TblClusters[Fermeture retenue],$B833),1,0),0))</f>
        <v>0</v>
      </c>
    </row>
    <row r="834" spans="1:35" x14ac:dyDescent="0.2">
      <c r="A834" s="19">
        <v>829</v>
      </c>
      <c r="B834" s="19">
        <f t="shared" si="204"/>
        <v>24</v>
      </c>
      <c r="C834" s="19">
        <f t="shared" si="205"/>
        <v>1</v>
      </c>
      <c r="D834" s="19">
        <f>IF($C834&gt;p_horizon,0,IFERROR(IF(AND(INDEX(TblClusters[Cluster],$B834)&lt;&gt;"",ISNUMBER(INDEX(TblClusters[CPU initial (vCPU)],$B834)),ISNUMBER(INDEX(TblClusters[CPU min (vCPU)],$B834)),OR(INDEX(TblClusters[Plateforme],$B834)="IKS",INDEX(TblClusters[Plateforme],$B834)="ROKS")),1,0),0))</f>
        <v>1</v>
      </c>
      <c r="E834" s="72">
        <f t="shared" si="206"/>
        <v>46296</v>
      </c>
      <c r="F834" s="19" t="str">
        <f>IF($D834=1,INDEX(TblClusters[Cluster],$B834),"")</f>
        <v>ku002i000510</v>
      </c>
      <c r="G834" s="19" t="str">
        <f>IF($D834=1,INDEX(TblClusters[Plateforme],$B834),"")</f>
        <v>IKS</v>
      </c>
      <c r="H834" s="19">
        <f>IF($D834=1,INDEX(TblClusters[vCPU par nœud],$B834),"")</f>
        <v>8</v>
      </c>
      <c r="I834" s="19">
        <f>IF($D834=1,INDEX(TblClusters[RAM par nœud (Go)],$B834),"")</f>
        <v>32</v>
      </c>
      <c r="J834" s="19">
        <f>IF($D834=1,INDEX(TblClusters[Workers min],$B834),"")</f>
        <v>3</v>
      </c>
      <c r="K834" s="73">
        <f>IF($D834=1,INDEX(TblClusters[Tarif par nœud],$B834),"")</f>
        <v>266</v>
      </c>
      <c r="L834" s="19">
        <f>IF($D834=1,INDEX(TblClusters[CPU initial (vCPU)],$B834),"")</f>
        <v>48</v>
      </c>
      <c r="M834" s="19">
        <f>IF($D834=1,INDEX(TblClusters[RAM initiale (Go)],$B834),"")</f>
        <v>192</v>
      </c>
      <c r="N834" s="19">
        <f>IF($D834=1,INDEX(TblClusters[CPU min (vCPU)],$B834),"")</f>
        <v>24</v>
      </c>
      <c r="O834" s="19">
        <f>IF($D834=1,INDEX(TblClusters[RAM min (Go)],$B834),"")</f>
        <v>96</v>
      </c>
      <c r="P834" s="19">
        <f>IF($D834&lt;&gt;1,"",IF($G834="ROKS",SUMIFS(TblApplications[Besoin ROKS CPU (vCPU)],TblApplications[Cluster ROKS cible],$F834,TblApplications[Action],"À migrer",TblApplications[Déjà incluse ROKS],"Non",TblApplications[Mois prov (calc)],"&lt;="&amp;$E834),SUMIFS(TblApplications[CPU IKS libérable (vCPU)],TblApplications[Cluster IKS source],$F834,TblApplications[Mois lib (calc)],"&lt;="&amp;$E834)))</f>
        <v>0</v>
      </c>
      <c r="Q834" s="19">
        <f>IF($D834&lt;&gt;1,"",IF($G834="ROKS",SUMIFS(TblApplications[Besoin ROKS RAM (Go)],TblApplications[Cluster ROKS cible],$F834,TblApplications[Action],"À migrer",TblApplications[Déjà incluse ROKS],"Non",TblApplications[Mois prov (calc)],"&lt;="&amp;$E834),SUMIFS(TblApplications[RAM IKS libérable (Go)],TblApplications[Cluster IKS source],$F834,TblApplications[Mois lib (calc)],"&lt;="&amp;$E834)))</f>
        <v>0</v>
      </c>
      <c r="R834" s="19">
        <f t="shared" si="207"/>
        <v>48</v>
      </c>
      <c r="S834" s="19">
        <f t="shared" si="208"/>
        <v>192</v>
      </c>
      <c r="T834" s="19">
        <f t="shared" si="209"/>
        <v>6</v>
      </c>
      <c r="U834" s="19">
        <f t="shared" si="210"/>
        <v>48</v>
      </c>
      <c r="V834" s="19">
        <f t="shared" si="211"/>
        <v>192</v>
      </c>
      <c r="W834" s="73">
        <f t="shared" si="212"/>
        <v>1596</v>
      </c>
      <c r="X834" s="19">
        <f>IF($D834&lt;&gt;1,"",IF($G834="ROKS",$R834,IF($AI834=1,0,MAX($N834,$L834-SUMIFS(TblApplications[CPU IKS libérable (vCPU)],TblApplications[Cluster IKS source],$F834,TblApplications[Action],"À migrer",TblApplications[Mois prov (calc)],"&lt;="&amp;$E834)-SUMIFS(TblApplications[CPU IKS libérable (vCPU)],TblApplications[Cluster IKS source],$F834,TblApplications[Action],"À décommissionner",TblApplications[Mois lib (calc)],"&lt;="&amp;$E834)))))</f>
        <v>48</v>
      </c>
      <c r="Y834" s="19">
        <f>IF($D834&lt;&gt;1,"",IF($G834="ROKS",$S834,IF($AI834=1,0,MAX($O834,$M834-SUMIFS(TblApplications[RAM IKS libérable (Go)],TblApplications[Cluster IKS source],$F834,TblApplications[Action],"À migrer",TblApplications[Mois prov (calc)],"&lt;="&amp;$E834)-SUMIFS(TblApplications[RAM IKS libérable (Go)],TblApplications[Cluster IKS source],$F834,TblApplications[Action],"À décommissionner",TblApplications[Mois lib (calc)],"&lt;="&amp;$E834)))))</f>
        <v>192</v>
      </c>
      <c r="Z834" s="19">
        <f t="shared" si="213"/>
        <v>6</v>
      </c>
      <c r="AA834" s="73">
        <f t="shared" si="214"/>
        <v>1596</v>
      </c>
      <c r="AB834" s="19">
        <f t="shared" si="215"/>
        <v>6</v>
      </c>
      <c r="AC834" s="73">
        <f t="shared" si="216"/>
        <v>1596</v>
      </c>
      <c r="AD834" s="19">
        <f t="shared" si="217"/>
        <v>0</v>
      </c>
      <c r="AE834" s="19">
        <f t="shared" si="218"/>
        <v>0</v>
      </c>
      <c r="AF834" s="19" t="str">
        <f>IF($D834&lt;&gt;1,"",IF(INDEX(TblClusters[Environnement],$B834)="","(vide)",INDEX(TblClusters[Environnement],$B834)))</f>
        <v>NPRD</v>
      </c>
      <c r="AG834" s="19">
        <f t="shared" si="219"/>
        <v>67.2</v>
      </c>
      <c r="AH834" s="19">
        <f t="shared" si="220"/>
        <v>23.75</v>
      </c>
      <c r="AI834" s="19">
        <f>IF($D834&lt;&gt;1,"",IF(AND($G834="IKS",ISNUMBER(INDEX(TblClusters[Fermeture retenue],$B834))),IF($E834&gt;=INDEX(TblClusters[Fermeture retenue],$B834),1,0),0))</f>
        <v>0</v>
      </c>
    </row>
    <row r="835" spans="1:35" x14ac:dyDescent="0.2">
      <c r="A835" s="19">
        <v>830</v>
      </c>
      <c r="B835" s="19">
        <f t="shared" si="204"/>
        <v>24</v>
      </c>
      <c r="C835" s="19">
        <f t="shared" si="205"/>
        <v>2</v>
      </c>
      <c r="D835" s="19">
        <f>IF($C835&gt;p_horizon,0,IFERROR(IF(AND(INDEX(TblClusters[Cluster],$B835)&lt;&gt;"",ISNUMBER(INDEX(TblClusters[CPU initial (vCPU)],$B835)),ISNUMBER(INDEX(TblClusters[CPU min (vCPU)],$B835)),OR(INDEX(TblClusters[Plateforme],$B835)="IKS",INDEX(TblClusters[Plateforme],$B835)="ROKS")),1,0),0))</f>
        <v>1</v>
      </c>
      <c r="E835" s="72">
        <f t="shared" si="206"/>
        <v>46327</v>
      </c>
      <c r="F835" s="19" t="str">
        <f>IF($D835=1,INDEX(TblClusters[Cluster],$B835),"")</f>
        <v>ku002i000510</v>
      </c>
      <c r="G835" s="19" t="str">
        <f>IF($D835=1,INDEX(TblClusters[Plateforme],$B835),"")</f>
        <v>IKS</v>
      </c>
      <c r="H835" s="19">
        <f>IF($D835=1,INDEX(TblClusters[vCPU par nœud],$B835),"")</f>
        <v>8</v>
      </c>
      <c r="I835" s="19">
        <f>IF($D835=1,INDEX(TblClusters[RAM par nœud (Go)],$B835),"")</f>
        <v>32</v>
      </c>
      <c r="J835" s="19">
        <f>IF($D835=1,INDEX(TblClusters[Workers min],$B835),"")</f>
        <v>3</v>
      </c>
      <c r="K835" s="73">
        <f>IF($D835=1,INDEX(TblClusters[Tarif par nœud],$B835),"")</f>
        <v>266</v>
      </c>
      <c r="L835" s="19">
        <f>IF($D835=1,INDEX(TblClusters[CPU initial (vCPU)],$B835),"")</f>
        <v>48</v>
      </c>
      <c r="M835" s="19">
        <f>IF($D835=1,INDEX(TblClusters[RAM initiale (Go)],$B835),"")</f>
        <v>192</v>
      </c>
      <c r="N835" s="19">
        <f>IF($D835=1,INDEX(TblClusters[CPU min (vCPU)],$B835),"")</f>
        <v>24</v>
      </c>
      <c r="O835" s="19">
        <f>IF($D835=1,INDEX(TblClusters[RAM min (Go)],$B835),"")</f>
        <v>96</v>
      </c>
      <c r="P835" s="19">
        <f>IF($D835&lt;&gt;1,"",IF($G835="ROKS",SUMIFS(TblApplications[Besoin ROKS CPU (vCPU)],TblApplications[Cluster ROKS cible],$F835,TblApplications[Action],"À migrer",TblApplications[Déjà incluse ROKS],"Non",TblApplications[Mois prov (calc)],"&lt;="&amp;$E835),SUMIFS(TblApplications[CPU IKS libérable (vCPU)],TblApplications[Cluster IKS source],$F835,TblApplications[Mois lib (calc)],"&lt;="&amp;$E835)))</f>
        <v>0</v>
      </c>
      <c r="Q835" s="19">
        <f>IF($D835&lt;&gt;1,"",IF($G835="ROKS",SUMIFS(TblApplications[Besoin ROKS RAM (Go)],TblApplications[Cluster ROKS cible],$F835,TblApplications[Action],"À migrer",TblApplications[Déjà incluse ROKS],"Non",TblApplications[Mois prov (calc)],"&lt;="&amp;$E835),SUMIFS(TblApplications[RAM IKS libérable (Go)],TblApplications[Cluster IKS source],$F835,TblApplications[Mois lib (calc)],"&lt;="&amp;$E835)))</f>
        <v>0</v>
      </c>
      <c r="R835" s="19">
        <f t="shared" si="207"/>
        <v>48</v>
      </c>
      <c r="S835" s="19">
        <f t="shared" si="208"/>
        <v>192</v>
      </c>
      <c r="T835" s="19">
        <f t="shared" si="209"/>
        <v>6</v>
      </c>
      <c r="U835" s="19">
        <f t="shared" si="210"/>
        <v>48</v>
      </c>
      <c r="V835" s="19">
        <f t="shared" si="211"/>
        <v>192</v>
      </c>
      <c r="W835" s="73">
        <f t="shared" si="212"/>
        <v>1596</v>
      </c>
      <c r="X835" s="19">
        <f>IF($D835&lt;&gt;1,"",IF($G835="ROKS",$R835,IF($AI835=1,0,MAX($N835,$L835-SUMIFS(TblApplications[CPU IKS libérable (vCPU)],TblApplications[Cluster IKS source],$F835,TblApplications[Action],"À migrer",TblApplications[Mois prov (calc)],"&lt;="&amp;$E835)-SUMIFS(TblApplications[CPU IKS libérable (vCPU)],TblApplications[Cluster IKS source],$F835,TblApplications[Action],"À décommissionner",TblApplications[Mois lib (calc)],"&lt;="&amp;$E835)))))</f>
        <v>48</v>
      </c>
      <c r="Y835" s="19">
        <f>IF($D835&lt;&gt;1,"",IF($G835="ROKS",$S835,IF($AI835=1,0,MAX($O835,$M835-SUMIFS(TblApplications[RAM IKS libérable (Go)],TblApplications[Cluster IKS source],$F835,TblApplications[Action],"À migrer",TblApplications[Mois prov (calc)],"&lt;="&amp;$E835)-SUMIFS(TblApplications[RAM IKS libérable (Go)],TblApplications[Cluster IKS source],$F835,TblApplications[Action],"À décommissionner",TblApplications[Mois lib (calc)],"&lt;="&amp;$E835)))))</f>
        <v>192</v>
      </c>
      <c r="Z835" s="19">
        <f t="shared" si="213"/>
        <v>6</v>
      </c>
      <c r="AA835" s="73">
        <f t="shared" si="214"/>
        <v>1596</v>
      </c>
      <c r="AB835" s="19">
        <f t="shared" si="215"/>
        <v>6</v>
      </c>
      <c r="AC835" s="73">
        <f t="shared" si="216"/>
        <v>1596</v>
      </c>
      <c r="AD835" s="19">
        <f t="shared" si="217"/>
        <v>0</v>
      </c>
      <c r="AE835" s="19">
        <f t="shared" si="218"/>
        <v>0</v>
      </c>
      <c r="AF835" s="19" t="str">
        <f>IF($D835&lt;&gt;1,"",IF(INDEX(TblClusters[Environnement],$B835)="","(vide)",INDEX(TblClusters[Environnement],$B835)))</f>
        <v>NPRD</v>
      </c>
      <c r="AG835" s="19">
        <f t="shared" si="219"/>
        <v>67.2</v>
      </c>
      <c r="AH835" s="19">
        <f t="shared" si="220"/>
        <v>23.75</v>
      </c>
      <c r="AI835" s="19">
        <f>IF($D835&lt;&gt;1,"",IF(AND($G835="IKS",ISNUMBER(INDEX(TblClusters[Fermeture retenue],$B835))),IF($E835&gt;=INDEX(TblClusters[Fermeture retenue],$B835),1,0),0))</f>
        <v>0</v>
      </c>
    </row>
    <row r="836" spans="1:35" x14ac:dyDescent="0.2">
      <c r="A836" s="19">
        <v>831</v>
      </c>
      <c r="B836" s="19">
        <f t="shared" si="204"/>
        <v>24</v>
      </c>
      <c r="C836" s="19">
        <f t="shared" si="205"/>
        <v>3</v>
      </c>
      <c r="D836" s="19">
        <f>IF($C836&gt;p_horizon,0,IFERROR(IF(AND(INDEX(TblClusters[Cluster],$B836)&lt;&gt;"",ISNUMBER(INDEX(TblClusters[CPU initial (vCPU)],$B836)),ISNUMBER(INDEX(TblClusters[CPU min (vCPU)],$B836)),OR(INDEX(TblClusters[Plateforme],$B836)="IKS",INDEX(TblClusters[Plateforme],$B836)="ROKS")),1,0),0))</f>
        <v>1</v>
      </c>
      <c r="E836" s="72">
        <f t="shared" si="206"/>
        <v>46357</v>
      </c>
      <c r="F836" s="19" t="str">
        <f>IF($D836=1,INDEX(TblClusters[Cluster],$B836),"")</f>
        <v>ku002i000510</v>
      </c>
      <c r="G836" s="19" t="str">
        <f>IF($D836=1,INDEX(TblClusters[Plateforme],$B836),"")</f>
        <v>IKS</v>
      </c>
      <c r="H836" s="19">
        <f>IF($D836=1,INDEX(TblClusters[vCPU par nœud],$B836),"")</f>
        <v>8</v>
      </c>
      <c r="I836" s="19">
        <f>IF($D836=1,INDEX(TblClusters[RAM par nœud (Go)],$B836),"")</f>
        <v>32</v>
      </c>
      <c r="J836" s="19">
        <f>IF($D836=1,INDEX(TblClusters[Workers min],$B836),"")</f>
        <v>3</v>
      </c>
      <c r="K836" s="73">
        <f>IF($D836=1,INDEX(TblClusters[Tarif par nœud],$B836),"")</f>
        <v>266</v>
      </c>
      <c r="L836" s="19">
        <f>IF($D836=1,INDEX(TblClusters[CPU initial (vCPU)],$B836),"")</f>
        <v>48</v>
      </c>
      <c r="M836" s="19">
        <f>IF($D836=1,INDEX(TblClusters[RAM initiale (Go)],$B836),"")</f>
        <v>192</v>
      </c>
      <c r="N836" s="19">
        <f>IF($D836=1,INDEX(TblClusters[CPU min (vCPU)],$B836),"")</f>
        <v>24</v>
      </c>
      <c r="O836" s="19">
        <f>IF($D836=1,INDEX(TblClusters[RAM min (Go)],$B836),"")</f>
        <v>96</v>
      </c>
      <c r="P836" s="19">
        <f>IF($D836&lt;&gt;1,"",IF($G836="ROKS",SUMIFS(TblApplications[Besoin ROKS CPU (vCPU)],TblApplications[Cluster ROKS cible],$F836,TblApplications[Action],"À migrer",TblApplications[Déjà incluse ROKS],"Non",TblApplications[Mois prov (calc)],"&lt;="&amp;$E836),SUMIFS(TblApplications[CPU IKS libérable (vCPU)],TblApplications[Cluster IKS source],$F836,TblApplications[Mois lib (calc)],"&lt;="&amp;$E836)))</f>
        <v>0</v>
      </c>
      <c r="Q836" s="19">
        <f>IF($D836&lt;&gt;1,"",IF($G836="ROKS",SUMIFS(TblApplications[Besoin ROKS RAM (Go)],TblApplications[Cluster ROKS cible],$F836,TblApplications[Action],"À migrer",TblApplications[Déjà incluse ROKS],"Non",TblApplications[Mois prov (calc)],"&lt;="&amp;$E836),SUMIFS(TblApplications[RAM IKS libérable (Go)],TblApplications[Cluster IKS source],$F836,TblApplications[Mois lib (calc)],"&lt;="&amp;$E836)))</f>
        <v>0</v>
      </c>
      <c r="R836" s="19">
        <f t="shared" si="207"/>
        <v>48</v>
      </c>
      <c r="S836" s="19">
        <f t="shared" si="208"/>
        <v>192</v>
      </c>
      <c r="T836" s="19">
        <f t="shared" si="209"/>
        <v>6</v>
      </c>
      <c r="U836" s="19">
        <f t="shared" si="210"/>
        <v>48</v>
      </c>
      <c r="V836" s="19">
        <f t="shared" si="211"/>
        <v>192</v>
      </c>
      <c r="W836" s="73">
        <f t="shared" si="212"/>
        <v>1596</v>
      </c>
      <c r="X836" s="19">
        <f>IF($D836&lt;&gt;1,"",IF($G836="ROKS",$R836,IF($AI836=1,0,MAX($N836,$L836-SUMIFS(TblApplications[CPU IKS libérable (vCPU)],TblApplications[Cluster IKS source],$F836,TblApplications[Action],"À migrer",TblApplications[Mois prov (calc)],"&lt;="&amp;$E836)-SUMIFS(TblApplications[CPU IKS libérable (vCPU)],TblApplications[Cluster IKS source],$F836,TblApplications[Action],"À décommissionner",TblApplications[Mois lib (calc)],"&lt;="&amp;$E836)))))</f>
        <v>48</v>
      </c>
      <c r="Y836" s="19">
        <f>IF($D836&lt;&gt;1,"",IF($G836="ROKS",$S836,IF($AI836=1,0,MAX($O836,$M836-SUMIFS(TblApplications[RAM IKS libérable (Go)],TblApplications[Cluster IKS source],$F836,TblApplications[Action],"À migrer",TblApplications[Mois prov (calc)],"&lt;="&amp;$E836)-SUMIFS(TblApplications[RAM IKS libérable (Go)],TblApplications[Cluster IKS source],$F836,TblApplications[Action],"À décommissionner",TblApplications[Mois lib (calc)],"&lt;="&amp;$E836)))))</f>
        <v>192</v>
      </c>
      <c r="Z836" s="19">
        <f t="shared" si="213"/>
        <v>6</v>
      </c>
      <c r="AA836" s="73">
        <f t="shared" si="214"/>
        <v>1596</v>
      </c>
      <c r="AB836" s="19">
        <f t="shared" si="215"/>
        <v>6</v>
      </c>
      <c r="AC836" s="73">
        <f t="shared" si="216"/>
        <v>1596</v>
      </c>
      <c r="AD836" s="19">
        <f t="shared" si="217"/>
        <v>0</v>
      </c>
      <c r="AE836" s="19">
        <f t="shared" si="218"/>
        <v>0</v>
      </c>
      <c r="AF836" s="19" t="str">
        <f>IF($D836&lt;&gt;1,"",IF(INDEX(TblClusters[Environnement],$B836)="","(vide)",INDEX(TblClusters[Environnement],$B836)))</f>
        <v>NPRD</v>
      </c>
      <c r="AG836" s="19">
        <f t="shared" si="219"/>
        <v>67.2</v>
      </c>
      <c r="AH836" s="19">
        <f t="shared" si="220"/>
        <v>23.75</v>
      </c>
      <c r="AI836" s="19">
        <f>IF($D836&lt;&gt;1,"",IF(AND($G836="IKS",ISNUMBER(INDEX(TblClusters[Fermeture retenue],$B836))),IF($E836&gt;=INDEX(TblClusters[Fermeture retenue],$B836),1,0),0))</f>
        <v>0</v>
      </c>
    </row>
    <row r="837" spans="1:35" x14ac:dyDescent="0.2">
      <c r="A837" s="19">
        <v>832</v>
      </c>
      <c r="B837" s="19">
        <f t="shared" si="204"/>
        <v>24</v>
      </c>
      <c r="C837" s="19">
        <f t="shared" si="205"/>
        <v>4</v>
      </c>
      <c r="D837" s="19">
        <f>IF($C837&gt;p_horizon,0,IFERROR(IF(AND(INDEX(TblClusters[Cluster],$B837)&lt;&gt;"",ISNUMBER(INDEX(TblClusters[CPU initial (vCPU)],$B837)),ISNUMBER(INDEX(TblClusters[CPU min (vCPU)],$B837)),OR(INDEX(TblClusters[Plateforme],$B837)="IKS",INDEX(TblClusters[Plateforme],$B837)="ROKS")),1,0),0))</f>
        <v>1</v>
      </c>
      <c r="E837" s="72">
        <f t="shared" si="206"/>
        <v>46388</v>
      </c>
      <c r="F837" s="19" t="str">
        <f>IF($D837=1,INDEX(TblClusters[Cluster],$B837),"")</f>
        <v>ku002i000510</v>
      </c>
      <c r="G837" s="19" t="str">
        <f>IF($D837=1,INDEX(TblClusters[Plateforme],$B837),"")</f>
        <v>IKS</v>
      </c>
      <c r="H837" s="19">
        <f>IF($D837=1,INDEX(TblClusters[vCPU par nœud],$B837),"")</f>
        <v>8</v>
      </c>
      <c r="I837" s="19">
        <f>IF($D837=1,INDEX(TblClusters[RAM par nœud (Go)],$B837),"")</f>
        <v>32</v>
      </c>
      <c r="J837" s="19">
        <f>IF($D837=1,INDEX(TblClusters[Workers min],$B837),"")</f>
        <v>3</v>
      </c>
      <c r="K837" s="73">
        <f>IF($D837=1,INDEX(TblClusters[Tarif par nœud],$B837),"")</f>
        <v>266</v>
      </c>
      <c r="L837" s="19">
        <f>IF($D837=1,INDEX(TblClusters[CPU initial (vCPU)],$B837),"")</f>
        <v>48</v>
      </c>
      <c r="M837" s="19">
        <f>IF($D837=1,INDEX(TblClusters[RAM initiale (Go)],$B837),"")</f>
        <v>192</v>
      </c>
      <c r="N837" s="19">
        <f>IF($D837=1,INDEX(TblClusters[CPU min (vCPU)],$B837),"")</f>
        <v>24</v>
      </c>
      <c r="O837" s="19">
        <f>IF($D837=1,INDEX(TblClusters[RAM min (Go)],$B837),"")</f>
        <v>96</v>
      </c>
      <c r="P837" s="19">
        <f>IF($D837&lt;&gt;1,"",IF($G837="ROKS",SUMIFS(TblApplications[Besoin ROKS CPU (vCPU)],TblApplications[Cluster ROKS cible],$F837,TblApplications[Action],"À migrer",TblApplications[Déjà incluse ROKS],"Non",TblApplications[Mois prov (calc)],"&lt;="&amp;$E837),SUMIFS(TblApplications[CPU IKS libérable (vCPU)],TblApplications[Cluster IKS source],$F837,TblApplications[Mois lib (calc)],"&lt;="&amp;$E837)))</f>
        <v>0</v>
      </c>
      <c r="Q837" s="19">
        <f>IF($D837&lt;&gt;1,"",IF($G837="ROKS",SUMIFS(TblApplications[Besoin ROKS RAM (Go)],TblApplications[Cluster ROKS cible],$F837,TblApplications[Action],"À migrer",TblApplications[Déjà incluse ROKS],"Non",TblApplications[Mois prov (calc)],"&lt;="&amp;$E837),SUMIFS(TblApplications[RAM IKS libérable (Go)],TblApplications[Cluster IKS source],$F837,TblApplications[Mois lib (calc)],"&lt;="&amp;$E837)))</f>
        <v>0</v>
      </c>
      <c r="R837" s="19">
        <f t="shared" si="207"/>
        <v>48</v>
      </c>
      <c r="S837" s="19">
        <f t="shared" si="208"/>
        <v>192</v>
      </c>
      <c r="T837" s="19">
        <f t="shared" si="209"/>
        <v>6</v>
      </c>
      <c r="U837" s="19">
        <f t="shared" si="210"/>
        <v>48</v>
      </c>
      <c r="V837" s="19">
        <f t="shared" si="211"/>
        <v>192</v>
      </c>
      <c r="W837" s="73">
        <f t="shared" si="212"/>
        <v>1596</v>
      </c>
      <c r="X837" s="19">
        <f>IF($D837&lt;&gt;1,"",IF($G837="ROKS",$R837,IF($AI837=1,0,MAX($N837,$L837-SUMIFS(TblApplications[CPU IKS libérable (vCPU)],TblApplications[Cluster IKS source],$F837,TblApplications[Action],"À migrer",TblApplications[Mois prov (calc)],"&lt;="&amp;$E837)-SUMIFS(TblApplications[CPU IKS libérable (vCPU)],TblApplications[Cluster IKS source],$F837,TblApplications[Action],"À décommissionner",TblApplications[Mois lib (calc)],"&lt;="&amp;$E837)))))</f>
        <v>48</v>
      </c>
      <c r="Y837" s="19">
        <f>IF($D837&lt;&gt;1,"",IF($G837="ROKS",$S837,IF($AI837=1,0,MAX($O837,$M837-SUMIFS(TblApplications[RAM IKS libérable (Go)],TblApplications[Cluster IKS source],$F837,TblApplications[Action],"À migrer",TblApplications[Mois prov (calc)],"&lt;="&amp;$E837)-SUMIFS(TblApplications[RAM IKS libérable (Go)],TblApplications[Cluster IKS source],$F837,TblApplications[Action],"À décommissionner",TblApplications[Mois lib (calc)],"&lt;="&amp;$E837)))))</f>
        <v>192</v>
      </c>
      <c r="Z837" s="19">
        <f t="shared" si="213"/>
        <v>6</v>
      </c>
      <c r="AA837" s="73">
        <f t="shared" si="214"/>
        <v>1596</v>
      </c>
      <c r="AB837" s="19">
        <f t="shared" si="215"/>
        <v>6</v>
      </c>
      <c r="AC837" s="73">
        <f t="shared" si="216"/>
        <v>1596</v>
      </c>
      <c r="AD837" s="19">
        <f t="shared" si="217"/>
        <v>0</v>
      </c>
      <c r="AE837" s="19">
        <f t="shared" si="218"/>
        <v>0</v>
      </c>
      <c r="AF837" s="19" t="str">
        <f>IF($D837&lt;&gt;1,"",IF(INDEX(TblClusters[Environnement],$B837)="","(vide)",INDEX(TblClusters[Environnement],$B837)))</f>
        <v>NPRD</v>
      </c>
      <c r="AG837" s="19">
        <f t="shared" si="219"/>
        <v>67.2</v>
      </c>
      <c r="AH837" s="19">
        <f t="shared" si="220"/>
        <v>23.75</v>
      </c>
      <c r="AI837" s="19">
        <f>IF($D837&lt;&gt;1,"",IF(AND($G837="IKS",ISNUMBER(INDEX(TblClusters[Fermeture retenue],$B837))),IF($E837&gt;=INDEX(TblClusters[Fermeture retenue],$B837),1,0),0))</f>
        <v>0</v>
      </c>
    </row>
    <row r="838" spans="1:35" x14ac:dyDescent="0.2">
      <c r="A838" s="19">
        <v>833</v>
      </c>
      <c r="B838" s="19">
        <f t="shared" ref="B838:B901" si="221">INT(($A838-1)/36)+1</f>
        <v>24</v>
      </c>
      <c r="C838" s="19">
        <f t="shared" ref="C838:C901" si="222">MOD($A838-1,36)+1</f>
        <v>5</v>
      </c>
      <c r="D838" s="19">
        <f>IF($C838&gt;p_horizon,0,IFERROR(IF(AND(INDEX(TblClusters[Cluster],$B838)&lt;&gt;"",ISNUMBER(INDEX(TblClusters[CPU initial (vCPU)],$B838)),ISNUMBER(INDEX(TblClusters[CPU min (vCPU)],$B838)),OR(INDEX(TblClusters[Plateforme],$B838)="IKS",INDEX(TblClusters[Plateforme],$B838)="ROKS")),1,0),0))</f>
        <v>1</v>
      </c>
      <c r="E838" s="72">
        <f t="shared" ref="E838:E901" si="223">IF($D838=1,EDATE(p_debut,$C838-1),"")</f>
        <v>46419</v>
      </c>
      <c r="F838" s="19" t="str">
        <f>IF($D838=1,INDEX(TblClusters[Cluster],$B838),"")</f>
        <v>ku002i000510</v>
      </c>
      <c r="G838" s="19" t="str">
        <f>IF($D838=1,INDEX(TblClusters[Plateforme],$B838),"")</f>
        <v>IKS</v>
      </c>
      <c r="H838" s="19">
        <f>IF($D838=1,INDEX(TblClusters[vCPU par nœud],$B838),"")</f>
        <v>8</v>
      </c>
      <c r="I838" s="19">
        <f>IF($D838=1,INDEX(TblClusters[RAM par nœud (Go)],$B838),"")</f>
        <v>32</v>
      </c>
      <c r="J838" s="19">
        <f>IF($D838=1,INDEX(TblClusters[Workers min],$B838),"")</f>
        <v>3</v>
      </c>
      <c r="K838" s="73">
        <f>IF($D838=1,INDEX(TblClusters[Tarif par nœud],$B838),"")</f>
        <v>266</v>
      </c>
      <c r="L838" s="19">
        <f>IF($D838=1,INDEX(TblClusters[CPU initial (vCPU)],$B838),"")</f>
        <v>48</v>
      </c>
      <c r="M838" s="19">
        <f>IF($D838=1,INDEX(TblClusters[RAM initiale (Go)],$B838),"")</f>
        <v>192</v>
      </c>
      <c r="N838" s="19">
        <f>IF($D838=1,INDEX(TblClusters[CPU min (vCPU)],$B838),"")</f>
        <v>24</v>
      </c>
      <c r="O838" s="19">
        <f>IF($D838=1,INDEX(TblClusters[RAM min (Go)],$B838),"")</f>
        <v>96</v>
      </c>
      <c r="P838" s="19">
        <f>IF($D838&lt;&gt;1,"",IF($G838="ROKS",SUMIFS(TblApplications[Besoin ROKS CPU (vCPU)],TblApplications[Cluster ROKS cible],$F838,TblApplications[Action],"À migrer",TblApplications[Déjà incluse ROKS],"Non",TblApplications[Mois prov (calc)],"&lt;="&amp;$E838),SUMIFS(TblApplications[CPU IKS libérable (vCPU)],TblApplications[Cluster IKS source],$F838,TblApplications[Mois lib (calc)],"&lt;="&amp;$E838)))</f>
        <v>0</v>
      </c>
      <c r="Q838" s="19">
        <f>IF($D838&lt;&gt;1,"",IF($G838="ROKS",SUMIFS(TblApplications[Besoin ROKS RAM (Go)],TblApplications[Cluster ROKS cible],$F838,TblApplications[Action],"À migrer",TblApplications[Déjà incluse ROKS],"Non",TblApplications[Mois prov (calc)],"&lt;="&amp;$E838),SUMIFS(TblApplications[RAM IKS libérable (Go)],TblApplications[Cluster IKS source],$F838,TblApplications[Mois lib (calc)],"&lt;="&amp;$E838)))</f>
        <v>0</v>
      </c>
      <c r="R838" s="19">
        <f t="shared" ref="R838:R901" si="224">IF($D838&lt;&gt;1,"",IF($G838="ROKS",$L838+$P838,IF($AI838=1,0,MAX($N838,$L838-$P838))))</f>
        <v>48</v>
      </c>
      <c r="S838" s="19">
        <f t="shared" ref="S838:S901" si="225">IF($D838&lt;&gt;1,"",IF($G838="ROKS",$M838+$Q838,IF($AI838=1,0,MAX($O838,$M838-$Q838))))</f>
        <v>192</v>
      </c>
      <c r="T838" s="19">
        <f t="shared" ref="T838:T901" si="226">IF($D838&lt;&gt;1,"",IF($AI838=1,0,MAX($J838,ROUNDUP(MAX($R838/$H838,$S838/$I838),0))))</f>
        <v>6</v>
      </c>
      <c r="U838" s="19">
        <f t="shared" ref="U838:U901" si="227">IF($D838&lt;&gt;1,"",IF(p_mode="Nœud",$T838*$H838,$R838))</f>
        <v>48</v>
      </c>
      <c r="V838" s="19">
        <f t="shared" ref="V838:V901" si="228">IF($D838&lt;&gt;1,"",IF(p_mode="Nœud",$T838*$I838,$S838))</f>
        <v>192</v>
      </c>
      <c r="W838" s="73">
        <f t="shared" ref="W838:W901" si="229">IF($D838&lt;&gt;1,"",IF(p_mode="Nœud",$T838*$K838,$R838*IF($G838="IKS",p_iks_cpu,p_roks_cpu)+$S838*IF($G838="IKS",p_iks_ram,p_roks_ram))*p_facteur)</f>
        <v>1596</v>
      </c>
      <c r="X838" s="19">
        <f>IF($D838&lt;&gt;1,"",IF($G838="ROKS",$R838,IF($AI838=1,0,MAX($N838,$L838-SUMIFS(TblApplications[CPU IKS libérable (vCPU)],TblApplications[Cluster IKS source],$F838,TblApplications[Action],"À migrer",TblApplications[Mois prov (calc)],"&lt;="&amp;$E838)-SUMIFS(TblApplications[CPU IKS libérable (vCPU)],TblApplications[Cluster IKS source],$F838,TblApplications[Action],"À décommissionner",TblApplications[Mois lib (calc)],"&lt;="&amp;$E838)))))</f>
        <v>48</v>
      </c>
      <c r="Y838" s="19">
        <f>IF($D838&lt;&gt;1,"",IF($G838="ROKS",$S838,IF($AI838=1,0,MAX($O838,$M838-SUMIFS(TblApplications[RAM IKS libérable (Go)],TblApplications[Cluster IKS source],$F838,TblApplications[Action],"À migrer",TblApplications[Mois prov (calc)],"&lt;="&amp;$E838)-SUMIFS(TblApplications[RAM IKS libérable (Go)],TblApplications[Cluster IKS source],$F838,TblApplications[Action],"À décommissionner",TblApplications[Mois lib (calc)],"&lt;="&amp;$E838)))))</f>
        <v>192</v>
      </c>
      <c r="Z838" s="19">
        <f t="shared" ref="Z838:Z901" si="230">IF($D838&lt;&gt;1,"",IF($AI838=1,0,MAX($J838,ROUNDUP(MAX($X838/$H838,$Y838/$I838),0))))</f>
        <v>6</v>
      </c>
      <c r="AA838" s="73">
        <f t="shared" ref="AA838:AA901" si="231">IF($D838&lt;&gt;1,"",IF(p_mode="Nœud",$Z838*$K838,$X838*IF($G838="IKS",p_iks_cpu,p_roks_cpu)+$Y838*IF($G838="IKS",p_iks_ram,p_roks_ram))*p_facteur)</f>
        <v>1596</v>
      </c>
      <c r="AB838" s="19">
        <f t="shared" ref="AB838:AB901" si="232">IF($D838&lt;&gt;1,"",MAX($J838,ROUNDUP(MAX($L838/$H838,$M838/$I838),0)))</f>
        <v>6</v>
      </c>
      <c r="AC838" s="73">
        <f t="shared" ref="AC838:AC901" si="233">IF($D838&lt;&gt;1,"",IF(p_mode="Nœud",$AB838*$K838,$L838*IF($G838="IKS",p_iks_cpu,p_roks_cpu)+$M838*IF($G838="IKS",p_iks_ram,p_roks_ram))*p_facteur)</f>
        <v>1596</v>
      </c>
      <c r="AD838" s="19">
        <f t="shared" ref="AD838:AD901" si="234">IF($D838&lt;&gt;1,"",IF(AND($G838="IKS",$AI838&lt;&gt;1,OR($L838-$P838&lt;$N838,$M838-$Q838&lt;$O838)),1,0))</f>
        <v>0</v>
      </c>
      <c r="AE838" s="19">
        <f t="shared" ref="AE838:AE901" si="235">IF($D838&lt;&gt;1,"",IF(AND($G838="ROKS",$T838&gt;p_maxworkers),1,0))</f>
        <v>0</v>
      </c>
      <c r="AF838" s="19" t="str">
        <f>IF($D838&lt;&gt;1,"",IF(INDEX(TblClusters[Environnement],$B838)="","(vide)",INDEX(TblClusters[Environnement],$B838)))</f>
        <v>NPRD</v>
      </c>
      <c r="AG838" s="19">
        <f t="shared" ref="AG838:AG901" si="236">IF($D838&lt;&gt;1,"",$R838+p_poidsram*$S838)</f>
        <v>67.2</v>
      </c>
      <c r="AH838" s="19">
        <f t="shared" ref="AH838:AH901" si="237">IF($D838&lt;&gt;1,"",IFERROR($W838/$AG838,0))</f>
        <v>23.75</v>
      </c>
      <c r="AI838" s="19">
        <f>IF($D838&lt;&gt;1,"",IF(AND($G838="IKS",ISNUMBER(INDEX(TblClusters[Fermeture retenue],$B838))),IF($E838&gt;=INDEX(TblClusters[Fermeture retenue],$B838),1,0),0))</f>
        <v>0</v>
      </c>
    </row>
    <row r="839" spans="1:35" x14ac:dyDescent="0.2">
      <c r="A839" s="19">
        <v>834</v>
      </c>
      <c r="B839" s="19">
        <f t="shared" si="221"/>
        <v>24</v>
      </c>
      <c r="C839" s="19">
        <f t="shared" si="222"/>
        <v>6</v>
      </c>
      <c r="D839" s="19">
        <f>IF($C839&gt;p_horizon,0,IFERROR(IF(AND(INDEX(TblClusters[Cluster],$B839)&lt;&gt;"",ISNUMBER(INDEX(TblClusters[CPU initial (vCPU)],$B839)),ISNUMBER(INDEX(TblClusters[CPU min (vCPU)],$B839)),OR(INDEX(TblClusters[Plateforme],$B839)="IKS",INDEX(TblClusters[Plateforme],$B839)="ROKS")),1,0),0))</f>
        <v>1</v>
      </c>
      <c r="E839" s="72">
        <f t="shared" si="223"/>
        <v>46447</v>
      </c>
      <c r="F839" s="19" t="str">
        <f>IF($D839=1,INDEX(TblClusters[Cluster],$B839),"")</f>
        <v>ku002i000510</v>
      </c>
      <c r="G839" s="19" t="str">
        <f>IF($D839=1,INDEX(TblClusters[Plateforme],$B839),"")</f>
        <v>IKS</v>
      </c>
      <c r="H839" s="19">
        <f>IF($D839=1,INDEX(TblClusters[vCPU par nœud],$B839),"")</f>
        <v>8</v>
      </c>
      <c r="I839" s="19">
        <f>IF($D839=1,INDEX(TblClusters[RAM par nœud (Go)],$B839),"")</f>
        <v>32</v>
      </c>
      <c r="J839" s="19">
        <f>IF($D839=1,INDEX(TblClusters[Workers min],$B839),"")</f>
        <v>3</v>
      </c>
      <c r="K839" s="73">
        <f>IF($D839=1,INDEX(TblClusters[Tarif par nœud],$B839),"")</f>
        <v>266</v>
      </c>
      <c r="L839" s="19">
        <f>IF($D839=1,INDEX(TblClusters[CPU initial (vCPU)],$B839),"")</f>
        <v>48</v>
      </c>
      <c r="M839" s="19">
        <f>IF($D839=1,INDEX(TblClusters[RAM initiale (Go)],$B839),"")</f>
        <v>192</v>
      </c>
      <c r="N839" s="19">
        <f>IF($D839=1,INDEX(TblClusters[CPU min (vCPU)],$B839),"")</f>
        <v>24</v>
      </c>
      <c r="O839" s="19">
        <f>IF($D839=1,INDEX(TblClusters[RAM min (Go)],$B839),"")</f>
        <v>96</v>
      </c>
      <c r="P839" s="19">
        <f>IF($D839&lt;&gt;1,"",IF($G839="ROKS",SUMIFS(TblApplications[Besoin ROKS CPU (vCPU)],TblApplications[Cluster ROKS cible],$F839,TblApplications[Action],"À migrer",TblApplications[Déjà incluse ROKS],"Non",TblApplications[Mois prov (calc)],"&lt;="&amp;$E839),SUMIFS(TblApplications[CPU IKS libérable (vCPU)],TblApplications[Cluster IKS source],$F839,TblApplications[Mois lib (calc)],"&lt;="&amp;$E839)))</f>
        <v>0</v>
      </c>
      <c r="Q839" s="19">
        <f>IF($D839&lt;&gt;1,"",IF($G839="ROKS",SUMIFS(TblApplications[Besoin ROKS RAM (Go)],TblApplications[Cluster ROKS cible],$F839,TblApplications[Action],"À migrer",TblApplications[Déjà incluse ROKS],"Non",TblApplications[Mois prov (calc)],"&lt;="&amp;$E839),SUMIFS(TblApplications[RAM IKS libérable (Go)],TblApplications[Cluster IKS source],$F839,TblApplications[Mois lib (calc)],"&lt;="&amp;$E839)))</f>
        <v>0</v>
      </c>
      <c r="R839" s="19">
        <f t="shared" si="224"/>
        <v>48</v>
      </c>
      <c r="S839" s="19">
        <f t="shared" si="225"/>
        <v>192</v>
      </c>
      <c r="T839" s="19">
        <f t="shared" si="226"/>
        <v>6</v>
      </c>
      <c r="U839" s="19">
        <f t="shared" si="227"/>
        <v>48</v>
      </c>
      <c r="V839" s="19">
        <f t="shared" si="228"/>
        <v>192</v>
      </c>
      <c r="W839" s="73">
        <f t="shared" si="229"/>
        <v>1596</v>
      </c>
      <c r="X839" s="19">
        <f>IF($D839&lt;&gt;1,"",IF($G839="ROKS",$R839,IF($AI839=1,0,MAX($N839,$L839-SUMIFS(TblApplications[CPU IKS libérable (vCPU)],TblApplications[Cluster IKS source],$F839,TblApplications[Action],"À migrer",TblApplications[Mois prov (calc)],"&lt;="&amp;$E839)-SUMIFS(TblApplications[CPU IKS libérable (vCPU)],TblApplications[Cluster IKS source],$F839,TblApplications[Action],"À décommissionner",TblApplications[Mois lib (calc)],"&lt;="&amp;$E839)))))</f>
        <v>48</v>
      </c>
      <c r="Y839" s="19">
        <f>IF($D839&lt;&gt;1,"",IF($G839="ROKS",$S839,IF($AI839=1,0,MAX($O839,$M839-SUMIFS(TblApplications[RAM IKS libérable (Go)],TblApplications[Cluster IKS source],$F839,TblApplications[Action],"À migrer",TblApplications[Mois prov (calc)],"&lt;="&amp;$E839)-SUMIFS(TblApplications[RAM IKS libérable (Go)],TblApplications[Cluster IKS source],$F839,TblApplications[Action],"À décommissionner",TblApplications[Mois lib (calc)],"&lt;="&amp;$E839)))))</f>
        <v>192</v>
      </c>
      <c r="Z839" s="19">
        <f t="shared" si="230"/>
        <v>6</v>
      </c>
      <c r="AA839" s="73">
        <f t="shared" si="231"/>
        <v>1596</v>
      </c>
      <c r="AB839" s="19">
        <f t="shared" si="232"/>
        <v>6</v>
      </c>
      <c r="AC839" s="73">
        <f t="shared" si="233"/>
        <v>1596</v>
      </c>
      <c r="AD839" s="19">
        <f t="shared" si="234"/>
        <v>0</v>
      </c>
      <c r="AE839" s="19">
        <f t="shared" si="235"/>
        <v>0</v>
      </c>
      <c r="AF839" s="19" t="str">
        <f>IF($D839&lt;&gt;1,"",IF(INDEX(TblClusters[Environnement],$B839)="","(vide)",INDEX(TblClusters[Environnement],$B839)))</f>
        <v>NPRD</v>
      </c>
      <c r="AG839" s="19">
        <f t="shared" si="236"/>
        <v>67.2</v>
      </c>
      <c r="AH839" s="19">
        <f t="shared" si="237"/>
        <v>23.75</v>
      </c>
      <c r="AI839" s="19">
        <f>IF($D839&lt;&gt;1,"",IF(AND($G839="IKS",ISNUMBER(INDEX(TblClusters[Fermeture retenue],$B839))),IF($E839&gt;=INDEX(TblClusters[Fermeture retenue],$B839),1,0),0))</f>
        <v>0</v>
      </c>
    </row>
    <row r="840" spans="1:35" x14ac:dyDescent="0.2">
      <c r="A840" s="19">
        <v>835</v>
      </c>
      <c r="B840" s="19">
        <f t="shared" si="221"/>
        <v>24</v>
      </c>
      <c r="C840" s="19">
        <f t="shared" si="222"/>
        <v>7</v>
      </c>
      <c r="D840" s="19">
        <f>IF($C840&gt;p_horizon,0,IFERROR(IF(AND(INDEX(TblClusters[Cluster],$B840)&lt;&gt;"",ISNUMBER(INDEX(TblClusters[CPU initial (vCPU)],$B840)),ISNUMBER(INDEX(TblClusters[CPU min (vCPU)],$B840)),OR(INDEX(TblClusters[Plateforme],$B840)="IKS",INDEX(TblClusters[Plateforme],$B840)="ROKS")),1,0),0))</f>
        <v>1</v>
      </c>
      <c r="E840" s="72">
        <f t="shared" si="223"/>
        <v>46478</v>
      </c>
      <c r="F840" s="19" t="str">
        <f>IF($D840=1,INDEX(TblClusters[Cluster],$B840),"")</f>
        <v>ku002i000510</v>
      </c>
      <c r="G840" s="19" t="str">
        <f>IF($D840=1,INDEX(TblClusters[Plateforme],$B840),"")</f>
        <v>IKS</v>
      </c>
      <c r="H840" s="19">
        <f>IF($D840=1,INDEX(TblClusters[vCPU par nœud],$B840),"")</f>
        <v>8</v>
      </c>
      <c r="I840" s="19">
        <f>IF($D840=1,INDEX(TblClusters[RAM par nœud (Go)],$B840),"")</f>
        <v>32</v>
      </c>
      <c r="J840" s="19">
        <f>IF($D840=1,INDEX(TblClusters[Workers min],$B840),"")</f>
        <v>3</v>
      </c>
      <c r="K840" s="73">
        <f>IF($D840=1,INDEX(TblClusters[Tarif par nœud],$B840),"")</f>
        <v>266</v>
      </c>
      <c r="L840" s="19">
        <f>IF($D840=1,INDEX(TblClusters[CPU initial (vCPU)],$B840),"")</f>
        <v>48</v>
      </c>
      <c r="M840" s="19">
        <f>IF($D840=1,INDEX(TblClusters[RAM initiale (Go)],$B840),"")</f>
        <v>192</v>
      </c>
      <c r="N840" s="19">
        <f>IF($D840=1,INDEX(TblClusters[CPU min (vCPU)],$B840),"")</f>
        <v>24</v>
      </c>
      <c r="O840" s="19">
        <f>IF($D840=1,INDEX(TblClusters[RAM min (Go)],$B840),"")</f>
        <v>96</v>
      </c>
      <c r="P840" s="19">
        <f>IF($D840&lt;&gt;1,"",IF($G840="ROKS",SUMIFS(TblApplications[Besoin ROKS CPU (vCPU)],TblApplications[Cluster ROKS cible],$F840,TblApplications[Action],"À migrer",TblApplications[Déjà incluse ROKS],"Non",TblApplications[Mois prov (calc)],"&lt;="&amp;$E840),SUMIFS(TblApplications[CPU IKS libérable (vCPU)],TblApplications[Cluster IKS source],$F840,TblApplications[Mois lib (calc)],"&lt;="&amp;$E840)))</f>
        <v>0</v>
      </c>
      <c r="Q840" s="19">
        <f>IF($D840&lt;&gt;1,"",IF($G840="ROKS",SUMIFS(TblApplications[Besoin ROKS RAM (Go)],TblApplications[Cluster ROKS cible],$F840,TblApplications[Action],"À migrer",TblApplications[Déjà incluse ROKS],"Non",TblApplications[Mois prov (calc)],"&lt;="&amp;$E840),SUMIFS(TblApplications[RAM IKS libérable (Go)],TblApplications[Cluster IKS source],$F840,TblApplications[Mois lib (calc)],"&lt;="&amp;$E840)))</f>
        <v>0</v>
      </c>
      <c r="R840" s="19">
        <f t="shared" si="224"/>
        <v>48</v>
      </c>
      <c r="S840" s="19">
        <f t="shared" si="225"/>
        <v>192</v>
      </c>
      <c r="T840" s="19">
        <f t="shared" si="226"/>
        <v>6</v>
      </c>
      <c r="U840" s="19">
        <f t="shared" si="227"/>
        <v>48</v>
      </c>
      <c r="V840" s="19">
        <f t="shared" si="228"/>
        <v>192</v>
      </c>
      <c r="W840" s="73">
        <f t="shared" si="229"/>
        <v>1596</v>
      </c>
      <c r="X840" s="19">
        <f>IF($D840&lt;&gt;1,"",IF($G840="ROKS",$R840,IF($AI840=1,0,MAX($N840,$L840-SUMIFS(TblApplications[CPU IKS libérable (vCPU)],TblApplications[Cluster IKS source],$F840,TblApplications[Action],"À migrer",TblApplications[Mois prov (calc)],"&lt;="&amp;$E840)-SUMIFS(TblApplications[CPU IKS libérable (vCPU)],TblApplications[Cluster IKS source],$F840,TblApplications[Action],"À décommissionner",TblApplications[Mois lib (calc)],"&lt;="&amp;$E840)))))</f>
        <v>48</v>
      </c>
      <c r="Y840" s="19">
        <f>IF($D840&lt;&gt;1,"",IF($G840="ROKS",$S840,IF($AI840=1,0,MAX($O840,$M840-SUMIFS(TblApplications[RAM IKS libérable (Go)],TblApplications[Cluster IKS source],$F840,TblApplications[Action],"À migrer",TblApplications[Mois prov (calc)],"&lt;="&amp;$E840)-SUMIFS(TblApplications[RAM IKS libérable (Go)],TblApplications[Cluster IKS source],$F840,TblApplications[Action],"À décommissionner",TblApplications[Mois lib (calc)],"&lt;="&amp;$E840)))))</f>
        <v>192</v>
      </c>
      <c r="Z840" s="19">
        <f t="shared" si="230"/>
        <v>6</v>
      </c>
      <c r="AA840" s="73">
        <f t="shared" si="231"/>
        <v>1596</v>
      </c>
      <c r="AB840" s="19">
        <f t="shared" si="232"/>
        <v>6</v>
      </c>
      <c r="AC840" s="73">
        <f t="shared" si="233"/>
        <v>1596</v>
      </c>
      <c r="AD840" s="19">
        <f t="shared" si="234"/>
        <v>0</v>
      </c>
      <c r="AE840" s="19">
        <f t="shared" si="235"/>
        <v>0</v>
      </c>
      <c r="AF840" s="19" t="str">
        <f>IF($D840&lt;&gt;1,"",IF(INDEX(TblClusters[Environnement],$B840)="","(vide)",INDEX(TblClusters[Environnement],$B840)))</f>
        <v>NPRD</v>
      </c>
      <c r="AG840" s="19">
        <f t="shared" si="236"/>
        <v>67.2</v>
      </c>
      <c r="AH840" s="19">
        <f t="shared" si="237"/>
        <v>23.75</v>
      </c>
      <c r="AI840" s="19">
        <f>IF($D840&lt;&gt;1,"",IF(AND($G840="IKS",ISNUMBER(INDEX(TblClusters[Fermeture retenue],$B840))),IF($E840&gt;=INDEX(TblClusters[Fermeture retenue],$B840),1,0),0))</f>
        <v>0</v>
      </c>
    </row>
    <row r="841" spans="1:35" x14ac:dyDescent="0.2">
      <c r="A841" s="19">
        <v>836</v>
      </c>
      <c r="B841" s="19">
        <f t="shared" si="221"/>
        <v>24</v>
      </c>
      <c r="C841" s="19">
        <f t="shared" si="222"/>
        <v>8</v>
      </c>
      <c r="D841" s="19">
        <f>IF($C841&gt;p_horizon,0,IFERROR(IF(AND(INDEX(TblClusters[Cluster],$B841)&lt;&gt;"",ISNUMBER(INDEX(TblClusters[CPU initial (vCPU)],$B841)),ISNUMBER(INDEX(TblClusters[CPU min (vCPU)],$B841)),OR(INDEX(TblClusters[Plateforme],$B841)="IKS",INDEX(TblClusters[Plateforme],$B841)="ROKS")),1,0),0))</f>
        <v>1</v>
      </c>
      <c r="E841" s="72">
        <f t="shared" si="223"/>
        <v>46508</v>
      </c>
      <c r="F841" s="19" t="str">
        <f>IF($D841=1,INDEX(TblClusters[Cluster],$B841),"")</f>
        <v>ku002i000510</v>
      </c>
      <c r="G841" s="19" t="str">
        <f>IF($D841=1,INDEX(TblClusters[Plateforme],$B841),"")</f>
        <v>IKS</v>
      </c>
      <c r="H841" s="19">
        <f>IF($D841=1,INDEX(TblClusters[vCPU par nœud],$B841),"")</f>
        <v>8</v>
      </c>
      <c r="I841" s="19">
        <f>IF($D841=1,INDEX(TblClusters[RAM par nœud (Go)],$B841),"")</f>
        <v>32</v>
      </c>
      <c r="J841" s="19">
        <f>IF($D841=1,INDEX(TblClusters[Workers min],$B841),"")</f>
        <v>3</v>
      </c>
      <c r="K841" s="73">
        <f>IF($D841=1,INDEX(TblClusters[Tarif par nœud],$B841),"")</f>
        <v>266</v>
      </c>
      <c r="L841" s="19">
        <f>IF($D841=1,INDEX(TblClusters[CPU initial (vCPU)],$B841),"")</f>
        <v>48</v>
      </c>
      <c r="M841" s="19">
        <f>IF($D841=1,INDEX(TblClusters[RAM initiale (Go)],$B841),"")</f>
        <v>192</v>
      </c>
      <c r="N841" s="19">
        <f>IF($D841=1,INDEX(TblClusters[CPU min (vCPU)],$B841),"")</f>
        <v>24</v>
      </c>
      <c r="O841" s="19">
        <f>IF($D841=1,INDEX(TblClusters[RAM min (Go)],$B841),"")</f>
        <v>96</v>
      </c>
      <c r="P841" s="19">
        <f>IF($D841&lt;&gt;1,"",IF($G841="ROKS",SUMIFS(TblApplications[Besoin ROKS CPU (vCPU)],TblApplications[Cluster ROKS cible],$F841,TblApplications[Action],"À migrer",TblApplications[Déjà incluse ROKS],"Non",TblApplications[Mois prov (calc)],"&lt;="&amp;$E841),SUMIFS(TblApplications[CPU IKS libérable (vCPU)],TblApplications[Cluster IKS source],$F841,TblApplications[Mois lib (calc)],"&lt;="&amp;$E841)))</f>
        <v>0</v>
      </c>
      <c r="Q841" s="19">
        <f>IF($D841&lt;&gt;1,"",IF($G841="ROKS",SUMIFS(TblApplications[Besoin ROKS RAM (Go)],TblApplications[Cluster ROKS cible],$F841,TblApplications[Action],"À migrer",TblApplications[Déjà incluse ROKS],"Non",TblApplications[Mois prov (calc)],"&lt;="&amp;$E841),SUMIFS(TblApplications[RAM IKS libérable (Go)],TblApplications[Cluster IKS source],$F841,TblApplications[Mois lib (calc)],"&lt;="&amp;$E841)))</f>
        <v>0</v>
      </c>
      <c r="R841" s="19">
        <f t="shared" si="224"/>
        <v>48</v>
      </c>
      <c r="S841" s="19">
        <f t="shared" si="225"/>
        <v>192</v>
      </c>
      <c r="T841" s="19">
        <f t="shared" si="226"/>
        <v>6</v>
      </c>
      <c r="U841" s="19">
        <f t="shared" si="227"/>
        <v>48</v>
      </c>
      <c r="V841" s="19">
        <f t="shared" si="228"/>
        <v>192</v>
      </c>
      <c r="W841" s="73">
        <f t="shared" si="229"/>
        <v>1596</v>
      </c>
      <c r="X841" s="19">
        <f>IF($D841&lt;&gt;1,"",IF($G841="ROKS",$R841,IF($AI841=1,0,MAX($N841,$L841-SUMIFS(TblApplications[CPU IKS libérable (vCPU)],TblApplications[Cluster IKS source],$F841,TblApplications[Action],"À migrer",TblApplications[Mois prov (calc)],"&lt;="&amp;$E841)-SUMIFS(TblApplications[CPU IKS libérable (vCPU)],TblApplications[Cluster IKS source],$F841,TblApplications[Action],"À décommissionner",TblApplications[Mois lib (calc)],"&lt;="&amp;$E841)))))</f>
        <v>48</v>
      </c>
      <c r="Y841" s="19">
        <f>IF($D841&lt;&gt;1,"",IF($G841="ROKS",$S841,IF($AI841=1,0,MAX($O841,$M841-SUMIFS(TblApplications[RAM IKS libérable (Go)],TblApplications[Cluster IKS source],$F841,TblApplications[Action],"À migrer",TblApplications[Mois prov (calc)],"&lt;="&amp;$E841)-SUMIFS(TblApplications[RAM IKS libérable (Go)],TblApplications[Cluster IKS source],$F841,TblApplications[Action],"À décommissionner",TblApplications[Mois lib (calc)],"&lt;="&amp;$E841)))))</f>
        <v>192</v>
      </c>
      <c r="Z841" s="19">
        <f t="shared" si="230"/>
        <v>6</v>
      </c>
      <c r="AA841" s="73">
        <f t="shared" si="231"/>
        <v>1596</v>
      </c>
      <c r="AB841" s="19">
        <f t="shared" si="232"/>
        <v>6</v>
      </c>
      <c r="AC841" s="73">
        <f t="shared" si="233"/>
        <v>1596</v>
      </c>
      <c r="AD841" s="19">
        <f t="shared" si="234"/>
        <v>0</v>
      </c>
      <c r="AE841" s="19">
        <f t="shared" si="235"/>
        <v>0</v>
      </c>
      <c r="AF841" s="19" t="str">
        <f>IF($D841&lt;&gt;1,"",IF(INDEX(TblClusters[Environnement],$B841)="","(vide)",INDEX(TblClusters[Environnement],$B841)))</f>
        <v>NPRD</v>
      </c>
      <c r="AG841" s="19">
        <f t="shared" si="236"/>
        <v>67.2</v>
      </c>
      <c r="AH841" s="19">
        <f t="shared" si="237"/>
        <v>23.75</v>
      </c>
      <c r="AI841" s="19">
        <f>IF($D841&lt;&gt;1,"",IF(AND($G841="IKS",ISNUMBER(INDEX(TblClusters[Fermeture retenue],$B841))),IF($E841&gt;=INDEX(TblClusters[Fermeture retenue],$B841),1,0),0))</f>
        <v>0</v>
      </c>
    </row>
    <row r="842" spans="1:35" x14ac:dyDescent="0.2">
      <c r="A842" s="19">
        <v>837</v>
      </c>
      <c r="B842" s="19">
        <f t="shared" si="221"/>
        <v>24</v>
      </c>
      <c r="C842" s="19">
        <f t="shared" si="222"/>
        <v>9</v>
      </c>
      <c r="D842" s="19">
        <f>IF($C842&gt;p_horizon,0,IFERROR(IF(AND(INDEX(TblClusters[Cluster],$B842)&lt;&gt;"",ISNUMBER(INDEX(TblClusters[CPU initial (vCPU)],$B842)),ISNUMBER(INDEX(TblClusters[CPU min (vCPU)],$B842)),OR(INDEX(TblClusters[Plateforme],$B842)="IKS",INDEX(TblClusters[Plateforme],$B842)="ROKS")),1,0),0))</f>
        <v>1</v>
      </c>
      <c r="E842" s="72">
        <f t="shared" si="223"/>
        <v>46539</v>
      </c>
      <c r="F842" s="19" t="str">
        <f>IF($D842=1,INDEX(TblClusters[Cluster],$B842),"")</f>
        <v>ku002i000510</v>
      </c>
      <c r="G842" s="19" t="str">
        <f>IF($D842=1,INDEX(TblClusters[Plateforme],$B842),"")</f>
        <v>IKS</v>
      </c>
      <c r="H842" s="19">
        <f>IF($D842=1,INDEX(TblClusters[vCPU par nœud],$B842),"")</f>
        <v>8</v>
      </c>
      <c r="I842" s="19">
        <f>IF($D842=1,INDEX(TblClusters[RAM par nœud (Go)],$B842),"")</f>
        <v>32</v>
      </c>
      <c r="J842" s="19">
        <f>IF($D842=1,INDEX(TblClusters[Workers min],$B842),"")</f>
        <v>3</v>
      </c>
      <c r="K842" s="73">
        <f>IF($D842=1,INDEX(TblClusters[Tarif par nœud],$B842),"")</f>
        <v>266</v>
      </c>
      <c r="L842" s="19">
        <f>IF($D842=1,INDEX(TblClusters[CPU initial (vCPU)],$B842),"")</f>
        <v>48</v>
      </c>
      <c r="M842" s="19">
        <f>IF($D842=1,INDEX(TblClusters[RAM initiale (Go)],$B842),"")</f>
        <v>192</v>
      </c>
      <c r="N842" s="19">
        <f>IF($D842=1,INDEX(TblClusters[CPU min (vCPU)],$B842),"")</f>
        <v>24</v>
      </c>
      <c r="O842" s="19">
        <f>IF($D842=1,INDEX(TblClusters[RAM min (Go)],$B842),"")</f>
        <v>96</v>
      </c>
      <c r="P842" s="19">
        <f>IF($D842&lt;&gt;1,"",IF($G842="ROKS",SUMIFS(TblApplications[Besoin ROKS CPU (vCPU)],TblApplications[Cluster ROKS cible],$F842,TblApplications[Action],"À migrer",TblApplications[Déjà incluse ROKS],"Non",TblApplications[Mois prov (calc)],"&lt;="&amp;$E842),SUMIFS(TblApplications[CPU IKS libérable (vCPU)],TblApplications[Cluster IKS source],$F842,TblApplications[Mois lib (calc)],"&lt;="&amp;$E842)))</f>
        <v>0</v>
      </c>
      <c r="Q842" s="19">
        <f>IF($D842&lt;&gt;1,"",IF($G842="ROKS",SUMIFS(TblApplications[Besoin ROKS RAM (Go)],TblApplications[Cluster ROKS cible],$F842,TblApplications[Action],"À migrer",TblApplications[Déjà incluse ROKS],"Non",TblApplications[Mois prov (calc)],"&lt;="&amp;$E842),SUMIFS(TblApplications[RAM IKS libérable (Go)],TblApplications[Cluster IKS source],$F842,TblApplications[Mois lib (calc)],"&lt;="&amp;$E842)))</f>
        <v>0</v>
      </c>
      <c r="R842" s="19">
        <f t="shared" si="224"/>
        <v>48</v>
      </c>
      <c r="S842" s="19">
        <f t="shared" si="225"/>
        <v>192</v>
      </c>
      <c r="T842" s="19">
        <f t="shared" si="226"/>
        <v>6</v>
      </c>
      <c r="U842" s="19">
        <f t="shared" si="227"/>
        <v>48</v>
      </c>
      <c r="V842" s="19">
        <f t="shared" si="228"/>
        <v>192</v>
      </c>
      <c r="W842" s="73">
        <f t="shared" si="229"/>
        <v>1596</v>
      </c>
      <c r="X842" s="19">
        <f>IF($D842&lt;&gt;1,"",IF($G842="ROKS",$R842,IF($AI842=1,0,MAX($N842,$L842-SUMIFS(TblApplications[CPU IKS libérable (vCPU)],TblApplications[Cluster IKS source],$F842,TblApplications[Action],"À migrer",TblApplications[Mois prov (calc)],"&lt;="&amp;$E842)-SUMIFS(TblApplications[CPU IKS libérable (vCPU)],TblApplications[Cluster IKS source],$F842,TblApplications[Action],"À décommissionner",TblApplications[Mois lib (calc)],"&lt;="&amp;$E842)))))</f>
        <v>48</v>
      </c>
      <c r="Y842" s="19">
        <f>IF($D842&lt;&gt;1,"",IF($G842="ROKS",$S842,IF($AI842=1,0,MAX($O842,$M842-SUMIFS(TblApplications[RAM IKS libérable (Go)],TblApplications[Cluster IKS source],$F842,TblApplications[Action],"À migrer",TblApplications[Mois prov (calc)],"&lt;="&amp;$E842)-SUMIFS(TblApplications[RAM IKS libérable (Go)],TblApplications[Cluster IKS source],$F842,TblApplications[Action],"À décommissionner",TblApplications[Mois lib (calc)],"&lt;="&amp;$E842)))))</f>
        <v>192</v>
      </c>
      <c r="Z842" s="19">
        <f t="shared" si="230"/>
        <v>6</v>
      </c>
      <c r="AA842" s="73">
        <f t="shared" si="231"/>
        <v>1596</v>
      </c>
      <c r="AB842" s="19">
        <f t="shared" si="232"/>
        <v>6</v>
      </c>
      <c r="AC842" s="73">
        <f t="shared" si="233"/>
        <v>1596</v>
      </c>
      <c r="AD842" s="19">
        <f t="shared" si="234"/>
        <v>0</v>
      </c>
      <c r="AE842" s="19">
        <f t="shared" si="235"/>
        <v>0</v>
      </c>
      <c r="AF842" s="19" t="str">
        <f>IF($D842&lt;&gt;1,"",IF(INDEX(TblClusters[Environnement],$B842)="","(vide)",INDEX(TblClusters[Environnement],$B842)))</f>
        <v>NPRD</v>
      </c>
      <c r="AG842" s="19">
        <f t="shared" si="236"/>
        <v>67.2</v>
      </c>
      <c r="AH842" s="19">
        <f t="shared" si="237"/>
        <v>23.75</v>
      </c>
      <c r="AI842" s="19">
        <f>IF($D842&lt;&gt;1,"",IF(AND($G842="IKS",ISNUMBER(INDEX(TblClusters[Fermeture retenue],$B842))),IF($E842&gt;=INDEX(TblClusters[Fermeture retenue],$B842),1,0),0))</f>
        <v>0</v>
      </c>
    </row>
    <row r="843" spans="1:35" x14ac:dyDescent="0.2">
      <c r="A843" s="19">
        <v>838</v>
      </c>
      <c r="B843" s="19">
        <f t="shared" si="221"/>
        <v>24</v>
      </c>
      <c r="C843" s="19">
        <f t="shared" si="222"/>
        <v>10</v>
      </c>
      <c r="D843" s="19">
        <f>IF($C843&gt;p_horizon,0,IFERROR(IF(AND(INDEX(TblClusters[Cluster],$B843)&lt;&gt;"",ISNUMBER(INDEX(TblClusters[CPU initial (vCPU)],$B843)),ISNUMBER(INDEX(TblClusters[CPU min (vCPU)],$B843)),OR(INDEX(TblClusters[Plateforme],$B843)="IKS",INDEX(TblClusters[Plateforme],$B843)="ROKS")),1,0),0))</f>
        <v>1</v>
      </c>
      <c r="E843" s="72">
        <f t="shared" si="223"/>
        <v>46569</v>
      </c>
      <c r="F843" s="19" t="str">
        <f>IF($D843=1,INDEX(TblClusters[Cluster],$B843),"")</f>
        <v>ku002i000510</v>
      </c>
      <c r="G843" s="19" t="str">
        <f>IF($D843=1,INDEX(TblClusters[Plateforme],$B843),"")</f>
        <v>IKS</v>
      </c>
      <c r="H843" s="19">
        <f>IF($D843=1,INDEX(TblClusters[vCPU par nœud],$B843),"")</f>
        <v>8</v>
      </c>
      <c r="I843" s="19">
        <f>IF($D843=1,INDEX(TblClusters[RAM par nœud (Go)],$B843),"")</f>
        <v>32</v>
      </c>
      <c r="J843" s="19">
        <f>IF($D843=1,INDEX(TblClusters[Workers min],$B843),"")</f>
        <v>3</v>
      </c>
      <c r="K843" s="73">
        <f>IF($D843=1,INDEX(TblClusters[Tarif par nœud],$B843),"")</f>
        <v>266</v>
      </c>
      <c r="L843" s="19">
        <f>IF($D843=1,INDEX(TblClusters[CPU initial (vCPU)],$B843),"")</f>
        <v>48</v>
      </c>
      <c r="M843" s="19">
        <f>IF($D843=1,INDEX(TblClusters[RAM initiale (Go)],$B843),"")</f>
        <v>192</v>
      </c>
      <c r="N843" s="19">
        <f>IF($D843=1,INDEX(TblClusters[CPU min (vCPU)],$B843),"")</f>
        <v>24</v>
      </c>
      <c r="O843" s="19">
        <f>IF($D843=1,INDEX(TblClusters[RAM min (Go)],$B843),"")</f>
        <v>96</v>
      </c>
      <c r="P843" s="19">
        <f>IF($D843&lt;&gt;1,"",IF($G843="ROKS",SUMIFS(TblApplications[Besoin ROKS CPU (vCPU)],TblApplications[Cluster ROKS cible],$F843,TblApplications[Action],"À migrer",TblApplications[Déjà incluse ROKS],"Non",TblApplications[Mois prov (calc)],"&lt;="&amp;$E843),SUMIFS(TblApplications[CPU IKS libérable (vCPU)],TblApplications[Cluster IKS source],$F843,TblApplications[Mois lib (calc)],"&lt;="&amp;$E843)))</f>
        <v>0</v>
      </c>
      <c r="Q843" s="19">
        <f>IF($D843&lt;&gt;1,"",IF($G843="ROKS",SUMIFS(TblApplications[Besoin ROKS RAM (Go)],TblApplications[Cluster ROKS cible],$F843,TblApplications[Action],"À migrer",TblApplications[Déjà incluse ROKS],"Non",TblApplications[Mois prov (calc)],"&lt;="&amp;$E843),SUMIFS(TblApplications[RAM IKS libérable (Go)],TblApplications[Cluster IKS source],$F843,TblApplications[Mois lib (calc)],"&lt;="&amp;$E843)))</f>
        <v>0</v>
      </c>
      <c r="R843" s="19">
        <f t="shared" si="224"/>
        <v>48</v>
      </c>
      <c r="S843" s="19">
        <f t="shared" si="225"/>
        <v>192</v>
      </c>
      <c r="T843" s="19">
        <f t="shared" si="226"/>
        <v>6</v>
      </c>
      <c r="U843" s="19">
        <f t="shared" si="227"/>
        <v>48</v>
      </c>
      <c r="V843" s="19">
        <f t="shared" si="228"/>
        <v>192</v>
      </c>
      <c r="W843" s="73">
        <f t="shared" si="229"/>
        <v>1596</v>
      </c>
      <c r="X843" s="19">
        <f>IF($D843&lt;&gt;1,"",IF($G843="ROKS",$R843,IF($AI843=1,0,MAX($N843,$L843-SUMIFS(TblApplications[CPU IKS libérable (vCPU)],TblApplications[Cluster IKS source],$F843,TblApplications[Action],"À migrer",TblApplications[Mois prov (calc)],"&lt;="&amp;$E843)-SUMIFS(TblApplications[CPU IKS libérable (vCPU)],TblApplications[Cluster IKS source],$F843,TblApplications[Action],"À décommissionner",TblApplications[Mois lib (calc)],"&lt;="&amp;$E843)))))</f>
        <v>48</v>
      </c>
      <c r="Y843" s="19">
        <f>IF($D843&lt;&gt;1,"",IF($G843="ROKS",$S843,IF($AI843=1,0,MAX($O843,$M843-SUMIFS(TblApplications[RAM IKS libérable (Go)],TblApplications[Cluster IKS source],$F843,TblApplications[Action],"À migrer",TblApplications[Mois prov (calc)],"&lt;="&amp;$E843)-SUMIFS(TblApplications[RAM IKS libérable (Go)],TblApplications[Cluster IKS source],$F843,TblApplications[Action],"À décommissionner",TblApplications[Mois lib (calc)],"&lt;="&amp;$E843)))))</f>
        <v>192</v>
      </c>
      <c r="Z843" s="19">
        <f t="shared" si="230"/>
        <v>6</v>
      </c>
      <c r="AA843" s="73">
        <f t="shared" si="231"/>
        <v>1596</v>
      </c>
      <c r="AB843" s="19">
        <f t="shared" si="232"/>
        <v>6</v>
      </c>
      <c r="AC843" s="73">
        <f t="shared" si="233"/>
        <v>1596</v>
      </c>
      <c r="AD843" s="19">
        <f t="shared" si="234"/>
        <v>0</v>
      </c>
      <c r="AE843" s="19">
        <f t="shared" si="235"/>
        <v>0</v>
      </c>
      <c r="AF843" s="19" t="str">
        <f>IF($D843&lt;&gt;1,"",IF(INDEX(TblClusters[Environnement],$B843)="","(vide)",INDEX(TblClusters[Environnement],$B843)))</f>
        <v>NPRD</v>
      </c>
      <c r="AG843" s="19">
        <f t="shared" si="236"/>
        <v>67.2</v>
      </c>
      <c r="AH843" s="19">
        <f t="shared" si="237"/>
        <v>23.75</v>
      </c>
      <c r="AI843" s="19">
        <f>IF($D843&lt;&gt;1,"",IF(AND($G843="IKS",ISNUMBER(INDEX(TblClusters[Fermeture retenue],$B843))),IF($E843&gt;=INDEX(TblClusters[Fermeture retenue],$B843),1,0),0))</f>
        <v>0</v>
      </c>
    </row>
    <row r="844" spans="1:35" x14ac:dyDescent="0.2">
      <c r="A844" s="19">
        <v>839</v>
      </c>
      <c r="B844" s="19">
        <f t="shared" si="221"/>
        <v>24</v>
      </c>
      <c r="C844" s="19">
        <f t="shared" si="222"/>
        <v>11</v>
      </c>
      <c r="D844" s="19">
        <f>IF($C844&gt;p_horizon,0,IFERROR(IF(AND(INDEX(TblClusters[Cluster],$B844)&lt;&gt;"",ISNUMBER(INDEX(TblClusters[CPU initial (vCPU)],$B844)),ISNUMBER(INDEX(TblClusters[CPU min (vCPU)],$B844)),OR(INDEX(TblClusters[Plateforme],$B844)="IKS",INDEX(TblClusters[Plateforme],$B844)="ROKS")),1,0),0))</f>
        <v>1</v>
      </c>
      <c r="E844" s="72">
        <f t="shared" si="223"/>
        <v>46600</v>
      </c>
      <c r="F844" s="19" t="str">
        <f>IF($D844=1,INDEX(TblClusters[Cluster],$B844),"")</f>
        <v>ku002i000510</v>
      </c>
      <c r="G844" s="19" t="str">
        <f>IF($D844=1,INDEX(TblClusters[Plateforme],$B844),"")</f>
        <v>IKS</v>
      </c>
      <c r="H844" s="19">
        <f>IF($D844=1,INDEX(TblClusters[vCPU par nœud],$B844),"")</f>
        <v>8</v>
      </c>
      <c r="I844" s="19">
        <f>IF($D844=1,INDEX(TblClusters[RAM par nœud (Go)],$B844),"")</f>
        <v>32</v>
      </c>
      <c r="J844" s="19">
        <f>IF($D844=1,INDEX(TblClusters[Workers min],$B844),"")</f>
        <v>3</v>
      </c>
      <c r="K844" s="73">
        <f>IF($D844=1,INDEX(TblClusters[Tarif par nœud],$B844),"")</f>
        <v>266</v>
      </c>
      <c r="L844" s="19">
        <f>IF($D844=1,INDEX(TblClusters[CPU initial (vCPU)],$B844),"")</f>
        <v>48</v>
      </c>
      <c r="M844" s="19">
        <f>IF($D844=1,INDEX(TblClusters[RAM initiale (Go)],$B844),"")</f>
        <v>192</v>
      </c>
      <c r="N844" s="19">
        <f>IF($D844=1,INDEX(TblClusters[CPU min (vCPU)],$B844),"")</f>
        <v>24</v>
      </c>
      <c r="O844" s="19">
        <f>IF($D844=1,INDEX(TblClusters[RAM min (Go)],$B844),"")</f>
        <v>96</v>
      </c>
      <c r="P844" s="19">
        <f>IF($D844&lt;&gt;1,"",IF($G844="ROKS",SUMIFS(TblApplications[Besoin ROKS CPU (vCPU)],TblApplications[Cluster ROKS cible],$F844,TblApplications[Action],"À migrer",TblApplications[Déjà incluse ROKS],"Non",TblApplications[Mois prov (calc)],"&lt;="&amp;$E844),SUMIFS(TblApplications[CPU IKS libérable (vCPU)],TblApplications[Cluster IKS source],$F844,TblApplications[Mois lib (calc)],"&lt;="&amp;$E844)))</f>
        <v>0</v>
      </c>
      <c r="Q844" s="19">
        <f>IF($D844&lt;&gt;1,"",IF($G844="ROKS",SUMIFS(TblApplications[Besoin ROKS RAM (Go)],TblApplications[Cluster ROKS cible],$F844,TblApplications[Action],"À migrer",TblApplications[Déjà incluse ROKS],"Non",TblApplications[Mois prov (calc)],"&lt;="&amp;$E844),SUMIFS(TblApplications[RAM IKS libérable (Go)],TblApplications[Cluster IKS source],$F844,TblApplications[Mois lib (calc)],"&lt;="&amp;$E844)))</f>
        <v>0</v>
      </c>
      <c r="R844" s="19">
        <f t="shared" si="224"/>
        <v>48</v>
      </c>
      <c r="S844" s="19">
        <f t="shared" si="225"/>
        <v>192</v>
      </c>
      <c r="T844" s="19">
        <f t="shared" si="226"/>
        <v>6</v>
      </c>
      <c r="U844" s="19">
        <f t="shared" si="227"/>
        <v>48</v>
      </c>
      <c r="V844" s="19">
        <f t="shared" si="228"/>
        <v>192</v>
      </c>
      <c r="W844" s="73">
        <f t="shared" si="229"/>
        <v>1596</v>
      </c>
      <c r="X844" s="19">
        <f>IF($D844&lt;&gt;1,"",IF($G844="ROKS",$R844,IF($AI844=1,0,MAX($N844,$L844-SUMIFS(TblApplications[CPU IKS libérable (vCPU)],TblApplications[Cluster IKS source],$F844,TblApplications[Action],"À migrer",TblApplications[Mois prov (calc)],"&lt;="&amp;$E844)-SUMIFS(TblApplications[CPU IKS libérable (vCPU)],TblApplications[Cluster IKS source],$F844,TblApplications[Action],"À décommissionner",TblApplications[Mois lib (calc)],"&lt;="&amp;$E844)))))</f>
        <v>48</v>
      </c>
      <c r="Y844" s="19">
        <f>IF($D844&lt;&gt;1,"",IF($G844="ROKS",$S844,IF($AI844=1,0,MAX($O844,$M844-SUMIFS(TblApplications[RAM IKS libérable (Go)],TblApplications[Cluster IKS source],$F844,TblApplications[Action],"À migrer",TblApplications[Mois prov (calc)],"&lt;="&amp;$E844)-SUMIFS(TblApplications[RAM IKS libérable (Go)],TblApplications[Cluster IKS source],$F844,TblApplications[Action],"À décommissionner",TblApplications[Mois lib (calc)],"&lt;="&amp;$E844)))))</f>
        <v>192</v>
      </c>
      <c r="Z844" s="19">
        <f t="shared" si="230"/>
        <v>6</v>
      </c>
      <c r="AA844" s="73">
        <f t="shared" si="231"/>
        <v>1596</v>
      </c>
      <c r="AB844" s="19">
        <f t="shared" si="232"/>
        <v>6</v>
      </c>
      <c r="AC844" s="73">
        <f t="shared" si="233"/>
        <v>1596</v>
      </c>
      <c r="AD844" s="19">
        <f t="shared" si="234"/>
        <v>0</v>
      </c>
      <c r="AE844" s="19">
        <f t="shared" si="235"/>
        <v>0</v>
      </c>
      <c r="AF844" s="19" t="str">
        <f>IF($D844&lt;&gt;1,"",IF(INDEX(TblClusters[Environnement],$B844)="","(vide)",INDEX(TblClusters[Environnement],$B844)))</f>
        <v>NPRD</v>
      </c>
      <c r="AG844" s="19">
        <f t="shared" si="236"/>
        <v>67.2</v>
      </c>
      <c r="AH844" s="19">
        <f t="shared" si="237"/>
        <v>23.75</v>
      </c>
      <c r="AI844" s="19">
        <f>IF($D844&lt;&gt;1,"",IF(AND($G844="IKS",ISNUMBER(INDEX(TblClusters[Fermeture retenue],$B844))),IF($E844&gt;=INDEX(TblClusters[Fermeture retenue],$B844),1,0),0))</f>
        <v>0</v>
      </c>
    </row>
    <row r="845" spans="1:35" x14ac:dyDescent="0.2">
      <c r="A845" s="19">
        <v>840</v>
      </c>
      <c r="B845" s="19">
        <f t="shared" si="221"/>
        <v>24</v>
      </c>
      <c r="C845" s="19">
        <f t="shared" si="222"/>
        <v>12</v>
      </c>
      <c r="D845" s="19">
        <f>IF($C845&gt;p_horizon,0,IFERROR(IF(AND(INDEX(TblClusters[Cluster],$B845)&lt;&gt;"",ISNUMBER(INDEX(TblClusters[CPU initial (vCPU)],$B845)),ISNUMBER(INDEX(TblClusters[CPU min (vCPU)],$B845)),OR(INDEX(TblClusters[Plateforme],$B845)="IKS",INDEX(TblClusters[Plateforme],$B845)="ROKS")),1,0),0))</f>
        <v>1</v>
      </c>
      <c r="E845" s="72">
        <f t="shared" si="223"/>
        <v>46631</v>
      </c>
      <c r="F845" s="19" t="str">
        <f>IF($D845=1,INDEX(TblClusters[Cluster],$B845),"")</f>
        <v>ku002i000510</v>
      </c>
      <c r="G845" s="19" t="str">
        <f>IF($D845=1,INDEX(TblClusters[Plateforme],$B845),"")</f>
        <v>IKS</v>
      </c>
      <c r="H845" s="19">
        <f>IF($D845=1,INDEX(TblClusters[vCPU par nœud],$B845),"")</f>
        <v>8</v>
      </c>
      <c r="I845" s="19">
        <f>IF($D845=1,INDEX(TblClusters[RAM par nœud (Go)],$B845),"")</f>
        <v>32</v>
      </c>
      <c r="J845" s="19">
        <f>IF($D845=1,INDEX(TblClusters[Workers min],$B845),"")</f>
        <v>3</v>
      </c>
      <c r="K845" s="73">
        <f>IF($D845=1,INDEX(TblClusters[Tarif par nœud],$B845),"")</f>
        <v>266</v>
      </c>
      <c r="L845" s="19">
        <f>IF($D845=1,INDEX(TblClusters[CPU initial (vCPU)],$B845),"")</f>
        <v>48</v>
      </c>
      <c r="M845" s="19">
        <f>IF($D845=1,INDEX(TblClusters[RAM initiale (Go)],$B845),"")</f>
        <v>192</v>
      </c>
      <c r="N845" s="19">
        <f>IF($D845=1,INDEX(TblClusters[CPU min (vCPU)],$B845),"")</f>
        <v>24</v>
      </c>
      <c r="O845" s="19">
        <f>IF($D845=1,INDEX(TblClusters[RAM min (Go)],$B845),"")</f>
        <v>96</v>
      </c>
      <c r="P845" s="19">
        <f>IF($D845&lt;&gt;1,"",IF($G845="ROKS",SUMIFS(TblApplications[Besoin ROKS CPU (vCPU)],TblApplications[Cluster ROKS cible],$F845,TblApplications[Action],"À migrer",TblApplications[Déjà incluse ROKS],"Non",TblApplications[Mois prov (calc)],"&lt;="&amp;$E845),SUMIFS(TblApplications[CPU IKS libérable (vCPU)],TblApplications[Cluster IKS source],$F845,TblApplications[Mois lib (calc)],"&lt;="&amp;$E845)))</f>
        <v>0</v>
      </c>
      <c r="Q845" s="19">
        <f>IF($D845&lt;&gt;1,"",IF($G845="ROKS",SUMIFS(TblApplications[Besoin ROKS RAM (Go)],TblApplications[Cluster ROKS cible],$F845,TblApplications[Action],"À migrer",TblApplications[Déjà incluse ROKS],"Non",TblApplications[Mois prov (calc)],"&lt;="&amp;$E845),SUMIFS(TblApplications[RAM IKS libérable (Go)],TblApplications[Cluster IKS source],$F845,TblApplications[Mois lib (calc)],"&lt;="&amp;$E845)))</f>
        <v>0</v>
      </c>
      <c r="R845" s="19">
        <f t="shared" si="224"/>
        <v>48</v>
      </c>
      <c r="S845" s="19">
        <f t="shared" si="225"/>
        <v>192</v>
      </c>
      <c r="T845" s="19">
        <f t="shared" si="226"/>
        <v>6</v>
      </c>
      <c r="U845" s="19">
        <f t="shared" si="227"/>
        <v>48</v>
      </c>
      <c r="V845" s="19">
        <f t="shared" si="228"/>
        <v>192</v>
      </c>
      <c r="W845" s="73">
        <f t="shared" si="229"/>
        <v>1596</v>
      </c>
      <c r="X845" s="19">
        <f>IF($D845&lt;&gt;1,"",IF($G845="ROKS",$R845,IF($AI845=1,0,MAX($N845,$L845-SUMIFS(TblApplications[CPU IKS libérable (vCPU)],TblApplications[Cluster IKS source],$F845,TblApplications[Action],"À migrer",TblApplications[Mois prov (calc)],"&lt;="&amp;$E845)-SUMIFS(TblApplications[CPU IKS libérable (vCPU)],TblApplications[Cluster IKS source],$F845,TblApplications[Action],"À décommissionner",TblApplications[Mois lib (calc)],"&lt;="&amp;$E845)))))</f>
        <v>48</v>
      </c>
      <c r="Y845" s="19">
        <f>IF($D845&lt;&gt;1,"",IF($G845="ROKS",$S845,IF($AI845=1,0,MAX($O845,$M845-SUMIFS(TblApplications[RAM IKS libérable (Go)],TblApplications[Cluster IKS source],$F845,TblApplications[Action],"À migrer",TblApplications[Mois prov (calc)],"&lt;="&amp;$E845)-SUMIFS(TblApplications[RAM IKS libérable (Go)],TblApplications[Cluster IKS source],$F845,TblApplications[Action],"À décommissionner",TblApplications[Mois lib (calc)],"&lt;="&amp;$E845)))))</f>
        <v>192</v>
      </c>
      <c r="Z845" s="19">
        <f t="shared" si="230"/>
        <v>6</v>
      </c>
      <c r="AA845" s="73">
        <f t="shared" si="231"/>
        <v>1596</v>
      </c>
      <c r="AB845" s="19">
        <f t="shared" si="232"/>
        <v>6</v>
      </c>
      <c r="AC845" s="73">
        <f t="shared" si="233"/>
        <v>1596</v>
      </c>
      <c r="AD845" s="19">
        <f t="shared" si="234"/>
        <v>0</v>
      </c>
      <c r="AE845" s="19">
        <f t="shared" si="235"/>
        <v>0</v>
      </c>
      <c r="AF845" s="19" t="str">
        <f>IF($D845&lt;&gt;1,"",IF(INDEX(TblClusters[Environnement],$B845)="","(vide)",INDEX(TblClusters[Environnement],$B845)))</f>
        <v>NPRD</v>
      </c>
      <c r="AG845" s="19">
        <f t="shared" si="236"/>
        <v>67.2</v>
      </c>
      <c r="AH845" s="19">
        <f t="shared" si="237"/>
        <v>23.75</v>
      </c>
      <c r="AI845" s="19">
        <f>IF($D845&lt;&gt;1,"",IF(AND($G845="IKS",ISNUMBER(INDEX(TblClusters[Fermeture retenue],$B845))),IF($E845&gt;=INDEX(TblClusters[Fermeture retenue],$B845),1,0),0))</f>
        <v>0</v>
      </c>
    </row>
    <row r="846" spans="1:35" x14ac:dyDescent="0.2">
      <c r="A846" s="19">
        <v>841</v>
      </c>
      <c r="B846" s="19">
        <f t="shared" si="221"/>
        <v>24</v>
      </c>
      <c r="C846" s="19">
        <f t="shared" si="222"/>
        <v>13</v>
      </c>
      <c r="D846" s="19">
        <f>IF($C846&gt;p_horizon,0,IFERROR(IF(AND(INDEX(TblClusters[Cluster],$B846)&lt;&gt;"",ISNUMBER(INDEX(TblClusters[CPU initial (vCPU)],$B846)),ISNUMBER(INDEX(TblClusters[CPU min (vCPU)],$B846)),OR(INDEX(TblClusters[Plateforme],$B846)="IKS",INDEX(TblClusters[Plateforme],$B846)="ROKS")),1,0),0))</f>
        <v>1</v>
      </c>
      <c r="E846" s="72">
        <f t="shared" si="223"/>
        <v>46661</v>
      </c>
      <c r="F846" s="19" t="str">
        <f>IF($D846=1,INDEX(TblClusters[Cluster],$B846),"")</f>
        <v>ku002i000510</v>
      </c>
      <c r="G846" s="19" t="str">
        <f>IF($D846=1,INDEX(TblClusters[Plateforme],$B846),"")</f>
        <v>IKS</v>
      </c>
      <c r="H846" s="19">
        <f>IF($D846=1,INDEX(TblClusters[vCPU par nœud],$B846),"")</f>
        <v>8</v>
      </c>
      <c r="I846" s="19">
        <f>IF($D846=1,INDEX(TblClusters[RAM par nœud (Go)],$B846),"")</f>
        <v>32</v>
      </c>
      <c r="J846" s="19">
        <f>IF($D846=1,INDEX(TblClusters[Workers min],$B846),"")</f>
        <v>3</v>
      </c>
      <c r="K846" s="73">
        <f>IF($D846=1,INDEX(TblClusters[Tarif par nœud],$B846),"")</f>
        <v>266</v>
      </c>
      <c r="L846" s="19">
        <f>IF($D846=1,INDEX(TblClusters[CPU initial (vCPU)],$B846),"")</f>
        <v>48</v>
      </c>
      <c r="M846" s="19">
        <f>IF($D846=1,INDEX(TblClusters[RAM initiale (Go)],$B846),"")</f>
        <v>192</v>
      </c>
      <c r="N846" s="19">
        <f>IF($D846=1,INDEX(TblClusters[CPU min (vCPU)],$B846),"")</f>
        <v>24</v>
      </c>
      <c r="O846" s="19">
        <f>IF($D846=1,INDEX(TblClusters[RAM min (Go)],$B846),"")</f>
        <v>96</v>
      </c>
      <c r="P846" s="19">
        <f>IF($D846&lt;&gt;1,"",IF($G846="ROKS",SUMIFS(TblApplications[Besoin ROKS CPU (vCPU)],TblApplications[Cluster ROKS cible],$F846,TblApplications[Action],"À migrer",TblApplications[Déjà incluse ROKS],"Non",TblApplications[Mois prov (calc)],"&lt;="&amp;$E846),SUMIFS(TblApplications[CPU IKS libérable (vCPU)],TblApplications[Cluster IKS source],$F846,TblApplications[Mois lib (calc)],"&lt;="&amp;$E846)))</f>
        <v>0</v>
      </c>
      <c r="Q846" s="19">
        <f>IF($D846&lt;&gt;1,"",IF($G846="ROKS",SUMIFS(TblApplications[Besoin ROKS RAM (Go)],TblApplications[Cluster ROKS cible],$F846,TblApplications[Action],"À migrer",TblApplications[Déjà incluse ROKS],"Non",TblApplications[Mois prov (calc)],"&lt;="&amp;$E846),SUMIFS(TblApplications[RAM IKS libérable (Go)],TblApplications[Cluster IKS source],$F846,TblApplications[Mois lib (calc)],"&lt;="&amp;$E846)))</f>
        <v>0</v>
      </c>
      <c r="R846" s="19">
        <f t="shared" si="224"/>
        <v>48</v>
      </c>
      <c r="S846" s="19">
        <f t="shared" si="225"/>
        <v>192</v>
      </c>
      <c r="T846" s="19">
        <f t="shared" si="226"/>
        <v>6</v>
      </c>
      <c r="U846" s="19">
        <f t="shared" si="227"/>
        <v>48</v>
      </c>
      <c r="V846" s="19">
        <f t="shared" si="228"/>
        <v>192</v>
      </c>
      <c r="W846" s="73">
        <f t="shared" si="229"/>
        <v>1596</v>
      </c>
      <c r="X846" s="19">
        <f>IF($D846&lt;&gt;1,"",IF($G846="ROKS",$R846,IF($AI846=1,0,MAX($N846,$L846-SUMIFS(TblApplications[CPU IKS libérable (vCPU)],TblApplications[Cluster IKS source],$F846,TblApplications[Action],"À migrer",TblApplications[Mois prov (calc)],"&lt;="&amp;$E846)-SUMIFS(TblApplications[CPU IKS libérable (vCPU)],TblApplications[Cluster IKS source],$F846,TblApplications[Action],"À décommissionner",TblApplications[Mois lib (calc)],"&lt;="&amp;$E846)))))</f>
        <v>48</v>
      </c>
      <c r="Y846" s="19">
        <f>IF($D846&lt;&gt;1,"",IF($G846="ROKS",$S846,IF($AI846=1,0,MAX($O846,$M846-SUMIFS(TblApplications[RAM IKS libérable (Go)],TblApplications[Cluster IKS source],$F846,TblApplications[Action],"À migrer",TblApplications[Mois prov (calc)],"&lt;="&amp;$E846)-SUMIFS(TblApplications[RAM IKS libérable (Go)],TblApplications[Cluster IKS source],$F846,TblApplications[Action],"À décommissionner",TblApplications[Mois lib (calc)],"&lt;="&amp;$E846)))))</f>
        <v>192</v>
      </c>
      <c r="Z846" s="19">
        <f t="shared" si="230"/>
        <v>6</v>
      </c>
      <c r="AA846" s="73">
        <f t="shared" si="231"/>
        <v>1596</v>
      </c>
      <c r="AB846" s="19">
        <f t="shared" si="232"/>
        <v>6</v>
      </c>
      <c r="AC846" s="73">
        <f t="shared" si="233"/>
        <v>1596</v>
      </c>
      <c r="AD846" s="19">
        <f t="shared" si="234"/>
        <v>0</v>
      </c>
      <c r="AE846" s="19">
        <f t="shared" si="235"/>
        <v>0</v>
      </c>
      <c r="AF846" s="19" t="str">
        <f>IF($D846&lt;&gt;1,"",IF(INDEX(TblClusters[Environnement],$B846)="","(vide)",INDEX(TblClusters[Environnement],$B846)))</f>
        <v>NPRD</v>
      </c>
      <c r="AG846" s="19">
        <f t="shared" si="236"/>
        <v>67.2</v>
      </c>
      <c r="AH846" s="19">
        <f t="shared" si="237"/>
        <v>23.75</v>
      </c>
      <c r="AI846" s="19">
        <f>IF($D846&lt;&gt;1,"",IF(AND($G846="IKS",ISNUMBER(INDEX(TblClusters[Fermeture retenue],$B846))),IF($E846&gt;=INDEX(TblClusters[Fermeture retenue],$B846),1,0),0))</f>
        <v>0</v>
      </c>
    </row>
    <row r="847" spans="1:35" x14ac:dyDescent="0.2">
      <c r="A847" s="19">
        <v>842</v>
      </c>
      <c r="B847" s="19">
        <f t="shared" si="221"/>
        <v>24</v>
      </c>
      <c r="C847" s="19">
        <f t="shared" si="222"/>
        <v>14</v>
      </c>
      <c r="D847" s="19">
        <f>IF($C847&gt;p_horizon,0,IFERROR(IF(AND(INDEX(TblClusters[Cluster],$B847)&lt;&gt;"",ISNUMBER(INDEX(TblClusters[CPU initial (vCPU)],$B847)),ISNUMBER(INDEX(TblClusters[CPU min (vCPU)],$B847)),OR(INDEX(TblClusters[Plateforme],$B847)="IKS",INDEX(TblClusters[Plateforme],$B847)="ROKS")),1,0),0))</f>
        <v>1</v>
      </c>
      <c r="E847" s="72">
        <f t="shared" si="223"/>
        <v>46692</v>
      </c>
      <c r="F847" s="19" t="str">
        <f>IF($D847=1,INDEX(TblClusters[Cluster],$B847),"")</f>
        <v>ku002i000510</v>
      </c>
      <c r="G847" s="19" t="str">
        <f>IF($D847=1,INDEX(TblClusters[Plateforme],$B847),"")</f>
        <v>IKS</v>
      </c>
      <c r="H847" s="19">
        <f>IF($D847=1,INDEX(TblClusters[vCPU par nœud],$B847),"")</f>
        <v>8</v>
      </c>
      <c r="I847" s="19">
        <f>IF($D847=1,INDEX(TblClusters[RAM par nœud (Go)],$B847),"")</f>
        <v>32</v>
      </c>
      <c r="J847" s="19">
        <f>IF($D847=1,INDEX(TblClusters[Workers min],$B847),"")</f>
        <v>3</v>
      </c>
      <c r="K847" s="73">
        <f>IF($D847=1,INDEX(TblClusters[Tarif par nœud],$B847),"")</f>
        <v>266</v>
      </c>
      <c r="L847" s="19">
        <f>IF($D847=1,INDEX(TblClusters[CPU initial (vCPU)],$B847),"")</f>
        <v>48</v>
      </c>
      <c r="M847" s="19">
        <f>IF($D847=1,INDEX(TblClusters[RAM initiale (Go)],$B847),"")</f>
        <v>192</v>
      </c>
      <c r="N847" s="19">
        <f>IF($D847=1,INDEX(TblClusters[CPU min (vCPU)],$B847),"")</f>
        <v>24</v>
      </c>
      <c r="O847" s="19">
        <f>IF($D847=1,INDEX(TblClusters[RAM min (Go)],$B847),"")</f>
        <v>96</v>
      </c>
      <c r="P847" s="19">
        <f>IF($D847&lt;&gt;1,"",IF($G847="ROKS",SUMIFS(TblApplications[Besoin ROKS CPU (vCPU)],TblApplications[Cluster ROKS cible],$F847,TblApplications[Action],"À migrer",TblApplications[Déjà incluse ROKS],"Non",TblApplications[Mois prov (calc)],"&lt;="&amp;$E847),SUMIFS(TblApplications[CPU IKS libérable (vCPU)],TblApplications[Cluster IKS source],$F847,TblApplications[Mois lib (calc)],"&lt;="&amp;$E847)))</f>
        <v>0</v>
      </c>
      <c r="Q847" s="19">
        <f>IF($D847&lt;&gt;1,"",IF($G847="ROKS",SUMIFS(TblApplications[Besoin ROKS RAM (Go)],TblApplications[Cluster ROKS cible],$F847,TblApplications[Action],"À migrer",TblApplications[Déjà incluse ROKS],"Non",TblApplications[Mois prov (calc)],"&lt;="&amp;$E847),SUMIFS(TblApplications[RAM IKS libérable (Go)],TblApplications[Cluster IKS source],$F847,TblApplications[Mois lib (calc)],"&lt;="&amp;$E847)))</f>
        <v>0</v>
      </c>
      <c r="R847" s="19">
        <f t="shared" si="224"/>
        <v>48</v>
      </c>
      <c r="S847" s="19">
        <f t="shared" si="225"/>
        <v>192</v>
      </c>
      <c r="T847" s="19">
        <f t="shared" si="226"/>
        <v>6</v>
      </c>
      <c r="U847" s="19">
        <f t="shared" si="227"/>
        <v>48</v>
      </c>
      <c r="V847" s="19">
        <f t="shared" si="228"/>
        <v>192</v>
      </c>
      <c r="W847" s="73">
        <f t="shared" si="229"/>
        <v>1596</v>
      </c>
      <c r="X847" s="19">
        <f>IF($D847&lt;&gt;1,"",IF($G847="ROKS",$R847,IF($AI847=1,0,MAX($N847,$L847-SUMIFS(TblApplications[CPU IKS libérable (vCPU)],TblApplications[Cluster IKS source],$F847,TblApplications[Action],"À migrer",TblApplications[Mois prov (calc)],"&lt;="&amp;$E847)-SUMIFS(TblApplications[CPU IKS libérable (vCPU)],TblApplications[Cluster IKS source],$F847,TblApplications[Action],"À décommissionner",TblApplications[Mois lib (calc)],"&lt;="&amp;$E847)))))</f>
        <v>48</v>
      </c>
      <c r="Y847" s="19">
        <f>IF($D847&lt;&gt;1,"",IF($G847="ROKS",$S847,IF($AI847=1,0,MAX($O847,$M847-SUMIFS(TblApplications[RAM IKS libérable (Go)],TblApplications[Cluster IKS source],$F847,TblApplications[Action],"À migrer",TblApplications[Mois prov (calc)],"&lt;="&amp;$E847)-SUMIFS(TblApplications[RAM IKS libérable (Go)],TblApplications[Cluster IKS source],$F847,TblApplications[Action],"À décommissionner",TblApplications[Mois lib (calc)],"&lt;="&amp;$E847)))))</f>
        <v>192</v>
      </c>
      <c r="Z847" s="19">
        <f t="shared" si="230"/>
        <v>6</v>
      </c>
      <c r="AA847" s="73">
        <f t="shared" si="231"/>
        <v>1596</v>
      </c>
      <c r="AB847" s="19">
        <f t="shared" si="232"/>
        <v>6</v>
      </c>
      <c r="AC847" s="73">
        <f t="shared" si="233"/>
        <v>1596</v>
      </c>
      <c r="AD847" s="19">
        <f t="shared" si="234"/>
        <v>0</v>
      </c>
      <c r="AE847" s="19">
        <f t="shared" si="235"/>
        <v>0</v>
      </c>
      <c r="AF847" s="19" t="str">
        <f>IF($D847&lt;&gt;1,"",IF(INDEX(TblClusters[Environnement],$B847)="","(vide)",INDEX(TblClusters[Environnement],$B847)))</f>
        <v>NPRD</v>
      </c>
      <c r="AG847" s="19">
        <f t="shared" si="236"/>
        <v>67.2</v>
      </c>
      <c r="AH847" s="19">
        <f t="shared" si="237"/>
        <v>23.75</v>
      </c>
      <c r="AI847" s="19">
        <f>IF($D847&lt;&gt;1,"",IF(AND($G847="IKS",ISNUMBER(INDEX(TblClusters[Fermeture retenue],$B847))),IF($E847&gt;=INDEX(TblClusters[Fermeture retenue],$B847),1,0),0))</f>
        <v>0</v>
      </c>
    </row>
    <row r="848" spans="1:35" x14ac:dyDescent="0.2">
      <c r="A848" s="19">
        <v>843</v>
      </c>
      <c r="B848" s="19">
        <f t="shared" si="221"/>
        <v>24</v>
      </c>
      <c r="C848" s="19">
        <f t="shared" si="222"/>
        <v>15</v>
      </c>
      <c r="D848" s="19">
        <f>IF($C848&gt;p_horizon,0,IFERROR(IF(AND(INDEX(TblClusters[Cluster],$B848)&lt;&gt;"",ISNUMBER(INDEX(TblClusters[CPU initial (vCPU)],$B848)),ISNUMBER(INDEX(TblClusters[CPU min (vCPU)],$B848)),OR(INDEX(TblClusters[Plateforme],$B848)="IKS",INDEX(TblClusters[Plateforme],$B848)="ROKS")),1,0),0))</f>
        <v>1</v>
      </c>
      <c r="E848" s="72">
        <f t="shared" si="223"/>
        <v>46722</v>
      </c>
      <c r="F848" s="19" t="str">
        <f>IF($D848=1,INDEX(TblClusters[Cluster],$B848),"")</f>
        <v>ku002i000510</v>
      </c>
      <c r="G848" s="19" t="str">
        <f>IF($D848=1,INDEX(TblClusters[Plateforme],$B848),"")</f>
        <v>IKS</v>
      </c>
      <c r="H848" s="19">
        <f>IF($D848=1,INDEX(TblClusters[vCPU par nœud],$B848),"")</f>
        <v>8</v>
      </c>
      <c r="I848" s="19">
        <f>IF($D848=1,INDEX(TblClusters[RAM par nœud (Go)],$B848),"")</f>
        <v>32</v>
      </c>
      <c r="J848" s="19">
        <f>IF($D848=1,INDEX(TblClusters[Workers min],$B848),"")</f>
        <v>3</v>
      </c>
      <c r="K848" s="73">
        <f>IF($D848=1,INDEX(TblClusters[Tarif par nœud],$B848),"")</f>
        <v>266</v>
      </c>
      <c r="L848" s="19">
        <f>IF($D848=1,INDEX(TblClusters[CPU initial (vCPU)],$B848),"")</f>
        <v>48</v>
      </c>
      <c r="M848" s="19">
        <f>IF($D848=1,INDEX(TblClusters[RAM initiale (Go)],$B848),"")</f>
        <v>192</v>
      </c>
      <c r="N848" s="19">
        <f>IF($D848=1,INDEX(TblClusters[CPU min (vCPU)],$B848),"")</f>
        <v>24</v>
      </c>
      <c r="O848" s="19">
        <f>IF($D848=1,INDEX(TblClusters[RAM min (Go)],$B848),"")</f>
        <v>96</v>
      </c>
      <c r="P848" s="19">
        <f>IF($D848&lt;&gt;1,"",IF($G848="ROKS",SUMIFS(TblApplications[Besoin ROKS CPU (vCPU)],TblApplications[Cluster ROKS cible],$F848,TblApplications[Action],"À migrer",TblApplications[Déjà incluse ROKS],"Non",TblApplications[Mois prov (calc)],"&lt;="&amp;$E848),SUMIFS(TblApplications[CPU IKS libérable (vCPU)],TblApplications[Cluster IKS source],$F848,TblApplications[Mois lib (calc)],"&lt;="&amp;$E848)))</f>
        <v>0</v>
      </c>
      <c r="Q848" s="19">
        <f>IF($D848&lt;&gt;1,"",IF($G848="ROKS",SUMIFS(TblApplications[Besoin ROKS RAM (Go)],TblApplications[Cluster ROKS cible],$F848,TblApplications[Action],"À migrer",TblApplications[Déjà incluse ROKS],"Non",TblApplications[Mois prov (calc)],"&lt;="&amp;$E848),SUMIFS(TblApplications[RAM IKS libérable (Go)],TblApplications[Cluster IKS source],$F848,TblApplications[Mois lib (calc)],"&lt;="&amp;$E848)))</f>
        <v>0</v>
      </c>
      <c r="R848" s="19">
        <f t="shared" si="224"/>
        <v>48</v>
      </c>
      <c r="S848" s="19">
        <f t="shared" si="225"/>
        <v>192</v>
      </c>
      <c r="T848" s="19">
        <f t="shared" si="226"/>
        <v>6</v>
      </c>
      <c r="U848" s="19">
        <f t="shared" si="227"/>
        <v>48</v>
      </c>
      <c r="V848" s="19">
        <f t="shared" si="228"/>
        <v>192</v>
      </c>
      <c r="W848" s="73">
        <f t="shared" si="229"/>
        <v>1596</v>
      </c>
      <c r="X848" s="19">
        <f>IF($D848&lt;&gt;1,"",IF($G848="ROKS",$R848,IF($AI848=1,0,MAX($N848,$L848-SUMIFS(TblApplications[CPU IKS libérable (vCPU)],TblApplications[Cluster IKS source],$F848,TblApplications[Action],"À migrer",TblApplications[Mois prov (calc)],"&lt;="&amp;$E848)-SUMIFS(TblApplications[CPU IKS libérable (vCPU)],TblApplications[Cluster IKS source],$F848,TblApplications[Action],"À décommissionner",TblApplications[Mois lib (calc)],"&lt;="&amp;$E848)))))</f>
        <v>48</v>
      </c>
      <c r="Y848" s="19">
        <f>IF($D848&lt;&gt;1,"",IF($G848="ROKS",$S848,IF($AI848=1,0,MAX($O848,$M848-SUMIFS(TblApplications[RAM IKS libérable (Go)],TblApplications[Cluster IKS source],$F848,TblApplications[Action],"À migrer",TblApplications[Mois prov (calc)],"&lt;="&amp;$E848)-SUMIFS(TblApplications[RAM IKS libérable (Go)],TblApplications[Cluster IKS source],$F848,TblApplications[Action],"À décommissionner",TblApplications[Mois lib (calc)],"&lt;="&amp;$E848)))))</f>
        <v>192</v>
      </c>
      <c r="Z848" s="19">
        <f t="shared" si="230"/>
        <v>6</v>
      </c>
      <c r="AA848" s="73">
        <f t="shared" si="231"/>
        <v>1596</v>
      </c>
      <c r="AB848" s="19">
        <f t="shared" si="232"/>
        <v>6</v>
      </c>
      <c r="AC848" s="73">
        <f t="shared" si="233"/>
        <v>1596</v>
      </c>
      <c r="AD848" s="19">
        <f t="shared" si="234"/>
        <v>0</v>
      </c>
      <c r="AE848" s="19">
        <f t="shared" si="235"/>
        <v>0</v>
      </c>
      <c r="AF848" s="19" t="str">
        <f>IF($D848&lt;&gt;1,"",IF(INDEX(TblClusters[Environnement],$B848)="","(vide)",INDEX(TblClusters[Environnement],$B848)))</f>
        <v>NPRD</v>
      </c>
      <c r="AG848" s="19">
        <f t="shared" si="236"/>
        <v>67.2</v>
      </c>
      <c r="AH848" s="19">
        <f t="shared" si="237"/>
        <v>23.75</v>
      </c>
      <c r="AI848" s="19">
        <f>IF($D848&lt;&gt;1,"",IF(AND($G848="IKS",ISNUMBER(INDEX(TblClusters[Fermeture retenue],$B848))),IF($E848&gt;=INDEX(TblClusters[Fermeture retenue],$B848),1,0),0))</f>
        <v>0</v>
      </c>
    </row>
    <row r="849" spans="1:35" x14ac:dyDescent="0.2">
      <c r="A849" s="19">
        <v>844</v>
      </c>
      <c r="B849" s="19">
        <f t="shared" si="221"/>
        <v>24</v>
      </c>
      <c r="C849" s="19">
        <f t="shared" si="222"/>
        <v>16</v>
      </c>
      <c r="D849" s="19">
        <f>IF($C849&gt;p_horizon,0,IFERROR(IF(AND(INDEX(TblClusters[Cluster],$B849)&lt;&gt;"",ISNUMBER(INDEX(TblClusters[CPU initial (vCPU)],$B849)),ISNUMBER(INDEX(TblClusters[CPU min (vCPU)],$B849)),OR(INDEX(TblClusters[Plateforme],$B849)="IKS",INDEX(TblClusters[Plateforme],$B849)="ROKS")),1,0),0))</f>
        <v>1</v>
      </c>
      <c r="E849" s="72">
        <f t="shared" si="223"/>
        <v>46753</v>
      </c>
      <c r="F849" s="19" t="str">
        <f>IF($D849=1,INDEX(TblClusters[Cluster],$B849),"")</f>
        <v>ku002i000510</v>
      </c>
      <c r="G849" s="19" t="str">
        <f>IF($D849=1,INDEX(TblClusters[Plateforme],$B849),"")</f>
        <v>IKS</v>
      </c>
      <c r="H849" s="19">
        <f>IF($D849=1,INDEX(TblClusters[vCPU par nœud],$B849),"")</f>
        <v>8</v>
      </c>
      <c r="I849" s="19">
        <f>IF($D849=1,INDEX(TblClusters[RAM par nœud (Go)],$B849),"")</f>
        <v>32</v>
      </c>
      <c r="J849" s="19">
        <f>IF($D849=1,INDEX(TblClusters[Workers min],$B849),"")</f>
        <v>3</v>
      </c>
      <c r="K849" s="73">
        <f>IF($D849=1,INDEX(TblClusters[Tarif par nœud],$B849),"")</f>
        <v>266</v>
      </c>
      <c r="L849" s="19">
        <f>IF($D849=1,INDEX(TblClusters[CPU initial (vCPU)],$B849),"")</f>
        <v>48</v>
      </c>
      <c r="M849" s="19">
        <f>IF($D849=1,INDEX(TblClusters[RAM initiale (Go)],$B849),"")</f>
        <v>192</v>
      </c>
      <c r="N849" s="19">
        <f>IF($D849=1,INDEX(TblClusters[CPU min (vCPU)],$B849),"")</f>
        <v>24</v>
      </c>
      <c r="O849" s="19">
        <f>IF($D849=1,INDEX(TblClusters[RAM min (Go)],$B849),"")</f>
        <v>96</v>
      </c>
      <c r="P849" s="19">
        <f>IF($D849&lt;&gt;1,"",IF($G849="ROKS",SUMIFS(TblApplications[Besoin ROKS CPU (vCPU)],TblApplications[Cluster ROKS cible],$F849,TblApplications[Action],"À migrer",TblApplications[Déjà incluse ROKS],"Non",TblApplications[Mois prov (calc)],"&lt;="&amp;$E849),SUMIFS(TblApplications[CPU IKS libérable (vCPU)],TblApplications[Cluster IKS source],$F849,TblApplications[Mois lib (calc)],"&lt;="&amp;$E849)))</f>
        <v>0</v>
      </c>
      <c r="Q849" s="19">
        <f>IF($D849&lt;&gt;1,"",IF($G849="ROKS",SUMIFS(TblApplications[Besoin ROKS RAM (Go)],TblApplications[Cluster ROKS cible],$F849,TblApplications[Action],"À migrer",TblApplications[Déjà incluse ROKS],"Non",TblApplications[Mois prov (calc)],"&lt;="&amp;$E849),SUMIFS(TblApplications[RAM IKS libérable (Go)],TblApplications[Cluster IKS source],$F849,TblApplications[Mois lib (calc)],"&lt;="&amp;$E849)))</f>
        <v>0</v>
      </c>
      <c r="R849" s="19">
        <f t="shared" si="224"/>
        <v>48</v>
      </c>
      <c r="S849" s="19">
        <f t="shared" si="225"/>
        <v>192</v>
      </c>
      <c r="T849" s="19">
        <f t="shared" si="226"/>
        <v>6</v>
      </c>
      <c r="U849" s="19">
        <f t="shared" si="227"/>
        <v>48</v>
      </c>
      <c r="V849" s="19">
        <f t="shared" si="228"/>
        <v>192</v>
      </c>
      <c r="W849" s="73">
        <f t="shared" si="229"/>
        <v>1596</v>
      </c>
      <c r="X849" s="19">
        <f>IF($D849&lt;&gt;1,"",IF($G849="ROKS",$R849,IF($AI849=1,0,MAX($N849,$L849-SUMIFS(TblApplications[CPU IKS libérable (vCPU)],TblApplications[Cluster IKS source],$F849,TblApplications[Action],"À migrer",TblApplications[Mois prov (calc)],"&lt;="&amp;$E849)-SUMIFS(TblApplications[CPU IKS libérable (vCPU)],TblApplications[Cluster IKS source],$F849,TblApplications[Action],"À décommissionner",TblApplications[Mois lib (calc)],"&lt;="&amp;$E849)))))</f>
        <v>48</v>
      </c>
      <c r="Y849" s="19">
        <f>IF($D849&lt;&gt;1,"",IF($G849="ROKS",$S849,IF($AI849=1,0,MAX($O849,$M849-SUMIFS(TblApplications[RAM IKS libérable (Go)],TblApplications[Cluster IKS source],$F849,TblApplications[Action],"À migrer",TblApplications[Mois prov (calc)],"&lt;="&amp;$E849)-SUMIFS(TblApplications[RAM IKS libérable (Go)],TblApplications[Cluster IKS source],$F849,TblApplications[Action],"À décommissionner",TblApplications[Mois lib (calc)],"&lt;="&amp;$E849)))))</f>
        <v>192</v>
      </c>
      <c r="Z849" s="19">
        <f t="shared" si="230"/>
        <v>6</v>
      </c>
      <c r="AA849" s="73">
        <f t="shared" si="231"/>
        <v>1596</v>
      </c>
      <c r="AB849" s="19">
        <f t="shared" si="232"/>
        <v>6</v>
      </c>
      <c r="AC849" s="73">
        <f t="shared" si="233"/>
        <v>1596</v>
      </c>
      <c r="AD849" s="19">
        <f t="shared" si="234"/>
        <v>0</v>
      </c>
      <c r="AE849" s="19">
        <f t="shared" si="235"/>
        <v>0</v>
      </c>
      <c r="AF849" s="19" t="str">
        <f>IF($D849&lt;&gt;1,"",IF(INDEX(TblClusters[Environnement],$B849)="","(vide)",INDEX(TblClusters[Environnement],$B849)))</f>
        <v>NPRD</v>
      </c>
      <c r="AG849" s="19">
        <f t="shared" si="236"/>
        <v>67.2</v>
      </c>
      <c r="AH849" s="19">
        <f t="shared" si="237"/>
        <v>23.75</v>
      </c>
      <c r="AI849" s="19">
        <f>IF($D849&lt;&gt;1,"",IF(AND($G849="IKS",ISNUMBER(INDEX(TblClusters[Fermeture retenue],$B849))),IF($E849&gt;=INDEX(TblClusters[Fermeture retenue],$B849),1,0),0))</f>
        <v>0</v>
      </c>
    </row>
    <row r="850" spans="1:35" x14ac:dyDescent="0.2">
      <c r="A850" s="19">
        <v>845</v>
      </c>
      <c r="B850" s="19">
        <f t="shared" si="221"/>
        <v>24</v>
      </c>
      <c r="C850" s="19">
        <f t="shared" si="222"/>
        <v>17</v>
      </c>
      <c r="D850" s="19">
        <f>IF($C850&gt;p_horizon,0,IFERROR(IF(AND(INDEX(TblClusters[Cluster],$B850)&lt;&gt;"",ISNUMBER(INDEX(TblClusters[CPU initial (vCPU)],$B850)),ISNUMBER(INDEX(TblClusters[CPU min (vCPU)],$B850)),OR(INDEX(TblClusters[Plateforme],$B850)="IKS",INDEX(TblClusters[Plateforme],$B850)="ROKS")),1,0),0))</f>
        <v>1</v>
      </c>
      <c r="E850" s="72">
        <f t="shared" si="223"/>
        <v>46784</v>
      </c>
      <c r="F850" s="19" t="str">
        <f>IF($D850=1,INDEX(TblClusters[Cluster],$B850),"")</f>
        <v>ku002i000510</v>
      </c>
      <c r="G850" s="19" t="str">
        <f>IF($D850=1,INDEX(TblClusters[Plateforme],$B850),"")</f>
        <v>IKS</v>
      </c>
      <c r="H850" s="19">
        <f>IF($D850=1,INDEX(TblClusters[vCPU par nœud],$B850),"")</f>
        <v>8</v>
      </c>
      <c r="I850" s="19">
        <f>IF($D850=1,INDEX(TblClusters[RAM par nœud (Go)],$B850),"")</f>
        <v>32</v>
      </c>
      <c r="J850" s="19">
        <f>IF($D850=1,INDEX(TblClusters[Workers min],$B850),"")</f>
        <v>3</v>
      </c>
      <c r="K850" s="73">
        <f>IF($D850=1,INDEX(TblClusters[Tarif par nœud],$B850),"")</f>
        <v>266</v>
      </c>
      <c r="L850" s="19">
        <f>IF($D850=1,INDEX(TblClusters[CPU initial (vCPU)],$B850),"")</f>
        <v>48</v>
      </c>
      <c r="M850" s="19">
        <f>IF($D850=1,INDEX(TblClusters[RAM initiale (Go)],$B850),"")</f>
        <v>192</v>
      </c>
      <c r="N850" s="19">
        <f>IF($D850=1,INDEX(TblClusters[CPU min (vCPU)],$B850),"")</f>
        <v>24</v>
      </c>
      <c r="O850" s="19">
        <f>IF($D850=1,INDEX(TblClusters[RAM min (Go)],$B850),"")</f>
        <v>96</v>
      </c>
      <c r="P850" s="19">
        <f>IF($D850&lt;&gt;1,"",IF($G850="ROKS",SUMIFS(TblApplications[Besoin ROKS CPU (vCPU)],TblApplications[Cluster ROKS cible],$F850,TblApplications[Action],"À migrer",TblApplications[Déjà incluse ROKS],"Non",TblApplications[Mois prov (calc)],"&lt;="&amp;$E850),SUMIFS(TblApplications[CPU IKS libérable (vCPU)],TblApplications[Cluster IKS source],$F850,TblApplications[Mois lib (calc)],"&lt;="&amp;$E850)))</f>
        <v>0</v>
      </c>
      <c r="Q850" s="19">
        <f>IF($D850&lt;&gt;1,"",IF($G850="ROKS",SUMIFS(TblApplications[Besoin ROKS RAM (Go)],TblApplications[Cluster ROKS cible],$F850,TblApplications[Action],"À migrer",TblApplications[Déjà incluse ROKS],"Non",TblApplications[Mois prov (calc)],"&lt;="&amp;$E850),SUMIFS(TblApplications[RAM IKS libérable (Go)],TblApplications[Cluster IKS source],$F850,TblApplications[Mois lib (calc)],"&lt;="&amp;$E850)))</f>
        <v>0</v>
      </c>
      <c r="R850" s="19">
        <f t="shared" si="224"/>
        <v>48</v>
      </c>
      <c r="S850" s="19">
        <f t="shared" si="225"/>
        <v>192</v>
      </c>
      <c r="T850" s="19">
        <f t="shared" si="226"/>
        <v>6</v>
      </c>
      <c r="U850" s="19">
        <f t="shared" si="227"/>
        <v>48</v>
      </c>
      <c r="V850" s="19">
        <f t="shared" si="228"/>
        <v>192</v>
      </c>
      <c r="W850" s="73">
        <f t="shared" si="229"/>
        <v>1596</v>
      </c>
      <c r="X850" s="19">
        <f>IF($D850&lt;&gt;1,"",IF($G850="ROKS",$R850,IF($AI850=1,0,MAX($N850,$L850-SUMIFS(TblApplications[CPU IKS libérable (vCPU)],TblApplications[Cluster IKS source],$F850,TblApplications[Action],"À migrer",TblApplications[Mois prov (calc)],"&lt;="&amp;$E850)-SUMIFS(TblApplications[CPU IKS libérable (vCPU)],TblApplications[Cluster IKS source],$F850,TblApplications[Action],"À décommissionner",TblApplications[Mois lib (calc)],"&lt;="&amp;$E850)))))</f>
        <v>48</v>
      </c>
      <c r="Y850" s="19">
        <f>IF($D850&lt;&gt;1,"",IF($G850="ROKS",$S850,IF($AI850=1,0,MAX($O850,$M850-SUMIFS(TblApplications[RAM IKS libérable (Go)],TblApplications[Cluster IKS source],$F850,TblApplications[Action],"À migrer",TblApplications[Mois prov (calc)],"&lt;="&amp;$E850)-SUMIFS(TblApplications[RAM IKS libérable (Go)],TblApplications[Cluster IKS source],$F850,TblApplications[Action],"À décommissionner",TblApplications[Mois lib (calc)],"&lt;="&amp;$E850)))))</f>
        <v>192</v>
      </c>
      <c r="Z850" s="19">
        <f t="shared" si="230"/>
        <v>6</v>
      </c>
      <c r="AA850" s="73">
        <f t="shared" si="231"/>
        <v>1596</v>
      </c>
      <c r="AB850" s="19">
        <f t="shared" si="232"/>
        <v>6</v>
      </c>
      <c r="AC850" s="73">
        <f t="shared" si="233"/>
        <v>1596</v>
      </c>
      <c r="AD850" s="19">
        <f t="shared" si="234"/>
        <v>0</v>
      </c>
      <c r="AE850" s="19">
        <f t="shared" si="235"/>
        <v>0</v>
      </c>
      <c r="AF850" s="19" t="str">
        <f>IF($D850&lt;&gt;1,"",IF(INDEX(TblClusters[Environnement],$B850)="","(vide)",INDEX(TblClusters[Environnement],$B850)))</f>
        <v>NPRD</v>
      </c>
      <c r="AG850" s="19">
        <f t="shared" si="236"/>
        <v>67.2</v>
      </c>
      <c r="AH850" s="19">
        <f t="shared" si="237"/>
        <v>23.75</v>
      </c>
      <c r="AI850" s="19">
        <f>IF($D850&lt;&gt;1,"",IF(AND($G850="IKS",ISNUMBER(INDEX(TblClusters[Fermeture retenue],$B850))),IF($E850&gt;=INDEX(TblClusters[Fermeture retenue],$B850),1,0),0))</f>
        <v>0</v>
      </c>
    </row>
    <row r="851" spans="1:35" x14ac:dyDescent="0.2">
      <c r="A851" s="19">
        <v>846</v>
      </c>
      <c r="B851" s="19">
        <f t="shared" si="221"/>
        <v>24</v>
      </c>
      <c r="C851" s="19">
        <f t="shared" si="222"/>
        <v>18</v>
      </c>
      <c r="D851" s="19">
        <f>IF($C851&gt;p_horizon,0,IFERROR(IF(AND(INDEX(TblClusters[Cluster],$B851)&lt;&gt;"",ISNUMBER(INDEX(TblClusters[CPU initial (vCPU)],$B851)),ISNUMBER(INDEX(TblClusters[CPU min (vCPU)],$B851)),OR(INDEX(TblClusters[Plateforme],$B851)="IKS",INDEX(TblClusters[Plateforme],$B851)="ROKS")),1,0),0))</f>
        <v>1</v>
      </c>
      <c r="E851" s="72">
        <f t="shared" si="223"/>
        <v>46813</v>
      </c>
      <c r="F851" s="19" t="str">
        <f>IF($D851=1,INDEX(TblClusters[Cluster],$B851),"")</f>
        <v>ku002i000510</v>
      </c>
      <c r="G851" s="19" t="str">
        <f>IF($D851=1,INDEX(TblClusters[Plateforme],$B851),"")</f>
        <v>IKS</v>
      </c>
      <c r="H851" s="19">
        <f>IF($D851=1,INDEX(TblClusters[vCPU par nœud],$B851),"")</f>
        <v>8</v>
      </c>
      <c r="I851" s="19">
        <f>IF($D851=1,INDEX(TblClusters[RAM par nœud (Go)],$B851),"")</f>
        <v>32</v>
      </c>
      <c r="J851" s="19">
        <f>IF($D851=1,INDEX(TblClusters[Workers min],$B851),"")</f>
        <v>3</v>
      </c>
      <c r="K851" s="73">
        <f>IF($D851=1,INDEX(TblClusters[Tarif par nœud],$B851),"")</f>
        <v>266</v>
      </c>
      <c r="L851" s="19">
        <f>IF($D851=1,INDEX(TblClusters[CPU initial (vCPU)],$B851),"")</f>
        <v>48</v>
      </c>
      <c r="M851" s="19">
        <f>IF($D851=1,INDEX(TblClusters[RAM initiale (Go)],$B851),"")</f>
        <v>192</v>
      </c>
      <c r="N851" s="19">
        <f>IF($D851=1,INDEX(TblClusters[CPU min (vCPU)],$B851),"")</f>
        <v>24</v>
      </c>
      <c r="O851" s="19">
        <f>IF($D851=1,INDEX(TblClusters[RAM min (Go)],$B851),"")</f>
        <v>96</v>
      </c>
      <c r="P851" s="19">
        <f>IF($D851&lt;&gt;1,"",IF($G851="ROKS",SUMIFS(TblApplications[Besoin ROKS CPU (vCPU)],TblApplications[Cluster ROKS cible],$F851,TblApplications[Action],"À migrer",TblApplications[Déjà incluse ROKS],"Non",TblApplications[Mois prov (calc)],"&lt;="&amp;$E851),SUMIFS(TblApplications[CPU IKS libérable (vCPU)],TblApplications[Cluster IKS source],$F851,TblApplications[Mois lib (calc)],"&lt;="&amp;$E851)))</f>
        <v>0</v>
      </c>
      <c r="Q851" s="19">
        <f>IF($D851&lt;&gt;1,"",IF($G851="ROKS",SUMIFS(TblApplications[Besoin ROKS RAM (Go)],TblApplications[Cluster ROKS cible],$F851,TblApplications[Action],"À migrer",TblApplications[Déjà incluse ROKS],"Non",TblApplications[Mois prov (calc)],"&lt;="&amp;$E851),SUMIFS(TblApplications[RAM IKS libérable (Go)],TblApplications[Cluster IKS source],$F851,TblApplications[Mois lib (calc)],"&lt;="&amp;$E851)))</f>
        <v>0</v>
      </c>
      <c r="R851" s="19">
        <f t="shared" si="224"/>
        <v>48</v>
      </c>
      <c r="S851" s="19">
        <f t="shared" si="225"/>
        <v>192</v>
      </c>
      <c r="T851" s="19">
        <f t="shared" si="226"/>
        <v>6</v>
      </c>
      <c r="U851" s="19">
        <f t="shared" si="227"/>
        <v>48</v>
      </c>
      <c r="V851" s="19">
        <f t="shared" si="228"/>
        <v>192</v>
      </c>
      <c r="W851" s="73">
        <f t="shared" si="229"/>
        <v>1596</v>
      </c>
      <c r="X851" s="19">
        <f>IF($D851&lt;&gt;1,"",IF($G851="ROKS",$R851,IF($AI851=1,0,MAX($N851,$L851-SUMIFS(TblApplications[CPU IKS libérable (vCPU)],TblApplications[Cluster IKS source],$F851,TblApplications[Action],"À migrer",TblApplications[Mois prov (calc)],"&lt;="&amp;$E851)-SUMIFS(TblApplications[CPU IKS libérable (vCPU)],TblApplications[Cluster IKS source],$F851,TblApplications[Action],"À décommissionner",TblApplications[Mois lib (calc)],"&lt;="&amp;$E851)))))</f>
        <v>48</v>
      </c>
      <c r="Y851" s="19">
        <f>IF($D851&lt;&gt;1,"",IF($G851="ROKS",$S851,IF($AI851=1,0,MAX($O851,$M851-SUMIFS(TblApplications[RAM IKS libérable (Go)],TblApplications[Cluster IKS source],$F851,TblApplications[Action],"À migrer",TblApplications[Mois prov (calc)],"&lt;="&amp;$E851)-SUMIFS(TblApplications[RAM IKS libérable (Go)],TblApplications[Cluster IKS source],$F851,TblApplications[Action],"À décommissionner",TblApplications[Mois lib (calc)],"&lt;="&amp;$E851)))))</f>
        <v>192</v>
      </c>
      <c r="Z851" s="19">
        <f t="shared" si="230"/>
        <v>6</v>
      </c>
      <c r="AA851" s="73">
        <f t="shared" si="231"/>
        <v>1596</v>
      </c>
      <c r="AB851" s="19">
        <f t="shared" si="232"/>
        <v>6</v>
      </c>
      <c r="AC851" s="73">
        <f t="shared" si="233"/>
        <v>1596</v>
      </c>
      <c r="AD851" s="19">
        <f t="shared" si="234"/>
        <v>0</v>
      </c>
      <c r="AE851" s="19">
        <f t="shared" si="235"/>
        <v>0</v>
      </c>
      <c r="AF851" s="19" t="str">
        <f>IF($D851&lt;&gt;1,"",IF(INDEX(TblClusters[Environnement],$B851)="","(vide)",INDEX(TblClusters[Environnement],$B851)))</f>
        <v>NPRD</v>
      </c>
      <c r="AG851" s="19">
        <f t="shared" si="236"/>
        <v>67.2</v>
      </c>
      <c r="AH851" s="19">
        <f t="shared" si="237"/>
        <v>23.75</v>
      </c>
      <c r="AI851" s="19">
        <f>IF($D851&lt;&gt;1,"",IF(AND($G851="IKS",ISNUMBER(INDEX(TblClusters[Fermeture retenue],$B851))),IF($E851&gt;=INDEX(TblClusters[Fermeture retenue],$B851),1,0),0))</f>
        <v>0</v>
      </c>
    </row>
    <row r="852" spans="1:35" x14ac:dyDescent="0.2">
      <c r="A852" s="19">
        <v>847</v>
      </c>
      <c r="B852" s="19">
        <f t="shared" si="221"/>
        <v>24</v>
      </c>
      <c r="C852" s="19">
        <f t="shared" si="222"/>
        <v>19</v>
      </c>
      <c r="D852" s="19">
        <f>IF($C852&gt;p_horizon,0,IFERROR(IF(AND(INDEX(TblClusters[Cluster],$B852)&lt;&gt;"",ISNUMBER(INDEX(TblClusters[CPU initial (vCPU)],$B852)),ISNUMBER(INDEX(TblClusters[CPU min (vCPU)],$B852)),OR(INDEX(TblClusters[Plateforme],$B852)="IKS",INDEX(TblClusters[Plateforme],$B852)="ROKS")),1,0),0))</f>
        <v>1</v>
      </c>
      <c r="E852" s="72">
        <f t="shared" si="223"/>
        <v>46844</v>
      </c>
      <c r="F852" s="19" t="str">
        <f>IF($D852=1,INDEX(TblClusters[Cluster],$B852),"")</f>
        <v>ku002i000510</v>
      </c>
      <c r="G852" s="19" t="str">
        <f>IF($D852=1,INDEX(TblClusters[Plateforme],$B852),"")</f>
        <v>IKS</v>
      </c>
      <c r="H852" s="19">
        <f>IF($D852=1,INDEX(TblClusters[vCPU par nœud],$B852),"")</f>
        <v>8</v>
      </c>
      <c r="I852" s="19">
        <f>IF($D852=1,INDEX(TblClusters[RAM par nœud (Go)],$B852),"")</f>
        <v>32</v>
      </c>
      <c r="J852" s="19">
        <f>IF($D852=1,INDEX(TblClusters[Workers min],$B852),"")</f>
        <v>3</v>
      </c>
      <c r="K852" s="73">
        <f>IF($D852=1,INDEX(TblClusters[Tarif par nœud],$B852),"")</f>
        <v>266</v>
      </c>
      <c r="L852" s="19">
        <f>IF($D852=1,INDEX(TblClusters[CPU initial (vCPU)],$B852),"")</f>
        <v>48</v>
      </c>
      <c r="M852" s="19">
        <f>IF($D852=1,INDEX(TblClusters[RAM initiale (Go)],$B852),"")</f>
        <v>192</v>
      </c>
      <c r="N852" s="19">
        <f>IF($D852=1,INDEX(TblClusters[CPU min (vCPU)],$B852),"")</f>
        <v>24</v>
      </c>
      <c r="O852" s="19">
        <f>IF($D852=1,INDEX(TblClusters[RAM min (Go)],$B852),"")</f>
        <v>96</v>
      </c>
      <c r="P852" s="19">
        <f>IF($D852&lt;&gt;1,"",IF($G852="ROKS",SUMIFS(TblApplications[Besoin ROKS CPU (vCPU)],TblApplications[Cluster ROKS cible],$F852,TblApplications[Action],"À migrer",TblApplications[Déjà incluse ROKS],"Non",TblApplications[Mois prov (calc)],"&lt;="&amp;$E852),SUMIFS(TblApplications[CPU IKS libérable (vCPU)],TblApplications[Cluster IKS source],$F852,TblApplications[Mois lib (calc)],"&lt;="&amp;$E852)))</f>
        <v>0</v>
      </c>
      <c r="Q852" s="19">
        <f>IF($D852&lt;&gt;1,"",IF($G852="ROKS",SUMIFS(TblApplications[Besoin ROKS RAM (Go)],TblApplications[Cluster ROKS cible],$F852,TblApplications[Action],"À migrer",TblApplications[Déjà incluse ROKS],"Non",TblApplications[Mois prov (calc)],"&lt;="&amp;$E852),SUMIFS(TblApplications[RAM IKS libérable (Go)],TblApplications[Cluster IKS source],$F852,TblApplications[Mois lib (calc)],"&lt;="&amp;$E852)))</f>
        <v>0</v>
      </c>
      <c r="R852" s="19">
        <f t="shared" si="224"/>
        <v>48</v>
      </c>
      <c r="S852" s="19">
        <f t="shared" si="225"/>
        <v>192</v>
      </c>
      <c r="T852" s="19">
        <f t="shared" si="226"/>
        <v>6</v>
      </c>
      <c r="U852" s="19">
        <f t="shared" si="227"/>
        <v>48</v>
      </c>
      <c r="V852" s="19">
        <f t="shared" si="228"/>
        <v>192</v>
      </c>
      <c r="W852" s="73">
        <f t="shared" si="229"/>
        <v>1596</v>
      </c>
      <c r="X852" s="19">
        <f>IF($D852&lt;&gt;1,"",IF($G852="ROKS",$R852,IF($AI852=1,0,MAX($N852,$L852-SUMIFS(TblApplications[CPU IKS libérable (vCPU)],TblApplications[Cluster IKS source],$F852,TblApplications[Action],"À migrer",TblApplications[Mois prov (calc)],"&lt;="&amp;$E852)-SUMIFS(TblApplications[CPU IKS libérable (vCPU)],TblApplications[Cluster IKS source],$F852,TblApplications[Action],"À décommissionner",TblApplications[Mois lib (calc)],"&lt;="&amp;$E852)))))</f>
        <v>48</v>
      </c>
      <c r="Y852" s="19">
        <f>IF($D852&lt;&gt;1,"",IF($G852="ROKS",$S852,IF($AI852=1,0,MAX($O852,$M852-SUMIFS(TblApplications[RAM IKS libérable (Go)],TblApplications[Cluster IKS source],$F852,TblApplications[Action],"À migrer",TblApplications[Mois prov (calc)],"&lt;="&amp;$E852)-SUMIFS(TblApplications[RAM IKS libérable (Go)],TblApplications[Cluster IKS source],$F852,TblApplications[Action],"À décommissionner",TblApplications[Mois lib (calc)],"&lt;="&amp;$E852)))))</f>
        <v>192</v>
      </c>
      <c r="Z852" s="19">
        <f t="shared" si="230"/>
        <v>6</v>
      </c>
      <c r="AA852" s="73">
        <f t="shared" si="231"/>
        <v>1596</v>
      </c>
      <c r="AB852" s="19">
        <f t="shared" si="232"/>
        <v>6</v>
      </c>
      <c r="AC852" s="73">
        <f t="shared" si="233"/>
        <v>1596</v>
      </c>
      <c r="AD852" s="19">
        <f t="shared" si="234"/>
        <v>0</v>
      </c>
      <c r="AE852" s="19">
        <f t="shared" si="235"/>
        <v>0</v>
      </c>
      <c r="AF852" s="19" t="str">
        <f>IF($D852&lt;&gt;1,"",IF(INDEX(TblClusters[Environnement],$B852)="","(vide)",INDEX(TblClusters[Environnement],$B852)))</f>
        <v>NPRD</v>
      </c>
      <c r="AG852" s="19">
        <f t="shared" si="236"/>
        <v>67.2</v>
      </c>
      <c r="AH852" s="19">
        <f t="shared" si="237"/>
        <v>23.75</v>
      </c>
      <c r="AI852" s="19">
        <f>IF($D852&lt;&gt;1,"",IF(AND($G852="IKS",ISNUMBER(INDEX(TblClusters[Fermeture retenue],$B852))),IF($E852&gt;=INDEX(TblClusters[Fermeture retenue],$B852),1,0),0))</f>
        <v>0</v>
      </c>
    </row>
    <row r="853" spans="1:35" x14ac:dyDescent="0.2">
      <c r="A853" s="19">
        <v>848</v>
      </c>
      <c r="B853" s="19">
        <f t="shared" si="221"/>
        <v>24</v>
      </c>
      <c r="C853" s="19">
        <f t="shared" si="222"/>
        <v>20</v>
      </c>
      <c r="D853" s="19">
        <f>IF($C853&gt;p_horizon,0,IFERROR(IF(AND(INDEX(TblClusters[Cluster],$B853)&lt;&gt;"",ISNUMBER(INDEX(TblClusters[CPU initial (vCPU)],$B853)),ISNUMBER(INDEX(TblClusters[CPU min (vCPU)],$B853)),OR(INDEX(TblClusters[Plateforme],$B853)="IKS",INDEX(TblClusters[Plateforme],$B853)="ROKS")),1,0),0))</f>
        <v>1</v>
      </c>
      <c r="E853" s="72">
        <f t="shared" si="223"/>
        <v>46874</v>
      </c>
      <c r="F853" s="19" t="str">
        <f>IF($D853=1,INDEX(TblClusters[Cluster],$B853),"")</f>
        <v>ku002i000510</v>
      </c>
      <c r="G853" s="19" t="str">
        <f>IF($D853=1,INDEX(TblClusters[Plateforme],$B853),"")</f>
        <v>IKS</v>
      </c>
      <c r="H853" s="19">
        <f>IF($D853=1,INDEX(TblClusters[vCPU par nœud],$B853),"")</f>
        <v>8</v>
      </c>
      <c r="I853" s="19">
        <f>IF($D853=1,INDEX(TblClusters[RAM par nœud (Go)],$B853),"")</f>
        <v>32</v>
      </c>
      <c r="J853" s="19">
        <f>IF($D853=1,INDEX(TblClusters[Workers min],$B853),"")</f>
        <v>3</v>
      </c>
      <c r="K853" s="73">
        <f>IF($D853=1,INDEX(TblClusters[Tarif par nœud],$B853),"")</f>
        <v>266</v>
      </c>
      <c r="L853" s="19">
        <f>IF($D853=1,INDEX(TblClusters[CPU initial (vCPU)],$B853),"")</f>
        <v>48</v>
      </c>
      <c r="M853" s="19">
        <f>IF($D853=1,INDEX(TblClusters[RAM initiale (Go)],$B853),"")</f>
        <v>192</v>
      </c>
      <c r="N853" s="19">
        <f>IF($D853=1,INDEX(TblClusters[CPU min (vCPU)],$B853),"")</f>
        <v>24</v>
      </c>
      <c r="O853" s="19">
        <f>IF($D853=1,INDEX(TblClusters[RAM min (Go)],$B853),"")</f>
        <v>96</v>
      </c>
      <c r="P853" s="19">
        <f>IF($D853&lt;&gt;1,"",IF($G853="ROKS",SUMIFS(TblApplications[Besoin ROKS CPU (vCPU)],TblApplications[Cluster ROKS cible],$F853,TblApplications[Action],"À migrer",TblApplications[Déjà incluse ROKS],"Non",TblApplications[Mois prov (calc)],"&lt;="&amp;$E853),SUMIFS(TblApplications[CPU IKS libérable (vCPU)],TblApplications[Cluster IKS source],$F853,TblApplications[Mois lib (calc)],"&lt;="&amp;$E853)))</f>
        <v>0</v>
      </c>
      <c r="Q853" s="19">
        <f>IF($D853&lt;&gt;1,"",IF($G853="ROKS",SUMIFS(TblApplications[Besoin ROKS RAM (Go)],TblApplications[Cluster ROKS cible],$F853,TblApplications[Action],"À migrer",TblApplications[Déjà incluse ROKS],"Non",TblApplications[Mois prov (calc)],"&lt;="&amp;$E853),SUMIFS(TblApplications[RAM IKS libérable (Go)],TblApplications[Cluster IKS source],$F853,TblApplications[Mois lib (calc)],"&lt;="&amp;$E853)))</f>
        <v>0</v>
      </c>
      <c r="R853" s="19">
        <f t="shared" si="224"/>
        <v>48</v>
      </c>
      <c r="S853" s="19">
        <f t="shared" si="225"/>
        <v>192</v>
      </c>
      <c r="T853" s="19">
        <f t="shared" si="226"/>
        <v>6</v>
      </c>
      <c r="U853" s="19">
        <f t="shared" si="227"/>
        <v>48</v>
      </c>
      <c r="V853" s="19">
        <f t="shared" si="228"/>
        <v>192</v>
      </c>
      <c r="W853" s="73">
        <f t="shared" si="229"/>
        <v>1596</v>
      </c>
      <c r="X853" s="19">
        <f>IF($D853&lt;&gt;1,"",IF($G853="ROKS",$R853,IF($AI853=1,0,MAX($N853,$L853-SUMIFS(TblApplications[CPU IKS libérable (vCPU)],TblApplications[Cluster IKS source],$F853,TblApplications[Action],"À migrer",TblApplications[Mois prov (calc)],"&lt;="&amp;$E853)-SUMIFS(TblApplications[CPU IKS libérable (vCPU)],TblApplications[Cluster IKS source],$F853,TblApplications[Action],"À décommissionner",TblApplications[Mois lib (calc)],"&lt;="&amp;$E853)))))</f>
        <v>48</v>
      </c>
      <c r="Y853" s="19">
        <f>IF($D853&lt;&gt;1,"",IF($G853="ROKS",$S853,IF($AI853=1,0,MAX($O853,$M853-SUMIFS(TblApplications[RAM IKS libérable (Go)],TblApplications[Cluster IKS source],$F853,TblApplications[Action],"À migrer",TblApplications[Mois prov (calc)],"&lt;="&amp;$E853)-SUMIFS(TblApplications[RAM IKS libérable (Go)],TblApplications[Cluster IKS source],$F853,TblApplications[Action],"À décommissionner",TblApplications[Mois lib (calc)],"&lt;="&amp;$E853)))))</f>
        <v>192</v>
      </c>
      <c r="Z853" s="19">
        <f t="shared" si="230"/>
        <v>6</v>
      </c>
      <c r="AA853" s="73">
        <f t="shared" si="231"/>
        <v>1596</v>
      </c>
      <c r="AB853" s="19">
        <f t="shared" si="232"/>
        <v>6</v>
      </c>
      <c r="AC853" s="73">
        <f t="shared" si="233"/>
        <v>1596</v>
      </c>
      <c r="AD853" s="19">
        <f t="shared" si="234"/>
        <v>0</v>
      </c>
      <c r="AE853" s="19">
        <f t="shared" si="235"/>
        <v>0</v>
      </c>
      <c r="AF853" s="19" t="str">
        <f>IF($D853&lt;&gt;1,"",IF(INDEX(TblClusters[Environnement],$B853)="","(vide)",INDEX(TblClusters[Environnement],$B853)))</f>
        <v>NPRD</v>
      </c>
      <c r="AG853" s="19">
        <f t="shared" si="236"/>
        <v>67.2</v>
      </c>
      <c r="AH853" s="19">
        <f t="shared" si="237"/>
        <v>23.75</v>
      </c>
      <c r="AI853" s="19">
        <f>IF($D853&lt;&gt;1,"",IF(AND($G853="IKS",ISNUMBER(INDEX(TblClusters[Fermeture retenue],$B853))),IF($E853&gt;=INDEX(TblClusters[Fermeture retenue],$B853),1,0),0))</f>
        <v>0</v>
      </c>
    </row>
    <row r="854" spans="1:35" x14ac:dyDescent="0.2">
      <c r="A854" s="19">
        <v>849</v>
      </c>
      <c r="B854" s="19">
        <f t="shared" si="221"/>
        <v>24</v>
      </c>
      <c r="C854" s="19">
        <f t="shared" si="222"/>
        <v>21</v>
      </c>
      <c r="D854" s="19">
        <f>IF($C854&gt;p_horizon,0,IFERROR(IF(AND(INDEX(TblClusters[Cluster],$B854)&lt;&gt;"",ISNUMBER(INDEX(TblClusters[CPU initial (vCPU)],$B854)),ISNUMBER(INDEX(TblClusters[CPU min (vCPU)],$B854)),OR(INDEX(TblClusters[Plateforme],$B854)="IKS",INDEX(TblClusters[Plateforme],$B854)="ROKS")),1,0),0))</f>
        <v>1</v>
      </c>
      <c r="E854" s="72">
        <f t="shared" si="223"/>
        <v>46905</v>
      </c>
      <c r="F854" s="19" t="str">
        <f>IF($D854=1,INDEX(TblClusters[Cluster],$B854),"")</f>
        <v>ku002i000510</v>
      </c>
      <c r="G854" s="19" t="str">
        <f>IF($D854=1,INDEX(TblClusters[Plateforme],$B854),"")</f>
        <v>IKS</v>
      </c>
      <c r="H854" s="19">
        <f>IF($D854=1,INDEX(TblClusters[vCPU par nœud],$B854),"")</f>
        <v>8</v>
      </c>
      <c r="I854" s="19">
        <f>IF($D854=1,INDEX(TblClusters[RAM par nœud (Go)],$B854),"")</f>
        <v>32</v>
      </c>
      <c r="J854" s="19">
        <f>IF($D854=1,INDEX(TblClusters[Workers min],$B854),"")</f>
        <v>3</v>
      </c>
      <c r="K854" s="73">
        <f>IF($D854=1,INDEX(TblClusters[Tarif par nœud],$B854),"")</f>
        <v>266</v>
      </c>
      <c r="L854" s="19">
        <f>IF($D854=1,INDEX(TblClusters[CPU initial (vCPU)],$B854),"")</f>
        <v>48</v>
      </c>
      <c r="M854" s="19">
        <f>IF($D854=1,INDEX(TblClusters[RAM initiale (Go)],$B854),"")</f>
        <v>192</v>
      </c>
      <c r="N854" s="19">
        <f>IF($D854=1,INDEX(TblClusters[CPU min (vCPU)],$B854),"")</f>
        <v>24</v>
      </c>
      <c r="O854" s="19">
        <f>IF($D854=1,INDEX(TblClusters[RAM min (Go)],$B854),"")</f>
        <v>96</v>
      </c>
      <c r="P854" s="19">
        <f>IF($D854&lt;&gt;1,"",IF($G854="ROKS",SUMIFS(TblApplications[Besoin ROKS CPU (vCPU)],TblApplications[Cluster ROKS cible],$F854,TblApplications[Action],"À migrer",TblApplications[Déjà incluse ROKS],"Non",TblApplications[Mois prov (calc)],"&lt;="&amp;$E854),SUMIFS(TblApplications[CPU IKS libérable (vCPU)],TblApplications[Cluster IKS source],$F854,TblApplications[Mois lib (calc)],"&lt;="&amp;$E854)))</f>
        <v>0</v>
      </c>
      <c r="Q854" s="19">
        <f>IF($D854&lt;&gt;1,"",IF($G854="ROKS",SUMIFS(TblApplications[Besoin ROKS RAM (Go)],TblApplications[Cluster ROKS cible],$F854,TblApplications[Action],"À migrer",TblApplications[Déjà incluse ROKS],"Non",TblApplications[Mois prov (calc)],"&lt;="&amp;$E854),SUMIFS(TblApplications[RAM IKS libérable (Go)],TblApplications[Cluster IKS source],$F854,TblApplications[Mois lib (calc)],"&lt;="&amp;$E854)))</f>
        <v>0</v>
      </c>
      <c r="R854" s="19">
        <f t="shared" si="224"/>
        <v>48</v>
      </c>
      <c r="S854" s="19">
        <f t="shared" si="225"/>
        <v>192</v>
      </c>
      <c r="T854" s="19">
        <f t="shared" si="226"/>
        <v>6</v>
      </c>
      <c r="U854" s="19">
        <f t="shared" si="227"/>
        <v>48</v>
      </c>
      <c r="V854" s="19">
        <f t="shared" si="228"/>
        <v>192</v>
      </c>
      <c r="W854" s="73">
        <f t="shared" si="229"/>
        <v>1596</v>
      </c>
      <c r="X854" s="19">
        <f>IF($D854&lt;&gt;1,"",IF($G854="ROKS",$R854,IF($AI854=1,0,MAX($N854,$L854-SUMIFS(TblApplications[CPU IKS libérable (vCPU)],TblApplications[Cluster IKS source],$F854,TblApplications[Action],"À migrer",TblApplications[Mois prov (calc)],"&lt;="&amp;$E854)-SUMIFS(TblApplications[CPU IKS libérable (vCPU)],TblApplications[Cluster IKS source],$F854,TblApplications[Action],"À décommissionner",TblApplications[Mois lib (calc)],"&lt;="&amp;$E854)))))</f>
        <v>48</v>
      </c>
      <c r="Y854" s="19">
        <f>IF($D854&lt;&gt;1,"",IF($G854="ROKS",$S854,IF($AI854=1,0,MAX($O854,$M854-SUMIFS(TblApplications[RAM IKS libérable (Go)],TblApplications[Cluster IKS source],$F854,TblApplications[Action],"À migrer",TblApplications[Mois prov (calc)],"&lt;="&amp;$E854)-SUMIFS(TblApplications[RAM IKS libérable (Go)],TblApplications[Cluster IKS source],$F854,TblApplications[Action],"À décommissionner",TblApplications[Mois lib (calc)],"&lt;="&amp;$E854)))))</f>
        <v>192</v>
      </c>
      <c r="Z854" s="19">
        <f t="shared" si="230"/>
        <v>6</v>
      </c>
      <c r="AA854" s="73">
        <f t="shared" si="231"/>
        <v>1596</v>
      </c>
      <c r="AB854" s="19">
        <f t="shared" si="232"/>
        <v>6</v>
      </c>
      <c r="AC854" s="73">
        <f t="shared" si="233"/>
        <v>1596</v>
      </c>
      <c r="AD854" s="19">
        <f t="shared" si="234"/>
        <v>0</v>
      </c>
      <c r="AE854" s="19">
        <f t="shared" si="235"/>
        <v>0</v>
      </c>
      <c r="AF854" s="19" t="str">
        <f>IF($D854&lt;&gt;1,"",IF(INDEX(TblClusters[Environnement],$B854)="","(vide)",INDEX(TblClusters[Environnement],$B854)))</f>
        <v>NPRD</v>
      </c>
      <c r="AG854" s="19">
        <f t="shared" si="236"/>
        <v>67.2</v>
      </c>
      <c r="AH854" s="19">
        <f t="shared" si="237"/>
        <v>23.75</v>
      </c>
      <c r="AI854" s="19">
        <f>IF($D854&lt;&gt;1,"",IF(AND($G854="IKS",ISNUMBER(INDEX(TblClusters[Fermeture retenue],$B854))),IF($E854&gt;=INDEX(TblClusters[Fermeture retenue],$B854),1,0),0))</f>
        <v>0</v>
      </c>
    </row>
    <row r="855" spans="1:35" x14ac:dyDescent="0.2">
      <c r="A855" s="19">
        <v>850</v>
      </c>
      <c r="B855" s="19">
        <f t="shared" si="221"/>
        <v>24</v>
      </c>
      <c r="C855" s="19">
        <f t="shared" si="222"/>
        <v>22</v>
      </c>
      <c r="D855" s="19">
        <f>IF($C855&gt;p_horizon,0,IFERROR(IF(AND(INDEX(TblClusters[Cluster],$B855)&lt;&gt;"",ISNUMBER(INDEX(TblClusters[CPU initial (vCPU)],$B855)),ISNUMBER(INDEX(TblClusters[CPU min (vCPU)],$B855)),OR(INDEX(TblClusters[Plateforme],$B855)="IKS",INDEX(TblClusters[Plateforme],$B855)="ROKS")),1,0),0))</f>
        <v>1</v>
      </c>
      <c r="E855" s="72">
        <f t="shared" si="223"/>
        <v>46935</v>
      </c>
      <c r="F855" s="19" t="str">
        <f>IF($D855=1,INDEX(TblClusters[Cluster],$B855),"")</f>
        <v>ku002i000510</v>
      </c>
      <c r="G855" s="19" t="str">
        <f>IF($D855=1,INDEX(TblClusters[Plateforme],$B855),"")</f>
        <v>IKS</v>
      </c>
      <c r="H855" s="19">
        <f>IF($D855=1,INDEX(TblClusters[vCPU par nœud],$B855),"")</f>
        <v>8</v>
      </c>
      <c r="I855" s="19">
        <f>IF($D855=1,INDEX(TblClusters[RAM par nœud (Go)],$B855),"")</f>
        <v>32</v>
      </c>
      <c r="J855" s="19">
        <f>IF($D855=1,INDEX(TblClusters[Workers min],$B855),"")</f>
        <v>3</v>
      </c>
      <c r="K855" s="73">
        <f>IF($D855=1,INDEX(TblClusters[Tarif par nœud],$B855),"")</f>
        <v>266</v>
      </c>
      <c r="L855" s="19">
        <f>IF($D855=1,INDEX(TblClusters[CPU initial (vCPU)],$B855),"")</f>
        <v>48</v>
      </c>
      <c r="M855" s="19">
        <f>IF($D855=1,INDEX(TblClusters[RAM initiale (Go)],$B855),"")</f>
        <v>192</v>
      </c>
      <c r="N855" s="19">
        <f>IF($D855=1,INDEX(TblClusters[CPU min (vCPU)],$B855),"")</f>
        <v>24</v>
      </c>
      <c r="O855" s="19">
        <f>IF($D855=1,INDEX(TblClusters[RAM min (Go)],$B855),"")</f>
        <v>96</v>
      </c>
      <c r="P855" s="19">
        <f>IF($D855&lt;&gt;1,"",IF($G855="ROKS",SUMIFS(TblApplications[Besoin ROKS CPU (vCPU)],TblApplications[Cluster ROKS cible],$F855,TblApplications[Action],"À migrer",TblApplications[Déjà incluse ROKS],"Non",TblApplications[Mois prov (calc)],"&lt;="&amp;$E855),SUMIFS(TblApplications[CPU IKS libérable (vCPU)],TblApplications[Cluster IKS source],$F855,TblApplications[Mois lib (calc)],"&lt;="&amp;$E855)))</f>
        <v>0</v>
      </c>
      <c r="Q855" s="19">
        <f>IF($D855&lt;&gt;1,"",IF($G855="ROKS",SUMIFS(TblApplications[Besoin ROKS RAM (Go)],TblApplications[Cluster ROKS cible],$F855,TblApplications[Action],"À migrer",TblApplications[Déjà incluse ROKS],"Non",TblApplications[Mois prov (calc)],"&lt;="&amp;$E855),SUMIFS(TblApplications[RAM IKS libérable (Go)],TblApplications[Cluster IKS source],$F855,TblApplications[Mois lib (calc)],"&lt;="&amp;$E855)))</f>
        <v>0</v>
      </c>
      <c r="R855" s="19">
        <f t="shared" si="224"/>
        <v>48</v>
      </c>
      <c r="S855" s="19">
        <f t="shared" si="225"/>
        <v>192</v>
      </c>
      <c r="T855" s="19">
        <f t="shared" si="226"/>
        <v>6</v>
      </c>
      <c r="U855" s="19">
        <f t="shared" si="227"/>
        <v>48</v>
      </c>
      <c r="V855" s="19">
        <f t="shared" si="228"/>
        <v>192</v>
      </c>
      <c r="W855" s="73">
        <f t="shared" si="229"/>
        <v>1596</v>
      </c>
      <c r="X855" s="19">
        <f>IF($D855&lt;&gt;1,"",IF($G855="ROKS",$R855,IF($AI855=1,0,MAX($N855,$L855-SUMIFS(TblApplications[CPU IKS libérable (vCPU)],TblApplications[Cluster IKS source],$F855,TblApplications[Action],"À migrer",TblApplications[Mois prov (calc)],"&lt;="&amp;$E855)-SUMIFS(TblApplications[CPU IKS libérable (vCPU)],TblApplications[Cluster IKS source],$F855,TblApplications[Action],"À décommissionner",TblApplications[Mois lib (calc)],"&lt;="&amp;$E855)))))</f>
        <v>48</v>
      </c>
      <c r="Y855" s="19">
        <f>IF($D855&lt;&gt;1,"",IF($G855="ROKS",$S855,IF($AI855=1,0,MAX($O855,$M855-SUMIFS(TblApplications[RAM IKS libérable (Go)],TblApplications[Cluster IKS source],$F855,TblApplications[Action],"À migrer",TblApplications[Mois prov (calc)],"&lt;="&amp;$E855)-SUMIFS(TblApplications[RAM IKS libérable (Go)],TblApplications[Cluster IKS source],$F855,TblApplications[Action],"À décommissionner",TblApplications[Mois lib (calc)],"&lt;="&amp;$E855)))))</f>
        <v>192</v>
      </c>
      <c r="Z855" s="19">
        <f t="shared" si="230"/>
        <v>6</v>
      </c>
      <c r="AA855" s="73">
        <f t="shared" si="231"/>
        <v>1596</v>
      </c>
      <c r="AB855" s="19">
        <f t="shared" si="232"/>
        <v>6</v>
      </c>
      <c r="AC855" s="73">
        <f t="shared" si="233"/>
        <v>1596</v>
      </c>
      <c r="AD855" s="19">
        <f t="shared" si="234"/>
        <v>0</v>
      </c>
      <c r="AE855" s="19">
        <f t="shared" si="235"/>
        <v>0</v>
      </c>
      <c r="AF855" s="19" t="str">
        <f>IF($D855&lt;&gt;1,"",IF(INDEX(TblClusters[Environnement],$B855)="","(vide)",INDEX(TblClusters[Environnement],$B855)))</f>
        <v>NPRD</v>
      </c>
      <c r="AG855" s="19">
        <f t="shared" si="236"/>
        <v>67.2</v>
      </c>
      <c r="AH855" s="19">
        <f t="shared" si="237"/>
        <v>23.75</v>
      </c>
      <c r="AI855" s="19">
        <f>IF($D855&lt;&gt;1,"",IF(AND($G855="IKS",ISNUMBER(INDEX(TblClusters[Fermeture retenue],$B855))),IF($E855&gt;=INDEX(TblClusters[Fermeture retenue],$B855),1,0),0))</f>
        <v>0</v>
      </c>
    </row>
    <row r="856" spans="1:35" x14ac:dyDescent="0.2">
      <c r="A856" s="19">
        <v>851</v>
      </c>
      <c r="B856" s="19">
        <f t="shared" si="221"/>
        <v>24</v>
      </c>
      <c r="C856" s="19">
        <f t="shared" si="222"/>
        <v>23</v>
      </c>
      <c r="D856" s="19">
        <f>IF($C856&gt;p_horizon,0,IFERROR(IF(AND(INDEX(TblClusters[Cluster],$B856)&lt;&gt;"",ISNUMBER(INDEX(TblClusters[CPU initial (vCPU)],$B856)),ISNUMBER(INDEX(TblClusters[CPU min (vCPU)],$B856)),OR(INDEX(TblClusters[Plateforme],$B856)="IKS",INDEX(TblClusters[Plateforme],$B856)="ROKS")),1,0),0))</f>
        <v>1</v>
      </c>
      <c r="E856" s="72">
        <f t="shared" si="223"/>
        <v>46966</v>
      </c>
      <c r="F856" s="19" t="str">
        <f>IF($D856=1,INDEX(TblClusters[Cluster],$B856),"")</f>
        <v>ku002i000510</v>
      </c>
      <c r="G856" s="19" t="str">
        <f>IF($D856=1,INDEX(TblClusters[Plateforme],$B856),"")</f>
        <v>IKS</v>
      </c>
      <c r="H856" s="19">
        <f>IF($D856=1,INDEX(TblClusters[vCPU par nœud],$B856),"")</f>
        <v>8</v>
      </c>
      <c r="I856" s="19">
        <f>IF($D856=1,INDEX(TblClusters[RAM par nœud (Go)],$B856),"")</f>
        <v>32</v>
      </c>
      <c r="J856" s="19">
        <f>IF($D856=1,INDEX(TblClusters[Workers min],$B856),"")</f>
        <v>3</v>
      </c>
      <c r="K856" s="73">
        <f>IF($D856=1,INDEX(TblClusters[Tarif par nœud],$B856),"")</f>
        <v>266</v>
      </c>
      <c r="L856" s="19">
        <f>IF($D856=1,INDEX(TblClusters[CPU initial (vCPU)],$B856),"")</f>
        <v>48</v>
      </c>
      <c r="M856" s="19">
        <f>IF($D856=1,INDEX(TblClusters[RAM initiale (Go)],$B856),"")</f>
        <v>192</v>
      </c>
      <c r="N856" s="19">
        <f>IF($D856=1,INDEX(TblClusters[CPU min (vCPU)],$B856),"")</f>
        <v>24</v>
      </c>
      <c r="O856" s="19">
        <f>IF($D856=1,INDEX(TblClusters[RAM min (Go)],$B856),"")</f>
        <v>96</v>
      </c>
      <c r="P856" s="19">
        <f>IF($D856&lt;&gt;1,"",IF($G856="ROKS",SUMIFS(TblApplications[Besoin ROKS CPU (vCPU)],TblApplications[Cluster ROKS cible],$F856,TblApplications[Action],"À migrer",TblApplications[Déjà incluse ROKS],"Non",TblApplications[Mois prov (calc)],"&lt;="&amp;$E856),SUMIFS(TblApplications[CPU IKS libérable (vCPU)],TblApplications[Cluster IKS source],$F856,TblApplications[Mois lib (calc)],"&lt;="&amp;$E856)))</f>
        <v>0</v>
      </c>
      <c r="Q856" s="19">
        <f>IF($D856&lt;&gt;1,"",IF($G856="ROKS",SUMIFS(TblApplications[Besoin ROKS RAM (Go)],TblApplications[Cluster ROKS cible],$F856,TblApplications[Action],"À migrer",TblApplications[Déjà incluse ROKS],"Non",TblApplications[Mois prov (calc)],"&lt;="&amp;$E856),SUMIFS(TblApplications[RAM IKS libérable (Go)],TblApplications[Cluster IKS source],$F856,TblApplications[Mois lib (calc)],"&lt;="&amp;$E856)))</f>
        <v>0</v>
      </c>
      <c r="R856" s="19">
        <f t="shared" si="224"/>
        <v>48</v>
      </c>
      <c r="S856" s="19">
        <f t="shared" si="225"/>
        <v>192</v>
      </c>
      <c r="T856" s="19">
        <f t="shared" si="226"/>
        <v>6</v>
      </c>
      <c r="U856" s="19">
        <f t="shared" si="227"/>
        <v>48</v>
      </c>
      <c r="V856" s="19">
        <f t="shared" si="228"/>
        <v>192</v>
      </c>
      <c r="W856" s="73">
        <f t="shared" si="229"/>
        <v>1596</v>
      </c>
      <c r="X856" s="19">
        <f>IF($D856&lt;&gt;1,"",IF($G856="ROKS",$R856,IF($AI856=1,0,MAX($N856,$L856-SUMIFS(TblApplications[CPU IKS libérable (vCPU)],TblApplications[Cluster IKS source],$F856,TblApplications[Action],"À migrer",TblApplications[Mois prov (calc)],"&lt;="&amp;$E856)-SUMIFS(TblApplications[CPU IKS libérable (vCPU)],TblApplications[Cluster IKS source],$F856,TblApplications[Action],"À décommissionner",TblApplications[Mois lib (calc)],"&lt;="&amp;$E856)))))</f>
        <v>48</v>
      </c>
      <c r="Y856" s="19">
        <f>IF($D856&lt;&gt;1,"",IF($G856="ROKS",$S856,IF($AI856=1,0,MAX($O856,$M856-SUMIFS(TblApplications[RAM IKS libérable (Go)],TblApplications[Cluster IKS source],$F856,TblApplications[Action],"À migrer",TblApplications[Mois prov (calc)],"&lt;="&amp;$E856)-SUMIFS(TblApplications[RAM IKS libérable (Go)],TblApplications[Cluster IKS source],$F856,TblApplications[Action],"À décommissionner",TblApplications[Mois lib (calc)],"&lt;="&amp;$E856)))))</f>
        <v>192</v>
      </c>
      <c r="Z856" s="19">
        <f t="shared" si="230"/>
        <v>6</v>
      </c>
      <c r="AA856" s="73">
        <f t="shared" si="231"/>
        <v>1596</v>
      </c>
      <c r="AB856" s="19">
        <f t="shared" si="232"/>
        <v>6</v>
      </c>
      <c r="AC856" s="73">
        <f t="shared" si="233"/>
        <v>1596</v>
      </c>
      <c r="AD856" s="19">
        <f t="shared" si="234"/>
        <v>0</v>
      </c>
      <c r="AE856" s="19">
        <f t="shared" si="235"/>
        <v>0</v>
      </c>
      <c r="AF856" s="19" t="str">
        <f>IF($D856&lt;&gt;1,"",IF(INDEX(TblClusters[Environnement],$B856)="","(vide)",INDEX(TblClusters[Environnement],$B856)))</f>
        <v>NPRD</v>
      </c>
      <c r="AG856" s="19">
        <f t="shared" si="236"/>
        <v>67.2</v>
      </c>
      <c r="AH856" s="19">
        <f t="shared" si="237"/>
        <v>23.75</v>
      </c>
      <c r="AI856" s="19">
        <f>IF($D856&lt;&gt;1,"",IF(AND($G856="IKS",ISNUMBER(INDEX(TblClusters[Fermeture retenue],$B856))),IF($E856&gt;=INDEX(TblClusters[Fermeture retenue],$B856),1,0),0))</f>
        <v>0</v>
      </c>
    </row>
    <row r="857" spans="1:35" x14ac:dyDescent="0.2">
      <c r="A857" s="19">
        <v>852</v>
      </c>
      <c r="B857" s="19">
        <f t="shared" si="221"/>
        <v>24</v>
      </c>
      <c r="C857" s="19">
        <f t="shared" si="222"/>
        <v>24</v>
      </c>
      <c r="D857" s="19">
        <f>IF($C857&gt;p_horizon,0,IFERROR(IF(AND(INDEX(TblClusters[Cluster],$B857)&lt;&gt;"",ISNUMBER(INDEX(TblClusters[CPU initial (vCPU)],$B857)),ISNUMBER(INDEX(TblClusters[CPU min (vCPU)],$B857)),OR(INDEX(TblClusters[Plateforme],$B857)="IKS",INDEX(TblClusters[Plateforme],$B857)="ROKS")),1,0),0))</f>
        <v>1</v>
      </c>
      <c r="E857" s="72">
        <f t="shared" si="223"/>
        <v>46997</v>
      </c>
      <c r="F857" s="19" t="str">
        <f>IF($D857=1,INDEX(TblClusters[Cluster],$B857),"")</f>
        <v>ku002i000510</v>
      </c>
      <c r="G857" s="19" t="str">
        <f>IF($D857=1,INDEX(TblClusters[Plateforme],$B857),"")</f>
        <v>IKS</v>
      </c>
      <c r="H857" s="19">
        <f>IF($D857=1,INDEX(TblClusters[vCPU par nœud],$B857),"")</f>
        <v>8</v>
      </c>
      <c r="I857" s="19">
        <f>IF($D857=1,INDEX(TblClusters[RAM par nœud (Go)],$B857),"")</f>
        <v>32</v>
      </c>
      <c r="J857" s="19">
        <f>IF($D857=1,INDEX(TblClusters[Workers min],$B857),"")</f>
        <v>3</v>
      </c>
      <c r="K857" s="73">
        <f>IF($D857=1,INDEX(TblClusters[Tarif par nœud],$B857),"")</f>
        <v>266</v>
      </c>
      <c r="L857" s="19">
        <f>IF($D857=1,INDEX(TblClusters[CPU initial (vCPU)],$B857),"")</f>
        <v>48</v>
      </c>
      <c r="M857" s="19">
        <f>IF($D857=1,INDEX(TblClusters[RAM initiale (Go)],$B857),"")</f>
        <v>192</v>
      </c>
      <c r="N857" s="19">
        <f>IF($D857=1,INDEX(TblClusters[CPU min (vCPU)],$B857),"")</f>
        <v>24</v>
      </c>
      <c r="O857" s="19">
        <f>IF($D857=1,INDEX(TblClusters[RAM min (Go)],$B857),"")</f>
        <v>96</v>
      </c>
      <c r="P857" s="19">
        <f>IF($D857&lt;&gt;1,"",IF($G857="ROKS",SUMIFS(TblApplications[Besoin ROKS CPU (vCPU)],TblApplications[Cluster ROKS cible],$F857,TblApplications[Action],"À migrer",TblApplications[Déjà incluse ROKS],"Non",TblApplications[Mois prov (calc)],"&lt;="&amp;$E857),SUMIFS(TblApplications[CPU IKS libérable (vCPU)],TblApplications[Cluster IKS source],$F857,TblApplications[Mois lib (calc)],"&lt;="&amp;$E857)))</f>
        <v>0</v>
      </c>
      <c r="Q857" s="19">
        <f>IF($D857&lt;&gt;1,"",IF($G857="ROKS",SUMIFS(TblApplications[Besoin ROKS RAM (Go)],TblApplications[Cluster ROKS cible],$F857,TblApplications[Action],"À migrer",TblApplications[Déjà incluse ROKS],"Non",TblApplications[Mois prov (calc)],"&lt;="&amp;$E857),SUMIFS(TblApplications[RAM IKS libérable (Go)],TblApplications[Cluster IKS source],$F857,TblApplications[Mois lib (calc)],"&lt;="&amp;$E857)))</f>
        <v>0</v>
      </c>
      <c r="R857" s="19">
        <f t="shared" si="224"/>
        <v>48</v>
      </c>
      <c r="S857" s="19">
        <f t="shared" si="225"/>
        <v>192</v>
      </c>
      <c r="T857" s="19">
        <f t="shared" si="226"/>
        <v>6</v>
      </c>
      <c r="U857" s="19">
        <f t="shared" si="227"/>
        <v>48</v>
      </c>
      <c r="V857" s="19">
        <f t="shared" si="228"/>
        <v>192</v>
      </c>
      <c r="W857" s="73">
        <f t="shared" si="229"/>
        <v>1596</v>
      </c>
      <c r="X857" s="19">
        <f>IF($D857&lt;&gt;1,"",IF($G857="ROKS",$R857,IF($AI857=1,0,MAX($N857,$L857-SUMIFS(TblApplications[CPU IKS libérable (vCPU)],TblApplications[Cluster IKS source],$F857,TblApplications[Action],"À migrer",TblApplications[Mois prov (calc)],"&lt;="&amp;$E857)-SUMIFS(TblApplications[CPU IKS libérable (vCPU)],TblApplications[Cluster IKS source],$F857,TblApplications[Action],"À décommissionner",TblApplications[Mois lib (calc)],"&lt;="&amp;$E857)))))</f>
        <v>48</v>
      </c>
      <c r="Y857" s="19">
        <f>IF($D857&lt;&gt;1,"",IF($G857="ROKS",$S857,IF($AI857=1,0,MAX($O857,$M857-SUMIFS(TblApplications[RAM IKS libérable (Go)],TblApplications[Cluster IKS source],$F857,TblApplications[Action],"À migrer",TblApplications[Mois prov (calc)],"&lt;="&amp;$E857)-SUMIFS(TblApplications[RAM IKS libérable (Go)],TblApplications[Cluster IKS source],$F857,TblApplications[Action],"À décommissionner",TblApplications[Mois lib (calc)],"&lt;="&amp;$E857)))))</f>
        <v>192</v>
      </c>
      <c r="Z857" s="19">
        <f t="shared" si="230"/>
        <v>6</v>
      </c>
      <c r="AA857" s="73">
        <f t="shared" si="231"/>
        <v>1596</v>
      </c>
      <c r="AB857" s="19">
        <f t="shared" si="232"/>
        <v>6</v>
      </c>
      <c r="AC857" s="73">
        <f t="shared" si="233"/>
        <v>1596</v>
      </c>
      <c r="AD857" s="19">
        <f t="shared" si="234"/>
        <v>0</v>
      </c>
      <c r="AE857" s="19">
        <f t="shared" si="235"/>
        <v>0</v>
      </c>
      <c r="AF857" s="19" t="str">
        <f>IF($D857&lt;&gt;1,"",IF(INDEX(TblClusters[Environnement],$B857)="","(vide)",INDEX(TblClusters[Environnement],$B857)))</f>
        <v>NPRD</v>
      </c>
      <c r="AG857" s="19">
        <f t="shared" si="236"/>
        <v>67.2</v>
      </c>
      <c r="AH857" s="19">
        <f t="shared" si="237"/>
        <v>23.75</v>
      </c>
      <c r="AI857" s="19">
        <f>IF($D857&lt;&gt;1,"",IF(AND($G857="IKS",ISNUMBER(INDEX(TblClusters[Fermeture retenue],$B857))),IF($E857&gt;=INDEX(TblClusters[Fermeture retenue],$B857),1,0),0))</f>
        <v>0</v>
      </c>
    </row>
    <row r="858" spans="1:35" x14ac:dyDescent="0.2">
      <c r="A858" s="19">
        <v>853</v>
      </c>
      <c r="B858" s="19">
        <f t="shared" si="221"/>
        <v>24</v>
      </c>
      <c r="C858" s="19">
        <f t="shared" si="222"/>
        <v>25</v>
      </c>
      <c r="D858" s="19">
        <f>IF($C858&gt;p_horizon,0,IFERROR(IF(AND(INDEX(TblClusters[Cluster],$B858)&lt;&gt;"",ISNUMBER(INDEX(TblClusters[CPU initial (vCPU)],$B858)),ISNUMBER(INDEX(TblClusters[CPU min (vCPU)],$B858)),OR(INDEX(TblClusters[Plateforme],$B858)="IKS",INDEX(TblClusters[Plateforme],$B858)="ROKS")),1,0),0))</f>
        <v>1</v>
      </c>
      <c r="E858" s="72">
        <f t="shared" si="223"/>
        <v>47027</v>
      </c>
      <c r="F858" s="19" t="str">
        <f>IF($D858=1,INDEX(TblClusters[Cluster],$B858),"")</f>
        <v>ku002i000510</v>
      </c>
      <c r="G858" s="19" t="str">
        <f>IF($D858=1,INDEX(TblClusters[Plateforme],$B858),"")</f>
        <v>IKS</v>
      </c>
      <c r="H858" s="19">
        <f>IF($D858=1,INDEX(TblClusters[vCPU par nœud],$B858),"")</f>
        <v>8</v>
      </c>
      <c r="I858" s="19">
        <f>IF($D858=1,INDEX(TblClusters[RAM par nœud (Go)],$B858),"")</f>
        <v>32</v>
      </c>
      <c r="J858" s="19">
        <f>IF($D858=1,INDEX(TblClusters[Workers min],$B858),"")</f>
        <v>3</v>
      </c>
      <c r="K858" s="73">
        <f>IF($D858=1,INDEX(TblClusters[Tarif par nœud],$B858),"")</f>
        <v>266</v>
      </c>
      <c r="L858" s="19">
        <f>IF($D858=1,INDEX(TblClusters[CPU initial (vCPU)],$B858),"")</f>
        <v>48</v>
      </c>
      <c r="M858" s="19">
        <f>IF($D858=1,INDEX(TblClusters[RAM initiale (Go)],$B858),"")</f>
        <v>192</v>
      </c>
      <c r="N858" s="19">
        <f>IF($D858=1,INDEX(TblClusters[CPU min (vCPU)],$B858),"")</f>
        <v>24</v>
      </c>
      <c r="O858" s="19">
        <f>IF($D858=1,INDEX(TblClusters[RAM min (Go)],$B858),"")</f>
        <v>96</v>
      </c>
      <c r="P858" s="19">
        <f>IF($D858&lt;&gt;1,"",IF($G858="ROKS",SUMIFS(TblApplications[Besoin ROKS CPU (vCPU)],TblApplications[Cluster ROKS cible],$F858,TblApplications[Action],"À migrer",TblApplications[Déjà incluse ROKS],"Non",TblApplications[Mois prov (calc)],"&lt;="&amp;$E858),SUMIFS(TblApplications[CPU IKS libérable (vCPU)],TblApplications[Cluster IKS source],$F858,TblApplications[Mois lib (calc)],"&lt;="&amp;$E858)))</f>
        <v>0</v>
      </c>
      <c r="Q858" s="19">
        <f>IF($D858&lt;&gt;1,"",IF($G858="ROKS",SUMIFS(TblApplications[Besoin ROKS RAM (Go)],TblApplications[Cluster ROKS cible],$F858,TblApplications[Action],"À migrer",TblApplications[Déjà incluse ROKS],"Non",TblApplications[Mois prov (calc)],"&lt;="&amp;$E858),SUMIFS(TblApplications[RAM IKS libérable (Go)],TblApplications[Cluster IKS source],$F858,TblApplications[Mois lib (calc)],"&lt;="&amp;$E858)))</f>
        <v>0</v>
      </c>
      <c r="R858" s="19">
        <f t="shared" si="224"/>
        <v>48</v>
      </c>
      <c r="S858" s="19">
        <f t="shared" si="225"/>
        <v>192</v>
      </c>
      <c r="T858" s="19">
        <f t="shared" si="226"/>
        <v>6</v>
      </c>
      <c r="U858" s="19">
        <f t="shared" si="227"/>
        <v>48</v>
      </c>
      <c r="V858" s="19">
        <f t="shared" si="228"/>
        <v>192</v>
      </c>
      <c r="W858" s="73">
        <f t="shared" si="229"/>
        <v>1596</v>
      </c>
      <c r="X858" s="19">
        <f>IF($D858&lt;&gt;1,"",IF($G858="ROKS",$R858,IF($AI858=1,0,MAX($N858,$L858-SUMIFS(TblApplications[CPU IKS libérable (vCPU)],TblApplications[Cluster IKS source],$F858,TblApplications[Action],"À migrer",TblApplications[Mois prov (calc)],"&lt;="&amp;$E858)-SUMIFS(TblApplications[CPU IKS libérable (vCPU)],TblApplications[Cluster IKS source],$F858,TblApplications[Action],"À décommissionner",TblApplications[Mois lib (calc)],"&lt;="&amp;$E858)))))</f>
        <v>48</v>
      </c>
      <c r="Y858" s="19">
        <f>IF($D858&lt;&gt;1,"",IF($G858="ROKS",$S858,IF($AI858=1,0,MAX($O858,$M858-SUMIFS(TblApplications[RAM IKS libérable (Go)],TblApplications[Cluster IKS source],$F858,TblApplications[Action],"À migrer",TblApplications[Mois prov (calc)],"&lt;="&amp;$E858)-SUMIFS(TblApplications[RAM IKS libérable (Go)],TblApplications[Cluster IKS source],$F858,TblApplications[Action],"À décommissionner",TblApplications[Mois lib (calc)],"&lt;="&amp;$E858)))))</f>
        <v>192</v>
      </c>
      <c r="Z858" s="19">
        <f t="shared" si="230"/>
        <v>6</v>
      </c>
      <c r="AA858" s="73">
        <f t="shared" si="231"/>
        <v>1596</v>
      </c>
      <c r="AB858" s="19">
        <f t="shared" si="232"/>
        <v>6</v>
      </c>
      <c r="AC858" s="73">
        <f t="shared" si="233"/>
        <v>1596</v>
      </c>
      <c r="AD858" s="19">
        <f t="shared" si="234"/>
        <v>0</v>
      </c>
      <c r="AE858" s="19">
        <f t="shared" si="235"/>
        <v>0</v>
      </c>
      <c r="AF858" s="19" t="str">
        <f>IF($D858&lt;&gt;1,"",IF(INDEX(TblClusters[Environnement],$B858)="","(vide)",INDEX(TblClusters[Environnement],$B858)))</f>
        <v>NPRD</v>
      </c>
      <c r="AG858" s="19">
        <f t="shared" si="236"/>
        <v>67.2</v>
      </c>
      <c r="AH858" s="19">
        <f t="shared" si="237"/>
        <v>23.75</v>
      </c>
      <c r="AI858" s="19">
        <f>IF($D858&lt;&gt;1,"",IF(AND($G858="IKS",ISNUMBER(INDEX(TblClusters[Fermeture retenue],$B858))),IF($E858&gt;=INDEX(TblClusters[Fermeture retenue],$B858),1,0),0))</f>
        <v>0</v>
      </c>
    </row>
    <row r="859" spans="1:35" x14ac:dyDescent="0.2">
      <c r="A859" s="19">
        <v>854</v>
      </c>
      <c r="B859" s="19">
        <f t="shared" si="221"/>
        <v>24</v>
      </c>
      <c r="C859" s="19">
        <f t="shared" si="222"/>
        <v>26</v>
      </c>
      <c r="D859" s="19">
        <f>IF($C859&gt;p_horizon,0,IFERROR(IF(AND(INDEX(TblClusters[Cluster],$B859)&lt;&gt;"",ISNUMBER(INDEX(TblClusters[CPU initial (vCPU)],$B859)),ISNUMBER(INDEX(TblClusters[CPU min (vCPU)],$B859)),OR(INDEX(TblClusters[Plateforme],$B859)="IKS",INDEX(TblClusters[Plateforme],$B859)="ROKS")),1,0),0))</f>
        <v>1</v>
      </c>
      <c r="E859" s="72">
        <f t="shared" si="223"/>
        <v>47058</v>
      </c>
      <c r="F859" s="19" t="str">
        <f>IF($D859=1,INDEX(TblClusters[Cluster],$B859),"")</f>
        <v>ku002i000510</v>
      </c>
      <c r="G859" s="19" t="str">
        <f>IF($D859=1,INDEX(TblClusters[Plateforme],$B859),"")</f>
        <v>IKS</v>
      </c>
      <c r="H859" s="19">
        <f>IF($D859=1,INDEX(TblClusters[vCPU par nœud],$B859),"")</f>
        <v>8</v>
      </c>
      <c r="I859" s="19">
        <f>IF($D859=1,INDEX(TblClusters[RAM par nœud (Go)],$B859),"")</f>
        <v>32</v>
      </c>
      <c r="J859" s="19">
        <f>IF($D859=1,INDEX(TblClusters[Workers min],$B859),"")</f>
        <v>3</v>
      </c>
      <c r="K859" s="73">
        <f>IF($D859=1,INDEX(TblClusters[Tarif par nœud],$B859),"")</f>
        <v>266</v>
      </c>
      <c r="L859" s="19">
        <f>IF($D859=1,INDEX(TblClusters[CPU initial (vCPU)],$B859),"")</f>
        <v>48</v>
      </c>
      <c r="M859" s="19">
        <f>IF($D859=1,INDEX(TblClusters[RAM initiale (Go)],$B859),"")</f>
        <v>192</v>
      </c>
      <c r="N859" s="19">
        <f>IF($D859=1,INDEX(TblClusters[CPU min (vCPU)],$B859),"")</f>
        <v>24</v>
      </c>
      <c r="O859" s="19">
        <f>IF($D859=1,INDEX(TblClusters[RAM min (Go)],$B859),"")</f>
        <v>96</v>
      </c>
      <c r="P859" s="19">
        <f>IF($D859&lt;&gt;1,"",IF($G859="ROKS",SUMIFS(TblApplications[Besoin ROKS CPU (vCPU)],TblApplications[Cluster ROKS cible],$F859,TblApplications[Action],"À migrer",TblApplications[Déjà incluse ROKS],"Non",TblApplications[Mois prov (calc)],"&lt;="&amp;$E859),SUMIFS(TblApplications[CPU IKS libérable (vCPU)],TblApplications[Cluster IKS source],$F859,TblApplications[Mois lib (calc)],"&lt;="&amp;$E859)))</f>
        <v>0</v>
      </c>
      <c r="Q859" s="19">
        <f>IF($D859&lt;&gt;1,"",IF($G859="ROKS",SUMIFS(TblApplications[Besoin ROKS RAM (Go)],TblApplications[Cluster ROKS cible],$F859,TblApplications[Action],"À migrer",TblApplications[Déjà incluse ROKS],"Non",TblApplications[Mois prov (calc)],"&lt;="&amp;$E859),SUMIFS(TblApplications[RAM IKS libérable (Go)],TblApplications[Cluster IKS source],$F859,TblApplications[Mois lib (calc)],"&lt;="&amp;$E859)))</f>
        <v>0</v>
      </c>
      <c r="R859" s="19">
        <f t="shared" si="224"/>
        <v>48</v>
      </c>
      <c r="S859" s="19">
        <f t="shared" si="225"/>
        <v>192</v>
      </c>
      <c r="T859" s="19">
        <f t="shared" si="226"/>
        <v>6</v>
      </c>
      <c r="U859" s="19">
        <f t="shared" si="227"/>
        <v>48</v>
      </c>
      <c r="V859" s="19">
        <f t="shared" si="228"/>
        <v>192</v>
      </c>
      <c r="W859" s="73">
        <f t="shared" si="229"/>
        <v>1596</v>
      </c>
      <c r="X859" s="19">
        <f>IF($D859&lt;&gt;1,"",IF($G859="ROKS",$R859,IF($AI859=1,0,MAX($N859,$L859-SUMIFS(TblApplications[CPU IKS libérable (vCPU)],TblApplications[Cluster IKS source],$F859,TblApplications[Action],"À migrer",TblApplications[Mois prov (calc)],"&lt;="&amp;$E859)-SUMIFS(TblApplications[CPU IKS libérable (vCPU)],TblApplications[Cluster IKS source],$F859,TblApplications[Action],"À décommissionner",TblApplications[Mois lib (calc)],"&lt;="&amp;$E859)))))</f>
        <v>48</v>
      </c>
      <c r="Y859" s="19">
        <f>IF($D859&lt;&gt;1,"",IF($G859="ROKS",$S859,IF($AI859=1,0,MAX($O859,$M859-SUMIFS(TblApplications[RAM IKS libérable (Go)],TblApplications[Cluster IKS source],$F859,TblApplications[Action],"À migrer",TblApplications[Mois prov (calc)],"&lt;="&amp;$E859)-SUMIFS(TblApplications[RAM IKS libérable (Go)],TblApplications[Cluster IKS source],$F859,TblApplications[Action],"À décommissionner",TblApplications[Mois lib (calc)],"&lt;="&amp;$E859)))))</f>
        <v>192</v>
      </c>
      <c r="Z859" s="19">
        <f t="shared" si="230"/>
        <v>6</v>
      </c>
      <c r="AA859" s="73">
        <f t="shared" si="231"/>
        <v>1596</v>
      </c>
      <c r="AB859" s="19">
        <f t="shared" si="232"/>
        <v>6</v>
      </c>
      <c r="AC859" s="73">
        <f t="shared" si="233"/>
        <v>1596</v>
      </c>
      <c r="AD859" s="19">
        <f t="shared" si="234"/>
        <v>0</v>
      </c>
      <c r="AE859" s="19">
        <f t="shared" si="235"/>
        <v>0</v>
      </c>
      <c r="AF859" s="19" t="str">
        <f>IF($D859&lt;&gt;1,"",IF(INDEX(TblClusters[Environnement],$B859)="","(vide)",INDEX(TblClusters[Environnement],$B859)))</f>
        <v>NPRD</v>
      </c>
      <c r="AG859" s="19">
        <f t="shared" si="236"/>
        <v>67.2</v>
      </c>
      <c r="AH859" s="19">
        <f t="shared" si="237"/>
        <v>23.75</v>
      </c>
      <c r="AI859" s="19">
        <f>IF($D859&lt;&gt;1,"",IF(AND($G859="IKS",ISNUMBER(INDEX(TblClusters[Fermeture retenue],$B859))),IF($E859&gt;=INDEX(TblClusters[Fermeture retenue],$B859),1,0),0))</f>
        <v>0</v>
      </c>
    </row>
    <row r="860" spans="1:35" x14ac:dyDescent="0.2">
      <c r="A860" s="19">
        <v>855</v>
      </c>
      <c r="B860" s="19">
        <f t="shared" si="221"/>
        <v>24</v>
      </c>
      <c r="C860" s="19">
        <f t="shared" si="222"/>
        <v>27</v>
      </c>
      <c r="D860" s="19">
        <f>IF($C860&gt;p_horizon,0,IFERROR(IF(AND(INDEX(TblClusters[Cluster],$B860)&lt;&gt;"",ISNUMBER(INDEX(TblClusters[CPU initial (vCPU)],$B860)),ISNUMBER(INDEX(TblClusters[CPU min (vCPU)],$B860)),OR(INDEX(TblClusters[Plateforme],$B860)="IKS",INDEX(TblClusters[Plateforme],$B860)="ROKS")),1,0),0))</f>
        <v>1</v>
      </c>
      <c r="E860" s="72">
        <f t="shared" si="223"/>
        <v>47088</v>
      </c>
      <c r="F860" s="19" t="str">
        <f>IF($D860=1,INDEX(TblClusters[Cluster],$B860),"")</f>
        <v>ku002i000510</v>
      </c>
      <c r="G860" s="19" t="str">
        <f>IF($D860=1,INDEX(TblClusters[Plateforme],$B860),"")</f>
        <v>IKS</v>
      </c>
      <c r="H860" s="19">
        <f>IF($D860=1,INDEX(TblClusters[vCPU par nœud],$B860),"")</f>
        <v>8</v>
      </c>
      <c r="I860" s="19">
        <f>IF($D860=1,INDEX(TblClusters[RAM par nœud (Go)],$B860),"")</f>
        <v>32</v>
      </c>
      <c r="J860" s="19">
        <f>IF($D860=1,INDEX(TblClusters[Workers min],$B860),"")</f>
        <v>3</v>
      </c>
      <c r="K860" s="73">
        <f>IF($D860=1,INDEX(TblClusters[Tarif par nœud],$B860),"")</f>
        <v>266</v>
      </c>
      <c r="L860" s="19">
        <f>IF($D860=1,INDEX(TblClusters[CPU initial (vCPU)],$B860),"")</f>
        <v>48</v>
      </c>
      <c r="M860" s="19">
        <f>IF($D860=1,INDEX(TblClusters[RAM initiale (Go)],$B860),"")</f>
        <v>192</v>
      </c>
      <c r="N860" s="19">
        <f>IF($D860=1,INDEX(TblClusters[CPU min (vCPU)],$B860),"")</f>
        <v>24</v>
      </c>
      <c r="O860" s="19">
        <f>IF($D860=1,INDEX(TblClusters[RAM min (Go)],$B860),"")</f>
        <v>96</v>
      </c>
      <c r="P860" s="19">
        <f>IF($D860&lt;&gt;1,"",IF($G860="ROKS",SUMIFS(TblApplications[Besoin ROKS CPU (vCPU)],TblApplications[Cluster ROKS cible],$F860,TblApplications[Action],"À migrer",TblApplications[Déjà incluse ROKS],"Non",TblApplications[Mois prov (calc)],"&lt;="&amp;$E860),SUMIFS(TblApplications[CPU IKS libérable (vCPU)],TblApplications[Cluster IKS source],$F860,TblApplications[Mois lib (calc)],"&lt;="&amp;$E860)))</f>
        <v>0</v>
      </c>
      <c r="Q860" s="19">
        <f>IF($D860&lt;&gt;1,"",IF($G860="ROKS",SUMIFS(TblApplications[Besoin ROKS RAM (Go)],TblApplications[Cluster ROKS cible],$F860,TblApplications[Action],"À migrer",TblApplications[Déjà incluse ROKS],"Non",TblApplications[Mois prov (calc)],"&lt;="&amp;$E860),SUMIFS(TblApplications[RAM IKS libérable (Go)],TblApplications[Cluster IKS source],$F860,TblApplications[Mois lib (calc)],"&lt;="&amp;$E860)))</f>
        <v>0</v>
      </c>
      <c r="R860" s="19">
        <f t="shared" si="224"/>
        <v>48</v>
      </c>
      <c r="S860" s="19">
        <f t="shared" si="225"/>
        <v>192</v>
      </c>
      <c r="T860" s="19">
        <f t="shared" si="226"/>
        <v>6</v>
      </c>
      <c r="U860" s="19">
        <f t="shared" si="227"/>
        <v>48</v>
      </c>
      <c r="V860" s="19">
        <f t="shared" si="228"/>
        <v>192</v>
      </c>
      <c r="W860" s="73">
        <f t="shared" si="229"/>
        <v>1596</v>
      </c>
      <c r="X860" s="19">
        <f>IF($D860&lt;&gt;1,"",IF($G860="ROKS",$R860,IF($AI860=1,0,MAX($N860,$L860-SUMIFS(TblApplications[CPU IKS libérable (vCPU)],TblApplications[Cluster IKS source],$F860,TblApplications[Action],"À migrer",TblApplications[Mois prov (calc)],"&lt;="&amp;$E860)-SUMIFS(TblApplications[CPU IKS libérable (vCPU)],TblApplications[Cluster IKS source],$F860,TblApplications[Action],"À décommissionner",TblApplications[Mois lib (calc)],"&lt;="&amp;$E860)))))</f>
        <v>48</v>
      </c>
      <c r="Y860" s="19">
        <f>IF($D860&lt;&gt;1,"",IF($G860="ROKS",$S860,IF($AI860=1,0,MAX($O860,$M860-SUMIFS(TblApplications[RAM IKS libérable (Go)],TblApplications[Cluster IKS source],$F860,TblApplications[Action],"À migrer",TblApplications[Mois prov (calc)],"&lt;="&amp;$E860)-SUMIFS(TblApplications[RAM IKS libérable (Go)],TblApplications[Cluster IKS source],$F860,TblApplications[Action],"À décommissionner",TblApplications[Mois lib (calc)],"&lt;="&amp;$E860)))))</f>
        <v>192</v>
      </c>
      <c r="Z860" s="19">
        <f t="shared" si="230"/>
        <v>6</v>
      </c>
      <c r="AA860" s="73">
        <f t="shared" si="231"/>
        <v>1596</v>
      </c>
      <c r="AB860" s="19">
        <f t="shared" si="232"/>
        <v>6</v>
      </c>
      <c r="AC860" s="73">
        <f t="shared" si="233"/>
        <v>1596</v>
      </c>
      <c r="AD860" s="19">
        <f t="shared" si="234"/>
        <v>0</v>
      </c>
      <c r="AE860" s="19">
        <f t="shared" si="235"/>
        <v>0</v>
      </c>
      <c r="AF860" s="19" t="str">
        <f>IF($D860&lt;&gt;1,"",IF(INDEX(TblClusters[Environnement],$B860)="","(vide)",INDEX(TblClusters[Environnement],$B860)))</f>
        <v>NPRD</v>
      </c>
      <c r="AG860" s="19">
        <f t="shared" si="236"/>
        <v>67.2</v>
      </c>
      <c r="AH860" s="19">
        <f t="shared" si="237"/>
        <v>23.75</v>
      </c>
      <c r="AI860" s="19">
        <f>IF($D860&lt;&gt;1,"",IF(AND($G860="IKS",ISNUMBER(INDEX(TblClusters[Fermeture retenue],$B860))),IF($E860&gt;=INDEX(TblClusters[Fermeture retenue],$B860),1,0),0))</f>
        <v>0</v>
      </c>
    </row>
    <row r="861" spans="1:35" x14ac:dyDescent="0.2">
      <c r="A861" s="19">
        <v>856</v>
      </c>
      <c r="B861" s="19">
        <f t="shared" si="221"/>
        <v>24</v>
      </c>
      <c r="C861" s="19">
        <f t="shared" si="222"/>
        <v>28</v>
      </c>
      <c r="D861" s="19">
        <f>IF($C861&gt;p_horizon,0,IFERROR(IF(AND(INDEX(TblClusters[Cluster],$B861)&lt;&gt;"",ISNUMBER(INDEX(TblClusters[CPU initial (vCPU)],$B861)),ISNUMBER(INDEX(TblClusters[CPU min (vCPU)],$B861)),OR(INDEX(TblClusters[Plateforme],$B861)="IKS",INDEX(TblClusters[Plateforme],$B861)="ROKS")),1,0),0))</f>
        <v>1</v>
      </c>
      <c r="E861" s="72">
        <f t="shared" si="223"/>
        <v>47119</v>
      </c>
      <c r="F861" s="19" t="str">
        <f>IF($D861=1,INDEX(TblClusters[Cluster],$B861),"")</f>
        <v>ku002i000510</v>
      </c>
      <c r="G861" s="19" t="str">
        <f>IF($D861=1,INDEX(TblClusters[Plateforme],$B861),"")</f>
        <v>IKS</v>
      </c>
      <c r="H861" s="19">
        <f>IF($D861=1,INDEX(TblClusters[vCPU par nœud],$B861),"")</f>
        <v>8</v>
      </c>
      <c r="I861" s="19">
        <f>IF($D861=1,INDEX(TblClusters[RAM par nœud (Go)],$B861),"")</f>
        <v>32</v>
      </c>
      <c r="J861" s="19">
        <f>IF($D861=1,INDEX(TblClusters[Workers min],$B861),"")</f>
        <v>3</v>
      </c>
      <c r="K861" s="73">
        <f>IF($D861=1,INDEX(TblClusters[Tarif par nœud],$B861),"")</f>
        <v>266</v>
      </c>
      <c r="L861" s="19">
        <f>IF($D861=1,INDEX(TblClusters[CPU initial (vCPU)],$B861),"")</f>
        <v>48</v>
      </c>
      <c r="M861" s="19">
        <f>IF($D861=1,INDEX(TblClusters[RAM initiale (Go)],$B861),"")</f>
        <v>192</v>
      </c>
      <c r="N861" s="19">
        <f>IF($D861=1,INDEX(TblClusters[CPU min (vCPU)],$B861),"")</f>
        <v>24</v>
      </c>
      <c r="O861" s="19">
        <f>IF($D861=1,INDEX(TblClusters[RAM min (Go)],$B861),"")</f>
        <v>96</v>
      </c>
      <c r="P861" s="19">
        <f>IF($D861&lt;&gt;1,"",IF($G861="ROKS",SUMIFS(TblApplications[Besoin ROKS CPU (vCPU)],TblApplications[Cluster ROKS cible],$F861,TblApplications[Action],"À migrer",TblApplications[Déjà incluse ROKS],"Non",TblApplications[Mois prov (calc)],"&lt;="&amp;$E861),SUMIFS(TblApplications[CPU IKS libérable (vCPU)],TblApplications[Cluster IKS source],$F861,TblApplications[Mois lib (calc)],"&lt;="&amp;$E861)))</f>
        <v>0</v>
      </c>
      <c r="Q861" s="19">
        <f>IF($D861&lt;&gt;1,"",IF($G861="ROKS",SUMIFS(TblApplications[Besoin ROKS RAM (Go)],TblApplications[Cluster ROKS cible],$F861,TblApplications[Action],"À migrer",TblApplications[Déjà incluse ROKS],"Non",TblApplications[Mois prov (calc)],"&lt;="&amp;$E861),SUMIFS(TblApplications[RAM IKS libérable (Go)],TblApplications[Cluster IKS source],$F861,TblApplications[Mois lib (calc)],"&lt;="&amp;$E861)))</f>
        <v>0</v>
      </c>
      <c r="R861" s="19">
        <f t="shared" si="224"/>
        <v>48</v>
      </c>
      <c r="S861" s="19">
        <f t="shared" si="225"/>
        <v>192</v>
      </c>
      <c r="T861" s="19">
        <f t="shared" si="226"/>
        <v>6</v>
      </c>
      <c r="U861" s="19">
        <f t="shared" si="227"/>
        <v>48</v>
      </c>
      <c r="V861" s="19">
        <f t="shared" si="228"/>
        <v>192</v>
      </c>
      <c r="W861" s="73">
        <f t="shared" si="229"/>
        <v>1596</v>
      </c>
      <c r="X861" s="19">
        <f>IF($D861&lt;&gt;1,"",IF($G861="ROKS",$R861,IF($AI861=1,0,MAX($N861,$L861-SUMIFS(TblApplications[CPU IKS libérable (vCPU)],TblApplications[Cluster IKS source],$F861,TblApplications[Action],"À migrer",TblApplications[Mois prov (calc)],"&lt;="&amp;$E861)-SUMIFS(TblApplications[CPU IKS libérable (vCPU)],TblApplications[Cluster IKS source],$F861,TblApplications[Action],"À décommissionner",TblApplications[Mois lib (calc)],"&lt;="&amp;$E861)))))</f>
        <v>48</v>
      </c>
      <c r="Y861" s="19">
        <f>IF($D861&lt;&gt;1,"",IF($G861="ROKS",$S861,IF($AI861=1,0,MAX($O861,$M861-SUMIFS(TblApplications[RAM IKS libérable (Go)],TblApplications[Cluster IKS source],$F861,TblApplications[Action],"À migrer",TblApplications[Mois prov (calc)],"&lt;="&amp;$E861)-SUMIFS(TblApplications[RAM IKS libérable (Go)],TblApplications[Cluster IKS source],$F861,TblApplications[Action],"À décommissionner",TblApplications[Mois lib (calc)],"&lt;="&amp;$E861)))))</f>
        <v>192</v>
      </c>
      <c r="Z861" s="19">
        <f t="shared" si="230"/>
        <v>6</v>
      </c>
      <c r="AA861" s="73">
        <f t="shared" si="231"/>
        <v>1596</v>
      </c>
      <c r="AB861" s="19">
        <f t="shared" si="232"/>
        <v>6</v>
      </c>
      <c r="AC861" s="73">
        <f t="shared" si="233"/>
        <v>1596</v>
      </c>
      <c r="AD861" s="19">
        <f t="shared" si="234"/>
        <v>0</v>
      </c>
      <c r="AE861" s="19">
        <f t="shared" si="235"/>
        <v>0</v>
      </c>
      <c r="AF861" s="19" t="str">
        <f>IF($D861&lt;&gt;1,"",IF(INDEX(TblClusters[Environnement],$B861)="","(vide)",INDEX(TblClusters[Environnement],$B861)))</f>
        <v>NPRD</v>
      </c>
      <c r="AG861" s="19">
        <f t="shared" si="236"/>
        <v>67.2</v>
      </c>
      <c r="AH861" s="19">
        <f t="shared" si="237"/>
        <v>23.75</v>
      </c>
      <c r="AI861" s="19">
        <f>IF($D861&lt;&gt;1,"",IF(AND($G861="IKS",ISNUMBER(INDEX(TblClusters[Fermeture retenue],$B861))),IF($E861&gt;=INDEX(TblClusters[Fermeture retenue],$B861),1,0),0))</f>
        <v>0</v>
      </c>
    </row>
    <row r="862" spans="1:35" x14ac:dyDescent="0.2">
      <c r="A862" s="19">
        <v>857</v>
      </c>
      <c r="B862" s="19">
        <f t="shared" si="221"/>
        <v>24</v>
      </c>
      <c r="C862" s="19">
        <f t="shared" si="222"/>
        <v>29</v>
      </c>
      <c r="D862" s="19">
        <f>IF($C862&gt;p_horizon,0,IFERROR(IF(AND(INDEX(TblClusters[Cluster],$B862)&lt;&gt;"",ISNUMBER(INDEX(TblClusters[CPU initial (vCPU)],$B862)),ISNUMBER(INDEX(TblClusters[CPU min (vCPU)],$B862)),OR(INDEX(TblClusters[Plateforme],$B862)="IKS",INDEX(TblClusters[Plateforme],$B862)="ROKS")),1,0),0))</f>
        <v>1</v>
      </c>
      <c r="E862" s="72">
        <f t="shared" si="223"/>
        <v>47150</v>
      </c>
      <c r="F862" s="19" t="str">
        <f>IF($D862=1,INDEX(TblClusters[Cluster],$B862),"")</f>
        <v>ku002i000510</v>
      </c>
      <c r="G862" s="19" t="str">
        <f>IF($D862=1,INDEX(TblClusters[Plateforme],$B862),"")</f>
        <v>IKS</v>
      </c>
      <c r="H862" s="19">
        <f>IF($D862=1,INDEX(TblClusters[vCPU par nœud],$B862),"")</f>
        <v>8</v>
      </c>
      <c r="I862" s="19">
        <f>IF($D862=1,INDEX(TblClusters[RAM par nœud (Go)],$B862),"")</f>
        <v>32</v>
      </c>
      <c r="J862" s="19">
        <f>IF($D862=1,INDEX(TblClusters[Workers min],$B862),"")</f>
        <v>3</v>
      </c>
      <c r="K862" s="73">
        <f>IF($D862=1,INDEX(TblClusters[Tarif par nœud],$B862),"")</f>
        <v>266</v>
      </c>
      <c r="L862" s="19">
        <f>IF($D862=1,INDEX(TblClusters[CPU initial (vCPU)],$B862),"")</f>
        <v>48</v>
      </c>
      <c r="M862" s="19">
        <f>IF($D862=1,INDEX(TblClusters[RAM initiale (Go)],$B862),"")</f>
        <v>192</v>
      </c>
      <c r="N862" s="19">
        <f>IF($D862=1,INDEX(TblClusters[CPU min (vCPU)],$B862),"")</f>
        <v>24</v>
      </c>
      <c r="O862" s="19">
        <f>IF($D862=1,INDEX(TblClusters[RAM min (Go)],$B862),"")</f>
        <v>96</v>
      </c>
      <c r="P862" s="19">
        <f>IF($D862&lt;&gt;1,"",IF($G862="ROKS",SUMIFS(TblApplications[Besoin ROKS CPU (vCPU)],TblApplications[Cluster ROKS cible],$F862,TblApplications[Action],"À migrer",TblApplications[Déjà incluse ROKS],"Non",TblApplications[Mois prov (calc)],"&lt;="&amp;$E862),SUMIFS(TblApplications[CPU IKS libérable (vCPU)],TblApplications[Cluster IKS source],$F862,TblApplications[Mois lib (calc)],"&lt;="&amp;$E862)))</f>
        <v>0</v>
      </c>
      <c r="Q862" s="19">
        <f>IF($D862&lt;&gt;1,"",IF($G862="ROKS",SUMIFS(TblApplications[Besoin ROKS RAM (Go)],TblApplications[Cluster ROKS cible],$F862,TblApplications[Action],"À migrer",TblApplications[Déjà incluse ROKS],"Non",TblApplications[Mois prov (calc)],"&lt;="&amp;$E862),SUMIFS(TblApplications[RAM IKS libérable (Go)],TblApplications[Cluster IKS source],$F862,TblApplications[Mois lib (calc)],"&lt;="&amp;$E862)))</f>
        <v>0</v>
      </c>
      <c r="R862" s="19">
        <f t="shared" si="224"/>
        <v>48</v>
      </c>
      <c r="S862" s="19">
        <f t="shared" si="225"/>
        <v>192</v>
      </c>
      <c r="T862" s="19">
        <f t="shared" si="226"/>
        <v>6</v>
      </c>
      <c r="U862" s="19">
        <f t="shared" si="227"/>
        <v>48</v>
      </c>
      <c r="V862" s="19">
        <f t="shared" si="228"/>
        <v>192</v>
      </c>
      <c r="W862" s="73">
        <f t="shared" si="229"/>
        <v>1596</v>
      </c>
      <c r="X862" s="19">
        <f>IF($D862&lt;&gt;1,"",IF($G862="ROKS",$R862,IF($AI862=1,0,MAX($N862,$L862-SUMIFS(TblApplications[CPU IKS libérable (vCPU)],TblApplications[Cluster IKS source],$F862,TblApplications[Action],"À migrer",TblApplications[Mois prov (calc)],"&lt;="&amp;$E862)-SUMIFS(TblApplications[CPU IKS libérable (vCPU)],TblApplications[Cluster IKS source],$F862,TblApplications[Action],"À décommissionner",TblApplications[Mois lib (calc)],"&lt;="&amp;$E862)))))</f>
        <v>48</v>
      </c>
      <c r="Y862" s="19">
        <f>IF($D862&lt;&gt;1,"",IF($G862="ROKS",$S862,IF($AI862=1,0,MAX($O862,$M862-SUMIFS(TblApplications[RAM IKS libérable (Go)],TblApplications[Cluster IKS source],$F862,TblApplications[Action],"À migrer",TblApplications[Mois prov (calc)],"&lt;="&amp;$E862)-SUMIFS(TblApplications[RAM IKS libérable (Go)],TblApplications[Cluster IKS source],$F862,TblApplications[Action],"À décommissionner",TblApplications[Mois lib (calc)],"&lt;="&amp;$E862)))))</f>
        <v>192</v>
      </c>
      <c r="Z862" s="19">
        <f t="shared" si="230"/>
        <v>6</v>
      </c>
      <c r="AA862" s="73">
        <f t="shared" si="231"/>
        <v>1596</v>
      </c>
      <c r="AB862" s="19">
        <f t="shared" si="232"/>
        <v>6</v>
      </c>
      <c r="AC862" s="73">
        <f t="shared" si="233"/>
        <v>1596</v>
      </c>
      <c r="AD862" s="19">
        <f t="shared" si="234"/>
        <v>0</v>
      </c>
      <c r="AE862" s="19">
        <f t="shared" si="235"/>
        <v>0</v>
      </c>
      <c r="AF862" s="19" t="str">
        <f>IF($D862&lt;&gt;1,"",IF(INDEX(TblClusters[Environnement],$B862)="","(vide)",INDEX(TblClusters[Environnement],$B862)))</f>
        <v>NPRD</v>
      </c>
      <c r="AG862" s="19">
        <f t="shared" si="236"/>
        <v>67.2</v>
      </c>
      <c r="AH862" s="19">
        <f t="shared" si="237"/>
        <v>23.75</v>
      </c>
      <c r="AI862" s="19">
        <f>IF($D862&lt;&gt;1,"",IF(AND($G862="IKS",ISNUMBER(INDEX(TblClusters[Fermeture retenue],$B862))),IF($E862&gt;=INDEX(TblClusters[Fermeture retenue],$B862),1,0),0))</f>
        <v>0</v>
      </c>
    </row>
    <row r="863" spans="1:35" x14ac:dyDescent="0.2">
      <c r="A863" s="19">
        <v>858</v>
      </c>
      <c r="B863" s="19">
        <f t="shared" si="221"/>
        <v>24</v>
      </c>
      <c r="C863" s="19">
        <f t="shared" si="222"/>
        <v>30</v>
      </c>
      <c r="D863" s="19">
        <f>IF($C863&gt;p_horizon,0,IFERROR(IF(AND(INDEX(TblClusters[Cluster],$B863)&lt;&gt;"",ISNUMBER(INDEX(TblClusters[CPU initial (vCPU)],$B863)),ISNUMBER(INDEX(TblClusters[CPU min (vCPU)],$B863)),OR(INDEX(TblClusters[Plateforme],$B863)="IKS",INDEX(TblClusters[Plateforme],$B863)="ROKS")),1,0),0))</f>
        <v>1</v>
      </c>
      <c r="E863" s="72">
        <f t="shared" si="223"/>
        <v>47178</v>
      </c>
      <c r="F863" s="19" t="str">
        <f>IF($D863=1,INDEX(TblClusters[Cluster],$B863),"")</f>
        <v>ku002i000510</v>
      </c>
      <c r="G863" s="19" t="str">
        <f>IF($D863=1,INDEX(TblClusters[Plateforme],$B863),"")</f>
        <v>IKS</v>
      </c>
      <c r="H863" s="19">
        <f>IF($D863=1,INDEX(TblClusters[vCPU par nœud],$B863),"")</f>
        <v>8</v>
      </c>
      <c r="I863" s="19">
        <f>IF($D863=1,INDEX(TblClusters[RAM par nœud (Go)],$B863),"")</f>
        <v>32</v>
      </c>
      <c r="J863" s="19">
        <f>IF($D863=1,INDEX(TblClusters[Workers min],$B863),"")</f>
        <v>3</v>
      </c>
      <c r="K863" s="73">
        <f>IF($D863=1,INDEX(TblClusters[Tarif par nœud],$B863),"")</f>
        <v>266</v>
      </c>
      <c r="L863" s="19">
        <f>IF($D863=1,INDEX(TblClusters[CPU initial (vCPU)],$B863),"")</f>
        <v>48</v>
      </c>
      <c r="M863" s="19">
        <f>IF($D863=1,INDEX(TblClusters[RAM initiale (Go)],$B863),"")</f>
        <v>192</v>
      </c>
      <c r="N863" s="19">
        <f>IF($D863=1,INDEX(TblClusters[CPU min (vCPU)],$B863),"")</f>
        <v>24</v>
      </c>
      <c r="O863" s="19">
        <f>IF($D863=1,INDEX(TblClusters[RAM min (Go)],$B863),"")</f>
        <v>96</v>
      </c>
      <c r="P863" s="19">
        <f>IF($D863&lt;&gt;1,"",IF($G863="ROKS",SUMIFS(TblApplications[Besoin ROKS CPU (vCPU)],TblApplications[Cluster ROKS cible],$F863,TblApplications[Action],"À migrer",TblApplications[Déjà incluse ROKS],"Non",TblApplications[Mois prov (calc)],"&lt;="&amp;$E863),SUMIFS(TblApplications[CPU IKS libérable (vCPU)],TblApplications[Cluster IKS source],$F863,TblApplications[Mois lib (calc)],"&lt;="&amp;$E863)))</f>
        <v>0</v>
      </c>
      <c r="Q863" s="19">
        <f>IF($D863&lt;&gt;1,"",IF($G863="ROKS",SUMIFS(TblApplications[Besoin ROKS RAM (Go)],TblApplications[Cluster ROKS cible],$F863,TblApplications[Action],"À migrer",TblApplications[Déjà incluse ROKS],"Non",TblApplications[Mois prov (calc)],"&lt;="&amp;$E863),SUMIFS(TblApplications[RAM IKS libérable (Go)],TblApplications[Cluster IKS source],$F863,TblApplications[Mois lib (calc)],"&lt;="&amp;$E863)))</f>
        <v>0</v>
      </c>
      <c r="R863" s="19">
        <f t="shared" si="224"/>
        <v>48</v>
      </c>
      <c r="S863" s="19">
        <f t="shared" si="225"/>
        <v>192</v>
      </c>
      <c r="T863" s="19">
        <f t="shared" si="226"/>
        <v>6</v>
      </c>
      <c r="U863" s="19">
        <f t="shared" si="227"/>
        <v>48</v>
      </c>
      <c r="V863" s="19">
        <f t="shared" si="228"/>
        <v>192</v>
      </c>
      <c r="W863" s="73">
        <f t="shared" si="229"/>
        <v>1596</v>
      </c>
      <c r="X863" s="19">
        <f>IF($D863&lt;&gt;1,"",IF($G863="ROKS",$R863,IF($AI863=1,0,MAX($N863,$L863-SUMIFS(TblApplications[CPU IKS libérable (vCPU)],TblApplications[Cluster IKS source],$F863,TblApplications[Action],"À migrer",TblApplications[Mois prov (calc)],"&lt;="&amp;$E863)-SUMIFS(TblApplications[CPU IKS libérable (vCPU)],TblApplications[Cluster IKS source],$F863,TblApplications[Action],"À décommissionner",TblApplications[Mois lib (calc)],"&lt;="&amp;$E863)))))</f>
        <v>48</v>
      </c>
      <c r="Y863" s="19">
        <f>IF($D863&lt;&gt;1,"",IF($G863="ROKS",$S863,IF($AI863=1,0,MAX($O863,$M863-SUMIFS(TblApplications[RAM IKS libérable (Go)],TblApplications[Cluster IKS source],$F863,TblApplications[Action],"À migrer",TblApplications[Mois prov (calc)],"&lt;="&amp;$E863)-SUMIFS(TblApplications[RAM IKS libérable (Go)],TblApplications[Cluster IKS source],$F863,TblApplications[Action],"À décommissionner",TblApplications[Mois lib (calc)],"&lt;="&amp;$E863)))))</f>
        <v>192</v>
      </c>
      <c r="Z863" s="19">
        <f t="shared" si="230"/>
        <v>6</v>
      </c>
      <c r="AA863" s="73">
        <f t="shared" si="231"/>
        <v>1596</v>
      </c>
      <c r="AB863" s="19">
        <f t="shared" si="232"/>
        <v>6</v>
      </c>
      <c r="AC863" s="73">
        <f t="shared" si="233"/>
        <v>1596</v>
      </c>
      <c r="AD863" s="19">
        <f t="shared" si="234"/>
        <v>0</v>
      </c>
      <c r="AE863" s="19">
        <f t="shared" si="235"/>
        <v>0</v>
      </c>
      <c r="AF863" s="19" t="str">
        <f>IF($D863&lt;&gt;1,"",IF(INDEX(TblClusters[Environnement],$B863)="","(vide)",INDEX(TblClusters[Environnement],$B863)))</f>
        <v>NPRD</v>
      </c>
      <c r="AG863" s="19">
        <f t="shared" si="236"/>
        <v>67.2</v>
      </c>
      <c r="AH863" s="19">
        <f t="shared" si="237"/>
        <v>23.75</v>
      </c>
      <c r="AI863" s="19">
        <f>IF($D863&lt;&gt;1,"",IF(AND($G863="IKS",ISNUMBER(INDEX(TblClusters[Fermeture retenue],$B863))),IF($E863&gt;=INDEX(TblClusters[Fermeture retenue],$B863),1,0),0))</f>
        <v>0</v>
      </c>
    </row>
    <row r="864" spans="1:35" x14ac:dyDescent="0.2">
      <c r="A864" s="19">
        <v>859</v>
      </c>
      <c r="B864" s="19">
        <f t="shared" si="221"/>
        <v>24</v>
      </c>
      <c r="C864" s="19">
        <f t="shared" si="222"/>
        <v>31</v>
      </c>
      <c r="D864" s="19">
        <f>IF($C864&gt;p_horizon,0,IFERROR(IF(AND(INDEX(TblClusters[Cluster],$B864)&lt;&gt;"",ISNUMBER(INDEX(TblClusters[CPU initial (vCPU)],$B864)),ISNUMBER(INDEX(TblClusters[CPU min (vCPU)],$B864)),OR(INDEX(TblClusters[Plateforme],$B864)="IKS",INDEX(TblClusters[Plateforme],$B864)="ROKS")),1,0),0))</f>
        <v>1</v>
      </c>
      <c r="E864" s="72">
        <f t="shared" si="223"/>
        <v>47209</v>
      </c>
      <c r="F864" s="19" t="str">
        <f>IF($D864=1,INDEX(TblClusters[Cluster],$B864),"")</f>
        <v>ku002i000510</v>
      </c>
      <c r="G864" s="19" t="str">
        <f>IF($D864=1,INDEX(TblClusters[Plateforme],$B864),"")</f>
        <v>IKS</v>
      </c>
      <c r="H864" s="19">
        <f>IF($D864=1,INDEX(TblClusters[vCPU par nœud],$B864),"")</f>
        <v>8</v>
      </c>
      <c r="I864" s="19">
        <f>IF($D864=1,INDEX(TblClusters[RAM par nœud (Go)],$B864),"")</f>
        <v>32</v>
      </c>
      <c r="J864" s="19">
        <f>IF($D864=1,INDEX(TblClusters[Workers min],$B864),"")</f>
        <v>3</v>
      </c>
      <c r="K864" s="73">
        <f>IF($D864=1,INDEX(TblClusters[Tarif par nœud],$B864),"")</f>
        <v>266</v>
      </c>
      <c r="L864" s="19">
        <f>IF($D864=1,INDEX(TblClusters[CPU initial (vCPU)],$B864),"")</f>
        <v>48</v>
      </c>
      <c r="M864" s="19">
        <f>IF($D864=1,INDEX(TblClusters[RAM initiale (Go)],$B864),"")</f>
        <v>192</v>
      </c>
      <c r="N864" s="19">
        <f>IF($D864=1,INDEX(TblClusters[CPU min (vCPU)],$B864),"")</f>
        <v>24</v>
      </c>
      <c r="O864" s="19">
        <f>IF($D864=1,INDEX(TblClusters[RAM min (Go)],$B864),"")</f>
        <v>96</v>
      </c>
      <c r="P864" s="19">
        <f>IF($D864&lt;&gt;1,"",IF($G864="ROKS",SUMIFS(TblApplications[Besoin ROKS CPU (vCPU)],TblApplications[Cluster ROKS cible],$F864,TblApplications[Action],"À migrer",TblApplications[Déjà incluse ROKS],"Non",TblApplications[Mois prov (calc)],"&lt;="&amp;$E864),SUMIFS(TblApplications[CPU IKS libérable (vCPU)],TblApplications[Cluster IKS source],$F864,TblApplications[Mois lib (calc)],"&lt;="&amp;$E864)))</f>
        <v>0</v>
      </c>
      <c r="Q864" s="19">
        <f>IF($D864&lt;&gt;1,"",IF($G864="ROKS",SUMIFS(TblApplications[Besoin ROKS RAM (Go)],TblApplications[Cluster ROKS cible],$F864,TblApplications[Action],"À migrer",TblApplications[Déjà incluse ROKS],"Non",TblApplications[Mois prov (calc)],"&lt;="&amp;$E864),SUMIFS(TblApplications[RAM IKS libérable (Go)],TblApplications[Cluster IKS source],$F864,TblApplications[Mois lib (calc)],"&lt;="&amp;$E864)))</f>
        <v>0</v>
      </c>
      <c r="R864" s="19">
        <f t="shared" si="224"/>
        <v>48</v>
      </c>
      <c r="S864" s="19">
        <f t="shared" si="225"/>
        <v>192</v>
      </c>
      <c r="T864" s="19">
        <f t="shared" si="226"/>
        <v>6</v>
      </c>
      <c r="U864" s="19">
        <f t="shared" si="227"/>
        <v>48</v>
      </c>
      <c r="V864" s="19">
        <f t="shared" si="228"/>
        <v>192</v>
      </c>
      <c r="W864" s="73">
        <f t="shared" si="229"/>
        <v>1596</v>
      </c>
      <c r="X864" s="19">
        <f>IF($D864&lt;&gt;1,"",IF($G864="ROKS",$R864,IF($AI864=1,0,MAX($N864,$L864-SUMIFS(TblApplications[CPU IKS libérable (vCPU)],TblApplications[Cluster IKS source],$F864,TblApplications[Action],"À migrer",TblApplications[Mois prov (calc)],"&lt;="&amp;$E864)-SUMIFS(TblApplications[CPU IKS libérable (vCPU)],TblApplications[Cluster IKS source],$F864,TblApplications[Action],"À décommissionner",TblApplications[Mois lib (calc)],"&lt;="&amp;$E864)))))</f>
        <v>48</v>
      </c>
      <c r="Y864" s="19">
        <f>IF($D864&lt;&gt;1,"",IF($G864="ROKS",$S864,IF($AI864=1,0,MAX($O864,$M864-SUMIFS(TblApplications[RAM IKS libérable (Go)],TblApplications[Cluster IKS source],$F864,TblApplications[Action],"À migrer",TblApplications[Mois prov (calc)],"&lt;="&amp;$E864)-SUMIFS(TblApplications[RAM IKS libérable (Go)],TblApplications[Cluster IKS source],$F864,TblApplications[Action],"À décommissionner",TblApplications[Mois lib (calc)],"&lt;="&amp;$E864)))))</f>
        <v>192</v>
      </c>
      <c r="Z864" s="19">
        <f t="shared" si="230"/>
        <v>6</v>
      </c>
      <c r="AA864" s="73">
        <f t="shared" si="231"/>
        <v>1596</v>
      </c>
      <c r="AB864" s="19">
        <f t="shared" si="232"/>
        <v>6</v>
      </c>
      <c r="AC864" s="73">
        <f t="shared" si="233"/>
        <v>1596</v>
      </c>
      <c r="AD864" s="19">
        <f t="shared" si="234"/>
        <v>0</v>
      </c>
      <c r="AE864" s="19">
        <f t="shared" si="235"/>
        <v>0</v>
      </c>
      <c r="AF864" s="19" t="str">
        <f>IF($D864&lt;&gt;1,"",IF(INDEX(TblClusters[Environnement],$B864)="","(vide)",INDEX(TblClusters[Environnement],$B864)))</f>
        <v>NPRD</v>
      </c>
      <c r="AG864" s="19">
        <f t="shared" si="236"/>
        <v>67.2</v>
      </c>
      <c r="AH864" s="19">
        <f t="shared" si="237"/>
        <v>23.75</v>
      </c>
      <c r="AI864" s="19">
        <f>IF($D864&lt;&gt;1,"",IF(AND($G864="IKS",ISNUMBER(INDEX(TblClusters[Fermeture retenue],$B864))),IF($E864&gt;=INDEX(TblClusters[Fermeture retenue],$B864),1,0),0))</f>
        <v>0</v>
      </c>
    </row>
    <row r="865" spans="1:35" x14ac:dyDescent="0.2">
      <c r="A865" s="19">
        <v>860</v>
      </c>
      <c r="B865" s="19">
        <f t="shared" si="221"/>
        <v>24</v>
      </c>
      <c r="C865" s="19">
        <f t="shared" si="222"/>
        <v>32</v>
      </c>
      <c r="D865" s="19">
        <f>IF($C865&gt;p_horizon,0,IFERROR(IF(AND(INDEX(TblClusters[Cluster],$B865)&lt;&gt;"",ISNUMBER(INDEX(TblClusters[CPU initial (vCPU)],$B865)),ISNUMBER(INDEX(TblClusters[CPU min (vCPU)],$B865)),OR(INDEX(TblClusters[Plateforme],$B865)="IKS",INDEX(TblClusters[Plateforme],$B865)="ROKS")),1,0),0))</f>
        <v>1</v>
      </c>
      <c r="E865" s="72">
        <f t="shared" si="223"/>
        <v>47239</v>
      </c>
      <c r="F865" s="19" t="str">
        <f>IF($D865=1,INDEX(TblClusters[Cluster],$B865),"")</f>
        <v>ku002i000510</v>
      </c>
      <c r="G865" s="19" t="str">
        <f>IF($D865=1,INDEX(TblClusters[Plateforme],$B865),"")</f>
        <v>IKS</v>
      </c>
      <c r="H865" s="19">
        <f>IF($D865=1,INDEX(TblClusters[vCPU par nœud],$B865),"")</f>
        <v>8</v>
      </c>
      <c r="I865" s="19">
        <f>IF($D865=1,INDEX(TblClusters[RAM par nœud (Go)],$B865),"")</f>
        <v>32</v>
      </c>
      <c r="J865" s="19">
        <f>IF($D865=1,INDEX(TblClusters[Workers min],$B865),"")</f>
        <v>3</v>
      </c>
      <c r="K865" s="73">
        <f>IF($D865=1,INDEX(TblClusters[Tarif par nœud],$B865),"")</f>
        <v>266</v>
      </c>
      <c r="L865" s="19">
        <f>IF($D865=1,INDEX(TblClusters[CPU initial (vCPU)],$B865),"")</f>
        <v>48</v>
      </c>
      <c r="M865" s="19">
        <f>IF($D865=1,INDEX(TblClusters[RAM initiale (Go)],$B865),"")</f>
        <v>192</v>
      </c>
      <c r="N865" s="19">
        <f>IF($D865=1,INDEX(TblClusters[CPU min (vCPU)],$B865),"")</f>
        <v>24</v>
      </c>
      <c r="O865" s="19">
        <f>IF($D865=1,INDEX(TblClusters[RAM min (Go)],$B865),"")</f>
        <v>96</v>
      </c>
      <c r="P865" s="19">
        <f>IF($D865&lt;&gt;1,"",IF($G865="ROKS",SUMIFS(TblApplications[Besoin ROKS CPU (vCPU)],TblApplications[Cluster ROKS cible],$F865,TblApplications[Action],"À migrer",TblApplications[Déjà incluse ROKS],"Non",TblApplications[Mois prov (calc)],"&lt;="&amp;$E865),SUMIFS(TblApplications[CPU IKS libérable (vCPU)],TblApplications[Cluster IKS source],$F865,TblApplications[Mois lib (calc)],"&lt;="&amp;$E865)))</f>
        <v>0</v>
      </c>
      <c r="Q865" s="19">
        <f>IF($D865&lt;&gt;1,"",IF($G865="ROKS",SUMIFS(TblApplications[Besoin ROKS RAM (Go)],TblApplications[Cluster ROKS cible],$F865,TblApplications[Action],"À migrer",TblApplications[Déjà incluse ROKS],"Non",TblApplications[Mois prov (calc)],"&lt;="&amp;$E865),SUMIFS(TblApplications[RAM IKS libérable (Go)],TblApplications[Cluster IKS source],$F865,TblApplications[Mois lib (calc)],"&lt;="&amp;$E865)))</f>
        <v>0</v>
      </c>
      <c r="R865" s="19">
        <f t="shared" si="224"/>
        <v>48</v>
      </c>
      <c r="S865" s="19">
        <f t="shared" si="225"/>
        <v>192</v>
      </c>
      <c r="T865" s="19">
        <f t="shared" si="226"/>
        <v>6</v>
      </c>
      <c r="U865" s="19">
        <f t="shared" si="227"/>
        <v>48</v>
      </c>
      <c r="V865" s="19">
        <f t="shared" si="228"/>
        <v>192</v>
      </c>
      <c r="W865" s="73">
        <f t="shared" si="229"/>
        <v>1596</v>
      </c>
      <c r="X865" s="19">
        <f>IF($D865&lt;&gt;1,"",IF($G865="ROKS",$R865,IF($AI865=1,0,MAX($N865,$L865-SUMIFS(TblApplications[CPU IKS libérable (vCPU)],TblApplications[Cluster IKS source],$F865,TblApplications[Action],"À migrer",TblApplications[Mois prov (calc)],"&lt;="&amp;$E865)-SUMIFS(TblApplications[CPU IKS libérable (vCPU)],TblApplications[Cluster IKS source],$F865,TblApplications[Action],"À décommissionner",TblApplications[Mois lib (calc)],"&lt;="&amp;$E865)))))</f>
        <v>48</v>
      </c>
      <c r="Y865" s="19">
        <f>IF($D865&lt;&gt;1,"",IF($G865="ROKS",$S865,IF($AI865=1,0,MAX($O865,$M865-SUMIFS(TblApplications[RAM IKS libérable (Go)],TblApplications[Cluster IKS source],$F865,TblApplications[Action],"À migrer",TblApplications[Mois prov (calc)],"&lt;="&amp;$E865)-SUMIFS(TblApplications[RAM IKS libérable (Go)],TblApplications[Cluster IKS source],$F865,TblApplications[Action],"À décommissionner",TblApplications[Mois lib (calc)],"&lt;="&amp;$E865)))))</f>
        <v>192</v>
      </c>
      <c r="Z865" s="19">
        <f t="shared" si="230"/>
        <v>6</v>
      </c>
      <c r="AA865" s="73">
        <f t="shared" si="231"/>
        <v>1596</v>
      </c>
      <c r="AB865" s="19">
        <f t="shared" si="232"/>
        <v>6</v>
      </c>
      <c r="AC865" s="73">
        <f t="shared" si="233"/>
        <v>1596</v>
      </c>
      <c r="AD865" s="19">
        <f t="shared" si="234"/>
        <v>0</v>
      </c>
      <c r="AE865" s="19">
        <f t="shared" si="235"/>
        <v>0</v>
      </c>
      <c r="AF865" s="19" t="str">
        <f>IF($D865&lt;&gt;1,"",IF(INDEX(TblClusters[Environnement],$B865)="","(vide)",INDEX(TblClusters[Environnement],$B865)))</f>
        <v>NPRD</v>
      </c>
      <c r="AG865" s="19">
        <f t="shared" si="236"/>
        <v>67.2</v>
      </c>
      <c r="AH865" s="19">
        <f t="shared" si="237"/>
        <v>23.75</v>
      </c>
      <c r="AI865" s="19">
        <f>IF($D865&lt;&gt;1,"",IF(AND($G865="IKS",ISNUMBER(INDEX(TblClusters[Fermeture retenue],$B865))),IF($E865&gt;=INDEX(TblClusters[Fermeture retenue],$B865),1,0),0))</f>
        <v>0</v>
      </c>
    </row>
    <row r="866" spans="1:35" x14ac:dyDescent="0.2">
      <c r="A866" s="19">
        <v>861</v>
      </c>
      <c r="B866" s="19">
        <f t="shared" si="221"/>
        <v>24</v>
      </c>
      <c r="C866" s="19">
        <f t="shared" si="222"/>
        <v>33</v>
      </c>
      <c r="D866" s="19">
        <f>IF($C866&gt;p_horizon,0,IFERROR(IF(AND(INDEX(TblClusters[Cluster],$B866)&lt;&gt;"",ISNUMBER(INDEX(TblClusters[CPU initial (vCPU)],$B866)),ISNUMBER(INDEX(TblClusters[CPU min (vCPU)],$B866)),OR(INDEX(TblClusters[Plateforme],$B866)="IKS",INDEX(TblClusters[Plateforme],$B866)="ROKS")),1,0),0))</f>
        <v>1</v>
      </c>
      <c r="E866" s="72">
        <f t="shared" si="223"/>
        <v>47270</v>
      </c>
      <c r="F866" s="19" t="str">
        <f>IF($D866=1,INDEX(TblClusters[Cluster],$B866),"")</f>
        <v>ku002i000510</v>
      </c>
      <c r="G866" s="19" t="str">
        <f>IF($D866=1,INDEX(TblClusters[Plateforme],$B866),"")</f>
        <v>IKS</v>
      </c>
      <c r="H866" s="19">
        <f>IF($D866=1,INDEX(TblClusters[vCPU par nœud],$B866),"")</f>
        <v>8</v>
      </c>
      <c r="I866" s="19">
        <f>IF($D866=1,INDEX(TblClusters[RAM par nœud (Go)],$B866),"")</f>
        <v>32</v>
      </c>
      <c r="J866" s="19">
        <f>IF($D866=1,INDEX(TblClusters[Workers min],$B866),"")</f>
        <v>3</v>
      </c>
      <c r="K866" s="73">
        <f>IF($D866=1,INDEX(TblClusters[Tarif par nœud],$B866),"")</f>
        <v>266</v>
      </c>
      <c r="L866" s="19">
        <f>IF($D866=1,INDEX(TblClusters[CPU initial (vCPU)],$B866),"")</f>
        <v>48</v>
      </c>
      <c r="M866" s="19">
        <f>IF($D866=1,INDEX(TblClusters[RAM initiale (Go)],$B866),"")</f>
        <v>192</v>
      </c>
      <c r="N866" s="19">
        <f>IF($D866=1,INDEX(TblClusters[CPU min (vCPU)],$B866),"")</f>
        <v>24</v>
      </c>
      <c r="O866" s="19">
        <f>IF($D866=1,INDEX(TblClusters[RAM min (Go)],$B866),"")</f>
        <v>96</v>
      </c>
      <c r="P866" s="19">
        <f>IF($D866&lt;&gt;1,"",IF($G866="ROKS",SUMIFS(TblApplications[Besoin ROKS CPU (vCPU)],TblApplications[Cluster ROKS cible],$F866,TblApplications[Action],"À migrer",TblApplications[Déjà incluse ROKS],"Non",TblApplications[Mois prov (calc)],"&lt;="&amp;$E866),SUMIFS(TblApplications[CPU IKS libérable (vCPU)],TblApplications[Cluster IKS source],$F866,TblApplications[Mois lib (calc)],"&lt;="&amp;$E866)))</f>
        <v>0</v>
      </c>
      <c r="Q866" s="19">
        <f>IF($D866&lt;&gt;1,"",IF($G866="ROKS",SUMIFS(TblApplications[Besoin ROKS RAM (Go)],TblApplications[Cluster ROKS cible],$F866,TblApplications[Action],"À migrer",TblApplications[Déjà incluse ROKS],"Non",TblApplications[Mois prov (calc)],"&lt;="&amp;$E866),SUMIFS(TblApplications[RAM IKS libérable (Go)],TblApplications[Cluster IKS source],$F866,TblApplications[Mois lib (calc)],"&lt;="&amp;$E866)))</f>
        <v>0</v>
      </c>
      <c r="R866" s="19">
        <f t="shared" si="224"/>
        <v>48</v>
      </c>
      <c r="S866" s="19">
        <f t="shared" si="225"/>
        <v>192</v>
      </c>
      <c r="T866" s="19">
        <f t="shared" si="226"/>
        <v>6</v>
      </c>
      <c r="U866" s="19">
        <f t="shared" si="227"/>
        <v>48</v>
      </c>
      <c r="V866" s="19">
        <f t="shared" si="228"/>
        <v>192</v>
      </c>
      <c r="W866" s="73">
        <f t="shared" si="229"/>
        <v>1596</v>
      </c>
      <c r="X866" s="19">
        <f>IF($D866&lt;&gt;1,"",IF($G866="ROKS",$R866,IF($AI866=1,0,MAX($N866,$L866-SUMIFS(TblApplications[CPU IKS libérable (vCPU)],TblApplications[Cluster IKS source],$F866,TblApplications[Action],"À migrer",TblApplications[Mois prov (calc)],"&lt;="&amp;$E866)-SUMIFS(TblApplications[CPU IKS libérable (vCPU)],TblApplications[Cluster IKS source],$F866,TblApplications[Action],"À décommissionner",TblApplications[Mois lib (calc)],"&lt;="&amp;$E866)))))</f>
        <v>48</v>
      </c>
      <c r="Y866" s="19">
        <f>IF($D866&lt;&gt;1,"",IF($G866="ROKS",$S866,IF($AI866=1,0,MAX($O866,$M866-SUMIFS(TblApplications[RAM IKS libérable (Go)],TblApplications[Cluster IKS source],$F866,TblApplications[Action],"À migrer",TblApplications[Mois prov (calc)],"&lt;="&amp;$E866)-SUMIFS(TblApplications[RAM IKS libérable (Go)],TblApplications[Cluster IKS source],$F866,TblApplications[Action],"À décommissionner",TblApplications[Mois lib (calc)],"&lt;="&amp;$E866)))))</f>
        <v>192</v>
      </c>
      <c r="Z866" s="19">
        <f t="shared" si="230"/>
        <v>6</v>
      </c>
      <c r="AA866" s="73">
        <f t="shared" si="231"/>
        <v>1596</v>
      </c>
      <c r="AB866" s="19">
        <f t="shared" si="232"/>
        <v>6</v>
      </c>
      <c r="AC866" s="73">
        <f t="shared" si="233"/>
        <v>1596</v>
      </c>
      <c r="AD866" s="19">
        <f t="shared" si="234"/>
        <v>0</v>
      </c>
      <c r="AE866" s="19">
        <f t="shared" si="235"/>
        <v>0</v>
      </c>
      <c r="AF866" s="19" t="str">
        <f>IF($D866&lt;&gt;1,"",IF(INDEX(TblClusters[Environnement],$B866)="","(vide)",INDEX(TblClusters[Environnement],$B866)))</f>
        <v>NPRD</v>
      </c>
      <c r="AG866" s="19">
        <f t="shared" si="236"/>
        <v>67.2</v>
      </c>
      <c r="AH866" s="19">
        <f t="shared" si="237"/>
        <v>23.75</v>
      </c>
      <c r="AI866" s="19">
        <f>IF($D866&lt;&gt;1,"",IF(AND($G866="IKS",ISNUMBER(INDEX(TblClusters[Fermeture retenue],$B866))),IF($E866&gt;=INDEX(TblClusters[Fermeture retenue],$B866),1,0),0))</f>
        <v>0</v>
      </c>
    </row>
    <row r="867" spans="1:35" x14ac:dyDescent="0.2">
      <c r="A867" s="19">
        <v>862</v>
      </c>
      <c r="B867" s="19">
        <f t="shared" si="221"/>
        <v>24</v>
      </c>
      <c r="C867" s="19">
        <f t="shared" si="222"/>
        <v>34</v>
      </c>
      <c r="D867" s="19">
        <f>IF($C867&gt;p_horizon,0,IFERROR(IF(AND(INDEX(TblClusters[Cluster],$B867)&lt;&gt;"",ISNUMBER(INDEX(TblClusters[CPU initial (vCPU)],$B867)),ISNUMBER(INDEX(TblClusters[CPU min (vCPU)],$B867)),OR(INDEX(TblClusters[Plateforme],$B867)="IKS",INDEX(TblClusters[Plateforme],$B867)="ROKS")),1,0),0))</f>
        <v>1</v>
      </c>
      <c r="E867" s="72">
        <f t="shared" si="223"/>
        <v>47300</v>
      </c>
      <c r="F867" s="19" t="str">
        <f>IF($D867=1,INDEX(TblClusters[Cluster],$B867),"")</f>
        <v>ku002i000510</v>
      </c>
      <c r="G867" s="19" t="str">
        <f>IF($D867=1,INDEX(TblClusters[Plateforme],$B867),"")</f>
        <v>IKS</v>
      </c>
      <c r="H867" s="19">
        <f>IF($D867=1,INDEX(TblClusters[vCPU par nœud],$B867),"")</f>
        <v>8</v>
      </c>
      <c r="I867" s="19">
        <f>IF($D867=1,INDEX(TblClusters[RAM par nœud (Go)],$B867),"")</f>
        <v>32</v>
      </c>
      <c r="J867" s="19">
        <f>IF($D867=1,INDEX(TblClusters[Workers min],$B867),"")</f>
        <v>3</v>
      </c>
      <c r="K867" s="73">
        <f>IF($D867=1,INDEX(TblClusters[Tarif par nœud],$B867),"")</f>
        <v>266</v>
      </c>
      <c r="L867" s="19">
        <f>IF($D867=1,INDEX(TblClusters[CPU initial (vCPU)],$B867),"")</f>
        <v>48</v>
      </c>
      <c r="M867" s="19">
        <f>IF($D867=1,INDEX(TblClusters[RAM initiale (Go)],$B867),"")</f>
        <v>192</v>
      </c>
      <c r="N867" s="19">
        <f>IF($D867=1,INDEX(TblClusters[CPU min (vCPU)],$B867),"")</f>
        <v>24</v>
      </c>
      <c r="O867" s="19">
        <f>IF($D867=1,INDEX(TblClusters[RAM min (Go)],$B867),"")</f>
        <v>96</v>
      </c>
      <c r="P867" s="19">
        <f>IF($D867&lt;&gt;1,"",IF($G867="ROKS",SUMIFS(TblApplications[Besoin ROKS CPU (vCPU)],TblApplications[Cluster ROKS cible],$F867,TblApplications[Action],"À migrer",TblApplications[Déjà incluse ROKS],"Non",TblApplications[Mois prov (calc)],"&lt;="&amp;$E867),SUMIFS(TblApplications[CPU IKS libérable (vCPU)],TblApplications[Cluster IKS source],$F867,TblApplications[Mois lib (calc)],"&lt;="&amp;$E867)))</f>
        <v>0</v>
      </c>
      <c r="Q867" s="19">
        <f>IF($D867&lt;&gt;1,"",IF($G867="ROKS",SUMIFS(TblApplications[Besoin ROKS RAM (Go)],TblApplications[Cluster ROKS cible],$F867,TblApplications[Action],"À migrer",TblApplications[Déjà incluse ROKS],"Non",TblApplications[Mois prov (calc)],"&lt;="&amp;$E867),SUMIFS(TblApplications[RAM IKS libérable (Go)],TblApplications[Cluster IKS source],$F867,TblApplications[Mois lib (calc)],"&lt;="&amp;$E867)))</f>
        <v>0</v>
      </c>
      <c r="R867" s="19">
        <f t="shared" si="224"/>
        <v>48</v>
      </c>
      <c r="S867" s="19">
        <f t="shared" si="225"/>
        <v>192</v>
      </c>
      <c r="T867" s="19">
        <f t="shared" si="226"/>
        <v>6</v>
      </c>
      <c r="U867" s="19">
        <f t="shared" si="227"/>
        <v>48</v>
      </c>
      <c r="V867" s="19">
        <f t="shared" si="228"/>
        <v>192</v>
      </c>
      <c r="W867" s="73">
        <f t="shared" si="229"/>
        <v>1596</v>
      </c>
      <c r="X867" s="19">
        <f>IF($D867&lt;&gt;1,"",IF($G867="ROKS",$R867,IF($AI867=1,0,MAX($N867,$L867-SUMIFS(TblApplications[CPU IKS libérable (vCPU)],TblApplications[Cluster IKS source],$F867,TblApplications[Action],"À migrer",TblApplications[Mois prov (calc)],"&lt;="&amp;$E867)-SUMIFS(TblApplications[CPU IKS libérable (vCPU)],TblApplications[Cluster IKS source],$F867,TblApplications[Action],"À décommissionner",TblApplications[Mois lib (calc)],"&lt;="&amp;$E867)))))</f>
        <v>48</v>
      </c>
      <c r="Y867" s="19">
        <f>IF($D867&lt;&gt;1,"",IF($G867="ROKS",$S867,IF($AI867=1,0,MAX($O867,$M867-SUMIFS(TblApplications[RAM IKS libérable (Go)],TblApplications[Cluster IKS source],$F867,TblApplications[Action],"À migrer",TblApplications[Mois prov (calc)],"&lt;="&amp;$E867)-SUMIFS(TblApplications[RAM IKS libérable (Go)],TblApplications[Cluster IKS source],$F867,TblApplications[Action],"À décommissionner",TblApplications[Mois lib (calc)],"&lt;="&amp;$E867)))))</f>
        <v>192</v>
      </c>
      <c r="Z867" s="19">
        <f t="shared" si="230"/>
        <v>6</v>
      </c>
      <c r="AA867" s="73">
        <f t="shared" si="231"/>
        <v>1596</v>
      </c>
      <c r="AB867" s="19">
        <f t="shared" si="232"/>
        <v>6</v>
      </c>
      <c r="AC867" s="73">
        <f t="shared" si="233"/>
        <v>1596</v>
      </c>
      <c r="AD867" s="19">
        <f t="shared" si="234"/>
        <v>0</v>
      </c>
      <c r="AE867" s="19">
        <f t="shared" si="235"/>
        <v>0</v>
      </c>
      <c r="AF867" s="19" t="str">
        <f>IF($D867&lt;&gt;1,"",IF(INDEX(TblClusters[Environnement],$B867)="","(vide)",INDEX(TblClusters[Environnement],$B867)))</f>
        <v>NPRD</v>
      </c>
      <c r="AG867" s="19">
        <f t="shared" si="236"/>
        <v>67.2</v>
      </c>
      <c r="AH867" s="19">
        <f t="shared" si="237"/>
        <v>23.75</v>
      </c>
      <c r="AI867" s="19">
        <f>IF($D867&lt;&gt;1,"",IF(AND($G867="IKS",ISNUMBER(INDEX(TblClusters[Fermeture retenue],$B867))),IF($E867&gt;=INDEX(TblClusters[Fermeture retenue],$B867),1,0),0))</f>
        <v>0</v>
      </c>
    </row>
    <row r="868" spans="1:35" x14ac:dyDescent="0.2">
      <c r="A868" s="19">
        <v>863</v>
      </c>
      <c r="B868" s="19">
        <f t="shared" si="221"/>
        <v>24</v>
      </c>
      <c r="C868" s="19">
        <f t="shared" si="222"/>
        <v>35</v>
      </c>
      <c r="D868" s="19">
        <f>IF($C868&gt;p_horizon,0,IFERROR(IF(AND(INDEX(TblClusters[Cluster],$B868)&lt;&gt;"",ISNUMBER(INDEX(TblClusters[CPU initial (vCPU)],$B868)),ISNUMBER(INDEX(TblClusters[CPU min (vCPU)],$B868)),OR(INDEX(TblClusters[Plateforme],$B868)="IKS",INDEX(TblClusters[Plateforme],$B868)="ROKS")),1,0),0))</f>
        <v>1</v>
      </c>
      <c r="E868" s="72">
        <f t="shared" si="223"/>
        <v>47331</v>
      </c>
      <c r="F868" s="19" t="str">
        <f>IF($D868=1,INDEX(TblClusters[Cluster],$B868),"")</f>
        <v>ku002i000510</v>
      </c>
      <c r="G868" s="19" t="str">
        <f>IF($D868=1,INDEX(TblClusters[Plateforme],$B868),"")</f>
        <v>IKS</v>
      </c>
      <c r="H868" s="19">
        <f>IF($D868=1,INDEX(TblClusters[vCPU par nœud],$B868),"")</f>
        <v>8</v>
      </c>
      <c r="I868" s="19">
        <f>IF($D868=1,INDEX(TblClusters[RAM par nœud (Go)],$B868),"")</f>
        <v>32</v>
      </c>
      <c r="J868" s="19">
        <f>IF($D868=1,INDEX(TblClusters[Workers min],$B868),"")</f>
        <v>3</v>
      </c>
      <c r="K868" s="73">
        <f>IF($D868=1,INDEX(TblClusters[Tarif par nœud],$B868),"")</f>
        <v>266</v>
      </c>
      <c r="L868" s="19">
        <f>IF($D868=1,INDEX(TblClusters[CPU initial (vCPU)],$B868),"")</f>
        <v>48</v>
      </c>
      <c r="M868" s="19">
        <f>IF($D868=1,INDEX(TblClusters[RAM initiale (Go)],$B868),"")</f>
        <v>192</v>
      </c>
      <c r="N868" s="19">
        <f>IF($D868=1,INDEX(TblClusters[CPU min (vCPU)],$B868),"")</f>
        <v>24</v>
      </c>
      <c r="O868" s="19">
        <f>IF($D868=1,INDEX(TblClusters[RAM min (Go)],$B868),"")</f>
        <v>96</v>
      </c>
      <c r="P868" s="19">
        <f>IF($D868&lt;&gt;1,"",IF($G868="ROKS",SUMIFS(TblApplications[Besoin ROKS CPU (vCPU)],TblApplications[Cluster ROKS cible],$F868,TblApplications[Action],"À migrer",TblApplications[Déjà incluse ROKS],"Non",TblApplications[Mois prov (calc)],"&lt;="&amp;$E868),SUMIFS(TblApplications[CPU IKS libérable (vCPU)],TblApplications[Cluster IKS source],$F868,TblApplications[Mois lib (calc)],"&lt;="&amp;$E868)))</f>
        <v>0</v>
      </c>
      <c r="Q868" s="19">
        <f>IF($D868&lt;&gt;1,"",IF($G868="ROKS",SUMIFS(TblApplications[Besoin ROKS RAM (Go)],TblApplications[Cluster ROKS cible],$F868,TblApplications[Action],"À migrer",TblApplications[Déjà incluse ROKS],"Non",TblApplications[Mois prov (calc)],"&lt;="&amp;$E868),SUMIFS(TblApplications[RAM IKS libérable (Go)],TblApplications[Cluster IKS source],$F868,TblApplications[Mois lib (calc)],"&lt;="&amp;$E868)))</f>
        <v>0</v>
      </c>
      <c r="R868" s="19">
        <f t="shared" si="224"/>
        <v>48</v>
      </c>
      <c r="S868" s="19">
        <f t="shared" si="225"/>
        <v>192</v>
      </c>
      <c r="T868" s="19">
        <f t="shared" si="226"/>
        <v>6</v>
      </c>
      <c r="U868" s="19">
        <f t="shared" si="227"/>
        <v>48</v>
      </c>
      <c r="V868" s="19">
        <f t="shared" si="228"/>
        <v>192</v>
      </c>
      <c r="W868" s="73">
        <f t="shared" si="229"/>
        <v>1596</v>
      </c>
      <c r="X868" s="19">
        <f>IF($D868&lt;&gt;1,"",IF($G868="ROKS",$R868,IF($AI868=1,0,MAX($N868,$L868-SUMIFS(TblApplications[CPU IKS libérable (vCPU)],TblApplications[Cluster IKS source],$F868,TblApplications[Action],"À migrer",TblApplications[Mois prov (calc)],"&lt;="&amp;$E868)-SUMIFS(TblApplications[CPU IKS libérable (vCPU)],TblApplications[Cluster IKS source],$F868,TblApplications[Action],"À décommissionner",TblApplications[Mois lib (calc)],"&lt;="&amp;$E868)))))</f>
        <v>48</v>
      </c>
      <c r="Y868" s="19">
        <f>IF($D868&lt;&gt;1,"",IF($G868="ROKS",$S868,IF($AI868=1,0,MAX($O868,$M868-SUMIFS(TblApplications[RAM IKS libérable (Go)],TblApplications[Cluster IKS source],$F868,TblApplications[Action],"À migrer",TblApplications[Mois prov (calc)],"&lt;="&amp;$E868)-SUMIFS(TblApplications[RAM IKS libérable (Go)],TblApplications[Cluster IKS source],$F868,TblApplications[Action],"À décommissionner",TblApplications[Mois lib (calc)],"&lt;="&amp;$E868)))))</f>
        <v>192</v>
      </c>
      <c r="Z868" s="19">
        <f t="shared" si="230"/>
        <v>6</v>
      </c>
      <c r="AA868" s="73">
        <f t="shared" si="231"/>
        <v>1596</v>
      </c>
      <c r="AB868" s="19">
        <f t="shared" si="232"/>
        <v>6</v>
      </c>
      <c r="AC868" s="73">
        <f t="shared" si="233"/>
        <v>1596</v>
      </c>
      <c r="AD868" s="19">
        <f t="shared" si="234"/>
        <v>0</v>
      </c>
      <c r="AE868" s="19">
        <f t="shared" si="235"/>
        <v>0</v>
      </c>
      <c r="AF868" s="19" t="str">
        <f>IF($D868&lt;&gt;1,"",IF(INDEX(TblClusters[Environnement],$B868)="","(vide)",INDEX(TblClusters[Environnement],$B868)))</f>
        <v>NPRD</v>
      </c>
      <c r="AG868" s="19">
        <f t="shared" si="236"/>
        <v>67.2</v>
      </c>
      <c r="AH868" s="19">
        <f t="shared" si="237"/>
        <v>23.75</v>
      </c>
      <c r="AI868" s="19">
        <f>IF($D868&lt;&gt;1,"",IF(AND($G868="IKS",ISNUMBER(INDEX(TblClusters[Fermeture retenue],$B868))),IF($E868&gt;=INDEX(TblClusters[Fermeture retenue],$B868),1,0),0))</f>
        <v>0</v>
      </c>
    </row>
    <row r="869" spans="1:35" x14ac:dyDescent="0.2">
      <c r="A869" s="19">
        <v>864</v>
      </c>
      <c r="B869" s="19">
        <f t="shared" si="221"/>
        <v>24</v>
      </c>
      <c r="C869" s="19">
        <f t="shared" si="222"/>
        <v>36</v>
      </c>
      <c r="D869" s="19">
        <f>IF($C869&gt;p_horizon,0,IFERROR(IF(AND(INDEX(TblClusters[Cluster],$B869)&lt;&gt;"",ISNUMBER(INDEX(TblClusters[CPU initial (vCPU)],$B869)),ISNUMBER(INDEX(TblClusters[CPU min (vCPU)],$B869)),OR(INDEX(TblClusters[Plateforme],$B869)="IKS",INDEX(TblClusters[Plateforme],$B869)="ROKS")),1,0),0))</f>
        <v>1</v>
      </c>
      <c r="E869" s="72">
        <f t="shared" si="223"/>
        <v>47362</v>
      </c>
      <c r="F869" s="19" t="str">
        <f>IF($D869=1,INDEX(TblClusters[Cluster],$B869),"")</f>
        <v>ku002i000510</v>
      </c>
      <c r="G869" s="19" t="str">
        <f>IF($D869=1,INDEX(TblClusters[Plateforme],$B869),"")</f>
        <v>IKS</v>
      </c>
      <c r="H869" s="19">
        <f>IF($D869=1,INDEX(TblClusters[vCPU par nœud],$B869),"")</f>
        <v>8</v>
      </c>
      <c r="I869" s="19">
        <f>IF($D869=1,INDEX(TblClusters[RAM par nœud (Go)],$B869),"")</f>
        <v>32</v>
      </c>
      <c r="J869" s="19">
        <f>IF($D869=1,INDEX(TblClusters[Workers min],$B869),"")</f>
        <v>3</v>
      </c>
      <c r="K869" s="73">
        <f>IF($D869=1,INDEX(TblClusters[Tarif par nœud],$B869),"")</f>
        <v>266</v>
      </c>
      <c r="L869" s="19">
        <f>IF($D869=1,INDEX(TblClusters[CPU initial (vCPU)],$B869),"")</f>
        <v>48</v>
      </c>
      <c r="M869" s="19">
        <f>IF($D869=1,INDEX(TblClusters[RAM initiale (Go)],$B869),"")</f>
        <v>192</v>
      </c>
      <c r="N869" s="19">
        <f>IF($D869=1,INDEX(TblClusters[CPU min (vCPU)],$B869),"")</f>
        <v>24</v>
      </c>
      <c r="O869" s="19">
        <f>IF($D869=1,INDEX(TblClusters[RAM min (Go)],$B869),"")</f>
        <v>96</v>
      </c>
      <c r="P869" s="19">
        <f>IF($D869&lt;&gt;1,"",IF($G869="ROKS",SUMIFS(TblApplications[Besoin ROKS CPU (vCPU)],TblApplications[Cluster ROKS cible],$F869,TblApplications[Action],"À migrer",TblApplications[Déjà incluse ROKS],"Non",TblApplications[Mois prov (calc)],"&lt;="&amp;$E869),SUMIFS(TblApplications[CPU IKS libérable (vCPU)],TblApplications[Cluster IKS source],$F869,TblApplications[Mois lib (calc)],"&lt;="&amp;$E869)))</f>
        <v>0</v>
      </c>
      <c r="Q869" s="19">
        <f>IF($D869&lt;&gt;1,"",IF($G869="ROKS",SUMIFS(TblApplications[Besoin ROKS RAM (Go)],TblApplications[Cluster ROKS cible],$F869,TblApplications[Action],"À migrer",TblApplications[Déjà incluse ROKS],"Non",TblApplications[Mois prov (calc)],"&lt;="&amp;$E869),SUMIFS(TblApplications[RAM IKS libérable (Go)],TblApplications[Cluster IKS source],$F869,TblApplications[Mois lib (calc)],"&lt;="&amp;$E869)))</f>
        <v>0</v>
      </c>
      <c r="R869" s="19">
        <f t="shared" si="224"/>
        <v>48</v>
      </c>
      <c r="S869" s="19">
        <f t="shared" si="225"/>
        <v>192</v>
      </c>
      <c r="T869" s="19">
        <f t="shared" si="226"/>
        <v>6</v>
      </c>
      <c r="U869" s="19">
        <f t="shared" si="227"/>
        <v>48</v>
      </c>
      <c r="V869" s="19">
        <f t="shared" si="228"/>
        <v>192</v>
      </c>
      <c r="W869" s="73">
        <f t="shared" si="229"/>
        <v>1596</v>
      </c>
      <c r="X869" s="19">
        <f>IF($D869&lt;&gt;1,"",IF($G869="ROKS",$R869,IF($AI869=1,0,MAX($N869,$L869-SUMIFS(TblApplications[CPU IKS libérable (vCPU)],TblApplications[Cluster IKS source],$F869,TblApplications[Action],"À migrer",TblApplications[Mois prov (calc)],"&lt;="&amp;$E869)-SUMIFS(TblApplications[CPU IKS libérable (vCPU)],TblApplications[Cluster IKS source],$F869,TblApplications[Action],"À décommissionner",TblApplications[Mois lib (calc)],"&lt;="&amp;$E869)))))</f>
        <v>48</v>
      </c>
      <c r="Y869" s="19">
        <f>IF($D869&lt;&gt;1,"",IF($G869="ROKS",$S869,IF($AI869=1,0,MAX($O869,$M869-SUMIFS(TblApplications[RAM IKS libérable (Go)],TblApplications[Cluster IKS source],$F869,TblApplications[Action],"À migrer",TblApplications[Mois prov (calc)],"&lt;="&amp;$E869)-SUMIFS(TblApplications[RAM IKS libérable (Go)],TblApplications[Cluster IKS source],$F869,TblApplications[Action],"À décommissionner",TblApplications[Mois lib (calc)],"&lt;="&amp;$E869)))))</f>
        <v>192</v>
      </c>
      <c r="Z869" s="19">
        <f t="shared" si="230"/>
        <v>6</v>
      </c>
      <c r="AA869" s="73">
        <f t="shared" si="231"/>
        <v>1596</v>
      </c>
      <c r="AB869" s="19">
        <f t="shared" si="232"/>
        <v>6</v>
      </c>
      <c r="AC869" s="73">
        <f t="shared" si="233"/>
        <v>1596</v>
      </c>
      <c r="AD869" s="19">
        <f t="shared" si="234"/>
        <v>0</v>
      </c>
      <c r="AE869" s="19">
        <f t="shared" si="235"/>
        <v>0</v>
      </c>
      <c r="AF869" s="19" t="str">
        <f>IF($D869&lt;&gt;1,"",IF(INDEX(TblClusters[Environnement],$B869)="","(vide)",INDEX(TblClusters[Environnement],$B869)))</f>
        <v>NPRD</v>
      </c>
      <c r="AG869" s="19">
        <f t="shared" si="236"/>
        <v>67.2</v>
      </c>
      <c r="AH869" s="19">
        <f t="shared" si="237"/>
        <v>23.75</v>
      </c>
      <c r="AI869" s="19">
        <f>IF($D869&lt;&gt;1,"",IF(AND($G869="IKS",ISNUMBER(INDEX(TblClusters[Fermeture retenue],$B869))),IF($E869&gt;=INDEX(TblClusters[Fermeture retenue],$B869),1,0),0))</f>
        <v>0</v>
      </c>
    </row>
    <row r="870" spans="1:35" x14ac:dyDescent="0.2">
      <c r="A870" s="19">
        <v>865</v>
      </c>
      <c r="B870" s="19">
        <f t="shared" si="221"/>
        <v>25</v>
      </c>
      <c r="C870" s="19">
        <f t="shared" si="222"/>
        <v>1</v>
      </c>
      <c r="D870" s="19">
        <f>IF($C870&gt;p_horizon,0,IFERROR(IF(AND(INDEX(TblClusters[Cluster],$B870)&lt;&gt;"",ISNUMBER(INDEX(TblClusters[CPU initial (vCPU)],$B870)),ISNUMBER(INDEX(TblClusters[CPU min (vCPU)],$B870)),OR(INDEX(TblClusters[Plateforme],$B870)="IKS",INDEX(TblClusters[Plateforme],$B870)="ROKS")),1,0),0))</f>
        <v>1</v>
      </c>
      <c r="E870" s="72">
        <f t="shared" si="223"/>
        <v>46296</v>
      </c>
      <c r="F870" s="19" t="str">
        <f>IF($D870=1,INDEX(TblClusters[Cluster],$B870),"")</f>
        <v>ku002i000565</v>
      </c>
      <c r="G870" s="19" t="str">
        <f>IF($D870=1,INDEX(TblClusters[Plateforme],$B870),"")</f>
        <v>IKS</v>
      </c>
      <c r="H870" s="19">
        <f>IF($D870=1,INDEX(TblClusters[vCPU par nœud],$B870),"")</f>
        <v>8</v>
      </c>
      <c r="I870" s="19">
        <f>IF($D870=1,INDEX(TblClusters[RAM par nœud (Go)],$B870),"")</f>
        <v>32</v>
      </c>
      <c r="J870" s="19">
        <f>IF($D870=1,INDEX(TblClusters[Workers min],$B870),"")</f>
        <v>3</v>
      </c>
      <c r="K870" s="73">
        <f>IF($D870=1,INDEX(TblClusters[Tarif par nœud],$B870),"")</f>
        <v>266</v>
      </c>
      <c r="L870" s="19">
        <f>IF($D870=1,INDEX(TblClusters[CPU initial (vCPU)],$B870),"")</f>
        <v>48</v>
      </c>
      <c r="M870" s="19">
        <f>IF($D870=1,INDEX(TblClusters[RAM initiale (Go)],$B870),"")</f>
        <v>192</v>
      </c>
      <c r="N870" s="19">
        <f>IF($D870=1,INDEX(TblClusters[CPU min (vCPU)],$B870),"")</f>
        <v>24</v>
      </c>
      <c r="O870" s="19">
        <f>IF($D870=1,INDEX(TblClusters[RAM min (Go)],$B870),"")</f>
        <v>96</v>
      </c>
      <c r="P870" s="19">
        <f>IF($D870&lt;&gt;1,"",IF($G870="ROKS",SUMIFS(TblApplications[Besoin ROKS CPU (vCPU)],TblApplications[Cluster ROKS cible],$F870,TblApplications[Action],"À migrer",TblApplications[Déjà incluse ROKS],"Non",TblApplications[Mois prov (calc)],"&lt;="&amp;$E870),SUMIFS(TblApplications[CPU IKS libérable (vCPU)],TblApplications[Cluster IKS source],$F870,TblApplications[Mois lib (calc)],"&lt;="&amp;$E870)))</f>
        <v>0</v>
      </c>
      <c r="Q870" s="19">
        <f>IF($D870&lt;&gt;1,"",IF($G870="ROKS",SUMIFS(TblApplications[Besoin ROKS RAM (Go)],TblApplications[Cluster ROKS cible],$F870,TblApplications[Action],"À migrer",TblApplications[Déjà incluse ROKS],"Non",TblApplications[Mois prov (calc)],"&lt;="&amp;$E870),SUMIFS(TblApplications[RAM IKS libérable (Go)],TblApplications[Cluster IKS source],$F870,TblApplications[Mois lib (calc)],"&lt;="&amp;$E870)))</f>
        <v>0</v>
      </c>
      <c r="R870" s="19">
        <f t="shared" si="224"/>
        <v>48</v>
      </c>
      <c r="S870" s="19">
        <f t="shared" si="225"/>
        <v>192</v>
      </c>
      <c r="T870" s="19">
        <f t="shared" si="226"/>
        <v>6</v>
      </c>
      <c r="U870" s="19">
        <f t="shared" si="227"/>
        <v>48</v>
      </c>
      <c r="V870" s="19">
        <f t="shared" si="228"/>
        <v>192</v>
      </c>
      <c r="W870" s="73">
        <f t="shared" si="229"/>
        <v>1596</v>
      </c>
      <c r="X870" s="19">
        <f>IF($D870&lt;&gt;1,"",IF($G870="ROKS",$R870,IF($AI870=1,0,MAX($N870,$L870-SUMIFS(TblApplications[CPU IKS libérable (vCPU)],TblApplications[Cluster IKS source],$F870,TblApplications[Action],"À migrer",TblApplications[Mois prov (calc)],"&lt;="&amp;$E870)-SUMIFS(TblApplications[CPU IKS libérable (vCPU)],TblApplications[Cluster IKS source],$F870,TblApplications[Action],"À décommissionner",TblApplications[Mois lib (calc)],"&lt;="&amp;$E870)))))</f>
        <v>48</v>
      </c>
      <c r="Y870" s="19">
        <f>IF($D870&lt;&gt;1,"",IF($G870="ROKS",$S870,IF($AI870=1,0,MAX($O870,$M870-SUMIFS(TblApplications[RAM IKS libérable (Go)],TblApplications[Cluster IKS source],$F870,TblApplications[Action],"À migrer",TblApplications[Mois prov (calc)],"&lt;="&amp;$E870)-SUMIFS(TblApplications[RAM IKS libérable (Go)],TblApplications[Cluster IKS source],$F870,TblApplications[Action],"À décommissionner",TblApplications[Mois lib (calc)],"&lt;="&amp;$E870)))))</f>
        <v>192</v>
      </c>
      <c r="Z870" s="19">
        <f t="shared" si="230"/>
        <v>6</v>
      </c>
      <c r="AA870" s="73">
        <f t="shared" si="231"/>
        <v>1596</v>
      </c>
      <c r="AB870" s="19">
        <f t="shared" si="232"/>
        <v>6</v>
      </c>
      <c r="AC870" s="73">
        <f t="shared" si="233"/>
        <v>1596</v>
      </c>
      <c r="AD870" s="19">
        <f t="shared" si="234"/>
        <v>0</v>
      </c>
      <c r="AE870" s="19">
        <f t="shared" si="235"/>
        <v>0</v>
      </c>
      <c r="AF870" s="19" t="str">
        <f>IF($D870&lt;&gt;1,"",IF(INDEX(TblClusters[Environnement],$B870)="","(vide)",INDEX(TblClusters[Environnement],$B870)))</f>
        <v>PRD</v>
      </c>
      <c r="AG870" s="19">
        <f t="shared" si="236"/>
        <v>67.2</v>
      </c>
      <c r="AH870" s="19">
        <f t="shared" si="237"/>
        <v>23.75</v>
      </c>
      <c r="AI870" s="19">
        <f>IF($D870&lt;&gt;1,"",IF(AND($G870="IKS",ISNUMBER(INDEX(TblClusters[Fermeture retenue],$B870))),IF($E870&gt;=INDEX(TblClusters[Fermeture retenue],$B870),1,0),0))</f>
        <v>0</v>
      </c>
    </row>
    <row r="871" spans="1:35" x14ac:dyDescent="0.2">
      <c r="A871" s="19">
        <v>866</v>
      </c>
      <c r="B871" s="19">
        <f t="shared" si="221"/>
        <v>25</v>
      </c>
      <c r="C871" s="19">
        <f t="shared" si="222"/>
        <v>2</v>
      </c>
      <c r="D871" s="19">
        <f>IF($C871&gt;p_horizon,0,IFERROR(IF(AND(INDEX(TblClusters[Cluster],$B871)&lt;&gt;"",ISNUMBER(INDEX(TblClusters[CPU initial (vCPU)],$B871)),ISNUMBER(INDEX(TblClusters[CPU min (vCPU)],$B871)),OR(INDEX(TblClusters[Plateforme],$B871)="IKS",INDEX(TblClusters[Plateforme],$B871)="ROKS")),1,0),0))</f>
        <v>1</v>
      </c>
      <c r="E871" s="72">
        <f t="shared" si="223"/>
        <v>46327</v>
      </c>
      <c r="F871" s="19" t="str">
        <f>IF($D871=1,INDEX(TblClusters[Cluster],$B871),"")</f>
        <v>ku002i000565</v>
      </c>
      <c r="G871" s="19" t="str">
        <f>IF($D871=1,INDEX(TblClusters[Plateforme],$B871),"")</f>
        <v>IKS</v>
      </c>
      <c r="H871" s="19">
        <f>IF($D871=1,INDEX(TblClusters[vCPU par nœud],$B871),"")</f>
        <v>8</v>
      </c>
      <c r="I871" s="19">
        <f>IF($D871=1,INDEX(TblClusters[RAM par nœud (Go)],$B871),"")</f>
        <v>32</v>
      </c>
      <c r="J871" s="19">
        <f>IF($D871=1,INDEX(TblClusters[Workers min],$B871),"")</f>
        <v>3</v>
      </c>
      <c r="K871" s="73">
        <f>IF($D871=1,INDEX(TblClusters[Tarif par nœud],$B871),"")</f>
        <v>266</v>
      </c>
      <c r="L871" s="19">
        <f>IF($D871=1,INDEX(TblClusters[CPU initial (vCPU)],$B871),"")</f>
        <v>48</v>
      </c>
      <c r="M871" s="19">
        <f>IF($D871=1,INDEX(TblClusters[RAM initiale (Go)],$B871),"")</f>
        <v>192</v>
      </c>
      <c r="N871" s="19">
        <f>IF($D871=1,INDEX(TblClusters[CPU min (vCPU)],$B871),"")</f>
        <v>24</v>
      </c>
      <c r="O871" s="19">
        <f>IF($D871=1,INDEX(TblClusters[RAM min (Go)],$B871),"")</f>
        <v>96</v>
      </c>
      <c r="P871" s="19">
        <f>IF($D871&lt;&gt;1,"",IF($G871="ROKS",SUMIFS(TblApplications[Besoin ROKS CPU (vCPU)],TblApplications[Cluster ROKS cible],$F871,TblApplications[Action],"À migrer",TblApplications[Déjà incluse ROKS],"Non",TblApplications[Mois prov (calc)],"&lt;="&amp;$E871),SUMIFS(TblApplications[CPU IKS libérable (vCPU)],TblApplications[Cluster IKS source],$F871,TblApplications[Mois lib (calc)],"&lt;="&amp;$E871)))</f>
        <v>0</v>
      </c>
      <c r="Q871" s="19">
        <f>IF($D871&lt;&gt;1,"",IF($G871="ROKS",SUMIFS(TblApplications[Besoin ROKS RAM (Go)],TblApplications[Cluster ROKS cible],$F871,TblApplications[Action],"À migrer",TblApplications[Déjà incluse ROKS],"Non",TblApplications[Mois prov (calc)],"&lt;="&amp;$E871),SUMIFS(TblApplications[RAM IKS libérable (Go)],TblApplications[Cluster IKS source],$F871,TblApplications[Mois lib (calc)],"&lt;="&amp;$E871)))</f>
        <v>0</v>
      </c>
      <c r="R871" s="19">
        <f t="shared" si="224"/>
        <v>48</v>
      </c>
      <c r="S871" s="19">
        <f t="shared" si="225"/>
        <v>192</v>
      </c>
      <c r="T871" s="19">
        <f t="shared" si="226"/>
        <v>6</v>
      </c>
      <c r="U871" s="19">
        <f t="shared" si="227"/>
        <v>48</v>
      </c>
      <c r="V871" s="19">
        <f t="shared" si="228"/>
        <v>192</v>
      </c>
      <c r="W871" s="73">
        <f t="shared" si="229"/>
        <v>1596</v>
      </c>
      <c r="X871" s="19">
        <f>IF($D871&lt;&gt;1,"",IF($G871="ROKS",$R871,IF($AI871=1,0,MAX($N871,$L871-SUMIFS(TblApplications[CPU IKS libérable (vCPU)],TblApplications[Cluster IKS source],$F871,TblApplications[Action],"À migrer",TblApplications[Mois prov (calc)],"&lt;="&amp;$E871)-SUMIFS(TblApplications[CPU IKS libérable (vCPU)],TblApplications[Cluster IKS source],$F871,TblApplications[Action],"À décommissionner",TblApplications[Mois lib (calc)],"&lt;="&amp;$E871)))))</f>
        <v>48</v>
      </c>
      <c r="Y871" s="19">
        <f>IF($D871&lt;&gt;1,"",IF($G871="ROKS",$S871,IF($AI871=1,0,MAX($O871,$M871-SUMIFS(TblApplications[RAM IKS libérable (Go)],TblApplications[Cluster IKS source],$F871,TblApplications[Action],"À migrer",TblApplications[Mois prov (calc)],"&lt;="&amp;$E871)-SUMIFS(TblApplications[RAM IKS libérable (Go)],TblApplications[Cluster IKS source],$F871,TblApplications[Action],"À décommissionner",TblApplications[Mois lib (calc)],"&lt;="&amp;$E871)))))</f>
        <v>192</v>
      </c>
      <c r="Z871" s="19">
        <f t="shared" si="230"/>
        <v>6</v>
      </c>
      <c r="AA871" s="73">
        <f t="shared" si="231"/>
        <v>1596</v>
      </c>
      <c r="AB871" s="19">
        <f t="shared" si="232"/>
        <v>6</v>
      </c>
      <c r="AC871" s="73">
        <f t="shared" si="233"/>
        <v>1596</v>
      </c>
      <c r="AD871" s="19">
        <f t="shared" si="234"/>
        <v>0</v>
      </c>
      <c r="AE871" s="19">
        <f t="shared" si="235"/>
        <v>0</v>
      </c>
      <c r="AF871" s="19" t="str">
        <f>IF($D871&lt;&gt;1,"",IF(INDEX(TblClusters[Environnement],$B871)="","(vide)",INDEX(TblClusters[Environnement],$B871)))</f>
        <v>PRD</v>
      </c>
      <c r="AG871" s="19">
        <f t="shared" si="236"/>
        <v>67.2</v>
      </c>
      <c r="AH871" s="19">
        <f t="shared" si="237"/>
        <v>23.75</v>
      </c>
      <c r="AI871" s="19">
        <f>IF($D871&lt;&gt;1,"",IF(AND($G871="IKS",ISNUMBER(INDEX(TblClusters[Fermeture retenue],$B871))),IF($E871&gt;=INDEX(TblClusters[Fermeture retenue],$B871),1,0),0))</f>
        <v>0</v>
      </c>
    </row>
    <row r="872" spans="1:35" x14ac:dyDescent="0.2">
      <c r="A872" s="19">
        <v>867</v>
      </c>
      <c r="B872" s="19">
        <f t="shared" si="221"/>
        <v>25</v>
      </c>
      <c r="C872" s="19">
        <f t="shared" si="222"/>
        <v>3</v>
      </c>
      <c r="D872" s="19">
        <f>IF($C872&gt;p_horizon,0,IFERROR(IF(AND(INDEX(TblClusters[Cluster],$B872)&lt;&gt;"",ISNUMBER(INDEX(TblClusters[CPU initial (vCPU)],$B872)),ISNUMBER(INDEX(TblClusters[CPU min (vCPU)],$B872)),OR(INDEX(TblClusters[Plateforme],$B872)="IKS",INDEX(TblClusters[Plateforme],$B872)="ROKS")),1,0),0))</f>
        <v>1</v>
      </c>
      <c r="E872" s="72">
        <f t="shared" si="223"/>
        <v>46357</v>
      </c>
      <c r="F872" s="19" t="str">
        <f>IF($D872=1,INDEX(TblClusters[Cluster],$B872),"")</f>
        <v>ku002i000565</v>
      </c>
      <c r="G872" s="19" t="str">
        <f>IF($D872=1,INDEX(TblClusters[Plateforme],$B872),"")</f>
        <v>IKS</v>
      </c>
      <c r="H872" s="19">
        <f>IF($D872=1,INDEX(TblClusters[vCPU par nœud],$B872),"")</f>
        <v>8</v>
      </c>
      <c r="I872" s="19">
        <f>IF($D872=1,INDEX(TblClusters[RAM par nœud (Go)],$B872),"")</f>
        <v>32</v>
      </c>
      <c r="J872" s="19">
        <f>IF($D872=1,INDEX(TblClusters[Workers min],$B872),"")</f>
        <v>3</v>
      </c>
      <c r="K872" s="73">
        <f>IF($D872=1,INDEX(TblClusters[Tarif par nœud],$B872),"")</f>
        <v>266</v>
      </c>
      <c r="L872" s="19">
        <f>IF($D872=1,INDEX(TblClusters[CPU initial (vCPU)],$B872),"")</f>
        <v>48</v>
      </c>
      <c r="M872" s="19">
        <f>IF($D872=1,INDEX(TblClusters[RAM initiale (Go)],$B872),"")</f>
        <v>192</v>
      </c>
      <c r="N872" s="19">
        <f>IF($D872=1,INDEX(TblClusters[CPU min (vCPU)],$B872),"")</f>
        <v>24</v>
      </c>
      <c r="O872" s="19">
        <f>IF($D872=1,INDEX(TblClusters[RAM min (Go)],$B872),"")</f>
        <v>96</v>
      </c>
      <c r="P872" s="19">
        <f>IF($D872&lt;&gt;1,"",IF($G872="ROKS",SUMIFS(TblApplications[Besoin ROKS CPU (vCPU)],TblApplications[Cluster ROKS cible],$F872,TblApplications[Action],"À migrer",TblApplications[Déjà incluse ROKS],"Non",TblApplications[Mois prov (calc)],"&lt;="&amp;$E872),SUMIFS(TblApplications[CPU IKS libérable (vCPU)],TblApplications[Cluster IKS source],$F872,TblApplications[Mois lib (calc)],"&lt;="&amp;$E872)))</f>
        <v>0</v>
      </c>
      <c r="Q872" s="19">
        <f>IF($D872&lt;&gt;1,"",IF($G872="ROKS",SUMIFS(TblApplications[Besoin ROKS RAM (Go)],TblApplications[Cluster ROKS cible],$F872,TblApplications[Action],"À migrer",TblApplications[Déjà incluse ROKS],"Non",TblApplications[Mois prov (calc)],"&lt;="&amp;$E872),SUMIFS(TblApplications[RAM IKS libérable (Go)],TblApplications[Cluster IKS source],$F872,TblApplications[Mois lib (calc)],"&lt;="&amp;$E872)))</f>
        <v>0</v>
      </c>
      <c r="R872" s="19">
        <f t="shared" si="224"/>
        <v>48</v>
      </c>
      <c r="S872" s="19">
        <f t="shared" si="225"/>
        <v>192</v>
      </c>
      <c r="T872" s="19">
        <f t="shared" si="226"/>
        <v>6</v>
      </c>
      <c r="U872" s="19">
        <f t="shared" si="227"/>
        <v>48</v>
      </c>
      <c r="V872" s="19">
        <f t="shared" si="228"/>
        <v>192</v>
      </c>
      <c r="W872" s="73">
        <f t="shared" si="229"/>
        <v>1596</v>
      </c>
      <c r="X872" s="19">
        <f>IF($D872&lt;&gt;1,"",IF($G872="ROKS",$R872,IF($AI872=1,0,MAX($N872,$L872-SUMIFS(TblApplications[CPU IKS libérable (vCPU)],TblApplications[Cluster IKS source],$F872,TblApplications[Action],"À migrer",TblApplications[Mois prov (calc)],"&lt;="&amp;$E872)-SUMIFS(TblApplications[CPU IKS libérable (vCPU)],TblApplications[Cluster IKS source],$F872,TblApplications[Action],"À décommissionner",TblApplications[Mois lib (calc)],"&lt;="&amp;$E872)))))</f>
        <v>48</v>
      </c>
      <c r="Y872" s="19">
        <f>IF($D872&lt;&gt;1,"",IF($G872="ROKS",$S872,IF($AI872=1,0,MAX($O872,$M872-SUMIFS(TblApplications[RAM IKS libérable (Go)],TblApplications[Cluster IKS source],$F872,TblApplications[Action],"À migrer",TblApplications[Mois prov (calc)],"&lt;="&amp;$E872)-SUMIFS(TblApplications[RAM IKS libérable (Go)],TblApplications[Cluster IKS source],$F872,TblApplications[Action],"À décommissionner",TblApplications[Mois lib (calc)],"&lt;="&amp;$E872)))))</f>
        <v>192</v>
      </c>
      <c r="Z872" s="19">
        <f t="shared" si="230"/>
        <v>6</v>
      </c>
      <c r="AA872" s="73">
        <f t="shared" si="231"/>
        <v>1596</v>
      </c>
      <c r="AB872" s="19">
        <f t="shared" si="232"/>
        <v>6</v>
      </c>
      <c r="AC872" s="73">
        <f t="shared" si="233"/>
        <v>1596</v>
      </c>
      <c r="AD872" s="19">
        <f t="shared" si="234"/>
        <v>0</v>
      </c>
      <c r="AE872" s="19">
        <f t="shared" si="235"/>
        <v>0</v>
      </c>
      <c r="AF872" s="19" t="str">
        <f>IF($D872&lt;&gt;1,"",IF(INDEX(TblClusters[Environnement],$B872)="","(vide)",INDEX(TblClusters[Environnement],$B872)))</f>
        <v>PRD</v>
      </c>
      <c r="AG872" s="19">
        <f t="shared" si="236"/>
        <v>67.2</v>
      </c>
      <c r="AH872" s="19">
        <f t="shared" si="237"/>
        <v>23.75</v>
      </c>
      <c r="AI872" s="19">
        <f>IF($D872&lt;&gt;1,"",IF(AND($G872="IKS",ISNUMBER(INDEX(TblClusters[Fermeture retenue],$B872))),IF($E872&gt;=INDEX(TblClusters[Fermeture retenue],$B872),1,0),0))</f>
        <v>0</v>
      </c>
    </row>
    <row r="873" spans="1:35" x14ac:dyDescent="0.2">
      <c r="A873" s="19">
        <v>868</v>
      </c>
      <c r="B873" s="19">
        <f t="shared" si="221"/>
        <v>25</v>
      </c>
      <c r="C873" s="19">
        <f t="shared" si="222"/>
        <v>4</v>
      </c>
      <c r="D873" s="19">
        <f>IF($C873&gt;p_horizon,0,IFERROR(IF(AND(INDEX(TblClusters[Cluster],$B873)&lt;&gt;"",ISNUMBER(INDEX(TblClusters[CPU initial (vCPU)],$B873)),ISNUMBER(INDEX(TblClusters[CPU min (vCPU)],$B873)),OR(INDEX(TblClusters[Plateforme],$B873)="IKS",INDEX(TblClusters[Plateforme],$B873)="ROKS")),1,0),0))</f>
        <v>1</v>
      </c>
      <c r="E873" s="72">
        <f t="shared" si="223"/>
        <v>46388</v>
      </c>
      <c r="F873" s="19" t="str">
        <f>IF($D873=1,INDEX(TblClusters[Cluster],$B873),"")</f>
        <v>ku002i000565</v>
      </c>
      <c r="G873" s="19" t="str">
        <f>IF($D873=1,INDEX(TblClusters[Plateforme],$B873),"")</f>
        <v>IKS</v>
      </c>
      <c r="H873" s="19">
        <f>IF($D873=1,INDEX(TblClusters[vCPU par nœud],$B873),"")</f>
        <v>8</v>
      </c>
      <c r="I873" s="19">
        <f>IF($D873=1,INDEX(TblClusters[RAM par nœud (Go)],$B873),"")</f>
        <v>32</v>
      </c>
      <c r="J873" s="19">
        <f>IF($D873=1,INDEX(TblClusters[Workers min],$B873),"")</f>
        <v>3</v>
      </c>
      <c r="K873" s="73">
        <f>IF($D873=1,INDEX(TblClusters[Tarif par nœud],$B873),"")</f>
        <v>266</v>
      </c>
      <c r="L873" s="19">
        <f>IF($D873=1,INDEX(TblClusters[CPU initial (vCPU)],$B873),"")</f>
        <v>48</v>
      </c>
      <c r="M873" s="19">
        <f>IF($D873=1,INDEX(TblClusters[RAM initiale (Go)],$B873),"")</f>
        <v>192</v>
      </c>
      <c r="N873" s="19">
        <f>IF($D873=1,INDEX(TblClusters[CPU min (vCPU)],$B873),"")</f>
        <v>24</v>
      </c>
      <c r="O873" s="19">
        <f>IF($D873=1,INDEX(TblClusters[RAM min (Go)],$B873),"")</f>
        <v>96</v>
      </c>
      <c r="P873" s="19">
        <f>IF($D873&lt;&gt;1,"",IF($G873="ROKS",SUMIFS(TblApplications[Besoin ROKS CPU (vCPU)],TblApplications[Cluster ROKS cible],$F873,TblApplications[Action],"À migrer",TblApplications[Déjà incluse ROKS],"Non",TblApplications[Mois prov (calc)],"&lt;="&amp;$E873),SUMIFS(TblApplications[CPU IKS libérable (vCPU)],TblApplications[Cluster IKS source],$F873,TblApplications[Mois lib (calc)],"&lt;="&amp;$E873)))</f>
        <v>0</v>
      </c>
      <c r="Q873" s="19">
        <f>IF($D873&lt;&gt;1,"",IF($G873="ROKS",SUMIFS(TblApplications[Besoin ROKS RAM (Go)],TblApplications[Cluster ROKS cible],$F873,TblApplications[Action],"À migrer",TblApplications[Déjà incluse ROKS],"Non",TblApplications[Mois prov (calc)],"&lt;="&amp;$E873),SUMIFS(TblApplications[RAM IKS libérable (Go)],TblApplications[Cluster IKS source],$F873,TblApplications[Mois lib (calc)],"&lt;="&amp;$E873)))</f>
        <v>0</v>
      </c>
      <c r="R873" s="19">
        <f t="shared" si="224"/>
        <v>48</v>
      </c>
      <c r="S873" s="19">
        <f t="shared" si="225"/>
        <v>192</v>
      </c>
      <c r="T873" s="19">
        <f t="shared" si="226"/>
        <v>6</v>
      </c>
      <c r="U873" s="19">
        <f t="shared" si="227"/>
        <v>48</v>
      </c>
      <c r="V873" s="19">
        <f t="shared" si="228"/>
        <v>192</v>
      </c>
      <c r="W873" s="73">
        <f t="shared" si="229"/>
        <v>1596</v>
      </c>
      <c r="X873" s="19">
        <f>IF($D873&lt;&gt;1,"",IF($G873="ROKS",$R873,IF($AI873=1,0,MAX($N873,$L873-SUMIFS(TblApplications[CPU IKS libérable (vCPU)],TblApplications[Cluster IKS source],$F873,TblApplications[Action],"À migrer",TblApplications[Mois prov (calc)],"&lt;="&amp;$E873)-SUMIFS(TblApplications[CPU IKS libérable (vCPU)],TblApplications[Cluster IKS source],$F873,TblApplications[Action],"À décommissionner",TblApplications[Mois lib (calc)],"&lt;="&amp;$E873)))))</f>
        <v>48</v>
      </c>
      <c r="Y873" s="19">
        <f>IF($D873&lt;&gt;1,"",IF($G873="ROKS",$S873,IF($AI873=1,0,MAX($O873,$M873-SUMIFS(TblApplications[RAM IKS libérable (Go)],TblApplications[Cluster IKS source],$F873,TblApplications[Action],"À migrer",TblApplications[Mois prov (calc)],"&lt;="&amp;$E873)-SUMIFS(TblApplications[RAM IKS libérable (Go)],TblApplications[Cluster IKS source],$F873,TblApplications[Action],"À décommissionner",TblApplications[Mois lib (calc)],"&lt;="&amp;$E873)))))</f>
        <v>192</v>
      </c>
      <c r="Z873" s="19">
        <f t="shared" si="230"/>
        <v>6</v>
      </c>
      <c r="AA873" s="73">
        <f t="shared" si="231"/>
        <v>1596</v>
      </c>
      <c r="AB873" s="19">
        <f t="shared" si="232"/>
        <v>6</v>
      </c>
      <c r="AC873" s="73">
        <f t="shared" si="233"/>
        <v>1596</v>
      </c>
      <c r="AD873" s="19">
        <f t="shared" si="234"/>
        <v>0</v>
      </c>
      <c r="AE873" s="19">
        <f t="shared" si="235"/>
        <v>0</v>
      </c>
      <c r="AF873" s="19" t="str">
        <f>IF($D873&lt;&gt;1,"",IF(INDEX(TblClusters[Environnement],$B873)="","(vide)",INDEX(TblClusters[Environnement],$B873)))</f>
        <v>PRD</v>
      </c>
      <c r="AG873" s="19">
        <f t="shared" si="236"/>
        <v>67.2</v>
      </c>
      <c r="AH873" s="19">
        <f t="shared" si="237"/>
        <v>23.75</v>
      </c>
      <c r="AI873" s="19">
        <f>IF($D873&lt;&gt;1,"",IF(AND($G873="IKS",ISNUMBER(INDEX(TblClusters[Fermeture retenue],$B873))),IF($E873&gt;=INDEX(TblClusters[Fermeture retenue],$B873),1,0),0))</f>
        <v>0</v>
      </c>
    </row>
    <row r="874" spans="1:35" x14ac:dyDescent="0.2">
      <c r="A874" s="19">
        <v>869</v>
      </c>
      <c r="B874" s="19">
        <f t="shared" si="221"/>
        <v>25</v>
      </c>
      <c r="C874" s="19">
        <f t="shared" si="222"/>
        <v>5</v>
      </c>
      <c r="D874" s="19">
        <f>IF($C874&gt;p_horizon,0,IFERROR(IF(AND(INDEX(TblClusters[Cluster],$B874)&lt;&gt;"",ISNUMBER(INDEX(TblClusters[CPU initial (vCPU)],$B874)),ISNUMBER(INDEX(TblClusters[CPU min (vCPU)],$B874)),OR(INDEX(TblClusters[Plateforme],$B874)="IKS",INDEX(TblClusters[Plateforme],$B874)="ROKS")),1,0),0))</f>
        <v>1</v>
      </c>
      <c r="E874" s="72">
        <f t="shared" si="223"/>
        <v>46419</v>
      </c>
      <c r="F874" s="19" t="str">
        <f>IF($D874=1,INDEX(TblClusters[Cluster],$B874),"")</f>
        <v>ku002i000565</v>
      </c>
      <c r="G874" s="19" t="str">
        <f>IF($D874=1,INDEX(TblClusters[Plateforme],$B874),"")</f>
        <v>IKS</v>
      </c>
      <c r="H874" s="19">
        <f>IF($D874=1,INDEX(TblClusters[vCPU par nœud],$B874),"")</f>
        <v>8</v>
      </c>
      <c r="I874" s="19">
        <f>IF($D874=1,INDEX(TblClusters[RAM par nœud (Go)],$B874),"")</f>
        <v>32</v>
      </c>
      <c r="J874" s="19">
        <f>IF($D874=1,INDEX(TblClusters[Workers min],$B874),"")</f>
        <v>3</v>
      </c>
      <c r="K874" s="73">
        <f>IF($D874=1,INDEX(TblClusters[Tarif par nœud],$B874),"")</f>
        <v>266</v>
      </c>
      <c r="L874" s="19">
        <f>IF($D874=1,INDEX(TblClusters[CPU initial (vCPU)],$B874),"")</f>
        <v>48</v>
      </c>
      <c r="M874" s="19">
        <f>IF($D874=1,INDEX(TblClusters[RAM initiale (Go)],$B874),"")</f>
        <v>192</v>
      </c>
      <c r="N874" s="19">
        <f>IF($D874=1,INDEX(TblClusters[CPU min (vCPU)],$B874),"")</f>
        <v>24</v>
      </c>
      <c r="O874" s="19">
        <f>IF($D874=1,INDEX(TblClusters[RAM min (Go)],$B874),"")</f>
        <v>96</v>
      </c>
      <c r="P874" s="19">
        <f>IF($D874&lt;&gt;1,"",IF($G874="ROKS",SUMIFS(TblApplications[Besoin ROKS CPU (vCPU)],TblApplications[Cluster ROKS cible],$F874,TblApplications[Action],"À migrer",TblApplications[Déjà incluse ROKS],"Non",TblApplications[Mois prov (calc)],"&lt;="&amp;$E874),SUMIFS(TblApplications[CPU IKS libérable (vCPU)],TblApplications[Cluster IKS source],$F874,TblApplications[Mois lib (calc)],"&lt;="&amp;$E874)))</f>
        <v>0</v>
      </c>
      <c r="Q874" s="19">
        <f>IF($D874&lt;&gt;1,"",IF($G874="ROKS",SUMIFS(TblApplications[Besoin ROKS RAM (Go)],TblApplications[Cluster ROKS cible],$F874,TblApplications[Action],"À migrer",TblApplications[Déjà incluse ROKS],"Non",TblApplications[Mois prov (calc)],"&lt;="&amp;$E874),SUMIFS(TblApplications[RAM IKS libérable (Go)],TblApplications[Cluster IKS source],$F874,TblApplications[Mois lib (calc)],"&lt;="&amp;$E874)))</f>
        <v>0</v>
      </c>
      <c r="R874" s="19">
        <f t="shared" si="224"/>
        <v>48</v>
      </c>
      <c r="S874" s="19">
        <f t="shared" si="225"/>
        <v>192</v>
      </c>
      <c r="T874" s="19">
        <f t="shared" si="226"/>
        <v>6</v>
      </c>
      <c r="U874" s="19">
        <f t="shared" si="227"/>
        <v>48</v>
      </c>
      <c r="V874" s="19">
        <f t="shared" si="228"/>
        <v>192</v>
      </c>
      <c r="W874" s="73">
        <f t="shared" si="229"/>
        <v>1596</v>
      </c>
      <c r="X874" s="19">
        <f>IF($D874&lt;&gt;1,"",IF($G874="ROKS",$R874,IF($AI874=1,0,MAX($N874,$L874-SUMIFS(TblApplications[CPU IKS libérable (vCPU)],TblApplications[Cluster IKS source],$F874,TblApplications[Action],"À migrer",TblApplications[Mois prov (calc)],"&lt;="&amp;$E874)-SUMIFS(TblApplications[CPU IKS libérable (vCPU)],TblApplications[Cluster IKS source],$F874,TblApplications[Action],"À décommissionner",TblApplications[Mois lib (calc)],"&lt;="&amp;$E874)))))</f>
        <v>48</v>
      </c>
      <c r="Y874" s="19">
        <f>IF($D874&lt;&gt;1,"",IF($G874="ROKS",$S874,IF($AI874=1,0,MAX($O874,$M874-SUMIFS(TblApplications[RAM IKS libérable (Go)],TblApplications[Cluster IKS source],$F874,TblApplications[Action],"À migrer",TblApplications[Mois prov (calc)],"&lt;="&amp;$E874)-SUMIFS(TblApplications[RAM IKS libérable (Go)],TblApplications[Cluster IKS source],$F874,TblApplications[Action],"À décommissionner",TblApplications[Mois lib (calc)],"&lt;="&amp;$E874)))))</f>
        <v>192</v>
      </c>
      <c r="Z874" s="19">
        <f t="shared" si="230"/>
        <v>6</v>
      </c>
      <c r="AA874" s="73">
        <f t="shared" si="231"/>
        <v>1596</v>
      </c>
      <c r="AB874" s="19">
        <f t="shared" si="232"/>
        <v>6</v>
      </c>
      <c r="AC874" s="73">
        <f t="shared" si="233"/>
        <v>1596</v>
      </c>
      <c r="AD874" s="19">
        <f t="shared" si="234"/>
        <v>0</v>
      </c>
      <c r="AE874" s="19">
        <f t="shared" si="235"/>
        <v>0</v>
      </c>
      <c r="AF874" s="19" t="str">
        <f>IF($D874&lt;&gt;1,"",IF(INDEX(TblClusters[Environnement],$B874)="","(vide)",INDEX(TblClusters[Environnement],$B874)))</f>
        <v>PRD</v>
      </c>
      <c r="AG874" s="19">
        <f t="shared" si="236"/>
        <v>67.2</v>
      </c>
      <c r="AH874" s="19">
        <f t="shared" si="237"/>
        <v>23.75</v>
      </c>
      <c r="AI874" s="19">
        <f>IF($D874&lt;&gt;1,"",IF(AND($G874="IKS",ISNUMBER(INDEX(TblClusters[Fermeture retenue],$B874))),IF($E874&gt;=INDEX(TblClusters[Fermeture retenue],$B874),1,0),0))</f>
        <v>0</v>
      </c>
    </row>
    <row r="875" spans="1:35" x14ac:dyDescent="0.2">
      <c r="A875" s="19">
        <v>870</v>
      </c>
      <c r="B875" s="19">
        <f t="shared" si="221"/>
        <v>25</v>
      </c>
      <c r="C875" s="19">
        <f t="shared" si="222"/>
        <v>6</v>
      </c>
      <c r="D875" s="19">
        <f>IF($C875&gt;p_horizon,0,IFERROR(IF(AND(INDEX(TblClusters[Cluster],$B875)&lt;&gt;"",ISNUMBER(INDEX(TblClusters[CPU initial (vCPU)],$B875)),ISNUMBER(INDEX(TblClusters[CPU min (vCPU)],$B875)),OR(INDEX(TblClusters[Plateforme],$B875)="IKS",INDEX(TblClusters[Plateforme],$B875)="ROKS")),1,0),0))</f>
        <v>1</v>
      </c>
      <c r="E875" s="72">
        <f t="shared" si="223"/>
        <v>46447</v>
      </c>
      <c r="F875" s="19" t="str">
        <f>IF($D875=1,INDEX(TblClusters[Cluster],$B875),"")</f>
        <v>ku002i000565</v>
      </c>
      <c r="G875" s="19" t="str">
        <f>IF($D875=1,INDEX(TblClusters[Plateforme],$B875),"")</f>
        <v>IKS</v>
      </c>
      <c r="H875" s="19">
        <f>IF($D875=1,INDEX(TblClusters[vCPU par nœud],$B875),"")</f>
        <v>8</v>
      </c>
      <c r="I875" s="19">
        <f>IF($D875=1,INDEX(TblClusters[RAM par nœud (Go)],$B875),"")</f>
        <v>32</v>
      </c>
      <c r="J875" s="19">
        <f>IF($D875=1,INDEX(TblClusters[Workers min],$B875),"")</f>
        <v>3</v>
      </c>
      <c r="K875" s="73">
        <f>IF($D875=1,INDEX(TblClusters[Tarif par nœud],$B875),"")</f>
        <v>266</v>
      </c>
      <c r="L875" s="19">
        <f>IF($D875=1,INDEX(TblClusters[CPU initial (vCPU)],$B875),"")</f>
        <v>48</v>
      </c>
      <c r="M875" s="19">
        <f>IF($D875=1,INDEX(TblClusters[RAM initiale (Go)],$B875),"")</f>
        <v>192</v>
      </c>
      <c r="N875" s="19">
        <f>IF($D875=1,INDEX(TblClusters[CPU min (vCPU)],$B875),"")</f>
        <v>24</v>
      </c>
      <c r="O875" s="19">
        <f>IF($D875=1,INDEX(TblClusters[RAM min (Go)],$B875),"")</f>
        <v>96</v>
      </c>
      <c r="P875" s="19">
        <f>IF($D875&lt;&gt;1,"",IF($G875="ROKS",SUMIFS(TblApplications[Besoin ROKS CPU (vCPU)],TblApplications[Cluster ROKS cible],$F875,TblApplications[Action],"À migrer",TblApplications[Déjà incluse ROKS],"Non",TblApplications[Mois prov (calc)],"&lt;="&amp;$E875),SUMIFS(TblApplications[CPU IKS libérable (vCPU)],TblApplications[Cluster IKS source],$F875,TblApplications[Mois lib (calc)],"&lt;="&amp;$E875)))</f>
        <v>0</v>
      </c>
      <c r="Q875" s="19">
        <f>IF($D875&lt;&gt;1,"",IF($G875="ROKS",SUMIFS(TblApplications[Besoin ROKS RAM (Go)],TblApplications[Cluster ROKS cible],$F875,TblApplications[Action],"À migrer",TblApplications[Déjà incluse ROKS],"Non",TblApplications[Mois prov (calc)],"&lt;="&amp;$E875),SUMIFS(TblApplications[RAM IKS libérable (Go)],TblApplications[Cluster IKS source],$F875,TblApplications[Mois lib (calc)],"&lt;="&amp;$E875)))</f>
        <v>0</v>
      </c>
      <c r="R875" s="19">
        <f t="shared" si="224"/>
        <v>48</v>
      </c>
      <c r="S875" s="19">
        <f t="shared" si="225"/>
        <v>192</v>
      </c>
      <c r="T875" s="19">
        <f t="shared" si="226"/>
        <v>6</v>
      </c>
      <c r="U875" s="19">
        <f t="shared" si="227"/>
        <v>48</v>
      </c>
      <c r="V875" s="19">
        <f t="shared" si="228"/>
        <v>192</v>
      </c>
      <c r="W875" s="73">
        <f t="shared" si="229"/>
        <v>1596</v>
      </c>
      <c r="X875" s="19">
        <f>IF($D875&lt;&gt;1,"",IF($G875="ROKS",$R875,IF($AI875=1,0,MAX($N875,$L875-SUMIFS(TblApplications[CPU IKS libérable (vCPU)],TblApplications[Cluster IKS source],$F875,TblApplications[Action],"À migrer",TblApplications[Mois prov (calc)],"&lt;="&amp;$E875)-SUMIFS(TblApplications[CPU IKS libérable (vCPU)],TblApplications[Cluster IKS source],$F875,TblApplications[Action],"À décommissionner",TblApplications[Mois lib (calc)],"&lt;="&amp;$E875)))))</f>
        <v>48</v>
      </c>
      <c r="Y875" s="19">
        <f>IF($D875&lt;&gt;1,"",IF($G875="ROKS",$S875,IF($AI875=1,0,MAX($O875,$M875-SUMIFS(TblApplications[RAM IKS libérable (Go)],TblApplications[Cluster IKS source],$F875,TblApplications[Action],"À migrer",TblApplications[Mois prov (calc)],"&lt;="&amp;$E875)-SUMIFS(TblApplications[RAM IKS libérable (Go)],TblApplications[Cluster IKS source],$F875,TblApplications[Action],"À décommissionner",TblApplications[Mois lib (calc)],"&lt;="&amp;$E875)))))</f>
        <v>192</v>
      </c>
      <c r="Z875" s="19">
        <f t="shared" si="230"/>
        <v>6</v>
      </c>
      <c r="AA875" s="73">
        <f t="shared" si="231"/>
        <v>1596</v>
      </c>
      <c r="AB875" s="19">
        <f t="shared" si="232"/>
        <v>6</v>
      </c>
      <c r="AC875" s="73">
        <f t="shared" si="233"/>
        <v>1596</v>
      </c>
      <c r="AD875" s="19">
        <f t="shared" si="234"/>
        <v>0</v>
      </c>
      <c r="AE875" s="19">
        <f t="shared" si="235"/>
        <v>0</v>
      </c>
      <c r="AF875" s="19" t="str">
        <f>IF($D875&lt;&gt;1,"",IF(INDEX(TblClusters[Environnement],$B875)="","(vide)",INDEX(TblClusters[Environnement],$B875)))</f>
        <v>PRD</v>
      </c>
      <c r="AG875" s="19">
        <f t="shared" si="236"/>
        <v>67.2</v>
      </c>
      <c r="AH875" s="19">
        <f t="shared" si="237"/>
        <v>23.75</v>
      </c>
      <c r="AI875" s="19">
        <f>IF($D875&lt;&gt;1,"",IF(AND($G875="IKS",ISNUMBER(INDEX(TblClusters[Fermeture retenue],$B875))),IF($E875&gt;=INDEX(TblClusters[Fermeture retenue],$B875),1,0),0))</f>
        <v>0</v>
      </c>
    </row>
    <row r="876" spans="1:35" x14ac:dyDescent="0.2">
      <c r="A876" s="19">
        <v>871</v>
      </c>
      <c r="B876" s="19">
        <f t="shared" si="221"/>
        <v>25</v>
      </c>
      <c r="C876" s="19">
        <f t="shared" si="222"/>
        <v>7</v>
      </c>
      <c r="D876" s="19">
        <f>IF($C876&gt;p_horizon,0,IFERROR(IF(AND(INDEX(TblClusters[Cluster],$B876)&lt;&gt;"",ISNUMBER(INDEX(TblClusters[CPU initial (vCPU)],$B876)),ISNUMBER(INDEX(TblClusters[CPU min (vCPU)],$B876)),OR(INDEX(TblClusters[Plateforme],$B876)="IKS",INDEX(TblClusters[Plateforme],$B876)="ROKS")),1,0),0))</f>
        <v>1</v>
      </c>
      <c r="E876" s="72">
        <f t="shared" si="223"/>
        <v>46478</v>
      </c>
      <c r="F876" s="19" t="str">
        <f>IF($D876=1,INDEX(TblClusters[Cluster],$B876),"")</f>
        <v>ku002i000565</v>
      </c>
      <c r="G876" s="19" t="str">
        <f>IF($D876=1,INDEX(TblClusters[Plateforme],$B876),"")</f>
        <v>IKS</v>
      </c>
      <c r="H876" s="19">
        <f>IF($D876=1,INDEX(TblClusters[vCPU par nœud],$B876),"")</f>
        <v>8</v>
      </c>
      <c r="I876" s="19">
        <f>IF($D876=1,INDEX(TblClusters[RAM par nœud (Go)],$B876),"")</f>
        <v>32</v>
      </c>
      <c r="J876" s="19">
        <f>IF($D876=1,INDEX(TblClusters[Workers min],$B876),"")</f>
        <v>3</v>
      </c>
      <c r="K876" s="73">
        <f>IF($D876=1,INDEX(TblClusters[Tarif par nœud],$B876),"")</f>
        <v>266</v>
      </c>
      <c r="L876" s="19">
        <f>IF($D876=1,INDEX(TblClusters[CPU initial (vCPU)],$B876),"")</f>
        <v>48</v>
      </c>
      <c r="M876" s="19">
        <f>IF($D876=1,INDEX(TblClusters[RAM initiale (Go)],$B876),"")</f>
        <v>192</v>
      </c>
      <c r="N876" s="19">
        <f>IF($D876=1,INDEX(TblClusters[CPU min (vCPU)],$B876),"")</f>
        <v>24</v>
      </c>
      <c r="O876" s="19">
        <f>IF($D876=1,INDEX(TblClusters[RAM min (Go)],$B876),"")</f>
        <v>96</v>
      </c>
      <c r="P876" s="19">
        <f>IF($D876&lt;&gt;1,"",IF($G876="ROKS",SUMIFS(TblApplications[Besoin ROKS CPU (vCPU)],TblApplications[Cluster ROKS cible],$F876,TblApplications[Action],"À migrer",TblApplications[Déjà incluse ROKS],"Non",TblApplications[Mois prov (calc)],"&lt;="&amp;$E876),SUMIFS(TblApplications[CPU IKS libérable (vCPU)],TblApplications[Cluster IKS source],$F876,TblApplications[Mois lib (calc)],"&lt;="&amp;$E876)))</f>
        <v>0</v>
      </c>
      <c r="Q876" s="19">
        <f>IF($D876&lt;&gt;1,"",IF($G876="ROKS",SUMIFS(TblApplications[Besoin ROKS RAM (Go)],TblApplications[Cluster ROKS cible],$F876,TblApplications[Action],"À migrer",TblApplications[Déjà incluse ROKS],"Non",TblApplications[Mois prov (calc)],"&lt;="&amp;$E876),SUMIFS(TblApplications[RAM IKS libérable (Go)],TblApplications[Cluster IKS source],$F876,TblApplications[Mois lib (calc)],"&lt;="&amp;$E876)))</f>
        <v>0</v>
      </c>
      <c r="R876" s="19">
        <f t="shared" si="224"/>
        <v>48</v>
      </c>
      <c r="S876" s="19">
        <f t="shared" si="225"/>
        <v>192</v>
      </c>
      <c r="T876" s="19">
        <f t="shared" si="226"/>
        <v>6</v>
      </c>
      <c r="U876" s="19">
        <f t="shared" si="227"/>
        <v>48</v>
      </c>
      <c r="V876" s="19">
        <f t="shared" si="228"/>
        <v>192</v>
      </c>
      <c r="W876" s="73">
        <f t="shared" si="229"/>
        <v>1596</v>
      </c>
      <c r="X876" s="19">
        <f>IF($D876&lt;&gt;1,"",IF($G876="ROKS",$R876,IF($AI876=1,0,MAX($N876,$L876-SUMIFS(TblApplications[CPU IKS libérable (vCPU)],TblApplications[Cluster IKS source],$F876,TblApplications[Action],"À migrer",TblApplications[Mois prov (calc)],"&lt;="&amp;$E876)-SUMIFS(TblApplications[CPU IKS libérable (vCPU)],TblApplications[Cluster IKS source],$F876,TblApplications[Action],"À décommissionner",TblApplications[Mois lib (calc)],"&lt;="&amp;$E876)))))</f>
        <v>48</v>
      </c>
      <c r="Y876" s="19">
        <f>IF($D876&lt;&gt;1,"",IF($G876="ROKS",$S876,IF($AI876=1,0,MAX($O876,$M876-SUMIFS(TblApplications[RAM IKS libérable (Go)],TblApplications[Cluster IKS source],$F876,TblApplications[Action],"À migrer",TblApplications[Mois prov (calc)],"&lt;="&amp;$E876)-SUMIFS(TblApplications[RAM IKS libérable (Go)],TblApplications[Cluster IKS source],$F876,TblApplications[Action],"À décommissionner",TblApplications[Mois lib (calc)],"&lt;="&amp;$E876)))))</f>
        <v>192</v>
      </c>
      <c r="Z876" s="19">
        <f t="shared" si="230"/>
        <v>6</v>
      </c>
      <c r="AA876" s="73">
        <f t="shared" si="231"/>
        <v>1596</v>
      </c>
      <c r="AB876" s="19">
        <f t="shared" si="232"/>
        <v>6</v>
      </c>
      <c r="AC876" s="73">
        <f t="shared" si="233"/>
        <v>1596</v>
      </c>
      <c r="AD876" s="19">
        <f t="shared" si="234"/>
        <v>0</v>
      </c>
      <c r="AE876" s="19">
        <f t="shared" si="235"/>
        <v>0</v>
      </c>
      <c r="AF876" s="19" t="str">
        <f>IF($D876&lt;&gt;1,"",IF(INDEX(TblClusters[Environnement],$B876)="","(vide)",INDEX(TblClusters[Environnement],$B876)))</f>
        <v>PRD</v>
      </c>
      <c r="AG876" s="19">
        <f t="shared" si="236"/>
        <v>67.2</v>
      </c>
      <c r="AH876" s="19">
        <f t="shared" si="237"/>
        <v>23.75</v>
      </c>
      <c r="AI876" s="19">
        <f>IF($D876&lt;&gt;1,"",IF(AND($G876="IKS",ISNUMBER(INDEX(TblClusters[Fermeture retenue],$B876))),IF($E876&gt;=INDEX(TblClusters[Fermeture retenue],$B876),1,0),0))</f>
        <v>0</v>
      </c>
    </row>
    <row r="877" spans="1:35" x14ac:dyDescent="0.2">
      <c r="A877" s="19">
        <v>872</v>
      </c>
      <c r="B877" s="19">
        <f t="shared" si="221"/>
        <v>25</v>
      </c>
      <c r="C877" s="19">
        <f t="shared" si="222"/>
        <v>8</v>
      </c>
      <c r="D877" s="19">
        <f>IF($C877&gt;p_horizon,0,IFERROR(IF(AND(INDEX(TblClusters[Cluster],$B877)&lt;&gt;"",ISNUMBER(INDEX(TblClusters[CPU initial (vCPU)],$B877)),ISNUMBER(INDEX(TblClusters[CPU min (vCPU)],$B877)),OR(INDEX(TblClusters[Plateforme],$B877)="IKS",INDEX(TblClusters[Plateforme],$B877)="ROKS")),1,0),0))</f>
        <v>1</v>
      </c>
      <c r="E877" s="72">
        <f t="shared" si="223"/>
        <v>46508</v>
      </c>
      <c r="F877" s="19" t="str">
        <f>IF($D877=1,INDEX(TblClusters[Cluster],$B877),"")</f>
        <v>ku002i000565</v>
      </c>
      <c r="G877" s="19" t="str">
        <f>IF($D877=1,INDEX(TblClusters[Plateforme],$B877),"")</f>
        <v>IKS</v>
      </c>
      <c r="H877" s="19">
        <f>IF($D877=1,INDEX(TblClusters[vCPU par nœud],$B877),"")</f>
        <v>8</v>
      </c>
      <c r="I877" s="19">
        <f>IF($D877=1,INDEX(TblClusters[RAM par nœud (Go)],$B877),"")</f>
        <v>32</v>
      </c>
      <c r="J877" s="19">
        <f>IF($D877=1,INDEX(TblClusters[Workers min],$B877),"")</f>
        <v>3</v>
      </c>
      <c r="K877" s="73">
        <f>IF($D877=1,INDEX(TblClusters[Tarif par nœud],$B877),"")</f>
        <v>266</v>
      </c>
      <c r="L877" s="19">
        <f>IF($D877=1,INDEX(TblClusters[CPU initial (vCPU)],$B877),"")</f>
        <v>48</v>
      </c>
      <c r="M877" s="19">
        <f>IF($D877=1,INDEX(TblClusters[RAM initiale (Go)],$B877),"")</f>
        <v>192</v>
      </c>
      <c r="N877" s="19">
        <f>IF($D877=1,INDEX(TblClusters[CPU min (vCPU)],$B877),"")</f>
        <v>24</v>
      </c>
      <c r="O877" s="19">
        <f>IF($D877=1,INDEX(TblClusters[RAM min (Go)],$B877),"")</f>
        <v>96</v>
      </c>
      <c r="P877" s="19">
        <f>IF($D877&lt;&gt;1,"",IF($G877="ROKS",SUMIFS(TblApplications[Besoin ROKS CPU (vCPU)],TblApplications[Cluster ROKS cible],$F877,TblApplications[Action],"À migrer",TblApplications[Déjà incluse ROKS],"Non",TblApplications[Mois prov (calc)],"&lt;="&amp;$E877),SUMIFS(TblApplications[CPU IKS libérable (vCPU)],TblApplications[Cluster IKS source],$F877,TblApplications[Mois lib (calc)],"&lt;="&amp;$E877)))</f>
        <v>0</v>
      </c>
      <c r="Q877" s="19">
        <f>IF($D877&lt;&gt;1,"",IF($G877="ROKS",SUMIFS(TblApplications[Besoin ROKS RAM (Go)],TblApplications[Cluster ROKS cible],$F877,TblApplications[Action],"À migrer",TblApplications[Déjà incluse ROKS],"Non",TblApplications[Mois prov (calc)],"&lt;="&amp;$E877),SUMIFS(TblApplications[RAM IKS libérable (Go)],TblApplications[Cluster IKS source],$F877,TblApplications[Mois lib (calc)],"&lt;="&amp;$E877)))</f>
        <v>0</v>
      </c>
      <c r="R877" s="19">
        <f t="shared" si="224"/>
        <v>48</v>
      </c>
      <c r="S877" s="19">
        <f t="shared" si="225"/>
        <v>192</v>
      </c>
      <c r="T877" s="19">
        <f t="shared" si="226"/>
        <v>6</v>
      </c>
      <c r="U877" s="19">
        <f t="shared" si="227"/>
        <v>48</v>
      </c>
      <c r="V877" s="19">
        <f t="shared" si="228"/>
        <v>192</v>
      </c>
      <c r="W877" s="73">
        <f t="shared" si="229"/>
        <v>1596</v>
      </c>
      <c r="X877" s="19">
        <f>IF($D877&lt;&gt;1,"",IF($G877="ROKS",$R877,IF($AI877=1,0,MAX($N877,$L877-SUMIFS(TblApplications[CPU IKS libérable (vCPU)],TblApplications[Cluster IKS source],$F877,TblApplications[Action],"À migrer",TblApplications[Mois prov (calc)],"&lt;="&amp;$E877)-SUMIFS(TblApplications[CPU IKS libérable (vCPU)],TblApplications[Cluster IKS source],$F877,TblApplications[Action],"À décommissionner",TblApplications[Mois lib (calc)],"&lt;="&amp;$E877)))))</f>
        <v>48</v>
      </c>
      <c r="Y877" s="19">
        <f>IF($D877&lt;&gt;1,"",IF($G877="ROKS",$S877,IF($AI877=1,0,MAX($O877,$M877-SUMIFS(TblApplications[RAM IKS libérable (Go)],TblApplications[Cluster IKS source],$F877,TblApplications[Action],"À migrer",TblApplications[Mois prov (calc)],"&lt;="&amp;$E877)-SUMIFS(TblApplications[RAM IKS libérable (Go)],TblApplications[Cluster IKS source],$F877,TblApplications[Action],"À décommissionner",TblApplications[Mois lib (calc)],"&lt;="&amp;$E877)))))</f>
        <v>192</v>
      </c>
      <c r="Z877" s="19">
        <f t="shared" si="230"/>
        <v>6</v>
      </c>
      <c r="AA877" s="73">
        <f t="shared" si="231"/>
        <v>1596</v>
      </c>
      <c r="AB877" s="19">
        <f t="shared" si="232"/>
        <v>6</v>
      </c>
      <c r="AC877" s="73">
        <f t="shared" si="233"/>
        <v>1596</v>
      </c>
      <c r="AD877" s="19">
        <f t="shared" si="234"/>
        <v>0</v>
      </c>
      <c r="AE877" s="19">
        <f t="shared" si="235"/>
        <v>0</v>
      </c>
      <c r="AF877" s="19" t="str">
        <f>IF($D877&lt;&gt;1,"",IF(INDEX(TblClusters[Environnement],$B877)="","(vide)",INDEX(TblClusters[Environnement],$B877)))</f>
        <v>PRD</v>
      </c>
      <c r="AG877" s="19">
        <f t="shared" si="236"/>
        <v>67.2</v>
      </c>
      <c r="AH877" s="19">
        <f t="shared" si="237"/>
        <v>23.75</v>
      </c>
      <c r="AI877" s="19">
        <f>IF($D877&lt;&gt;1,"",IF(AND($G877="IKS",ISNUMBER(INDEX(TblClusters[Fermeture retenue],$B877))),IF($E877&gt;=INDEX(TblClusters[Fermeture retenue],$B877),1,0),0))</f>
        <v>0</v>
      </c>
    </row>
    <row r="878" spans="1:35" x14ac:dyDescent="0.2">
      <c r="A878" s="19">
        <v>873</v>
      </c>
      <c r="B878" s="19">
        <f t="shared" si="221"/>
        <v>25</v>
      </c>
      <c r="C878" s="19">
        <f t="shared" si="222"/>
        <v>9</v>
      </c>
      <c r="D878" s="19">
        <f>IF($C878&gt;p_horizon,0,IFERROR(IF(AND(INDEX(TblClusters[Cluster],$B878)&lt;&gt;"",ISNUMBER(INDEX(TblClusters[CPU initial (vCPU)],$B878)),ISNUMBER(INDEX(TblClusters[CPU min (vCPU)],$B878)),OR(INDEX(TblClusters[Plateforme],$B878)="IKS",INDEX(TblClusters[Plateforme],$B878)="ROKS")),1,0),0))</f>
        <v>1</v>
      </c>
      <c r="E878" s="72">
        <f t="shared" si="223"/>
        <v>46539</v>
      </c>
      <c r="F878" s="19" t="str">
        <f>IF($D878=1,INDEX(TblClusters[Cluster],$B878),"")</f>
        <v>ku002i000565</v>
      </c>
      <c r="G878" s="19" t="str">
        <f>IF($D878=1,INDEX(TblClusters[Plateforme],$B878),"")</f>
        <v>IKS</v>
      </c>
      <c r="H878" s="19">
        <f>IF($D878=1,INDEX(TblClusters[vCPU par nœud],$B878),"")</f>
        <v>8</v>
      </c>
      <c r="I878" s="19">
        <f>IF($D878=1,INDEX(TblClusters[RAM par nœud (Go)],$B878),"")</f>
        <v>32</v>
      </c>
      <c r="J878" s="19">
        <f>IF($D878=1,INDEX(TblClusters[Workers min],$B878),"")</f>
        <v>3</v>
      </c>
      <c r="K878" s="73">
        <f>IF($D878=1,INDEX(TblClusters[Tarif par nœud],$B878),"")</f>
        <v>266</v>
      </c>
      <c r="L878" s="19">
        <f>IF($D878=1,INDEX(TblClusters[CPU initial (vCPU)],$B878),"")</f>
        <v>48</v>
      </c>
      <c r="M878" s="19">
        <f>IF($D878=1,INDEX(TblClusters[RAM initiale (Go)],$B878),"")</f>
        <v>192</v>
      </c>
      <c r="N878" s="19">
        <f>IF($D878=1,INDEX(TblClusters[CPU min (vCPU)],$B878),"")</f>
        <v>24</v>
      </c>
      <c r="O878" s="19">
        <f>IF($D878=1,INDEX(TblClusters[RAM min (Go)],$B878),"")</f>
        <v>96</v>
      </c>
      <c r="P878" s="19">
        <f>IF($D878&lt;&gt;1,"",IF($G878="ROKS",SUMIFS(TblApplications[Besoin ROKS CPU (vCPU)],TblApplications[Cluster ROKS cible],$F878,TblApplications[Action],"À migrer",TblApplications[Déjà incluse ROKS],"Non",TblApplications[Mois prov (calc)],"&lt;="&amp;$E878),SUMIFS(TblApplications[CPU IKS libérable (vCPU)],TblApplications[Cluster IKS source],$F878,TblApplications[Mois lib (calc)],"&lt;="&amp;$E878)))</f>
        <v>0</v>
      </c>
      <c r="Q878" s="19">
        <f>IF($D878&lt;&gt;1,"",IF($G878="ROKS",SUMIFS(TblApplications[Besoin ROKS RAM (Go)],TblApplications[Cluster ROKS cible],$F878,TblApplications[Action],"À migrer",TblApplications[Déjà incluse ROKS],"Non",TblApplications[Mois prov (calc)],"&lt;="&amp;$E878),SUMIFS(TblApplications[RAM IKS libérable (Go)],TblApplications[Cluster IKS source],$F878,TblApplications[Mois lib (calc)],"&lt;="&amp;$E878)))</f>
        <v>0</v>
      </c>
      <c r="R878" s="19">
        <f t="shared" si="224"/>
        <v>48</v>
      </c>
      <c r="S878" s="19">
        <f t="shared" si="225"/>
        <v>192</v>
      </c>
      <c r="T878" s="19">
        <f t="shared" si="226"/>
        <v>6</v>
      </c>
      <c r="U878" s="19">
        <f t="shared" si="227"/>
        <v>48</v>
      </c>
      <c r="V878" s="19">
        <f t="shared" si="228"/>
        <v>192</v>
      </c>
      <c r="W878" s="73">
        <f t="shared" si="229"/>
        <v>1596</v>
      </c>
      <c r="X878" s="19">
        <f>IF($D878&lt;&gt;1,"",IF($G878="ROKS",$R878,IF($AI878=1,0,MAX($N878,$L878-SUMIFS(TblApplications[CPU IKS libérable (vCPU)],TblApplications[Cluster IKS source],$F878,TblApplications[Action],"À migrer",TblApplications[Mois prov (calc)],"&lt;="&amp;$E878)-SUMIFS(TblApplications[CPU IKS libérable (vCPU)],TblApplications[Cluster IKS source],$F878,TblApplications[Action],"À décommissionner",TblApplications[Mois lib (calc)],"&lt;="&amp;$E878)))))</f>
        <v>48</v>
      </c>
      <c r="Y878" s="19">
        <f>IF($D878&lt;&gt;1,"",IF($G878="ROKS",$S878,IF($AI878=1,0,MAX($O878,$M878-SUMIFS(TblApplications[RAM IKS libérable (Go)],TblApplications[Cluster IKS source],$F878,TblApplications[Action],"À migrer",TblApplications[Mois prov (calc)],"&lt;="&amp;$E878)-SUMIFS(TblApplications[RAM IKS libérable (Go)],TblApplications[Cluster IKS source],$F878,TblApplications[Action],"À décommissionner",TblApplications[Mois lib (calc)],"&lt;="&amp;$E878)))))</f>
        <v>192</v>
      </c>
      <c r="Z878" s="19">
        <f t="shared" si="230"/>
        <v>6</v>
      </c>
      <c r="AA878" s="73">
        <f t="shared" si="231"/>
        <v>1596</v>
      </c>
      <c r="AB878" s="19">
        <f t="shared" si="232"/>
        <v>6</v>
      </c>
      <c r="AC878" s="73">
        <f t="shared" si="233"/>
        <v>1596</v>
      </c>
      <c r="AD878" s="19">
        <f t="shared" si="234"/>
        <v>0</v>
      </c>
      <c r="AE878" s="19">
        <f t="shared" si="235"/>
        <v>0</v>
      </c>
      <c r="AF878" s="19" t="str">
        <f>IF($D878&lt;&gt;1,"",IF(INDEX(TblClusters[Environnement],$B878)="","(vide)",INDEX(TblClusters[Environnement],$B878)))</f>
        <v>PRD</v>
      </c>
      <c r="AG878" s="19">
        <f t="shared" si="236"/>
        <v>67.2</v>
      </c>
      <c r="AH878" s="19">
        <f t="shared" si="237"/>
        <v>23.75</v>
      </c>
      <c r="AI878" s="19">
        <f>IF($D878&lt;&gt;1,"",IF(AND($G878="IKS",ISNUMBER(INDEX(TblClusters[Fermeture retenue],$B878))),IF($E878&gt;=INDEX(TblClusters[Fermeture retenue],$B878),1,0),0))</f>
        <v>0</v>
      </c>
    </row>
    <row r="879" spans="1:35" x14ac:dyDescent="0.2">
      <c r="A879" s="19">
        <v>874</v>
      </c>
      <c r="B879" s="19">
        <f t="shared" si="221"/>
        <v>25</v>
      </c>
      <c r="C879" s="19">
        <f t="shared" si="222"/>
        <v>10</v>
      </c>
      <c r="D879" s="19">
        <f>IF($C879&gt;p_horizon,0,IFERROR(IF(AND(INDEX(TblClusters[Cluster],$B879)&lt;&gt;"",ISNUMBER(INDEX(TblClusters[CPU initial (vCPU)],$B879)),ISNUMBER(INDEX(TblClusters[CPU min (vCPU)],$B879)),OR(INDEX(TblClusters[Plateforme],$B879)="IKS",INDEX(TblClusters[Plateforme],$B879)="ROKS")),1,0),0))</f>
        <v>1</v>
      </c>
      <c r="E879" s="72">
        <f t="shared" si="223"/>
        <v>46569</v>
      </c>
      <c r="F879" s="19" t="str">
        <f>IF($D879=1,INDEX(TblClusters[Cluster],$B879),"")</f>
        <v>ku002i000565</v>
      </c>
      <c r="G879" s="19" t="str">
        <f>IF($D879=1,INDEX(TblClusters[Plateforme],$B879),"")</f>
        <v>IKS</v>
      </c>
      <c r="H879" s="19">
        <f>IF($D879=1,INDEX(TblClusters[vCPU par nœud],$B879),"")</f>
        <v>8</v>
      </c>
      <c r="I879" s="19">
        <f>IF($D879=1,INDEX(TblClusters[RAM par nœud (Go)],$B879),"")</f>
        <v>32</v>
      </c>
      <c r="J879" s="19">
        <f>IF($D879=1,INDEX(TblClusters[Workers min],$B879),"")</f>
        <v>3</v>
      </c>
      <c r="K879" s="73">
        <f>IF($D879=1,INDEX(TblClusters[Tarif par nœud],$B879),"")</f>
        <v>266</v>
      </c>
      <c r="L879" s="19">
        <f>IF($D879=1,INDEX(TblClusters[CPU initial (vCPU)],$B879),"")</f>
        <v>48</v>
      </c>
      <c r="M879" s="19">
        <f>IF($D879=1,INDEX(TblClusters[RAM initiale (Go)],$B879),"")</f>
        <v>192</v>
      </c>
      <c r="N879" s="19">
        <f>IF($D879=1,INDEX(TblClusters[CPU min (vCPU)],$B879),"")</f>
        <v>24</v>
      </c>
      <c r="O879" s="19">
        <f>IF($D879=1,INDEX(TblClusters[RAM min (Go)],$B879),"")</f>
        <v>96</v>
      </c>
      <c r="P879" s="19">
        <f>IF($D879&lt;&gt;1,"",IF($G879="ROKS",SUMIFS(TblApplications[Besoin ROKS CPU (vCPU)],TblApplications[Cluster ROKS cible],$F879,TblApplications[Action],"À migrer",TblApplications[Déjà incluse ROKS],"Non",TblApplications[Mois prov (calc)],"&lt;="&amp;$E879),SUMIFS(TblApplications[CPU IKS libérable (vCPU)],TblApplications[Cluster IKS source],$F879,TblApplications[Mois lib (calc)],"&lt;="&amp;$E879)))</f>
        <v>0</v>
      </c>
      <c r="Q879" s="19">
        <f>IF($D879&lt;&gt;1,"",IF($G879="ROKS",SUMIFS(TblApplications[Besoin ROKS RAM (Go)],TblApplications[Cluster ROKS cible],$F879,TblApplications[Action],"À migrer",TblApplications[Déjà incluse ROKS],"Non",TblApplications[Mois prov (calc)],"&lt;="&amp;$E879),SUMIFS(TblApplications[RAM IKS libérable (Go)],TblApplications[Cluster IKS source],$F879,TblApplications[Mois lib (calc)],"&lt;="&amp;$E879)))</f>
        <v>0</v>
      </c>
      <c r="R879" s="19">
        <f t="shared" si="224"/>
        <v>48</v>
      </c>
      <c r="S879" s="19">
        <f t="shared" si="225"/>
        <v>192</v>
      </c>
      <c r="T879" s="19">
        <f t="shared" si="226"/>
        <v>6</v>
      </c>
      <c r="U879" s="19">
        <f t="shared" si="227"/>
        <v>48</v>
      </c>
      <c r="V879" s="19">
        <f t="shared" si="228"/>
        <v>192</v>
      </c>
      <c r="W879" s="73">
        <f t="shared" si="229"/>
        <v>1596</v>
      </c>
      <c r="X879" s="19">
        <f>IF($D879&lt;&gt;1,"",IF($G879="ROKS",$R879,IF($AI879=1,0,MAX($N879,$L879-SUMIFS(TblApplications[CPU IKS libérable (vCPU)],TblApplications[Cluster IKS source],$F879,TblApplications[Action],"À migrer",TblApplications[Mois prov (calc)],"&lt;="&amp;$E879)-SUMIFS(TblApplications[CPU IKS libérable (vCPU)],TblApplications[Cluster IKS source],$F879,TblApplications[Action],"À décommissionner",TblApplications[Mois lib (calc)],"&lt;="&amp;$E879)))))</f>
        <v>48</v>
      </c>
      <c r="Y879" s="19">
        <f>IF($D879&lt;&gt;1,"",IF($G879="ROKS",$S879,IF($AI879=1,0,MAX($O879,$M879-SUMIFS(TblApplications[RAM IKS libérable (Go)],TblApplications[Cluster IKS source],$F879,TblApplications[Action],"À migrer",TblApplications[Mois prov (calc)],"&lt;="&amp;$E879)-SUMIFS(TblApplications[RAM IKS libérable (Go)],TblApplications[Cluster IKS source],$F879,TblApplications[Action],"À décommissionner",TblApplications[Mois lib (calc)],"&lt;="&amp;$E879)))))</f>
        <v>192</v>
      </c>
      <c r="Z879" s="19">
        <f t="shared" si="230"/>
        <v>6</v>
      </c>
      <c r="AA879" s="73">
        <f t="shared" si="231"/>
        <v>1596</v>
      </c>
      <c r="AB879" s="19">
        <f t="shared" si="232"/>
        <v>6</v>
      </c>
      <c r="AC879" s="73">
        <f t="shared" si="233"/>
        <v>1596</v>
      </c>
      <c r="AD879" s="19">
        <f t="shared" si="234"/>
        <v>0</v>
      </c>
      <c r="AE879" s="19">
        <f t="shared" si="235"/>
        <v>0</v>
      </c>
      <c r="AF879" s="19" t="str">
        <f>IF($D879&lt;&gt;1,"",IF(INDEX(TblClusters[Environnement],$B879)="","(vide)",INDEX(TblClusters[Environnement],$B879)))</f>
        <v>PRD</v>
      </c>
      <c r="AG879" s="19">
        <f t="shared" si="236"/>
        <v>67.2</v>
      </c>
      <c r="AH879" s="19">
        <f t="shared" si="237"/>
        <v>23.75</v>
      </c>
      <c r="AI879" s="19">
        <f>IF($D879&lt;&gt;1,"",IF(AND($G879="IKS",ISNUMBER(INDEX(TblClusters[Fermeture retenue],$B879))),IF($E879&gt;=INDEX(TblClusters[Fermeture retenue],$B879),1,0),0))</f>
        <v>0</v>
      </c>
    </row>
    <row r="880" spans="1:35" x14ac:dyDescent="0.2">
      <c r="A880" s="19">
        <v>875</v>
      </c>
      <c r="B880" s="19">
        <f t="shared" si="221"/>
        <v>25</v>
      </c>
      <c r="C880" s="19">
        <f t="shared" si="222"/>
        <v>11</v>
      </c>
      <c r="D880" s="19">
        <f>IF($C880&gt;p_horizon,0,IFERROR(IF(AND(INDEX(TblClusters[Cluster],$B880)&lt;&gt;"",ISNUMBER(INDEX(TblClusters[CPU initial (vCPU)],$B880)),ISNUMBER(INDEX(TblClusters[CPU min (vCPU)],$B880)),OR(INDEX(TblClusters[Plateforme],$B880)="IKS",INDEX(TblClusters[Plateforme],$B880)="ROKS")),1,0),0))</f>
        <v>1</v>
      </c>
      <c r="E880" s="72">
        <f t="shared" si="223"/>
        <v>46600</v>
      </c>
      <c r="F880" s="19" t="str">
        <f>IF($D880=1,INDEX(TblClusters[Cluster],$B880),"")</f>
        <v>ku002i000565</v>
      </c>
      <c r="G880" s="19" t="str">
        <f>IF($D880=1,INDEX(TblClusters[Plateforme],$B880),"")</f>
        <v>IKS</v>
      </c>
      <c r="H880" s="19">
        <f>IF($D880=1,INDEX(TblClusters[vCPU par nœud],$B880),"")</f>
        <v>8</v>
      </c>
      <c r="I880" s="19">
        <f>IF($D880=1,INDEX(TblClusters[RAM par nœud (Go)],$B880),"")</f>
        <v>32</v>
      </c>
      <c r="J880" s="19">
        <f>IF($D880=1,INDEX(TblClusters[Workers min],$B880),"")</f>
        <v>3</v>
      </c>
      <c r="K880" s="73">
        <f>IF($D880=1,INDEX(TblClusters[Tarif par nœud],$B880),"")</f>
        <v>266</v>
      </c>
      <c r="L880" s="19">
        <f>IF($D880=1,INDEX(TblClusters[CPU initial (vCPU)],$B880),"")</f>
        <v>48</v>
      </c>
      <c r="M880" s="19">
        <f>IF($D880=1,INDEX(TblClusters[RAM initiale (Go)],$B880),"")</f>
        <v>192</v>
      </c>
      <c r="N880" s="19">
        <f>IF($D880=1,INDEX(TblClusters[CPU min (vCPU)],$B880),"")</f>
        <v>24</v>
      </c>
      <c r="O880" s="19">
        <f>IF($D880=1,INDEX(TblClusters[RAM min (Go)],$B880),"")</f>
        <v>96</v>
      </c>
      <c r="P880" s="19">
        <f>IF($D880&lt;&gt;1,"",IF($G880="ROKS",SUMIFS(TblApplications[Besoin ROKS CPU (vCPU)],TblApplications[Cluster ROKS cible],$F880,TblApplications[Action],"À migrer",TblApplications[Déjà incluse ROKS],"Non",TblApplications[Mois prov (calc)],"&lt;="&amp;$E880),SUMIFS(TblApplications[CPU IKS libérable (vCPU)],TblApplications[Cluster IKS source],$F880,TblApplications[Mois lib (calc)],"&lt;="&amp;$E880)))</f>
        <v>0</v>
      </c>
      <c r="Q880" s="19">
        <f>IF($D880&lt;&gt;1,"",IF($G880="ROKS",SUMIFS(TblApplications[Besoin ROKS RAM (Go)],TblApplications[Cluster ROKS cible],$F880,TblApplications[Action],"À migrer",TblApplications[Déjà incluse ROKS],"Non",TblApplications[Mois prov (calc)],"&lt;="&amp;$E880),SUMIFS(TblApplications[RAM IKS libérable (Go)],TblApplications[Cluster IKS source],$F880,TblApplications[Mois lib (calc)],"&lt;="&amp;$E880)))</f>
        <v>0</v>
      </c>
      <c r="R880" s="19">
        <f t="shared" si="224"/>
        <v>48</v>
      </c>
      <c r="S880" s="19">
        <f t="shared" si="225"/>
        <v>192</v>
      </c>
      <c r="T880" s="19">
        <f t="shared" si="226"/>
        <v>6</v>
      </c>
      <c r="U880" s="19">
        <f t="shared" si="227"/>
        <v>48</v>
      </c>
      <c r="V880" s="19">
        <f t="shared" si="228"/>
        <v>192</v>
      </c>
      <c r="W880" s="73">
        <f t="shared" si="229"/>
        <v>1596</v>
      </c>
      <c r="X880" s="19">
        <f>IF($D880&lt;&gt;1,"",IF($G880="ROKS",$R880,IF($AI880=1,0,MAX($N880,$L880-SUMIFS(TblApplications[CPU IKS libérable (vCPU)],TblApplications[Cluster IKS source],$F880,TblApplications[Action],"À migrer",TblApplications[Mois prov (calc)],"&lt;="&amp;$E880)-SUMIFS(TblApplications[CPU IKS libérable (vCPU)],TblApplications[Cluster IKS source],$F880,TblApplications[Action],"À décommissionner",TblApplications[Mois lib (calc)],"&lt;="&amp;$E880)))))</f>
        <v>48</v>
      </c>
      <c r="Y880" s="19">
        <f>IF($D880&lt;&gt;1,"",IF($G880="ROKS",$S880,IF($AI880=1,0,MAX($O880,$M880-SUMIFS(TblApplications[RAM IKS libérable (Go)],TblApplications[Cluster IKS source],$F880,TblApplications[Action],"À migrer",TblApplications[Mois prov (calc)],"&lt;="&amp;$E880)-SUMIFS(TblApplications[RAM IKS libérable (Go)],TblApplications[Cluster IKS source],$F880,TblApplications[Action],"À décommissionner",TblApplications[Mois lib (calc)],"&lt;="&amp;$E880)))))</f>
        <v>192</v>
      </c>
      <c r="Z880" s="19">
        <f t="shared" si="230"/>
        <v>6</v>
      </c>
      <c r="AA880" s="73">
        <f t="shared" si="231"/>
        <v>1596</v>
      </c>
      <c r="AB880" s="19">
        <f t="shared" si="232"/>
        <v>6</v>
      </c>
      <c r="AC880" s="73">
        <f t="shared" si="233"/>
        <v>1596</v>
      </c>
      <c r="AD880" s="19">
        <f t="shared" si="234"/>
        <v>0</v>
      </c>
      <c r="AE880" s="19">
        <f t="shared" si="235"/>
        <v>0</v>
      </c>
      <c r="AF880" s="19" t="str">
        <f>IF($D880&lt;&gt;1,"",IF(INDEX(TblClusters[Environnement],$B880)="","(vide)",INDEX(TblClusters[Environnement],$B880)))</f>
        <v>PRD</v>
      </c>
      <c r="AG880" s="19">
        <f t="shared" si="236"/>
        <v>67.2</v>
      </c>
      <c r="AH880" s="19">
        <f t="shared" si="237"/>
        <v>23.75</v>
      </c>
      <c r="AI880" s="19">
        <f>IF($D880&lt;&gt;1,"",IF(AND($G880="IKS",ISNUMBER(INDEX(TblClusters[Fermeture retenue],$B880))),IF($E880&gt;=INDEX(TblClusters[Fermeture retenue],$B880),1,0),0))</f>
        <v>0</v>
      </c>
    </row>
    <row r="881" spans="1:35" x14ac:dyDescent="0.2">
      <c r="A881" s="19">
        <v>876</v>
      </c>
      <c r="B881" s="19">
        <f t="shared" si="221"/>
        <v>25</v>
      </c>
      <c r="C881" s="19">
        <f t="shared" si="222"/>
        <v>12</v>
      </c>
      <c r="D881" s="19">
        <f>IF($C881&gt;p_horizon,0,IFERROR(IF(AND(INDEX(TblClusters[Cluster],$B881)&lt;&gt;"",ISNUMBER(INDEX(TblClusters[CPU initial (vCPU)],$B881)),ISNUMBER(INDEX(TblClusters[CPU min (vCPU)],$B881)),OR(INDEX(TblClusters[Plateforme],$B881)="IKS",INDEX(TblClusters[Plateforme],$B881)="ROKS")),1,0),0))</f>
        <v>1</v>
      </c>
      <c r="E881" s="72">
        <f t="shared" si="223"/>
        <v>46631</v>
      </c>
      <c r="F881" s="19" t="str">
        <f>IF($D881=1,INDEX(TblClusters[Cluster],$B881),"")</f>
        <v>ku002i000565</v>
      </c>
      <c r="G881" s="19" t="str">
        <f>IF($D881=1,INDEX(TblClusters[Plateforme],$B881),"")</f>
        <v>IKS</v>
      </c>
      <c r="H881" s="19">
        <f>IF($D881=1,INDEX(TblClusters[vCPU par nœud],$B881),"")</f>
        <v>8</v>
      </c>
      <c r="I881" s="19">
        <f>IF($D881=1,INDEX(TblClusters[RAM par nœud (Go)],$B881),"")</f>
        <v>32</v>
      </c>
      <c r="J881" s="19">
        <f>IF($D881=1,INDEX(TblClusters[Workers min],$B881),"")</f>
        <v>3</v>
      </c>
      <c r="K881" s="73">
        <f>IF($D881=1,INDEX(TblClusters[Tarif par nœud],$B881),"")</f>
        <v>266</v>
      </c>
      <c r="L881" s="19">
        <f>IF($D881=1,INDEX(TblClusters[CPU initial (vCPU)],$B881),"")</f>
        <v>48</v>
      </c>
      <c r="M881" s="19">
        <f>IF($D881=1,INDEX(TblClusters[RAM initiale (Go)],$B881),"")</f>
        <v>192</v>
      </c>
      <c r="N881" s="19">
        <f>IF($D881=1,INDEX(TblClusters[CPU min (vCPU)],$B881),"")</f>
        <v>24</v>
      </c>
      <c r="O881" s="19">
        <f>IF($D881=1,INDEX(TblClusters[RAM min (Go)],$B881),"")</f>
        <v>96</v>
      </c>
      <c r="P881" s="19">
        <f>IF($D881&lt;&gt;1,"",IF($G881="ROKS",SUMIFS(TblApplications[Besoin ROKS CPU (vCPU)],TblApplications[Cluster ROKS cible],$F881,TblApplications[Action],"À migrer",TblApplications[Déjà incluse ROKS],"Non",TblApplications[Mois prov (calc)],"&lt;="&amp;$E881),SUMIFS(TblApplications[CPU IKS libérable (vCPU)],TblApplications[Cluster IKS source],$F881,TblApplications[Mois lib (calc)],"&lt;="&amp;$E881)))</f>
        <v>0</v>
      </c>
      <c r="Q881" s="19">
        <f>IF($D881&lt;&gt;1,"",IF($G881="ROKS",SUMIFS(TblApplications[Besoin ROKS RAM (Go)],TblApplications[Cluster ROKS cible],$F881,TblApplications[Action],"À migrer",TblApplications[Déjà incluse ROKS],"Non",TblApplications[Mois prov (calc)],"&lt;="&amp;$E881),SUMIFS(TblApplications[RAM IKS libérable (Go)],TblApplications[Cluster IKS source],$F881,TblApplications[Mois lib (calc)],"&lt;="&amp;$E881)))</f>
        <v>0</v>
      </c>
      <c r="R881" s="19">
        <f t="shared" si="224"/>
        <v>48</v>
      </c>
      <c r="S881" s="19">
        <f t="shared" si="225"/>
        <v>192</v>
      </c>
      <c r="T881" s="19">
        <f t="shared" si="226"/>
        <v>6</v>
      </c>
      <c r="U881" s="19">
        <f t="shared" si="227"/>
        <v>48</v>
      </c>
      <c r="V881" s="19">
        <f t="shared" si="228"/>
        <v>192</v>
      </c>
      <c r="W881" s="73">
        <f t="shared" si="229"/>
        <v>1596</v>
      </c>
      <c r="X881" s="19">
        <f>IF($D881&lt;&gt;1,"",IF($G881="ROKS",$R881,IF($AI881=1,0,MAX($N881,$L881-SUMIFS(TblApplications[CPU IKS libérable (vCPU)],TblApplications[Cluster IKS source],$F881,TblApplications[Action],"À migrer",TblApplications[Mois prov (calc)],"&lt;="&amp;$E881)-SUMIFS(TblApplications[CPU IKS libérable (vCPU)],TblApplications[Cluster IKS source],$F881,TblApplications[Action],"À décommissionner",TblApplications[Mois lib (calc)],"&lt;="&amp;$E881)))))</f>
        <v>48</v>
      </c>
      <c r="Y881" s="19">
        <f>IF($D881&lt;&gt;1,"",IF($G881="ROKS",$S881,IF($AI881=1,0,MAX($O881,$M881-SUMIFS(TblApplications[RAM IKS libérable (Go)],TblApplications[Cluster IKS source],$F881,TblApplications[Action],"À migrer",TblApplications[Mois prov (calc)],"&lt;="&amp;$E881)-SUMIFS(TblApplications[RAM IKS libérable (Go)],TblApplications[Cluster IKS source],$F881,TblApplications[Action],"À décommissionner",TblApplications[Mois lib (calc)],"&lt;="&amp;$E881)))))</f>
        <v>192</v>
      </c>
      <c r="Z881" s="19">
        <f t="shared" si="230"/>
        <v>6</v>
      </c>
      <c r="AA881" s="73">
        <f t="shared" si="231"/>
        <v>1596</v>
      </c>
      <c r="AB881" s="19">
        <f t="shared" si="232"/>
        <v>6</v>
      </c>
      <c r="AC881" s="73">
        <f t="shared" si="233"/>
        <v>1596</v>
      </c>
      <c r="AD881" s="19">
        <f t="shared" si="234"/>
        <v>0</v>
      </c>
      <c r="AE881" s="19">
        <f t="shared" si="235"/>
        <v>0</v>
      </c>
      <c r="AF881" s="19" t="str">
        <f>IF($D881&lt;&gt;1,"",IF(INDEX(TblClusters[Environnement],$B881)="","(vide)",INDEX(TblClusters[Environnement],$B881)))</f>
        <v>PRD</v>
      </c>
      <c r="AG881" s="19">
        <f t="shared" si="236"/>
        <v>67.2</v>
      </c>
      <c r="AH881" s="19">
        <f t="shared" si="237"/>
        <v>23.75</v>
      </c>
      <c r="AI881" s="19">
        <f>IF($D881&lt;&gt;1,"",IF(AND($G881="IKS",ISNUMBER(INDEX(TblClusters[Fermeture retenue],$B881))),IF($E881&gt;=INDEX(TblClusters[Fermeture retenue],$B881),1,0),0))</f>
        <v>0</v>
      </c>
    </row>
    <row r="882" spans="1:35" x14ac:dyDescent="0.2">
      <c r="A882" s="19">
        <v>877</v>
      </c>
      <c r="B882" s="19">
        <f t="shared" si="221"/>
        <v>25</v>
      </c>
      <c r="C882" s="19">
        <f t="shared" si="222"/>
        <v>13</v>
      </c>
      <c r="D882" s="19">
        <f>IF($C882&gt;p_horizon,0,IFERROR(IF(AND(INDEX(TblClusters[Cluster],$B882)&lt;&gt;"",ISNUMBER(INDEX(TblClusters[CPU initial (vCPU)],$B882)),ISNUMBER(INDEX(TblClusters[CPU min (vCPU)],$B882)),OR(INDEX(TblClusters[Plateforme],$B882)="IKS",INDEX(TblClusters[Plateforme],$B882)="ROKS")),1,0),0))</f>
        <v>1</v>
      </c>
      <c r="E882" s="72">
        <f t="shared" si="223"/>
        <v>46661</v>
      </c>
      <c r="F882" s="19" t="str">
        <f>IF($D882=1,INDEX(TblClusters[Cluster],$B882),"")</f>
        <v>ku002i000565</v>
      </c>
      <c r="G882" s="19" t="str">
        <f>IF($D882=1,INDEX(TblClusters[Plateforme],$B882),"")</f>
        <v>IKS</v>
      </c>
      <c r="H882" s="19">
        <f>IF($D882=1,INDEX(TblClusters[vCPU par nœud],$B882),"")</f>
        <v>8</v>
      </c>
      <c r="I882" s="19">
        <f>IF($D882=1,INDEX(TblClusters[RAM par nœud (Go)],$B882),"")</f>
        <v>32</v>
      </c>
      <c r="J882" s="19">
        <f>IF($D882=1,INDEX(TblClusters[Workers min],$B882),"")</f>
        <v>3</v>
      </c>
      <c r="K882" s="73">
        <f>IF($D882=1,INDEX(TblClusters[Tarif par nœud],$B882),"")</f>
        <v>266</v>
      </c>
      <c r="L882" s="19">
        <f>IF($D882=1,INDEX(TblClusters[CPU initial (vCPU)],$B882),"")</f>
        <v>48</v>
      </c>
      <c r="M882" s="19">
        <f>IF($D882=1,INDEX(TblClusters[RAM initiale (Go)],$B882),"")</f>
        <v>192</v>
      </c>
      <c r="N882" s="19">
        <f>IF($D882=1,INDEX(TblClusters[CPU min (vCPU)],$B882),"")</f>
        <v>24</v>
      </c>
      <c r="O882" s="19">
        <f>IF($D882=1,INDEX(TblClusters[RAM min (Go)],$B882),"")</f>
        <v>96</v>
      </c>
      <c r="P882" s="19">
        <f>IF($D882&lt;&gt;1,"",IF($G882="ROKS",SUMIFS(TblApplications[Besoin ROKS CPU (vCPU)],TblApplications[Cluster ROKS cible],$F882,TblApplications[Action],"À migrer",TblApplications[Déjà incluse ROKS],"Non",TblApplications[Mois prov (calc)],"&lt;="&amp;$E882),SUMIFS(TblApplications[CPU IKS libérable (vCPU)],TblApplications[Cluster IKS source],$F882,TblApplications[Mois lib (calc)],"&lt;="&amp;$E882)))</f>
        <v>0</v>
      </c>
      <c r="Q882" s="19">
        <f>IF($D882&lt;&gt;1,"",IF($G882="ROKS",SUMIFS(TblApplications[Besoin ROKS RAM (Go)],TblApplications[Cluster ROKS cible],$F882,TblApplications[Action],"À migrer",TblApplications[Déjà incluse ROKS],"Non",TblApplications[Mois prov (calc)],"&lt;="&amp;$E882),SUMIFS(TblApplications[RAM IKS libérable (Go)],TblApplications[Cluster IKS source],$F882,TblApplications[Mois lib (calc)],"&lt;="&amp;$E882)))</f>
        <v>0</v>
      </c>
      <c r="R882" s="19">
        <f t="shared" si="224"/>
        <v>48</v>
      </c>
      <c r="S882" s="19">
        <f t="shared" si="225"/>
        <v>192</v>
      </c>
      <c r="T882" s="19">
        <f t="shared" si="226"/>
        <v>6</v>
      </c>
      <c r="U882" s="19">
        <f t="shared" si="227"/>
        <v>48</v>
      </c>
      <c r="V882" s="19">
        <f t="shared" si="228"/>
        <v>192</v>
      </c>
      <c r="W882" s="73">
        <f t="shared" si="229"/>
        <v>1596</v>
      </c>
      <c r="X882" s="19">
        <f>IF($D882&lt;&gt;1,"",IF($G882="ROKS",$R882,IF($AI882=1,0,MAX($N882,$L882-SUMIFS(TblApplications[CPU IKS libérable (vCPU)],TblApplications[Cluster IKS source],$F882,TblApplications[Action],"À migrer",TblApplications[Mois prov (calc)],"&lt;="&amp;$E882)-SUMIFS(TblApplications[CPU IKS libérable (vCPU)],TblApplications[Cluster IKS source],$F882,TblApplications[Action],"À décommissionner",TblApplications[Mois lib (calc)],"&lt;="&amp;$E882)))))</f>
        <v>48</v>
      </c>
      <c r="Y882" s="19">
        <f>IF($D882&lt;&gt;1,"",IF($G882="ROKS",$S882,IF($AI882=1,0,MAX($O882,$M882-SUMIFS(TblApplications[RAM IKS libérable (Go)],TblApplications[Cluster IKS source],$F882,TblApplications[Action],"À migrer",TblApplications[Mois prov (calc)],"&lt;="&amp;$E882)-SUMIFS(TblApplications[RAM IKS libérable (Go)],TblApplications[Cluster IKS source],$F882,TblApplications[Action],"À décommissionner",TblApplications[Mois lib (calc)],"&lt;="&amp;$E882)))))</f>
        <v>192</v>
      </c>
      <c r="Z882" s="19">
        <f t="shared" si="230"/>
        <v>6</v>
      </c>
      <c r="AA882" s="73">
        <f t="shared" si="231"/>
        <v>1596</v>
      </c>
      <c r="AB882" s="19">
        <f t="shared" si="232"/>
        <v>6</v>
      </c>
      <c r="AC882" s="73">
        <f t="shared" si="233"/>
        <v>1596</v>
      </c>
      <c r="AD882" s="19">
        <f t="shared" si="234"/>
        <v>0</v>
      </c>
      <c r="AE882" s="19">
        <f t="shared" si="235"/>
        <v>0</v>
      </c>
      <c r="AF882" s="19" t="str">
        <f>IF($D882&lt;&gt;1,"",IF(INDEX(TblClusters[Environnement],$B882)="","(vide)",INDEX(TblClusters[Environnement],$B882)))</f>
        <v>PRD</v>
      </c>
      <c r="AG882" s="19">
        <f t="shared" si="236"/>
        <v>67.2</v>
      </c>
      <c r="AH882" s="19">
        <f t="shared" si="237"/>
        <v>23.75</v>
      </c>
      <c r="AI882" s="19">
        <f>IF($D882&lt;&gt;1,"",IF(AND($G882="IKS",ISNUMBER(INDEX(TblClusters[Fermeture retenue],$B882))),IF($E882&gt;=INDEX(TblClusters[Fermeture retenue],$B882),1,0),0))</f>
        <v>0</v>
      </c>
    </row>
    <row r="883" spans="1:35" x14ac:dyDescent="0.2">
      <c r="A883" s="19">
        <v>878</v>
      </c>
      <c r="B883" s="19">
        <f t="shared" si="221"/>
        <v>25</v>
      </c>
      <c r="C883" s="19">
        <f t="shared" si="222"/>
        <v>14</v>
      </c>
      <c r="D883" s="19">
        <f>IF($C883&gt;p_horizon,0,IFERROR(IF(AND(INDEX(TblClusters[Cluster],$B883)&lt;&gt;"",ISNUMBER(INDEX(TblClusters[CPU initial (vCPU)],$B883)),ISNUMBER(INDEX(TblClusters[CPU min (vCPU)],$B883)),OR(INDEX(TblClusters[Plateforme],$B883)="IKS",INDEX(TblClusters[Plateforme],$B883)="ROKS")),1,0),0))</f>
        <v>1</v>
      </c>
      <c r="E883" s="72">
        <f t="shared" si="223"/>
        <v>46692</v>
      </c>
      <c r="F883" s="19" t="str">
        <f>IF($D883=1,INDEX(TblClusters[Cluster],$B883),"")</f>
        <v>ku002i000565</v>
      </c>
      <c r="G883" s="19" t="str">
        <f>IF($D883=1,INDEX(TblClusters[Plateforme],$B883),"")</f>
        <v>IKS</v>
      </c>
      <c r="H883" s="19">
        <f>IF($D883=1,INDEX(TblClusters[vCPU par nœud],$B883),"")</f>
        <v>8</v>
      </c>
      <c r="I883" s="19">
        <f>IF($D883=1,INDEX(TblClusters[RAM par nœud (Go)],$B883),"")</f>
        <v>32</v>
      </c>
      <c r="J883" s="19">
        <f>IF($D883=1,INDEX(TblClusters[Workers min],$B883),"")</f>
        <v>3</v>
      </c>
      <c r="K883" s="73">
        <f>IF($D883=1,INDEX(TblClusters[Tarif par nœud],$B883),"")</f>
        <v>266</v>
      </c>
      <c r="L883" s="19">
        <f>IF($D883=1,INDEX(TblClusters[CPU initial (vCPU)],$B883),"")</f>
        <v>48</v>
      </c>
      <c r="M883" s="19">
        <f>IF($D883=1,INDEX(TblClusters[RAM initiale (Go)],$B883),"")</f>
        <v>192</v>
      </c>
      <c r="N883" s="19">
        <f>IF($D883=1,INDEX(TblClusters[CPU min (vCPU)],$B883),"")</f>
        <v>24</v>
      </c>
      <c r="O883" s="19">
        <f>IF($D883=1,INDEX(TblClusters[RAM min (Go)],$B883),"")</f>
        <v>96</v>
      </c>
      <c r="P883" s="19">
        <f>IF($D883&lt;&gt;1,"",IF($G883="ROKS",SUMIFS(TblApplications[Besoin ROKS CPU (vCPU)],TblApplications[Cluster ROKS cible],$F883,TblApplications[Action],"À migrer",TblApplications[Déjà incluse ROKS],"Non",TblApplications[Mois prov (calc)],"&lt;="&amp;$E883),SUMIFS(TblApplications[CPU IKS libérable (vCPU)],TblApplications[Cluster IKS source],$F883,TblApplications[Mois lib (calc)],"&lt;="&amp;$E883)))</f>
        <v>0</v>
      </c>
      <c r="Q883" s="19">
        <f>IF($D883&lt;&gt;1,"",IF($G883="ROKS",SUMIFS(TblApplications[Besoin ROKS RAM (Go)],TblApplications[Cluster ROKS cible],$F883,TblApplications[Action],"À migrer",TblApplications[Déjà incluse ROKS],"Non",TblApplications[Mois prov (calc)],"&lt;="&amp;$E883),SUMIFS(TblApplications[RAM IKS libérable (Go)],TblApplications[Cluster IKS source],$F883,TblApplications[Mois lib (calc)],"&lt;="&amp;$E883)))</f>
        <v>0</v>
      </c>
      <c r="R883" s="19">
        <f t="shared" si="224"/>
        <v>48</v>
      </c>
      <c r="S883" s="19">
        <f t="shared" si="225"/>
        <v>192</v>
      </c>
      <c r="T883" s="19">
        <f t="shared" si="226"/>
        <v>6</v>
      </c>
      <c r="U883" s="19">
        <f t="shared" si="227"/>
        <v>48</v>
      </c>
      <c r="V883" s="19">
        <f t="shared" si="228"/>
        <v>192</v>
      </c>
      <c r="W883" s="73">
        <f t="shared" si="229"/>
        <v>1596</v>
      </c>
      <c r="X883" s="19">
        <f>IF($D883&lt;&gt;1,"",IF($G883="ROKS",$R883,IF($AI883=1,0,MAX($N883,$L883-SUMIFS(TblApplications[CPU IKS libérable (vCPU)],TblApplications[Cluster IKS source],$F883,TblApplications[Action],"À migrer",TblApplications[Mois prov (calc)],"&lt;="&amp;$E883)-SUMIFS(TblApplications[CPU IKS libérable (vCPU)],TblApplications[Cluster IKS source],$F883,TblApplications[Action],"À décommissionner",TblApplications[Mois lib (calc)],"&lt;="&amp;$E883)))))</f>
        <v>48</v>
      </c>
      <c r="Y883" s="19">
        <f>IF($D883&lt;&gt;1,"",IF($G883="ROKS",$S883,IF($AI883=1,0,MAX($O883,$M883-SUMIFS(TblApplications[RAM IKS libérable (Go)],TblApplications[Cluster IKS source],$F883,TblApplications[Action],"À migrer",TblApplications[Mois prov (calc)],"&lt;="&amp;$E883)-SUMIFS(TblApplications[RAM IKS libérable (Go)],TblApplications[Cluster IKS source],$F883,TblApplications[Action],"À décommissionner",TblApplications[Mois lib (calc)],"&lt;="&amp;$E883)))))</f>
        <v>192</v>
      </c>
      <c r="Z883" s="19">
        <f t="shared" si="230"/>
        <v>6</v>
      </c>
      <c r="AA883" s="73">
        <f t="shared" si="231"/>
        <v>1596</v>
      </c>
      <c r="AB883" s="19">
        <f t="shared" si="232"/>
        <v>6</v>
      </c>
      <c r="AC883" s="73">
        <f t="shared" si="233"/>
        <v>1596</v>
      </c>
      <c r="AD883" s="19">
        <f t="shared" si="234"/>
        <v>0</v>
      </c>
      <c r="AE883" s="19">
        <f t="shared" si="235"/>
        <v>0</v>
      </c>
      <c r="AF883" s="19" t="str">
        <f>IF($D883&lt;&gt;1,"",IF(INDEX(TblClusters[Environnement],$B883)="","(vide)",INDEX(TblClusters[Environnement],$B883)))</f>
        <v>PRD</v>
      </c>
      <c r="AG883" s="19">
        <f t="shared" si="236"/>
        <v>67.2</v>
      </c>
      <c r="AH883" s="19">
        <f t="shared" si="237"/>
        <v>23.75</v>
      </c>
      <c r="AI883" s="19">
        <f>IF($D883&lt;&gt;1,"",IF(AND($G883="IKS",ISNUMBER(INDEX(TblClusters[Fermeture retenue],$B883))),IF($E883&gt;=INDEX(TblClusters[Fermeture retenue],$B883),1,0),0))</f>
        <v>0</v>
      </c>
    </row>
    <row r="884" spans="1:35" x14ac:dyDescent="0.2">
      <c r="A884" s="19">
        <v>879</v>
      </c>
      <c r="B884" s="19">
        <f t="shared" si="221"/>
        <v>25</v>
      </c>
      <c r="C884" s="19">
        <f t="shared" si="222"/>
        <v>15</v>
      </c>
      <c r="D884" s="19">
        <f>IF($C884&gt;p_horizon,0,IFERROR(IF(AND(INDEX(TblClusters[Cluster],$B884)&lt;&gt;"",ISNUMBER(INDEX(TblClusters[CPU initial (vCPU)],$B884)),ISNUMBER(INDEX(TblClusters[CPU min (vCPU)],$B884)),OR(INDEX(TblClusters[Plateforme],$B884)="IKS",INDEX(TblClusters[Plateforme],$B884)="ROKS")),1,0),0))</f>
        <v>1</v>
      </c>
      <c r="E884" s="72">
        <f t="shared" si="223"/>
        <v>46722</v>
      </c>
      <c r="F884" s="19" t="str">
        <f>IF($D884=1,INDEX(TblClusters[Cluster],$B884),"")</f>
        <v>ku002i000565</v>
      </c>
      <c r="G884" s="19" t="str">
        <f>IF($D884=1,INDEX(TblClusters[Plateforme],$B884),"")</f>
        <v>IKS</v>
      </c>
      <c r="H884" s="19">
        <f>IF($D884=1,INDEX(TblClusters[vCPU par nœud],$B884),"")</f>
        <v>8</v>
      </c>
      <c r="I884" s="19">
        <f>IF($D884=1,INDEX(TblClusters[RAM par nœud (Go)],$B884),"")</f>
        <v>32</v>
      </c>
      <c r="J884" s="19">
        <f>IF($D884=1,INDEX(TblClusters[Workers min],$B884),"")</f>
        <v>3</v>
      </c>
      <c r="K884" s="73">
        <f>IF($D884=1,INDEX(TblClusters[Tarif par nœud],$B884),"")</f>
        <v>266</v>
      </c>
      <c r="L884" s="19">
        <f>IF($D884=1,INDEX(TblClusters[CPU initial (vCPU)],$B884),"")</f>
        <v>48</v>
      </c>
      <c r="M884" s="19">
        <f>IF($D884=1,INDEX(TblClusters[RAM initiale (Go)],$B884),"")</f>
        <v>192</v>
      </c>
      <c r="N884" s="19">
        <f>IF($D884=1,INDEX(TblClusters[CPU min (vCPU)],$B884),"")</f>
        <v>24</v>
      </c>
      <c r="O884" s="19">
        <f>IF($D884=1,INDEX(TblClusters[RAM min (Go)],$B884),"")</f>
        <v>96</v>
      </c>
      <c r="P884" s="19">
        <f>IF($D884&lt;&gt;1,"",IF($G884="ROKS",SUMIFS(TblApplications[Besoin ROKS CPU (vCPU)],TblApplications[Cluster ROKS cible],$F884,TblApplications[Action],"À migrer",TblApplications[Déjà incluse ROKS],"Non",TblApplications[Mois prov (calc)],"&lt;="&amp;$E884),SUMIFS(TblApplications[CPU IKS libérable (vCPU)],TblApplications[Cluster IKS source],$F884,TblApplications[Mois lib (calc)],"&lt;="&amp;$E884)))</f>
        <v>0</v>
      </c>
      <c r="Q884" s="19">
        <f>IF($D884&lt;&gt;1,"",IF($G884="ROKS",SUMIFS(TblApplications[Besoin ROKS RAM (Go)],TblApplications[Cluster ROKS cible],$F884,TblApplications[Action],"À migrer",TblApplications[Déjà incluse ROKS],"Non",TblApplications[Mois prov (calc)],"&lt;="&amp;$E884),SUMIFS(TblApplications[RAM IKS libérable (Go)],TblApplications[Cluster IKS source],$F884,TblApplications[Mois lib (calc)],"&lt;="&amp;$E884)))</f>
        <v>0</v>
      </c>
      <c r="R884" s="19">
        <f t="shared" si="224"/>
        <v>48</v>
      </c>
      <c r="S884" s="19">
        <f t="shared" si="225"/>
        <v>192</v>
      </c>
      <c r="T884" s="19">
        <f t="shared" si="226"/>
        <v>6</v>
      </c>
      <c r="U884" s="19">
        <f t="shared" si="227"/>
        <v>48</v>
      </c>
      <c r="V884" s="19">
        <f t="shared" si="228"/>
        <v>192</v>
      </c>
      <c r="W884" s="73">
        <f t="shared" si="229"/>
        <v>1596</v>
      </c>
      <c r="X884" s="19">
        <f>IF($D884&lt;&gt;1,"",IF($G884="ROKS",$R884,IF($AI884=1,0,MAX($N884,$L884-SUMIFS(TblApplications[CPU IKS libérable (vCPU)],TblApplications[Cluster IKS source],$F884,TblApplications[Action],"À migrer",TblApplications[Mois prov (calc)],"&lt;="&amp;$E884)-SUMIFS(TblApplications[CPU IKS libérable (vCPU)],TblApplications[Cluster IKS source],$F884,TblApplications[Action],"À décommissionner",TblApplications[Mois lib (calc)],"&lt;="&amp;$E884)))))</f>
        <v>48</v>
      </c>
      <c r="Y884" s="19">
        <f>IF($D884&lt;&gt;1,"",IF($G884="ROKS",$S884,IF($AI884=1,0,MAX($O884,$M884-SUMIFS(TblApplications[RAM IKS libérable (Go)],TblApplications[Cluster IKS source],$F884,TblApplications[Action],"À migrer",TblApplications[Mois prov (calc)],"&lt;="&amp;$E884)-SUMIFS(TblApplications[RAM IKS libérable (Go)],TblApplications[Cluster IKS source],$F884,TblApplications[Action],"À décommissionner",TblApplications[Mois lib (calc)],"&lt;="&amp;$E884)))))</f>
        <v>192</v>
      </c>
      <c r="Z884" s="19">
        <f t="shared" si="230"/>
        <v>6</v>
      </c>
      <c r="AA884" s="73">
        <f t="shared" si="231"/>
        <v>1596</v>
      </c>
      <c r="AB884" s="19">
        <f t="shared" si="232"/>
        <v>6</v>
      </c>
      <c r="AC884" s="73">
        <f t="shared" si="233"/>
        <v>1596</v>
      </c>
      <c r="AD884" s="19">
        <f t="shared" si="234"/>
        <v>0</v>
      </c>
      <c r="AE884" s="19">
        <f t="shared" si="235"/>
        <v>0</v>
      </c>
      <c r="AF884" s="19" t="str">
        <f>IF($D884&lt;&gt;1,"",IF(INDEX(TblClusters[Environnement],$B884)="","(vide)",INDEX(TblClusters[Environnement],$B884)))</f>
        <v>PRD</v>
      </c>
      <c r="AG884" s="19">
        <f t="shared" si="236"/>
        <v>67.2</v>
      </c>
      <c r="AH884" s="19">
        <f t="shared" si="237"/>
        <v>23.75</v>
      </c>
      <c r="AI884" s="19">
        <f>IF($D884&lt;&gt;1,"",IF(AND($G884="IKS",ISNUMBER(INDEX(TblClusters[Fermeture retenue],$B884))),IF($E884&gt;=INDEX(TblClusters[Fermeture retenue],$B884),1,0),0))</f>
        <v>0</v>
      </c>
    </row>
    <row r="885" spans="1:35" x14ac:dyDescent="0.2">
      <c r="A885" s="19">
        <v>880</v>
      </c>
      <c r="B885" s="19">
        <f t="shared" si="221"/>
        <v>25</v>
      </c>
      <c r="C885" s="19">
        <f t="shared" si="222"/>
        <v>16</v>
      </c>
      <c r="D885" s="19">
        <f>IF($C885&gt;p_horizon,0,IFERROR(IF(AND(INDEX(TblClusters[Cluster],$B885)&lt;&gt;"",ISNUMBER(INDEX(TblClusters[CPU initial (vCPU)],$B885)),ISNUMBER(INDEX(TblClusters[CPU min (vCPU)],$B885)),OR(INDEX(TblClusters[Plateforme],$B885)="IKS",INDEX(TblClusters[Plateforme],$B885)="ROKS")),1,0),0))</f>
        <v>1</v>
      </c>
      <c r="E885" s="72">
        <f t="shared" si="223"/>
        <v>46753</v>
      </c>
      <c r="F885" s="19" t="str">
        <f>IF($D885=1,INDEX(TblClusters[Cluster],$B885),"")</f>
        <v>ku002i000565</v>
      </c>
      <c r="G885" s="19" t="str">
        <f>IF($D885=1,INDEX(TblClusters[Plateforme],$B885),"")</f>
        <v>IKS</v>
      </c>
      <c r="H885" s="19">
        <f>IF($D885=1,INDEX(TblClusters[vCPU par nœud],$B885),"")</f>
        <v>8</v>
      </c>
      <c r="I885" s="19">
        <f>IF($D885=1,INDEX(TblClusters[RAM par nœud (Go)],$B885),"")</f>
        <v>32</v>
      </c>
      <c r="J885" s="19">
        <f>IF($D885=1,INDEX(TblClusters[Workers min],$B885),"")</f>
        <v>3</v>
      </c>
      <c r="K885" s="73">
        <f>IF($D885=1,INDEX(TblClusters[Tarif par nœud],$B885),"")</f>
        <v>266</v>
      </c>
      <c r="L885" s="19">
        <f>IF($D885=1,INDEX(TblClusters[CPU initial (vCPU)],$B885),"")</f>
        <v>48</v>
      </c>
      <c r="M885" s="19">
        <f>IF($D885=1,INDEX(TblClusters[RAM initiale (Go)],$B885),"")</f>
        <v>192</v>
      </c>
      <c r="N885" s="19">
        <f>IF($D885=1,INDEX(TblClusters[CPU min (vCPU)],$B885),"")</f>
        <v>24</v>
      </c>
      <c r="O885" s="19">
        <f>IF($D885=1,INDEX(TblClusters[RAM min (Go)],$B885),"")</f>
        <v>96</v>
      </c>
      <c r="P885" s="19">
        <f>IF($D885&lt;&gt;1,"",IF($G885="ROKS",SUMIFS(TblApplications[Besoin ROKS CPU (vCPU)],TblApplications[Cluster ROKS cible],$F885,TblApplications[Action],"À migrer",TblApplications[Déjà incluse ROKS],"Non",TblApplications[Mois prov (calc)],"&lt;="&amp;$E885),SUMIFS(TblApplications[CPU IKS libérable (vCPU)],TblApplications[Cluster IKS source],$F885,TblApplications[Mois lib (calc)],"&lt;="&amp;$E885)))</f>
        <v>0</v>
      </c>
      <c r="Q885" s="19">
        <f>IF($D885&lt;&gt;1,"",IF($G885="ROKS",SUMIFS(TblApplications[Besoin ROKS RAM (Go)],TblApplications[Cluster ROKS cible],$F885,TblApplications[Action],"À migrer",TblApplications[Déjà incluse ROKS],"Non",TblApplications[Mois prov (calc)],"&lt;="&amp;$E885),SUMIFS(TblApplications[RAM IKS libérable (Go)],TblApplications[Cluster IKS source],$F885,TblApplications[Mois lib (calc)],"&lt;="&amp;$E885)))</f>
        <v>0</v>
      </c>
      <c r="R885" s="19">
        <f t="shared" si="224"/>
        <v>48</v>
      </c>
      <c r="S885" s="19">
        <f t="shared" si="225"/>
        <v>192</v>
      </c>
      <c r="T885" s="19">
        <f t="shared" si="226"/>
        <v>6</v>
      </c>
      <c r="U885" s="19">
        <f t="shared" si="227"/>
        <v>48</v>
      </c>
      <c r="V885" s="19">
        <f t="shared" si="228"/>
        <v>192</v>
      </c>
      <c r="W885" s="73">
        <f t="shared" si="229"/>
        <v>1596</v>
      </c>
      <c r="X885" s="19">
        <f>IF($D885&lt;&gt;1,"",IF($G885="ROKS",$R885,IF($AI885=1,0,MAX($N885,$L885-SUMIFS(TblApplications[CPU IKS libérable (vCPU)],TblApplications[Cluster IKS source],$F885,TblApplications[Action],"À migrer",TblApplications[Mois prov (calc)],"&lt;="&amp;$E885)-SUMIFS(TblApplications[CPU IKS libérable (vCPU)],TblApplications[Cluster IKS source],$F885,TblApplications[Action],"À décommissionner",TblApplications[Mois lib (calc)],"&lt;="&amp;$E885)))))</f>
        <v>48</v>
      </c>
      <c r="Y885" s="19">
        <f>IF($D885&lt;&gt;1,"",IF($G885="ROKS",$S885,IF($AI885=1,0,MAX($O885,$M885-SUMIFS(TblApplications[RAM IKS libérable (Go)],TblApplications[Cluster IKS source],$F885,TblApplications[Action],"À migrer",TblApplications[Mois prov (calc)],"&lt;="&amp;$E885)-SUMIFS(TblApplications[RAM IKS libérable (Go)],TblApplications[Cluster IKS source],$F885,TblApplications[Action],"À décommissionner",TblApplications[Mois lib (calc)],"&lt;="&amp;$E885)))))</f>
        <v>192</v>
      </c>
      <c r="Z885" s="19">
        <f t="shared" si="230"/>
        <v>6</v>
      </c>
      <c r="AA885" s="73">
        <f t="shared" si="231"/>
        <v>1596</v>
      </c>
      <c r="AB885" s="19">
        <f t="shared" si="232"/>
        <v>6</v>
      </c>
      <c r="AC885" s="73">
        <f t="shared" si="233"/>
        <v>1596</v>
      </c>
      <c r="AD885" s="19">
        <f t="shared" si="234"/>
        <v>0</v>
      </c>
      <c r="AE885" s="19">
        <f t="shared" si="235"/>
        <v>0</v>
      </c>
      <c r="AF885" s="19" t="str">
        <f>IF($D885&lt;&gt;1,"",IF(INDEX(TblClusters[Environnement],$B885)="","(vide)",INDEX(TblClusters[Environnement],$B885)))</f>
        <v>PRD</v>
      </c>
      <c r="AG885" s="19">
        <f t="shared" si="236"/>
        <v>67.2</v>
      </c>
      <c r="AH885" s="19">
        <f t="shared" si="237"/>
        <v>23.75</v>
      </c>
      <c r="AI885" s="19">
        <f>IF($D885&lt;&gt;1,"",IF(AND($G885="IKS",ISNUMBER(INDEX(TblClusters[Fermeture retenue],$B885))),IF($E885&gt;=INDEX(TblClusters[Fermeture retenue],$B885),1,0),0))</f>
        <v>0</v>
      </c>
    </row>
    <row r="886" spans="1:35" x14ac:dyDescent="0.2">
      <c r="A886" s="19">
        <v>881</v>
      </c>
      <c r="B886" s="19">
        <f t="shared" si="221"/>
        <v>25</v>
      </c>
      <c r="C886" s="19">
        <f t="shared" si="222"/>
        <v>17</v>
      </c>
      <c r="D886" s="19">
        <f>IF($C886&gt;p_horizon,0,IFERROR(IF(AND(INDEX(TblClusters[Cluster],$B886)&lt;&gt;"",ISNUMBER(INDEX(TblClusters[CPU initial (vCPU)],$B886)),ISNUMBER(INDEX(TblClusters[CPU min (vCPU)],$B886)),OR(INDEX(TblClusters[Plateforme],$B886)="IKS",INDEX(TblClusters[Plateforme],$B886)="ROKS")),1,0),0))</f>
        <v>1</v>
      </c>
      <c r="E886" s="72">
        <f t="shared" si="223"/>
        <v>46784</v>
      </c>
      <c r="F886" s="19" t="str">
        <f>IF($D886=1,INDEX(TblClusters[Cluster],$B886),"")</f>
        <v>ku002i000565</v>
      </c>
      <c r="G886" s="19" t="str">
        <f>IF($D886=1,INDEX(TblClusters[Plateforme],$B886),"")</f>
        <v>IKS</v>
      </c>
      <c r="H886" s="19">
        <f>IF($D886=1,INDEX(TblClusters[vCPU par nœud],$B886),"")</f>
        <v>8</v>
      </c>
      <c r="I886" s="19">
        <f>IF($D886=1,INDEX(TblClusters[RAM par nœud (Go)],$B886),"")</f>
        <v>32</v>
      </c>
      <c r="J886" s="19">
        <f>IF($D886=1,INDEX(TblClusters[Workers min],$B886),"")</f>
        <v>3</v>
      </c>
      <c r="K886" s="73">
        <f>IF($D886=1,INDEX(TblClusters[Tarif par nœud],$B886),"")</f>
        <v>266</v>
      </c>
      <c r="L886" s="19">
        <f>IF($D886=1,INDEX(TblClusters[CPU initial (vCPU)],$B886),"")</f>
        <v>48</v>
      </c>
      <c r="M886" s="19">
        <f>IF($D886=1,INDEX(TblClusters[RAM initiale (Go)],$B886),"")</f>
        <v>192</v>
      </c>
      <c r="N886" s="19">
        <f>IF($D886=1,INDEX(TblClusters[CPU min (vCPU)],$B886),"")</f>
        <v>24</v>
      </c>
      <c r="O886" s="19">
        <f>IF($D886=1,INDEX(TblClusters[RAM min (Go)],$B886),"")</f>
        <v>96</v>
      </c>
      <c r="P886" s="19">
        <f>IF($D886&lt;&gt;1,"",IF($G886="ROKS",SUMIFS(TblApplications[Besoin ROKS CPU (vCPU)],TblApplications[Cluster ROKS cible],$F886,TblApplications[Action],"À migrer",TblApplications[Déjà incluse ROKS],"Non",TblApplications[Mois prov (calc)],"&lt;="&amp;$E886),SUMIFS(TblApplications[CPU IKS libérable (vCPU)],TblApplications[Cluster IKS source],$F886,TblApplications[Mois lib (calc)],"&lt;="&amp;$E886)))</f>
        <v>0</v>
      </c>
      <c r="Q886" s="19">
        <f>IF($D886&lt;&gt;1,"",IF($G886="ROKS",SUMIFS(TblApplications[Besoin ROKS RAM (Go)],TblApplications[Cluster ROKS cible],$F886,TblApplications[Action],"À migrer",TblApplications[Déjà incluse ROKS],"Non",TblApplications[Mois prov (calc)],"&lt;="&amp;$E886),SUMIFS(TblApplications[RAM IKS libérable (Go)],TblApplications[Cluster IKS source],$F886,TblApplications[Mois lib (calc)],"&lt;="&amp;$E886)))</f>
        <v>0</v>
      </c>
      <c r="R886" s="19">
        <f t="shared" si="224"/>
        <v>48</v>
      </c>
      <c r="S886" s="19">
        <f t="shared" si="225"/>
        <v>192</v>
      </c>
      <c r="T886" s="19">
        <f t="shared" si="226"/>
        <v>6</v>
      </c>
      <c r="U886" s="19">
        <f t="shared" si="227"/>
        <v>48</v>
      </c>
      <c r="V886" s="19">
        <f t="shared" si="228"/>
        <v>192</v>
      </c>
      <c r="W886" s="73">
        <f t="shared" si="229"/>
        <v>1596</v>
      </c>
      <c r="X886" s="19">
        <f>IF($D886&lt;&gt;1,"",IF($G886="ROKS",$R886,IF($AI886=1,0,MAX($N886,$L886-SUMIFS(TblApplications[CPU IKS libérable (vCPU)],TblApplications[Cluster IKS source],$F886,TblApplications[Action],"À migrer",TblApplications[Mois prov (calc)],"&lt;="&amp;$E886)-SUMIFS(TblApplications[CPU IKS libérable (vCPU)],TblApplications[Cluster IKS source],$F886,TblApplications[Action],"À décommissionner",TblApplications[Mois lib (calc)],"&lt;="&amp;$E886)))))</f>
        <v>48</v>
      </c>
      <c r="Y886" s="19">
        <f>IF($D886&lt;&gt;1,"",IF($G886="ROKS",$S886,IF($AI886=1,0,MAX($O886,$M886-SUMIFS(TblApplications[RAM IKS libérable (Go)],TblApplications[Cluster IKS source],$F886,TblApplications[Action],"À migrer",TblApplications[Mois prov (calc)],"&lt;="&amp;$E886)-SUMIFS(TblApplications[RAM IKS libérable (Go)],TblApplications[Cluster IKS source],$F886,TblApplications[Action],"À décommissionner",TblApplications[Mois lib (calc)],"&lt;="&amp;$E886)))))</f>
        <v>192</v>
      </c>
      <c r="Z886" s="19">
        <f t="shared" si="230"/>
        <v>6</v>
      </c>
      <c r="AA886" s="73">
        <f t="shared" si="231"/>
        <v>1596</v>
      </c>
      <c r="AB886" s="19">
        <f t="shared" si="232"/>
        <v>6</v>
      </c>
      <c r="AC886" s="73">
        <f t="shared" si="233"/>
        <v>1596</v>
      </c>
      <c r="AD886" s="19">
        <f t="shared" si="234"/>
        <v>0</v>
      </c>
      <c r="AE886" s="19">
        <f t="shared" si="235"/>
        <v>0</v>
      </c>
      <c r="AF886" s="19" t="str">
        <f>IF($D886&lt;&gt;1,"",IF(INDEX(TblClusters[Environnement],$B886)="","(vide)",INDEX(TblClusters[Environnement],$B886)))</f>
        <v>PRD</v>
      </c>
      <c r="AG886" s="19">
        <f t="shared" si="236"/>
        <v>67.2</v>
      </c>
      <c r="AH886" s="19">
        <f t="shared" si="237"/>
        <v>23.75</v>
      </c>
      <c r="AI886" s="19">
        <f>IF($D886&lt;&gt;1,"",IF(AND($G886="IKS",ISNUMBER(INDEX(TblClusters[Fermeture retenue],$B886))),IF($E886&gt;=INDEX(TblClusters[Fermeture retenue],$B886),1,0),0))</f>
        <v>0</v>
      </c>
    </row>
    <row r="887" spans="1:35" x14ac:dyDescent="0.2">
      <c r="A887" s="19">
        <v>882</v>
      </c>
      <c r="B887" s="19">
        <f t="shared" si="221"/>
        <v>25</v>
      </c>
      <c r="C887" s="19">
        <f t="shared" si="222"/>
        <v>18</v>
      </c>
      <c r="D887" s="19">
        <f>IF($C887&gt;p_horizon,0,IFERROR(IF(AND(INDEX(TblClusters[Cluster],$B887)&lt;&gt;"",ISNUMBER(INDEX(TblClusters[CPU initial (vCPU)],$B887)),ISNUMBER(INDEX(TblClusters[CPU min (vCPU)],$B887)),OR(INDEX(TblClusters[Plateforme],$B887)="IKS",INDEX(TblClusters[Plateforme],$B887)="ROKS")),1,0),0))</f>
        <v>1</v>
      </c>
      <c r="E887" s="72">
        <f t="shared" si="223"/>
        <v>46813</v>
      </c>
      <c r="F887" s="19" t="str">
        <f>IF($D887=1,INDEX(TblClusters[Cluster],$B887),"")</f>
        <v>ku002i000565</v>
      </c>
      <c r="G887" s="19" t="str">
        <f>IF($D887=1,INDEX(TblClusters[Plateforme],$B887),"")</f>
        <v>IKS</v>
      </c>
      <c r="H887" s="19">
        <f>IF($D887=1,INDEX(TblClusters[vCPU par nœud],$B887),"")</f>
        <v>8</v>
      </c>
      <c r="I887" s="19">
        <f>IF($D887=1,INDEX(TblClusters[RAM par nœud (Go)],$B887),"")</f>
        <v>32</v>
      </c>
      <c r="J887" s="19">
        <f>IF($D887=1,INDEX(TblClusters[Workers min],$B887),"")</f>
        <v>3</v>
      </c>
      <c r="K887" s="73">
        <f>IF($D887=1,INDEX(TblClusters[Tarif par nœud],$B887),"")</f>
        <v>266</v>
      </c>
      <c r="L887" s="19">
        <f>IF($D887=1,INDEX(TblClusters[CPU initial (vCPU)],$B887),"")</f>
        <v>48</v>
      </c>
      <c r="M887" s="19">
        <f>IF($D887=1,INDEX(TblClusters[RAM initiale (Go)],$B887),"")</f>
        <v>192</v>
      </c>
      <c r="N887" s="19">
        <f>IF($D887=1,INDEX(TblClusters[CPU min (vCPU)],$B887),"")</f>
        <v>24</v>
      </c>
      <c r="O887" s="19">
        <f>IF($D887=1,INDEX(TblClusters[RAM min (Go)],$B887),"")</f>
        <v>96</v>
      </c>
      <c r="P887" s="19">
        <f>IF($D887&lt;&gt;1,"",IF($G887="ROKS",SUMIFS(TblApplications[Besoin ROKS CPU (vCPU)],TblApplications[Cluster ROKS cible],$F887,TblApplications[Action],"À migrer",TblApplications[Déjà incluse ROKS],"Non",TblApplications[Mois prov (calc)],"&lt;="&amp;$E887),SUMIFS(TblApplications[CPU IKS libérable (vCPU)],TblApplications[Cluster IKS source],$F887,TblApplications[Mois lib (calc)],"&lt;="&amp;$E887)))</f>
        <v>0</v>
      </c>
      <c r="Q887" s="19">
        <f>IF($D887&lt;&gt;1,"",IF($G887="ROKS",SUMIFS(TblApplications[Besoin ROKS RAM (Go)],TblApplications[Cluster ROKS cible],$F887,TblApplications[Action],"À migrer",TblApplications[Déjà incluse ROKS],"Non",TblApplications[Mois prov (calc)],"&lt;="&amp;$E887),SUMIFS(TblApplications[RAM IKS libérable (Go)],TblApplications[Cluster IKS source],$F887,TblApplications[Mois lib (calc)],"&lt;="&amp;$E887)))</f>
        <v>0</v>
      </c>
      <c r="R887" s="19">
        <f t="shared" si="224"/>
        <v>48</v>
      </c>
      <c r="S887" s="19">
        <f t="shared" si="225"/>
        <v>192</v>
      </c>
      <c r="T887" s="19">
        <f t="shared" si="226"/>
        <v>6</v>
      </c>
      <c r="U887" s="19">
        <f t="shared" si="227"/>
        <v>48</v>
      </c>
      <c r="V887" s="19">
        <f t="shared" si="228"/>
        <v>192</v>
      </c>
      <c r="W887" s="73">
        <f t="shared" si="229"/>
        <v>1596</v>
      </c>
      <c r="X887" s="19">
        <f>IF($D887&lt;&gt;1,"",IF($G887="ROKS",$R887,IF($AI887=1,0,MAX($N887,$L887-SUMIFS(TblApplications[CPU IKS libérable (vCPU)],TblApplications[Cluster IKS source],$F887,TblApplications[Action],"À migrer",TblApplications[Mois prov (calc)],"&lt;="&amp;$E887)-SUMIFS(TblApplications[CPU IKS libérable (vCPU)],TblApplications[Cluster IKS source],$F887,TblApplications[Action],"À décommissionner",TblApplications[Mois lib (calc)],"&lt;="&amp;$E887)))))</f>
        <v>48</v>
      </c>
      <c r="Y887" s="19">
        <f>IF($D887&lt;&gt;1,"",IF($G887="ROKS",$S887,IF($AI887=1,0,MAX($O887,$M887-SUMIFS(TblApplications[RAM IKS libérable (Go)],TblApplications[Cluster IKS source],$F887,TblApplications[Action],"À migrer",TblApplications[Mois prov (calc)],"&lt;="&amp;$E887)-SUMIFS(TblApplications[RAM IKS libérable (Go)],TblApplications[Cluster IKS source],$F887,TblApplications[Action],"À décommissionner",TblApplications[Mois lib (calc)],"&lt;="&amp;$E887)))))</f>
        <v>192</v>
      </c>
      <c r="Z887" s="19">
        <f t="shared" si="230"/>
        <v>6</v>
      </c>
      <c r="AA887" s="73">
        <f t="shared" si="231"/>
        <v>1596</v>
      </c>
      <c r="AB887" s="19">
        <f t="shared" si="232"/>
        <v>6</v>
      </c>
      <c r="AC887" s="73">
        <f t="shared" si="233"/>
        <v>1596</v>
      </c>
      <c r="AD887" s="19">
        <f t="shared" si="234"/>
        <v>0</v>
      </c>
      <c r="AE887" s="19">
        <f t="shared" si="235"/>
        <v>0</v>
      </c>
      <c r="AF887" s="19" t="str">
        <f>IF($D887&lt;&gt;1,"",IF(INDEX(TblClusters[Environnement],$B887)="","(vide)",INDEX(TblClusters[Environnement],$B887)))</f>
        <v>PRD</v>
      </c>
      <c r="AG887" s="19">
        <f t="shared" si="236"/>
        <v>67.2</v>
      </c>
      <c r="AH887" s="19">
        <f t="shared" si="237"/>
        <v>23.75</v>
      </c>
      <c r="AI887" s="19">
        <f>IF($D887&lt;&gt;1,"",IF(AND($G887="IKS",ISNUMBER(INDEX(TblClusters[Fermeture retenue],$B887))),IF($E887&gt;=INDEX(TblClusters[Fermeture retenue],$B887),1,0),0))</f>
        <v>0</v>
      </c>
    </row>
    <row r="888" spans="1:35" x14ac:dyDescent="0.2">
      <c r="A888" s="19">
        <v>883</v>
      </c>
      <c r="B888" s="19">
        <f t="shared" si="221"/>
        <v>25</v>
      </c>
      <c r="C888" s="19">
        <f t="shared" si="222"/>
        <v>19</v>
      </c>
      <c r="D888" s="19">
        <f>IF($C888&gt;p_horizon,0,IFERROR(IF(AND(INDEX(TblClusters[Cluster],$B888)&lt;&gt;"",ISNUMBER(INDEX(TblClusters[CPU initial (vCPU)],$B888)),ISNUMBER(INDEX(TblClusters[CPU min (vCPU)],$B888)),OR(INDEX(TblClusters[Plateforme],$B888)="IKS",INDEX(TblClusters[Plateforme],$B888)="ROKS")),1,0),0))</f>
        <v>1</v>
      </c>
      <c r="E888" s="72">
        <f t="shared" si="223"/>
        <v>46844</v>
      </c>
      <c r="F888" s="19" t="str">
        <f>IF($D888=1,INDEX(TblClusters[Cluster],$B888),"")</f>
        <v>ku002i000565</v>
      </c>
      <c r="G888" s="19" t="str">
        <f>IF($D888=1,INDEX(TblClusters[Plateforme],$B888),"")</f>
        <v>IKS</v>
      </c>
      <c r="H888" s="19">
        <f>IF($D888=1,INDEX(TblClusters[vCPU par nœud],$B888),"")</f>
        <v>8</v>
      </c>
      <c r="I888" s="19">
        <f>IF($D888=1,INDEX(TblClusters[RAM par nœud (Go)],$B888),"")</f>
        <v>32</v>
      </c>
      <c r="J888" s="19">
        <f>IF($D888=1,INDEX(TblClusters[Workers min],$B888),"")</f>
        <v>3</v>
      </c>
      <c r="K888" s="73">
        <f>IF($D888=1,INDEX(TblClusters[Tarif par nœud],$B888),"")</f>
        <v>266</v>
      </c>
      <c r="L888" s="19">
        <f>IF($D888=1,INDEX(TblClusters[CPU initial (vCPU)],$B888),"")</f>
        <v>48</v>
      </c>
      <c r="M888" s="19">
        <f>IF($D888=1,INDEX(TblClusters[RAM initiale (Go)],$B888),"")</f>
        <v>192</v>
      </c>
      <c r="N888" s="19">
        <f>IF($D888=1,INDEX(TblClusters[CPU min (vCPU)],$B888),"")</f>
        <v>24</v>
      </c>
      <c r="O888" s="19">
        <f>IF($D888=1,INDEX(TblClusters[RAM min (Go)],$B888),"")</f>
        <v>96</v>
      </c>
      <c r="P888" s="19">
        <f>IF($D888&lt;&gt;1,"",IF($G888="ROKS",SUMIFS(TblApplications[Besoin ROKS CPU (vCPU)],TblApplications[Cluster ROKS cible],$F888,TblApplications[Action],"À migrer",TblApplications[Déjà incluse ROKS],"Non",TblApplications[Mois prov (calc)],"&lt;="&amp;$E888),SUMIFS(TblApplications[CPU IKS libérable (vCPU)],TblApplications[Cluster IKS source],$F888,TblApplications[Mois lib (calc)],"&lt;="&amp;$E888)))</f>
        <v>0</v>
      </c>
      <c r="Q888" s="19">
        <f>IF($D888&lt;&gt;1,"",IF($G888="ROKS",SUMIFS(TblApplications[Besoin ROKS RAM (Go)],TblApplications[Cluster ROKS cible],$F888,TblApplications[Action],"À migrer",TblApplications[Déjà incluse ROKS],"Non",TblApplications[Mois prov (calc)],"&lt;="&amp;$E888),SUMIFS(TblApplications[RAM IKS libérable (Go)],TblApplications[Cluster IKS source],$F888,TblApplications[Mois lib (calc)],"&lt;="&amp;$E888)))</f>
        <v>0</v>
      </c>
      <c r="R888" s="19">
        <f t="shared" si="224"/>
        <v>48</v>
      </c>
      <c r="S888" s="19">
        <f t="shared" si="225"/>
        <v>192</v>
      </c>
      <c r="T888" s="19">
        <f t="shared" si="226"/>
        <v>6</v>
      </c>
      <c r="U888" s="19">
        <f t="shared" si="227"/>
        <v>48</v>
      </c>
      <c r="V888" s="19">
        <f t="shared" si="228"/>
        <v>192</v>
      </c>
      <c r="W888" s="73">
        <f t="shared" si="229"/>
        <v>1596</v>
      </c>
      <c r="X888" s="19">
        <f>IF($D888&lt;&gt;1,"",IF($G888="ROKS",$R888,IF($AI888=1,0,MAX($N888,$L888-SUMIFS(TblApplications[CPU IKS libérable (vCPU)],TblApplications[Cluster IKS source],$F888,TblApplications[Action],"À migrer",TblApplications[Mois prov (calc)],"&lt;="&amp;$E888)-SUMIFS(TblApplications[CPU IKS libérable (vCPU)],TblApplications[Cluster IKS source],$F888,TblApplications[Action],"À décommissionner",TblApplications[Mois lib (calc)],"&lt;="&amp;$E888)))))</f>
        <v>48</v>
      </c>
      <c r="Y888" s="19">
        <f>IF($D888&lt;&gt;1,"",IF($G888="ROKS",$S888,IF($AI888=1,0,MAX($O888,$M888-SUMIFS(TblApplications[RAM IKS libérable (Go)],TblApplications[Cluster IKS source],$F888,TblApplications[Action],"À migrer",TblApplications[Mois prov (calc)],"&lt;="&amp;$E888)-SUMIFS(TblApplications[RAM IKS libérable (Go)],TblApplications[Cluster IKS source],$F888,TblApplications[Action],"À décommissionner",TblApplications[Mois lib (calc)],"&lt;="&amp;$E888)))))</f>
        <v>192</v>
      </c>
      <c r="Z888" s="19">
        <f t="shared" si="230"/>
        <v>6</v>
      </c>
      <c r="AA888" s="73">
        <f t="shared" si="231"/>
        <v>1596</v>
      </c>
      <c r="AB888" s="19">
        <f t="shared" si="232"/>
        <v>6</v>
      </c>
      <c r="AC888" s="73">
        <f t="shared" si="233"/>
        <v>1596</v>
      </c>
      <c r="AD888" s="19">
        <f t="shared" si="234"/>
        <v>0</v>
      </c>
      <c r="AE888" s="19">
        <f t="shared" si="235"/>
        <v>0</v>
      </c>
      <c r="AF888" s="19" t="str">
        <f>IF($D888&lt;&gt;1,"",IF(INDEX(TblClusters[Environnement],$B888)="","(vide)",INDEX(TblClusters[Environnement],$B888)))</f>
        <v>PRD</v>
      </c>
      <c r="AG888" s="19">
        <f t="shared" si="236"/>
        <v>67.2</v>
      </c>
      <c r="AH888" s="19">
        <f t="shared" si="237"/>
        <v>23.75</v>
      </c>
      <c r="AI888" s="19">
        <f>IF($D888&lt;&gt;1,"",IF(AND($G888="IKS",ISNUMBER(INDEX(TblClusters[Fermeture retenue],$B888))),IF($E888&gt;=INDEX(TblClusters[Fermeture retenue],$B888),1,0),0))</f>
        <v>0</v>
      </c>
    </row>
    <row r="889" spans="1:35" x14ac:dyDescent="0.2">
      <c r="A889" s="19">
        <v>884</v>
      </c>
      <c r="B889" s="19">
        <f t="shared" si="221"/>
        <v>25</v>
      </c>
      <c r="C889" s="19">
        <f t="shared" si="222"/>
        <v>20</v>
      </c>
      <c r="D889" s="19">
        <f>IF($C889&gt;p_horizon,0,IFERROR(IF(AND(INDEX(TblClusters[Cluster],$B889)&lt;&gt;"",ISNUMBER(INDEX(TblClusters[CPU initial (vCPU)],$B889)),ISNUMBER(INDEX(TblClusters[CPU min (vCPU)],$B889)),OR(INDEX(TblClusters[Plateforme],$B889)="IKS",INDEX(TblClusters[Plateforme],$B889)="ROKS")),1,0),0))</f>
        <v>1</v>
      </c>
      <c r="E889" s="72">
        <f t="shared" si="223"/>
        <v>46874</v>
      </c>
      <c r="F889" s="19" t="str">
        <f>IF($D889=1,INDEX(TblClusters[Cluster],$B889),"")</f>
        <v>ku002i000565</v>
      </c>
      <c r="G889" s="19" t="str">
        <f>IF($D889=1,INDEX(TblClusters[Plateforme],$B889),"")</f>
        <v>IKS</v>
      </c>
      <c r="H889" s="19">
        <f>IF($D889=1,INDEX(TblClusters[vCPU par nœud],$B889),"")</f>
        <v>8</v>
      </c>
      <c r="I889" s="19">
        <f>IF($D889=1,INDEX(TblClusters[RAM par nœud (Go)],$B889),"")</f>
        <v>32</v>
      </c>
      <c r="J889" s="19">
        <f>IF($D889=1,INDEX(TblClusters[Workers min],$B889),"")</f>
        <v>3</v>
      </c>
      <c r="K889" s="73">
        <f>IF($D889=1,INDEX(TblClusters[Tarif par nœud],$B889),"")</f>
        <v>266</v>
      </c>
      <c r="L889" s="19">
        <f>IF($D889=1,INDEX(TblClusters[CPU initial (vCPU)],$B889),"")</f>
        <v>48</v>
      </c>
      <c r="M889" s="19">
        <f>IF($D889=1,INDEX(TblClusters[RAM initiale (Go)],$B889),"")</f>
        <v>192</v>
      </c>
      <c r="N889" s="19">
        <f>IF($D889=1,INDEX(TblClusters[CPU min (vCPU)],$B889),"")</f>
        <v>24</v>
      </c>
      <c r="O889" s="19">
        <f>IF($D889=1,INDEX(TblClusters[RAM min (Go)],$B889),"")</f>
        <v>96</v>
      </c>
      <c r="P889" s="19">
        <f>IF($D889&lt;&gt;1,"",IF($G889="ROKS",SUMIFS(TblApplications[Besoin ROKS CPU (vCPU)],TblApplications[Cluster ROKS cible],$F889,TblApplications[Action],"À migrer",TblApplications[Déjà incluse ROKS],"Non",TblApplications[Mois prov (calc)],"&lt;="&amp;$E889),SUMIFS(TblApplications[CPU IKS libérable (vCPU)],TblApplications[Cluster IKS source],$F889,TblApplications[Mois lib (calc)],"&lt;="&amp;$E889)))</f>
        <v>0</v>
      </c>
      <c r="Q889" s="19">
        <f>IF($D889&lt;&gt;1,"",IF($G889="ROKS",SUMIFS(TblApplications[Besoin ROKS RAM (Go)],TblApplications[Cluster ROKS cible],$F889,TblApplications[Action],"À migrer",TblApplications[Déjà incluse ROKS],"Non",TblApplications[Mois prov (calc)],"&lt;="&amp;$E889),SUMIFS(TblApplications[RAM IKS libérable (Go)],TblApplications[Cluster IKS source],$F889,TblApplications[Mois lib (calc)],"&lt;="&amp;$E889)))</f>
        <v>0</v>
      </c>
      <c r="R889" s="19">
        <f t="shared" si="224"/>
        <v>48</v>
      </c>
      <c r="S889" s="19">
        <f t="shared" si="225"/>
        <v>192</v>
      </c>
      <c r="T889" s="19">
        <f t="shared" si="226"/>
        <v>6</v>
      </c>
      <c r="U889" s="19">
        <f t="shared" si="227"/>
        <v>48</v>
      </c>
      <c r="V889" s="19">
        <f t="shared" si="228"/>
        <v>192</v>
      </c>
      <c r="W889" s="73">
        <f t="shared" si="229"/>
        <v>1596</v>
      </c>
      <c r="X889" s="19">
        <f>IF($D889&lt;&gt;1,"",IF($G889="ROKS",$R889,IF($AI889=1,0,MAX($N889,$L889-SUMIFS(TblApplications[CPU IKS libérable (vCPU)],TblApplications[Cluster IKS source],$F889,TblApplications[Action],"À migrer",TblApplications[Mois prov (calc)],"&lt;="&amp;$E889)-SUMIFS(TblApplications[CPU IKS libérable (vCPU)],TblApplications[Cluster IKS source],$F889,TblApplications[Action],"À décommissionner",TblApplications[Mois lib (calc)],"&lt;="&amp;$E889)))))</f>
        <v>48</v>
      </c>
      <c r="Y889" s="19">
        <f>IF($D889&lt;&gt;1,"",IF($G889="ROKS",$S889,IF($AI889=1,0,MAX($O889,$M889-SUMIFS(TblApplications[RAM IKS libérable (Go)],TblApplications[Cluster IKS source],$F889,TblApplications[Action],"À migrer",TblApplications[Mois prov (calc)],"&lt;="&amp;$E889)-SUMIFS(TblApplications[RAM IKS libérable (Go)],TblApplications[Cluster IKS source],$F889,TblApplications[Action],"À décommissionner",TblApplications[Mois lib (calc)],"&lt;="&amp;$E889)))))</f>
        <v>192</v>
      </c>
      <c r="Z889" s="19">
        <f t="shared" si="230"/>
        <v>6</v>
      </c>
      <c r="AA889" s="73">
        <f t="shared" si="231"/>
        <v>1596</v>
      </c>
      <c r="AB889" s="19">
        <f t="shared" si="232"/>
        <v>6</v>
      </c>
      <c r="AC889" s="73">
        <f t="shared" si="233"/>
        <v>1596</v>
      </c>
      <c r="AD889" s="19">
        <f t="shared" si="234"/>
        <v>0</v>
      </c>
      <c r="AE889" s="19">
        <f t="shared" si="235"/>
        <v>0</v>
      </c>
      <c r="AF889" s="19" t="str">
        <f>IF($D889&lt;&gt;1,"",IF(INDEX(TblClusters[Environnement],$B889)="","(vide)",INDEX(TblClusters[Environnement],$B889)))</f>
        <v>PRD</v>
      </c>
      <c r="AG889" s="19">
        <f t="shared" si="236"/>
        <v>67.2</v>
      </c>
      <c r="AH889" s="19">
        <f t="shared" si="237"/>
        <v>23.75</v>
      </c>
      <c r="AI889" s="19">
        <f>IF($D889&lt;&gt;1,"",IF(AND($G889="IKS",ISNUMBER(INDEX(TblClusters[Fermeture retenue],$B889))),IF($E889&gt;=INDEX(TblClusters[Fermeture retenue],$B889),1,0),0))</f>
        <v>0</v>
      </c>
    </row>
    <row r="890" spans="1:35" x14ac:dyDescent="0.2">
      <c r="A890" s="19">
        <v>885</v>
      </c>
      <c r="B890" s="19">
        <f t="shared" si="221"/>
        <v>25</v>
      </c>
      <c r="C890" s="19">
        <f t="shared" si="222"/>
        <v>21</v>
      </c>
      <c r="D890" s="19">
        <f>IF($C890&gt;p_horizon,0,IFERROR(IF(AND(INDEX(TblClusters[Cluster],$B890)&lt;&gt;"",ISNUMBER(INDEX(TblClusters[CPU initial (vCPU)],$B890)),ISNUMBER(INDEX(TblClusters[CPU min (vCPU)],$B890)),OR(INDEX(TblClusters[Plateforme],$B890)="IKS",INDEX(TblClusters[Plateforme],$B890)="ROKS")),1,0),0))</f>
        <v>1</v>
      </c>
      <c r="E890" s="72">
        <f t="shared" si="223"/>
        <v>46905</v>
      </c>
      <c r="F890" s="19" t="str">
        <f>IF($D890=1,INDEX(TblClusters[Cluster],$B890),"")</f>
        <v>ku002i000565</v>
      </c>
      <c r="G890" s="19" t="str">
        <f>IF($D890=1,INDEX(TblClusters[Plateforme],$B890),"")</f>
        <v>IKS</v>
      </c>
      <c r="H890" s="19">
        <f>IF($D890=1,INDEX(TblClusters[vCPU par nœud],$B890),"")</f>
        <v>8</v>
      </c>
      <c r="I890" s="19">
        <f>IF($D890=1,INDEX(TblClusters[RAM par nœud (Go)],$B890),"")</f>
        <v>32</v>
      </c>
      <c r="J890" s="19">
        <f>IF($D890=1,INDEX(TblClusters[Workers min],$B890),"")</f>
        <v>3</v>
      </c>
      <c r="K890" s="73">
        <f>IF($D890=1,INDEX(TblClusters[Tarif par nœud],$B890),"")</f>
        <v>266</v>
      </c>
      <c r="L890" s="19">
        <f>IF($D890=1,INDEX(TblClusters[CPU initial (vCPU)],$B890),"")</f>
        <v>48</v>
      </c>
      <c r="M890" s="19">
        <f>IF($D890=1,INDEX(TblClusters[RAM initiale (Go)],$B890),"")</f>
        <v>192</v>
      </c>
      <c r="N890" s="19">
        <f>IF($D890=1,INDEX(TblClusters[CPU min (vCPU)],$B890),"")</f>
        <v>24</v>
      </c>
      <c r="O890" s="19">
        <f>IF($D890=1,INDEX(TblClusters[RAM min (Go)],$B890),"")</f>
        <v>96</v>
      </c>
      <c r="P890" s="19">
        <f>IF($D890&lt;&gt;1,"",IF($G890="ROKS",SUMIFS(TblApplications[Besoin ROKS CPU (vCPU)],TblApplications[Cluster ROKS cible],$F890,TblApplications[Action],"À migrer",TblApplications[Déjà incluse ROKS],"Non",TblApplications[Mois prov (calc)],"&lt;="&amp;$E890),SUMIFS(TblApplications[CPU IKS libérable (vCPU)],TblApplications[Cluster IKS source],$F890,TblApplications[Mois lib (calc)],"&lt;="&amp;$E890)))</f>
        <v>0</v>
      </c>
      <c r="Q890" s="19">
        <f>IF($D890&lt;&gt;1,"",IF($G890="ROKS",SUMIFS(TblApplications[Besoin ROKS RAM (Go)],TblApplications[Cluster ROKS cible],$F890,TblApplications[Action],"À migrer",TblApplications[Déjà incluse ROKS],"Non",TblApplications[Mois prov (calc)],"&lt;="&amp;$E890),SUMIFS(TblApplications[RAM IKS libérable (Go)],TblApplications[Cluster IKS source],$F890,TblApplications[Mois lib (calc)],"&lt;="&amp;$E890)))</f>
        <v>0</v>
      </c>
      <c r="R890" s="19">
        <f t="shared" si="224"/>
        <v>48</v>
      </c>
      <c r="S890" s="19">
        <f t="shared" si="225"/>
        <v>192</v>
      </c>
      <c r="T890" s="19">
        <f t="shared" si="226"/>
        <v>6</v>
      </c>
      <c r="U890" s="19">
        <f t="shared" si="227"/>
        <v>48</v>
      </c>
      <c r="V890" s="19">
        <f t="shared" si="228"/>
        <v>192</v>
      </c>
      <c r="W890" s="73">
        <f t="shared" si="229"/>
        <v>1596</v>
      </c>
      <c r="X890" s="19">
        <f>IF($D890&lt;&gt;1,"",IF($G890="ROKS",$R890,IF($AI890=1,0,MAX($N890,$L890-SUMIFS(TblApplications[CPU IKS libérable (vCPU)],TblApplications[Cluster IKS source],$F890,TblApplications[Action],"À migrer",TblApplications[Mois prov (calc)],"&lt;="&amp;$E890)-SUMIFS(TblApplications[CPU IKS libérable (vCPU)],TblApplications[Cluster IKS source],$F890,TblApplications[Action],"À décommissionner",TblApplications[Mois lib (calc)],"&lt;="&amp;$E890)))))</f>
        <v>48</v>
      </c>
      <c r="Y890" s="19">
        <f>IF($D890&lt;&gt;1,"",IF($G890="ROKS",$S890,IF($AI890=1,0,MAX($O890,$M890-SUMIFS(TblApplications[RAM IKS libérable (Go)],TblApplications[Cluster IKS source],$F890,TblApplications[Action],"À migrer",TblApplications[Mois prov (calc)],"&lt;="&amp;$E890)-SUMIFS(TblApplications[RAM IKS libérable (Go)],TblApplications[Cluster IKS source],$F890,TblApplications[Action],"À décommissionner",TblApplications[Mois lib (calc)],"&lt;="&amp;$E890)))))</f>
        <v>192</v>
      </c>
      <c r="Z890" s="19">
        <f t="shared" si="230"/>
        <v>6</v>
      </c>
      <c r="AA890" s="73">
        <f t="shared" si="231"/>
        <v>1596</v>
      </c>
      <c r="AB890" s="19">
        <f t="shared" si="232"/>
        <v>6</v>
      </c>
      <c r="AC890" s="73">
        <f t="shared" si="233"/>
        <v>1596</v>
      </c>
      <c r="AD890" s="19">
        <f t="shared" si="234"/>
        <v>0</v>
      </c>
      <c r="AE890" s="19">
        <f t="shared" si="235"/>
        <v>0</v>
      </c>
      <c r="AF890" s="19" t="str">
        <f>IF($D890&lt;&gt;1,"",IF(INDEX(TblClusters[Environnement],$B890)="","(vide)",INDEX(TblClusters[Environnement],$B890)))</f>
        <v>PRD</v>
      </c>
      <c r="AG890" s="19">
        <f t="shared" si="236"/>
        <v>67.2</v>
      </c>
      <c r="AH890" s="19">
        <f t="shared" si="237"/>
        <v>23.75</v>
      </c>
      <c r="AI890" s="19">
        <f>IF($D890&lt;&gt;1,"",IF(AND($G890="IKS",ISNUMBER(INDEX(TblClusters[Fermeture retenue],$B890))),IF($E890&gt;=INDEX(TblClusters[Fermeture retenue],$B890),1,0),0))</f>
        <v>0</v>
      </c>
    </row>
    <row r="891" spans="1:35" x14ac:dyDescent="0.2">
      <c r="A891" s="19">
        <v>886</v>
      </c>
      <c r="B891" s="19">
        <f t="shared" si="221"/>
        <v>25</v>
      </c>
      <c r="C891" s="19">
        <f t="shared" si="222"/>
        <v>22</v>
      </c>
      <c r="D891" s="19">
        <f>IF($C891&gt;p_horizon,0,IFERROR(IF(AND(INDEX(TblClusters[Cluster],$B891)&lt;&gt;"",ISNUMBER(INDEX(TblClusters[CPU initial (vCPU)],$B891)),ISNUMBER(INDEX(TblClusters[CPU min (vCPU)],$B891)),OR(INDEX(TblClusters[Plateforme],$B891)="IKS",INDEX(TblClusters[Plateforme],$B891)="ROKS")),1,0),0))</f>
        <v>1</v>
      </c>
      <c r="E891" s="72">
        <f t="shared" si="223"/>
        <v>46935</v>
      </c>
      <c r="F891" s="19" t="str">
        <f>IF($D891=1,INDEX(TblClusters[Cluster],$B891),"")</f>
        <v>ku002i000565</v>
      </c>
      <c r="G891" s="19" t="str">
        <f>IF($D891=1,INDEX(TblClusters[Plateforme],$B891),"")</f>
        <v>IKS</v>
      </c>
      <c r="H891" s="19">
        <f>IF($D891=1,INDEX(TblClusters[vCPU par nœud],$B891),"")</f>
        <v>8</v>
      </c>
      <c r="I891" s="19">
        <f>IF($D891=1,INDEX(TblClusters[RAM par nœud (Go)],$B891),"")</f>
        <v>32</v>
      </c>
      <c r="J891" s="19">
        <f>IF($D891=1,INDEX(TblClusters[Workers min],$B891),"")</f>
        <v>3</v>
      </c>
      <c r="K891" s="73">
        <f>IF($D891=1,INDEX(TblClusters[Tarif par nœud],$B891),"")</f>
        <v>266</v>
      </c>
      <c r="L891" s="19">
        <f>IF($D891=1,INDEX(TblClusters[CPU initial (vCPU)],$B891),"")</f>
        <v>48</v>
      </c>
      <c r="M891" s="19">
        <f>IF($D891=1,INDEX(TblClusters[RAM initiale (Go)],$B891),"")</f>
        <v>192</v>
      </c>
      <c r="N891" s="19">
        <f>IF($D891=1,INDEX(TblClusters[CPU min (vCPU)],$B891),"")</f>
        <v>24</v>
      </c>
      <c r="O891" s="19">
        <f>IF($D891=1,INDEX(TblClusters[RAM min (Go)],$B891),"")</f>
        <v>96</v>
      </c>
      <c r="P891" s="19">
        <f>IF($D891&lt;&gt;1,"",IF($G891="ROKS",SUMIFS(TblApplications[Besoin ROKS CPU (vCPU)],TblApplications[Cluster ROKS cible],$F891,TblApplications[Action],"À migrer",TblApplications[Déjà incluse ROKS],"Non",TblApplications[Mois prov (calc)],"&lt;="&amp;$E891),SUMIFS(TblApplications[CPU IKS libérable (vCPU)],TblApplications[Cluster IKS source],$F891,TblApplications[Mois lib (calc)],"&lt;="&amp;$E891)))</f>
        <v>0</v>
      </c>
      <c r="Q891" s="19">
        <f>IF($D891&lt;&gt;1,"",IF($G891="ROKS",SUMIFS(TblApplications[Besoin ROKS RAM (Go)],TblApplications[Cluster ROKS cible],$F891,TblApplications[Action],"À migrer",TblApplications[Déjà incluse ROKS],"Non",TblApplications[Mois prov (calc)],"&lt;="&amp;$E891),SUMIFS(TblApplications[RAM IKS libérable (Go)],TblApplications[Cluster IKS source],$F891,TblApplications[Mois lib (calc)],"&lt;="&amp;$E891)))</f>
        <v>0</v>
      </c>
      <c r="R891" s="19">
        <f t="shared" si="224"/>
        <v>48</v>
      </c>
      <c r="S891" s="19">
        <f t="shared" si="225"/>
        <v>192</v>
      </c>
      <c r="T891" s="19">
        <f t="shared" si="226"/>
        <v>6</v>
      </c>
      <c r="U891" s="19">
        <f t="shared" si="227"/>
        <v>48</v>
      </c>
      <c r="V891" s="19">
        <f t="shared" si="228"/>
        <v>192</v>
      </c>
      <c r="W891" s="73">
        <f t="shared" si="229"/>
        <v>1596</v>
      </c>
      <c r="X891" s="19">
        <f>IF($D891&lt;&gt;1,"",IF($G891="ROKS",$R891,IF($AI891=1,0,MAX($N891,$L891-SUMIFS(TblApplications[CPU IKS libérable (vCPU)],TblApplications[Cluster IKS source],$F891,TblApplications[Action],"À migrer",TblApplications[Mois prov (calc)],"&lt;="&amp;$E891)-SUMIFS(TblApplications[CPU IKS libérable (vCPU)],TblApplications[Cluster IKS source],$F891,TblApplications[Action],"À décommissionner",TblApplications[Mois lib (calc)],"&lt;="&amp;$E891)))))</f>
        <v>48</v>
      </c>
      <c r="Y891" s="19">
        <f>IF($D891&lt;&gt;1,"",IF($G891="ROKS",$S891,IF($AI891=1,0,MAX($O891,$M891-SUMIFS(TblApplications[RAM IKS libérable (Go)],TblApplications[Cluster IKS source],$F891,TblApplications[Action],"À migrer",TblApplications[Mois prov (calc)],"&lt;="&amp;$E891)-SUMIFS(TblApplications[RAM IKS libérable (Go)],TblApplications[Cluster IKS source],$F891,TblApplications[Action],"À décommissionner",TblApplications[Mois lib (calc)],"&lt;="&amp;$E891)))))</f>
        <v>192</v>
      </c>
      <c r="Z891" s="19">
        <f t="shared" si="230"/>
        <v>6</v>
      </c>
      <c r="AA891" s="73">
        <f t="shared" si="231"/>
        <v>1596</v>
      </c>
      <c r="AB891" s="19">
        <f t="shared" si="232"/>
        <v>6</v>
      </c>
      <c r="AC891" s="73">
        <f t="shared" si="233"/>
        <v>1596</v>
      </c>
      <c r="AD891" s="19">
        <f t="shared" si="234"/>
        <v>0</v>
      </c>
      <c r="AE891" s="19">
        <f t="shared" si="235"/>
        <v>0</v>
      </c>
      <c r="AF891" s="19" t="str">
        <f>IF($D891&lt;&gt;1,"",IF(INDEX(TblClusters[Environnement],$B891)="","(vide)",INDEX(TblClusters[Environnement],$B891)))</f>
        <v>PRD</v>
      </c>
      <c r="AG891" s="19">
        <f t="shared" si="236"/>
        <v>67.2</v>
      </c>
      <c r="AH891" s="19">
        <f t="shared" si="237"/>
        <v>23.75</v>
      </c>
      <c r="AI891" s="19">
        <f>IF($D891&lt;&gt;1,"",IF(AND($G891="IKS",ISNUMBER(INDEX(TblClusters[Fermeture retenue],$B891))),IF($E891&gt;=INDEX(TblClusters[Fermeture retenue],$B891),1,0),0))</f>
        <v>0</v>
      </c>
    </row>
    <row r="892" spans="1:35" x14ac:dyDescent="0.2">
      <c r="A892" s="19">
        <v>887</v>
      </c>
      <c r="B892" s="19">
        <f t="shared" si="221"/>
        <v>25</v>
      </c>
      <c r="C892" s="19">
        <f t="shared" si="222"/>
        <v>23</v>
      </c>
      <c r="D892" s="19">
        <f>IF($C892&gt;p_horizon,0,IFERROR(IF(AND(INDEX(TblClusters[Cluster],$B892)&lt;&gt;"",ISNUMBER(INDEX(TblClusters[CPU initial (vCPU)],$B892)),ISNUMBER(INDEX(TblClusters[CPU min (vCPU)],$B892)),OR(INDEX(TblClusters[Plateforme],$B892)="IKS",INDEX(TblClusters[Plateforme],$B892)="ROKS")),1,0),0))</f>
        <v>1</v>
      </c>
      <c r="E892" s="72">
        <f t="shared" si="223"/>
        <v>46966</v>
      </c>
      <c r="F892" s="19" t="str">
        <f>IF($D892=1,INDEX(TblClusters[Cluster],$B892),"")</f>
        <v>ku002i000565</v>
      </c>
      <c r="G892" s="19" t="str">
        <f>IF($D892=1,INDEX(TblClusters[Plateforme],$B892),"")</f>
        <v>IKS</v>
      </c>
      <c r="H892" s="19">
        <f>IF($D892=1,INDEX(TblClusters[vCPU par nœud],$B892),"")</f>
        <v>8</v>
      </c>
      <c r="I892" s="19">
        <f>IF($D892=1,INDEX(TblClusters[RAM par nœud (Go)],$B892),"")</f>
        <v>32</v>
      </c>
      <c r="J892" s="19">
        <f>IF($D892=1,INDEX(TblClusters[Workers min],$B892),"")</f>
        <v>3</v>
      </c>
      <c r="K892" s="73">
        <f>IF($D892=1,INDEX(TblClusters[Tarif par nœud],$B892),"")</f>
        <v>266</v>
      </c>
      <c r="L892" s="19">
        <f>IF($D892=1,INDEX(TblClusters[CPU initial (vCPU)],$B892),"")</f>
        <v>48</v>
      </c>
      <c r="M892" s="19">
        <f>IF($D892=1,INDEX(TblClusters[RAM initiale (Go)],$B892),"")</f>
        <v>192</v>
      </c>
      <c r="N892" s="19">
        <f>IF($D892=1,INDEX(TblClusters[CPU min (vCPU)],$B892),"")</f>
        <v>24</v>
      </c>
      <c r="O892" s="19">
        <f>IF($D892=1,INDEX(TblClusters[RAM min (Go)],$B892),"")</f>
        <v>96</v>
      </c>
      <c r="P892" s="19">
        <f>IF($D892&lt;&gt;1,"",IF($G892="ROKS",SUMIFS(TblApplications[Besoin ROKS CPU (vCPU)],TblApplications[Cluster ROKS cible],$F892,TblApplications[Action],"À migrer",TblApplications[Déjà incluse ROKS],"Non",TblApplications[Mois prov (calc)],"&lt;="&amp;$E892),SUMIFS(TblApplications[CPU IKS libérable (vCPU)],TblApplications[Cluster IKS source],$F892,TblApplications[Mois lib (calc)],"&lt;="&amp;$E892)))</f>
        <v>0</v>
      </c>
      <c r="Q892" s="19">
        <f>IF($D892&lt;&gt;1,"",IF($G892="ROKS",SUMIFS(TblApplications[Besoin ROKS RAM (Go)],TblApplications[Cluster ROKS cible],$F892,TblApplications[Action],"À migrer",TblApplications[Déjà incluse ROKS],"Non",TblApplications[Mois prov (calc)],"&lt;="&amp;$E892),SUMIFS(TblApplications[RAM IKS libérable (Go)],TblApplications[Cluster IKS source],$F892,TblApplications[Mois lib (calc)],"&lt;="&amp;$E892)))</f>
        <v>0</v>
      </c>
      <c r="R892" s="19">
        <f t="shared" si="224"/>
        <v>48</v>
      </c>
      <c r="S892" s="19">
        <f t="shared" si="225"/>
        <v>192</v>
      </c>
      <c r="T892" s="19">
        <f t="shared" si="226"/>
        <v>6</v>
      </c>
      <c r="U892" s="19">
        <f t="shared" si="227"/>
        <v>48</v>
      </c>
      <c r="V892" s="19">
        <f t="shared" si="228"/>
        <v>192</v>
      </c>
      <c r="W892" s="73">
        <f t="shared" si="229"/>
        <v>1596</v>
      </c>
      <c r="X892" s="19">
        <f>IF($D892&lt;&gt;1,"",IF($G892="ROKS",$R892,IF($AI892=1,0,MAX($N892,$L892-SUMIFS(TblApplications[CPU IKS libérable (vCPU)],TblApplications[Cluster IKS source],$F892,TblApplications[Action],"À migrer",TblApplications[Mois prov (calc)],"&lt;="&amp;$E892)-SUMIFS(TblApplications[CPU IKS libérable (vCPU)],TblApplications[Cluster IKS source],$F892,TblApplications[Action],"À décommissionner",TblApplications[Mois lib (calc)],"&lt;="&amp;$E892)))))</f>
        <v>48</v>
      </c>
      <c r="Y892" s="19">
        <f>IF($D892&lt;&gt;1,"",IF($G892="ROKS",$S892,IF($AI892=1,0,MAX($O892,$M892-SUMIFS(TblApplications[RAM IKS libérable (Go)],TblApplications[Cluster IKS source],$F892,TblApplications[Action],"À migrer",TblApplications[Mois prov (calc)],"&lt;="&amp;$E892)-SUMIFS(TblApplications[RAM IKS libérable (Go)],TblApplications[Cluster IKS source],$F892,TblApplications[Action],"À décommissionner",TblApplications[Mois lib (calc)],"&lt;="&amp;$E892)))))</f>
        <v>192</v>
      </c>
      <c r="Z892" s="19">
        <f t="shared" si="230"/>
        <v>6</v>
      </c>
      <c r="AA892" s="73">
        <f t="shared" si="231"/>
        <v>1596</v>
      </c>
      <c r="AB892" s="19">
        <f t="shared" si="232"/>
        <v>6</v>
      </c>
      <c r="AC892" s="73">
        <f t="shared" si="233"/>
        <v>1596</v>
      </c>
      <c r="AD892" s="19">
        <f t="shared" si="234"/>
        <v>0</v>
      </c>
      <c r="AE892" s="19">
        <f t="shared" si="235"/>
        <v>0</v>
      </c>
      <c r="AF892" s="19" t="str">
        <f>IF($D892&lt;&gt;1,"",IF(INDEX(TblClusters[Environnement],$B892)="","(vide)",INDEX(TblClusters[Environnement],$B892)))</f>
        <v>PRD</v>
      </c>
      <c r="AG892" s="19">
        <f t="shared" si="236"/>
        <v>67.2</v>
      </c>
      <c r="AH892" s="19">
        <f t="shared" si="237"/>
        <v>23.75</v>
      </c>
      <c r="AI892" s="19">
        <f>IF($D892&lt;&gt;1,"",IF(AND($G892="IKS",ISNUMBER(INDEX(TblClusters[Fermeture retenue],$B892))),IF($E892&gt;=INDEX(TblClusters[Fermeture retenue],$B892),1,0),0))</f>
        <v>0</v>
      </c>
    </row>
    <row r="893" spans="1:35" x14ac:dyDescent="0.2">
      <c r="A893" s="19">
        <v>888</v>
      </c>
      <c r="B893" s="19">
        <f t="shared" si="221"/>
        <v>25</v>
      </c>
      <c r="C893" s="19">
        <f t="shared" si="222"/>
        <v>24</v>
      </c>
      <c r="D893" s="19">
        <f>IF($C893&gt;p_horizon,0,IFERROR(IF(AND(INDEX(TblClusters[Cluster],$B893)&lt;&gt;"",ISNUMBER(INDEX(TblClusters[CPU initial (vCPU)],$B893)),ISNUMBER(INDEX(TblClusters[CPU min (vCPU)],$B893)),OR(INDEX(TblClusters[Plateforme],$B893)="IKS",INDEX(TblClusters[Plateforme],$B893)="ROKS")),1,0),0))</f>
        <v>1</v>
      </c>
      <c r="E893" s="72">
        <f t="shared" si="223"/>
        <v>46997</v>
      </c>
      <c r="F893" s="19" t="str">
        <f>IF($D893=1,INDEX(TblClusters[Cluster],$B893),"")</f>
        <v>ku002i000565</v>
      </c>
      <c r="G893" s="19" t="str">
        <f>IF($D893=1,INDEX(TblClusters[Plateforme],$B893),"")</f>
        <v>IKS</v>
      </c>
      <c r="H893" s="19">
        <f>IF($D893=1,INDEX(TblClusters[vCPU par nœud],$B893),"")</f>
        <v>8</v>
      </c>
      <c r="I893" s="19">
        <f>IF($D893=1,INDEX(TblClusters[RAM par nœud (Go)],$B893),"")</f>
        <v>32</v>
      </c>
      <c r="J893" s="19">
        <f>IF($D893=1,INDEX(TblClusters[Workers min],$B893),"")</f>
        <v>3</v>
      </c>
      <c r="K893" s="73">
        <f>IF($D893=1,INDEX(TblClusters[Tarif par nœud],$B893),"")</f>
        <v>266</v>
      </c>
      <c r="L893" s="19">
        <f>IF($D893=1,INDEX(TblClusters[CPU initial (vCPU)],$B893),"")</f>
        <v>48</v>
      </c>
      <c r="M893" s="19">
        <f>IF($D893=1,INDEX(TblClusters[RAM initiale (Go)],$B893),"")</f>
        <v>192</v>
      </c>
      <c r="N893" s="19">
        <f>IF($D893=1,INDEX(TblClusters[CPU min (vCPU)],$B893),"")</f>
        <v>24</v>
      </c>
      <c r="O893" s="19">
        <f>IF($D893=1,INDEX(TblClusters[RAM min (Go)],$B893),"")</f>
        <v>96</v>
      </c>
      <c r="P893" s="19">
        <f>IF($D893&lt;&gt;1,"",IF($G893="ROKS",SUMIFS(TblApplications[Besoin ROKS CPU (vCPU)],TblApplications[Cluster ROKS cible],$F893,TblApplications[Action],"À migrer",TblApplications[Déjà incluse ROKS],"Non",TblApplications[Mois prov (calc)],"&lt;="&amp;$E893),SUMIFS(TblApplications[CPU IKS libérable (vCPU)],TblApplications[Cluster IKS source],$F893,TblApplications[Mois lib (calc)],"&lt;="&amp;$E893)))</f>
        <v>0</v>
      </c>
      <c r="Q893" s="19">
        <f>IF($D893&lt;&gt;1,"",IF($G893="ROKS",SUMIFS(TblApplications[Besoin ROKS RAM (Go)],TblApplications[Cluster ROKS cible],$F893,TblApplications[Action],"À migrer",TblApplications[Déjà incluse ROKS],"Non",TblApplications[Mois prov (calc)],"&lt;="&amp;$E893),SUMIFS(TblApplications[RAM IKS libérable (Go)],TblApplications[Cluster IKS source],$F893,TblApplications[Mois lib (calc)],"&lt;="&amp;$E893)))</f>
        <v>0</v>
      </c>
      <c r="R893" s="19">
        <f t="shared" si="224"/>
        <v>48</v>
      </c>
      <c r="S893" s="19">
        <f t="shared" si="225"/>
        <v>192</v>
      </c>
      <c r="T893" s="19">
        <f t="shared" si="226"/>
        <v>6</v>
      </c>
      <c r="U893" s="19">
        <f t="shared" si="227"/>
        <v>48</v>
      </c>
      <c r="V893" s="19">
        <f t="shared" si="228"/>
        <v>192</v>
      </c>
      <c r="W893" s="73">
        <f t="shared" si="229"/>
        <v>1596</v>
      </c>
      <c r="X893" s="19">
        <f>IF($D893&lt;&gt;1,"",IF($G893="ROKS",$R893,IF($AI893=1,0,MAX($N893,$L893-SUMIFS(TblApplications[CPU IKS libérable (vCPU)],TblApplications[Cluster IKS source],$F893,TblApplications[Action],"À migrer",TblApplications[Mois prov (calc)],"&lt;="&amp;$E893)-SUMIFS(TblApplications[CPU IKS libérable (vCPU)],TblApplications[Cluster IKS source],$F893,TblApplications[Action],"À décommissionner",TblApplications[Mois lib (calc)],"&lt;="&amp;$E893)))))</f>
        <v>48</v>
      </c>
      <c r="Y893" s="19">
        <f>IF($D893&lt;&gt;1,"",IF($G893="ROKS",$S893,IF($AI893=1,0,MAX($O893,$M893-SUMIFS(TblApplications[RAM IKS libérable (Go)],TblApplications[Cluster IKS source],$F893,TblApplications[Action],"À migrer",TblApplications[Mois prov (calc)],"&lt;="&amp;$E893)-SUMIFS(TblApplications[RAM IKS libérable (Go)],TblApplications[Cluster IKS source],$F893,TblApplications[Action],"À décommissionner",TblApplications[Mois lib (calc)],"&lt;="&amp;$E893)))))</f>
        <v>192</v>
      </c>
      <c r="Z893" s="19">
        <f t="shared" si="230"/>
        <v>6</v>
      </c>
      <c r="AA893" s="73">
        <f t="shared" si="231"/>
        <v>1596</v>
      </c>
      <c r="AB893" s="19">
        <f t="shared" si="232"/>
        <v>6</v>
      </c>
      <c r="AC893" s="73">
        <f t="shared" si="233"/>
        <v>1596</v>
      </c>
      <c r="AD893" s="19">
        <f t="shared" si="234"/>
        <v>0</v>
      </c>
      <c r="AE893" s="19">
        <f t="shared" si="235"/>
        <v>0</v>
      </c>
      <c r="AF893" s="19" t="str">
        <f>IF($D893&lt;&gt;1,"",IF(INDEX(TblClusters[Environnement],$B893)="","(vide)",INDEX(TblClusters[Environnement],$B893)))</f>
        <v>PRD</v>
      </c>
      <c r="AG893" s="19">
        <f t="shared" si="236"/>
        <v>67.2</v>
      </c>
      <c r="AH893" s="19">
        <f t="shared" si="237"/>
        <v>23.75</v>
      </c>
      <c r="AI893" s="19">
        <f>IF($D893&lt;&gt;1,"",IF(AND($G893="IKS",ISNUMBER(INDEX(TblClusters[Fermeture retenue],$B893))),IF($E893&gt;=INDEX(TblClusters[Fermeture retenue],$B893),1,0),0))</f>
        <v>0</v>
      </c>
    </row>
    <row r="894" spans="1:35" x14ac:dyDescent="0.2">
      <c r="A894" s="19">
        <v>889</v>
      </c>
      <c r="B894" s="19">
        <f t="shared" si="221"/>
        <v>25</v>
      </c>
      <c r="C894" s="19">
        <f t="shared" si="222"/>
        <v>25</v>
      </c>
      <c r="D894" s="19">
        <f>IF($C894&gt;p_horizon,0,IFERROR(IF(AND(INDEX(TblClusters[Cluster],$B894)&lt;&gt;"",ISNUMBER(INDEX(TblClusters[CPU initial (vCPU)],$B894)),ISNUMBER(INDEX(TblClusters[CPU min (vCPU)],$B894)),OR(INDEX(TblClusters[Plateforme],$B894)="IKS",INDEX(TblClusters[Plateforme],$B894)="ROKS")),1,0),0))</f>
        <v>1</v>
      </c>
      <c r="E894" s="72">
        <f t="shared" si="223"/>
        <v>47027</v>
      </c>
      <c r="F894" s="19" t="str">
        <f>IF($D894=1,INDEX(TblClusters[Cluster],$B894),"")</f>
        <v>ku002i000565</v>
      </c>
      <c r="G894" s="19" t="str">
        <f>IF($D894=1,INDEX(TblClusters[Plateforme],$B894),"")</f>
        <v>IKS</v>
      </c>
      <c r="H894" s="19">
        <f>IF($D894=1,INDEX(TblClusters[vCPU par nœud],$B894),"")</f>
        <v>8</v>
      </c>
      <c r="I894" s="19">
        <f>IF($D894=1,INDEX(TblClusters[RAM par nœud (Go)],$B894),"")</f>
        <v>32</v>
      </c>
      <c r="J894" s="19">
        <f>IF($D894=1,INDEX(TblClusters[Workers min],$B894),"")</f>
        <v>3</v>
      </c>
      <c r="K894" s="73">
        <f>IF($D894=1,INDEX(TblClusters[Tarif par nœud],$B894),"")</f>
        <v>266</v>
      </c>
      <c r="L894" s="19">
        <f>IF($D894=1,INDEX(TblClusters[CPU initial (vCPU)],$B894),"")</f>
        <v>48</v>
      </c>
      <c r="M894" s="19">
        <f>IF($D894=1,INDEX(TblClusters[RAM initiale (Go)],$B894),"")</f>
        <v>192</v>
      </c>
      <c r="N894" s="19">
        <f>IF($D894=1,INDEX(TblClusters[CPU min (vCPU)],$B894),"")</f>
        <v>24</v>
      </c>
      <c r="O894" s="19">
        <f>IF($D894=1,INDEX(TblClusters[RAM min (Go)],$B894),"")</f>
        <v>96</v>
      </c>
      <c r="P894" s="19">
        <f>IF($D894&lt;&gt;1,"",IF($G894="ROKS",SUMIFS(TblApplications[Besoin ROKS CPU (vCPU)],TblApplications[Cluster ROKS cible],$F894,TblApplications[Action],"À migrer",TblApplications[Déjà incluse ROKS],"Non",TblApplications[Mois prov (calc)],"&lt;="&amp;$E894),SUMIFS(TblApplications[CPU IKS libérable (vCPU)],TblApplications[Cluster IKS source],$F894,TblApplications[Mois lib (calc)],"&lt;="&amp;$E894)))</f>
        <v>0</v>
      </c>
      <c r="Q894" s="19">
        <f>IF($D894&lt;&gt;1,"",IF($G894="ROKS",SUMIFS(TblApplications[Besoin ROKS RAM (Go)],TblApplications[Cluster ROKS cible],$F894,TblApplications[Action],"À migrer",TblApplications[Déjà incluse ROKS],"Non",TblApplications[Mois prov (calc)],"&lt;="&amp;$E894),SUMIFS(TblApplications[RAM IKS libérable (Go)],TblApplications[Cluster IKS source],$F894,TblApplications[Mois lib (calc)],"&lt;="&amp;$E894)))</f>
        <v>0</v>
      </c>
      <c r="R894" s="19">
        <f t="shared" si="224"/>
        <v>48</v>
      </c>
      <c r="S894" s="19">
        <f t="shared" si="225"/>
        <v>192</v>
      </c>
      <c r="T894" s="19">
        <f t="shared" si="226"/>
        <v>6</v>
      </c>
      <c r="U894" s="19">
        <f t="shared" si="227"/>
        <v>48</v>
      </c>
      <c r="V894" s="19">
        <f t="shared" si="228"/>
        <v>192</v>
      </c>
      <c r="W894" s="73">
        <f t="shared" si="229"/>
        <v>1596</v>
      </c>
      <c r="X894" s="19">
        <f>IF($D894&lt;&gt;1,"",IF($G894="ROKS",$R894,IF($AI894=1,0,MAX($N894,$L894-SUMIFS(TblApplications[CPU IKS libérable (vCPU)],TblApplications[Cluster IKS source],$F894,TblApplications[Action],"À migrer",TblApplications[Mois prov (calc)],"&lt;="&amp;$E894)-SUMIFS(TblApplications[CPU IKS libérable (vCPU)],TblApplications[Cluster IKS source],$F894,TblApplications[Action],"À décommissionner",TblApplications[Mois lib (calc)],"&lt;="&amp;$E894)))))</f>
        <v>48</v>
      </c>
      <c r="Y894" s="19">
        <f>IF($D894&lt;&gt;1,"",IF($G894="ROKS",$S894,IF($AI894=1,0,MAX($O894,$M894-SUMIFS(TblApplications[RAM IKS libérable (Go)],TblApplications[Cluster IKS source],$F894,TblApplications[Action],"À migrer",TblApplications[Mois prov (calc)],"&lt;="&amp;$E894)-SUMIFS(TblApplications[RAM IKS libérable (Go)],TblApplications[Cluster IKS source],$F894,TblApplications[Action],"À décommissionner",TblApplications[Mois lib (calc)],"&lt;="&amp;$E894)))))</f>
        <v>192</v>
      </c>
      <c r="Z894" s="19">
        <f t="shared" si="230"/>
        <v>6</v>
      </c>
      <c r="AA894" s="73">
        <f t="shared" si="231"/>
        <v>1596</v>
      </c>
      <c r="AB894" s="19">
        <f t="shared" si="232"/>
        <v>6</v>
      </c>
      <c r="AC894" s="73">
        <f t="shared" si="233"/>
        <v>1596</v>
      </c>
      <c r="AD894" s="19">
        <f t="shared" si="234"/>
        <v>0</v>
      </c>
      <c r="AE894" s="19">
        <f t="shared" si="235"/>
        <v>0</v>
      </c>
      <c r="AF894" s="19" t="str">
        <f>IF($D894&lt;&gt;1,"",IF(INDEX(TblClusters[Environnement],$B894)="","(vide)",INDEX(TblClusters[Environnement],$B894)))</f>
        <v>PRD</v>
      </c>
      <c r="AG894" s="19">
        <f t="shared" si="236"/>
        <v>67.2</v>
      </c>
      <c r="AH894" s="19">
        <f t="shared" si="237"/>
        <v>23.75</v>
      </c>
      <c r="AI894" s="19">
        <f>IF($D894&lt;&gt;1,"",IF(AND($G894="IKS",ISNUMBER(INDEX(TblClusters[Fermeture retenue],$B894))),IF($E894&gt;=INDEX(TblClusters[Fermeture retenue],$B894),1,0),0))</f>
        <v>0</v>
      </c>
    </row>
    <row r="895" spans="1:35" x14ac:dyDescent="0.2">
      <c r="A895" s="19">
        <v>890</v>
      </c>
      <c r="B895" s="19">
        <f t="shared" si="221"/>
        <v>25</v>
      </c>
      <c r="C895" s="19">
        <f t="shared" si="222"/>
        <v>26</v>
      </c>
      <c r="D895" s="19">
        <f>IF($C895&gt;p_horizon,0,IFERROR(IF(AND(INDEX(TblClusters[Cluster],$B895)&lt;&gt;"",ISNUMBER(INDEX(TblClusters[CPU initial (vCPU)],$B895)),ISNUMBER(INDEX(TblClusters[CPU min (vCPU)],$B895)),OR(INDEX(TblClusters[Plateforme],$B895)="IKS",INDEX(TblClusters[Plateforme],$B895)="ROKS")),1,0),0))</f>
        <v>1</v>
      </c>
      <c r="E895" s="72">
        <f t="shared" si="223"/>
        <v>47058</v>
      </c>
      <c r="F895" s="19" t="str">
        <f>IF($D895=1,INDEX(TblClusters[Cluster],$B895),"")</f>
        <v>ku002i000565</v>
      </c>
      <c r="G895" s="19" t="str">
        <f>IF($D895=1,INDEX(TblClusters[Plateforme],$B895),"")</f>
        <v>IKS</v>
      </c>
      <c r="H895" s="19">
        <f>IF($D895=1,INDEX(TblClusters[vCPU par nœud],$B895),"")</f>
        <v>8</v>
      </c>
      <c r="I895" s="19">
        <f>IF($D895=1,INDEX(TblClusters[RAM par nœud (Go)],$B895),"")</f>
        <v>32</v>
      </c>
      <c r="J895" s="19">
        <f>IF($D895=1,INDEX(TblClusters[Workers min],$B895),"")</f>
        <v>3</v>
      </c>
      <c r="K895" s="73">
        <f>IF($D895=1,INDEX(TblClusters[Tarif par nœud],$B895),"")</f>
        <v>266</v>
      </c>
      <c r="L895" s="19">
        <f>IF($D895=1,INDEX(TblClusters[CPU initial (vCPU)],$B895),"")</f>
        <v>48</v>
      </c>
      <c r="M895" s="19">
        <f>IF($D895=1,INDEX(TblClusters[RAM initiale (Go)],$B895),"")</f>
        <v>192</v>
      </c>
      <c r="N895" s="19">
        <f>IF($D895=1,INDEX(TblClusters[CPU min (vCPU)],$B895),"")</f>
        <v>24</v>
      </c>
      <c r="O895" s="19">
        <f>IF($D895=1,INDEX(TblClusters[RAM min (Go)],$B895),"")</f>
        <v>96</v>
      </c>
      <c r="P895" s="19">
        <f>IF($D895&lt;&gt;1,"",IF($G895="ROKS",SUMIFS(TblApplications[Besoin ROKS CPU (vCPU)],TblApplications[Cluster ROKS cible],$F895,TblApplications[Action],"À migrer",TblApplications[Déjà incluse ROKS],"Non",TblApplications[Mois prov (calc)],"&lt;="&amp;$E895),SUMIFS(TblApplications[CPU IKS libérable (vCPU)],TblApplications[Cluster IKS source],$F895,TblApplications[Mois lib (calc)],"&lt;="&amp;$E895)))</f>
        <v>0</v>
      </c>
      <c r="Q895" s="19">
        <f>IF($D895&lt;&gt;1,"",IF($G895="ROKS",SUMIFS(TblApplications[Besoin ROKS RAM (Go)],TblApplications[Cluster ROKS cible],$F895,TblApplications[Action],"À migrer",TblApplications[Déjà incluse ROKS],"Non",TblApplications[Mois prov (calc)],"&lt;="&amp;$E895),SUMIFS(TblApplications[RAM IKS libérable (Go)],TblApplications[Cluster IKS source],$F895,TblApplications[Mois lib (calc)],"&lt;="&amp;$E895)))</f>
        <v>0</v>
      </c>
      <c r="R895" s="19">
        <f t="shared" si="224"/>
        <v>48</v>
      </c>
      <c r="S895" s="19">
        <f t="shared" si="225"/>
        <v>192</v>
      </c>
      <c r="T895" s="19">
        <f t="shared" si="226"/>
        <v>6</v>
      </c>
      <c r="U895" s="19">
        <f t="shared" si="227"/>
        <v>48</v>
      </c>
      <c r="V895" s="19">
        <f t="shared" si="228"/>
        <v>192</v>
      </c>
      <c r="W895" s="73">
        <f t="shared" si="229"/>
        <v>1596</v>
      </c>
      <c r="X895" s="19">
        <f>IF($D895&lt;&gt;1,"",IF($G895="ROKS",$R895,IF($AI895=1,0,MAX($N895,$L895-SUMIFS(TblApplications[CPU IKS libérable (vCPU)],TblApplications[Cluster IKS source],$F895,TblApplications[Action],"À migrer",TblApplications[Mois prov (calc)],"&lt;="&amp;$E895)-SUMIFS(TblApplications[CPU IKS libérable (vCPU)],TblApplications[Cluster IKS source],$F895,TblApplications[Action],"À décommissionner",TblApplications[Mois lib (calc)],"&lt;="&amp;$E895)))))</f>
        <v>48</v>
      </c>
      <c r="Y895" s="19">
        <f>IF($D895&lt;&gt;1,"",IF($G895="ROKS",$S895,IF($AI895=1,0,MAX($O895,$M895-SUMIFS(TblApplications[RAM IKS libérable (Go)],TblApplications[Cluster IKS source],$F895,TblApplications[Action],"À migrer",TblApplications[Mois prov (calc)],"&lt;="&amp;$E895)-SUMIFS(TblApplications[RAM IKS libérable (Go)],TblApplications[Cluster IKS source],$F895,TblApplications[Action],"À décommissionner",TblApplications[Mois lib (calc)],"&lt;="&amp;$E895)))))</f>
        <v>192</v>
      </c>
      <c r="Z895" s="19">
        <f t="shared" si="230"/>
        <v>6</v>
      </c>
      <c r="AA895" s="73">
        <f t="shared" si="231"/>
        <v>1596</v>
      </c>
      <c r="AB895" s="19">
        <f t="shared" si="232"/>
        <v>6</v>
      </c>
      <c r="AC895" s="73">
        <f t="shared" si="233"/>
        <v>1596</v>
      </c>
      <c r="AD895" s="19">
        <f t="shared" si="234"/>
        <v>0</v>
      </c>
      <c r="AE895" s="19">
        <f t="shared" si="235"/>
        <v>0</v>
      </c>
      <c r="AF895" s="19" t="str">
        <f>IF($D895&lt;&gt;1,"",IF(INDEX(TblClusters[Environnement],$B895)="","(vide)",INDEX(TblClusters[Environnement],$B895)))</f>
        <v>PRD</v>
      </c>
      <c r="AG895" s="19">
        <f t="shared" si="236"/>
        <v>67.2</v>
      </c>
      <c r="AH895" s="19">
        <f t="shared" si="237"/>
        <v>23.75</v>
      </c>
      <c r="AI895" s="19">
        <f>IF($D895&lt;&gt;1,"",IF(AND($G895="IKS",ISNUMBER(INDEX(TblClusters[Fermeture retenue],$B895))),IF($E895&gt;=INDEX(TblClusters[Fermeture retenue],$B895),1,0),0))</f>
        <v>0</v>
      </c>
    </row>
    <row r="896" spans="1:35" x14ac:dyDescent="0.2">
      <c r="A896" s="19">
        <v>891</v>
      </c>
      <c r="B896" s="19">
        <f t="shared" si="221"/>
        <v>25</v>
      </c>
      <c r="C896" s="19">
        <f t="shared" si="222"/>
        <v>27</v>
      </c>
      <c r="D896" s="19">
        <f>IF($C896&gt;p_horizon,0,IFERROR(IF(AND(INDEX(TblClusters[Cluster],$B896)&lt;&gt;"",ISNUMBER(INDEX(TblClusters[CPU initial (vCPU)],$B896)),ISNUMBER(INDEX(TblClusters[CPU min (vCPU)],$B896)),OR(INDEX(TblClusters[Plateforme],$B896)="IKS",INDEX(TblClusters[Plateforme],$B896)="ROKS")),1,0),0))</f>
        <v>1</v>
      </c>
      <c r="E896" s="72">
        <f t="shared" si="223"/>
        <v>47088</v>
      </c>
      <c r="F896" s="19" t="str">
        <f>IF($D896=1,INDEX(TblClusters[Cluster],$B896),"")</f>
        <v>ku002i000565</v>
      </c>
      <c r="G896" s="19" t="str">
        <f>IF($D896=1,INDEX(TblClusters[Plateforme],$B896),"")</f>
        <v>IKS</v>
      </c>
      <c r="H896" s="19">
        <f>IF($D896=1,INDEX(TblClusters[vCPU par nœud],$B896),"")</f>
        <v>8</v>
      </c>
      <c r="I896" s="19">
        <f>IF($D896=1,INDEX(TblClusters[RAM par nœud (Go)],$B896),"")</f>
        <v>32</v>
      </c>
      <c r="J896" s="19">
        <f>IF($D896=1,INDEX(TblClusters[Workers min],$B896),"")</f>
        <v>3</v>
      </c>
      <c r="K896" s="73">
        <f>IF($D896=1,INDEX(TblClusters[Tarif par nœud],$B896),"")</f>
        <v>266</v>
      </c>
      <c r="L896" s="19">
        <f>IF($D896=1,INDEX(TblClusters[CPU initial (vCPU)],$B896),"")</f>
        <v>48</v>
      </c>
      <c r="M896" s="19">
        <f>IF($D896=1,INDEX(TblClusters[RAM initiale (Go)],$B896),"")</f>
        <v>192</v>
      </c>
      <c r="N896" s="19">
        <f>IF($D896=1,INDEX(TblClusters[CPU min (vCPU)],$B896),"")</f>
        <v>24</v>
      </c>
      <c r="O896" s="19">
        <f>IF($D896=1,INDEX(TblClusters[RAM min (Go)],$B896),"")</f>
        <v>96</v>
      </c>
      <c r="P896" s="19">
        <f>IF($D896&lt;&gt;1,"",IF($G896="ROKS",SUMIFS(TblApplications[Besoin ROKS CPU (vCPU)],TblApplications[Cluster ROKS cible],$F896,TblApplications[Action],"À migrer",TblApplications[Déjà incluse ROKS],"Non",TblApplications[Mois prov (calc)],"&lt;="&amp;$E896),SUMIFS(TblApplications[CPU IKS libérable (vCPU)],TblApplications[Cluster IKS source],$F896,TblApplications[Mois lib (calc)],"&lt;="&amp;$E896)))</f>
        <v>0</v>
      </c>
      <c r="Q896" s="19">
        <f>IF($D896&lt;&gt;1,"",IF($G896="ROKS",SUMIFS(TblApplications[Besoin ROKS RAM (Go)],TblApplications[Cluster ROKS cible],$F896,TblApplications[Action],"À migrer",TblApplications[Déjà incluse ROKS],"Non",TblApplications[Mois prov (calc)],"&lt;="&amp;$E896),SUMIFS(TblApplications[RAM IKS libérable (Go)],TblApplications[Cluster IKS source],$F896,TblApplications[Mois lib (calc)],"&lt;="&amp;$E896)))</f>
        <v>0</v>
      </c>
      <c r="R896" s="19">
        <f t="shared" si="224"/>
        <v>48</v>
      </c>
      <c r="S896" s="19">
        <f t="shared" si="225"/>
        <v>192</v>
      </c>
      <c r="T896" s="19">
        <f t="shared" si="226"/>
        <v>6</v>
      </c>
      <c r="U896" s="19">
        <f t="shared" si="227"/>
        <v>48</v>
      </c>
      <c r="V896" s="19">
        <f t="shared" si="228"/>
        <v>192</v>
      </c>
      <c r="W896" s="73">
        <f t="shared" si="229"/>
        <v>1596</v>
      </c>
      <c r="X896" s="19">
        <f>IF($D896&lt;&gt;1,"",IF($G896="ROKS",$R896,IF($AI896=1,0,MAX($N896,$L896-SUMIFS(TblApplications[CPU IKS libérable (vCPU)],TblApplications[Cluster IKS source],$F896,TblApplications[Action],"À migrer",TblApplications[Mois prov (calc)],"&lt;="&amp;$E896)-SUMIFS(TblApplications[CPU IKS libérable (vCPU)],TblApplications[Cluster IKS source],$F896,TblApplications[Action],"À décommissionner",TblApplications[Mois lib (calc)],"&lt;="&amp;$E896)))))</f>
        <v>48</v>
      </c>
      <c r="Y896" s="19">
        <f>IF($D896&lt;&gt;1,"",IF($G896="ROKS",$S896,IF($AI896=1,0,MAX($O896,$M896-SUMIFS(TblApplications[RAM IKS libérable (Go)],TblApplications[Cluster IKS source],$F896,TblApplications[Action],"À migrer",TblApplications[Mois prov (calc)],"&lt;="&amp;$E896)-SUMIFS(TblApplications[RAM IKS libérable (Go)],TblApplications[Cluster IKS source],$F896,TblApplications[Action],"À décommissionner",TblApplications[Mois lib (calc)],"&lt;="&amp;$E896)))))</f>
        <v>192</v>
      </c>
      <c r="Z896" s="19">
        <f t="shared" si="230"/>
        <v>6</v>
      </c>
      <c r="AA896" s="73">
        <f t="shared" si="231"/>
        <v>1596</v>
      </c>
      <c r="AB896" s="19">
        <f t="shared" si="232"/>
        <v>6</v>
      </c>
      <c r="AC896" s="73">
        <f t="shared" si="233"/>
        <v>1596</v>
      </c>
      <c r="AD896" s="19">
        <f t="shared" si="234"/>
        <v>0</v>
      </c>
      <c r="AE896" s="19">
        <f t="shared" si="235"/>
        <v>0</v>
      </c>
      <c r="AF896" s="19" t="str">
        <f>IF($D896&lt;&gt;1,"",IF(INDEX(TblClusters[Environnement],$B896)="","(vide)",INDEX(TblClusters[Environnement],$B896)))</f>
        <v>PRD</v>
      </c>
      <c r="AG896" s="19">
        <f t="shared" si="236"/>
        <v>67.2</v>
      </c>
      <c r="AH896" s="19">
        <f t="shared" si="237"/>
        <v>23.75</v>
      </c>
      <c r="AI896" s="19">
        <f>IF($D896&lt;&gt;1,"",IF(AND($G896="IKS",ISNUMBER(INDEX(TblClusters[Fermeture retenue],$B896))),IF($E896&gt;=INDEX(TblClusters[Fermeture retenue],$B896),1,0),0))</f>
        <v>0</v>
      </c>
    </row>
    <row r="897" spans="1:35" x14ac:dyDescent="0.2">
      <c r="A897" s="19">
        <v>892</v>
      </c>
      <c r="B897" s="19">
        <f t="shared" si="221"/>
        <v>25</v>
      </c>
      <c r="C897" s="19">
        <f t="shared" si="222"/>
        <v>28</v>
      </c>
      <c r="D897" s="19">
        <f>IF($C897&gt;p_horizon,0,IFERROR(IF(AND(INDEX(TblClusters[Cluster],$B897)&lt;&gt;"",ISNUMBER(INDEX(TblClusters[CPU initial (vCPU)],$B897)),ISNUMBER(INDEX(TblClusters[CPU min (vCPU)],$B897)),OR(INDEX(TblClusters[Plateforme],$B897)="IKS",INDEX(TblClusters[Plateforme],$B897)="ROKS")),1,0),0))</f>
        <v>1</v>
      </c>
      <c r="E897" s="72">
        <f t="shared" si="223"/>
        <v>47119</v>
      </c>
      <c r="F897" s="19" t="str">
        <f>IF($D897=1,INDEX(TblClusters[Cluster],$B897),"")</f>
        <v>ku002i000565</v>
      </c>
      <c r="G897" s="19" t="str">
        <f>IF($D897=1,INDEX(TblClusters[Plateforme],$B897),"")</f>
        <v>IKS</v>
      </c>
      <c r="H897" s="19">
        <f>IF($D897=1,INDEX(TblClusters[vCPU par nœud],$B897),"")</f>
        <v>8</v>
      </c>
      <c r="I897" s="19">
        <f>IF($D897=1,INDEX(TblClusters[RAM par nœud (Go)],$B897),"")</f>
        <v>32</v>
      </c>
      <c r="J897" s="19">
        <f>IF($D897=1,INDEX(TblClusters[Workers min],$B897),"")</f>
        <v>3</v>
      </c>
      <c r="K897" s="73">
        <f>IF($D897=1,INDEX(TblClusters[Tarif par nœud],$B897),"")</f>
        <v>266</v>
      </c>
      <c r="L897" s="19">
        <f>IF($D897=1,INDEX(TblClusters[CPU initial (vCPU)],$B897),"")</f>
        <v>48</v>
      </c>
      <c r="M897" s="19">
        <f>IF($D897=1,INDEX(TblClusters[RAM initiale (Go)],$B897),"")</f>
        <v>192</v>
      </c>
      <c r="N897" s="19">
        <f>IF($D897=1,INDEX(TblClusters[CPU min (vCPU)],$B897),"")</f>
        <v>24</v>
      </c>
      <c r="O897" s="19">
        <f>IF($D897=1,INDEX(TblClusters[RAM min (Go)],$B897),"")</f>
        <v>96</v>
      </c>
      <c r="P897" s="19">
        <f>IF($D897&lt;&gt;1,"",IF($G897="ROKS",SUMIFS(TblApplications[Besoin ROKS CPU (vCPU)],TblApplications[Cluster ROKS cible],$F897,TblApplications[Action],"À migrer",TblApplications[Déjà incluse ROKS],"Non",TblApplications[Mois prov (calc)],"&lt;="&amp;$E897),SUMIFS(TblApplications[CPU IKS libérable (vCPU)],TblApplications[Cluster IKS source],$F897,TblApplications[Mois lib (calc)],"&lt;="&amp;$E897)))</f>
        <v>0</v>
      </c>
      <c r="Q897" s="19">
        <f>IF($D897&lt;&gt;1,"",IF($G897="ROKS",SUMIFS(TblApplications[Besoin ROKS RAM (Go)],TblApplications[Cluster ROKS cible],$F897,TblApplications[Action],"À migrer",TblApplications[Déjà incluse ROKS],"Non",TblApplications[Mois prov (calc)],"&lt;="&amp;$E897),SUMIFS(TblApplications[RAM IKS libérable (Go)],TblApplications[Cluster IKS source],$F897,TblApplications[Mois lib (calc)],"&lt;="&amp;$E897)))</f>
        <v>0</v>
      </c>
      <c r="R897" s="19">
        <f t="shared" si="224"/>
        <v>48</v>
      </c>
      <c r="S897" s="19">
        <f t="shared" si="225"/>
        <v>192</v>
      </c>
      <c r="T897" s="19">
        <f t="shared" si="226"/>
        <v>6</v>
      </c>
      <c r="U897" s="19">
        <f t="shared" si="227"/>
        <v>48</v>
      </c>
      <c r="V897" s="19">
        <f t="shared" si="228"/>
        <v>192</v>
      </c>
      <c r="W897" s="73">
        <f t="shared" si="229"/>
        <v>1596</v>
      </c>
      <c r="X897" s="19">
        <f>IF($D897&lt;&gt;1,"",IF($G897="ROKS",$R897,IF($AI897=1,0,MAX($N897,$L897-SUMIFS(TblApplications[CPU IKS libérable (vCPU)],TblApplications[Cluster IKS source],$F897,TblApplications[Action],"À migrer",TblApplications[Mois prov (calc)],"&lt;="&amp;$E897)-SUMIFS(TblApplications[CPU IKS libérable (vCPU)],TblApplications[Cluster IKS source],$F897,TblApplications[Action],"À décommissionner",TblApplications[Mois lib (calc)],"&lt;="&amp;$E897)))))</f>
        <v>48</v>
      </c>
      <c r="Y897" s="19">
        <f>IF($D897&lt;&gt;1,"",IF($G897="ROKS",$S897,IF($AI897=1,0,MAX($O897,$M897-SUMIFS(TblApplications[RAM IKS libérable (Go)],TblApplications[Cluster IKS source],$F897,TblApplications[Action],"À migrer",TblApplications[Mois prov (calc)],"&lt;="&amp;$E897)-SUMIFS(TblApplications[RAM IKS libérable (Go)],TblApplications[Cluster IKS source],$F897,TblApplications[Action],"À décommissionner",TblApplications[Mois lib (calc)],"&lt;="&amp;$E897)))))</f>
        <v>192</v>
      </c>
      <c r="Z897" s="19">
        <f t="shared" si="230"/>
        <v>6</v>
      </c>
      <c r="AA897" s="73">
        <f t="shared" si="231"/>
        <v>1596</v>
      </c>
      <c r="AB897" s="19">
        <f t="shared" si="232"/>
        <v>6</v>
      </c>
      <c r="AC897" s="73">
        <f t="shared" si="233"/>
        <v>1596</v>
      </c>
      <c r="AD897" s="19">
        <f t="shared" si="234"/>
        <v>0</v>
      </c>
      <c r="AE897" s="19">
        <f t="shared" si="235"/>
        <v>0</v>
      </c>
      <c r="AF897" s="19" t="str">
        <f>IF($D897&lt;&gt;1,"",IF(INDEX(TblClusters[Environnement],$B897)="","(vide)",INDEX(TblClusters[Environnement],$B897)))</f>
        <v>PRD</v>
      </c>
      <c r="AG897" s="19">
        <f t="shared" si="236"/>
        <v>67.2</v>
      </c>
      <c r="AH897" s="19">
        <f t="shared" si="237"/>
        <v>23.75</v>
      </c>
      <c r="AI897" s="19">
        <f>IF($D897&lt;&gt;1,"",IF(AND($G897="IKS",ISNUMBER(INDEX(TblClusters[Fermeture retenue],$B897))),IF($E897&gt;=INDEX(TblClusters[Fermeture retenue],$B897),1,0),0))</f>
        <v>0</v>
      </c>
    </row>
    <row r="898" spans="1:35" x14ac:dyDescent="0.2">
      <c r="A898" s="19">
        <v>893</v>
      </c>
      <c r="B898" s="19">
        <f t="shared" si="221"/>
        <v>25</v>
      </c>
      <c r="C898" s="19">
        <f t="shared" si="222"/>
        <v>29</v>
      </c>
      <c r="D898" s="19">
        <f>IF($C898&gt;p_horizon,0,IFERROR(IF(AND(INDEX(TblClusters[Cluster],$B898)&lt;&gt;"",ISNUMBER(INDEX(TblClusters[CPU initial (vCPU)],$B898)),ISNUMBER(INDEX(TblClusters[CPU min (vCPU)],$B898)),OR(INDEX(TblClusters[Plateforme],$B898)="IKS",INDEX(TblClusters[Plateforme],$B898)="ROKS")),1,0),0))</f>
        <v>1</v>
      </c>
      <c r="E898" s="72">
        <f t="shared" si="223"/>
        <v>47150</v>
      </c>
      <c r="F898" s="19" t="str">
        <f>IF($D898=1,INDEX(TblClusters[Cluster],$B898),"")</f>
        <v>ku002i000565</v>
      </c>
      <c r="G898" s="19" t="str">
        <f>IF($D898=1,INDEX(TblClusters[Plateforme],$B898),"")</f>
        <v>IKS</v>
      </c>
      <c r="H898" s="19">
        <f>IF($D898=1,INDEX(TblClusters[vCPU par nœud],$B898),"")</f>
        <v>8</v>
      </c>
      <c r="I898" s="19">
        <f>IF($D898=1,INDEX(TblClusters[RAM par nœud (Go)],$B898),"")</f>
        <v>32</v>
      </c>
      <c r="J898" s="19">
        <f>IF($D898=1,INDEX(TblClusters[Workers min],$B898),"")</f>
        <v>3</v>
      </c>
      <c r="K898" s="73">
        <f>IF($D898=1,INDEX(TblClusters[Tarif par nœud],$B898),"")</f>
        <v>266</v>
      </c>
      <c r="L898" s="19">
        <f>IF($D898=1,INDEX(TblClusters[CPU initial (vCPU)],$B898),"")</f>
        <v>48</v>
      </c>
      <c r="M898" s="19">
        <f>IF($D898=1,INDEX(TblClusters[RAM initiale (Go)],$B898),"")</f>
        <v>192</v>
      </c>
      <c r="N898" s="19">
        <f>IF($D898=1,INDEX(TblClusters[CPU min (vCPU)],$B898),"")</f>
        <v>24</v>
      </c>
      <c r="O898" s="19">
        <f>IF($D898=1,INDEX(TblClusters[RAM min (Go)],$B898),"")</f>
        <v>96</v>
      </c>
      <c r="P898" s="19">
        <f>IF($D898&lt;&gt;1,"",IF($G898="ROKS",SUMIFS(TblApplications[Besoin ROKS CPU (vCPU)],TblApplications[Cluster ROKS cible],$F898,TblApplications[Action],"À migrer",TblApplications[Déjà incluse ROKS],"Non",TblApplications[Mois prov (calc)],"&lt;="&amp;$E898),SUMIFS(TblApplications[CPU IKS libérable (vCPU)],TblApplications[Cluster IKS source],$F898,TblApplications[Mois lib (calc)],"&lt;="&amp;$E898)))</f>
        <v>0</v>
      </c>
      <c r="Q898" s="19">
        <f>IF($D898&lt;&gt;1,"",IF($G898="ROKS",SUMIFS(TblApplications[Besoin ROKS RAM (Go)],TblApplications[Cluster ROKS cible],$F898,TblApplications[Action],"À migrer",TblApplications[Déjà incluse ROKS],"Non",TblApplications[Mois prov (calc)],"&lt;="&amp;$E898),SUMIFS(TblApplications[RAM IKS libérable (Go)],TblApplications[Cluster IKS source],$F898,TblApplications[Mois lib (calc)],"&lt;="&amp;$E898)))</f>
        <v>0</v>
      </c>
      <c r="R898" s="19">
        <f t="shared" si="224"/>
        <v>48</v>
      </c>
      <c r="S898" s="19">
        <f t="shared" si="225"/>
        <v>192</v>
      </c>
      <c r="T898" s="19">
        <f t="shared" si="226"/>
        <v>6</v>
      </c>
      <c r="U898" s="19">
        <f t="shared" si="227"/>
        <v>48</v>
      </c>
      <c r="V898" s="19">
        <f t="shared" si="228"/>
        <v>192</v>
      </c>
      <c r="W898" s="73">
        <f t="shared" si="229"/>
        <v>1596</v>
      </c>
      <c r="X898" s="19">
        <f>IF($D898&lt;&gt;1,"",IF($G898="ROKS",$R898,IF($AI898=1,0,MAX($N898,$L898-SUMIFS(TblApplications[CPU IKS libérable (vCPU)],TblApplications[Cluster IKS source],$F898,TblApplications[Action],"À migrer",TblApplications[Mois prov (calc)],"&lt;="&amp;$E898)-SUMIFS(TblApplications[CPU IKS libérable (vCPU)],TblApplications[Cluster IKS source],$F898,TblApplications[Action],"À décommissionner",TblApplications[Mois lib (calc)],"&lt;="&amp;$E898)))))</f>
        <v>48</v>
      </c>
      <c r="Y898" s="19">
        <f>IF($D898&lt;&gt;1,"",IF($G898="ROKS",$S898,IF($AI898=1,0,MAX($O898,$M898-SUMIFS(TblApplications[RAM IKS libérable (Go)],TblApplications[Cluster IKS source],$F898,TblApplications[Action],"À migrer",TblApplications[Mois prov (calc)],"&lt;="&amp;$E898)-SUMIFS(TblApplications[RAM IKS libérable (Go)],TblApplications[Cluster IKS source],$F898,TblApplications[Action],"À décommissionner",TblApplications[Mois lib (calc)],"&lt;="&amp;$E898)))))</f>
        <v>192</v>
      </c>
      <c r="Z898" s="19">
        <f t="shared" si="230"/>
        <v>6</v>
      </c>
      <c r="AA898" s="73">
        <f t="shared" si="231"/>
        <v>1596</v>
      </c>
      <c r="AB898" s="19">
        <f t="shared" si="232"/>
        <v>6</v>
      </c>
      <c r="AC898" s="73">
        <f t="shared" si="233"/>
        <v>1596</v>
      </c>
      <c r="AD898" s="19">
        <f t="shared" si="234"/>
        <v>0</v>
      </c>
      <c r="AE898" s="19">
        <f t="shared" si="235"/>
        <v>0</v>
      </c>
      <c r="AF898" s="19" t="str">
        <f>IF($D898&lt;&gt;1,"",IF(INDEX(TblClusters[Environnement],$B898)="","(vide)",INDEX(TblClusters[Environnement],$B898)))</f>
        <v>PRD</v>
      </c>
      <c r="AG898" s="19">
        <f t="shared" si="236"/>
        <v>67.2</v>
      </c>
      <c r="AH898" s="19">
        <f t="shared" si="237"/>
        <v>23.75</v>
      </c>
      <c r="AI898" s="19">
        <f>IF($D898&lt;&gt;1,"",IF(AND($G898="IKS",ISNUMBER(INDEX(TblClusters[Fermeture retenue],$B898))),IF($E898&gt;=INDEX(TblClusters[Fermeture retenue],$B898),1,0),0))</f>
        <v>0</v>
      </c>
    </row>
    <row r="899" spans="1:35" x14ac:dyDescent="0.2">
      <c r="A899" s="19">
        <v>894</v>
      </c>
      <c r="B899" s="19">
        <f t="shared" si="221"/>
        <v>25</v>
      </c>
      <c r="C899" s="19">
        <f t="shared" si="222"/>
        <v>30</v>
      </c>
      <c r="D899" s="19">
        <f>IF($C899&gt;p_horizon,0,IFERROR(IF(AND(INDEX(TblClusters[Cluster],$B899)&lt;&gt;"",ISNUMBER(INDEX(TblClusters[CPU initial (vCPU)],$B899)),ISNUMBER(INDEX(TblClusters[CPU min (vCPU)],$B899)),OR(INDEX(TblClusters[Plateforme],$B899)="IKS",INDEX(TblClusters[Plateforme],$B899)="ROKS")),1,0),0))</f>
        <v>1</v>
      </c>
      <c r="E899" s="72">
        <f t="shared" si="223"/>
        <v>47178</v>
      </c>
      <c r="F899" s="19" t="str">
        <f>IF($D899=1,INDEX(TblClusters[Cluster],$B899),"")</f>
        <v>ku002i000565</v>
      </c>
      <c r="G899" s="19" t="str">
        <f>IF($D899=1,INDEX(TblClusters[Plateforme],$B899),"")</f>
        <v>IKS</v>
      </c>
      <c r="H899" s="19">
        <f>IF($D899=1,INDEX(TblClusters[vCPU par nœud],$B899),"")</f>
        <v>8</v>
      </c>
      <c r="I899" s="19">
        <f>IF($D899=1,INDEX(TblClusters[RAM par nœud (Go)],$B899),"")</f>
        <v>32</v>
      </c>
      <c r="J899" s="19">
        <f>IF($D899=1,INDEX(TblClusters[Workers min],$B899),"")</f>
        <v>3</v>
      </c>
      <c r="K899" s="73">
        <f>IF($D899=1,INDEX(TblClusters[Tarif par nœud],$B899),"")</f>
        <v>266</v>
      </c>
      <c r="L899" s="19">
        <f>IF($D899=1,INDEX(TblClusters[CPU initial (vCPU)],$B899),"")</f>
        <v>48</v>
      </c>
      <c r="M899" s="19">
        <f>IF($D899=1,INDEX(TblClusters[RAM initiale (Go)],$B899),"")</f>
        <v>192</v>
      </c>
      <c r="N899" s="19">
        <f>IF($D899=1,INDEX(TblClusters[CPU min (vCPU)],$B899),"")</f>
        <v>24</v>
      </c>
      <c r="O899" s="19">
        <f>IF($D899=1,INDEX(TblClusters[RAM min (Go)],$B899),"")</f>
        <v>96</v>
      </c>
      <c r="P899" s="19">
        <f>IF($D899&lt;&gt;1,"",IF($G899="ROKS",SUMIFS(TblApplications[Besoin ROKS CPU (vCPU)],TblApplications[Cluster ROKS cible],$F899,TblApplications[Action],"À migrer",TblApplications[Déjà incluse ROKS],"Non",TblApplications[Mois prov (calc)],"&lt;="&amp;$E899),SUMIFS(TblApplications[CPU IKS libérable (vCPU)],TblApplications[Cluster IKS source],$F899,TblApplications[Mois lib (calc)],"&lt;="&amp;$E899)))</f>
        <v>0</v>
      </c>
      <c r="Q899" s="19">
        <f>IF($D899&lt;&gt;1,"",IF($G899="ROKS",SUMIFS(TblApplications[Besoin ROKS RAM (Go)],TblApplications[Cluster ROKS cible],$F899,TblApplications[Action],"À migrer",TblApplications[Déjà incluse ROKS],"Non",TblApplications[Mois prov (calc)],"&lt;="&amp;$E899),SUMIFS(TblApplications[RAM IKS libérable (Go)],TblApplications[Cluster IKS source],$F899,TblApplications[Mois lib (calc)],"&lt;="&amp;$E899)))</f>
        <v>0</v>
      </c>
      <c r="R899" s="19">
        <f t="shared" si="224"/>
        <v>48</v>
      </c>
      <c r="S899" s="19">
        <f t="shared" si="225"/>
        <v>192</v>
      </c>
      <c r="T899" s="19">
        <f t="shared" si="226"/>
        <v>6</v>
      </c>
      <c r="U899" s="19">
        <f t="shared" si="227"/>
        <v>48</v>
      </c>
      <c r="V899" s="19">
        <f t="shared" si="228"/>
        <v>192</v>
      </c>
      <c r="W899" s="73">
        <f t="shared" si="229"/>
        <v>1596</v>
      </c>
      <c r="X899" s="19">
        <f>IF($D899&lt;&gt;1,"",IF($G899="ROKS",$R899,IF($AI899=1,0,MAX($N899,$L899-SUMIFS(TblApplications[CPU IKS libérable (vCPU)],TblApplications[Cluster IKS source],$F899,TblApplications[Action],"À migrer",TblApplications[Mois prov (calc)],"&lt;="&amp;$E899)-SUMIFS(TblApplications[CPU IKS libérable (vCPU)],TblApplications[Cluster IKS source],$F899,TblApplications[Action],"À décommissionner",TblApplications[Mois lib (calc)],"&lt;="&amp;$E899)))))</f>
        <v>48</v>
      </c>
      <c r="Y899" s="19">
        <f>IF($D899&lt;&gt;1,"",IF($G899="ROKS",$S899,IF($AI899=1,0,MAX($O899,$M899-SUMIFS(TblApplications[RAM IKS libérable (Go)],TblApplications[Cluster IKS source],$F899,TblApplications[Action],"À migrer",TblApplications[Mois prov (calc)],"&lt;="&amp;$E899)-SUMIFS(TblApplications[RAM IKS libérable (Go)],TblApplications[Cluster IKS source],$F899,TblApplications[Action],"À décommissionner",TblApplications[Mois lib (calc)],"&lt;="&amp;$E899)))))</f>
        <v>192</v>
      </c>
      <c r="Z899" s="19">
        <f t="shared" si="230"/>
        <v>6</v>
      </c>
      <c r="AA899" s="73">
        <f t="shared" si="231"/>
        <v>1596</v>
      </c>
      <c r="AB899" s="19">
        <f t="shared" si="232"/>
        <v>6</v>
      </c>
      <c r="AC899" s="73">
        <f t="shared" si="233"/>
        <v>1596</v>
      </c>
      <c r="AD899" s="19">
        <f t="shared" si="234"/>
        <v>0</v>
      </c>
      <c r="AE899" s="19">
        <f t="shared" si="235"/>
        <v>0</v>
      </c>
      <c r="AF899" s="19" t="str">
        <f>IF($D899&lt;&gt;1,"",IF(INDEX(TblClusters[Environnement],$B899)="","(vide)",INDEX(TblClusters[Environnement],$B899)))</f>
        <v>PRD</v>
      </c>
      <c r="AG899" s="19">
        <f t="shared" si="236"/>
        <v>67.2</v>
      </c>
      <c r="AH899" s="19">
        <f t="shared" si="237"/>
        <v>23.75</v>
      </c>
      <c r="AI899" s="19">
        <f>IF($D899&lt;&gt;1,"",IF(AND($G899="IKS",ISNUMBER(INDEX(TblClusters[Fermeture retenue],$B899))),IF($E899&gt;=INDEX(TblClusters[Fermeture retenue],$B899),1,0),0))</f>
        <v>0</v>
      </c>
    </row>
    <row r="900" spans="1:35" x14ac:dyDescent="0.2">
      <c r="A900" s="19">
        <v>895</v>
      </c>
      <c r="B900" s="19">
        <f t="shared" si="221"/>
        <v>25</v>
      </c>
      <c r="C900" s="19">
        <f t="shared" si="222"/>
        <v>31</v>
      </c>
      <c r="D900" s="19">
        <f>IF($C900&gt;p_horizon,0,IFERROR(IF(AND(INDEX(TblClusters[Cluster],$B900)&lt;&gt;"",ISNUMBER(INDEX(TblClusters[CPU initial (vCPU)],$B900)),ISNUMBER(INDEX(TblClusters[CPU min (vCPU)],$B900)),OR(INDEX(TblClusters[Plateforme],$B900)="IKS",INDEX(TblClusters[Plateforme],$B900)="ROKS")),1,0),0))</f>
        <v>1</v>
      </c>
      <c r="E900" s="72">
        <f t="shared" si="223"/>
        <v>47209</v>
      </c>
      <c r="F900" s="19" t="str">
        <f>IF($D900=1,INDEX(TblClusters[Cluster],$B900),"")</f>
        <v>ku002i000565</v>
      </c>
      <c r="G900" s="19" t="str">
        <f>IF($D900=1,INDEX(TblClusters[Plateforme],$B900),"")</f>
        <v>IKS</v>
      </c>
      <c r="H900" s="19">
        <f>IF($D900=1,INDEX(TblClusters[vCPU par nœud],$B900),"")</f>
        <v>8</v>
      </c>
      <c r="I900" s="19">
        <f>IF($D900=1,INDEX(TblClusters[RAM par nœud (Go)],$B900),"")</f>
        <v>32</v>
      </c>
      <c r="J900" s="19">
        <f>IF($D900=1,INDEX(TblClusters[Workers min],$B900),"")</f>
        <v>3</v>
      </c>
      <c r="K900" s="73">
        <f>IF($D900=1,INDEX(TblClusters[Tarif par nœud],$B900),"")</f>
        <v>266</v>
      </c>
      <c r="L900" s="19">
        <f>IF($D900=1,INDEX(TblClusters[CPU initial (vCPU)],$B900),"")</f>
        <v>48</v>
      </c>
      <c r="M900" s="19">
        <f>IF($D900=1,INDEX(TblClusters[RAM initiale (Go)],$B900),"")</f>
        <v>192</v>
      </c>
      <c r="N900" s="19">
        <f>IF($D900=1,INDEX(TblClusters[CPU min (vCPU)],$B900),"")</f>
        <v>24</v>
      </c>
      <c r="O900" s="19">
        <f>IF($D900=1,INDEX(TblClusters[RAM min (Go)],$B900),"")</f>
        <v>96</v>
      </c>
      <c r="P900" s="19">
        <f>IF($D900&lt;&gt;1,"",IF($G900="ROKS",SUMIFS(TblApplications[Besoin ROKS CPU (vCPU)],TblApplications[Cluster ROKS cible],$F900,TblApplications[Action],"À migrer",TblApplications[Déjà incluse ROKS],"Non",TblApplications[Mois prov (calc)],"&lt;="&amp;$E900),SUMIFS(TblApplications[CPU IKS libérable (vCPU)],TblApplications[Cluster IKS source],$F900,TblApplications[Mois lib (calc)],"&lt;="&amp;$E900)))</f>
        <v>0</v>
      </c>
      <c r="Q900" s="19">
        <f>IF($D900&lt;&gt;1,"",IF($G900="ROKS",SUMIFS(TblApplications[Besoin ROKS RAM (Go)],TblApplications[Cluster ROKS cible],$F900,TblApplications[Action],"À migrer",TblApplications[Déjà incluse ROKS],"Non",TblApplications[Mois prov (calc)],"&lt;="&amp;$E900),SUMIFS(TblApplications[RAM IKS libérable (Go)],TblApplications[Cluster IKS source],$F900,TblApplications[Mois lib (calc)],"&lt;="&amp;$E900)))</f>
        <v>0</v>
      </c>
      <c r="R900" s="19">
        <f t="shared" si="224"/>
        <v>48</v>
      </c>
      <c r="S900" s="19">
        <f t="shared" si="225"/>
        <v>192</v>
      </c>
      <c r="T900" s="19">
        <f t="shared" si="226"/>
        <v>6</v>
      </c>
      <c r="U900" s="19">
        <f t="shared" si="227"/>
        <v>48</v>
      </c>
      <c r="V900" s="19">
        <f t="shared" si="228"/>
        <v>192</v>
      </c>
      <c r="W900" s="73">
        <f t="shared" si="229"/>
        <v>1596</v>
      </c>
      <c r="X900" s="19">
        <f>IF($D900&lt;&gt;1,"",IF($G900="ROKS",$R900,IF($AI900=1,0,MAX($N900,$L900-SUMIFS(TblApplications[CPU IKS libérable (vCPU)],TblApplications[Cluster IKS source],$F900,TblApplications[Action],"À migrer",TblApplications[Mois prov (calc)],"&lt;="&amp;$E900)-SUMIFS(TblApplications[CPU IKS libérable (vCPU)],TblApplications[Cluster IKS source],$F900,TblApplications[Action],"À décommissionner",TblApplications[Mois lib (calc)],"&lt;="&amp;$E900)))))</f>
        <v>48</v>
      </c>
      <c r="Y900" s="19">
        <f>IF($D900&lt;&gt;1,"",IF($G900="ROKS",$S900,IF($AI900=1,0,MAX($O900,$M900-SUMIFS(TblApplications[RAM IKS libérable (Go)],TblApplications[Cluster IKS source],$F900,TblApplications[Action],"À migrer",TblApplications[Mois prov (calc)],"&lt;="&amp;$E900)-SUMIFS(TblApplications[RAM IKS libérable (Go)],TblApplications[Cluster IKS source],$F900,TblApplications[Action],"À décommissionner",TblApplications[Mois lib (calc)],"&lt;="&amp;$E900)))))</f>
        <v>192</v>
      </c>
      <c r="Z900" s="19">
        <f t="shared" si="230"/>
        <v>6</v>
      </c>
      <c r="AA900" s="73">
        <f t="shared" si="231"/>
        <v>1596</v>
      </c>
      <c r="AB900" s="19">
        <f t="shared" si="232"/>
        <v>6</v>
      </c>
      <c r="AC900" s="73">
        <f t="shared" si="233"/>
        <v>1596</v>
      </c>
      <c r="AD900" s="19">
        <f t="shared" si="234"/>
        <v>0</v>
      </c>
      <c r="AE900" s="19">
        <f t="shared" si="235"/>
        <v>0</v>
      </c>
      <c r="AF900" s="19" t="str">
        <f>IF($D900&lt;&gt;1,"",IF(INDEX(TblClusters[Environnement],$B900)="","(vide)",INDEX(TblClusters[Environnement],$B900)))</f>
        <v>PRD</v>
      </c>
      <c r="AG900" s="19">
        <f t="shared" si="236"/>
        <v>67.2</v>
      </c>
      <c r="AH900" s="19">
        <f t="shared" si="237"/>
        <v>23.75</v>
      </c>
      <c r="AI900" s="19">
        <f>IF($D900&lt;&gt;1,"",IF(AND($G900="IKS",ISNUMBER(INDEX(TblClusters[Fermeture retenue],$B900))),IF($E900&gt;=INDEX(TblClusters[Fermeture retenue],$B900),1,0),0))</f>
        <v>0</v>
      </c>
    </row>
    <row r="901" spans="1:35" x14ac:dyDescent="0.2">
      <c r="A901" s="19">
        <v>896</v>
      </c>
      <c r="B901" s="19">
        <f t="shared" si="221"/>
        <v>25</v>
      </c>
      <c r="C901" s="19">
        <f t="shared" si="222"/>
        <v>32</v>
      </c>
      <c r="D901" s="19">
        <f>IF($C901&gt;p_horizon,0,IFERROR(IF(AND(INDEX(TblClusters[Cluster],$B901)&lt;&gt;"",ISNUMBER(INDEX(TblClusters[CPU initial (vCPU)],$B901)),ISNUMBER(INDEX(TblClusters[CPU min (vCPU)],$B901)),OR(INDEX(TblClusters[Plateforme],$B901)="IKS",INDEX(TblClusters[Plateforme],$B901)="ROKS")),1,0),0))</f>
        <v>1</v>
      </c>
      <c r="E901" s="72">
        <f t="shared" si="223"/>
        <v>47239</v>
      </c>
      <c r="F901" s="19" t="str">
        <f>IF($D901=1,INDEX(TblClusters[Cluster],$B901),"")</f>
        <v>ku002i000565</v>
      </c>
      <c r="G901" s="19" t="str">
        <f>IF($D901=1,INDEX(TblClusters[Plateforme],$B901),"")</f>
        <v>IKS</v>
      </c>
      <c r="H901" s="19">
        <f>IF($D901=1,INDEX(TblClusters[vCPU par nœud],$B901),"")</f>
        <v>8</v>
      </c>
      <c r="I901" s="19">
        <f>IF($D901=1,INDEX(TblClusters[RAM par nœud (Go)],$B901),"")</f>
        <v>32</v>
      </c>
      <c r="J901" s="19">
        <f>IF($D901=1,INDEX(TblClusters[Workers min],$B901),"")</f>
        <v>3</v>
      </c>
      <c r="K901" s="73">
        <f>IF($D901=1,INDEX(TblClusters[Tarif par nœud],$B901),"")</f>
        <v>266</v>
      </c>
      <c r="L901" s="19">
        <f>IF($D901=1,INDEX(TblClusters[CPU initial (vCPU)],$B901),"")</f>
        <v>48</v>
      </c>
      <c r="M901" s="19">
        <f>IF($D901=1,INDEX(TblClusters[RAM initiale (Go)],$B901),"")</f>
        <v>192</v>
      </c>
      <c r="N901" s="19">
        <f>IF($D901=1,INDEX(TblClusters[CPU min (vCPU)],$B901),"")</f>
        <v>24</v>
      </c>
      <c r="O901" s="19">
        <f>IF($D901=1,INDEX(TblClusters[RAM min (Go)],$B901),"")</f>
        <v>96</v>
      </c>
      <c r="P901" s="19">
        <f>IF($D901&lt;&gt;1,"",IF($G901="ROKS",SUMIFS(TblApplications[Besoin ROKS CPU (vCPU)],TblApplications[Cluster ROKS cible],$F901,TblApplications[Action],"À migrer",TblApplications[Déjà incluse ROKS],"Non",TblApplications[Mois prov (calc)],"&lt;="&amp;$E901),SUMIFS(TblApplications[CPU IKS libérable (vCPU)],TblApplications[Cluster IKS source],$F901,TblApplications[Mois lib (calc)],"&lt;="&amp;$E901)))</f>
        <v>0</v>
      </c>
      <c r="Q901" s="19">
        <f>IF($D901&lt;&gt;1,"",IF($G901="ROKS",SUMIFS(TblApplications[Besoin ROKS RAM (Go)],TblApplications[Cluster ROKS cible],$F901,TblApplications[Action],"À migrer",TblApplications[Déjà incluse ROKS],"Non",TblApplications[Mois prov (calc)],"&lt;="&amp;$E901),SUMIFS(TblApplications[RAM IKS libérable (Go)],TblApplications[Cluster IKS source],$F901,TblApplications[Mois lib (calc)],"&lt;="&amp;$E901)))</f>
        <v>0</v>
      </c>
      <c r="R901" s="19">
        <f t="shared" si="224"/>
        <v>48</v>
      </c>
      <c r="S901" s="19">
        <f t="shared" si="225"/>
        <v>192</v>
      </c>
      <c r="T901" s="19">
        <f t="shared" si="226"/>
        <v>6</v>
      </c>
      <c r="U901" s="19">
        <f t="shared" si="227"/>
        <v>48</v>
      </c>
      <c r="V901" s="19">
        <f t="shared" si="228"/>
        <v>192</v>
      </c>
      <c r="W901" s="73">
        <f t="shared" si="229"/>
        <v>1596</v>
      </c>
      <c r="X901" s="19">
        <f>IF($D901&lt;&gt;1,"",IF($G901="ROKS",$R901,IF($AI901=1,0,MAX($N901,$L901-SUMIFS(TblApplications[CPU IKS libérable (vCPU)],TblApplications[Cluster IKS source],$F901,TblApplications[Action],"À migrer",TblApplications[Mois prov (calc)],"&lt;="&amp;$E901)-SUMIFS(TblApplications[CPU IKS libérable (vCPU)],TblApplications[Cluster IKS source],$F901,TblApplications[Action],"À décommissionner",TblApplications[Mois lib (calc)],"&lt;="&amp;$E901)))))</f>
        <v>48</v>
      </c>
      <c r="Y901" s="19">
        <f>IF($D901&lt;&gt;1,"",IF($G901="ROKS",$S901,IF($AI901=1,0,MAX($O901,$M901-SUMIFS(TblApplications[RAM IKS libérable (Go)],TblApplications[Cluster IKS source],$F901,TblApplications[Action],"À migrer",TblApplications[Mois prov (calc)],"&lt;="&amp;$E901)-SUMIFS(TblApplications[RAM IKS libérable (Go)],TblApplications[Cluster IKS source],$F901,TblApplications[Action],"À décommissionner",TblApplications[Mois lib (calc)],"&lt;="&amp;$E901)))))</f>
        <v>192</v>
      </c>
      <c r="Z901" s="19">
        <f t="shared" si="230"/>
        <v>6</v>
      </c>
      <c r="AA901" s="73">
        <f t="shared" si="231"/>
        <v>1596</v>
      </c>
      <c r="AB901" s="19">
        <f t="shared" si="232"/>
        <v>6</v>
      </c>
      <c r="AC901" s="73">
        <f t="shared" si="233"/>
        <v>1596</v>
      </c>
      <c r="AD901" s="19">
        <f t="shared" si="234"/>
        <v>0</v>
      </c>
      <c r="AE901" s="19">
        <f t="shared" si="235"/>
        <v>0</v>
      </c>
      <c r="AF901" s="19" t="str">
        <f>IF($D901&lt;&gt;1,"",IF(INDEX(TblClusters[Environnement],$B901)="","(vide)",INDEX(TblClusters[Environnement],$B901)))</f>
        <v>PRD</v>
      </c>
      <c r="AG901" s="19">
        <f t="shared" si="236"/>
        <v>67.2</v>
      </c>
      <c r="AH901" s="19">
        <f t="shared" si="237"/>
        <v>23.75</v>
      </c>
      <c r="AI901" s="19">
        <f>IF($D901&lt;&gt;1,"",IF(AND($G901="IKS",ISNUMBER(INDEX(TblClusters[Fermeture retenue],$B901))),IF($E901&gt;=INDEX(TblClusters[Fermeture retenue],$B901),1,0),0))</f>
        <v>0</v>
      </c>
    </row>
    <row r="902" spans="1:35" x14ac:dyDescent="0.2">
      <c r="A902" s="19">
        <v>897</v>
      </c>
      <c r="B902" s="19">
        <f t="shared" ref="B902:B965" si="238">INT(($A902-1)/36)+1</f>
        <v>25</v>
      </c>
      <c r="C902" s="19">
        <f t="shared" ref="C902:C965" si="239">MOD($A902-1,36)+1</f>
        <v>33</v>
      </c>
      <c r="D902" s="19">
        <f>IF($C902&gt;p_horizon,0,IFERROR(IF(AND(INDEX(TblClusters[Cluster],$B902)&lt;&gt;"",ISNUMBER(INDEX(TblClusters[CPU initial (vCPU)],$B902)),ISNUMBER(INDEX(TblClusters[CPU min (vCPU)],$B902)),OR(INDEX(TblClusters[Plateforme],$B902)="IKS",INDEX(TblClusters[Plateforme],$B902)="ROKS")),1,0),0))</f>
        <v>1</v>
      </c>
      <c r="E902" s="72">
        <f t="shared" ref="E902:E965" si="240">IF($D902=1,EDATE(p_debut,$C902-1),"")</f>
        <v>47270</v>
      </c>
      <c r="F902" s="19" t="str">
        <f>IF($D902=1,INDEX(TblClusters[Cluster],$B902),"")</f>
        <v>ku002i000565</v>
      </c>
      <c r="G902" s="19" t="str">
        <f>IF($D902=1,INDEX(TblClusters[Plateforme],$B902),"")</f>
        <v>IKS</v>
      </c>
      <c r="H902" s="19">
        <f>IF($D902=1,INDEX(TblClusters[vCPU par nœud],$B902),"")</f>
        <v>8</v>
      </c>
      <c r="I902" s="19">
        <f>IF($D902=1,INDEX(TblClusters[RAM par nœud (Go)],$B902),"")</f>
        <v>32</v>
      </c>
      <c r="J902" s="19">
        <f>IF($D902=1,INDEX(TblClusters[Workers min],$B902),"")</f>
        <v>3</v>
      </c>
      <c r="K902" s="73">
        <f>IF($D902=1,INDEX(TblClusters[Tarif par nœud],$B902),"")</f>
        <v>266</v>
      </c>
      <c r="L902" s="19">
        <f>IF($D902=1,INDEX(TblClusters[CPU initial (vCPU)],$B902),"")</f>
        <v>48</v>
      </c>
      <c r="M902" s="19">
        <f>IF($D902=1,INDEX(TblClusters[RAM initiale (Go)],$B902),"")</f>
        <v>192</v>
      </c>
      <c r="N902" s="19">
        <f>IF($D902=1,INDEX(TblClusters[CPU min (vCPU)],$B902),"")</f>
        <v>24</v>
      </c>
      <c r="O902" s="19">
        <f>IF($D902=1,INDEX(TblClusters[RAM min (Go)],$B902),"")</f>
        <v>96</v>
      </c>
      <c r="P902" s="19">
        <f>IF($D902&lt;&gt;1,"",IF($G902="ROKS",SUMIFS(TblApplications[Besoin ROKS CPU (vCPU)],TblApplications[Cluster ROKS cible],$F902,TblApplications[Action],"À migrer",TblApplications[Déjà incluse ROKS],"Non",TblApplications[Mois prov (calc)],"&lt;="&amp;$E902),SUMIFS(TblApplications[CPU IKS libérable (vCPU)],TblApplications[Cluster IKS source],$F902,TblApplications[Mois lib (calc)],"&lt;="&amp;$E902)))</f>
        <v>0</v>
      </c>
      <c r="Q902" s="19">
        <f>IF($D902&lt;&gt;1,"",IF($G902="ROKS",SUMIFS(TblApplications[Besoin ROKS RAM (Go)],TblApplications[Cluster ROKS cible],$F902,TblApplications[Action],"À migrer",TblApplications[Déjà incluse ROKS],"Non",TblApplications[Mois prov (calc)],"&lt;="&amp;$E902),SUMIFS(TblApplications[RAM IKS libérable (Go)],TblApplications[Cluster IKS source],$F902,TblApplications[Mois lib (calc)],"&lt;="&amp;$E902)))</f>
        <v>0</v>
      </c>
      <c r="R902" s="19">
        <f t="shared" ref="R902:R965" si="241">IF($D902&lt;&gt;1,"",IF($G902="ROKS",$L902+$P902,IF($AI902=1,0,MAX($N902,$L902-$P902))))</f>
        <v>48</v>
      </c>
      <c r="S902" s="19">
        <f t="shared" ref="S902:S965" si="242">IF($D902&lt;&gt;1,"",IF($G902="ROKS",$M902+$Q902,IF($AI902=1,0,MAX($O902,$M902-$Q902))))</f>
        <v>192</v>
      </c>
      <c r="T902" s="19">
        <f t="shared" ref="T902:T965" si="243">IF($D902&lt;&gt;1,"",IF($AI902=1,0,MAX($J902,ROUNDUP(MAX($R902/$H902,$S902/$I902),0))))</f>
        <v>6</v>
      </c>
      <c r="U902" s="19">
        <f t="shared" ref="U902:U965" si="244">IF($D902&lt;&gt;1,"",IF(p_mode="Nœud",$T902*$H902,$R902))</f>
        <v>48</v>
      </c>
      <c r="V902" s="19">
        <f t="shared" ref="V902:V965" si="245">IF($D902&lt;&gt;1,"",IF(p_mode="Nœud",$T902*$I902,$S902))</f>
        <v>192</v>
      </c>
      <c r="W902" s="73">
        <f t="shared" ref="W902:W965" si="246">IF($D902&lt;&gt;1,"",IF(p_mode="Nœud",$T902*$K902,$R902*IF($G902="IKS",p_iks_cpu,p_roks_cpu)+$S902*IF($G902="IKS",p_iks_ram,p_roks_ram))*p_facteur)</f>
        <v>1596</v>
      </c>
      <c r="X902" s="19">
        <f>IF($D902&lt;&gt;1,"",IF($G902="ROKS",$R902,IF($AI902=1,0,MAX($N902,$L902-SUMIFS(TblApplications[CPU IKS libérable (vCPU)],TblApplications[Cluster IKS source],$F902,TblApplications[Action],"À migrer",TblApplications[Mois prov (calc)],"&lt;="&amp;$E902)-SUMIFS(TblApplications[CPU IKS libérable (vCPU)],TblApplications[Cluster IKS source],$F902,TblApplications[Action],"À décommissionner",TblApplications[Mois lib (calc)],"&lt;="&amp;$E902)))))</f>
        <v>48</v>
      </c>
      <c r="Y902" s="19">
        <f>IF($D902&lt;&gt;1,"",IF($G902="ROKS",$S902,IF($AI902=1,0,MAX($O902,$M902-SUMIFS(TblApplications[RAM IKS libérable (Go)],TblApplications[Cluster IKS source],$F902,TblApplications[Action],"À migrer",TblApplications[Mois prov (calc)],"&lt;="&amp;$E902)-SUMIFS(TblApplications[RAM IKS libérable (Go)],TblApplications[Cluster IKS source],$F902,TblApplications[Action],"À décommissionner",TblApplications[Mois lib (calc)],"&lt;="&amp;$E902)))))</f>
        <v>192</v>
      </c>
      <c r="Z902" s="19">
        <f t="shared" ref="Z902:Z965" si="247">IF($D902&lt;&gt;1,"",IF($AI902=1,0,MAX($J902,ROUNDUP(MAX($X902/$H902,$Y902/$I902),0))))</f>
        <v>6</v>
      </c>
      <c r="AA902" s="73">
        <f t="shared" ref="AA902:AA965" si="248">IF($D902&lt;&gt;1,"",IF(p_mode="Nœud",$Z902*$K902,$X902*IF($G902="IKS",p_iks_cpu,p_roks_cpu)+$Y902*IF($G902="IKS",p_iks_ram,p_roks_ram))*p_facteur)</f>
        <v>1596</v>
      </c>
      <c r="AB902" s="19">
        <f t="shared" ref="AB902:AB965" si="249">IF($D902&lt;&gt;1,"",MAX($J902,ROUNDUP(MAX($L902/$H902,$M902/$I902),0)))</f>
        <v>6</v>
      </c>
      <c r="AC902" s="73">
        <f t="shared" ref="AC902:AC965" si="250">IF($D902&lt;&gt;1,"",IF(p_mode="Nœud",$AB902*$K902,$L902*IF($G902="IKS",p_iks_cpu,p_roks_cpu)+$M902*IF($G902="IKS",p_iks_ram,p_roks_ram))*p_facteur)</f>
        <v>1596</v>
      </c>
      <c r="AD902" s="19">
        <f t="shared" ref="AD902:AD965" si="251">IF($D902&lt;&gt;1,"",IF(AND($G902="IKS",$AI902&lt;&gt;1,OR($L902-$P902&lt;$N902,$M902-$Q902&lt;$O902)),1,0))</f>
        <v>0</v>
      </c>
      <c r="AE902" s="19">
        <f t="shared" ref="AE902:AE965" si="252">IF($D902&lt;&gt;1,"",IF(AND($G902="ROKS",$T902&gt;p_maxworkers),1,0))</f>
        <v>0</v>
      </c>
      <c r="AF902" s="19" t="str">
        <f>IF($D902&lt;&gt;1,"",IF(INDEX(TblClusters[Environnement],$B902)="","(vide)",INDEX(TblClusters[Environnement],$B902)))</f>
        <v>PRD</v>
      </c>
      <c r="AG902" s="19">
        <f t="shared" ref="AG902:AG965" si="253">IF($D902&lt;&gt;1,"",$R902+p_poidsram*$S902)</f>
        <v>67.2</v>
      </c>
      <c r="AH902" s="19">
        <f t="shared" ref="AH902:AH965" si="254">IF($D902&lt;&gt;1,"",IFERROR($W902/$AG902,0))</f>
        <v>23.75</v>
      </c>
      <c r="AI902" s="19">
        <f>IF($D902&lt;&gt;1,"",IF(AND($G902="IKS",ISNUMBER(INDEX(TblClusters[Fermeture retenue],$B902))),IF($E902&gt;=INDEX(TblClusters[Fermeture retenue],$B902),1,0),0))</f>
        <v>0</v>
      </c>
    </row>
    <row r="903" spans="1:35" x14ac:dyDescent="0.2">
      <c r="A903" s="19">
        <v>898</v>
      </c>
      <c r="B903" s="19">
        <f t="shared" si="238"/>
        <v>25</v>
      </c>
      <c r="C903" s="19">
        <f t="shared" si="239"/>
        <v>34</v>
      </c>
      <c r="D903" s="19">
        <f>IF($C903&gt;p_horizon,0,IFERROR(IF(AND(INDEX(TblClusters[Cluster],$B903)&lt;&gt;"",ISNUMBER(INDEX(TblClusters[CPU initial (vCPU)],$B903)),ISNUMBER(INDEX(TblClusters[CPU min (vCPU)],$B903)),OR(INDEX(TblClusters[Plateforme],$B903)="IKS",INDEX(TblClusters[Plateforme],$B903)="ROKS")),1,0),0))</f>
        <v>1</v>
      </c>
      <c r="E903" s="72">
        <f t="shared" si="240"/>
        <v>47300</v>
      </c>
      <c r="F903" s="19" t="str">
        <f>IF($D903=1,INDEX(TblClusters[Cluster],$B903),"")</f>
        <v>ku002i000565</v>
      </c>
      <c r="G903" s="19" t="str">
        <f>IF($D903=1,INDEX(TblClusters[Plateforme],$B903),"")</f>
        <v>IKS</v>
      </c>
      <c r="H903" s="19">
        <f>IF($D903=1,INDEX(TblClusters[vCPU par nœud],$B903),"")</f>
        <v>8</v>
      </c>
      <c r="I903" s="19">
        <f>IF($D903=1,INDEX(TblClusters[RAM par nœud (Go)],$B903),"")</f>
        <v>32</v>
      </c>
      <c r="J903" s="19">
        <f>IF($D903=1,INDEX(TblClusters[Workers min],$B903),"")</f>
        <v>3</v>
      </c>
      <c r="K903" s="73">
        <f>IF($D903=1,INDEX(TblClusters[Tarif par nœud],$B903),"")</f>
        <v>266</v>
      </c>
      <c r="L903" s="19">
        <f>IF($D903=1,INDEX(TblClusters[CPU initial (vCPU)],$B903),"")</f>
        <v>48</v>
      </c>
      <c r="M903" s="19">
        <f>IF($D903=1,INDEX(TblClusters[RAM initiale (Go)],$B903),"")</f>
        <v>192</v>
      </c>
      <c r="N903" s="19">
        <f>IF($D903=1,INDEX(TblClusters[CPU min (vCPU)],$B903),"")</f>
        <v>24</v>
      </c>
      <c r="O903" s="19">
        <f>IF($D903=1,INDEX(TblClusters[RAM min (Go)],$B903),"")</f>
        <v>96</v>
      </c>
      <c r="P903" s="19">
        <f>IF($D903&lt;&gt;1,"",IF($G903="ROKS",SUMIFS(TblApplications[Besoin ROKS CPU (vCPU)],TblApplications[Cluster ROKS cible],$F903,TblApplications[Action],"À migrer",TblApplications[Déjà incluse ROKS],"Non",TblApplications[Mois prov (calc)],"&lt;="&amp;$E903),SUMIFS(TblApplications[CPU IKS libérable (vCPU)],TblApplications[Cluster IKS source],$F903,TblApplications[Mois lib (calc)],"&lt;="&amp;$E903)))</f>
        <v>0</v>
      </c>
      <c r="Q903" s="19">
        <f>IF($D903&lt;&gt;1,"",IF($G903="ROKS",SUMIFS(TblApplications[Besoin ROKS RAM (Go)],TblApplications[Cluster ROKS cible],$F903,TblApplications[Action],"À migrer",TblApplications[Déjà incluse ROKS],"Non",TblApplications[Mois prov (calc)],"&lt;="&amp;$E903),SUMIFS(TblApplications[RAM IKS libérable (Go)],TblApplications[Cluster IKS source],$F903,TblApplications[Mois lib (calc)],"&lt;="&amp;$E903)))</f>
        <v>0</v>
      </c>
      <c r="R903" s="19">
        <f t="shared" si="241"/>
        <v>48</v>
      </c>
      <c r="S903" s="19">
        <f t="shared" si="242"/>
        <v>192</v>
      </c>
      <c r="T903" s="19">
        <f t="shared" si="243"/>
        <v>6</v>
      </c>
      <c r="U903" s="19">
        <f t="shared" si="244"/>
        <v>48</v>
      </c>
      <c r="V903" s="19">
        <f t="shared" si="245"/>
        <v>192</v>
      </c>
      <c r="W903" s="73">
        <f t="shared" si="246"/>
        <v>1596</v>
      </c>
      <c r="X903" s="19">
        <f>IF($D903&lt;&gt;1,"",IF($G903="ROKS",$R903,IF($AI903=1,0,MAX($N903,$L903-SUMIFS(TblApplications[CPU IKS libérable (vCPU)],TblApplications[Cluster IKS source],$F903,TblApplications[Action],"À migrer",TblApplications[Mois prov (calc)],"&lt;="&amp;$E903)-SUMIFS(TblApplications[CPU IKS libérable (vCPU)],TblApplications[Cluster IKS source],$F903,TblApplications[Action],"À décommissionner",TblApplications[Mois lib (calc)],"&lt;="&amp;$E903)))))</f>
        <v>48</v>
      </c>
      <c r="Y903" s="19">
        <f>IF($D903&lt;&gt;1,"",IF($G903="ROKS",$S903,IF($AI903=1,0,MAX($O903,$M903-SUMIFS(TblApplications[RAM IKS libérable (Go)],TblApplications[Cluster IKS source],$F903,TblApplications[Action],"À migrer",TblApplications[Mois prov (calc)],"&lt;="&amp;$E903)-SUMIFS(TblApplications[RAM IKS libérable (Go)],TblApplications[Cluster IKS source],$F903,TblApplications[Action],"À décommissionner",TblApplications[Mois lib (calc)],"&lt;="&amp;$E903)))))</f>
        <v>192</v>
      </c>
      <c r="Z903" s="19">
        <f t="shared" si="247"/>
        <v>6</v>
      </c>
      <c r="AA903" s="73">
        <f t="shared" si="248"/>
        <v>1596</v>
      </c>
      <c r="AB903" s="19">
        <f t="shared" si="249"/>
        <v>6</v>
      </c>
      <c r="AC903" s="73">
        <f t="shared" si="250"/>
        <v>1596</v>
      </c>
      <c r="AD903" s="19">
        <f t="shared" si="251"/>
        <v>0</v>
      </c>
      <c r="AE903" s="19">
        <f t="shared" si="252"/>
        <v>0</v>
      </c>
      <c r="AF903" s="19" t="str">
        <f>IF($D903&lt;&gt;1,"",IF(INDEX(TblClusters[Environnement],$B903)="","(vide)",INDEX(TblClusters[Environnement],$B903)))</f>
        <v>PRD</v>
      </c>
      <c r="AG903" s="19">
        <f t="shared" si="253"/>
        <v>67.2</v>
      </c>
      <c r="AH903" s="19">
        <f t="shared" si="254"/>
        <v>23.75</v>
      </c>
      <c r="AI903" s="19">
        <f>IF($D903&lt;&gt;1,"",IF(AND($G903="IKS",ISNUMBER(INDEX(TblClusters[Fermeture retenue],$B903))),IF($E903&gt;=INDEX(TblClusters[Fermeture retenue],$B903),1,0),0))</f>
        <v>0</v>
      </c>
    </row>
    <row r="904" spans="1:35" x14ac:dyDescent="0.2">
      <c r="A904" s="19">
        <v>899</v>
      </c>
      <c r="B904" s="19">
        <f t="shared" si="238"/>
        <v>25</v>
      </c>
      <c r="C904" s="19">
        <f t="shared" si="239"/>
        <v>35</v>
      </c>
      <c r="D904" s="19">
        <f>IF($C904&gt;p_horizon,0,IFERROR(IF(AND(INDEX(TblClusters[Cluster],$B904)&lt;&gt;"",ISNUMBER(INDEX(TblClusters[CPU initial (vCPU)],$B904)),ISNUMBER(INDEX(TblClusters[CPU min (vCPU)],$B904)),OR(INDEX(TblClusters[Plateforme],$B904)="IKS",INDEX(TblClusters[Plateforme],$B904)="ROKS")),1,0),0))</f>
        <v>1</v>
      </c>
      <c r="E904" s="72">
        <f t="shared" si="240"/>
        <v>47331</v>
      </c>
      <c r="F904" s="19" t="str">
        <f>IF($D904=1,INDEX(TblClusters[Cluster],$B904),"")</f>
        <v>ku002i000565</v>
      </c>
      <c r="G904" s="19" t="str">
        <f>IF($D904=1,INDEX(TblClusters[Plateforme],$B904),"")</f>
        <v>IKS</v>
      </c>
      <c r="H904" s="19">
        <f>IF($D904=1,INDEX(TblClusters[vCPU par nœud],$B904),"")</f>
        <v>8</v>
      </c>
      <c r="I904" s="19">
        <f>IF($D904=1,INDEX(TblClusters[RAM par nœud (Go)],$B904),"")</f>
        <v>32</v>
      </c>
      <c r="J904" s="19">
        <f>IF($D904=1,INDEX(TblClusters[Workers min],$B904),"")</f>
        <v>3</v>
      </c>
      <c r="K904" s="73">
        <f>IF($D904=1,INDEX(TblClusters[Tarif par nœud],$B904),"")</f>
        <v>266</v>
      </c>
      <c r="L904" s="19">
        <f>IF($D904=1,INDEX(TblClusters[CPU initial (vCPU)],$B904),"")</f>
        <v>48</v>
      </c>
      <c r="M904" s="19">
        <f>IF($D904=1,INDEX(TblClusters[RAM initiale (Go)],$B904),"")</f>
        <v>192</v>
      </c>
      <c r="N904" s="19">
        <f>IF($D904=1,INDEX(TblClusters[CPU min (vCPU)],$B904),"")</f>
        <v>24</v>
      </c>
      <c r="O904" s="19">
        <f>IF($D904=1,INDEX(TblClusters[RAM min (Go)],$B904),"")</f>
        <v>96</v>
      </c>
      <c r="P904" s="19">
        <f>IF($D904&lt;&gt;1,"",IF($G904="ROKS",SUMIFS(TblApplications[Besoin ROKS CPU (vCPU)],TblApplications[Cluster ROKS cible],$F904,TblApplications[Action],"À migrer",TblApplications[Déjà incluse ROKS],"Non",TblApplications[Mois prov (calc)],"&lt;="&amp;$E904),SUMIFS(TblApplications[CPU IKS libérable (vCPU)],TblApplications[Cluster IKS source],$F904,TblApplications[Mois lib (calc)],"&lt;="&amp;$E904)))</f>
        <v>0</v>
      </c>
      <c r="Q904" s="19">
        <f>IF($D904&lt;&gt;1,"",IF($G904="ROKS",SUMIFS(TblApplications[Besoin ROKS RAM (Go)],TblApplications[Cluster ROKS cible],$F904,TblApplications[Action],"À migrer",TblApplications[Déjà incluse ROKS],"Non",TblApplications[Mois prov (calc)],"&lt;="&amp;$E904),SUMIFS(TblApplications[RAM IKS libérable (Go)],TblApplications[Cluster IKS source],$F904,TblApplications[Mois lib (calc)],"&lt;="&amp;$E904)))</f>
        <v>0</v>
      </c>
      <c r="R904" s="19">
        <f t="shared" si="241"/>
        <v>48</v>
      </c>
      <c r="S904" s="19">
        <f t="shared" si="242"/>
        <v>192</v>
      </c>
      <c r="T904" s="19">
        <f t="shared" si="243"/>
        <v>6</v>
      </c>
      <c r="U904" s="19">
        <f t="shared" si="244"/>
        <v>48</v>
      </c>
      <c r="V904" s="19">
        <f t="shared" si="245"/>
        <v>192</v>
      </c>
      <c r="W904" s="73">
        <f t="shared" si="246"/>
        <v>1596</v>
      </c>
      <c r="X904" s="19">
        <f>IF($D904&lt;&gt;1,"",IF($G904="ROKS",$R904,IF($AI904=1,0,MAX($N904,$L904-SUMIFS(TblApplications[CPU IKS libérable (vCPU)],TblApplications[Cluster IKS source],$F904,TblApplications[Action],"À migrer",TblApplications[Mois prov (calc)],"&lt;="&amp;$E904)-SUMIFS(TblApplications[CPU IKS libérable (vCPU)],TblApplications[Cluster IKS source],$F904,TblApplications[Action],"À décommissionner",TblApplications[Mois lib (calc)],"&lt;="&amp;$E904)))))</f>
        <v>48</v>
      </c>
      <c r="Y904" s="19">
        <f>IF($D904&lt;&gt;1,"",IF($G904="ROKS",$S904,IF($AI904=1,0,MAX($O904,$M904-SUMIFS(TblApplications[RAM IKS libérable (Go)],TblApplications[Cluster IKS source],$F904,TblApplications[Action],"À migrer",TblApplications[Mois prov (calc)],"&lt;="&amp;$E904)-SUMIFS(TblApplications[RAM IKS libérable (Go)],TblApplications[Cluster IKS source],$F904,TblApplications[Action],"À décommissionner",TblApplications[Mois lib (calc)],"&lt;="&amp;$E904)))))</f>
        <v>192</v>
      </c>
      <c r="Z904" s="19">
        <f t="shared" si="247"/>
        <v>6</v>
      </c>
      <c r="AA904" s="73">
        <f t="shared" si="248"/>
        <v>1596</v>
      </c>
      <c r="AB904" s="19">
        <f t="shared" si="249"/>
        <v>6</v>
      </c>
      <c r="AC904" s="73">
        <f t="shared" si="250"/>
        <v>1596</v>
      </c>
      <c r="AD904" s="19">
        <f t="shared" si="251"/>
        <v>0</v>
      </c>
      <c r="AE904" s="19">
        <f t="shared" si="252"/>
        <v>0</v>
      </c>
      <c r="AF904" s="19" t="str">
        <f>IF($D904&lt;&gt;1,"",IF(INDEX(TblClusters[Environnement],$B904)="","(vide)",INDEX(TblClusters[Environnement],$B904)))</f>
        <v>PRD</v>
      </c>
      <c r="AG904" s="19">
        <f t="shared" si="253"/>
        <v>67.2</v>
      </c>
      <c r="AH904" s="19">
        <f t="shared" si="254"/>
        <v>23.75</v>
      </c>
      <c r="AI904" s="19">
        <f>IF($D904&lt;&gt;1,"",IF(AND($G904="IKS",ISNUMBER(INDEX(TblClusters[Fermeture retenue],$B904))),IF($E904&gt;=INDEX(TblClusters[Fermeture retenue],$B904),1,0),0))</f>
        <v>0</v>
      </c>
    </row>
    <row r="905" spans="1:35" x14ac:dyDescent="0.2">
      <c r="A905" s="19">
        <v>900</v>
      </c>
      <c r="B905" s="19">
        <f t="shared" si="238"/>
        <v>25</v>
      </c>
      <c r="C905" s="19">
        <f t="shared" si="239"/>
        <v>36</v>
      </c>
      <c r="D905" s="19">
        <f>IF($C905&gt;p_horizon,0,IFERROR(IF(AND(INDEX(TblClusters[Cluster],$B905)&lt;&gt;"",ISNUMBER(INDEX(TblClusters[CPU initial (vCPU)],$B905)),ISNUMBER(INDEX(TblClusters[CPU min (vCPU)],$B905)),OR(INDEX(TblClusters[Plateforme],$B905)="IKS",INDEX(TblClusters[Plateforme],$B905)="ROKS")),1,0),0))</f>
        <v>1</v>
      </c>
      <c r="E905" s="72">
        <f t="shared" si="240"/>
        <v>47362</v>
      </c>
      <c r="F905" s="19" t="str">
        <f>IF($D905=1,INDEX(TblClusters[Cluster],$B905),"")</f>
        <v>ku002i000565</v>
      </c>
      <c r="G905" s="19" t="str">
        <f>IF($D905=1,INDEX(TblClusters[Plateforme],$B905),"")</f>
        <v>IKS</v>
      </c>
      <c r="H905" s="19">
        <f>IF($D905=1,INDEX(TblClusters[vCPU par nœud],$B905),"")</f>
        <v>8</v>
      </c>
      <c r="I905" s="19">
        <f>IF($D905=1,INDEX(TblClusters[RAM par nœud (Go)],$B905),"")</f>
        <v>32</v>
      </c>
      <c r="J905" s="19">
        <f>IF($D905=1,INDEX(TblClusters[Workers min],$B905),"")</f>
        <v>3</v>
      </c>
      <c r="K905" s="73">
        <f>IF($D905=1,INDEX(TblClusters[Tarif par nœud],$B905),"")</f>
        <v>266</v>
      </c>
      <c r="L905" s="19">
        <f>IF($D905=1,INDEX(TblClusters[CPU initial (vCPU)],$B905),"")</f>
        <v>48</v>
      </c>
      <c r="M905" s="19">
        <f>IF($D905=1,INDEX(TblClusters[RAM initiale (Go)],$B905),"")</f>
        <v>192</v>
      </c>
      <c r="N905" s="19">
        <f>IF($D905=1,INDEX(TblClusters[CPU min (vCPU)],$B905),"")</f>
        <v>24</v>
      </c>
      <c r="O905" s="19">
        <f>IF($D905=1,INDEX(TblClusters[RAM min (Go)],$B905),"")</f>
        <v>96</v>
      </c>
      <c r="P905" s="19">
        <f>IF($D905&lt;&gt;1,"",IF($G905="ROKS",SUMIFS(TblApplications[Besoin ROKS CPU (vCPU)],TblApplications[Cluster ROKS cible],$F905,TblApplications[Action],"À migrer",TblApplications[Déjà incluse ROKS],"Non",TblApplications[Mois prov (calc)],"&lt;="&amp;$E905),SUMIFS(TblApplications[CPU IKS libérable (vCPU)],TblApplications[Cluster IKS source],$F905,TblApplications[Mois lib (calc)],"&lt;="&amp;$E905)))</f>
        <v>0</v>
      </c>
      <c r="Q905" s="19">
        <f>IF($D905&lt;&gt;1,"",IF($G905="ROKS",SUMIFS(TblApplications[Besoin ROKS RAM (Go)],TblApplications[Cluster ROKS cible],$F905,TblApplications[Action],"À migrer",TblApplications[Déjà incluse ROKS],"Non",TblApplications[Mois prov (calc)],"&lt;="&amp;$E905),SUMIFS(TblApplications[RAM IKS libérable (Go)],TblApplications[Cluster IKS source],$F905,TblApplications[Mois lib (calc)],"&lt;="&amp;$E905)))</f>
        <v>0</v>
      </c>
      <c r="R905" s="19">
        <f t="shared" si="241"/>
        <v>48</v>
      </c>
      <c r="S905" s="19">
        <f t="shared" si="242"/>
        <v>192</v>
      </c>
      <c r="T905" s="19">
        <f t="shared" si="243"/>
        <v>6</v>
      </c>
      <c r="U905" s="19">
        <f t="shared" si="244"/>
        <v>48</v>
      </c>
      <c r="V905" s="19">
        <f t="shared" si="245"/>
        <v>192</v>
      </c>
      <c r="W905" s="73">
        <f t="shared" si="246"/>
        <v>1596</v>
      </c>
      <c r="X905" s="19">
        <f>IF($D905&lt;&gt;1,"",IF($G905="ROKS",$R905,IF($AI905=1,0,MAX($N905,$L905-SUMIFS(TblApplications[CPU IKS libérable (vCPU)],TblApplications[Cluster IKS source],$F905,TblApplications[Action],"À migrer",TblApplications[Mois prov (calc)],"&lt;="&amp;$E905)-SUMIFS(TblApplications[CPU IKS libérable (vCPU)],TblApplications[Cluster IKS source],$F905,TblApplications[Action],"À décommissionner",TblApplications[Mois lib (calc)],"&lt;="&amp;$E905)))))</f>
        <v>48</v>
      </c>
      <c r="Y905" s="19">
        <f>IF($D905&lt;&gt;1,"",IF($G905="ROKS",$S905,IF($AI905=1,0,MAX($O905,$M905-SUMIFS(TblApplications[RAM IKS libérable (Go)],TblApplications[Cluster IKS source],$F905,TblApplications[Action],"À migrer",TblApplications[Mois prov (calc)],"&lt;="&amp;$E905)-SUMIFS(TblApplications[RAM IKS libérable (Go)],TblApplications[Cluster IKS source],$F905,TblApplications[Action],"À décommissionner",TblApplications[Mois lib (calc)],"&lt;="&amp;$E905)))))</f>
        <v>192</v>
      </c>
      <c r="Z905" s="19">
        <f t="shared" si="247"/>
        <v>6</v>
      </c>
      <c r="AA905" s="73">
        <f t="shared" si="248"/>
        <v>1596</v>
      </c>
      <c r="AB905" s="19">
        <f t="shared" si="249"/>
        <v>6</v>
      </c>
      <c r="AC905" s="73">
        <f t="shared" si="250"/>
        <v>1596</v>
      </c>
      <c r="AD905" s="19">
        <f t="shared" si="251"/>
        <v>0</v>
      </c>
      <c r="AE905" s="19">
        <f t="shared" si="252"/>
        <v>0</v>
      </c>
      <c r="AF905" s="19" t="str">
        <f>IF($D905&lt;&gt;1,"",IF(INDEX(TblClusters[Environnement],$B905)="","(vide)",INDEX(TblClusters[Environnement],$B905)))</f>
        <v>PRD</v>
      </c>
      <c r="AG905" s="19">
        <f t="shared" si="253"/>
        <v>67.2</v>
      </c>
      <c r="AH905" s="19">
        <f t="shared" si="254"/>
        <v>23.75</v>
      </c>
      <c r="AI905" s="19">
        <f>IF($D905&lt;&gt;1,"",IF(AND($G905="IKS",ISNUMBER(INDEX(TblClusters[Fermeture retenue],$B905))),IF($E905&gt;=INDEX(TblClusters[Fermeture retenue],$B905),1,0),0))</f>
        <v>0</v>
      </c>
    </row>
    <row r="906" spans="1:35" x14ac:dyDescent="0.2">
      <c r="A906" s="19">
        <v>901</v>
      </c>
      <c r="B906" s="19">
        <f t="shared" si="238"/>
        <v>26</v>
      </c>
      <c r="C906" s="19">
        <f t="shared" si="239"/>
        <v>1</v>
      </c>
      <c r="D906" s="19">
        <f>IF($C906&gt;p_horizon,0,IFERROR(IF(AND(INDEX(TblClusters[Cluster],$B906)&lt;&gt;"",ISNUMBER(INDEX(TblClusters[CPU initial (vCPU)],$B906)),ISNUMBER(INDEX(TblClusters[CPU min (vCPU)],$B906)),OR(INDEX(TblClusters[Plateforme],$B906)="IKS",INDEX(TblClusters[Plateforme],$B906)="ROKS")),1,0),0))</f>
        <v>1</v>
      </c>
      <c r="E906" s="72">
        <f t="shared" si="240"/>
        <v>46296</v>
      </c>
      <c r="F906" s="19" t="str">
        <f>IF($D906=1,INDEX(TblClusters[Cluster],$B906),"")</f>
        <v>ku002i000829</v>
      </c>
      <c r="G906" s="19" t="str">
        <f>IF($D906=1,INDEX(TblClusters[Plateforme],$B906),"")</f>
        <v>IKS</v>
      </c>
      <c r="H906" s="19">
        <f>IF($D906=1,INDEX(TblClusters[vCPU par nœud],$B906),"")</f>
        <v>64</v>
      </c>
      <c r="I906" s="19">
        <f>IF($D906=1,INDEX(TblClusters[RAM par nœud (Go)],$B906),"")</f>
        <v>512</v>
      </c>
      <c r="J906" s="19">
        <f>IF($D906=1,INDEX(TblClusters[Workers min],$B906),"")</f>
        <v>3</v>
      </c>
      <c r="K906" s="73">
        <f>IF($D906=1,INDEX(TblClusters[Tarif par nœud],$B906),"")</f>
        <v>2842</v>
      </c>
      <c r="L906" s="19">
        <f>IF($D906=1,INDEX(TblClusters[CPU initial (vCPU)],$B906),"")</f>
        <v>384</v>
      </c>
      <c r="M906" s="19">
        <f>IF($D906=1,INDEX(TblClusters[RAM initiale (Go)],$B906),"")</f>
        <v>3072</v>
      </c>
      <c r="N906" s="19">
        <f>IF($D906=1,INDEX(TblClusters[CPU min (vCPU)],$B906),"")</f>
        <v>192</v>
      </c>
      <c r="O906" s="19">
        <f>IF($D906=1,INDEX(TblClusters[RAM min (Go)],$B906),"")</f>
        <v>1536</v>
      </c>
      <c r="P906" s="19">
        <f>IF($D906&lt;&gt;1,"",IF($G906="ROKS",SUMIFS(TblApplications[Besoin ROKS CPU (vCPU)],TblApplications[Cluster ROKS cible],$F906,TblApplications[Action],"À migrer",TblApplications[Déjà incluse ROKS],"Non",TblApplications[Mois prov (calc)],"&lt;="&amp;$E906),SUMIFS(TblApplications[CPU IKS libérable (vCPU)],TblApplications[Cluster IKS source],$F906,TblApplications[Mois lib (calc)],"&lt;="&amp;$E906)))</f>
        <v>0</v>
      </c>
      <c r="Q906" s="19">
        <f>IF($D906&lt;&gt;1,"",IF($G906="ROKS",SUMIFS(TblApplications[Besoin ROKS RAM (Go)],TblApplications[Cluster ROKS cible],$F906,TblApplications[Action],"À migrer",TblApplications[Déjà incluse ROKS],"Non",TblApplications[Mois prov (calc)],"&lt;="&amp;$E906),SUMIFS(TblApplications[RAM IKS libérable (Go)],TblApplications[Cluster IKS source],$F906,TblApplications[Mois lib (calc)],"&lt;="&amp;$E906)))</f>
        <v>0</v>
      </c>
      <c r="R906" s="19">
        <f t="shared" si="241"/>
        <v>384</v>
      </c>
      <c r="S906" s="19">
        <f t="shared" si="242"/>
        <v>3072</v>
      </c>
      <c r="T906" s="19">
        <f t="shared" si="243"/>
        <v>6</v>
      </c>
      <c r="U906" s="19">
        <f t="shared" si="244"/>
        <v>384</v>
      </c>
      <c r="V906" s="19">
        <f t="shared" si="245"/>
        <v>3072</v>
      </c>
      <c r="W906" s="73">
        <f t="shared" si="246"/>
        <v>17052</v>
      </c>
      <c r="X906" s="19">
        <f>IF($D906&lt;&gt;1,"",IF($G906="ROKS",$R906,IF($AI906=1,0,MAX($N906,$L906-SUMIFS(TblApplications[CPU IKS libérable (vCPU)],TblApplications[Cluster IKS source],$F906,TblApplications[Action],"À migrer",TblApplications[Mois prov (calc)],"&lt;="&amp;$E906)-SUMIFS(TblApplications[CPU IKS libérable (vCPU)],TblApplications[Cluster IKS source],$F906,TblApplications[Action],"À décommissionner",TblApplications[Mois lib (calc)],"&lt;="&amp;$E906)))))</f>
        <v>384</v>
      </c>
      <c r="Y906" s="19">
        <f>IF($D906&lt;&gt;1,"",IF($G906="ROKS",$S906,IF($AI906=1,0,MAX($O906,$M906-SUMIFS(TblApplications[RAM IKS libérable (Go)],TblApplications[Cluster IKS source],$F906,TblApplications[Action],"À migrer",TblApplications[Mois prov (calc)],"&lt;="&amp;$E906)-SUMIFS(TblApplications[RAM IKS libérable (Go)],TblApplications[Cluster IKS source],$F906,TblApplications[Action],"À décommissionner",TblApplications[Mois lib (calc)],"&lt;="&amp;$E906)))))</f>
        <v>3072</v>
      </c>
      <c r="Z906" s="19">
        <f t="shared" si="247"/>
        <v>6</v>
      </c>
      <c r="AA906" s="73">
        <f t="shared" si="248"/>
        <v>17052</v>
      </c>
      <c r="AB906" s="19">
        <f t="shared" si="249"/>
        <v>6</v>
      </c>
      <c r="AC906" s="73">
        <f t="shared" si="250"/>
        <v>17052</v>
      </c>
      <c r="AD906" s="19">
        <f t="shared" si="251"/>
        <v>0</v>
      </c>
      <c r="AE906" s="19">
        <f t="shared" si="252"/>
        <v>0</v>
      </c>
      <c r="AF906" s="19" t="str">
        <f>IF($D906&lt;&gt;1,"",IF(INDEX(TblClusters[Environnement],$B906)="","(vide)",INDEX(TblClusters[Environnement],$B906)))</f>
        <v>NPRD</v>
      </c>
      <c r="AG906" s="19">
        <f t="shared" si="253"/>
        <v>691.2</v>
      </c>
      <c r="AH906" s="19">
        <f t="shared" si="254"/>
        <v>24.670138888888886</v>
      </c>
      <c r="AI906" s="19">
        <f>IF($D906&lt;&gt;1,"",IF(AND($G906="IKS",ISNUMBER(INDEX(TblClusters[Fermeture retenue],$B906))),IF($E906&gt;=INDEX(TblClusters[Fermeture retenue],$B906),1,0),0))</f>
        <v>0</v>
      </c>
    </row>
    <row r="907" spans="1:35" x14ac:dyDescent="0.2">
      <c r="A907" s="19">
        <v>902</v>
      </c>
      <c r="B907" s="19">
        <f t="shared" si="238"/>
        <v>26</v>
      </c>
      <c r="C907" s="19">
        <f t="shared" si="239"/>
        <v>2</v>
      </c>
      <c r="D907" s="19">
        <f>IF($C907&gt;p_horizon,0,IFERROR(IF(AND(INDEX(TblClusters[Cluster],$B907)&lt;&gt;"",ISNUMBER(INDEX(TblClusters[CPU initial (vCPU)],$B907)),ISNUMBER(INDEX(TblClusters[CPU min (vCPU)],$B907)),OR(INDEX(TblClusters[Plateforme],$B907)="IKS",INDEX(TblClusters[Plateforme],$B907)="ROKS")),1,0),0))</f>
        <v>1</v>
      </c>
      <c r="E907" s="72">
        <f t="shared" si="240"/>
        <v>46327</v>
      </c>
      <c r="F907" s="19" t="str">
        <f>IF($D907=1,INDEX(TblClusters[Cluster],$B907),"")</f>
        <v>ku002i000829</v>
      </c>
      <c r="G907" s="19" t="str">
        <f>IF($D907=1,INDEX(TblClusters[Plateforme],$B907),"")</f>
        <v>IKS</v>
      </c>
      <c r="H907" s="19">
        <f>IF($D907=1,INDEX(TblClusters[vCPU par nœud],$B907),"")</f>
        <v>64</v>
      </c>
      <c r="I907" s="19">
        <f>IF($D907=1,INDEX(TblClusters[RAM par nœud (Go)],$B907),"")</f>
        <v>512</v>
      </c>
      <c r="J907" s="19">
        <f>IF($D907=1,INDEX(TblClusters[Workers min],$B907),"")</f>
        <v>3</v>
      </c>
      <c r="K907" s="73">
        <f>IF($D907=1,INDEX(TblClusters[Tarif par nœud],$B907),"")</f>
        <v>2842</v>
      </c>
      <c r="L907" s="19">
        <f>IF($D907=1,INDEX(TblClusters[CPU initial (vCPU)],$B907),"")</f>
        <v>384</v>
      </c>
      <c r="M907" s="19">
        <f>IF($D907=1,INDEX(TblClusters[RAM initiale (Go)],$B907),"")</f>
        <v>3072</v>
      </c>
      <c r="N907" s="19">
        <f>IF($D907=1,INDEX(TblClusters[CPU min (vCPU)],$B907),"")</f>
        <v>192</v>
      </c>
      <c r="O907" s="19">
        <f>IF($D907=1,INDEX(TblClusters[RAM min (Go)],$B907),"")</f>
        <v>1536</v>
      </c>
      <c r="P907" s="19">
        <f>IF($D907&lt;&gt;1,"",IF($G907="ROKS",SUMIFS(TblApplications[Besoin ROKS CPU (vCPU)],TblApplications[Cluster ROKS cible],$F907,TblApplications[Action],"À migrer",TblApplications[Déjà incluse ROKS],"Non",TblApplications[Mois prov (calc)],"&lt;="&amp;$E907),SUMIFS(TblApplications[CPU IKS libérable (vCPU)],TblApplications[Cluster IKS source],$F907,TblApplications[Mois lib (calc)],"&lt;="&amp;$E907)))</f>
        <v>0</v>
      </c>
      <c r="Q907" s="19">
        <f>IF($D907&lt;&gt;1,"",IF($G907="ROKS",SUMIFS(TblApplications[Besoin ROKS RAM (Go)],TblApplications[Cluster ROKS cible],$F907,TblApplications[Action],"À migrer",TblApplications[Déjà incluse ROKS],"Non",TblApplications[Mois prov (calc)],"&lt;="&amp;$E907),SUMIFS(TblApplications[RAM IKS libérable (Go)],TblApplications[Cluster IKS source],$F907,TblApplications[Mois lib (calc)],"&lt;="&amp;$E907)))</f>
        <v>0</v>
      </c>
      <c r="R907" s="19">
        <f t="shared" si="241"/>
        <v>384</v>
      </c>
      <c r="S907" s="19">
        <f t="shared" si="242"/>
        <v>3072</v>
      </c>
      <c r="T907" s="19">
        <f t="shared" si="243"/>
        <v>6</v>
      </c>
      <c r="U907" s="19">
        <f t="shared" si="244"/>
        <v>384</v>
      </c>
      <c r="V907" s="19">
        <f t="shared" si="245"/>
        <v>3072</v>
      </c>
      <c r="W907" s="73">
        <f t="shared" si="246"/>
        <v>17052</v>
      </c>
      <c r="X907" s="19">
        <f>IF($D907&lt;&gt;1,"",IF($G907="ROKS",$R907,IF($AI907=1,0,MAX($N907,$L907-SUMIFS(TblApplications[CPU IKS libérable (vCPU)],TblApplications[Cluster IKS source],$F907,TblApplications[Action],"À migrer",TblApplications[Mois prov (calc)],"&lt;="&amp;$E907)-SUMIFS(TblApplications[CPU IKS libérable (vCPU)],TblApplications[Cluster IKS source],$F907,TblApplications[Action],"À décommissionner",TblApplications[Mois lib (calc)],"&lt;="&amp;$E907)))))</f>
        <v>384</v>
      </c>
      <c r="Y907" s="19">
        <f>IF($D907&lt;&gt;1,"",IF($G907="ROKS",$S907,IF($AI907=1,0,MAX($O907,$M907-SUMIFS(TblApplications[RAM IKS libérable (Go)],TblApplications[Cluster IKS source],$F907,TblApplications[Action],"À migrer",TblApplications[Mois prov (calc)],"&lt;="&amp;$E907)-SUMIFS(TblApplications[RAM IKS libérable (Go)],TblApplications[Cluster IKS source],$F907,TblApplications[Action],"À décommissionner",TblApplications[Mois lib (calc)],"&lt;="&amp;$E907)))))</f>
        <v>3072</v>
      </c>
      <c r="Z907" s="19">
        <f t="shared" si="247"/>
        <v>6</v>
      </c>
      <c r="AA907" s="73">
        <f t="shared" si="248"/>
        <v>17052</v>
      </c>
      <c r="AB907" s="19">
        <f t="shared" si="249"/>
        <v>6</v>
      </c>
      <c r="AC907" s="73">
        <f t="shared" si="250"/>
        <v>17052</v>
      </c>
      <c r="AD907" s="19">
        <f t="shared" si="251"/>
        <v>0</v>
      </c>
      <c r="AE907" s="19">
        <f t="shared" si="252"/>
        <v>0</v>
      </c>
      <c r="AF907" s="19" t="str">
        <f>IF($D907&lt;&gt;1,"",IF(INDEX(TblClusters[Environnement],$B907)="","(vide)",INDEX(TblClusters[Environnement],$B907)))</f>
        <v>NPRD</v>
      </c>
      <c r="AG907" s="19">
        <f t="shared" si="253"/>
        <v>691.2</v>
      </c>
      <c r="AH907" s="19">
        <f t="shared" si="254"/>
        <v>24.670138888888886</v>
      </c>
      <c r="AI907" s="19">
        <f>IF($D907&lt;&gt;1,"",IF(AND($G907="IKS",ISNUMBER(INDEX(TblClusters[Fermeture retenue],$B907))),IF($E907&gt;=INDEX(TblClusters[Fermeture retenue],$B907),1,0),0))</f>
        <v>0</v>
      </c>
    </row>
    <row r="908" spans="1:35" x14ac:dyDescent="0.2">
      <c r="A908" s="19">
        <v>903</v>
      </c>
      <c r="B908" s="19">
        <f t="shared" si="238"/>
        <v>26</v>
      </c>
      <c r="C908" s="19">
        <f t="shared" si="239"/>
        <v>3</v>
      </c>
      <c r="D908" s="19">
        <f>IF($C908&gt;p_horizon,0,IFERROR(IF(AND(INDEX(TblClusters[Cluster],$B908)&lt;&gt;"",ISNUMBER(INDEX(TblClusters[CPU initial (vCPU)],$B908)),ISNUMBER(INDEX(TblClusters[CPU min (vCPU)],$B908)),OR(INDEX(TblClusters[Plateforme],$B908)="IKS",INDEX(TblClusters[Plateforme],$B908)="ROKS")),1,0),0))</f>
        <v>1</v>
      </c>
      <c r="E908" s="72">
        <f t="shared" si="240"/>
        <v>46357</v>
      </c>
      <c r="F908" s="19" t="str">
        <f>IF($D908=1,INDEX(TblClusters[Cluster],$B908),"")</f>
        <v>ku002i000829</v>
      </c>
      <c r="G908" s="19" t="str">
        <f>IF($D908=1,INDEX(TblClusters[Plateforme],$B908),"")</f>
        <v>IKS</v>
      </c>
      <c r="H908" s="19">
        <f>IF($D908=1,INDEX(TblClusters[vCPU par nœud],$B908),"")</f>
        <v>64</v>
      </c>
      <c r="I908" s="19">
        <f>IF($D908=1,INDEX(TblClusters[RAM par nœud (Go)],$B908),"")</f>
        <v>512</v>
      </c>
      <c r="J908" s="19">
        <f>IF($D908=1,INDEX(TblClusters[Workers min],$B908),"")</f>
        <v>3</v>
      </c>
      <c r="K908" s="73">
        <f>IF($D908=1,INDEX(TblClusters[Tarif par nœud],$B908),"")</f>
        <v>2842</v>
      </c>
      <c r="L908" s="19">
        <f>IF($D908=1,INDEX(TblClusters[CPU initial (vCPU)],$B908),"")</f>
        <v>384</v>
      </c>
      <c r="M908" s="19">
        <f>IF($D908=1,INDEX(TblClusters[RAM initiale (Go)],$B908),"")</f>
        <v>3072</v>
      </c>
      <c r="N908" s="19">
        <f>IF($D908=1,INDEX(TblClusters[CPU min (vCPU)],$B908),"")</f>
        <v>192</v>
      </c>
      <c r="O908" s="19">
        <f>IF($D908=1,INDEX(TblClusters[RAM min (Go)],$B908),"")</f>
        <v>1536</v>
      </c>
      <c r="P908" s="19">
        <f>IF($D908&lt;&gt;1,"",IF($G908="ROKS",SUMIFS(TblApplications[Besoin ROKS CPU (vCPU)],TblApplications[Cluster ROKS cible],$F908,TblApplications[Action],"À migrer",TblApplications[Déjà incluse ROKS],"Non",TblApplications[Mois prov (calc)],"&lt;="&amp;$E908),SUMIFS(TblApplications[CPU IKS libérable (vCPU)],TblApplications[Cluster IKS source],$F908,TblApplications[Mois lib (calc)],"&lt;="&amp;$E908)))</f>
        <v>0</v>
      </c>
      <c r="Q908" s="19">
        <f>IF($D908&lt;&gt;1,"",IF($G908="ROKS",SUMIFS(TblApplications[Besoin ROKS RAM (Go)],TblApplications[Cluster ROKS cible],$F908,TblApplications[Action],"À migrer",TblApplications[Déjà incluse ROKS],"Non",TblApplications[Mois prov (calc)],"&lt;="&amp;$E908),SUMIFS(TblApplications[RAM IKS libérable (Go)],TblApplications[Cluster IKS source],$F908,TblApplications[Mois lib (calc)],"&lt;="&amp;$E908)))</f>
        <v>0</v>
      </c>
      <c r="R908" s="19">
        <f t="shared" si="241"/>
        <v>384</v>
      </c>
      <c r="S908" s="19">
        <f t="shared" si="242"/>
        <v>3072</v>
      </c>
      <c r="T908" s="19">
        <f t="shared" si="243"/>
        <v>6</v>
      </c>
      <c r="U908" s="19">
        <f t="shared" si="244"/>
        <v>384</v>
      </c>
      <c r="V908" s="19">
        <f t="shared" si="245"/>
        <v>3072</v>
      </c>
      <c r="W908" s="73">
        <f t="shared" si="246"/>
        <v>17052</v>
      </c>
      <c r="X908" s="19">
        <f>IF($D908&lt;&gt;1,"",IF($G908="ROKS",$R908,IF($AI908=1,0,MAX($N908,$L908-SUMIFS(TblApplications[CPU IKS libérable (vCPU)],TblApplications[Cluster IKS source],$F908,TblApplications[Action],"À migrer",TblApplications[Mois prov (calc)],"&lt;="&amp;$E908)-SUMIFS(TblApplications[CPU IKS libérable (vCPU)],TblApplications[Cluster IKS source],$F908,TblApplications[Action],"À décommissionner",TblApplications[Mois lib (calc)],"&lt;="&amp;$E908)))))</f>
        <v>384</v>
      </c>
      <c r="Y908" s="19">
        <f>IF($D908&lt;&gt;1,"",IF($G908="ROKS",$S908,IF($AI908=1,0,MAX($O908,$M908-SUMIFS(TblApplications[RAM IKS libérable (Go)],TblApplications[Cluster IKS source],$F908,TblApplications[Action],"À migrer",TblApplications[Mois prov (calc)],"&lt;="&amp;$E908)-SUMIFS(TblApplications[RAM IKS libérable (Go)],TblApplications[Cluster IKS source],$F908,TblApplications[Action],"À décommissionner",TblApplications[Mois lib (calc)],"&lt;="&amp;$E908)))))</f>
        <v>3072</v>
      </c>
      <c r="Z908" s="19">
        <f t="shared" si="247"/>
        <v>6</v>
      </c>
      <c r="AA908" s="73">
        <f t="shared" si="248"/>
        <v>17052</v>
      </c>
      <c r="AB908" s="19">
        <f t="shared" si="249"/>
        <v>6</v>
      </c>
      <c r="AC908" s="73">
        <f t="shared" si="250"/>
        <v>17052</v>
      </c>
      <c r="AD908" s="19">
        <f t="shared" si="251"/>
        <v>0</v>
      </c>
      <c r="AE908" s="19">
        <f t="shared" si="252"/>
        <v>0</v>
      </c>
      <c r="AF908" s="19" t="str">
        <f>IF($D908&lt;&gt;1,"",IF(INDEX(TblClusters[Environnement],$B908)="","(vide)",INDEX(TblClusters[Environnement],$B908)))</f>
        <v>NPRD</v>
      </c>
      <c r="AG908" s="19">
        <f t="shared" si="253"/>
        <v>691.2</v>
      </c>
      <c r="AH908" s="19">
        <f t="shared" si="254"/>
        <v>24.670138888888886</v>
      </c>
      <c r="AI908" s="19">
        <f>IF($D908&lt;&gt;1,"",IF(AND($G908="IKS",ISNUMBER(INDEX(TblClusters[Fermeture retenue],$B908))),IF($E908&gt;=INDEX(TblClusters[Fermeture retenue],$B908),1,0),0))</f>
        <v>0</v>
      </c>
    </row>
    <row r="909" spans="1:35" x14ac:dyDescent="0.2">
      <c r="A909" s="19">
        <v>904</v>
      </c>
      <c r="B909" s="19">
        <f t="shared" si="238"/>
        <v>26</v>
      </c>
      <c r="C909" s="19">
        <f t="shared" si="239"/>
        <v>4</v>
      </c>
      <c r="D909" s="19">
        <f>IF($C909&gt;p_horizon,0,IFERROR(IF(AND(INDEX(TblClusters[Cluster],$B909)&lt;&gt;"",ISNUMBER(INDEX(TblClusters[CPU initial (vCPU)],$B909)),ISNUMBER(INDEX(TblClusters[CPU min (vCPU)],$B909)),OR(INDEX(TblClusters[Plateforme],$B909)="IKS",INDEX(TblClusters[Plateforme],$B909)="ROKS")),1,0),0))</f>
        <v>1</v>
      </c>
      <c r="E909" s="72">
        <f t="shared" si="240"/>
        <v>46388</v>
      </c>
      <c r="F909" s="19" t="str">
        <f>IF($D909=1,INDEX(TblClusters[Cluster],$B909),"")</f>
        <v>ku002i000829</v>
      </c>
      <c r="G909" s="19" t="str">
        <f>IF($D909=1,INDEX(TblClusters[Plateforme],$B909),"")</f>
        <v>IKS</v>
      </c>
      <c r="H909" s="19">
        <f>IF($D909=1,INDEX(TblClusters[vCPU par nœud],$B909),"")</f>
        <v>64</v>
      </c>
      <c r="I909" s="19">
        <f>IF($D909=1,INDEX(TblClusters[RAM par nœud (Go)],$B909),"")</f>
        <v>512</v>
      </c>
      <c r="J909" s="19">
        <f>IF($D909=1,INDEX(TblClusters[Workers min],$B909),"")</f>
        <v>3</v>
      </c>
      <c r="K909" s="73">
        <f>IF($D909=1,INDEX(TblClusters[Tarif par nœud],$B909),"")</f>
        <v>2842</v>
      </c>
      <c r="L909" s="19">
        <f>IF($D909=1,INDEX(TblClusters[CPU initial (vCPU)],$B909),"")</f>
        <v>384</v>
      </c>
      <c r="M909" s="19">
        <f>IF($D909=1,INDEX(TblClusters[RAM initiale (Go)],$B909),"")</f>
        <v>3072</v>
      </c>
      <c r="N909" s="19">
        <f>IF($D909=1,INDEX(TblClusters[CPU min (vCPU)],$B909),"")</f>
        <v>192</v>
      </c>
      <c r="O909" s="19">
        <f>IF($D909=1,INDEX(TblClusters[RAM min (Go)],$B909),"")</f>
        <v>1536</v>
      </c>
      <c r="P909" s="19">
        <f>IF($D909&lt;&gt;1,"",IF($G909="ROKS",SUMIFS(TblApplications[Besoin ROKS CPU (vCPU)],TblApplications[Cluster ROKS cible],$F909,TblApplications[Action],"À migrer",TblApplications[Déjà incluse ROKS],"Non",TblApplications[Mois prov (calc)],"&lt;="&amp;$E909),SUMIFS(TblApplications[CPU IKS libérable (vCPU)],TblApplications[Cluster IKS source],$F909,TblApplications[Mois lib (calc)],"&lt;="&amp;$E909)))</f>
        <v>0</v>
      </c>
      <c r="Q909" s="19">
        <f>IF($D909&lt;&gt;1,"",IF($G909="ROKS",SUMIFS(TblApplications[Besoin ROKS RAM (Go)],TblApplications[Cluster ROKS cible],$F909,TblApplications[Action],"À migrer",TblApplications[Déjà incluse ROKS],"Non",TblApplications[Mois prov (calc)],"&lt;="&amp;$E909),SUMIFS(TblApplications[RAM IKS libérable (Go)],TblApplications[Cluster IKS source],$F909,TblApplications[Mois lib (calc)],"&lt;="&amp;$E909)))</f>
        <v>0</v>
      </c>
      <c r="R909" s="19">
        <f t="shared" si="241"/>
        <v>384</v>
      </c>
      <c r="S909" s="19">
        <f t="shared" si="242"/>
        <v>3072</v>
      </c>
      <c r="T909" s="19">
        <f t="shared" si="243"/>
        <v>6</v>
      </c>
      <c r="U909" s="19">
        <f t="shared" si="244"/>
        <v>384</v>
      </c>
      <c r="V909" s="19">
        <f t="shared" si="245"/>
        <v>3072</v>
      </c>
      <c r="W909" s="73">
        <f t="shared" si="246"/>
        <v>17052</v>
      </c>
      <c r="X909" s="19">
        <f>IF($D909&lt;&gt;1,"",IF($G909="ROKS",$R909,IF($AI909=1,0,MAX($N909,$L909-SUMIFS(TblApplications[CPU IKS libérable (vCPU)],TblApplications[Cluster IKS source],$F909,TblApplications[Action],"À migrer",TblApplications[Mois prov (calc)],"&lt;="&amp;$E909)-SUMIFS(TblApplications[CPU IKS libérable (vCPU)],TblApplications[Cluster IKS source],$F909,TblApplications[Action],"À décommissionner",TblApplications[Mois lib (calc)],"&lt;="&amp;$E909)))))</f>
        <v>384</v>
      </c>
      <c r="Y909" s="19">
        <f>IF($D909&lt;&gt;1,"",IF($G909="ROKS",$S909,IF($AI909=1,0,MAX($O909,$M909-SUMIFS(TblApplications[RAM IKS libérable (Go)],TblApplications[Cluster IKS source],$F909,TblApplications[Action],"À migrer",TblApplications[Mois prov (calc)],"&lt;="&amp;$E909)-SUMIFS(TblApplications[RAM IKS libérable (Go)],TblApplications[Cluster IKS source],$F909,TblApplications[Action],"À décommissionner",TblApplications[Mois lib (calc)],"&lt;="&amp;$E909)))))</f>
        <v>3072</v>
      </c>
      <c r="Z909" s="19">
        <f t="shared" si="247"/>
        <v>6</v>
      </c>
      <c r="AA909" s="73">
        <f t="shared" si="248"/>
        <v>17052</v>
      </c>
      <c r="AB909" s="19">
        <f t="shared" si="249"/>
        <v>6</v>
      </c>
      <c r="AC909" s="73">
        <f t="shared" si="250"/>
        <v>17052</v>
      </c>
      <c r="AD909" s="19">
        <f t="shared" si="251"/>
        <v>0</v>
      </c>
      <c r="AE909" s="19">
        <f t="shared" si="252"/>
        <v>0</v>
      </c>
      <c r="AF909" s="19" t="str">
        <f>IF($D909&lt;&gt;1,"",IF(INDEX(TblClusters[Environnement],$B909)="","(vide)",INDEX(TblClusters[Environnement],$B909)))</f>
        <v>NPRD</v>
      </c>
      <c r="AG909" s="19">
        <f t="shared" si="253"/>
        <v>691.2</v>
      </c>
      <c r="AH909" s="19">
        <f t="shared" si="254"/>
        <v>24.670138888888886</v>
      </c>
      <c r="AI909" s="19">
        <f>IF($D909&lt;&gt;1,"",IF(AND($G909="IKS",ISNUMBER(INDEX(TblClusters[Fermeture retenue],$B909))),IF($E909&gt;=INDEX(TblClusters[Fermeture retenue],$B909),1,0),0))</f>
        <v>0</v>
      </c>
    </row>
    <row r="910" spans="1:35" x14ac:dyDescent="0.2">
      <c r="A910" s="19">
        <v>905</v>
      </c>
      <c r="B910" s="19">
        <f t="shared" si="238"/>
        <v>26</v>
      </c>
      <c r="C910" s="19">
        <f t="shared" si="239"/>
        <v>5</v>
      </c>
      <c r="D910" s="19">
        <f>IF($C910&gt;p_horizon,0,IFERROR(IF(AND(INDEX(TblClusters[Cluster],$B910)&lt;&gt;"",ISNUMBER(INDEX(TblClusters[CPU initial (vCPU)],$B910)),ISNUMBER(INDEX(TblClusters[CPU min (vCPU)],$B910)),OR(INDEX(TblClusters[Plateforme],$B910)="IKS",INDEX(TblClusters[Plateforme],$B910)="ROKS")),1,0),0))</f>
        <v>1</v>
      </c>
      <c r="E910" s="72">
        <f t="shared" si="240"/>
        <v>46419</v>
      </c>
      <c r="F910" s="19" t="str">
        <f>IF($D910=1,INDEX(TblClusters[Cluster],$B910),"")</f>
        <v>ku002i000829</v>
      </c>
      <c r="G910" s="19" t="str">
        <f>IF($D910=1,INDEX(TblClusters[Plateforme],$B910),"")</f>
        <v>IKS</v>
      </c>
      <c r="H910" s="19">
        <f>IF($D910=1,INDEX(TblClusters[vCPU par nœud],$B910),"")</f>
        <v>64</v>
      </c>
      <c r="I910" s="19">
        <f>IF($D910=1,INDEX(TblClusters[RAM par nœud (Go)],$B910),"")</f>
        <v>512</v>
      </c>
      <c r="J910" s="19">
        <f>IF($D910=1,INDEX(TblClusters[Workers min],$B910),"")</f>
        <v>3</v>
      </c>
      <c r="K910" s="73">
        <f>IF($D910=1,INDEX(TblClusters[Tarif par nœud],$B910),"")</f>
        <v>2842</v>
      </c>
      <c r="L910" s="19">
        <f>IF($D910=1,INDEX(TblClusters[CPU initial (vCPU)],$B910),"")</f>
        <v>384</v>
      </c>
      <c r="M910" s="19">
        <f>IF($D910=1,INDEX(TblClusters[RAM initiale (Go)],$B910),"")</f>
        <v>3072</v>
      </c>
      <c r="N910" s="19">
        <f>IF($D910=1,INDEX(TblClusters[CPU min (vCPU)],$B910),"")</f>
        <v>192</v>
      </c>
      <c r="O910" s="19">
        <f>IF($D910=1,INDEX(TblClusters[RAM min (Go)],$B910),"")</f>
        <v>1536</v>
      </c>
      <c r="P910" s="19">
        <f>IF($D910&lt;&gt;1,"",IF($G910="ROKS",SUMIFS(TblApplications[Besoin ROKS CPU (vCPU)],TblApplications[Cluster ROKS cible],$F910,TblApplications[Action],"À migrer",TblApplications[Déjà incluse ROKS],"Non",TblApplications[Mois prov (calc)],"&lt;="&amp;$E910),SUMIFS(TblApplications[CPU IKS libérable (vCPU)],TblApplications[Cluster IKS source],$F910,TblApplications[Mois lib (calc)],"&lt;="&amp;$E910)))</f>
        <v>0</v>
      </c>
      <c r="Q910" s="19">
        <f>IF($D910&lt;&gt;1,"",IF($G910="ROKS",SUMIFS(TblApplications[Besoin ROKS RAM (Go)],TblApplications[Cluster ROKS cible],$F910,TblApplications[Action],"À migrer",TblApplications[Déjà incluse ROKS],"Non",TblApplications[Mois prov (calc)],"&lt;="&amp;$E910),SUMIFS(TblApplications[RAM IKS libérable (Go)],TblApplications[Cluster IKS source],$F910,TblApplications[Mois lib (calc)],"&lt;="&amp;$E910)))</f>
        <v>0</v>
      </c>
      <c r="R910" s="19">
        <f t="shared" si="241"/>
        <v>384</v>
      </c>
      <c r="S910" s="19">
        <f t="shared" si="242"/>
        <v>3072</v>
      </c>
      <c r="T910" s="19">
        <f t="shared" si="243"/>
        <v>6</v>
      </c>
      <c r="U910" s="19">
        <f t="shared" si="244"/>
        <v>384</v>
      </c>
      <c r="V910" s="19">
        <f t="shared" si="245"/>
        <v>3072</v>
      </c>
      <c r="W910" s="73">
        <f t="shared" si="246"/>
        <v>17052</v>
      </c>
      <c r="X910" s="19">
        <f>IF($D910&lt;&gt;1,"",IF($G910="ROKS",$R910,IF($AI910=1,0,MAX($N910,$L910-SUMIFS(TblApplications[CPU IKS libérable (vCPU)],TblApplications[Cluster IKS source],$F910,TblApplications[Action],"À migrer",TblApplications[Mois prov (calc)],"&lt;="&amp;$E910)-SUMIFS(TblApplications[CPU IKS libérable (vCPU)],TblApplications[Cluster IKS source],$F910,TblApplications[Action],"À décommissionner",TblApplications[Mois lib (calc)],"&lt;="&amp;$E910)))))</f>
        <v>384</v>
      </c>
      <c r="Y910" s="19">
        <f>IF($D910&lt;&gt;1,"",IF($G910="ROKS",$S910,IF($AI910=1,0,MAX($O910,$M910-SUMIFS(TblApplications[RAM IKS libérable (Go)],TblApplications[Cluster IKS source],$F910,TblApplications[Action],"À migrer",TblApplications[Mois prov (calc)],"&lt;="&amp;$E910)-SUMIFS(TblApplications[RAM IKS libérable (Go)],TblApplications[Cluster IKS source],$F910,TblApplications[Action],"À décommissionner",TblApplications[Mois lib (calc)],"&lt;="&amp;$E910)))))</f>
        <v>3072</v>
      </c>
      <c r="Z910" s="19">
        <f t="shared" si="247"/>
        <v>6</v>
      </c>
      <c r="AA910" s="73">
        <f t="shared" si="248"/>
        <v>17052</v>
      </c>
      <c r="AB910" s="19">
        <f t="shared" si="249"/>
        <v>6</v>
      </c>
      <c r="AC910" s="73">
        <f t="shared" si="250"/>
        <v>17052</v>
      </c>
      <c r="AD910" s="19">
        <f t="shared" si="251"/>
        <v>0</v>
      </c>
      <c r="AE910" s="19">
        <f t="shared" si="252"/>
        <v>0</v>
      </c>
      <c r="AF910" s="19" t="str">
        <f>IF($D910&lt;&gt;1,"",IF(INDEX(TblClusters[Environnement],$B910)="","(vide)",INDEX(TblClusters[Environnement],$B910)))</f>
        <v>NPRD</v>
      </c>
      <c r="AG910" s="19">
        <f t="shared" si="253"/>
        <v>691.2</v>
      </c>
      <c r="AH910" s="19">
        <f t="shared" si="254"/>
        <v>24.670138888888886</v>
      </c>
      <c r="AI910" s="19">
        <f>IF($D910&lt;&gt;1,"",IF(AND($G910="IKS",ISNUMBER(INDEX(TblClusters[Fermeture retenue],$B910))),IF($E910&gt;=INDEX(TblClusters[Fermeture retenue],$B910),1,0),0))</f>
        <v>0</v>
      </c>
    </row>
    <row r="911" spans="1:35" x14ac:dyDescent="0.2">
      <c r="A911" s="19">
        <v>906</v>
      </c>
      <c r="B911" s="19">
        <f t="shared" si="238"/>
        <v>26</v>
      </c>
      <c r="C911" s="19">
        <f t="shared" si="239"/>
        <v>6</v>
      </c>
      <c r="D911" s="19">
        <f>IF($C911&gt;p_horizon,0,IFERROR(IF(AND(INDEX(TblClusters[Cluster],$B911)&lt;&gt;"",ISNUMBER(INDEX(TblClusters[CPU initial (vCPU)],$B911)),ISNUMBER(INDEX(TblClusters[CPU min (vCPU)],$B911)),OR(INDEX(TblClusters[Plateforme],$B911)="IKS",INDEX(TblClusters[Plateforme],$B911)="ROKS")),1,0),0))</f>
        <v>1</v>
      </c>
      <c r="E911" s="72">
        <f t="shared" si="240"/>
        <v>46447</v>
      </c>
      <c r="F911" s="19" t="str">
        <f>IF($D911=1,INDEX(TblClusters[Cluster],$B911),"")</f>
        <v>ku002i000829</v>
      </c>
      <c r="G911" s="19" t="str">
        <f>IF($D911=1,INDEX(TblClusters[Plateforme],$B911),"")</f>
        <v>IKS</v>
      </c>
      <c r="H911" s="19">
        <f>IF($D911=1,INDEX(TblClusters[vCPU par nœud],$B911),"")</f>
        <v>64</v>
      </c>
      <c r="I911" s="19">
        <f>IF($D911=1,INDEX(TblClusters[RAM par nœud (Go)],$B911),"")</f>
        <v>512</v>
      </c>
      <c r="J911" s="19">
        <f>IF($D911=1,INDEX(TblClusters[Workers min],$B911),"")</f>
        <v>3</v>
      </c>
      <c r="K911" s="73">
        <f>IF($D911=1,INDEX(TblClusters[Tarif par nœud],$B911),"")</f>
        <v>2842</v>
      </c>
      <c r="L911" s="19">
        <f>IF($D911=1,INDEX(TblClusters[CPU initial (vCPU)],$B911),"")</f>
        <v>384</v>
      </c>
      <c r="M911" s="19">
        <f>IF($D911=1,INDEX(TblClusters[RAM initiale (Go)],$B911),"")</f>
        <v>3072</v>
      </c>
      <c r="N911" s="19">
        <f>IF($D911=1,INDEX(TblClusters[CPU min (vCPU)],$B911),"")</f>
        <v>192</v>
      </c>
      <c r="O911" s="19">
        <f>IF($D911=1,INDEX(TblClusters[RAM min (Go)],$B911),"")</f>
        <v>1536</v>
      </c>
      <c r="P911" s="19">
        <f>IF($D911&lt;&gt;1,"",IF($G911="ROKS",SUMIFS(TblApplications[Besoin ROKS CPU (vCPU)],TblApplications[Cluster ROKS cible],$F911,TblApplications[Action],"À migrer",TblApplications[Déjà incluse ROKS],"Non",TblApplications[Mois prov (calc)],"&lt;="&amp;$E911),SUMIFS(TblApplications[CPU IKS libérable (vCPU)],TblApplications[Cluster IKS source],$F911,TblApplications[Mois lib (calc)],"&lt;="&amp;$E911)))</f>
        <v>0</v>
      </c>
      <c r="Q911" s="19">
        <f>IF($D911&lt;&gt;1,"",IF($G911="ROKS",SUMIFS(TblApplications[Besoin ROKS RAM (Go)],TblApplications[Cluster ROKS cible],$F911,TblApplications[Action],"À migrer",TblApplications[Déjà incluse ROKS],"Non",TblApplications[Mois prov (calc)],"&lt;="&amp;$E911),SUMIFS(TblApplications[RAM IKS libérable (Go)],TblApplications[Cluster IKS source],$F911,TblApplications[Mois lib (calc)],"&lt;="&amp;$E911)))</f>
        <v>0</v>
      </c>
      <c r="R911" s="19">
        <f t="shared" si="241"/>
        <v>384</v>
      </c>
      <c r="S911" s="19">
        <f t="shared" si="242"/>
        <v>3072</v>
      </c>
      <c r="T911" s="19">
        <f t="shared" si="243"/>
        <v>6</v>
      </c>
      <c r="U911" s="19">
        <f t="shared" si="244"/>
        <v>384</v>
      </c>
      <c r="V911" s="19">
        <f t="shared" si="245"/>
        <v>3072</v>
      </c>
      <c r="W911" s="73">
        <f t="shared" si="246"/>
        <v>17052</v>
      </c>
      <c r="X911" s="19">
        <f>IF($D911&lt;&gt;1,"",IF($G911="ROKS",$R911,IF($AI911=1,0,MAX($N911,$L911-SUMIFS(TblApplications[CPU IKS libérable (vCPU)],TblApplications[Cluster IKS source],$F911,TblApplications[Action],"À migrer",TblApplications[Mois prov (calc)],"&lt;="&amp;$E911)-SUMIFS(TblApplications[CPU IKS libérable (vCPU)],TblApplications[Cluster IKS source],$F911,TblApplications[Action],"À décommissionner",TblApplications[Mois lib (calc)],"&lt;="&amp;$E911)))))</f>
        <v>384</v>
      </c>
      <c r="Y911" s="19">
        <f>IF($D911&lt;&gt;1,"",IF($G911="ROKS",$S911,IF($AI911=1,0,MAX($O911,$M911-SUMIFS(TblApplications[RAM IKS libérable (Go)],TblApplications[Cluster IKS source],$F911,TblApplications[Action],"À migrer",TblApplications[Mois prov (calc)],"&lt;="&amp;$E911)-SUMIFS(TblApplications[RAM IKS libérable (Go)],TblApplications[Cluster IKS source],$F911,TblApplications[Action],"À décommissionner",TblApplications[Mois lib (calc)],"&lt;="&amp;$E911)))))</f>
        <v>3072</v>
      </c>
      <c r="Z911" s="19">
        <f t="shared" si="247"/>
        <v>6</v>
      </c>
      <c r="AA911" s="73">
        <f t="shared" si="248"/>
        <v>17052</v>
      </c>
      <c r="AB911" s="19">
        <f t="shared" si="249"/>
        <v>6</v>
      </c>
      <c r="AC911" s="73">
        <f t="shared" si="250"/>
        <v>17052</v>
      </c>
      <c r="AD911" s="19">
        <f t="shared" si="251"/>
        <v>0</v>
      </c>
      <c r="AE911" s="19">
        <f t="shared" si="252"/>
        <v>0</v>
      </c>
      <c r="AF911" s="19" t="str">
        <f>IF($D911&lt;&gt;1,"",IF(INDEX(TblClusters[Environnement],$B911)="","(vide)",INDEX(TblClusters[Environnement],$B911)))</f>
        <v>NPRD</v>
      </c>
      <c r="AG911" s="19">
        <f t="shared" si="253"/>
        <v>691.2</v>
      </c>
      <c r="AH911" s="19">
        <f t="shared" si="254"/>
        <v>24.670138888888886</v>
      </c>
      <c r="AI911" s="19">
        <f>IF($D911&lt;&gt;1,"",IF(AND($G911="IKS",ISNUMBER(INDEX(TblClusters[Fermeture retenue],$B911))),IF($E911&gt;=INDEX(TblClusters[Fermeture retenue],$B911),1,0),0))</f>
        <v>0</v>
      </c>
    </row>
    <row r="912" spans="1:35" x14ac:dyDescent="0.2">
      <c r="A912" s="19">
        <v>907</v>
      </c>
      <c r="B912" s="19">
        <f t="shared" si="238"/>
        <v>26</v>
      </c>
      <c r="C912" s="19">
        <f t="shared" si="239"/>
        <v>7</v>
      </c>
      <c r="D912" s="19">
        <f>IF($C912&gt;p_horizon,0,IFERROR(IF(AND(INDEX(TblClusters[Cluster],$B912)&lt;&gt;"",ISNUMBER(INDEX(TblClusters[CPU initial (vCPU)],$B912)),ISNUMBER(INDEX(TblClusters[CPU min (vCPU)],$B912)),OR(INDEX(TblClusters[Plateforme],$B912)="IKS",INDEX(TblClusters[Plateforme],$B912)="ROKS")),1,0),0))</f>
        <v>1</v>
      </c>
      <c r="E912" s="72">
        <f t="shared" si="240"/>
        <v>46478</v>
      </c>
      <c r="F912" s="19" t="str">
        <f>IF($D912=1,INDEX(TblClusters[Cluster],$B912),"")</f>
        <v>ku002i000829</v>
      </c>
      <c r="G912" s="19" t="str">
        <f>IF($D912=1,INDEX(TblClusters[Plateforme],$B912),"")</f>
        <v>IKS</v>
      </c>
      <c r="H912" s="19">
        <f>IF($D912=1,INDEX(TblClusters[vCPU par nœud],$B912),"")</f>
        <v>64</v>
      </c>
      <c r="I912" s="19">
        <f>IF($D912=1,INDEX(TblClusters[RAM par nœud (Go)],$B912),"")</f>
        <v>512</v>
      </c>
      <c r="J912" s="19">
        <f>IF($D912=1,INDEX(TblClusters[Workers min],$B912),"")</f>
        <v>3</v>
      </c>
      <c r="K912" s="73">
        <f>IF($D912=1,INDEX(TblClusters[Tarif par nœud],$B912),"")</f>
        <v>2842</v>
      </c>
      <c r="L912" s="19">
        <f>IF($D912=1,INDEX(TblClusters[CPU initial (vCPU)],$B912),"")</f>
        <v>384</v>
      </c>
      <c r="M912" s="19">
        <f>IF($D912=1,INDEX(TblClusters[RAM initiale (Go)],$B912),"")</f>
        <v>3072</v>
      </c>
      <c r="N912" s="19">
        <f>IF($D912=1,INDEX(TblClusters[CPU min (vCPU)],$B912),"")</f>
        <v>192</v>
      </c>
      <c r="O912" s="19">
        <f>IF($D912=1,INDEX(TblClusters[RAM min (Go)],$B912),"")</f>
        <v>1536</v>
      </c>
      <c r="P912" s="19">
        <f>IF($D912&lt;&gt;1,"",IF($G912="ROKS",SUMIFS(TblApplications[Besoin ROKS CPU (vCPU)],TblApplications[Cluster ROKS cible],$F912,TblApplications[Action],"À migrer",TblApplications[Déjà incluse ROKS],"Non",TblApplications[Mois prov (calc)],"&lt;="&amp;$E912),SUMIFS(TblApplications[CPU IKS libérable (vCPU)],TblApplications[Cluster IKS source],$F912,TblApplications[Mois lib (calc)],"&lt;="&amp;$E912)))</f>
        <v>0</v>
      </c>
      <c r="Q912" s="19">
        <f>IF($D912&lt;&gt;1,"",IF($G912="ROKS",SUMIFS(TblApplications[Besoin ROKS RAM (Go)],TblApplications[Cluster ROKS cible],$F912,TblApplications[Action],"À migrer",TblApplications[Déjà incluse ROKS],"Non",TblApplications[Mois prov (calc)],"&lt;="&amp;$E912),SUMIFS(TblApplications[RAM IKS libérable (Go)],TblApplications[Cluster IKS source],$F912,TblApplications[Mois lib (calc)],"&lt;="&amp;$E912)))</f>
        <v>0</v>
      </c>
      <c r="R912" s="19">
        <f t="shared" si="241"/>
        <v>384</v>
      </c>
      <c r="S912" s="19">
        <f t="shared" si="242"/>
        <v>3072</v>
      </c>
      <c r="T912" s="19">
        <f t="shared" si="243"/>
        <v>6</v>
      </c>
      <c r="U912" s="19">
        <f t="shared" si="244"/>
        <v>384</v>
      </c>
      <c r="V912" s="19">
        <f t="shared" si="245"/>
        <v>3072</v>
      </c>
      <c r="W912" s="73">
        <f t="shared" si="246"/>
        <v>17052</v>
      </c>
      <c r="X912" s="19">
        <f>IF($D912&lt;&gt;1,"",IF($G912="ROKS",$R912,IF($AI912=1,0,MAX($N912,$L912-SUMIFS(TblApplications[CPU IKS libérable (vCPU)],TblApplications[Cluster IKS source],$F912,TblApplications[Action],"À migrer",TblApplications[Mois prov (calc)],"&lt;="&amp;$E912)-SUMIFS(TblApplications[CPU IKS libérable (vCPU)],TblApplications[Cluster IKS source],$F912,TblApplications[Action],"À décommissionner",TblApplications[Mois lib (calc)],"&lt;="&amp;$E912)))))</f>
        <v>384</v>
      </c>
      <c r="Y912" s="19">
        <f>IF($D912&lt;&gt;1,"",IF($G912="ROKS",$S912,IF($AI912=1,0,MAX($O912,$M912-SUMIFS(TblApplications[RAM IKS libérable (Go)],TblApplications[Cluster IKS source],$F912,TblApplications[Action],"À migrer",TblApplications[Mois prov (calc)],"&lt;="&amp;$E912)-SUMIFS(TblApplications[RAM IKS libérable (Go)],TblApplications[Cluster IKS source],$F912,TblApplications[Action],"À décommissionner",TblApplications[Mois lib (calc)],"&lt;="&amp;$E912)))))</f>
        <v>3072</v>
      </c>
      <c r="Z912" s="19">
        <f t="shared" si="247"/>
        <v>6</v>
      </c>
      <c r="AA912" s="73">
        <f t="shared" si="248"/>
        <v>17052</v>
      </c>
      <c r="AB912" s="19">
        <f t="shared" si="249"/>
        <v>6</v>
      </c>
      <c r="AC912" s="73">
        <f t="shared" si="250"/>
        <v>17052</v>
      </c>
      <c r="AD912" s="19">
        <f t="shared" si="251"/>
        <v>0</v>
      </c>
      <c r="AE912" s="19">
        <f t="shared" si="252"/>
        <v>0</v>
      </c>
      <c r="AF912" s="19" t="str">
        <f>IF($D912&lt;&gt;1,"",IF(INDEX(TblClusters[Environnement],$B912)="","(vide)",INDEX(TblClusters[Environnement],$B912)))</f>
        <v>NPRD</v>
      </c>
      <c r="AG912" s="19">
        <f t="shared" si="253"/>
        <v>691.2</v>
      </c>
      <c r="AH912" s="19">
        <f t="shared" si="254"/>
        <v>24.670138888888886</v>
      </c>
      <c r="AI912" s="19">
        <f>IF($D912&lt;&gt;1,"",IF(AND($G912="IKS",ISNUMBER(INDEX(TblClusters[Fermeture retenue],$B912))),IF($E912&gt;=INDEX(TblClusters[Fermeture retenue],$B912),1,0),0))</f>
        <v>0</v>
      </c>
    </row>
    <row r="913" spans="1:35" x14ac:dyDescent="0.2">
      <c r="A913" s="19">
        <v>908</v>
      </c>
      <c r="B913" s="19">
        <f t="shared" si="238"/>
        <v>26</v>
      </c>
      <c r="C913" s="19">
        <f t="shared" si="239"/>
        <v>8</v>
      </c>
      <c r="D913" s="19">
        <f>IF($C913&gt;p_horizon,0,IFERROR(IF(AND(INDEX(TblClusters[Cluster],$B913)&lt;&gt;"",ISNUMBER(INDEX(TblClusters[CPU initial (vCPU)],$B913)),ISNUMBER(INDEX(TblClusters[CPU min (vCPU)],$B913)),OR(INDEX(TblClusters[Plateforme],$B913)="IKS",INDEX(TblClusters[Plateforme],$B913)="ROKS")),1,0),0))</f>
        <v>1</v>
      </c>
      <c r="E913" s="72">
        <f t="shared" si="240"/>
        <v>46508</v>
      </c>
      <c r="F913" s="19" t="str">
        <f>IF($D913=1,INDEX(TblClusters[Cluster],$B913),"")</f>
        <v>ku002i000829</v>
      </c>
      <c r="G913" s="19" t="str">
        <f>IF($D913=1,INDEX(TblClusters[Plateforme],$B913),"")</f>
        <v>IKS</v>
      </c>
      <c r="H913" s="19">
        <f>IF($D913=1,INDEX(TblClusters[vCPU par nœud],$B913),"")</f>
        <v>64</v>
      </c>
      <c r="I913" s="19">
        <f>IF($D913=1,INDEX(TblClusters[RAM par nœud (Go)],$B913),"")</f>
        <v>512</v>
      </c>
      <c r="J913" s="19">
        <f>IF($D913=1,INDEX(TblClusters[Workers min],$B913),"")</f>
        <v>3</v>
      </c>
      <c r="K913" s="73">
        <f>IF($D913=1,INDEX(TblClusters[Tarif par nœud],$B913),"")</f>
        <v>2842</v>
      </c>
      <c r="L913" s="19">
        <f>IF($D913=1,INDEX(TblClusters[CPU initial (vCPU)],$B913),"")</f>
        <v>384</v>
      </c>
      <c r="M913" s="19">
        <f>IF($D913=1,INDEX(TblClusters[RAM initiale (Go)],$B913),"")</f>
        <v>3072</v>
      </c>
      <c r="N913" s="19">
        <f>IF($D913=1,INDEX(TblClusters[CPU min (vCPU)],$B913),"")</f>
        <v>192</v>
      </c>
      <c r="O913" s="19">
        <f>IF($D913=1,INDEX(TblClusters[RAM min (Go)],$B913),"")</f>
        <v>1536</v>
      </c>
      <c r="P913" s="19">
        <f>IF($D913&lt;&gt;1,"",IF($G913="ROKS",SUMIFS(TblApplications[Besoin ROKS CPU (vCPU)],TblApplications[Cluster ROKS cible],$F913,TblApplications[Action],"À migrer",TblApplications[Déjà incluse ROKS],"Non",TblApplications[Mois prov (calc)],"&lt;="&amp;$E913),SUMIFS(TblApplications[CPU IKS libérable (vCPU)],TblApplications[Cluster IKS source],$F913,TblApplications[Mois lib (calc)],"&lt;="&amp;$E913)))</f>
        <v>0</v>
      </c>
      <c r="Q913" s="19">
        <f>IF($D913&lt;&gt;1,"",IF($G913="ROKS",SUMIFS(TblApplications[Besoin ROKS RAM (Go)],TblApplications[Cluster ROKS cible],$F913,TblApplications[Action],"À migrer",TblApplications[Déjà incluse ROKS],"Non",TblApplications[Mois prov (calc)],"&lt;="&amp;$E913),SUMIFS(TblApplications[RAM IKS libérable (Go)],TblApplications[Cluster IKS source],$F913,TblApplications[Mois lib (calc)],"&lt;="&amp;$E913)))</f>
        <v>0</v>
      </c>
      <c r="R913" s="19">
        <f t="shared" si="241"/>
        <v>384</v>
      </c>
      <c r="S913" s="19">
        <f t="shared" si="242"/>
        <v>3072</v>
      </c>
      <c r="T913" s="19">
        <f t="shared" si="243"/>
        <v>6</v>
      </c>
      <c r="U913" s="19">
        <f t="shared" si="244"/>
        <v>384</v>
      </c>
      <c r="V913" s="19">
        <f t="shared" si="245"/>
        <v>3072</v>
      </c>
      <c r="W913" s="73">
        <f t="shared" si="246"/>
        <v>17052</v>
      </c>
      <c r="X913" s="19">
        <f>IF($D913&lt;&gt;1,"",IF($G913="ROKS",$R913,IF($AI913=1,0,MAX($N913,$L913-SUMIFS(TblApplications[CPU IKS libérable (vCPU)],TblApplications[Cluster IKS source],$F913,TblApplications[Action],"À migrer",TblApplications[Mois prov (calc)],"&lt;="&amp;$E913)-SUMIFS(TblApplications[CPU IKS libérable (vCPU)],TblApplications[Cluster IKS source],$F913,TblApplications[Action],"À décommissionner",TblApplications[Mois lib (calc)],"&lt;="&amp;$E913)))))</f>
        <v>384</v>
      </c>
      <c r="Y913" s="19">
        <f>IF($D913&lt;&gt;1,"",IF($G913="ROKS",$S913,IF($AI913=1,0,MAX($O913,$M913-SUMIFS(TblApplications[RAM IKS libérable (Go)],TblApplications[Cluster IKS source],$F913,TblApplications[Action],"À migrer",TblApplications[Mois prov (calc)],"&lt;="&amp;$E913)-SUMIFS(TblApplications[RAM IKS libérable (Go)],TblApplications[Cluster IKS source],$F913,TblApplications[Action],"À décommissionner",TblApplications[Mois lib (calc)],"&lt;="&amp;$E913)))))</f>
        <v>3072</v>
      </c>
      <c r="Z913" s="19">
        <f t="shared" si="247"/>
        <v>6</v>
      </c>
      <c r="AA913" s="73">
        <f t="shared" si="248"/>
        <v>17052</v>
      </c>
      <c r="AB913" s="19">
        <f t="shared" si="249"/>
        <v>6</v>
      </c>
      <c r="AC913" s="73">
        <f t="shared" si="250"/>
        <v>17052</v>
      </c>
      <c r="AD913" s="19">
        <f t="shared" si="251"/>
        <v>0</v>
      </c>
      <c r="AE913" s="19">
        <f t="shared" si="252"/>
        <v>0</v>
      </c>
      <c r="AF913" s="19" t="str">
        <f>IF($D913&lt;&gt;1,"",IF(INDEX(TblClusters[Environnement],$B913)="","(vide)",INDEX(TblClusters[Environnement],$B913)))</f>
        <v>NPRD</v>
      </c>
      <c r="AG913" s="19">
        <f t="shared" si="253"/>
        <v>691.2</v>
      </c>
      <c r="AH913" s="19">
        <f t="shared" si="254"/>
        <v>24.670138888888886</v>
      </c>
      <c r="AI913" s="19">
        <f>IF($D913&lt;&gt;1,"",IF(AND($G913="IKS",ISNUMBER(INDEX(TblClusters[Fermeture retenue],$B913))),IF($E913&gt;=INDEX(TblClusters[Fermeture retenue],$B913),1,0),0))</f>
        <v>0</v>
      </c>
    </row>
    <row r="914" spans="1:35" x14ac:dyDescent="0.2">
      <c r="A914" s="19">
        <v>909</v>
      </c>
      <c r="B914" s="19">
        <f t="shared" si="238"/>
        <v>26</v>
      </c>
      <c r="C914" s="19">
        <f t="shared" si="239"/>
        <v>9</v>
      </c>
      <c r="D914" s="19">
        <f>IF($C914&gt;p_horizon,0,IFERROR(IF(AND(INDEX(TblClusters[Cluster],$B914)&lt;&gt;"",ISNUMBER(INDEX(TblClusters[CPU initial (vCPU)],$B914)),ISNUMBER(INDEX(TblClusters[CPU min (vCPU)],$B914)),OR(INDEX(TblClusters[Plateforme],$B914)="IKS",INDEX(TblClusters[Plateforme],$B914)="ROKS")),1,0),0))</f>
        <v>1</v>
      </c>
      <c r="E914" s="72">
        <f t="shared" si="240"/>
        <v>46539</v>
      </c>
      <c r="F914" s="19" t="str">
        <f>IF($D914=1,INDEX(TblClusters[Cluster],$B914),"")</f>
        <v>ku002i000829</v>
      </c>
      <c r="G914" s="19" t="str">
        <f>IF($D914=1,INDEX(TblClusters[Plateforme],$B914),"")</f>
        <v>IKS</v>
      </c>
      <c r="H914" s="19">
        <f>IF($D914=1,INDEX(TblClusters[vCPU par nœud],$B914),"")</f>
        <v>64</v>
      </c>
      <c r="I914" s="19">
        <f>IF($D914=1,INDEX(TblClusters[RAM par nœud (Go)],$B914),"")</f>
        <v>512</v>
      </c>
      <c r="J914" s="19">
        <f>IF($D914=1,INDEX(TblClusters[Workers min],$B914),"")</f>
        <v>3</v>
      </c>
      <c r="K914" s="73">
        <f>IF($D914=1,INDEX(TblClusters[Tarif par nœud],$B914),"")</f>
        <v>2842</v>
      </c>
      <c r="L914" s="19">
        <f>IF($D914=1,INDEX(TblClusters[CPU initial (vCPU)],$B914),"")</f>
        <v>384</v>
      </c>
      <c r="M914" s="19">
        <f>IF($D914=1,INDEX(TblClusters[RAM initiale (Go)],$B914),"")</f>
        <v>3072</v>
      </c>
      <c r="N914" s="19">
        <f>IF($D914=1,INDEX(TblClusters[CPU min (vCPU)],$B914),"")</f>
        <v>192</v>
      </c>
      <c r="O914" s="19">
        <f>IF($D914=1,INDEX(TblClusters[RAM min (Go)],$B914),"")</f>
        <v>1536</v>
      </c>
      <c r="P914" s="19">
        <f>IF($D914&lt;&gt;1,"",IF($G914="ROKS",SUMIFS(TblApplications[Besoin ROKS CPU (vCPU)],TblApplications[Cluster ROKS cible],$F914,TblApplications[Action],"À migrer",TblApplications[Déjà incluse ROKS],"Non",TblApplications[Mois prov (calc)],"&lt;="&amp;$E914),SUMIFS(TblApplications[CPU IKS libérable (vCPU)],TblApplications[Cluster IKS source],$F914,TblApplications[Mois lib (calc)],"&lt;="&amp;$E914)))</f>
        <v>0</v>
      </c>
      <c r="Q914" s="19">
        <f>IF($D914&lt;&gt;1,"",IF($G914="ROKS",SUMIFS(TblApplications[Besoin ROKS RAM (Go)],TblApplications[Cluster ROKS cible],$F914,TblApplications[Action],"À migrer",TblApplications[Déjà incluse ROKS],"Non",TblApplications[Mois prov (calc)],"&lt;="&amp;$E914),SUMIFS(TblApplications[RAM IKS libérable (Go)],TblApplications[Cluster IKS source],$F914,TblApplications[Mois lib (calc)],"&lt;="&amp;$E914)))</f>
        <v>0</v>
      </c>
      <c r="R914" s="19">
        <f t="shared" si="241"/>
        <v>384</v>
      </c>
      <c r="S914" s="19">
        <f t="shared" si="242"/>
        <v>3072</v>
      </c>
      <c r="T914" s="19">
        <f t="shared" si="243"/>
        <v>6</v>
      </c>
      <c r="U914" s="19">
        <f t="shared" si="244"/>
        <v>384</v>
      </c>
      <c r="V914" s="19">
        <f t="shared" si="245"/>
        <v>3072</v>
      </c>
      <c r="W914" s="73">
        <f t="shared" si="246"/>
        <v>17052</v>
      </c>
      <c r="X914" s="19">
        <f>IF($D914&lt;&gt;1,"",IF($G914="ROKS",$R914,IF($AI914=1,0,MAX($N914,$L914-SUMIFS(TblApplications[CPU IKS libérable (vCPU)],TblApplications[Cluster IKS source],$F914,TblApplications[Action],"À migrer",TblApplications[Mois prov (calc)],"&lt;="&amp;$E914)-SUMIFS(TblApplications[CPU IKS libérable (vCPU)],TblApplications[Cluster IKS source],$F914,TblApplications[Action],"À décommissionner",TblApplications[Mois lib (calc)],"&lt;="&amp;$E914)))))</f>
        <v>384</v>
      </c>
      <c r="Y914" s="19">
        <f>IF($D914&lt;&gt;1,"",IF($G914="ROKS",$S914,IF($AI914=1,0,MAX($O914,$M914-SUMIFS(TblApplications[RAM IKS libérable (Go)],TblApplications[Cluster IKS source],$F914,TblApplications[Action],"À migrer",TblApplications[Mois prov (calc)],"&lt;="&amp;$E914)-SUMIFS(TblApplications[RAM IKS libérable (Go)],TblApplications[Cluster IKS source],$F914,TblApplications[Action],"À décommissionner",TblApplications[Mois lib (calc)],"&lt;="&amp;$E914)))))</f>
        <v>3072</v>
      </c>
      <c r="Z914" s="19">
        <f t="shared" si="247"/>
        <v>6</v>
      </c>
      <c r="AA914" s="73">
        <f t="shared" si="248"/>
        <v>17052</v>
      </c>
      <c r="AB914" s="19">
        <f t="shared" si="249"/>
        <v>6</v>
      </c>
      <c r="AC914" s="73">
        <f t="shared" si="250"/>
        <v>17052</v>
      </c>
      <c r="AD914" s="19">
        <f t="shared" si="251"/>
        <v>0</v>
      </c>
      <c r="AE914" s="19">
        <f t="shared" si="252"/>
        <v>0</v>
      </c>
      <c r="AF914" s="19" t="str">
        <f>IF($D914&lt;&gt;1,"",IF(INDEX(TblClusters[Environnement],$B914)="","(vide)",INDEX(TblClusters[Environnement],$B914)))</f>
        <v>NPRD</v>
      </c>
      <c r="AG914" s="19">
        <f t="shared" si="253"/>
        <v>691.2</v>
      </c>
      <c r="AH914" s="19">
        <f t="shared" si="254"/>
        <v>24.670138888888886</v>
      </c>
      <c r="AI914" s="19">
        <f>IF($D914&lt;&gt;1,"",IF(AND($G914="IKS",ISNUMBER(INDEX(TblClusters[Fermeture retenue],$B914))),IF($E914&gt;=INDEX(TblClusters[Fermeture retenue],$B914),1,0),0))</f>
        <v>0</v>
      </c>
    </row>
    <row r="915" spans="1:35" x14ac:dyDescent="0.2">
      <c r="A915" s="19">
        <v>910</v>
      </c>
      <c r="B915" s="19">
        <f t="shared" si="238"/>
        <v>26</v>
      </c>
      <c r="C915" s="19">
        <f t="shared" si="239"/>
        <v>10</v>
      </c>
      <c r="D915" s="19">
        <f>IF($C915&gt;p_horizon,0,IFERROR(IF(AND(INDEX(TblClusters[Cluster],$B915)&lt;&gt;"",ISNUMBER(INDEX(TblClusters[CPU initial (vCPU)],$B915)),ISNUMBER(INDEX(TblClusters[CPU min (vCPU)],$B915)),OR(INDEX(TblClusters[Plateforme],$B915)="IKS",INDEX(TblClusters[Plateforme],$B915)="ROKS")),1,0),0))</f>
        <v>1</v>
      </c>
      <c r="E915" s="72">
        <f t="shared" si="240"/>
        <v>46569</v>
      </c>
      <c r="F915" s="19" t="str">
        <f>IF($D915=1,INDEX(TblClusters[Cluster],$B915),"")</f>
        <v>ku002i000829</v>
      </c>
      <c r="G915" s="19" t="str">
        <f>IF($D915=1,INDEX(TblClusters[Plateforme],$B915),"")</f>
        <v>IKS</v>
      </c>
      <c r="H915" s="19">
        <f>IF($D915=1,INDEX(TblClusters[vCPU par nœud],$B915),"")</f>
        <v>64</v>
      </c>
      <c r="I915" s="19">
        <f>IF($D915=1,INDEX(TblClusters[RAM par nœud (Go)],$B915),"")</f>
        <v>512</v>
      </c>
      <c r="J915" s="19">
        <f>IF($D915=1,INDEX(TblClusters[Workers min],$B915),"")</f>
        <v>3</v>
      </c>
      <c r="K915" s="73">
        <f>IF($D915=1,INDEX(TblClusters[Tarif par nœud],$B915),"")</f>
        <v>2842</v>
      </c>
      <c r="L915" s="19">
        <f>IF($D915=1,INDEX(TblClusters[CPU initial (vCPU)],$B915),"")</f>
        <v>384</v>
      </c>
      <c r="M915" s="19">
        <f>IF($D915=1,INDEX(TblClusters[RAM initiale (Go)],$B915),"")</f>
        <v>3072</v>
      </c>
      <c r="N915" s="19">
        <f>IF($D915=1,INDEX(TblClusters[CPU min (vCPU)],$B915),"")</f>
        <v>192</v>
      </c>
      <c r="O915" s="19">
        <f>IF($D915=1,INDEX(TblClusters[RAM min (Go)],$B915),"")</f>
        <v>1536</v>
      </c>
      <c r="P915" s="19">
        <f>IF($D915&lt;&gt;1,"",IF($G915="ROKS",SUMIFS(TblApplications[Besoin ROKS CPU (vCPU)],TblApplications[Cluster ROKS cible],$F915,TblApplications[Action],"À migrer",TblApplications[Déjà incluse ROKS],"Non",TblApplications[Mois prov (calc)],"&lt;="&amp;$E915),SUMIFS(TblApplications[CPU IKS libérable (vCPU)],TblApplications[Cluster IKS source],$F915,TblApplications[Mois lib (calc)],"&lt;="&amp;$E915)))</f>
        <v>0</v>
      </c>
      <c r="Q915" s="19">
        <f>IF($D915&lt;&gt;1,"",IF($G915="ROKS",SUMIFS(TblApplications[Besoin ROKS RAM (Go)],TblApplications[Cluster ROKS cible],$F915,TblApplications[Action],"À migrer",TblApplications[Déjà incluse ROKS],"Non",TblApplications[Mois prov (calc)],"&lt;="&amp;$E915),SUMIFS(TblApplications[RAM IKS libérable (Go)],TblApplications[Cluster IKS source],$F915,TblApplications[Mois lib (calc)],"&lt;="&amp;$E915)))</f>
        <v>0</v>
      </c>
      <c r="R915" s="19">
        <f t="shared" si="241"/>
        <v>384</v>
      </c>
      <c r="S915" s="19">
        <f t="shared" si="242"/>
        <v>3072</v>
      </c>
      <c r="T915" s="19">
        <f t="shared" si="243"/>
        <v>6</v>
      </c>
      <c r="U915" s="19">
        <f t="shared" si="244"/>
        <v>384</v>
      </c>
      <c r="V915" s="19">
        <f t="shared" si="245"/>
        <v>3072</v>
      </c>
      <c r="W915" s="73">
        <f t="shared" si="246"/>
        <v>17052</v>
      </c>
      <c r="X915" s="19">
        <f>IF($D915&lt;&gt;1,"",IF($G915="ROKS",$R915,IF($AI915=1,0,MAX($N915,$L915-SUMIFS(TblApplications[CPU IKS libérable (vCPU)],TblApplications[Cluster IKS source],$F915,TblApplications[Action],"À migrer",TblApplications[Mois prov (calc)],"&lt;="&amp;$E915)-SUMIFS(TblApplications[CPU IKS libérable (vCPU)],TblApplications[Cluster IKS source],$F915,TblApplications[Action],"À décommissionner",TblApplications[Mois lib (calc)],"&lt;="&amp;$E915)))))</f>
        <v>384</v>
      </c>
      <c r="Y915" s="19">
        <f>IF($D915&lt;&gt;1,"",IF($G915="ROKS",$S915,IF($AI915=1,0,MAX($O915,$M915-SUMIFS(TblApplications[RAM IKS libérable (Go)],TblApplications[Cluster IKS source],$F915,TblApplications[Action],"À migrer",TblApplications[Mois prov (calc)],"&lt;="&amp;$E915)-SUMIFS(TblApplications[RAM IKS libérable (Go)],TblApplications[Cluster IKS source],$F915,TblApplications[Action],"À décommissionner",TblApplications[Mois lib (calc)],"&lt;="&amp;$E915)))))</f>
        <v>3072</v>
      </c>
      <c r="Z915" s="19">
        <f t="shared" si="247"/>
        <v>6</v>
      </c>
      <c r="AA915" s="73">
        <f t="shared" si="248"/>
        <v>17052</v>
      </c>
      <c r="AB915" s="19">
        <f t="shared" si="249"/>
        <v>6</v>
      </c>
      <c r="AC915" s="73">
        <f t="shared" si="250"/>
        <v>17052</v>
      </c>
      <c r="AD915" s="19">
        <f t="shared" si="251"/>
        <v>0</v>
      </c>
      <c r="AE915" s="19">
        <f t="shared" si="252"/>
        <v>0</v>
      </c>
      <c r="AF915" s="19" t="str">
        <f>IF($D915&lt;&gt;1,"",IF(INDEX(TblClusters[Environnement],$B915)="","(vide)",INDEX(TblClusters[Environnement],$B915)))</f>
        <v>NPRD</v>
      </c>
      <c r="AG915" s="19">
        <f t="shared" si="253"/>
        <v>691.2</v>
      </c>
      <c r="AH915" s="19">
        <f t="shared" si="254"/>
        <v>24.670138888888886</v>
      </c>
      <c r="AI915" s="19">
        <f>IF($D915&lt;&gt;1,"",IF(AND($G915="IKS",ISNUMBER(INDEX(TblClusters[Fermeture retenue],$B915))),IF($E915&gt;=INDEX(TblClusters[Fermeture retenue],$B915),1,0),0))</f>
        <v>0</v>
      </c>
    </row>
    <row r="916" spans="1:35" x14ac:dyDescent="0.2">
      <c r="A916" s="19">
        <v>911</v>
      </c>
      <c r="B916" s="19">
        <f t="shared" si="238"/>
        <v>26</v>
      </c>
      <c r="C916" s="19">
        <f t="shared" si="239"/>
        <v>11</v>
      </c>
      <c r="D916" s="19">
        <f>IF($C916&gt;p_horizon,0,IFERROR(IF(AND(INDEX(TblClusters[Cluster],$B916)&lt;&gt;"",ISNUMBER(INDEX(TblClusters[CPU initial (vCPU)],$B916)),ISNUMBER(INDEX(TblClusters[CPU min (vCPU)],$B916)),OR(INDEX(TblClusters[Plateforme],$B916)="IKS",INDEX(TblClusters[Plateforme],$B916)="ROKS")),1,0),0))</f>
        <v>1</v>
      </c>
      <c r="E916" s="72">
        <f t="shared" si="240"/>
        <v>46600</v>
      </c>
      <c r="F916" s="19" t="str">
        <f>IF($D916=1,INDEX(TblClusters[Cluster],$B916),"")</f>
        <v>ku002i000829</v>
      </c>
      <c r="G916" s="19" t="str">
        <f>IF($D916=1,INDEX(TblClusters[Plateforme],$B916),"")</f>
        <v>IKS</v>
      </c>
      <c r="H916" s="19">
        <f>IF($D916=1,INDEX(TblClusters[vCPU par nœud],$B916),"")</f>
        <v>64</v>
      </c>
      <c r="I916" s="19">
        <f>IF($D916=1,INDEX(TblClusters[RAM par nœud (Go)],$B916),"")</f>
        <v>512</v>
      </c>
      <c r="J916" s="19">
        <f>IF($D916=1,INDEX(TblClusters[Workers min],$B916),"")</f>
        <v>3</v>
      </c>
      <c r="K916" s="73">
        <f>IF($D916=1,INDEX(TblClusters[Tarif par nœud],$B916),"")</f>
        <v>2842</v>
      </c>
      <c r="L916" s="19">
        <f>IF($D916=1,INDEX(TblClusters[CPU initial (vCPU)],$B916),"")</f>
        <v>384</v>
      </c>
      <c r="M916" s="19">
        <f>IF($D916=1,INDEX(TblClusters[RAM initiale (Go)],$B916),"")</f>
        <v>3072</v>
      </c>
      <c r="N916" s="19">
        <f>IF($D916=1,INDEX(TblClusters[CPU min (vCPU)],$B916),"")</f>
        <v>192</v>
      </c>
      <c r="O916" s="19">
        <f>IF($D916=1,INDEX(TblClusters[RAM min (Go)],$B916),"")</f>
        <v>1536</v>
      </c>
      <c r="P916" s="19">
        <f>IF($D916&lt;&gt;1,"",IF($G916="ROKS",SUMIFS(TblApplications[Besoin ROKS CPU (vCPU)],TblApplications[Cluster ROKS cible],$F916,TblApplications[Action],"À migrer",TblApplications[Déjà incluse ROKS],"Non",TblApplications[Mois prov (calc)],"&lt;="&amp;$E916),SUMIFS(TblApplications[CPU IKS libérable (vCPU)],TblApplications[Cluster IKS source],$F916,TblApplications[Mois lib (calc)],"&lt;="&amp;$E916)))</f>
        <v>0</v>
      </c>
      <c r="Q916" s="19">
        <f>IF($D916&lt;&gt;1,"",IF($G916="ROKS",SUMIFS(TblApplications[Besoin ROKS RAM (Go)],TblApplications[Cluster ROKS cible],$F916,TblApplications[Action],"À migrer",TblApplications[Déjà incluse ROKS],"Non",TblApplications[Mois prov (calc)],"&lt;="&amp;$E916),SUMIFS(TblApplications[RAM IKS libérable (Go)],TblApplications[Cluster IKS source],$F916,TblApplications[Mois lib (calc)],"&lt;="&amp;$E916)))</f>
        <v>0</v>
      </c>
      <c r="R916" s="19">
        <f t="shared" si="241"/>
        <v>384</v>
      </c>
      <c r="S916" s="19">
        <f t="shared" si="242"/>
        <v>3072</v>
      </c>
      <c r="T916" s="19">
        <f t="shared" si="243"/>
        <v>6</v>
      </c>
      <c r="U916" s="19">
        <f t="shared" si="244"/>
        <v>384</v>
      </c>
      <c r="V916" s="19">
        <f t="shared" si="245"/>
        <v>3072</v>
      </c>
      <c r="W916" s="73">
        <f t="shared" si="246"/>
        <v>17052</v>
      </c>
      <c r="X916" s="19">
        <f>IF($D916&lt;&gt;1,"",IF($G916="ROKS",$R916,IF($AI916=1,0,MAX($N916,$L916-SUMIFS(TblApplications[CPU IKS libérable (vCPU)],TblApplications[Cluster IKS source],$F916,TblApplications[Action],"À migrer",TblApplications[Mois prov (calc)],"&lt;="&amp;$E916)-SUMIFS(TblApplications[CPU IKS libérable (vCPU)],TblApplications[Cluster IKS source],$F916,TblApplications[Action],"À décommissionner",TblApplications[Mois lib (calc)],"&lt;="&amp;$E916)))))</f>
        <v>384</v>
      </c>
      <c r="Y916" s="19">
        <f>IF($D916&lt;&gt;1,"",IF($G916="ROKS",$S916,IF($AI916=1,0,MAX($O916,$M916-SUMIFS(TblApplications[RAM IKS libérable (Go)],TblApplications[Cluster IKS source],$F916,TblApplications[Action],"À migrer",TblApplications[Mois prov (calc)],"&lt;="&amp;$E916)-SUMIFS(TblApplications[RAM IKS libérable (Go)],TblApplications[Cluster IKS source],$F916,TblApplications[Action],"À décommissionner",TblApplications[Mois lib (calc)],"&lt;="&amp;$E916)))))</f>
        <v>3072</v>
      </c>
      <c r="Z916" s="19">
        <f t="shared" si="247"/>
        <v>6</v>
      </c>
      <c r="AA916" s="73">
        <f t="shared" si="248"/>
        <v>17052</v>
      </c>
      <c r="AB916" s="19">
        <f t="shared" si="249"/>
        <v>6</v>
      </c>
      <c r="AC916" s="73">
        <f t="shared" si="250"/>
        <v>17052</v>
      </c>
      <c r="AD916" s="19">
        <f t="shared" si="251"/>
        <v>0</v>
      </c>
      <c r="AE916" s="19">
        <f t="shared" si="252"/>
        <v>0</v>
      </c>
      <c r="AF916" s="19" t="str">
        <f>IF($D916&lt;&gt;1,"",IF(INDEX(TblClusters[Environnement],$B916)="","(vide)",INDEX(TblClusters[Environnement],$B916)))</f>
        <v>NPRD</v>
      </c>
      <c r="AG916" s="19">
        <f t="shared" si="253"/>
        <v>691.2</v>
      </c>
      <c r="AH916" s="19">
        <f t="shared" si="254"/>
        <v>24.670138888888886</v>
      </c>
      <c r="AI916" s="19">
        <f>IF($D916&lt;&gt;1,"",IF(AND($G916="IKS",ISNUMBER(INDEX(TblClusters[Fermeture retenue],$B916))),IF($E916&gt;=INDEX(TblClusters[Fermeture retenue],$B916),1,0),0))</f>
        <v>0</v>
      </c>
    </row>
    <row r="917" spans="1:35" x14ac:dyDescent="0.2">
      <c r="A917" s="19">
        <v>912</v>
      </c>
      <c r="B917" s="19">
        <f t="shared" si="238"/>
        <v>26</v>
      </c>
      <c r="C917" s="19">
        <f t="shared" si="239"/>
        <v>12</v>
      </c>
      <c r="D917" s="19">
        <f>IF($C917&gt;p_horizon,0,IFERROR(IF(AND(INDEX(TblClusters[Cluster],$B917)&lt;&gt;"",ISNUMBER(INDEX(TblClusters[CPU initial (vCPU)],$B917)),ISNUMBER(INDEX(TblClusters[CPU min (vCPU)],$B917)),OR(INDEX(TblClusters[Plateforme],$B917)="IKS",INDEX(TblClusters[Plateforme],$B917)="ROKS")),1,0),0))</f>
        <v>1</v>
      </c>
      <c r="E917" s="72">
        <f t="shared" si="240"/>
        <v>46631</v>
      </c>
      <c r="F917" s="19" t="str">
        <f>IF($D917=1,INDEX(TblClusters[Cluster],$B917),"")</f>
        <v>ku002i000829</v>
      </c>
      <c r="G917" s="19" t="str">
        <f>IF($D917=1,INDEX(TblClusters[Plateforme],$B917),"")</f>
        <v>IKS</v>
      </c>
      <c r="H917" s="19">
        <f>IF($D917=1,INDEX(TblClusters[vCPU par nœud],$B917),"")</f>
        <v>64</v>
      </c>
      <c r="I917" s="19">
        <f>IF($D917=1,INDEX(TblClusters[RAM par nœud (Go)],$B917),"")</f>
        <v>512</v>
      </c>
      <c r="J917" s="19">
        <f>IF($D917=1,INDEX(TblClusters[Workers min],$B917),"")</f>
        <v>3</v>
      </c>
      <c r="K917" s="73">
        <f>IF($D917=1,INDEX(TblClusters[Tarif par nœud],$B917),"")</f>
        <v>2842</v>
      </c>
      <c r="L917" s="19">
        <f>IF($D917=1,INDEX(TblClusters[CPU initial (vCPU)],$B917),"")</f>
        <v>384</v>
      </c>
      <c r="M917" s="19">
        <f>IF($D917=1,INDEX(TblClusters[RAM initiale (Go)],$B917),"")</f>
        <v>3072</v>
      </c>
      <c r="N917" s="19">
        <f>IF($D917=1,INDEX(TblClusters[CPU min (vCPU)],$B917),"")</f>
        <v>192</v>
      </c>
      <c r="O917" s="19">
        <f>IF($D917=1,INDEX(TblClusters[RAM min (Go)],$B917),"")</f>
        <v>1536</v>
      </c>
      <c r="P917" s="19">
        <f>IF($D917&lt;&gt;1,"",IF($G917="ROKS",SUMIFS(TblApplications[Besoin ROKS CPU (vCPU)],TblApplications[Cluster ROKS cible],$F917,TblApplications[Action],"À migrer",TblApplications[Déjà incluse ROKS],"Non",TblApplications[Mois prov (calc)],"&lt;="&amp;$E917),SUMIFS(TblApplications[CPU IKS libérable (vCPU)],TblApplications[Cluster IKS source],$F917,TblApplications[Mois lib (calc)],"&lt;="&amp;$E917)))</f>
        <v>0</v>
      </c>
      <c r="Q917" s="19">
        <f>IF($D917&lt;&gt;1,"",IF($G917="ROKS",SUMIFS(TblApplications[Besoin ROKS RAM (Go)],TblApplications[Cluster ROKS cible],$F917,TblApplications[Action],"À migrer",TblApplications[Déjà incluse ROKS],"Non",TblApplications[Mois prov (calc)],"&lt;="&amp;$E917),SUMIFS(TblApplications[RAM IKS libérable (Go)],TblApplications[Cluster IKS source],$F917,TblApplications[Mois lib (calc)],"&lt;="&amp;$E917)))</f>
        <v>0</v>
      </c>
      <c r="R917" s="19">
        <f t="shared" si="241"/>
        <v>384</v>
      </c>
      <c r="S917" s="19">
        <f t="shared" si="242"/>
        <v>3072</v>
      </c>
      <c r="T917" s="19">
        <f t="shared" si="243"/>
        <v>6</v>
      </c>
      <c r="U917" s="19">
        <f t="shared" si="244"/>
        <v>384</v>
      </c>
      <c r="V917" s="19">
        <f t="shared" si="245"/>
        <v>3072</v>
      </c>
      <c r="W917" s="73">
        <f t="shared" si="246"/>
        <v>17052</v>
      </c>
      <c r="X917" s="19">
        <f>IF($D917&lt;&gt;1,"",IF($G917="ROKS",$R917,IF($AI917=1,0,MAX($N917,$L917-SUMIFS(TblApplications[CPU IKS libérable (vCPU)],TblApplications[Cluster IKS source],$F917,TblApplications[Action],"À migrer",TblApplications[Mois prov (calc)],"&lt;="&amp;$E917)-SUMIFS(TblApplications[CPU IKS libérable (vCPU)],TblApplications[Cluster IKS source],$F917,TblApplications[Action],"À décommissionner",TblApplications[Mois lib (calc)],"&lt;="&amp;$E917)))))</f>
        <v>384</v>
      </c>
      <c r="Y917" s="19">
        <f>IF($D917&lt;&gt;1,"",IF($G917="ROKS",$S917,IF($AI917=1,0,MAX($O917,$M917-SUMIFS(TblApplications[RAM IKS libérable (Go)],TblApplications[Cluster IKS source],$F917,TblApplications[Action],"À migrer",TblApplications[Mois prov (calc)],"&lt;="&amp;$E917)-SUMIFS(TblApplications[RAM IKS libérable (Go)],TblApplications[Cluster IKS source],$F917,TblApplications[Action],"À décommissionner",TblApplications[Mois lib (calc)],"&lt;="&amp;$E917)))))</f>
        <v>3072</v>
      </c>
      <c r="Z917" s="19">
        <f t="shared" si="247"/>
        <v>6</v>
      </c>
      <c r="AA917" s="73">
        <f t="shared" si="248"/>
        <v>17052</v>
      </c>
      <c r="AB917" s="19">
        <f t="shared" si="249"/>
        <v>6</v>
      </c>
      <c r="AC917" s="73">
        <f t="shared" si="250"/>
        <v>17052</v>
      </c>
      <c r="AD917" s="19">
        <f t="shared" si="251"/>
        <v>0</v>
      </c>
      <c r="AE917" s="19">
        <f t="shared" si="252"/>
        <v>0</v>
      </c>
      <c r="AF917" s="19" t="str">
        <f>IF($D917&lt;&gt;1,"",IF(INDEX(TblClusters[Environnement],$B917)="","(vide)",INDEX(TblClusters[Environnement],$B917)))</f>
        <v>NPRD</v>
      </c>
      <c r="AG917" s="19">
        <f t="shared" si="253"/>
        <v>691.2</v>
      </c>
      <c r="AH917" s="19">
        <f t="shared" si="254"/>
        <v>24.670138888888886</v>
      </c>
      <c r="AI917" s="19">
        <f>IF($D917&lt;&gt;1,"",IF(AND($G917="IKS",ISNUMBER(INDEX(TblClusters[Fermeture retenue],$B917))),IF($E917&gt;=INDEX(TblClusters[Fermeture retenue],$B917),1,0),0))</f>
        <v>0</v>
      </c>
    </row>
    <row r="918" spans="1:35" x14ac:dyDescent="0.2">
      <c r="A918" s="19">
        <v>913</v>
      </c>
      <c r="B918" s="19">
        <f t="shared" si="238"/>
        <v>26</v>
      </c>
      <c r="C918" s="19">
        <f t="shared" si="239"/>
        <v>13</v>
      </c>
      <c r="D918" s="19">
        <f>IF($C918&gt;p_horizon,0,IFERROR(IF(AND(INDEX(TblClusters[Cluster],$B918)&lt;&gt;"",ISNUMBER(INDEX(TblClusters[CPU initial (vCPU)],$B918)),ISNUMBER(INDEX(TblClusters[CPU min (vCPU)],$B918)),OR(INDEX(TblClusters[Plateforme],$B918)="IKS",INDEX(TblClusters[Plateforme],$B918)="ROKS")),1,0),0))</f>
        <v>1</v>
      </c>
      <c r="E918" s="72">
        <f t="shared" si="240"/>
        <v>46661</v>
      </c>
      <c r="F918" s="19" t="str">
        <f>IF($D918=1,INDEX(TblClusters[Cluster],$B918),"")</f>
        <v>ku002i000829</v>
      </c>
      <c r="G918" s="19" t="str">
        <f>IF($D918=1,INDEX(TblClusters[Plateforme],$B918),"")</f>
        <v>IKS</v>
      </c>
      <c r="H918" s="19">
        <f>IF($D918=1,INDEX(TblClusters[vCPU par nœud],$B918),"")</f>
        <v>64</v>
      </c>
      <c r="I918" s="19">
        <f>IF($D918=1,INDEX(TblClusters[RAM par nœud (Go)],$B918),"")</f>
        <v>512</v>
      </c>
      <c r="J918" s="19">
        <f>IF($D918=1,INDEX(TblClusters[Workers min],$B918),"")</f>
        <v>3</v>
      </c>
      <c r="K918" s="73">
        <f>IF($D918=1,INDEX(TblClusters[Tarif par nœud],$B918),"")</f>
        <v>2842</v>
      </c>
      <c r="L918" s="19">
        <f>IF($D918=1,INDEX(TblClusters[CPU initial (vCPU)],$B918),"")</f>
        <v>384</v>
      </c>
      <c r="M918" s="19">
        <f>IF($D918=1,INDEX(TblClusters[RAM initiale (Go)],$B918),"")</f>
        <v>3072</v>
      </c>
      <c r="N918" s="19">
        <f>IF($D918=1,INDEX(TblClusters[CPU min (vCPU)],$B918),"")</f>
        <v>192</v>
      </c>
      <c r="O918" s="19">
        <f>IF($D918=1,INDEX(TblClusters[RAM min (Go)],$B918),"")</f>
        <v>1536</v>
      </c>
      <c r="P918" s="19">
        <f>IF($D918&lt;&gt;1,"",IF($G918="ROKS",SUMIFS(TblApplications[Besoin ROKS CPU (vCPU)],TblApplications[Cluster ROKS cible],$F918,TblApplications[Action],"À migrer",TblApplications[Déjà incluse ROKS],"Non",TblApplications[Mois prov (calc)],"&lt;="&amp;$E918),SUMIFS(TblApplications[CPU IKS libérable (vCPU)],TblApplications[Cluster IKS source],$F918,TblApplications[Mois lib (calc)],"&lt;="&amp;$E918)))</f>
        <v>0</v>
      </c>
      <c r="Q918" s="19">
        <f>IF($D918&lt;&gt;1,"",IF($G918="ROKS",SUMIFS(TblApplications[Besoin ROKS RAM (Go)],TblApplications[Cluster ROKS cible],$F918,TblApplications[Action],"À migrer",TblApplications[Déjà incluse ROKS],"Non",TblApplications[Mois prov (calc)],"&lt;="&amp;$E918),SUMIFS(TblApplications[RAM IKS libérable (Go)],TblApplications[Cluster IKS source],$F918,TblApplications[Mois lib (calc)],"&lt;="&amp;$E918)))</f>
        <v>0</v>
      </c>
      <c r="R918" s="19">
        <f t="shared" si="241"/>
        <v>384</v>
      </c>
      <c r="S918" s="19">
        <f t="shared" si="242"/>
        <v>3072</v>
      </c>
      <c r="T918" s="19">
        <f t="shared" si="243"/>
        <v>6</v>
      </c>
      <c r="U918" s="19">
        <f t="shared" si="244"/>
        <v>384</v>
      </c>
      <c r="V918" s="19">
        <f t="shared" si="245"/>
        <v>3072</v>
      </c>
      <c r="W918" s="73">
        <f t="shared" si="246"/>
        <v>17052</v>
      </c>
      <c r="X918" s="19">
        <f>IF($D918&lt;&gt;1,"",IF($G918="ROKS",$R918,IF($AI918=1,0,MAX($N918,$L918-SUMIFS(TblApplications[CPU IKS libérable (vCPU)],TblApplications[Cluster IKS source],$F918,TblApplications[Action],"À migrer",TblApplications[Mois prov (calc)],"&lt;="&amp;$E918)-SUMIFS(TblApplications[CPU IKS libérable (vCPU)],TblApplications[Cluster IKS source],$F918,TblApplications[Action],"À décommissionner",TblApplications[Mois lib (calc)],"&lt;="&amp;$E918)))))</f>
        <v>384</v>
      </c>
      <c r="Y918" s="19">
        <f>IF($D918&lt;&gt;1,"",IF($G918="ROKS",$S918,IF($AI918=1,0,MAX($O918,$M918-SUMIFS(TblApplications[RAM IKS libérable (Go)],TblApplications[Cluster IKS source],$F918,TblApplications[Action],"À migrer",TblApplications[Mois prov (calc)],"&lt;="&amp;$E918)-SUMIFS(TblApplications[RAM IKS libérable (Go)],TblApplications[Cluster IKS source],$F918,TblApplications[Action],"À décommissionner",TblApplications[Mois lib (calc)],"&lt;="&amp;$E918)))))</f>
        <v>3072</v>
      </c>
      <c r="Z918" s="19">
        <f t="shared" si="247"/>
        <v>6</v>
      </c>
      <c r="AA918" s="73">
        <f t="shared" si="248"/>
        <v>17052</v>
      </c>
      <c r="AB918" s="19">
        <f t="shared" si="249"/>
        <v>6</v>
      </c>
      <c r="AC918" s="73">
        <f t="shared" si="250"/>
        <v>17052</v>
      </c>
      <c r="AD918" s="19">
        <f t="shared" si="251"/>
        <v>0</v>
      </c>
      <c r="AE918" s="19">
        <f t="shared" si="252"/>
        <v>0</v>
      </c>
      <c r="AF918" s="19" t="str">
        <f>IF($D918&lt;&gt;1,"",IF(INDEX(TblClusters[Environnement],$B918)="","(vide)",INDEX(TblClusters[Environnement],$B918)))</f>
        <v>NPRD</v>
      </c>
      <c r="AG918" s="19">
        <f t="shared" si="253"/>
        <v>691.2</v>
      </c>
      <c r="AH918" s="19">
        <f t="shared" si="254"/>
        <v>24.670138888888886</v>
      </c>
      <c r="AI918" s="19">
        <f>IF($D918&lt;&gt;1,"",IF(AND($G918="IKS",ISNUMBER(INDEX(TblClusters[Fermeture retenue],$B918))),IF($E918&gt;=INDEX(TblClusters[Fermeture retenue],$B918),1,0),0))</f>
        <v>0</v>
      </c>
    </row>
    <row r="919" spans="1:35" x14ac:dyDescent="0.2">
      <c r="A919" s="19">
        <v>914</v>
      </c>
      <c r="B919" s="19">
        <f t="shared" si="238"/>
        <v>26</v>
      </c>
      <c r="C919" s="19">
        <f t="shared" si="239"/>
        <v>14</v>
      </c>
      <c r="D919" s="19">
        <f>IF($C919&gt;p_horizon,0,IFERROR(IF(AND(INDEX(TblClusters[Cluster],$B919)&lt;&gt;"",ISNUMBER(INDEX(TblClusters[CPU initial (vCPU)],$B919)),ISNUMBER(INDEX(TblClusters[CPU min (vCPU)],$B919)),OR(INDEX(TblClusters[Plateforme],$B919)="IKS",INDEX(TblClusters[Plateforme],$B919)="ROKS")),1,0),0))</f>
        <v>1</v>
      </c>
      <c r="E919" s="72">
        <f t="shared" si="240"/>
        <v>46692</v>
      </c>
      <c r="F919" s="19" t="str">
        <f>IF($D919=1,INDEX(TblClusters[Cluster],$B919),"")</f>
        <v>ku002i000829</v>
      </c>
      <c r="G919" s="19" t="str">
        <f>IF($D919=1,INDEX(TblClusters[Plateforme],$B919),"")</f>
        <v>IKS</v>
      </c>
      <c r="H919" s="19">
        <f>IF($D919=1,INDEX(TblClusters[vCPU par nœud],$B919),"")</f>
        <v>64</v>
      </c>
      <c r="I919" s="19">
        <f>IF($D919=1,INDEX(TblClusters[RAM par nœud (Go)],$B919),"")</f>
        <v>512</v>
      </c>
      <c r="J919" s="19">
        <f>IF($D919=1,INDEX(TblClusters[Workers min],$B919),"")</f>
        <v>3</v>
      </c>
      <c r="K919" s="73">
        <f>IF($D919=1,INDEX(TblClusters[Tarif par nœud],$B919),"")</f>
        <v>2842</v>
      </c>
      <c r="L919" s="19">
        <f>IF($D919=1,INDEX(TblClusters[CPU initial (vCPU)],$B919),"")</f>
        <v>384</v>
      </c>
      <c r="M919" s="19">
        <f>IF($D919=1,INDEX(TblClusters[RAM initiale (Go)],$B919),"")</f>
        <v>3072</v>
      </c>
      <c r="N919" s="19">
        <f>IF($D919=1,INDEX(TblClusters[CPU min (vCPU)],$B919),"")</f>
        <v>192</v>
      </c>
      <c r="O919" s="19">
        <f>IF($D919=1,INDEX(TblClusters[RAM min (Go)],$B919),"")</f>
        <v>1536</v>
      </c>
      <c r="P919" s="19">
        <f>IF($D919&lt;&gt;1,"",IF($G919="ROKS",SUMIFS(TblApplications[Besoin ROKS CPU (vCPU)],TblApplications[Cluster ROKS cible],$F919,TblApplications[Action],"À migrer",TblApplications[Déjà incluse ROKS],"Non",TblApplications[Mois prov (calc)],"&lt;="&amp;$E919),SUMIFS(TblApplications[CPU IKS libérable (vCPU)],TblApplications[Cluster IKS source],$F919,TblApplications[Mois lib (calc)],"&lt;="&amp;$E919)))</f>
        <v>0</v>
      </c>
      <c r="Q919" s="19">
        <f>IF($D919&lt;&gt;1,"",IF($G919="ROKS",SUMIFS(TblApplications[Besoin ROKS RAM (Go)],TblApplications[Cluster ROKS cible],$F919,TblApplications[Action],"À migrer",TblApplications[Déjà incluse ROKS],"Non",TblApplications[Mois prov (calc)],"&lt;="&amp;$E919),SUMIFS(TblApplications[RAM IKS libérable (Go)],TblApplications[Cluster IKS source],$F919,TblApplications[Mois lib (calc)],"&lt;="&amp;$E919)))</f>
        <v>0</v>
      </c>
      <c r="R919" s="19">
        <f t="shared" si="241"/>
        <v>384</v>
      </c>
      <c r="S919" s="19">
        <f t="shared" si="242"/>
        <v>3072</v>
      </c>
      <c r="T919" s="19">
        <f t="shared" si="243"/>
        <v>6</v>
      </c>
      <c r="U919" s="19">
        <f t="shared" si="244"/>
        <v>384</v>
      </c>
      <c r="V919" s="19">
        <f t="shared" si="245"/>
        <v>3072</v>
      </c>
      <c r="W919" s="73">
        <f t="shared" si="246"/>
        <v>17052</v>
      </c>
      <c r="X919" s="19">
        <f>IF($D919&lt;&gt;1,"",IF($G919="ROKS",$R919,IF($AI919=1,0,MAX($N919,$L919-SUMIFS(TblApplications[CPU IKS libérable (vCPU)],TblApplications[Cluster IKS source],$F919,TblApplications[Action],"À migrer",TblApplications[Mois prov (calc)],"&lt;="&amp;$E919)-SUMIFS(TblApplications[CPU IKS libérable (vCPU)],TblApplications[Cluster IKS source],$F919,TblApplications[Action],"À décommissionner",TblApplications[Mois lib (calc)],"&lt;="&amp;$E919)))))</f>
        <v>384</v>
      </c>
      <c r="Y919" s="19">
        <f>IF($D919&lt;&gt;1,"",IF($G919="ROKS",$S919,IF($AI919=1,0,MAX($O919,$M919-SUMIFS(TblApplications[RAM IKS libérable (Go)],TblApplications[Cluster IKS source],$F919,TblApplications[Action],"À migrer",TblApplications[Mois prov (calc)],"&lt;="&amp;$E919)-SUMIFS(TblApplications[RAM IKS libérable (Go)],TblApplications[Cluster IKS source],$F919,TblApplications[Action],"À décommissionner",TblApplications[Mois lib (calc)],"&lt;="&amp;$E919)))))</f>
        <v>3072</v>
      </c>
      <c r="Z919" s="19">
        <f t="shared" si="247"/>
        <v>6</v>
      </c>
      <c r="AA919" s="73">
        <f t="shared" si="248"/>
        <v>17052</v>
      </c>
      <c r="AB919" s="19">
        <f t="shared" si="249"/>
        <v>6</v>
      </c>
      <c r="AC919" s="73">
        <f t="shared" si="250"/>
        <v>17052</v>
      </c>
      <c r="AD919" s="19">
        <f t="shared" si="251"/>
        <v>0</v>
      </c>
      <c r="AE919" s="19">
        <f t="shared" si="252"/>
        <v>0</v>
      </c>
      <c r="AF919" s="19" t="str">
        <f>IF($D919&lt;&gt;1,"",IF(INDEX(TblClusters[Environnement],$B919)="","(vide)",INDEX(TblClusters[Environnement],$B919)))</f>
        <v>NPRD</v>
      </c>
      <c r="AG919" s="19">
        <f t="shared" si="253"/>
        <v>691.2</v>
      </c>
      <c r="AH919" s="19">
        <f t="shared" si="254"/>
        <v>24.670138888888886</v>
      </c>
      <c r="AI919" s="19">
        <f>IF($D919&lt;&gt;1,"",IF(AND($G919="IKS",ISNUMBER(INDEX(TblClusters[Fermeture retenue],$B919))),IF($E919&gt;=INDEX(TblClusters[Fermeture retenue],$B919),1,0),0))</f>
        <v>0</v>
      </c>
    </row>
    <row r="920" spans="1:35" x14ac:dyDescent="0.2">
      <c r="A920" s="19">
        <v>915</v>
      </c>
      <c r="B920" s="19">
        <f t="shared" si="238"/>
        <v>26</v>
      </c>
      <c r="C920" s="19">
        <f t="shared" si="239"/>
        <v>15</v>
      </c>
      <c r="D920" s="19">
        <f>IF($C920&gt;p_horizon,0,IFERROR(IF(AND(INDEX(TblClusters[Cluster],$B920)&lt;&gt;"",ISNUMBER(INDEX(TblClusters[CPU initial (vCPU)],$B920)),ISNUMBER(INDEX(TblClusters[CPU min (vCPU)],$B920)),OR(INDEX(TblClusters[Plateforme],$B920)="IKS",INDEX(TblClusters[Plateforme],$B920)="ROKS")),1,0),0))</f>
        <v>1</v>
      </c>
      <c r="E920" s="72">
        <f t="shared" si="240"/>
        <v>46722</v>
      </c>
      <c r="F920" s="19" t="str">
        <f>IF($D920=1,INDEX(TblClusters[Cluster],$B920),"")</f>
        <v>ku002i000829</v>
      </c>
      <c r="G920" s="19" t="str">
        <f>IF($D920=1,INDEX(TblClusters[Plateforme],$B920),"")</f>
        <v>IKS</v>
      </c>
      <c r="H920" s="19">
        <f>IF($D920=1,INDEX(TblClusters[vCPU par nœud],$B920),"")</f>
        <v>64</v>
      </c>
      <c r="I920" s="19">
        <f>IF($D920=1,INDEX(TblClusters[RAM par nœud (Go)],$B920),"")</f>
        <v>512</v>
      </c>
      <c r="J920" s="19">
        <f>IF($D920=1,INDEX(TblClusters[Workers min],$B920),"")</f>
        <v>3</v>
      </c>
      <c r="K920" s="73">
        <f>IF($D920=1,INDEX(TblClusters[Tarif par nœud],$B920),"")</f>
        <v>2842</v>
      </c>
      <c r="L920" s="19">
        <f>IF($D920=1,INDEX(TblClusters[CPU initial (vCPU)],$B920),"")</f>
        <v>384</v>
      </c>
      <c r="M920" s="19">
        <f>IF($D920=1,INDEX(TblClusters[RAM initiale (Go)],$B920),"")</f>
        <v>3072</v>
      </c>
      <c r="N920" s="19">
        <f>IF($D920=1,INDEX(TblClusters[CPU min (vCPU)],$B920),"")</f>
        <v>192</v>
      </c>
      <c r="O920" s="19">
        <f>IF($D920=1,INDEX(TblClusters[RAM min (Go)],$B920),"")</f>
        <v>1536</v>
      </c>
      <c r="P920" s="19">
        <f>IF($D920&lt;&gt;1,"",IF($G920="ROKS",SUMIFS(TblApplications[Besoin ROKS CPU (vCPU)],TblApplications[Cluster ROKS cible],$F920,TblApplications[Action],"À migrer",TblApplications[Déjà incluse ROKS],"Non",TblApplications[Mois prov (calc)],"&lt;="&amp;$E920),SUMIFS(TblApplications[CPU IKS libérable (vCPU)],TblApplications[Cluster IKS source],$F920,TblApplications[Mois lib (calc)],"&lt;="&amp;$E920)))</f>
        <v>0</v>
      </c>
      <c r="Q920" s="19">
        <f>IF($D920&lt;&gt;1,"",IF($G920="ROKS",SUMIFS(TblApplications[Besoin ROKS RAM (Go)],TblApplications[Cluster ROKS cible],$F920,TblApplications[Action],"À migrer",TblApplications[Déjà incluse ROKS],"Non",TblApplications[Mois prov (calc)],"&lt;="&amp;$E920),SUMIFS(TblApplications[RAM IKS libérable (Go)],TblApplications[Cluster IKS source],$F920,TblApplications[Mois lib (calc)],"&lt;="&amp;$E920)))</f>
        <v>0</v>
      </c>
      <c r="R920" s="19">
        <f t="shared" si="241"/>
        <v>384</v>
      </c>
      <c r="S920" s="19">
        <f t="shared" si="242"/>
        <v>3072</v>
      </c>
      <c r="T920" s="19">
        <f t="shared" si="243"/>
        <v>6</v>
      </c>
      <c r="U920" s="19">
        <f t="shared" si="244"/>
        <v>384</v>
      </c>
      <c r="V920" s="19">
        <f t="shared" si="245"/>
        <v>3072</v>
      </c>
      <c r="W920" s="73">
        <f t="shared" si="246"/>
        <v>17052</v>
      </c>
      <c r="X920" s="19">
        <f>IF($D920&lt;&gt;1,"",IF($G920="ROKS",$R920,IF($AI920=1,0,MAX($N920,$L920-SUMIFS(TblApplications[CPU IKS libérable (vCPU)],TblApplications[Cluster IKS source],$F920,TblApplications[Action],"À migrer",TblApplications[Mois prov (calc)],"&lt;="&amp;$E920)-SUMIFS(TblApplications[CPU IKS libérable (vCPU)],TblApplications[Cluster IKS source],$F920,TblApplications[Action],"À décommissionner",TblApplications[Mois lib (calc)],"&lt;="&amp;$E920)))))</f>
        <v>384</v>
      </c>
      <c r="Y920" s="19">
        <f>IF($D920&lt;&gt;1,"",IF($G920="ROKS",$S920,IF($AI920=1,0,MAX($O920,$M920-SUMIFS(TblApplications[RAM IKS libérable (Go)],TblApplications[Cluster IKS source],$F920,TblApplications[Action],"À migrer",TblApplications[Mois prov (calc)],"&lt;="&amp;$E920)-SUMIFS(TblApplications[RAM IKS libérable (Go)],TblApplications[Cluster IKS source],$F920,TblApplications[Action],"À décommissionner",TblApplications[Mois lib (calc)],"&lt;="&amp;$E920)))))</f>
        <v>3072</v>
      </c>
      <c r="Z920" s="19">
        <f t="shared" si="247"/>
        <v>6</v>
      </c>
      <c r="AA920" s="73">
        <f t="shared" si="248"/>
        <v>17052</v>
      </c>
      <c r="AB920" s="19">
        <f t="shared" si="249"/>
        <v>6</v>
      </c>
      <c r="AC920" s="73">
        <f t="shared" si="250"/>
        <v>17052</v>
      </c>
      <c r="AD920" s="19">
        <f t="shared" si="251"/>
        <v>0</v>
      </c>
      <c r="AE920" s="19">
        <f t="shared" si="252"/>
        <v>0</v>
      </c>
      <c r="AF920" s="19" t="str">
        <f>IF($D920&lt;&gt;1,"",IF(INDEX(TblClusters[Environnement],$B920)="","(vide)",INDEX(TblClusters[Environnement],$B920)))</f>
        <v>NPRD</v>
      </c>
      <c r="AG920" s="19">
        <f t="shared" si="253"/>
        <v>691.2</v>
      </c>
      <c r="AH920" s="19">
        <f t="shared" si="254"/>
        <v>24.670138888888886</v>
      </c>
      <c r="AI920" s="19">
        <f>IF($D920&lt;&gt;1,"",IF(AND($G920="IKS",ISNUMBER(INDEX(TblClusters[Fermeture retenue],$B920))),IF($E920&gt;=INDEX(TblClusters[Fermeture retenue],$B920),1,0),0))</f>
        <v>0</v>
      </c>
    </row>
    <row r="921" spans="1:35" x14ac:dyDescent="0.2">
      <c r="A921" s="19">
        <v>916</v>
      </c>
      <c r="B921" s="19">
        <f t="shared" si="238"/>
        <v>26</v>
      </c>
      <c r="C921" s="19">
        <f t="shared" si="239"/>
        <v>16</v>
      </c>
      <c r="D921" s="19">
        <f>IF($C921&gt;p_horizon,0,IFERROR(IF(AND(INDEX(TblClusters[Cluster],$B921)&lt;&gt;"",ISNUMBER(INDEX(TblClusters[CPU initial (vCPU)],$B921)),ISNUMBER(INDEX(TblClusters[CPU min (vCPU)],$B921)),OR(INDEX(TblClusters[Plateforme],$B921)="IKS",INDEX(TblClusters[Plateforme],$B921)="ROKS")),1,0),0))</f>
        <v>1</v>
      </c>
      <c r="E921" s="72">
        <f t="shared" si="240"/>
        <v>46753</v>
      </c>
      <c r="F921" s="19" t="str">
        <f>IF($D921=1,INDEX(TblClusters[Cluster],$B921),"")</f>
        <v>ku002i000829</v>
      </c>
      <c r="G921" s="19" t="str">
        <f>IF($D921=1,INDEX(TblClusters[Plateforme],$B921),"")</f>
        <v>IKS</v>
      </c>
      <c r="H921" s="19">
        <f>IF($D921=1,INDEX(TblClusters[vCPU par nœud],$B921),"")</f>
        <v>64</v>
      </c>
      <c r="I921" s="19">
        <f>IF($D921=1,INDEX(TblClusters[RAM par nœud (Go)],$B921),"")</f>
        <v>512</v>
      </c>
      <c r="J921" s="19">
        <f>IF($D921=1,INDEX(TblClusters[Workers min],$B921),"")</f>
        <v>3</v>
      </c>
      <c r="K921" s="73">
        <f>IF($D921=1,INDEX(TblClusters[Tarif par nœud],$B921),"")</f>
        <v>2842</v>
      </c>
      <c r="L921" s="19">
        <f>IF($D921=1,INDEX(TblClusters[CPU initial (vCPU)],$B921),"")</f>
        <v>384</v>
      </c>
      <c r="M921" s="19">
        <f>IF($D921=1,INDEX(TblClusters[RAM initiale (Go)],$B921),"")</f>
        <v>3072</v>
      </c>
      <c r="N921" s="19">
        <f>IF($D921=1,INDEX(TblClusters[CPU min (vCPU)],$B921),"")</f>
        <v>192</v>
      </c>
      <c r="O921" s="19">
        <f>IF($D921=1,INDEX(TblClusters[RAM min (Go)],$B921),"")</f>
        <v>1536</v>
      </c>
      <c r="P921" s="19">
        <f>IF($D921&lt;&gt;1,"",IF($G921="ROKS",SUMIFS(TblApplications[Besoin ROKS CPU (vCPU)],TblApplications[Cluster ROKS cible],$F921,TblApplications[Action],"À migrer",TblApplications[Déjà incluse ROKS],"Non",TblApplications[Mois prov (calc)],"&lt;="&amp;$E921),SUMIFS(TblApplications[CPU IKS libérable (vCPU)],TblApplications[Cluster IKS source],$F921,TblApplications[Mois lib (calc)],"&lt;="&amp;$E921)))</f>
        <v>0</v>
      </c>
      <c r="Q921" s="19">
        <f>IF($D921&lt;&gt;1,"",IF($G921="ROKS",SUMIFS(TblApplications[Besoin ROKS RAM (Go)],TblApplications[Cluster ROKS cible],$F921,TblApplications[Action],"À migrer",TblApplications[Déjà incluse ROKS],"Non",TblApplications[Mois prov (calc)],"&lt;="&amp;$E921),SUMIFS(TblApplications[RAM IKS libérable (Go)],TblApplications[Cluster IKS source],$F921,TblApplications[Mois lib (calc)],"&lt;="&amp;$E921)))</f>
        <v>0</v>
      </c>
      <c r="R921" s="19">
        <f t="shared" si="241"/>
        <v>384</v>
      </c>
      <c r="S921" s="19">
        <f t="shared" si="242"/>
        <v>3072</v>
      </c>
      <c r="T921" s="19">
        <f t="shared" si="243"/>
        <v>6</v>
      </c>
      <c r="U921" s="19">
        <f t="shared" si="244"/>
        <v>384</v>
      </c>
      <c r="V921" s="19">
        <f t="shared" si="245"/>
        <v>3072</v>
      </c>
      <c r="W921" s="73">
        <f t="shared" si="246"/>
        <v>17052</v>
      </c>
      <c r="X921" s="19">
        <f>IF($D921&lt;&gt;1,"",IF($G921="ROKS",$R921,IF($AI921=1,0,MAX($N921,$L921-SUMIFS(TblApplications[CPU IKS libérable (vCPU)],TblApplications[Cluster IKS source],$F921,TblApplications[Action],"À migrer",TblApplications[Mois prov (calc)],"&lt;="&amp;$E921)-SUMIFS(TblApplications[CPU IKS libérable (vCPU)],TblApplications[Cluster IKS source],$F921,TblApplications[Action],"À décommissionner",TblApplications[Mois lib (calc)],"&lt;="&amp;$E921)))))</f>
        <v>384</v>
      </c>
      <c r="Y921" s="19">
        <f>IF($D921&lt;&gt;1,"",IF($G921="ROKS",$S921,IF($AI921=1,0,MAX($O921,$M921-SUMIFS(TblApplications[RAM IKS libérable (Go)],TblApplications[Cluster IKS source],$F921,TblApplications[Action],"À migrer",TblApplications[Mois prov (calc)],"&lt;="&amp;$E921)-SUMIFS(TblApplications[RAM IKS libérable (Go)],TblApplications[Cluster IKS source],$F921,TblApplications[Action],"À décommissionner",TblApplications[Mois lib (calc)],"&lt;="&amp;$E921)))))</f>
        <v>3072</v>
      </c>
      <c r="Z921" s="19">
        <f t="shared" si="247"/>
        <v>6</v>
      </c>
      <c r="AA921" s="73">
        <f t="shared" si="248"/>
        <v>17052</v>
      </c>
      <c r="AB921" s="19">
        <f t="shared" si="249"/>
        <v>6</v>
      </c>
      <c r="AC921" s="73">
        <f t="shared" si="250"/>
        <v>17052</v>
      </c>
      <c r="AD921" s="19">
        <f t="shared" si="251"/>
        <v>0</v>
      </c>
      <c r="AE921" s="19">
        <f t="shared" si="252"/>
        <v>0</v>
      </c>
      <c r="AF921" s="19" t="str">
        <f>IF($D921&lt;&gt;1,"",IF(INDEX(TblClusters[Environnement],$B921)="","(vide)",INDEX(TblClusters[Environnement],$B921)))</f>
        <v>NPRD</v>
      </c>
      <c r="AG921" s="19">
        <f t="shared" si="253"/>
        <v>691.2</v>
      </c>
      <c r="AH921" s="19">
        <f t="shared" si="254"/>
        <v>24.670138888888886</v>
      </c>
      <c r="AI921" s="19">
        <f>IF($D921&lt;&gt;1,"",IF(AND($G921="IKS",ISNUMBER(INDEX(TblClusters[Fermeture retenue],$B921))),IF($E921&gt;=INDEX(TblClusters[Fermeture retenue],$B921),1,0),0))</f>
        <v>0</v>
      </c>
    </row>
    <row r="922" spans="1:35" x14ac:dyDescent="0.2">
      <c r="A922" s="19">
        <v>917</v>
      </c>
      <c r="B922" s="19">
        <f t="shared" si="238"/>
        <v>26</v>
      </c>
      <c r="C922" s="19">
        <f t="shared" si="239"/>
        <v>17</v>
      </c>
      <c r="D922" s="19">
        <f>IF($C922&gt;p_horizon,0,IFERROR(IF(AND(INDEX(TblClusters[Cluster],$B922)&lt;&gt;"",ISNUMBER(INDEX(TblClusters[CPU initial (vCPU)],$B922)),ISNUMBER(INDEX(TblClusters[CPU min (vCPU)],$B922)),OR(INDEX(TblClusters[Plateforme],$B922)="IKS",INDEX(TblClusters[Plateforme],$B922)="ROKS")),1,0),0))</f>
        <v>1</v>
      </c>
      <c r="E922" s="72">
        <f t="shared" si="240"/>
        <v>46784</v>
      </c>
      <c r="F922" s="19" t="str">
        <f>IF($D922=1,INDEX(TblClusters[Cluster],$B922),"")</f>
        <v>ku002i000829</v>
      </c>
      <c r="G922" s="19" t="str">
        <f>IF($D922=1,INDEX(TblClusters[Plateforme],$B922),"")</f>
        <v>IKS</v>
      </c>
      <c r="H922" s="19">
        <f>IF($D922=1,INDEX(TblClusters[vCPU par nœud],$B922),"")</f>
        <v>64</v>
      </c>
      <c r="I922" s="19">
        <f>IF($D922=1,INDEX(TblClusters[RAM par nœud (Go)],$B922),"")</f>
        <v>512</v>
      </c>
      <c r="J922" s="19">
        <f>IF($D922=1,INDEX(TblClusters[Workers min],$B922),"")</f>
        <v>3</v>
      </c>
      <c r="K922" s="73">
        <f>IF($D922=1,INDEX(TblClusters[Tarif par nœud],$B922),"")</f>
        <v>2842</v>
      </c>
      <c r="L922" s="19">
        <f>IF($D922=1,INDEX(TblClusters[CPU initial (vCPU)],$B922),"")</f>
        <v>384</v>
      </c>
      <c r="M922" s="19">
        <f>IF($D922=1,INDEX(TblClusters[RAM initiale (Go)],$B922),"")</f>
        <v>3072</v>
      </c>
      <c r="N922" s="19">
        <f>IF($D922=1,INDEX(TblClusters[CPU min (vCPU)],$B922),"")</f>
        <v>192</v>
      </c>
      <c r="O922" s="19">
        <f>IF($D922=1,INDEX(TblClusters[RAM min (Go)],$B922),"")</f>
        <v>1536</v>
      </c>
      <c r="P922" s="19">
        <f>IF($D922&lt;&gt;1,"",IF($G922="ROKS",SUMIFS(TblApplications[Besoin ROKS CPU (vCPU)],TblApplications[Cluster ROKS cible],$F922,TblApplications[Action],"À migrer",TblApplications[Déjà incluse ROKS],"Non",TblApplications[Mois prov (calc)],"&lt;="&amp;$E922),SUMIFS(TblApplications[CPU IKS libérable (vCPU)],TblApplications[Cluster IKS source],$F922,TblApplications[Mois lib (calc)],"&lt;="&amp;$E922)))</f>
        <v>0</v>
      </c>
      <c r="Q922" s="19">
        <f>IF($D922&lt;&gt;1,"",IF($G922="ROKS",SUMIFS(TblApplications[Besoin ROKS RAM (Go)],TblApplications[Cluster ROKS cible],$F922,TblApplications[Action],"À migrer",TblApplications[Déjà incluse ROKS],"Non",TblApplications[Mois prov (calc)],"&lt;="&amp;$E922),SUMIFS(TblApplications[RAM IKS libérable (Go)],TblApplications[Cluster IKS source],$F922,TblApplications[Mois lib (calc)],"&lt;="&amp;$E922)))</f>
        <v>0</v>
      </c>
      <c r="R922" s="19">
        <f t="shared" si="241"/>
        <v>384</v>
      </c>
      <c r="S922" s="19">
        <f t="shared" si="242"/>
        <v>3072</v>
      </c>
      <c r="T922" s="19">
        <f t="shared" si="243"/>
        <v>6</v>
      </c>
      <c r="U922" s="19">
        <f t="shared" si="244"/>
        <v>384</v>
      </c>
      <c r="V922" s="19">
        <f t="shared" si="245"/>
        <v>3072</v>
      </c>
      <c r="W922" s="73">
        <f t="shared" si="246"/>
        <v>17052</v>
      </c>
      <c r="X922" s="19">
        <f>IF($D922&lt;&gt;1,"",IF($G922="ROKS",$R922,IF($AI922=1,0,MAX($N922,$L922-SUMIFS(TblApplications[CPU IKS libérable (vCPU)],TblApplications[Cluster IKS source],$F922,TblApplications[Action],"À migrer",TblApplications[Mois prov (calc)],"&lt;="&amp;$E922)-SUMIFS(TblApplications[CPU IKS libérable (vCPU)],TblApplications[Cluster IKS source],$F922,TblApplications[Action],"À décommissionner",TblApplications[Mois lib (calc)],"&lt;="&amp;$E922)))))</f>
        <v>384</v>
      </c>
      <c r="Y922" s="19">
        <f>IF($D922&lt;&gt;1,"",IF($G922="ROKS",$S922,IF($AI922=1,0,MAX($O922,$M922-SUMIFS(TblApplications[RAM IKS libérable (Go)],TblApplications[Cluster IKS source],$F922,TblApplications[Action],"À migrer",TblApplications[Mois prov (calc)],"&lt;="&amp;$E922)-SUMIFS(TblApplications[RAM IKS libérable (Go)],TblApplications[Cluster IKS source],$F922,TblApplications[Action],"À décommissionner",TblApplications[Mois lib (calc)],"&lt;="&amp;$E922)))))</f>
        <v>3072</v>
      </c>
      <c r="Z922" s="19">
        <f t="shared" si="247"/>
        <v>6</v>
      </c>
      <c r="AA922" s="73">
        <f t="shared" si="248"/>
        <v>17052</v>
      </c>
      <c r="AB922" s="19">
        <f t="shared" si="249"/>
        <v>6</v>
      </c>
      <c r="AC922" s="73">
        <f t="shared" si="250"/>
        <v>17052</v>
      </c>
      <c r="AD922" s="19">
        <f t="shared" si="251"/>
        <v>0</v>
      </c>
      <c r="AE922" s="19">
        <f t="shared" si="252"/>
        <v>0</v>
      </c>
      <c r="AF922" s="19" t="str">
        <f>IF($D922&lt;&gt;1,"",IF(INDEX(TblClusters[Environnement],$B922)="","(vide)",INDEX(TblClusters[Environnement],$B922)))</f>
        <v>NPRD</v>
      </c>
      <c r="AG922" s="19">
        <f t="shared" si="253"/>
        <v>691.2</v>
      </c>
      <c r="AH922" s="19">
        <f t="shared" si="254"/>
        <v>24.670138888888886</v>
      </c>
      <c r="AI922" s="19">
        <f>IF($D922&lt;&gt;1,"",IF(AND($G922="IKS",ISNUMBER(INDEX(TblClusters[Fermeture retenue],$B922))),IF($E922&gt;=INDEX(TblClusters[Fermeture retenue],$B922),1,0),0))</f>
        <v>0</v>
      </c>
    </row>
    <row r="923" spans="1:35" x14ac:dyDescent="0.2">
      <c r="A923" s="19">
        <v>918</v>
      </c>
      <c r="B923" s="19">
        <f t="shared" si="238"/>
        <v>26</v>
      </c>
      <c r="C923" s="19">
        <f t="shared" si="239"/>
        <v>18</v>
      </c>
      <c r="D923" s="19">
        <f>IF($C923&gt;p_horizon,0,IFERROR(IF(AND(INDEX(TblClusters[Cluster],$B923)&lt;&gt;"",ISNUMBER(INDEX(TblClusters[CPU initial (vCPU)],$B923)),ISNUMBER(INDEX(TblClusters[CPU min (vCPU)],$B923)),OR(INDEX(TblClusters[Plateforme],$B923)="IKS",INDEX(TblClusters[Plateforme],$B923)="ROKS")),1,0),0))</f>
        <v>1</v>
      </c>
      <c r="E923" s="72">
        <f t="shared" si="240"/>
        <v>46813</v>
      </c>
      <c r="F923" s="19" t="str">
        <f>IF($D923=1,INDEX(TblClusters[Cluster],$B923),"")</f>
        <v>ku002i000829</v>
      </c>
      <c r="G923" s="19" t="str">
        <f>IF($D923=1,INDEX(TblClusters[Plateforme],$B923),"")</f>
        <v>IKS</v>
      </c>
      <c r="H923" s="19">
        <f>IF($D923=1,INDEX(TblClusters[vCPU par nœud],$B923),"")</f>
        <v>64</v>
      </c>
      <c r="I923" s="19">
        <f>IF($D923=1,INDEX(TblClusters[RAM par nœud (Go)],$B923),"")</f>
        <v>512</v>
      </c>
      <c r="J923" s="19">
        <f>IF($D923=1,INDEX(TblClusters[Workers min],$B923),"")</f>
        <v>3</v>
      </c>
      <c r="K923" s="73">
        <f>IF($D923=1,INDEX(TblClusters[Tarif par nœud],$B923),"")</f>
        <v>2842</v>
      </c>
      <c r="L923" s="19">
        <f>IF($D923=1,INDEX(TblClusters[CPU initial (vCPU)],$B923),"")</f>
        <v>384</v>
      </c>
      <c r="M923" s="19">
        <f>IF($D923=1,INDEX(TblClusters[RAM initiale (Go)],$B923),"")</f>
        <v>3072</v>
      </c>
      <c r="N923" s="19">
        <f>IF($D923=1,INDEX(TblClusters[CPU min (vCPU)],$B923),"")</f>
        <v>192</v>
      </c>
      <c r="O923" s="19">
        <f>IF($D923=1,INDEX(TblClusters[RAM min (Go)],$B923),"")</f>
        <v>1536</v>
      </c>
      <c r="P923" s="19">
        <f>IF($D923&lt;&gt;1,"",IF($G923="ROKS",SUMIFS(TblApplications[Besoin ROKS CPU (vCPU)],TblApplications[Cluster ROKS cible],$F923,TblApplications[Action],"À migrer",TblApplications[Déjà incluse ROKS],"Non",TblApplications[Mois prov (calc)],"&lt;="&amp;$E923),SUMIFS(TblApplications[CPU IKS libérable (vCPU)],TblApplications[Cluster IKS source],$F923,TblApplications[Mois lib (calc)],"&lt;="&amp;$E923)))</f>
        <v>0</v>
      </c>
      <c r="Q923" s="19">
        <f>IF($D923&lt;&gt;1,"",IF($G923="ROKS",SUMIFS(TblApplications[Besoin ROKS RAM (Go)],TblApplications[Cluster ROKS cible],$F923,TblApplications[Action],"À migrer",TblApplications[Déjà incluse ROKS],"Non",TblApplications[Mois prov (calc)],"&lt;="&amp;$E923),SUMIFS(TblApplications[RAM IKS libérable (Go)],TblApplications[Cluster IKS source],$F923,TblApplications[Mois lib (calc)],"&lt;="&amp;$E923)))</f>
        <v>0</v>
      </c>
      <c r="R923" s="19">
        <f t="shared" si="241"/>
        <v>384</v>
      </c>
      <c r="S923" s="19">
        <f t="shared" si="242"/>
        <v>3072</v>
      </c>
      <c r="T923" s="19">
        <f t="shared" si="243"/>
        <v>6</v>
      </c>
      <c r="U923" s="19">
        <f t="shared" si="244"/>
        <v>384</v>
      </c>
      <c r="V923" s="19">
        <f t="shared" si="245"/>
        <v>3072</v>
      </c>
      <c r="W923" s="73">
        <f t="shared" si="246"/>
        <v>17052</v>
      </c>
      <c r="X923" s="19">
        <f>IF($D923&lt;&gt;1,"",IF($G923="ROKS",$R923,IF($AI923=1,0,MAX($N923,$L923-SUMIFS(TblApplications[CPU IKS libérable (vCPU)],TblApplications[Cluster IKS source],$F923,TblApplications[Action],"À migrer",TblApplications[Mois prov (calc)],"&lt;="&amp;$E923)-SUMIFS(TblApplications[CPU IKS libérable (vCPU)],TblApplications[Cluster IKS source],$F923,TblApplications[Action],"À décommissionner",TblApplications[Mois lib (calc)],"&lt;="&amp;$E923)))))</f>
        <v>384</v>
      </c>
      <c r="Y923" s="19">
        <f>IF($D923&lt;&gt;1,"",IF($G923="ROKS",$S923,IF($AI923=1,0,MAX($O923,$M923-SUMIFS(TblApplications[RAM IKS libérable (Go)],TblApplications[Cluster IKS source],$F923,TblApplications[Action],"À migrer",TblApplications[Mois prov (calc)],"&lt;="&amp;$E923)-SUMIFS(TblApplications[RAM IKS libérable (Go)],TblApplications[Cluster IKS source],$F923,TblApplications[Action],"À décommissionner",TblApplications[Mois lib (calc)],"&lt;="&amp;$E923)))))</f>
        <v>3072</v>
      </c>
      <c r="Z923" s="19">
        <f t="shared" si="247"/>
        <v>6</v>
      </c>
      <c r="AA923" s="73">
        <f t="shared" si="248"/>
        <v>17052</v>
      </c>
      <c r="AB923" s="19">
        <f t="shared" si="249"/>
        <v>6</v>
      </c>
      <c r="AC923" s="73">
        <f t="shared" si="250"/>
        <v>17052</v>
      </c>
      <c r="AD923" s="19">
        <f t="shared" si="251"/>
        <v>0</v>
      </c>
      <c r="AE923" s="19">
        <f t="shared" si="252"/>
        <v>0</v>
      </c>
      <c r="AF923" s="19" t="str">
        <f>IF($D923&lt;&gt;1,"",IF(INDEX(TblClusters[Environnement],$B923)="","(vide)",INDEX(TblClusters[Environnement],$B923)))</f>
        <v>NPRD</v>
      </c>
      <c r="AG923" s="19">
        <f t="shared" si="253"/>
        <v>691.2</v>
      </c>
      <c r="AH923" s="19">
        <f t="shared" si="254"/>
        <v>24.670138888888886</v>
      </c>
      <c r="AI923" s="19">
        <f>IF($D923&lt;&gt;1,"",IF(AND($G923="IKS",ISNUMBER(INDEX(TblClusters[Fermeture retenue],$B923))),IF($E923&gt;=INDEX(TblClusters[Fermeture retenue],$B923),1,0),0))</f>
        <v>0</v>
      </c>
    </row>
    <row r="924" spans="1:35" x14ac:dyDescent="0.2">
      <c r="A924" s="19">
        <v>919</v>
      </c>
      <c r="B924" s="19">
        <f t="shared" si="238"/>
        <v>26</v>
      </c>
      <c r="C924" s="19">
        <f t="shared" si="239"/>
        <v>19</v>
      </c>
      <c r="D924" s="19">
        <f>IF($C924&gt;p_horizon,0,IFERROR(IF(AND(INDEX(TblClusters[Cluster],$B924)&lt;&gt;"",ISNUMBER(INDEX(TblClusters[CPU initial (vCPU)],$B924)),ISNUMBER(INDEX(TblClusters[CPU min (vCPU)],$B924)),OR(INDEX(TblClusters[Plateforme],$B924)="IKS",INDEX(TblClusters[Plateforme],$B924)="ROKS")),1,0),0))</f>
        <v>1</v>
      </c>
      <c r="E924" s="72">
        <f t="shared" si="240"/>
        <v>46844</v>
      </c>
      <c r="F924" s="19" t="str">
        <f>IF($D924=1,INDEX(TblClusters[Cluster],$B924),"")</f>
        <v>ku002i000829</v>
      </c>
      <c r="G924" s="19" t="str">
        <f>IF($D924=1,INDEX(TblClusters[Plateforme],$B924),"")</f>
        <v>IKS</v>
      </c>
      <c r="H924" s="19">
        <f>IF($D924=1,INDEX(TblClusters[vCPU par nœud],$B924),"")</f>
        <v>64</v>
      </c>
      <c r="I924" s="19">
        <f>IF($D924=1,INDEX(TblClusters[RAM par nœud (Go)],$B924),"")</f>
        <v>512</v>
      </c>
      <c r="J924" s="19">
        <f>IF($D924=1,INDEX(TblClusters[Workers min],$B924),"")</f>
        <v>3</v>
      </c>
      <c r="K924" s="73">
        <f>IF($D924=1,INDEX(TblClusters[Tarif par nœud],$B924),"")</f>
        <v>2842</v>
      </c>
      <c r="L924" s="19">
        <f>IF($D924=1,INDEX(TblClusters[CPU initial (vCPU)],$B924),"")</f>
        <v>384</v>
      </c>
      <c r="M924" s="19">
        <f>IF($D924=1,INDEX(TblClusters[RAM initiale (Go)],$B924),"")</f>
        <v>3072</v>
      </c>
      <c r="N924" s="19">
        <f>IF($D924=1,INDEX(TblClusters[CPU min (vCPU)],$B924),"")</f>
        <v>192</v>
      </c>
      <c r="O924" s="19">
        <f>IF($D924=1,INDEX(TblClusters[RAM min (Go)],$B924),"")</f>
        <v>1536</v>
      </c>
      <c r="P924" s="19">
        <f>IF($D924&lt;&gt;1,"",IF($G924="ROKS",SUMIFS(TblApplications[Besoin ROKS CPU (vCPU)],TblApplications[Cluster ROKS cible],$F924,TblApplications[Action],"À migrer",TblApplications[Déjà incluse ROKS],"Non",TblApplications[Mois prov (calc)],"&lt;="&amp;$E924),SUMIFS(TblApplications[CPU IKS libérable (vCPU)],TblApplications[Cluster IKS source],$F924,TblApplications[Mois lib (calc)],"&lt;="&amp;$E924)))</f>
        <v>0</v>
      </c>
      <c r="Q924" s="19">
        <f>IF($D924&lt;&gt;1,"",IF($G924="ROKS",SUMIFS(TblApplications[Besoin ROKS RAM (Go)],TblApplications[Cluster ROKS cible],$F924,TblApplications[Action],"À migrer",TblApplications[Déjà incluse ROKS],"Non",TblApplications[Mois prov (calc)],"&lt;="&amp;$E924),SUMIFS(TblApplications[RAM IKS libérable (Go)],TblApplications[Cluster IKS source],$F924,TblApplications[Mois lib (calc)],"&lt;="&amp;$E924)))</f>
        <v>0</v>
      </c>
      <c r="R924" s="19">
        <f t="shared" si="241"/>
        <v>384</v>
      </c>
      <c r="S924" s="19">
        <f t="shared" si="242"/>
        <v>3072</v>
      </c>
      <c r="T924" s="19">
        <f t="shared" si="243"/>
        <v>6</v>
      </c>
      <c r="U924" s="19">
        <f t="shared" si="244"/>
        <v>384</v>
      </c>
      <c r="V924" s="19">
        <f t="shared" si="245"/>
        <v>3072</v>
      </c>
      <c r="W924" s="73">
        <f t="shared" si="246"/>
        <v>17052</v>
      </c>
      <c r="X924" s="19">
        <f>IF($D924&lt;&gt;1,"",IF($G924="ROKS",$R924,IF($AI924=1,0,MAX($N924,$L924-SUMIFS(TblApplications[CPU IKS libérable (vCPU)],TblApplications[Cluster IKS source],$F924,TblApplications[Action],"À migrer",TblApplications[Mois prov (calc)],"&lt;="&amp;$E924)-SUMIFS(TblApplications[CPU IKS libérable (vCPU)],TblApplications[Cluster IKS source],$F924,TblApplications[Action],"À décommissionner",TblApplications[Mois lib (calc)],"&lt;="&amp;$E924)))))</f>
        <v>384</v>
      </c>
      <c r="Y924" s="19">
        <f>IF($D924&lt;&gt;1,"",IF($G924="ROKS",$S924,IF($AI924=1,0,MAX($O924,$M924-SUMIFS(TblApplications[RAM IKS libérable (Go)],TblApplications[Cluster IKS source],$F924,TblApplications[Action],"À migrer",TblApplications[Mois prov (calc)],"&lt;="&amp;$E924)-SUMIFS(TblApplications[RAM IKS libérable (Go)],TblApplications[Cluster IKS source],$F924,TblApplications[Action],"À décommissionner",TblApplications[Mois lib (calc)],"&lt;="&amp;$E924)))))</f>
        <v>3072</v>
      </c>
      <c r="Z924" s="19">
        <f t="shared" si="247"/>
        <v>6</v>
      </c>
      <c r="AA924" s="73">
        <f t="shared" si="248"/>
        <v>17052</v>
      </c>
      <c r="AB924" s="19">
        <f t="shared" si="249"/>
        <v>6</v>
      </c>
      <c r="AC924" s="73">
        <f t="shared" si="250"/>
        <v>17052</v>
      </c>
      <c r="AD924" s="19">
        <f t="shared" si="251"/>
        <v>0</v>
      </c>
      <c r="AE924" s="19">
        <f t="shared" si="252"/>
        <v>0</v>
      </c>
      <c r="AF924" s="19" t="str">
        <f>IF($D924&lt;&gt;1,"",IF(INDEX(TblClusters[Environnement],$B924)="","(vide)",INDEX(TblClusters[Environnement],$B924)))</f>
        <v>NPRD</v>
      </c>
      <c r="AG924" s="19">
        <f t="shared" si="253"/>
        <v>691.2</v>
      </c>
      <c r="AH924" s="19">
        <f t="shared" si="254"/>
        <v>24.670138888888886</v>
      </c>
      <c r="AI924" s="19">
        <f>IF($D924&lt;&gt;1,"",IF(AND($G924="IKS",ISNUMBER(INDEX(TblClusters[Fermeture retenue],$B924))),IF($E924&gt;=INDEX(TblClusters[Fermeture retenue],$B924),1,0),0))</f>
        <v>0</v>
      </c>
    </row>
    <row r="925" spans="1:35" x14ac:dyDescent="0.2">
      <c r="A925" s="19">
        <v>920</v>
      </c>
      <c r="B925" s="19">
        <f t="shared" si="238"/>
        <v>26</v>
      </c>
      <c r="C925" s="19">
        <f t="shared" si="239"/>
        <v>20</v>
      </c>
      <c r="D925" s="19">
        <f>IF($C925&gt;p_horizon,0,IFERROR(IF(AND(INDEX(TblClusters[Cluster],$B925)&lt;&gt;"",ISNUMBER(INDEX(TblClusters[CPU initial (vCPU)],$B925)),ISNUMBER(INDEX(TblClusters[CPU min (vCPU)],$B925)),OR(INDEX(TblClusters[Plateforme],$B925)="IKS",INDEX(TblClusters[Plateforme],$B925)="ROKS")),1,0),0))</f>
        <v>1</v>
      </c>
      <c r="E925" s="72">
        <f t="shared" si="240"/>
        <v>46874</v>
      </c>
      <c r="F925" s="19" t="str">
        <f>IF($D925=1,INDEX(TblClusters[Cluster],$B925),"")</f>
        <v>ku002i000829</v>
      </c>
      <c r="G925" s="19" t="str">
        <f>IF($D925=1,INDEX(TblClusters[Plateforme],$B925),"")</f>
        <v>IKS</v>
      </c>
      <c r="H925" s="19">
        <f>IF($D925=1,INDEX(TblClusters[vCPU par nœud],$B925),"")</f>
        <v>64</v>
      </c>
      <c r="I925" s="19">
        <f>IF($D925=1,INDEX(TblClusters[RAM par nœud (Go)],$B925),"")</f>
        <v>512</v>
      </c>
      <c r="J925" s="19">
        <f>IF($D925=1,INDEX(TblClusters[Workers min],$B925),"")</f>
        <v>3</v>
      </c>
      <c r="K925" s="73">
        <f>IF($D925=1,INDEX(TblClusters[Tarif par nœud],$B925),"")</f>
        <v>2842</v>
      </c>
      <c r="L925" s="19">
        <f>IF($D925=1,INDEX(TblClusters[CPU initial (vCPU)],$B925),"")</f>
        <v>384</v>
      </c>
      <c r="M925" s="19">
        <f>IF($D925=1,INDEX(TblClusters[RAM initiale (Go)],$B925),"")</f>
        <v>3072</v>
      </c>
      <c r="N925" s="19">
        <f>IF($D925=1,INDEX(TblClusters[CPU min (vCPU)],$B925),"")</f>
        <v>192</v>
      </c>
      <c r="O925" s="19">
        <f>IF($D925=1,INDEX(TblClusters[RAM min (Go)],$B925),"")</f>
        <v>1536</v>
      </c>
      <c r="P925" s="19">
        <f>IF($D925&lt;&gt;1,"",IF($G925="ROKS",SUMIFS(TblApplications[Besoin ROKS CPU (vCPU)],TblApplications[Cluster ROKS cible],$F925,TblApplications[Action],"À migrer",TblApplications[Déjà incluse ROKS],"Non",TblApplications[Mois prov (calc)],"&lt;="&amp;$E925),SUMIFS(TblApplications[CPU IKS libérable (vCPU)],TblApplications[Cluster IKS source],$F925,TblApplications[Mois lib (calc)],"&lt;="&amp;$E925)))</f>
        <v>0</v>
      </c>
      <c r="Q925" s="19">
        <f>IF($D925&lt;&gt;1,"",IF($G925="ROKS",SUMIFS(TblApplications[Besoin ROKS RAM (Go)],TblApplications[Cluster ROKS cible],$F925,TblApplications[Action],"À migrer",TblApplications[Déjà incluse ROKS],"Non",TblApplications[Mois prov (calc)],"&lt;="&amp;$E925),SUMIFS(TblApplications[RAM IKS libérable (Go)],TblApplications[Cluster IKS source],$F925,TblApplications[Mois lib (calc)],"&lt;="&amp;$E925)))</f>
        <v>0</v>
      </c>
      <c r="R925" s="19">
        <f t="shared" si="241"/>
        <v>384</v>
      </c>
      <c r="S925" s="19">
        <f t="shared" si="242"/>
        <v>3072</v>
      </c>
      <c r="T925" s="19">
        <f t="shared" si="243"/>
        <v>6</v>
      </c>
      <c r="U925" s="19">
        <f t="shared" si="244"/>
        <v>384</v>
      </c>
      <c r="V925" s="19">
        <f t="shared" si="245"/>
        <v>3072</v>
      </c>
      <c r="W925" s="73">
        <f t="shared" si="246"/>
        <v>17052</v>
      </c>
      <c r="X925" s="19">
        <f>IF($D925&lt;&gt;1,"",IF($G925="ROKS",$R925,IF($AI925=1,0,MAX($N925,$L925-SUMIFS(TblApplications[CPU IKS libérable (vCPU)],TblApplications[Cluster IKS source],$F925,TblApplications[Action],"À migrer",TblApplications[Mois prov (calc)],"&lt;="&amp;$E925)-SUMIFS(TblApplications[CPU IKS libérable (vCPU)],TblApplications[Cluster IKS source],$F925,TblApplications[Action],"À décommissionner",TblApplications[Mois lib (calc)],"&lt;="&amp;$E925)))))</f>
        <v>384</v>
      </c>
      <c r="Y925" s="19">
        <f>IF($D925&lt;&gt;1,"",IF($G925="ROKS",$S925,IF($AI925=1,0,MAX($O925,$M925-SUMIFS(TblApplications[RAM IKS libérable (Go)],TblApplications[Cluster IKS source],$F925,TblApplications[Action],"À migrer",TblApplications[Mois prov (calc)],"&lt;="&amp;$E925)-SUMIFS(TblApplications[RAM IKS libérable (Go)],TblApplications[Cluster IKS source],$F925,TblApplications[Action],"À décommissionner",TblApplications[Mois lib (calc)],"&lt;="&amp;$E925)))))</f>
        <v>3072</v>
      </c>
      <c r="Z925" s="19">
        <f t="shared" si="247"/>
        <v>6</v>
      </c>
      <c r="AA925" s="73">
        <f t="shared" si="248"/>
        <v>17052</v>
      </c>
      <c r="AB925" s="19">
        <f t="shared" si="249"/>
        <v>6</v>
      </c>
      <c r="AC925" s="73">
        <f t="shared" si="250"/>
        <v>17052</v>
      </c>
      <c r="AD925" s="19">
        <f t="shared" si="251"/>
        <v>0</v>
      </c>
      <c r="AE925" s="19">
        <f t="shared" si="252"/>
        <v>0</v>
      </c>
      <c r="AF925" s="19" t="str">
        <f>IF($D925&lt;&gt;1,"",IF(INDEX(TblClusters[Environnement],$B925)="","(vide)",INDEX(TblClusters[Environnement],$B925)))</f>
        <v>NPRD</v>
      </c>
      <c r="AG925" s="19">
        <f t="shared" si="253"/>
        <v>691.2</v>
      </c>
      <c r="AH925" s="19">
        <f t="shared" si="254"/>
        <v>24.670138888888886</v>
      </c>
      <c r="AI925" s="19">
        <f>IF($D925&lt;&gt;1,"",IF(AND($G925="IKS",ISNUMBER(INDEX(TblClusters[Fermeture retenue],$B925))),IF($E925&gt;=INDEX(TblClusters[Fermeture retenue],$B925),1,0),0))</f>
        <v>0</v>
      </c>
    </row>
    <row r="926" spans="1:35" x14ac:dyDescent="0.2">
      <c r="A926" s="19">
        <v>921</v>
      </c>
      <c r="B926" s="19">
        <f t="shared" si="238"/>
        <v>26</v>
      </c>
      <c r="C926" s="19">
        <f t="shared" si="239"/>
        <v>21</v>
      </c>
      <c r="D926" s="19">
        <f>IF($C926&gt;p_horizon,0,IFERROR(IF(AND(INDEX(TblClusters[Cluster],$B926)&lt;&gt;"",ISNUMBER(INDEX(TblClusters[CPU initial (vCPU)],$B926)),ISNUMBER(INDEX(TblClusters[CPU min (vCPU)],$B926)),OR(INDEX(TblClusters[Plateforme],$B926)="IKS",INDEX(TblClusters[Plateforme],$B926)="ROKS")),1,0),0))</f>
        <v>1</v>
      </c>
      <c r="E926" s="72">
        <f t="shared" si="240"/>
        <v>46905</v>
      </c>
      <c r="F926" s="19" t="str">
        <f>IF($D926=1,INDEX(TblClusters[Cluster],$B926),"")</f>
        <v>ku002i000829</v>
      </c>
      <c r="G926" s="19" t="str">
        <f>IF($D926=1,INDEX(TblClusters[Plateforme],$B926),"")</f>
        <v>IKS</v>
      </c>
      <c r="H926" s="19">
        <f>IF($D926=1,INDEX(TblClusters[vCPU par nœud],$B926),"")</f>
        <v>64</v>
      </c>
      <c r="I926" s="19">
        <f>IF($D926=1,INDEX(TblClusters[RAM par nœud (Go)],$B926),"")</f>
        <v>512</v>
      </c>
      <c r="J926" s="19">
        <f>IF($D926=1,INDEX(TblClusters[Workers min],$B926),"")</f>
        <v>3</v>
      </c>
      <c r="K926" s="73">
        <f>IF($D926=1,INDEX(TblClusters[Tarif par nœud],$B926),"")</f>
        <v>2842</v>
      </c>
      <c r="L926" s="19">
        <f>IF($D926=1,INDEX(TblClusters[CPU initial (vCPU)],$B926),"")</f>
        <v>384</v>
      </c>
      <c r="M926" s="19">
        <f>IF($D926=1,INDEX(TblClusters[RAM initiale (Go)],$B926),"")</f>
        <v>3072</v>
      </c>
      <c r="N926" s="19">
        <f>IF($D926=1,INDEX(TblClusters[CPU min (vCPU)],$B926),"")</f>
        <v>192</v>
      </c>
      <c r="O926" s="19">
        <f>IF($D926=1,INDEX(TblClusters[RAM min (Go)],$B926),"")</f>
        <v>1536</v>
      </c>
      <c r="P926" s="19">
        <f>IF($D926&lt;&gt;1,"",IF($G926="ROKS",SUMIFS(TblApplications[Besoin ROKS CPU (vCPU)],TblApplications[Cluster ROKS cible],$F926,TblApplications[Action],"À migrer",TblApplications[Déjà incluse ROKS],"Non",TblApplications[Mois prov (calc)],"&lt;="&amp;$E926),SUMIFS(TblApplications[CPU IKS libérable (vCPU)],TblApplications[Cluster IKS source],$F926,TblApplications[Mois lib (calc)],"&lt;="&amp;$E926)))</f>
        <v>0</v>
      </c>
      <c r="Q926" s="19">
        <f>IF($D926&lt;&gt;1,"",IF($G926="ROKS",SUMIFS(TblApplications[Besoin ROKS RAM (Go)],TblApplications[Cluster ROKS cible],$F926,TblApplications[Action],"À migrer",TblApplications[Déjà incluse ROKS],"Non",TblApplications[Mois prov (calc)],"&lt;="&amp;$E926),SUMIFS(TblApplications[RAM IKS libérable (Go)],TblApplications[Cluster IKS source],$F926,TblApplications[Mois lib (calc)],"&lt;="&amp;$E926)))</f>
        <v>0</v>
      </c>
      <c r="R926" s="19">
        <f t="shared" si="241"/>
        <v>384</v>
      </c>
      <c r="S926" s="19">
        <f t="shared" si="242"/>
        <v>3072</v>
      </c>
      <c r="T926" s="19">
        <f t="shared" si="243"/>
        <v>6</v>
      </c>
      <c r="U926" s="19">
        <f t="shared" si="244"/>
        <v>384</v>
      </c>
      <c r="V926" s="19">
        <f t="shared" si="245"/>
        <v>3072</v>
      </c>
      <c r="W926" s="73">
        <f t="shared" si="246"/>
        <v>17052</v>
      </c>
      <c r="X926" s="19">
        <f>IF($D926&lt;&gt;1,"",IF($G926="ROKS",$R926,IF($AI926=1,0,MAX($N926,$L926-SUMIFS(TblApplications[CPU IKS libérable (vCPU)],TblApplications[Cluster IKS source],$F926,TblApplications[Action],"À migrer",TblApplications[Mois prov (calc)],"&lt;="&amp;$E926)-SUMIFS(TblApplications[CPU IKS libérable (vCPU)],TblApplications[Cluster IKS source],$F926,TblApplications[Action],"À décommissionner",TblApplications[Mois lib (calc)],"&lt;="&amp;$E926)))))</f>
        <v>384</v>
      </c>
      <c r="Y926" s="19">
        <f>IF($D926&lt;&gt;1,"",IF($G926="ROKS",$S926,IF($AI926=1,0,MAX($O926,$M926-SUMIFS(TblApplications[RAM IKS libérable (Go)],TblApplications[Cluster IKS source],$F926,TblApplications[Action],"À migrer",TblApplications[Mois prov (calc)],"&lt;="&amp;$E926)-SUMIFS(TblApplications[RAM IKS libérable (Go)],TblApplications[Cluster IKS source],$F926,TblApplications[Action],"À décommissionner",TblApplications[Mois lib (calc)],"&lt;="&amp;$E926)))))</f>
        <v>3072</v>
      </c>
      <c r="Z926" s="19">
        <f t="shared" si="247"/>
        <v>6</v>
      </c>
      <c r="AA926" s="73">
        <f t="shared" si="248"/>
        <v>17052</v>
      </c>
      <c r="AB926" s="19">
        <f t="shared" si="249"/>
        <v>6</v>
      </c>
      <c r="AC926" s="73">
        <f t="shared" si="250"/>
        <v>17052</v>
      </c>
      <c r="AD926" s="19">
        <f t="shared" si="251"/>
        <v>0</v>
      </c>
      <c r="AE926" s="19">
        <f t="shared" si="252"/>
        <v>0</v>
      </c>
      <c r="AF926" s="19" t="str">
        <f>IF($D926&lt;&gt;1,"",IF(INDEX(TblClusters[Environnement],$B926)="","(vide)",INDEX(TblClusters[Environnement],$B926)))</f>
        <v>NPRD</v>
      </c>
      <c r="AG926" s="19">
        <f t="shared" si="253"/>
        <v>691.2</v>
      </c>
      <c r="AH926" s="19">
        <f t="shared" si="254"/>
        <v>24.670138888888886</v>
      </c>
      <c r="AI926" s="19">
        <f>IF($D926&lt;&gt;1,"",IF(AND($G926="IKS",ISNUMBER(INDEX(TblClusters[Fermeture retenue],$B926))),IF($E926&gt;=INDEX(TblClusters[Fermeture retenue],$B926),1,0),0))</f>
        <v>0</v>
      </c>
    </row>
    <row r="927" spans="1:35" x14ac:dyDescent="0.2">
      <c r="A927" s="19">
        <v>922</v>
      </c>
      <c r="B927" s="19">
        <f t="shared" si="238"/>
        <v>26</v>
      </c>
      <c r="C927" s="19">
        <f t="shared" si="239"/>
        <v>22</v>
      </c>
      <c r="D927" s="19">
        <f>IF($C927&gt;p_horizon,0,IFERROR(IF(AND(INDEX(TblClusters[Cluster],$B927)&lt;&gt;"",ISNUMBER(INDEX(TblClusters[CPU initial (vCPU)],$B927)),ISNUMBER(INDEX(TblClusters[CPU min (vCPU)],$B927)),OR(INDEX(TblClusters[Plateforme],$B927)="IKS",INDEX(TblClusters[Plateforme],$B927)="ROKS")),1,0),0))</f>
        <v>1</v>
      </c>
      <c r="E927" s="72">
        <f t="shared" si="240"/>
        <v>46935</v>
      </c>
      <c r="F927" s="19" t="str">
        <f>IF($D927=1,INDEX(TblClusters[Cluster],$B927),"")</f>
        <v>ku002i000829</v>
      </c>
      <c r="G927" s="19" t="str">
        <f>IF($D927=1,INDEX(TblClusters[Plateforme],$B927),"")</f>
        <v>IKS</v>
      </c>
      <c r="H927" s="19">
        <f>IF($D927=1,INDEX(TblClusters[vCPU par nœud],$B927),"")</f>
        <v>64</v>
      </c>
      <c r="I927" s="19">
        <f>IF($D927=1,INDEX(TblClusters[RAM par nœud (Go)],$B927),"")</f>
        <v>512</v>
      </c>
      <c r="J927" s="19">
        <f>IF($D927=1,INDEX(TblClusters[Workers min],$B927),"")</f>
        <v>3</v>
      </c>
      <c r="K927" s="73">
        <f>IF($D927=1,INDEX(TblClusters[Tarif par nœud],$B927),"")</f>
        <v>2842</v>
      </c>
      <c r="L927" s="19">
        <f>IF($D927=1,INDEX(TblClusters[CPU initial (vCPU)],$B927),"")</f>
        <v>384</v>
      </c>
      <c r="M927" s="19">
        <f>IF($D927=1,INDEX(TblClusters[RAM initiale (Go)],$B927),"")</f>
        <v>3072</v>
      </c>
      <c r="N927" s="19">
        <f>IF($D927=1,INDEX(TblClusters[CPU min (vCPU)],$B927),"")</f>
        <v>192</v>
      </c>
      <c r="O927" s="19">
        <f>IF($D927=1,INDEX(TblClusters[RAM min (Go)],$B927),"")</f>
        <v>1536</v>
      </c>
      <c r="P927" s="19">
        <f>IF($D927&lt;&gt;1,"",IF($G927="ROKS",SUMIFS(TblApplications[Besoin ROKS CPU (vCPU)],TblApplications[Cluster ROKS cible],$F927,TblApplications[Action],"À migrer",TblApplications[Déjà incluse ROKS],"Non",TblApplications[Mois prov (calc)],"&lt;="&amp;$E927),SUMIFS(TblApplications[CPU IKS libérable (vCPU)],TblApplications[Cluster IKS source],$F927,TblApplications[Mois lib (calc)],"&lt;="&amp;$E927)))</f>
        <v>0</v>
      </c>
      <c r="Q927" s="19">
        <f>IF($D927&lt;&gt;1,"",IF($G927="ROKS",SUMIFS(TblApplications[Besoin ROKS RAM (Go)],TblApplications[Cluster ROKS cible],$F927,TblApplications[Action],"À migrer",TblApplications[Déjà incluse ROKS],"Non",TblApplications[Mois prov (calc)],"&lt;="&amp;$E927),SUMIFS(TblApplications[RAM IKS libérable (Go)],TblApplications[Cluster IKS source],$F927,TblApplications[Mois lib (calc)],"&lt;="&amp;$E927)))</f>
        <v>0</v>
      </c>
      <c r="R927" s="19">
        <f t="shared" si="241"/>
        <v>384</v>
      </c>
      <c r="S927" s="19">
        <f t="shared" si="242"/>
        <v>3072</v>
      </c>
      <c r="T927" s="19">
        <f t="shared" si="243"/>
        <v>6</v>
      </c>
      <c r="U927" s="19">
        <f t="shared" si="244"/>
        <v>384</v>
      </c>
      <c r="V927" s="19">
        <f t="shared" si="245"/>
        <v>3072</v>
      </c>
      <c r="W927" s="73">
        <f t="shared" si="246"/>
        <v>17052</v>
      </c>
      <c r="X927" s="19">
        <f>IF($D927&lt;&gt;1,"",IF($G927="ROKS",$R927,IF($AI927=1,0,MAX($N927,$L927-SUMIFS(TblApplications[CPU IKS libérable (vCPU)],TblApplications[Cluster IKS source],$F927,TblApplications[Action],"À migrer",TblApplications[Mois prov (calc)],"&lt;="&amp;$E927)-SUMIFS(TblApplications[CPU IKS libérable (vCPU)],TblApplications[Cluster IKS source],$F927,TblApplications[Action],"À décommissionner",TblApplications[Mois lib (calc)],"&lt;="&amp;$E927)))))</f>
        <v>384</v>
      </c>
      <c r="Y927" s="19">
        <f>IF($D927&lt;&gt;1,"",IF($G927="ROKS",$S927,IF($AI927=1,0,MAX($O927,$M927-SUMIFS(TblApplications[RAM IKS libérable (Go)],TblApplications[Cluster IKS source],$F927,TblApplications[Action],"À migrer",TblApplications[Mois prov (calc)],"&lt;="&amp;$E927)-SUMIFS(TblApplications[RAM IKS libérable (Go)],TblApplications[Cluster IKS source],$F927,TblApplications[Action],"À décommissionner",TblApplications[Mois lib (calc)],"&lt;="&amp;$E927)))))</f>
        <v>3072</v>
      </c>
      <c r="Z927" s="19">
        <f t="shared" si="247"/>
        <v>6</v>
      </c>
      <c r="AA927" s="73">
        <f t="shared" si="248"/>
        <v>17052</v>
      </c>
      <c r="AB927" s="19">
        <f t="shared" si="249"/>
        <v>6</v>
      </c>
      <c r="AC927" s="73">
        <f t="shared" si="250"/>
        <v>17052</v>
      </c>
      <c r="AD927" s="19">
        <f t="shared" si="251"/>
        <v>0</v>
      </c>
      <c r="AE927" s="19">
        <f t="shared" si="252"/>
        <v>0</v>
      </c>
      <c r="AF927" s="19" t="str">
        <f>IF($D927&lt;&gt;1,"",IF(INDEX(TblClusters[Environnement],$B927)="","(vide)",INDEX(TblClusters[Environnement],$B927)))</f>
        <v>NPRD</v>
      </c>
      <c r="AG927" s="19">
        <f t="shared" si="253"/>
        <v>691.2</v>
      </c>
      <c r="AH927" s="19">
        <f t="shared" si="254"/>
        <v>24.670138888888886</v>
      </c>
      <c r="AI927" s="19">
        <f>IF($D927&lt;&gt;1,"",IF(AND($G927="IKS",ISNUMBER(INDEX(TblClusters[Fermeture retenue],$B927))),IF($E927&gt;=INDEX(TblClusters[Fermeture retenue],$B927),1,0),0))</f>
        <v>0</v>
      </c>
    </row>
    <row r="928" spans="1:35" x14ac:dyDescent="0.2">
      <c r="A928" s="19">
        <v>923</v>
      </c>
      <c r="B928" s="19">
        <f t="shared" si="238"/>
        <v>26</v>
      </c>
      <c r="C928" s="19">
        <f t="shared" si="239"/>
        <v>23</v>
      </c>
      <c r="D928" s="19">
        <f>IF($C928&gt;p_horizon,0,IFERROR(IF(AND(INDEX(TblClusters[Cluster],$B928)&lt;&gt;"",ISNUMBER(INDEX(TblClusters[CPU initial (vCPU)],$B928)),ISNUMBER(INDEX(TblClusters[CPU min (vCPU)],$B928)),OR(INDEX(TblClusters[Plateforme],$B928)="IKS",INDEX(TblClusters[Plateforme],$B928)="ROKS")),1,0),0))</f>
        <v>1</v>
      </c>
      <c r="E928" s="72">
        <f t="shared" si="240"/>
        <v>46966</v>
      </c>
      <c r="F928" s="19" t="str">
        <f>IF($D928=1,INDEX(TblClusters[Cluster],$B928),"")</f>
        <v>ku002i000829</v>
      </c>
      <c r="G928" s="19" t="str">
        <f>IF($D928=1,INDEX(TblClusters[Plateforme],$B928),"")</f>
        <v>IKS</v>
      </c>
      <c r="H928" s="19">
        <f>IF($D928=1,INDEX(TblClusters[vCPU par nœud],$B928),"")</f>
        <v>64</v>
      </c>
      <c r="I928" s="19">
        <f>IF($D928=1,INDEX(TblClusters[RAM par nœud (Go)],$B928),"")</f>
        <v>512</v>
      </c>
      <c r="J928" s="19">
        <f>IF($D928=1,INDEX(TblClusters[Workers min],$B928),"")</f>
        <v>3</v>
      </c>
      <c r="K928" s="73">
        <f>IF($D928=1,INDEX(TblClusters[Tarif par nœud],$B928),"")</f>
        <v>2842</v>
      </c>
      <c r="L928" s="19">
        <f>IF($D928=1,INDEX(TblClusters[CPU initial (vCPU)],$B928),"")</f>
        <v>384</v>
      </c>
      <c r="M928" s="19">
        <f>IF($D928=1,INDEX(TblClusters[RAM initiale (Go)],$B928),"")</f>
        <v>3072</v>
      </c>
      <c r="N928" s="19">
        <f>IF($D928=1,INDEX(TblClusters[CPU min (vCPU)],$B928),"")</f>
        <v>192</v>
      </c>
      <c r="O928" s="19">
        <f>IF($D928=1,INDEX(TblClusters[RAM min (Go)],$B928),"")</f>
        <v>1536</v>
      </c>
      <c r="P928" s="19">
        <f>IF($D928&lt;&gt;1,"",IF($G928="ROKS",SUMIFS(TblApplications[Besoin ROKS CPU (vCPU)],TblApplications[Cluster ROKS cible],$F928,TblApplications[Action],"À migrer",TblApplications[Déjà incluse ROKS],"Non",TblApplications[Mois prov (calc)],"&lt;="&amp;$E928),SUMIFS(TblApplications[CPU IKS libérable (vCPU)],TblApplications[Cluster IKS source],$F928,TblApplications[Mois lib (calc)],"&lt;="&amp;$E928)))</f>
        <v>0</v>
      </c>
      <c r="Q928" s="19">
        <f>IF($D928&lt;&gt;1,"",IF($G928="ROKS",SUMIFS(TblApplications[Besoin ROKS RAM (Go)],TblApplications[Cluster ROKS cible],$F928,TblApplications[Action],"À migrer",TblApplications[Déjà incluse ROKS],"Non",TblApplications[Mois prov (calc)],"&lt;="&amp;$E928),SUMIFS(TblApplications[RAM IKS libérable (Go)],TblApplications[Cluster IKS source],$F928,TblApplications[Mois lib (calc)],"&lt;="&amp;$E928)))</f>
        <v>0</v>
      </c>
      <c r="R928" s="19">
        <f t="shared" si="241"/>
        <v>384</v>
      </c>
      <c r="S928" s="19">
        <f t="shared" si="242"/>
        <v>3072</v>
      </c>
      <c r="T928" s="19">
        <f t="shared" si="243"/>
        <v>6</v>
      </c>
      <c r="U928" s="19">
        <f t="shared" si="244"/>
        <v>384</v>
      </c>
      <c r="V928" s="19">
        <f t="shared" si="245"/>
        <v>3072</v>
      </c>
      <c r="W928" s="73">
        <f t="shared" si="246"/>
        <v>17052</v>
      </c>
      <c r="X928" s="19">
        <f>IF($D928&lt;&gt;1,"",IF($G928="ROKS",$R928,IF($AI928=1,0,MAX($N928,$L928-SUMIFS(TblApplications[CPU IKS libérable (vCPU)],TblApplications[Cluster IKS source],$F928,TblApplications[Action],"À migrer",TblApplications[Mois prov (calc)],"&lt;="&amp;$E928)-SUMIFS(TblApplications[CPU IKS libérable (vCPU)],TblApplications[Cluster IKS source],$F928,TblApplications[Action],"À décommissionner",TblApplications[Mois lib (calc)],"&lt;="&amp;$E928)))))</f>
        <v>384</v>
      </c>
      <c r="Y928" s="19">
        <f>IF($D928&lt;&gt;1,"",IF($G928="ROKS",$S928,IF($AI928=1,0,MAX($O928,$M928-SUMIFS(TblApplications[RAM IKS libérable (Go)],TblApplications[Cluster IKS source],$F928,TblApplications[Action],"À migrer",TblApplications[Mois prov (calc)],"&lt;="&amp;$E928)-SUMIFS(TblApplications[RAM IKS libérable (Go)],TblApplications[Cluster IKS source],$F928,TblApplications[Action],"À décommissionner",TblApplications[Mois lib (calc)],"&lt;="&amp;$E928)))))</f>
        <v>3072</v>
      </c>
      <c r="Z928" s="19">
        <f t="shared" si="247"/>
        <v>6</v>
      </c>
      <c r="AA928" s="73">
        <f t="shared" si="248"/>
        <v>17052</v>
      </c>
      <c r="AB928" s="19">
        <f t="shared" si="249"/>
        <v>6</v>
      </c>
      <c r="AC928" s="73">
        <f t="shared" si="250"/>
        <v>17052</v>
      </c>
      <c r="AD928" s="19">
        <f t="shared" si="251"/>
        <v>0</v>
      </c>
      <c r="AE928" s="19">
        <f t="shared" si="252"/>
        <v>0</v>
      </c>
      <c r="AF928" s="19" t="str">
        <f>IF($D928&lt;&gt;1,"",IF(INDEX(TblClusters[Environnement],$B928)="","(vide)",INDEX(TblClusters[Environnement],$B928)))</f>
        <v>NPRD</v>
      </c>
      <c r="AG928" s="19">
        <f t="shared" si="253"/>
        <v>691.2</v>
      </c>
      <c r="AH928" s="19">
        <f t="shared" si="254"/>
        <v>24.670138888888886</v>
      </c>
      <c r="AI928" s="19">
        <f>IF($D928&lt;&gt;1,"",IF(AND($G928="IKS",ISNUMBER(INDEX(TblClusters[Fermeture retenue],$B928))),IF($E928&gt;=INDEX(TblClusters[Fermeture retenue],$B928),1,0),0))</f>
        <v>0</v>
      </c>
    </row>
    <row r="929" spans="1:35" x14ac:dyDescent="0.2">
      <c r="A929" s="19">
        <v>924</v>
      </c>
      <c r="B929" s="19">
        <f t="shared" si="238"/>
        <v>26</v>
      </c>
      <c r="C929" s="19">
        <f t="shared" si="239"/>
        <v>24</v>
      </c>
      <c r="D929" s="19">
        <f>IF($C929&gt;p_horizon,0,IFERROR(IF(AND(INDEX(TblClusters[Cluster],$B929)&lt;&gt;"",ISNUMBER(INDEX(TblClusters[CPU initial (vCPU)],$B929)),ISNUMBER(INDEX(TblClusters[CPU min (vCPU)],$B929)),OR(INDEX(TblClusters[Plateforme],$B929)="IKS",INDEX(TblClusters[Plateforme],$B929)="ROKS")),1,0),0))</f>
        <v>1</v>
      </c>
      <c r="E929" s="72">
        <f t="shared" si="240"/>
        <v>46997</v>
      </c>
      <c r="F929" s="19" t="str">
        <f>IF($D929=1,INDEX(TblClusters[Cluster],$B929),"")</f>
        <v>ku002i000829</v>
      </c>
      <c r="G929" s="19" t="str">
        <f>IF($D929=1,INDEX(TblClusters[Plateforme],$B929),"")</f>
        <v>IKS</v>
      </c>
      <c r="H929" s="19">
        <f>IF($D929=1,INDEX(TblClusters[vCPU par nœud],$B929),"")</f>
        <v>64</v>
      </c>
      <c r="I929" s="19">
        <f>IF($D929=1,INDEX(TblClusters[RAM par nœud (Go)],$B929),"")</f>
        <v>512</v>
      </c>
      <c r="J929" s="19">
        <f>IF($D929=1,INDEX(TblClusters[Workers min],$B929),"")</f>
        <v>3</v>
      </c>
      <c r="K929" s="73">
        <f>IF($D929=1,INDEX(TblClusters[Tarif par nœud],$B929),"")</f>
        <v>2842</v>
      </c>
      <c r="L929" s="19">
        <f>IF($D929=1,INDEX(TblClusters[CPU initial (vCPU)],$B929),"")</f>
        <v>384</v>
      </c>
      <c r="M929" s="19">
        <f>IF($D929=1,INDEX(TblClusters[RAM initiale (Go)],$B929),"")</f>
        <v>3072</v>
      </c>
      <c r="N929" s="19">
        <f>IF($D929=1,INDEX(TblClusters[CPU min (vCPU)],$B929),"")</f>
        <v>192</v>
      </c>
      <c r="O929" s="19">
        <f>IF($D929=1,INDEX(TblClusters[RAM min (Go)],$B929),"")</f>
        <v>1536</v>
      </c>
      <c r="P929" s="19">
        <f>IF($D929&lt;&gt;1,"",IF($G929="ROKS",SUMIFS(TblApplications[Besoin ROKS CPU (vCPU)],TblApplications[Cluster ROKS cible],$F929,TblApplications[Action],"À migrer",TblApplications[Déjà incluse ROKS],"Non",TblApplications[Mois prov (calc)],"&lt;="&amp;$E929),SUMIFS(TblApplications[CPU IKS libérable (vCPU)],TblApplications[Cluster IKS source],$F929,TblApplications[Mois lib (calc)],"&lt;="&amp;$E929)))</f>
        <v>0</v>
      </c>
      <c r="Q929" s="19">
        <f>IF($D929&lt;&gt;1,"",IF($G929="ROKS",SUMIFS(TblApplications[Besoin ROKS RAM (Go)],TblApplications[Cluster ROKS cible],$F929,TblApplications[Action],"À migrer",TblApplications[Déjà incluse ROKS],"Non",TblApplications[Mois prov (calc)],"&lt;="&amp;$E929),SUMIFS(TblApplications[RAM IKS libérable (Go)],TblApplications[Cluster IKS source],$F929,TblApplications[Mois lib (calc)],"&lt;="&amp;$E929)))</f>
        <v>0</v>
      </c>
      <c r="R929" s="19">
        <f t="shared" si="241"/>
        <v>384</v>
      </c>
      <c r="S929" s="19">
        <f t="shared" si="242"/>
        <v>3072</v>
      </c>
      <c r="T929" s="19">
        <f t="shared" si="243"/>
        <v>6</v>
      </c>
      <c r="U929" s="19">
        <f t="shared" si="244"/>
        <v>384</v>
      </c>
      <c r="V929" s="19">
        <f t="shared" si="245"/>
        <v>3072</v>
      </c>
      <c r="W929" s="73">
        <f t="shared" si="246"/>
        <v>17052</v>
      </c>
      <c r="X929" s="19">
        <f>IF($D929&lt;&gt;1,"",IF($G929="ROKS",$R929,IF($AI929=1,0,MAX($N929,$L929-SUMIFS(TblApplications[CPU IKS libérable (vCPU)],TblApplications[Cluster IKS source],$F929,TblApplications[Action],"À migrer",TblApplications[Mois prov (calc)],"&lt;="&amp;$E929)-SUMIFS(TblApplications[CPU IKS libérable (vCPU)],TblApplications[Cluster IKS source],$F929,TblApplications[Action],"À décommissionner",TblApplications[Mois lib (calc)],"&lt;="&amp;$E929)))))</f>
        <v>384</v>
      </c>
      <c r="Y929" s="19">
        <f>IF($D929&lt;&gt;1,"",IF($G929="ROKS",$S929,IF($AI929=1,0,MAX($O929,$M929-SUMIFS(TblApplications[RAM IKS libérable (Go)],TblApplications[Cluster IKS source],$F929,TblApplications[Action],"À migrer",TblApplications[Mois prov (calc)],"&lt;="&amp;$E929)-SUMIFS(TblApplications[RAM IKS libérable (Go)],TblApplications[Cluster IKS source],$F929,TblApplications[Action],"À décommissionner",TblApplications[Mois lib (calc)],"&lt;="&amp;$E929)))))</f>
        <v>3072</v>
      </c>
      <c r="Z929" s="19">
        <f t="shared" si="247"/>
        <v>6</v>
      </c>
      <c r="AA929" s="73">
        <f t="shared" si="248"/>
        <v>17052</v>
      </c>
      <c r="AB929" s="19">
        <f t="shared" si="249"/>
        <v>6</v>
      </c>
      <c r="AC929" s="73">
        <f t="shared" si="250"/>
        <v>17052</v>
      </c>
      <c r="AD929" s="19">
        <f t="shared" si="251"/>
        <v>0</v>
      </c>
      <c r="AE929" s="19">
        <f t="shared" si="252"/>
        <v>0</v>
      </c>
      <c r="AF929" s="19" t="str">
        <f>IF($D929&lt;&gt;1,"",IF(INDEX(TblClusters[Environnement],$B929)="","(vide)",INDEX(TblClusters[Environnement],$B929)))</f>
        <v>NPRD</v>
      </c>
      <c r="AG929" s="19">
        <f t="shared" si="253"/>
        <v>691.2</v>
      </c>
      <c r="AH929" s="19">
        <f t="shared" si="254"/>
        <v>24.670138888888886</v>
      </c>
      <c r="AI929" s="19">
        <f>IF($D929&lt;&gt;1,"",IF(AND($G929="IKS",ISNUMBER(INDEX(TblClusters[Fermeture retenue],$B929))),IF($E929&gt;=INDEX(TblClusters[Fermeture retenue],$B929),1,0),0))</f>
        <v>0</v>
      </c>
    </row>
    <row r="930" spans="1:35" x14ac:dyDescent="0.2">
      <c r="A930" s="19">
        <v>925</v>
      </c>
      <c r="B930" s="19">
        <f t="shared" si="238"/>
        <v>26</v>
      </c>
      <c r="C930" s="19">
        <f t="shared" si="239"/>
        <v>25</v>
      </c>
      <c r="D930" s="19">
        <f>IF($C930&gt;p_horizon,0,IFERROR(IF(AND(INDEX(TblClusters[Cluster],$B930)&lt;&gt;"",ISNUMBER(INDEX(TblClusters[CPU initial (vCPU)],$B930)),ISNUMBER(INDEX(TblClusters[CPU min (vCPU)],$B930)),OR(INDEX(TblClusters[Plateforme],$B930)="IKS",INDEX(TblClusters[Plateforme],$B930)="ROKS")),1,0),0))</f>
        <v>1</v>
      </c>
      <c r="E930" s="72">
        <f t="shared" si="240"/>
        <v>47027</v>
      </c>
      <c r="F930" s="19" t="str">
        <f>IF($D930=1,INDEX(TblClusters[Cluster],$B930),"")</f>
        <v>ku002i000829</v>
      </c>
      <c r="G930" s="19" t="str">
        <f>IF($D930=1,INDEX(TblClusters[Plateforme],$B930),"")</f>
        <v>IKS</v>
      </c>
      <c r="H930" s="19">
        <f>IF($D930=1,INDEX(TblClusters[vCPU par nœud],$B930),"")</f>
        <v>64</v>
      </c>
      <c r="I930" s="19">
        <f>IF($D930=1,INDEX(TblClusters[RAM par nœud (Go)],$B930),"")</f>
        <v>512</v>
      </c>
      <c r="J930" s="19">
        <f>IF($D930=1,INDEX(TblClusters[Workers min],$B930),"")</f>
        <v>3</v>
      </c>
      <c r="K930" s="73">
        <f>IF($D930=1,INDEX(TblClusters[Tarif par nœud],$B930),"")</f>
        <v>2842</v>
      </c>
      <c r="L930" s="19">
        <f>IF($D930=1,INDEX(TblClusters[CPU initial (vCPU)],$B930),"")</f>
        <v>384</v>
      </c>
      <c r="M930" s="19">
        <f>IF($D930=1,INDEX(TblClusters[RAM initiale (Go)],$B930),"")</f>
        <v>3072</v>
      </c>
      <c r="N930" s="19">
        <f>IF($D930=1,INDEX(TblClusters[CPU min (vCPU)],$B930),"")</f>
        <v>192</v>
      </c>
      <c r="O930" s="19">
        <f>IF($D930=1,INDEX(TblClusters[RAM min (Go)],$B930),"")</f>
        <v>1536</v>
      </c>
      <c r="P930" s="19">
        <f>IF($D930&lt;&gt;1,"",IF($G930="ROKS",SUMIFS(TblApplications[Besoin ROKS CPU (vCPU)],TblApplications[Cluster ROKS cible],$F930,TblApplications[Action],"À migrer",TblApplications[Déjà incluse ROKS],"Non",TblApplications[Mois prov (calc)],"&lt;="&amp;$E930),SUMIFS(TblApplications[CPU IKS libérable (vCPU)],TblApplications[Cluster IKS source],$F930,TblApplications[Mois lib (calc)],"&lt;="&amp;$E930)))</f>
        <v>0</v>
      </c>
      <c r="Q930" s="19">
        <f>IF($D930&lt;&gt;1,"",IF($G930="ROKS",SUMIFS(TblApplications[Besoin ROKS RAM (Go)],TblApplications[Cluster ROKS cible],$F930,TblApplications[Action],"À migrer",TblApplications[Déjà incluse ROKS],"Non",TblApplications[Mois prov (calc)],"&lt;="&amp;$E930),SUMIFS(TblApplications[RAM IKS libérable (Go)],TblApplications[Cluster IKS source],$F930,TblApplications[Mois lib (calc)],"&lt;="&amp;$E930)))</f>
        <v>0</v>
      </c>
      <c r="R930" s="19">
        <f t="shared" si="241"/>
        <v>384</v>
      </c>
      <c r="S930" s="19">
        <f t="shared" si="242"/>
        <v>3072</v>
      </c>
      <c r="T930" s="19">
        <f t="shared" si="243"/>
        <v>6</v>
      </c>
      <c r="U930" s="19">
        <f t="shared" si="244"/>
        <v>384</v>
      </c>
      <c r="V930" s="19">
        <f t="shared" si="245"/>
        <v>3072</v>
      </c>
      <c r="W930" s="73">
        <f t="shared" si="246"/>
        <v>17052</v>
      </c>
      <c r="X930" s="19">
        <f>IF($D930&lt;&gt;1,"",IF($G930="ROKS",$R930,IF($AI930=1,0,MAX($N930,$L930-SUMIFS(TblApplications[CPU IKS libérable (vCPU)],TblApplications[Cluster IKS source],$F930,TblApplications[Action],"À migrer",TblApplications[Mois prov (calc)],"&lt;="&amp;$E930)-SUMIFS(TblApplications[CPU IKS libérable (vCPU)],TblApplications[Cluster IKS source],$F930,TblApplications[Action],"À décommissionner",TblApplications[Mois lib (calc)],"&lt;="&amp;$E930)))))</f>
        <v>384</v>
      </c>
      <c r="Y930" s="19">
        <f>IF($D930&lt;&gt;1,"",IF($G930="ROKS",$S930,IF($AI930=1,0,MAX($O930,$M930-SUMIFS(TblApplications[RAM IKS libérable (Go)],TblApplications[Cluster IKS source],$F930,TblApplications[Action],"À migrer",TblApplications[Mois prov (calc)],"&lt;="&amp;$E930)-SUMIFS(TblApplications[RAM IKS libérable (Go)],TblApplications[Cluster IKS source],$F930,TblApplications[Action],"À décommissionner",TblApplications[Mois lib (calc)],"&lt;="&amp;$E930)))))</f>
        <v>3072</v>
      </c>
      <c r="Z930" s="19">
        <f t="shared" si="247"/>
        <v>6</v>
      </c>
      <c r="AA930" s="73">
        <f t="shared" si="248"/>
        <v>17052</v>
      </c>
      <c r="AB930" s="19">
        <f t="shared" si="249"/>
        <v>6</v>
      </c>
      <c r="AC930" s="73">
        <f t="shared" si="250"/>
        <v>17052</v>
      </c>
      <c r="AD930" s="19">
        <f t="shared" si="251"/>
        <v>0</v>
      </c>
      <c r="AE930" s="19">
        <f t="shared" si="252"/>
        <v>0</v>
      </c>
      <c r="AF930" s="19" t="str">
        <f>IF($D930&lt;&gt;1,"",IF(INDEX(TblClusters[Environnement],$B930)="","(vide)",INDEX(TblClusters[Environnement],$B930)))</f>
        <v>NPRD</v>
      </c>
      <c r="AG930" s="19">
        <f t="shared" si="253"/>
        <v>691.2</v>
      </c>
      <c r="AH930" s="19">
        <f t="shared" si="254"/>
        <v>24.670138888888886</v>
      </c>
      <c r="AI930" s="19">
        <f>IF($D930&lt;&gt;1,"",IF(AND($G930="IKS",ISNUMBER(INDEX(TblClusters[Fermeture retenue],$B930))),IF($E930&gt;=INDEX(TblClusters[Fermeture retenue],$B930),1,0),0))</f>
        <v>0</v>
      </c>
    </row>
    <row r="931" spans="1:35" x14ac:dyDescent="0.2">
      <c r="A931" s="19">
        <v>926</v>
      </c>
      <c r="B931" s="19">
        <f t="shared" si="238"/>
        <v>26</v>
      </c>
      <c r="C931" s="19">
        <f t="shared" si="239"/>
        <v>26</v>
      </c>
      <c r="D931" s="19">
        <f>IF($C931&gt;p_horizon,0,IFERROR(IF(AND(INDEX(TblClusters[Cluster],$B931)&lt;&gt;"",ISNUMBER(INDEX(TblClusters[CPU initial (vCPU)],$B931)),ISNUMBER(INDEX(TblClusters[CPU min (vCPU)],$B931)),OR(INDEX(TblClusters[Plateforme],$B931)="IKS",INDEX(TblClusters[Plateforme],$B931)="ROKS")),1,0),0))</f>
        <v>1</v>
      </c>
      <c r="E931" s="72">
        <f t="shared" si="240"/>
        <v>47058</v>
      </c>
      <c r="F931" s="19" t="str">
        <f>IF($D931=1,INDEX(TblClusters[Cluster],$B931),"")</f>
        <v>ku002i000829</v>
      </c>
      <c r="G931" s="19" t="str">
        <f>IF($D931=1,INDEX(TblClusters[Plateforme],$B931),"")</f>
        <v>IKS</v>
      </c>
      <c r="H931" s="19">
        <f>IF($D931=1,INDEX(TblClusters[vCPU par nœud],$B931),"")</f>
        <v>64</v>
      </c>
      <c r="I931" s="19">
        <f>IF($D931=1,INDEX(TblClusters[RAM par nœud (Go)],$B931),"")</f>
        <v>512</v>
      </c>
      <c r="J931" s="19">
        <f>IF($D931=1,INDEX(TblClusters[Workers min],$B931),"")</f>
        <v>3</v>
      </c>
      <c r="K931" s="73">
        <f>IF($D931=1,INDEX(TblClusters[Tarif par nœud],$B931),"")</f>
        <v>2842</v>
      </c>
      <c r="L931" s="19">
        <f>IF($D931=1,INDEX(TblClusters[CPU initial (vCPU)],$B931),"")</f>
        <v>384</v>
      </c>
      <c r="M931" s="19">
        <f>IF($D931=1,INDEX(TblClusters[RAM initiale (Go)],$B931),"")</f>
        <v>3072</v>
      </c>
      <c r="N931" s="19">
        <f>IF($D931=1,INDEX(TblClusters[CPU min (vCPU)],$B931),"")</f>
        <v>192</v>
      </c>
      <c r="O931" s="19">
        <f>IF($D931=1,INDEX(TblClusters[RAM min (Go)],$B931),"")</f>
        <v>1536</v>
      </c>
      <c r="P931" s="19">
        <f>IF($D931&lt;&gt;1,"",IF($G931="ROKS",SUMIFS(TblApplications[Besoin ROKS CPU (vCPU)],TblApplications[Cluster ROKS cible],$F931,TblApplications[Action],"À migrer",TblApplications[Déjà incluse ROKS],"Non",TblApplications[Mois prov (calc)],"&lt;="&amp;$E931),SUMIFS(TblApplications[CPU IKS libérable (vCPU)],TblApplications[Cluster IKS source],$F931,TblApplications[Mois lib (calc)],"&lt;="&amp;$E931)))</f>
        <v>0</v>
      </c>
      <c r="Q931" s="19">
        <f>IF($D931&lt;&gt;1,"",IF($G931="ROKS",SUMIFS(TblApplications[Besoin ROKS RAM (Go)],TblApplications[Cluster ROKS cible],$F931,TblApplications[Action],"À migrer",TblApplications[Déjà incluse ROKS],"Non",TblApplications[Mois prov (calc)],"&lt;="&amp;$E931),SUMIFS(TblApplications[RAM IKS libérable (Go)],TblApplications[Cluster IKS source],$F931,TblApplications[Mois lib (calc)],"&lt;="&amp;$E931)))</f>
        <v>0</v>
      </c>
      <c r="R931" s="19">
        <f t="shared" si="241"/>
        <v>384</v>
      </c>
      <c r="S931" s="19">
        <f t="shared" si="242"/>
        <v>3072</v>
      </c>
      <c r="T931" s="19">
        <f t="shared" si="243"/>
        <v>6</v>
      </c>
      <c r="U931" s="19">
        <f t="shared" si="244"/>
        <v>384</v>
      </c>
      <c r="V931" s="19">
        <f t="shared" si="245"/>
        <v>3072</v>
      </c>
      <c r="W931" s="73">
        <f t="shared" si="246"/>
        <v>17052</v>
      </c>
      <c r="X931" s="19">
        <f>IF($D931&lt;&gt;1,"",IF($G931="ROKS",$R931,IF($AI931=1,0,MAX($N931,$L931-SUMIFS(TblApplications[CPU IKS libérable (vCPU)],TblApplications[Cluster IKS source],$F931,TblApplications[Action],"À migrer",TblApplications[Mois prov (calc)],"&lt;="&amp;$E931)-SUMIFS(TblApplications[CPU IKS libérable (vCPU)],TblApplications[Cluster IKS source],$F931,TblApplications[Action],"À décommissionner",TblApplications[Mois lib (calc)],"&lt;="&amp;$E931)))))</f>
        <v>384</v>
      </c>
      <c r="Y931" s="19">
        <f>IF($D931&lt;&gt;1,"",IF($G931="ROKS",$S931,IF($AI931=1,0,MAX($O931,$M931-SUMIFS(TblApplications[RAM IKS libérable (Go)],TblApplications[Cluster IKS source],$F931,TblApplications[Action],"À migrer",TblApplications[Mois prov (calc)],"&lt;="&amp;$E931)-SUMIFS(TblApplications[RAM IKS libérable (Go)],TblApplications[Cluster IKS source],$F931,TblApplications[Action],"À décommissionner",TblApplications[Mois lib (calc)],"&lt;="&amp;$E931)))))</f>
        <v>3072</v>
      </c>
      <c r="Z931" s="19">
        <f t="shared" si="247"/>
        <v>6</v>
      </c>
      <c r="AA931" s="73">
        <f t="shared" si="248"/>
        <v>17052</v>
      </c>
      <c r="AB931" s="19">
        <f t="shared" si="249"/>
        <v>6</v>
      </c>
      <c r="AC931" s="73">
        <f t="shared" si="250"/>
        <v>17052</v>
      </c>
      <c r="AD931" s="19">
        <f t="shared" si="251"/>
        <v>0</v>
      </c>
      <c r="AE931" s="19">
        <f t="shared" si="252"/>
        <v>0</v>
      </c>
      <c r="AF931" s="19" t="str">
        <f>IF($D931&lt;&gt;1,"",IF(INDEX(TblClusters[Environnement],$B931)="","(vide)",INDEX(TblClusters[Environnement],$B931)))</f>
        <v>NPRD</v>
      </c>
      <c r="AG931" s="19">
        <f t="shared" si="253"/>
        <v>691.2</v>
      </c>
      <c r="AH931" s="19">
        <f t="shared" si="254"/>
        <v>24.670138888888886</v>
      </c>
      <c r="AI931" s="19">
        <f>IF($D931&lt;&gt;1,"",IF(AND($G931="IKS",ISNUMBER(INDEX(TblClusters[Fermeture retenue],$B931))),IF($E931&gt;=INDEX(TblClusters[Fermeture retenue],$B931),1,0),0))</f>
        <v>0</v>
      </c>
    </row>
    <row r="932" spans="1:35" x14ac:dyDescent="0.2">
      <c r="A932" s="19">
        <v>927</v>
      </c>
      <c r="B932" s="19">
        <f t="shared" si="238"/>
        <v>26</v>
      </c>
      <c r="C932" s="19">
        <f t="shared" si="239"/>
        <v>27</v>
      </c>
      <c r="D932" s="19">
        <f>IF($C932&gt;p_horizon,0,IFERROR(IF(AND(INDEX(TblClusters[Cluster],$B932)&lt;&gt;"",ISNUMBER(INDEX(TblClusters[CPU initial (vCPU)],$B932)),ISNUMBER(INDEX(TblClusters[CPU min (vCPU)],$B932)),OR(INDEX(TblClusters[Plateforme],$B932)="IKS",INDEX(TblClusters[Plateforme],$B932)="ROKS")),1,0),0))</f>
        <v>1</v>
      </c>
      <c r="E932" s="72">
        <f t="shared" si="240"/>
        <v>47088</v>
      </c>
      <c r="F932" s="19" t="str">
        <f>IF($D932=1,INDEX(TblClusters[Cluster],$B932),"")</f>
        <v>ku002i000829</v>
      </c>
      <c r="G932" s="19" t="str">
        <f>IF($D932=1,INDEX(TblClusters[Plateforme],$B932),"")</f>
        <v>IKS</v>
      </c>
      <c r="H932" s="19">
        <f>IF($D932=1,INDEX(TblClusters[vCPU par nœud],$B932),"")</f>
        <v>64</v>
      </c>
      <c r="I932" s="19">
        <f>IF($D932=1,INDEX(TblClusters[RAM par nœud (Go)],$B932),"")</f>
        <v>512</v>
      </c>
      <c r="J932" s="19">
        <f>IF($D932=1,INDEX(TblClusters[Workers min],$B932),"")</f>
        <v>3</v>
      </c>
      <c r="K932" s="73">
        <f>IF($D932=1,INDEX(TblClusters[Tarif par nœud],$B932),"")</f>
        <v>2842</v>
      </c>
      <c r="L932" s="19">
        <f>IF($D932=1,INDEX(TblClusters[CPU initial (vCPU)],$B932),"")</f>
        <v>384</v>
      </c>
      <c r="M932" s="19">
        <f>IF($D932=1,INDEX(TblClusters[RAM initiale (Go)],$B932),"")</f>
        <v>3072</v>
      </c>
      <c r="N932" s="19">
        <f>IF($D932=1,INDEX(TblClusters[CPU min (vCPU)],$B932),"")</f>
        <v>192</v>
      </c>
      <c r="O932" s="19">
        <f>IF($D932=1,INDEX(TblClusters[RAM min (Go)],$B932),"")</f>
        <v>1536</v>
      </c>
      <c r="P932" s="19">
        <f>IF($D932&lt;&gt;1,"",IF($G932="ROKS",SUMIFS(TblApplications[Besoin ROKS CPU (vCPU)],TblApplications[Cluster ROKS cible],$F932,TblApplications[Action],"À migrer",TblApplications[Déjà incluse ROKS],"Non",TblApplications[Mois prov (calc)],"&lt;="&amp;$E932),SUMIFS(TblApplications[CPU IKS libérable (vCPU)],TblApplications[Cluster IKS source],$F932,TblApplications[Mois lib (calc)],"&lt;="&amp;$E932)))</f>
        <v>0</v>
      </c>
      <c r="Q932" s="19">
        <f>IF($D932&lt;&gt;1,"",IF($G932="ROKS",SUMIFS(TblApplications[Besoin ROKS RAM (Go)],TblApplications[Cluster ROKS cible],$F932,TblApplications[Action],"À migrer",TblApplications[Déjà incluse ROKS],"Non",TblApplications[Mois prov (calc)],"&lt;="&amp;$E932),SUMIFS(TblApplications[RAM IKS libérable (Go)],TblApplications[Cluster IKS source],$F932,TblApplications[Mois lib (calc)],"&lt;="&amp;$E932)))</f>
        <v>0</v>
      </c>
      <c r="R932" s="19">
        <f t="shared" si="241"/>
        <v>384</v>
      </c>
      <c r="S932" s="19">
        <f t="shared" si="242"/>
        <v>3072</v>
      </c>
      <c r="T932" s="19">
        <f t="shared" si="243"/>
        <v>6</v>
      </c>
      <c r="U932" s="19">
        <f t="shared" si="244"/>
        <v>384</v>
      </c>
      <c r="V932" s="19">
        <f t="shared" si="245"/>
        <v>3072</v>
      </c>
      <c r="W932" s="73">
        <f t="shared" si="246"/>
        <v>17052</v>
      </c>
      <c r="X932" s="19">
        <f>IF($D932&lt;&gt;1,"",IF($G932="ROKS",$R932,IF($AI932=1,0,MAX($N932,$L932-SUMIFS(TblApplications[CPU IKS libérable (vCPU)],TblApplications[Cluster IKS source],$F932,TblApplications[Action],"À migrer",TblApplications[Mois prov (calc)],"&lt;="&amp;$E932)-SUMIFS(TblApplications[CPU IKS libérable (vCPU)],TblApplications[Cluster IKS source],$F932,TblApplications[Action],"À décommissionner",TblApplications[Mois lib (calc)],"&lt;="&amp;$E932)))))</f>
        <v>384</v>
      </c>
      <c r="Y932" s="19">
        <f>IF($D932&lt;&gt;1,"",IF($G932="ROKS",$S932,IF($AI932=1,0,MAX($O932,$M932-SUMIFS(TblApplications[RAM IKS libérable (Go)],TblApplications[Cluster IKS source],$F932,TblApplications[Action],"À migrer",TblApplications[Mois prov (calc)],"&lt;="&amp;$E932)-SUMIFS(TblApplications[RAM IKS libérable (Go)],TblApplications[Cluster IKS source],$F932,TblApplications[Action],"À décommissionner",TblApplications[Mois lib (calc)],"&lt;="&amp;$E932)))))</f>
        <v>3072</v>
      </c>
      <c r="Z932" s="19">
        <f t="shared" si="247"/>
        <v>6</v>
      </c>
      <c r="AA932" s="73">
        <f t="shared" si="248"/>
        <v>17052</v>
      </c>
      <c r="AB932" s="19">
        <f t="shared" si="249"/>
        <v>6</v>
      </c>
      <c r="AC932" s="73">
        <f t="shared" si="250"/>
        <v>17052</v>
      </c>
      <c r="AD932" s="19">
        <f t="shared" si="251"/>
        <v>0</v>
      </c>
      <c r="AE932" s="19">
        <f t="shared" si="252"/>
        <v>0</v>
      </c>
      <c r="AF932" s="19" t="str">
        <f>IF($D932&lt;&gt;1,"",IF(INDEX(TblClusters[Environnement],$B932)="","(vide)",INDEX(TblClusters[Environnement],$B932)))</f>
        <v>NPRD</v>
      </c>
      <c r="AG932" s="19">
        <f t="shared" si="253"/>
        <v>691.2</v>
      </c>
      <c r="AH932" s="19">
        <f t="shared" si="254"/>
        <v>24.670138888888886</v>
      </c>
      <c r="AI932" s="19">
        <f>IF($D932&lt;&gt;1,"",IF(AND($G932="IKS",ISNUMBER(INDEX(TblClusters[Fermeture retenue],$B932))),IF($E932&gt;=INDEX(TblClusters[Fermeture retenue],$B932),1,0),0))</f>
        <v>0</v>
      </c>
    </row>
    <row r="933" spans="1:35" x14ac:dyDescent="0.2">
      <c r="A933" s="19">
        <v>928</v>
      </c>
      <c r="B933" s="19">
        <f t="shared" si="238"/>
        <v>26</v>
      </c>
      <c r="C933" s="19">
        <f t="shared" si="239"/>
        <v>28</v>
      </c>
      <c r="D933" s="19">
        <f>IF($C933&gt;p_horizon,0,IFERROR(IF(AND(INDEX(TblClusters[Cluster],$B933)&lt;&gt;"",ISNUMBER(INDEX(TblClusters[CPU initial (vCPU)],$B933)),ISNUMBER(INDEX(TblClusters[CPU min (vCPU)],$B933)),OR(INDEX(TblClusters[Plateforme],$B933)="IKS",INDEX(TblClusters[Plateforme],$B933)="ROKS")),1,0),0))</f>
        <v>1</v>
      </c>
      <c r="E933" s="72">
        <f t="shared" si="240"/>
        <v>47119</v>
      </c>
      <c r="F933" s="19" t="str">
        <f>IF($D933=1,INDEX(TblClusters[Cluster],$B933),"")</f>
        <v>ku002i000829</v>
      </c>
      <c r="G933" s="19" t="str">
        <f>IF($D933=1,INDEX(TblClusters[Plateforme],$B933),"")</f>
        <v>IKS</v>
      </c>
      <c r="H933" s="19">
        <f>IF($D933=1,INDEX(TblClusters[vCPU par nœud],$B933),"")</f>
        <v>64</v>
      </c>
      <c r="I933" s="19">
        <f>IF($D933=1,INDEX(TblClusters[RAM par nœud (Go)],$B933),"")</f>
        <v>512</v>
      </c>
      <c r="J933" s="19">
        <f>IF($D933=1,INDEX(TblClusters[Workers min],$B933),"")</f>
        <v>3</v>
      </c>
      <c r="K933" s="73">
        <f>IF($D933=1,INDEX(TblClusters[Tarif par nœud],$B933),"")</f>
        <v>2842</v>
      </c>
      <c r="L933" s="19">
        <f>IF($D933=1,INDEX(TblClusters[CPU initial (vCPU)],$B933),"")</f>
        <v>384</v>
      </c>
      <c r="M933" s="19">
        <f>IF($D933=1,INDEX(TblClusters[RAM initiale (Go)],$B933),"")</f>
        <v>3072</v>
      </c>
      <c r="N933" s="19">
        <f>IF($D933=1,INDEX(TblClusters[CPU min (vCPU)],$B933),"")</f>
        <v>192</v>
      </c>
      <c r="O933" s="19">
        <f>IF($D933=1,INDEX(TblClusters[RAM min (Go)],$B933),"")</f>
        <v>1536</v>
      </c>
      <c r="P933" s="19">
        <f>IF($D933&lt;&gt;1,"",IF($G933="ROKS",SUMIFS(TblApplications[Besoin ROKS CPU (vCPU)],TblApplications[Cluster ROKS cible],$F933,TblApplications[Action],"À migrer",TblApplications[Déjà incluse ROKS],"Non",TblApplications[Mois prov (calc)],"&lt;="&amp;$E933),SUMIFS(TblApplications[CPU IKS libérable (vCPU)],TblApplications[Cluster IKS source],$F933,TblApplications[Mois lib (calc)],"&lt;="&amp;$E933)))</f>
        <v>0</v>
      </c>
      <c r="Q933" s="19">
        <f>IF($D933&lt;&gt;1,"",IF($G933="ROKS",SUMIFS(TblApplications[Besoin ROKS RAM (Go)],TblApplications[Cluster ROKS cible],$F933,TblApplications[Action],"À migrer",TblApplications[Déjà incluse ROKS],"Non",TblApplications[Mois prov (calc)],"&lt;="&amp;$E933),SUMIFS(TblApplications[RAM IKS libérable (Go)],TblApplications[Cluster IKS source],$F933,TblApplications[Mois lib (calc)],"&lt;="&amp;$E933)))</f>
        <v>0</v>
      </c>
      <c r="R933" s="19">
        <f t="shared" si="241"/>
        <v>384</v>
      </c>
      <c r="S933" s="19">
        <f t="shared" si="242"/>
        <v>3072</v>
      </c>
      <c r="T933" s="19">
        <f t="shared" si="243"/>
        <v>6</v>
      </c>
      <c r="U933" s="19">
        <f t="shared" si="244"/>
        <v>384</v>
      </c>
      <c r="V933" s="19">
        <f t="shared" si="245"/>
        <v>3072</v>
      </c>
      <c r="W933" s="73">
        <f t="shared" si="246"/>
        <v>17052</v>
      </c>
      <c r="X933" s="19">
        <f>IF($D933&lt;&gt;1,"",IF($G933="ROKS",$R933,IF($AI933=1,0,MAX($N933,$L933-SUMIFS(TblApplications[CPU IKS libérable (vCPU)],TblApplications[Cluster IKS source],$F933,TblApplications[Action],"À migrer",TblApplications[Mois prov (calc)],"&lt;="&amp;$E933)-SUMIFS(TblApplications[CPU IKS libérable (vCPU)],TblApplications[Cluster IKS source],$F933,TblApplications[Action],"À décommissionner",TblApplications[Mois lib (calc)],"&lt;="&amp;$E933)))))</f>
        <v>384</v>
      </c>
      <c r="Y933" s="19">
        <f>IF($D933&lt;&gt;1,"",IF($G933="ROKS",$S933,IF($AI933=1,0,MAX($O933,$M933-SUMIFS(TblApplications[RAM IKS libérable (Go)],TblApplications[Cluster IKS source],$F933,TblApplications[Action],"À migrer",TblApplications[Mois prov (calc)],"&lt;="&amp;$E933)-SUMIFS(TblApplications[RAM IKS libérable (Go)],TblApplications[Cluster IKS source],$F933,TblApplications[Action],"À décommissionner",TblApplications[Mois lib (calc)],"&lt;="&amp;$E933)))))</f>
        <v>3072</v>
      </c>
      <c r="Z933" s="19">
        <f t="shared" si="247"/>
        <v>6</v>
      </c>
      <c r="AA933" s="73">
        <f t="shared" si="248"/>
        <v>17052</v>
      </c>
      <c r="AB933" s="19">
        <f t="shared" si="249"/>
        <v>6</v>
      </c>
      <c r="AC933" s="73">
        <f t="shared" si="250"/>
        <v>17052</v>
      </c>
      <c r="AD933" s="19">
        <f t="shared" si="251"/>
        <v>0</v>
      </c>
      <c r="AE933" s="19">
        <f t="shared" si="252"/>
        <v>0</v>
      </c>
      <c r="AF933" s="19" t="str">
        <f>IF($D933&lt;&gt;1,"",IF(INDEX(TblClusters[Environnement],$B933)="","(vide)",INDEX(TblClusters[Environnement],$B933)))</f>
        <v>NPRD</v>
      </c>
      <c r="AG933" s="19">
        <f t="shared" si="253"/>
        <v>691.2</v>
      </c>
      <c r="AH933" s="19">
        <f t="shared" si="254"/>
        <v>24.670138888888886</v>
      </c>
      <c r="AI933" s="19">
        <f>IF($D933&lt;&gt;1,"",IF(AND($G933="IKS",ISNUMBER(INDEX(TblClusters[Fermeture retenue],$B933))),IF($E933&gt;=INDEX(TblClusters[Fermeture retenue],$B933),1,0),0))</f>
        <v>0</v>
      </c>
    </row>
    <row r="934" spans="1:35" x14ac:dyDescent="0.2">
      <c r="A934" s="19">
        <v>929</v>
      </c>
      <c r="B934" s="19">
        <f t="shared" si="238"/>
        <v>26</v>
      </c>
      <c r="C934" s="19">
        <f t="shared" si="239"/>
        <v>29</v>
      </c>
      <c r="D934" s="19">
        <f>IF($C934&gt;p_horizon,0,IFERROR(IF(AND(INDEX(TblClusters[Cluster],$B934)&lt;&gt;"",ISNUMBER(INDEX(TblClusters[CPU initial (vCPU)],$B934)),ISNUMBER(INDEX(TblClusters[CPU min (vCPU)],$B934)),OR(INDEX(TblClusters[Plateforme],$B934)="IKS",INDEX(TblClusters[Plateforme],$B934)="ROKS")),1,0),0))</f>
        <v>1</v>
      </c>
      <c r="E934" s="72">
        <f t="shared" si="240"/>
        <v>47150</v>
      </c>
      <c r="F934" s="19" t="str">
        <f>IF($D934=1,INDEX(TblClusters[Cluster],$B934),"")</f>
        <v>ku002i000829</v>
      </c>
      <c r="G934" s="19" t="str">
        <f>IF($D934=1,INDEX(TblClusters[Plateforme],$B934),"")</f>
        <v>IKS</v>
      </c>
      <c r="H934" s="19">
        <f>IF($D934=1,INDEX(TblClusters[vCPU par nœud],$B934),"")</f>
        <v>64</v>
      </c>
      <c r="I934" s="19">
        <f>IF($D934=1,INDEX(TblClusters[RAM par nœud (Go)],$B934),"")</f>
        <v>512</v>
      </c>
      <c r="J934" s="19">
        <f>IF($D934=1,INDEX(TblClusters[Workers min],$B934),"")</f>
        <v>3</v>
      </c>
      <c r="K934" s="73">
        <f>IF($D934=1,INDEX(TblClusters[Tarif par nœud],$B934),"")</f>
        <v>2842</v>
      </c>
      <c r="L934" s="19">
        <f>IF($D934=1,INDEX(TblClusters[CPU initial (vCPU)],$B934),"")</f>
        <v>384</v>
      </c>
      <c r="M934" s="19">
        <f>IF($D934=1,INDEX(TblClusters[RAM initiale (Go)],$B934),"")</f>
        <v>3072</v>
      </c>
      <c r="N934" s="19">
        <f>IF($D934=1,INDEX(TblClusters[CPU min (vCPU)],$B934),"")</f>
        <v>192</v>
      </c>
      <c r="O934" s="19">
        <f>IF($D934=1,INDEX(TblClusters[RAM min (Go)],$B934),"")</f>
        <v>1536</v>
      </c>
      <c r="P934" s="19">
        <f>IF($D934&lt;&gt;1,"",IF($G934="ROKS",SUMIFS(TblApplications[Besoin ROKS CPU (vCPU)],TblApplications[Cluster ROKS cible],$F934,TblApplications[Action],"À migrer",TblApplications[Déjà incluse ROKS],"Non",TblApplications[Mois prov (calc)],"&lt;="&amp;$E934),SUMIFS(TblApplications[CPU IKS libérable (vCPU)],TblApplications[Cluster IKS source],$F934,TblApplications[Mois lib (calc)],"&lt;="&amp;$E934)))</f>
        <v>0</v>
      </c>
      <c r="Q934" s="19">
        <f>IF($D934&lt;&gt;1,"",IF($G934="ROKS",SUMIFS(TblApplications[Besoin ROKS RAM (Go)],TblApplications[Cluster ROKS cible],$F934,TblApplications[Action],"À migrer",TblApplications[Déjà incluse ROKS],"Non",TblApplications[Mois prov (calc)],"&lt;="&amp;$E934),SUMIFS(TblApplications[RAM IKS libérable (Go)],TblApplications[Cluster IKS source],$F934,TblApplications[Mois lib (calc)],"&lt;="&amp;$E934)))</f>
        <v>0</v>
      </c>
      <c r="R934" s="19">
        <f t="shared" si="241"/>
        <v>384</v>
      </c>
      <c r="S934" s="19">
        <f t="shared" si="242"/>
        <v>3072</v>
      </c>
      <c r="T934" s="19">
        <f t="shared" si="243"/>
        <v>6</v>
      </c>
      <c r="U934" s="19">
        <f t="shared" si="244"/>
        <v>384</v>
      </c>
      <c r="V934" s="19">
        <f t="shared" si="245"/>
        <v>3072</v>
      </c>
      <c r="W934" s="73">
        <f t="shared" si="246"/>
        <v>17052</v>
      </c>
      <c r="X934" s="19">
        <f>IF($D934&lt;&gt;1,"",IF($G934="ROKS",$R934,IF($AI934=1,0,MAX($N934,$L934-SUMIFS(TblApplications[CPU IKS libérable (vCPU)],TblApplications[Cluster IKS source],$F934,TblApplications[Action],"À migrer",TblApplications[Mois prov (calc)],"&lt;="&amp;$E934)-SUMIFS(TblApplications[CPU IKS libérable (vCPU)],TblApplications[Cluster IKS source],$F934,TblApplications[Action],"À décommissionner",TblApplications[Mois lib (calc)],"&lt;="&amp;$E934)))))</f>
        <v>384</v>
      </c>
      <c r="Y934" s="19">
        <f>IF($D934&lt;&gt;1,"",IF($G934="ROKS",$S934,IF($AI934=1,0,MAX($O934,$M934-SUMIFS(TblApplications[RAM IKS libérable (Go)],TblApplications[Cluster IKS source],$F934,TblApplications[Action],"À migrer",TblApplications[Mois prov (calc)],"&lt;="&amp;$E934)-SUMIFS(TblApplications[RAM IKS libérable (Go)],TblApplications[Cluster IKS source],$F934,TblApplications[Action],"À décommissionner",TblApplications[Mois lib (calc)],"&lt;="&amp;$E934)))))</f>
        <v>3072</v>
      </c>
      <c r="Z934" s="19">
        <f t="shared" si="247"/>
        <v>6</v>
      </c>
      <c r="AA934" s="73">
        <f t="shared" si="248"/>
        <v>17052</v>
      </c>
      <c r="AB934" s="19">
        <f t="shared" si="249"/>
        <v>6</v>
      </c>
      <c r="AC934" s="73">
        <f t="shared" si="250"/>
        <v>17052</v>
      </c>
      <c r="AD934" s="19">
        <f t="shared" si="251"/>
        <v>0</v>
      </c>
      <c r="AE934" s="19">
        <f t="shared" si="252"/>
        <v>0</v>
      </c>
      <c r="AF934" s="19" t="str">
        <f>IF($D934&lt;&gt;1,"",IF(INDEX(TblClusters[Environnement],$B934)="","(vide)",INDEX(TblClusters[Environnement],$B934)))</f>
        <v>NPRD</v>
      </c>
      <c r="AG934" s="19">
        <f t="shared" si="253"/>
        <v>691.2</v>
      </c>
      <c r="AH934" s="19">
        <f t="shared" si="254"/>
        <v>24.670138888888886</v>
      </c>
      <c r="AI934" s="19">
        <f>IF($D934&lt;&gt;1,"",IF(AND($G934="IKS",ISNUMBER(INDEX(TblClusters[Fermeture retenue],$B934))),IF($E934&gt;=INDEX(TblClusters[Fermeture retenue],$B934),1,0),0))</f>
        <v>0</v>
      </c>
    </row>
    <row r="935" spans="1:35" x14ac:dyDescent="0.2">
      <c r="A935" s="19">
        <v>930</v>
      </c>
      <c r="B935" s="19">
        <f t="shared" si="238"/>
        <v>26</v>
      </c>
      <c r="C935" s="19">
        <f t="shared" si="239"/>
        <v>30</v>
      </c>
      <c r="D935" s="19">
        <f>IF($C935&gt;p_horizon,0,IFERROR(IF(AND(INDEX(TblClusters[Cluster],$B935)&lt;&gt;"",ISNUMBER(INDEX(TblClusters[CPU initial (vCPU)],$B935)),ISNUMBER(INDEX(TblClusters[CPU min (vCPU)],$B935)),OR(INDEX(TblClusters[Plateforme],$B935)="IKS",INDEX(TblClusters[Plateforme],$B935)="ROKS")),1,0),0))</f>
        <v>1</v>
      </c>
      <c r="E935" s="72">
        <f t="shared" si="240"/>
        <v>47178</v>
      </c>
      <c r="F935" s="19" t="str">
        <f>IF($D935=1,INDEX(TblClusters[Cluster],$B935),"")</f>
        <v>ku002i000829</v>
      </c>
      <c r="G935" s="19" t="str">
        <f>IF($D935=1,INDEX(TblClusters[Plateforme],$B935),"")</f>
        <v>IKS</v>
      </c>
      <c r="H935" s="19">
        <f>IF($D935=1,INDEX(TblClusters[vCPU par nœud],$B935),"")</f>
        <v>64</v>
      </c>
      <c r="I935" s="19">
        <f>IF($D935=1,INDEX(TblClusters[RAM par nœud (Go)],$B935),"")</f>
        <v>512</v>
      </c>
      <c r="J935" s="19">
        <f>IF($D935=1,INDEX(TblClusters[Workers min],$B935),"")</f>
        <v>3</v>
      </c>
      <c r="K935" s="73">
        <f>IF($D935=1,INDEX(TblClusters[Tarif par nœud],$B935),"")</f>
        <v>2842</v>
      </c>
      <c r="L935" s="19">
        <f>IF($D935=1,INDEX(TblClusters[CPU initial (vCPU)],$B935),"")</f>
        <v>384</v>
      </c>
      <c r="M935" s="19">
        <f>IF($D935=1,INDEX(TblClusters[RAM initiale (Go)],$B935),"")</f>
        <v>3072</v>
      </c>
      <c r="N935" s="19">
        <f>IF($D935=1,INDEX(TblClusters[CPU min (vCPU)],$B935),"")</f>
        <v>192</v>
      </c>
      <c r="O935" s="19">
        <f>IF($D935=1,INDEX(TblClusters[RAM min (Go)],$B935),"")</f>
        <v>1536</v>
      </c>
      <c r="P935" s="19">
        <f>IF($D935&lt;&gt;1,"",IF($G935="ROKS",SUMIFS(TblApplications[Besoin ROKS CPU (vCPU)],TblApplications[Cluster ROKS cible],$F935,TblApplications[Action],"À migrer",TblApplications[Déjà incluse ROKS],"Non",TblApplications[Mois prov (calc)],"&lt;="&amp;$E935),SUMIFS(TblApplications[CPU IKS libérable (vCPU)],TblApplications[Cluster IKS source],$F935,TblApplications[Mois lib (calc)],"&lt;="&amp;$E935)))</f>
        <v>0</v>
      </c>
      <c r="Q935" s="19">
        <f>IF($D935&lt;&gt;1,"",IF($G935="ROKS",SUMIFS(TblApplications[Besoin ROKS RAM (Go)],TblApplications[Cluster ROKS cible],$F935,TblApplications[Action],"À migrer",TblApplications[Déjà incluse ROKS],"Non",TblApplications[Mois prov (calc)],"&lt;="&amp;$E935),SUMIFS(TblApplications[RAM IKS libérable (Go)],TblApplications[Cluster IKS source],$F935,TblApplications[Mois lib (calc)],"&lt;="&amp;$E935)))</f>
        <v>0</v>
      </c>
      <c r="R935" s="19">
        <f t="shared" si="241"/>
        <v>384</v>
      </c>
      <c r="S935" s="19">
        <f t="shared" si="242"/>
        <v>3072</v>
      </c>
      <c r="T935" s="19">
        <f t="shared" si="243"/>
        <v>6</v>
      </c>
      <c r="U935" s="19">
        <f t="shared" si="244"/>
        <v>384</v>
      </c>
      <c r="V935" s="19">
        <f t="shared" si="245"/>
        <v>3072</v>
      </c>
      <c r="W935" s="73">
        <f t="shared" si="246"/>
        <v>17052</v>
      </c>
      <c r="X935" s="19">
        <f>IF($D935&lt;&gt;1,"",IF($G935="ROKS",$R935,IF($AI935=1,0,MAX($N935,$L935-SUMIFS(TblApplications[CPU IKS libérable (vCPU)],TblApplications[Cluster IKS source],$F935,TblApplications[Action],"À migrer",TblApplications[Mois prov (calc)],"&lt;="&amp;$E935)-SUMIFS(TblApplications[CPU IKS libérable (vCPU)],TblApplications[Cluster IKS source],$F935,TblApplications[Action],"À décommissionner",TblApplications[Mois lib (calc)],"&lt;="&amp;$E935)))))</f>
        <v>384</v>
      </c>
      <c r="Y935" s="19">
        <f>IF($D935&lt;&gt;1,"",IF($G935="ROKS",$S935,IF($AI935=1,0,MAX($O935,$M935-SUMIFS(TblApplications[RAM IKS libérable (Go)],TblApplications[Cluster IKS source],$F935,TblApplications[Action],"À migrer",TblApplications[Mois prov (calc)],"&lt;="&amp;$E935)-SUMIFS(TblApplications[RAM IKS libérable (Go)],TblApplications[Cluster IKS source],$F935,TblApplications[Action],"À décommissionner",TblApplications[Mois lib (calc)],"&lt;="&amp;$E935)))))</f>
        <v>3072</v>
      </c>
      <c r="Z935" s="19">
        <f t="shared" si="247"/>
        <v>6</v>
      </c>
      <c r="AA935" s="73">
        <f t="shared" si="248"/>
        <v>17052</v>
      </c>
      <c r="AB935" s="19">
        <f t="shared" si="249"/>
        <v>6</v>
      </c>
      <c r="AC935" s="73">
        <f t="shared" si="250"/>
        <v>17052</v>
      </c>
      <c r="AD935" s="19">
        <f t="shared" si="251"/>
        <v>0</v>
      </c>
      <c r="AE935" s="19">
        <f t="shared" si="252"/>
        <v>0</v>
      </c>
      <c r="AF935" s="19" t="str">
        <f>IF($D935&lt;&gt;1,"",IF(INDEX(TblClusters[Environnement],$B935)="","(vide)",INDEX(TblClusters[Environnement],$B935)))</f>
        <v>NPRD</v>
      </c>
      <c r="AG935" s="19">
        <f t="shared" si="253"/>
        <v>691.2</v>
      </c>
      <c r="AH935" s="19">
        <f t="shared" si="254"/>
        <v>24.670138888888886</v>
      </c>
      <c r="AI935" s="19">
        <f>IF($D935&lt;&gt;1,"",IF(AND($G935="IKS",ISNUMBER(INDEX(TblClusters[Fermeture retenue],$B935))),IF($E935&gt;=INDEX(TblClusters[Fermeture retenue],$B935),1,0),0))</f>
        <v>0</v>
      </c>
    </row>
    <row r="936" spans="1:35" x14ac:dyDescent="0.2">
      <c r="A936" s="19">
        <v>931</v>
      </c>
      <c r="B936" s="19">
        <f t="shared" si="238"/>
        <v>26</v>
      </c>
      <c r="C936" s="19">
        <f t="shared" si="239"/>
        <v>31</v>
      </c>
      <c r="D936" s="19">
        <f>IF($C936&gt;p_horizon,0,IFERROR(IF(AND(INDEX(TblClusters[Cluster],$B936)&lt;&gt;"",ISNUMBER(INDEX(TblClusters[CPU initial (vCPU)],$B936)),ISNUMBER(INDEX(TblClusters[CPU min (vCPU)],$B936)),OR(INDEX(TblClusters[Plateforme],$B936)="IKS",INDEX(TblClusters[Plateforme],$B936)="ROKS")),1,0),0))</f>
        <v>1</v>
      </c>
      <c r="E936" s="72">
        <f t="shared" si="240"/>
        <v>47209</v>
      </c>
      <c r="F936" s="19" t="str">
        <f>IF($D936=1,INDEX(TblClusters[Cluster],$B936),"")</f>
        <v>ku002i000829</v>
      </c>
      <c r="G936" s="19" t="str">
        <f>IF($D936=1,INDEX(TblClusters[Plateforme],$B936),"")</f>
        <v>IKS</v>
      </c>
      <c r="H936" s="19">
        <f>IF($D936=1,INDEX(TblClusters[vCPU par nœud],$B936),"")</f>
        <v>64</v>
      </c>
      <c r="I936" s="19">
        <f>IF($D936=1,INDEX(TblClusters[RAM par nœud (Go)],$B936),"")</f>
        <v>512</v>
      </c>
      <c r="J936" s="19">
        <f>IF($D936=1,INDEX(TblClusters[Workers min],$B936),"")</f>
        <v>3</v>
      </c>
      <c r="K936" s="73">
        <f>IF($D936=1,INDEX(TblClusters[Tarif par nœud],$B936),"")</f>
        <v>2842</v>
      </c>
      <c r="L936" s="19">
        <f>IF($D936=1,INDEX(TblClusters[CPU initial (vCPU)],$B936),"")</f>
        <v>384</v>
      </c>
      <c r="M936" s="19">
        <f>IF($D936=1,INDEX(TblClusters[RAM initiale (Go)],$B936),"")</f>
        <v>3072</v>
      </c>
      <c r="N936" s="19">
        <f>IF($D936=1,INDEX(TblClusters[CPU min (vCPU)],$B936),"")</f>
        <v>192</v>
      </c>
      <c r="O936" s="19">
        <f>IF($D936=1,INDEX(TblClusters[RAM min (Go)],$B936),"")</f>
        <v>1536</v>
      </c>
      <c r="P936" s="19">
        <f>IF($D936&lt;&gt;1,"",IF($G936="ROKS",SUMIFS(TblApplications[Besoin ROKS CPU (vCPU)],TblApplications[Cluster ROKS cible],$F936,TblApplications[Action],"À migrer",TblApplications[Déjà incluse ROKS],"Non",TblApplications[Mois prov (calc)],"&lt;="&amp;$E936),SUMIFS(TblApplications[CPU IKS libérable (vCPU)],TblApplications[Cluster IKS source],$F936,TblApplications[Mois lib (calc)],"&lt;="&amp;$E936)))</f>
        <v>0</v>
      </c>
      <c r="Q936" s="19">
        <f>IF($D936&lt;&gt;1,"",IF($G936="ROKS",SUMIFS(TblApplications[Besoin ROKS RAM (Go)],TblApplications[Cluster ROKS cible],$F936,TblApplications[Action],"À migrer",TblApplications[Déjà incluse ROKS],"Non",TblApplications[Mois prov (calc)],"&lt;="&amp;$E936),SUMIFS(TblApplications[RAM IKS libérable (Go)],TblApplications[Cluster IKS source],$F936,TblApplications[Mois lib (calc)],"&lt;="&amp;$E936)))</f>
        <v>0</v>
      </c>
      <c r="R936" s="19">
        <f t="shared" si="241"/>
        <v>384</v>
      </c>
      <c r="S936" s="19">
        <f t="shared" si="242"/>
        <v>3072</v>
      </c>
      <c r="T936" s="19">
        <f t="shared" si="243"/>
        <v>6</v>
      </c>
      <c r="U936" s="19">
        <f t="shared" si="244"/>
        <v>384</v>
      </c>
      <c r="V936" s="19">
        <f t="shared" si="245"/>
        <v>3072</v>
      </c>
      <c r="W936" s="73">
        <f t="shared" si="246"/>
        <v>17052</v>
      </c>
      <c r="X936" s="19">
        <f>IF($D936&lt;&gt;1,"",IF($G936="ROKS",$R936,IF($AI936=1,0,MAX($N936,$L936-SUMIFS(TblApplications[CPU IKS libérable (vCPU)],TblApplications[Cluster IKS source],$F936,TblApplications[Action],"À migrer",TblApplications[Mois prov (calc)],"&lt;="&amp;$E936)-SUMIFS(TblApplications[CPU IKS libérable (vCPU)],TblApplications[Cluster IKS source],$F936,TblApplications[Action],"À décommissionner",TblApplications[Mois lib (calc)],"&lt;="&amp;$E936)))))</f>
        <v>384</v>
      </c>
      <c r="Y936" s="19">
        <f>IF($D936&lt;&gt;1,"",IF($G936="ROKS",$S936,IF($AI936=1,0,MAX($O936,$M936-SUMIFS(TblApplications[RAM IKS libérable (Go)],TblApplications[Cluster IKS source],$F936,TblApplications[Action],"À migrer",TblApplications[Mois prov (calc)],"&lt;="&amp;$E936)-SUMIFS(TblApplications[RAM IKS libérable (Go)],TblApplications[Cluster IKS source],$F936,TblApplications[Action],"À décommissionner",TblApplications[Mois lib (calc)],"&lt;="&amp;$E936)))))</f>
        <v>3072</v>
      </c>
      <c r="Z936" s="19">
        <f t="shared" si="247"/>
        <v>6</v>
      </c>
      <c r="AA936" s="73">
        <f t="shared" si="248"/>
        <v>17052</v>
      </c>
      <c r="AB936" s="19">
        <f t="shared" si="249"/>
        <v>6</v>
      </c>
      <c r="AC936" s="73">
        <f t="shared" si="250"/>
        <v>17052</v>
      </c>
      <c r="AD936" s="19">
        <f t="shared" si="251"/>
        <v>0</v>
      </c>
      <c r="AE936" s="19">
        <f t="shared" si="252"/>
        <v>0</v>
      </c>
      <c r="AF936" s="19" t="str">
        <f>IF($D936&lt;&gt;1,"",IF(INDEX(TblClusters[Environnement],$B936)="","(vide)",INDEX(TblClusters[Environnement],$B936)))</f>
        <v>NPRD</v>
      </c>
      <c r="AG936" s="19">
        <f t="shared" si="253"/>
        <v>691.2</v>
      </c>
      <c r="AH936" s="19">
        <f t="shared" si="254"/>
        <v>24.670138888888886</v>
      </c>
      <c r="AI936" s="19">
        <f>IF($D936&lt;&gt;1,"",IF(AND($G936="IKS",ISNUMBER(INDEX(TblClusters[Fermeture retenue],$B936))),IF($E936&gt;=INDEX(TblClusters[Fermeture retenue],$B936),1,0),0))</f>
        <v>0</v>
      </c>
    </row>
    <row r="937" spans="1:35" x14ac:dyDescent="0.2">
      <c r="A937" s="19">
        <v>932</v>
      </c>
      <c r="B937" s="19">
        <f t="shared" si="238"/>
        <v>26</v>
      </c>
      <c r="C937" s="19">
        <f t="shared" si="239"/>
        <v>32</v>
      </c>
      <c r="D937" s="19">
        <f>IF($C937&gt;p_horizon,0,IFERROR(IF(AND(INDEX(TblClusters[Cluster],$B937)&lt;&gt;"",ISNUMBER(INDEX(TblClusters[CPU initial (vCPU)],$B937)),ISNUMBER(INDEX(TblClusters[CPU min (vCPU)],$B937)),OR(INDEX(TblClusters[Plateforme],$B937)="IKS",INDEX(TblClusters[Plateforme],$B937)="ROKS")),1,0),0))</f>
        <v>1</v>
      </c>
      <c r="E937" s="72">
        <f t="shared" si="240"/>
        <v>47239</v>
      </c>
      <c r="F937" s="19" t="str">
        <f>IF($D937=1,INDEX(TblClusters[Cluster],$B937),"")</f>
        <v>ku002i000829</v>
      </c>
      <c r="G937" s="19" t="str">
        <f>IF($D937=1,INDEX(TblClusters[Plateforme],$B937),"")</f>
        <v>IKS</v>
      </c>
      <c r="H937" s="19">
        <f>IF($D937=1,INDEX(TblClusters[vCPU par nœud],$B937),"")</f>
        <v>64</v>
      </c>
      <c r="I937" s="19">
        <f>IF($D937=1,INDEX(TblClusters[RAM par nœud (Go)],$B937),"")</f>
        <v>512</v>
      </c>
      <c r="J937" s="19">
        <f>IF($D937=1,INDEX(TblClusters[Workers min],$B937),"")</f>
        <v>3</v>
      </c>
      <c r="K937" s="73">
        <f>IF($D937=1,INDEX(TblClusters[Tarif par nœud],$B937),"")</f>
        <v>2842</v>
      </c>
      <c r="L937" s="19">
        <f>IF($D937=1,INDEX(TblClusters[CPU initial (vCPU)],$B937),"")</f>
        <v>384</v>
      </c>
      <c r="M937" s="19">
        <f>IF($D937=1,INDEX(TblClusters[RAM initiale (Go)],$B937),"")</f>
        <v>3072</v>
      </c>
      <c r="N937" s="19">
        <f>IF($D937=1,INDEX(TblClusters[CPU min (vCPU)],$B937),"")</f>
        <v>192</v>
      </c>
      <c r="O937" s="19">
        <f>IF($D937=1,INDEX(TblClusters[RAM min (Go)],$B937),"")</f>
        <v>1536</v>
      </c>
      <c r="P937" s="19">
        <f>IF($D937&lt;&gt;1,"",IF($G937="ROKS",SUMIFS(TblApplications[Besoin ROKS CPU (vCPU)],TblApplications[Cluster ROKS cible],$F937,TblApplications[Action],"À migrer",TblApplications[Déjà incluse ROKS],"Non",TblApplications[Mois prov (calc)],"&lt;="&amp;$E937),SUMIFS(TblApplications[CPU IKS libérable (vCPU)],TblApplications[Cluster IKS source],$F937,TblApplications[Mois lib (calc)],"&lt;="&amp;$E937)))</f>
        <v>0</v>
      </c>
      <c r="Q937" s="19">
        <f>IF($D937&lt;&gt;1,"",IF($G937="ROKS",SUMIFS(TblApplications[Besoin ROKS RAM (Go)],TblApplications[Cluster ROKS cible],$F937,TblApplications[Action],"À migrer",TblApplications[Déjà incluse ROKS],"Non",TblApplications[Mois prov (calc)],"&lt;="&amp;$E937),SUMIFS(TblApplications[RAM IKS libérable (Go)],TblApplications[Cluster IKS source],$F937,TblApplications[Mois lib (calc)],"&lt;="&amp;$E937)))</f>
        <v>0</v>
      </c>
      <c r="R937" s="19">
        <f t="shared" si="241"/>
        <v>384</v>
      </c>
      <c r="S937" s="19">
        <f t="shared" si="242"/>
        <v>3072</v>
      </c>
      <c r="T937" s="19">
        <f t="shared" si="243"/>
        <v>6</v>
      </c>
      <c r="U937" s="19">
        <f t="shared" si="244"/>
        <v>384</v>
      </c>
      <c r="V937" s="19">
        <f t="shared" si="245"/>
        <v>3072</v>
      </c>
      <c r="W937" s="73">
        <f t="shared" si="246"/>
        <v>17052</v>
      </c>
      <c r="X937" s="19">
        <f>IF($D937&lt;&gt;1,"",IF($G937="ROKS",$R937,IF($AI937=1,0,MAX($N937,$L937-SUMIFS(TblApplications[CPU IKS libérable (vCPU)],TblApplications[Cluster IKS source],$F937,TblApplications[Action],"À migrer",TblApplications[Mois prov (calc)],"&lt;="&amp;$E937)-SUMIFS(TblApplications[CPU IKS libérable (vCPU)],TblApplications[Cluster IKS source],$F937,TblApplications[Action],"À décommissionner",TblApplications[Mois lib (calc)],"&lt;="&amp;$E937)))))</f>
        <v>384</v>
      </c>
      <c r="Y937" s="19">
        <f>IF($D937&lt;&gt;1,"",IF($G937="ROKS",$S937,IF($AI937=1,0,MAX($O937,$M937-SUMIFS(TblApplications[RAM IKS libérable (Go)],TblApplications[Cluster IKS source],$F937,TblApplications[Action],"À migrer",TblApplications[Mois prov (calc)],"&lt;="&amp;$E937)-SUMIFS(TblApplications[RAM IKS libérable (Go)],TblApplications[Cluster IKS source],$F937,TblApplications[Action],"À décommissionner",TblApplications[Mois lib (calc)],"&lt;="&amp;$E937)))))</f>
        <v>3072</v>
      </c>
      <c r="Z937" s="19">
        <f t="shared" si="247"/>
        <v>6</v>
      </c>
      <c r="AA937" s="73">
        <f t="shared" si="248"/>
        <v>17052</v>
      </c>
      <c r="AB937" s="19">
        <f t="shared" si="249"/>
        <v>6</v>
      </c>
      <c r="AC937" s="73">
        <f t="shared" si="250"/>
        <v>17052</v>
      </c>
      <c r="AD937" s="19">
        <f t="shared" si="251"/>
        <v>0</v>
      </c>
      <c r="AE937" s="19">
        <f t="shared" si="252"/>
        <v>0</v>
      </c>
      <c r="AF937" s="19" t="str">
        <f>IF($D937&lt;&gt;1,"",IF(INDEX(TblClusters[Environnement],$B937)="","(vide)",INDEX(TblClusters[Environnement],$B937)))</f>
        <v>NPRD</v>
      </c>
      <c r="AG937" s="19">
        <f t="shared" si="253"/>
        <v>691.2</v>
      </c>
      <c r="AH937" s="19">
        <f t="shared" si="254"/>
        <v>24.670138888888886</v>
      </c>
      <c r="AI937" s="19">
        <f>IF($D937&lt;&gt;1,"",IF(AND($G937="IKS",ISNUMBER(INDEX(TblClusters[Fermeture retenue],$B937))),IF($E937&gt;=INDEX(TblClusters[Fermeture retenue],$B937),1,0),0))</f>
        <v>0</v>
      </c>
    </row>
    <row r="938" spans="1:35" x14ac:dyDescent="0.2">
      <c r="A938" s="19">
        <v>933</v>
      </c>
      <c r="B938" s="19">
        <f t="shared" si="238"/>
        <v>26</v>
      </c>
      <c r="C938" s="19">
        <f t="shared" si="239"/>
        <v>33</v>
      </c>
      <c r="D938" s="19">
        <f>IF($C938&gt;p_horizon,0,IFERROR(IF(AND(INDEX(TblClusters[Cluster],$B938)&lt;&gt;"",ISNUMBER(INDEX(TblClusters[CPU initial (vCPU)],$B938)),ISNUMBER(INDEX(TblClusters[CPU min (vCPU)],$B938)),OR(INDEX(TblClusters[Plateforme],$B938)="IKS",INDEX(TblClusters[Plateforme],$B938)="ROKS")),1,0),0))</f>
        <v>1</v>
      </c>
      <c r="E938" s="72">
        <f t="shared" si="240"/>
        <v>47270</v>
      </c>
      <c r="F938" s="19" t="str">
        <f>IF($D938=1,INDEX(TblClusters[Cluster],$B938),"")</f>
        <v>ku002i000829</v>
      </c>
      <c r="G938" s="19" t="str">
        <f>IF($D938=1,INDEX(TblClusters[Plateforme],$B938),"")</f>
        <v>IKS</v>
      </c>
      <c r="H938" s="19">
        <f>IF($D938=1,INDEX(TblClusters[vCPU par nœud],$B938),"")</f>
        <v>64</v>
      </c>
      <c r="I938" s="19">
        <f>IF($D938=1,INDEX(TblClusters[RAM par nœud (Go)],$B938),"")</f>
        <v>512</v>
      </c>
      <c r="J938" s="19">
        <f>IF($D938=1,INDEX(TblClusters[Workers min],$B938),"")</f>
        <v>3</v>
      </c>
      <c r="K938" s="73">
        <f>IF($D938=1,INDEX(TblClusters[Tarif par nœud],$B938),"")</f>
        <v>2842</v>
      </c>
      <c r="L938" s="19">
        <f>IF($D938=1,INDEX(TblClusters[CPU initial (vCPU)],$B938),"")</f>
        <v>384</v>
      </c>
      <c r="M938" s="19">
        <f>IF($D938=1,INDEX(TblClusters[RAM initiale (Go)],$B938),"")</f>
        <v>3072</v>
      </c>
      <c r="N938" s="19">
        <f>IF($D938=1,INDEX(TblClusters[CPU min (vCPU)],$B938),"")</f>
        <v>192</v>
      </c>
      <c r="O938" s="19">
        <f>IF($D938=1,INDEX(TblClusters[RAM min (Go)],$B938),"")</f>
        <v>1536</v>
      </c>
      <c r="P938" s="19">
        <f>IF($D938&lt;&gt;1,"",IF($G938="ROKS",SUMIFS(TblApplications[Besoin ROKS CPU (vCPU)],TblApplications[Cluster ROKS cible],$F938,TblApplications[Action],"À migrer",TblApplications[Déjà incluse ROKS],"Non",TblApplications[Mois prov (calc)],"&lt;="&amp;$E938),SUMIFS(TblApplications[CPU IKS libérable (vCPU)],TblApplications[Cluster IKS source],$F938,TblApplications[Mois lib (calc)],"&lt;="&amp;$E938)))</f>
        <v>0</v>
      </c>
      <c r="Q938" s="19">
        <f>IF($D938&lt;&gt;1,"",IF($G938="ROKS",SUMIFS(TblApplications[Besoin ROKS RAM (Go)],TblApplications[Cluster ROKS cible],$F938,TblApplications[Action],"À migrer",TblApplications[Déjà incluse ROKS],"Non",TblApplications[Mois prov (calc)],"&lt;="&amp;$E938),SUMIFS(TblApplications[RAM IKS libérable (Go)],TblApplications[Cluster IKS source],$F938,TblApplications[Mois lib (calc)],"&lt;="&amp;$E938)))</f>
        <v>0</v>
      </c>
      <c r="R938" s="19">
        <f t="shared" si="241"/>
        <v>384</v>
      </c>
      <c r="S938" s="19">
        <f t="shared" si="242"/>
        <v>3072</v>
      </c>
      <c r="T938" s="19">
        <f t="shared" si="243"/>
        <v>6</v>
      </c>
      <c r="U938" s="19">
        <f t="shared" si="244"/>
        <v>384</v>
      </c>
      <c r="V938" s="19">
        <f t="shared" si="245"/>
        <v>3072</v>
      </c>
      <c r="W938" s="73">
        <f t="shared" si="246"/>
        <v>17052</v>
      </c>
      <c r="X938" s="19">
        <f>IF($D938&lt;&gt;1,"",IF($G938="ROKS",$R938,IF($AI938=1,0,MAX($N938,$L938-SUMIFS(TblApplications[CPU IKS libérable (vCPU)],TblApplications[Cluster IKS source],$F938,TblApplications[Action],"À migrer",TblApplications[Mois prov (calc)],"&lt;="&amp;$E938)-SUMIFS(TblApplications[CPU IKS libérable (vCPU)],TblApplications[Cluster IKS source],$F938,TblApplications[Action],"À décommissionner",TblApplications[Mois lib (calc)],"&lt;="&amp;$E938)))))</f>
        <v>384</v>
      </c>
      <c r="Y938" s="19">
        <f>IF($D938&lt;&gt;1,"",IF($G938="ROKS",$S938,IF($AI938=1,0,MAX($O938,$M938-SUMIFS(TblApplications[RAM IKS libérable (Go)],TblApplications[Cluster IKS source],$F938,TblApplications[Action],"À migrer",TblApplications[Mois prov (calc)],"&lt;="&amp;$E938)-SUMIFS(TblApplications[RAM IKS libérable (Go)],TblApplications[Cluster IKS source],$F938,TblApplications[Action],"À décommissionner",TblApplications[Mois lib (calc)],"&lt;="&amp;$E938)))))</f>
        <v>3072</v>
      </c>
      <c r="Z938" s="19">
        <f t="shared" si="247"/>
        <v>6</v>
      </c>
      <c r="AA938" s="73">
        <f t="shared" si="248"/>
        <v>17052</v>
      </c>
      <c r="AB938" s="19">
        <f t="shared" si="249"/>
        <v>6</v>
      </c>
      <c r="AC938" s="73">
        <f t="shared" si="250"/>
        <v>17052</v>
      </c>
      <c r="AD938" s="19">
        <f t="shared" si="251"/>
        <v>0</v>
      </c>
      <c r="AE938" s="19">
        <f t="shared" si="252"/>
        <v>0</v>
      </c>
      <c r="AF938" s="19" t="str">
        <f>IF($D938&lt;&gt;1,"",IF(INDEX(TblClusters[Environnement],$B938)="","(vide)",INDEX(TblClusters[Environnement],$B938)))</f>
        <v>NPRD</v>
      </c>
      <c r="AG938" s="19">
        <f t="shared" si="253"/>
        <v>691.2</v>
      </c>
      <c r="AH938" s="19">
        <f t="shared" si="254"/>
        <v>24.670138888888886</v>
      </c>
      <c r="AI938" s="19">
        <f>IF($D938&lt;&gt;1,"",IF(AND($G938="IKS",ISNUMBER(INDEX(TblClusters[Fermeture retenue],$B938))),IF($E938&gt;=INDEX(TblClusters[Fermeture retenue],$B938),1,0),0))</f>
        <v>0</v>
      </c>
    </row>
    <row r="939" spans="1:35" x14ac:dyDescent="0.2">
      <c r="A939" s="19">
        <v>934</v>
      </c>
      <c r="B939" s="19">
        <f t="shared" si="238"/>
        <v>26</v>
      </c>
      <c r="C939" s="19">
        <f t="shared" si="239"/>
        <v>34</v>
      </c>
      <c r="D939" s="19">
        <f>IF($C939&gt;p_horizon,0,IFERROR(IF(AND(INDEX(TblClusters[Cluster],$B939)&lt;&gt;"",ISNUMBER(INDEX(TblClusters[CPU initial (vCPU)],$B939)),ISNUMBER(INDEX(TblClusters[CPU min (vCPU)],$B939)),OR(INDEX(TblClusters[Plateforme],$B939)="IKS",INDEX(TblClusters[Plateforme],$B939)="ROKS")),1,0),0))</f>
        <v>1</v>
      </c>
      <c r="E939" s="72">
        <f t="shared" si="240"/>
        <v>47300</v>
      </c>
      <c r="F939" s="19" t="str">
        <f>IF($D939=1,INDEX(TblClusters[Cluster],$B939),"")</f>
        <v>ku002i000829</v>
      </c>
      <c r="G939" s="19" t="str">
        <f>IF($D939=1,INDEX(TblClusters[Plateforme],$B939),"")</f>
        <v>IKS</v>
      </c>
      <c r="H939" s="19">
        <f>IF($D939=1,INDEX(TblClusters[vCPU par nœud],$B939),"")</f>
        <v>64</v>
      </c>
      <c r="I939" s="19">
        <f>IF($D939=1,INDEX(TblClusters[RAM par nœud (Go)],$B939),"")</f>
        <v>512</v>
      </c>
      <c r="J939" s="19">
        <f>IF($D939=1,INDEX(TblClusters[Workers min],$B939),"")</f>
        <v>3</v>
      </c>
      <c r="K939" s="73">
        <f>IF($D939=1,INDEX(TblClusters[Tarif par nœud],$B939),"")</f>
        <v>2842</v>
      </c>
      <c r="L939" s="19">
        <f>IF($D939=1,INDEX(TblClusters[CPU initial (vCPU)],$B939),"")</f>
        <v>384</v>
      </c>
      <c r="M939" s="19">
        <f>IF($D939=1,INDEX(TblClusters[RAM initiale (Go)],$B939),"")</f>
        <v>3072</v>
      </c>
      <c r="N939" s="19">
        <f>IF($D939=1,INDEX(TblClusters[CPU min (vCPU)],$B939),"")</f>
        <v>192</v>
      </c>
      <c r="O939" s="19">
        <f>IF($D939=1,INDEX(TblClusters[RAM min (Go)],$B939),"")</f>
        <v>1536</v>
      </c>
      <c r="P939" s="19">
        <f>IF($D939&lt;&gt;1,"",IF($G939="ROKS",SUMIFS(TblApplications[Besoin ROKS CPU (vCPU)],TblApplications[Cluster ROKS cible],$F939,TblApplications[Action],"À migrer",TblApplications[Déjà incluse ROKS],"Non",TblApplications[Mois prov (calc)],"&lt;="&amp;$E939),SUMIFS(TblApplications[CPU IKS libérable (vCPU)],TblApplications[Cluster IKS source],$F939,TblApplications[Mois lib (calc)],"&lt;="&amp;$E939)))</f>
        <v>0</v>
      </c>
      <c r="Q939" s="19">
        <f>IF($D939&lt;&gt;1,"",IF($G939="ROKS",SUMIFS(TblApplications[Besoin ROKS RAM (Go)],TblApplications[Cluster ROKS cible],$F939,TblApplications[Action],"À migrer",TblApplications[Déjà incluse ROKS],"Non",TblApplications[Mois prov (calc)],"&lt;="&amp;$E939),SUMIFS(TblApplications[RAM IKS libérable (Go)],TblApplications[Cluster IKS source],$F939,TblApplications[Mois lib (calc)],"&lt;="&amp;$E939)))</f>
        <v>0</v>
      </c>
      <c r="R939" s="19">
        <f t="shared" si="241"/>
        <v>384</v>
      </c>
      <c r="S939" s="19">
        <f t="shared" si="242"/>
        <v>3072</v>
      </c>
      <c r="T939" s="19">
        <f t="shared" si="243"/>
        <v>6</v>
      </c>
      <c r="U939" s="19">
        <f t="shared" si="244"/>
        <v>384</v>
      </c>
      <c r="V939" s="19">
        <f t="shared" si="245"/>
        <v>3072</v>
      </c>
      <c r="W939" s="73">
        <f t="shared" si="246"/>
        <v>17052</v>
      </c>
      <c r="X939" s="19">
        <f>IF($D939&lt;&gt;1,"",IF($G939="ROKS",$R939,IF($AI939=1,0,MAX($N939,$L939-SUMIFS(TblApplications[CPU IKS libérable (vCPU)],TblApplications[Cluster IKS source],$F939,TblApplications[Action],"À migrer",TblApplications[Mois prov (calc)],"&lt;="&amp;$E939)-SUMIFS(TblApplications[CPU IKS libérable (vCPU)],TblApplications[Cluster IKS source],$F939,TblApplications[Action],"À décommissionner",TblApplications[Mois lib (calc)],"&lt;="&amp;$E939)))))</f>
        <v>384</v>
      </c>
      <c r="Y939" s="19">
        <f>IF($D939&lt;&gt;1,"",IF($G939="ROKS",$S939,IF($AI939=1,0,MAX($O939,$M939-SUMIFS(TblApplications[RAM IKS libérable (Go)],TblApplications[Cluster IKS source],$F939,TblApplications[Action],"À migrer",TblApplications[Mois prov (calc)],"&lt;="&amp;$E939)-SUMIFS(TblApplications[RAM IKS libérable (Go)],TblApplications[Cluster IKS source],$F939,TblApplications[Action],"À décommissionner",TblApplications[Mois lib (calc)],"&lt;="&amp;$E939)))))</f>
        <v>3072</v>
      </c>
      <c r="Z939" s="19">
        <f t="shared" si="247"/>
        <v>6</v>
      </c>
      <c r="AA939" s="73">
        <f t="shared" si="248"/>
        <v>17052</v>
      </c>
      <c r="AB939" s="19">
        <f t="shared" si="249"/>
        <v>6</v>
      </c>
      <c r="AC939" s="73">
        <f t="shared" si="250"/>
        <v>17052</v>
      </c>
      <c r="AD939" s="19">
        <f t="shared" si="251"/>
        <v>0</v>
      </c>
      <c r="AE939" s="19">
        <f t="shared" si="252"/>
        <v>0</v>
      </c>
      <c r="AF939" s="19" t="str">
        <f>IF($D939&lt;&gt;1,"",IF(INDEX(TblClusters[Environnement],$B939)="","(vide)",INDEX(TblClusters[Environnement],$B939)))</f>
        <v>NPRD</v>
      </c>
      <c r="AG939" s="19">
        <f t="shared" si="253"/>
        <v>691.2</v>
      </c>
      <c r="AH939" s="19">
        <f t="shared" si="254"/>
        <v>24.670138888888886</v>
      </c>
      <c r="AI939" s="19">
        <f>IF($D939&lt;&gt;1,"",IF(AND($G939="IKS",ISNUMBER(INDEX(TblClusters[Fermeture retenue],$B939))),IF($E939&gt;=INDEX(TblClusters[Fermeture retenue],$B939),1,0),0))</f>
        <v>0</v>
      </c>
    </row>
    <row r="940" spans="1:35" x14ac:dyDescent="0.2">
      <c r="A940" s="19">
        <v>935</v>
      </c>
      <c r="B940" s="19">
        <f t="shared" si="238"/>
        <v>26</v>
      </c>
      <c r="C940" s="19">
        <f t="shared" si="239"/>
        <v>35</v>
      </c>
      <c r="D940" s="19">
        <f>IF($C940&gt;p_horizon,0,IFERROR(IF(AND(INDEX(TblClusters[Cluster],$B940)&lt;&gt;"",ISNUMBER(INDEX(TblClusters[CPU initial (vCPU)],$B940)),ISNUMBER(INDEX(TblClusters[CPU min (vCPU)],$B940)),OR(INDEX(TblClusters[Plateforme],$B940)="IKS",INDEX(TblClusters[Plateforme],$B940)="ROKS")),1,0),0))</f>
        <v>1</v>
      </c>
      <c r="E940" s="72">
        <f t="shared" si="240"/>
        <v>47331</v>
      </c>
      <c r="F940" s="19" t="str">
        <f>IF($D940=1,INDEX(TblClusters[Cluster],$B940),"")</f>
        <v>ku002i000829</v>
      </c>
      <c r="G940" s="19" t="str">
        <f>IF($D940=1,INDEX(TblClusters[Plateforme],$B940),"")</f>
        <v>IKS</v>
      </c>
      <c r="H940" s="19">
        <f>IF($D940=1,INDEX(TblClusters[vCPU par nœud],$B940),"")</f>
        <v>64</v>
      </c>
      <c r="I940" s="19">
        <f>IF($D940=1,INDEX(TblClusters[RAM par nœud (Go)],$B940),"")</f>
        <v>512</v>
      </c>
      <c r="J940" s="19">
        <f>IF($D940=1,INDEX(TblClusters[Workers min],$B940),"")</f>
        <v>3</v>
      </c>
      <c r="K940" s="73">
        <f>IF($D940=1,INDEX(TblClusters[Tarif par nœud],$B940),"")</f>
        <v>2842</v>
      </c>
      <c r="L940" s="19">
        <f>IF($D940=1,INDEX(TblClusters[CPU initial (vCPU)],$B940),"")</f>
        <v>384</v>
      </c>
      <c r="M940" s="19">
        <f>IF($D940=1,INDEX(TblClusters[RAM initiale (Go)],$B940),"")</f>
        <v>3072</v>
      </c>
      <c r="N940" s="19">
        <f>IF($D940=1,INDEX(TblClusters[CPU min (vCPU)],$B940),"")</f>
        <v>192</v>
      </c>
      <c r="O940" s="19">
        <f>IF($D940=1,INDEX(TblClusters[RAM min (Go)],$B940),"")</f>
        <v>1536</v>
      </c>
      <c r="P940" s="19">
        <f>IF($D940&lt;&gt;1,"",IF($G940="ROKS",SUMIFS(TblApplications[Besoin ROKS CPU (vCPU)],TblApplications[Cluster ROKS cible],$F940,TblApplications[Action],"À migrer",TblApplications[Déjà incluse ROKS],"Non",TblApplications[Mois prov (calc)],"&lt;="&amp;$E940),SUMIFS(TblApplications[CPU IKS libérable (vCPU)],TblApplications[Cluster IKS source],$F940,TblApplications[Mois lib (calc)],"&lt;="&amp;$E940)))</f>
        <v>0</v>
      </c>
      <c r="Q940" s="19">
        <f>IF($D940&lt;&gt;1,"",IF($G940="ROKS",SUMIFS(TblApplications[Besoin ROKS RAM (Go)],TblApplications[Cluster ROKS cible],$F940,TblApplications[Action],"À migrer",TblApplications[Déjà incluse ROKS],"Non",TblApplications[Mois prov (calc)],"&lt;="&amp;$E940),SUMIFS(TblApplications[RAM IKS libérable (Go)],TblApplications[Cluster IKS source],$F940,TblApplications[Mois lib (calc)],"&lt;="&amp;$E940)))</f>
        <v>0</v>
      </c>
      <c r="R940" s="19">
        <f t="shared" si="241"/>
        <v>384</v>
      </c>
      <c r="S940" s="19">
        <f t="shared" si="242"/>
        <v>3072</v>
      </c>
      <c r="T940" s="19">
        <f t="shared" si="243"/>
        <v>6</v>
      </c>
      <c r="U940" s="19">
        <f t="shared" si="244"/>
        <v>384</v>
      </c>
      <c r="V940" s="19">
        <f t="shared" si="245"/>
        <v>3072</v>
      </c>
      <c r="W940" s="73">
        <f t="shared" si="246"/>
        <v>17052</v>
      </c>
      <c r="X940" s="19">
        <f>IF($D940&lt;&gt;1,"",IF($G940="ROKS",$R940,IF($AI940=1,0,MAX($N940,$L940-SUMIFS(TblApplications[CPU IKS libérable (vCPU)],TblApplications[Cluster IKS source],$F940,TblApplications[Action],"À migrer",TblApplications[Mois prov (calc)],"&lt;="&amp;$E940)-SUMIFS(TblApplications[CPU IKS libérable (vCPU)],TblApplications[Cluster IKS source],$F940,TblApplications[Action],"À décommissionner",TblApplications[Mois lib (calc)],"&lt;="&amp;$E940)))))</f>
        <v>384</v>
      </c>
      <c r="Y940" s="19">
        <f>IF($D940&lt;&gt;1,"",IF($G940="ROKS",$S940,IF($AI940=1,0,MAX($O940,$M940-SUMIFS(TblApplications[RAM IKS libérable (Go)],TblApplications[Cluster IKS source],$F940,TblApplications[Action],"À migrer",TblApplications[Mois prov (calc)],"&lt;="&amp;$E940)-SUMIFS(TblApplications[RAM IKS libérable (Go)],TblApplications[Cluster IKS source],$F940,TblApplications[Action],"À décommissionner",TblApplications[Mois lib (calc)],"&lt;="&amp;$E940)))))</f>
        <v>3072</v>
      </c>
      <c r="Z940" s="19">
        <f t="shared" si="247"/>
        <v>6</v>
      </c>
      <c r="AA940" s="73">
        <f t="shared" si="248"/>
        <v>17052</v>
      </c>
      <c r="AB940" s="19">
        <f t="shared" si="249"/>
        <v>6</v>
      </c>
      <c r="AC940" s="73">
        <f t="shared" si="250"/>
        <v>17052</v>
      </c>
      <c r="AD940" s="19">
        <f t="shared" si="251"/>
        <v>0</v>
      </c>
      <c r="AE940" s="19">
        <f t="shared" si="252"/>
        <v>0</v>
      </c>
      <c r="AF940" s="19" t="str">
        <f>IF($D940&lt;&gt;1,"",IF(INDEX(TblClusters[Environnement],$B940)="","(vide)",INDEX(TblClusters[Environnement],$B940)))</f>
        <v>NPRD</v>
      </c>
      <c r="AG940" s="19">
        <f t="shared" si="253"/>
        <v>691.2</v>
      </c>
      <c r="AH940" s="19">
        <f t="shared" si="254"/>
        <v>24.670138888888886</v>
      </c>
      <c r="AI940" s="19">
        <f>IF($D940&lt;&gt;1,"",IF(AND($G940="IKS",ISNUMBER(INDEX(TblClusters[Fermeture retenue],$B940))),IF($E940&gt;=INDEX(TblClusters[Fermeture retenue],$B940),1,0),0))</f>
        <v>0</v>
      </c>
    </row>
    <row r="941" spans="1:35" x14ac:dyDescent="0.2">
      <c r="A941" s="19">
        <v>936</v>
      </c>
      <c r="B941" s="19">
        <f t="shared" si="238"/>
        <v>26</v>
      </c>
      <c r="C941" s="19">
        <f t="shared" si="239"/>
        <v>36</v>
      </c>
      <c r="D941" s="19">
        <f>IF($C941&gt;p_horizon,0,IFERROR(IF(AND(INDEX(TblClusters[Cluster],$B941)&lt;&gt;"",ISNUMBER(INDEX(TblClusters[CPU initial (vCPU)],$B941)),ISNUMBER(INDEX(TblClusters[CPU min (vCPU)],$B941)),OR(INDEX(TblClusters[Plateforme],$B941)="IKS",INDEX(TblClusters[Plateforme],$B941)="ROKS")),1,0),0))</f>
        <v>1</v>
      </c>
      <c r="E941" s="72">
        <f t="shared" si="240"/>
        <v>47362</v>
      </c>
      <c r="F941" s="19" t="str">
        <f>IF($D941=1,INDEX(TblClusters[Cluster],$B941),"")</f>
        <v>ku002i000829</v>
      </c>
      <c r="G941" s="19" t="str">
        <f>IF($D941=1,INDEX(TblClusters[Plateforme],$B941),"")</f>
        <v>IKS</v>
      </c>
      <c r="H941" s="19">
        <f>IF($D941=1,INDEX(TblClusters[vCPU par nœud],$B941),"")</f>
        <v>64</v>
      </c>
      <c r="I941" s="19">
        <f>IF($D941=1,INDEX(TblClusters[RAM par nœud (Go)],$B941),"")</f>
        <v>512</v>
      </c>
      <c r="J941" s="19">
        <f>IF($D941=1,INDEX(TblClusters[Workers min],$B941),"")</f>
        <v>3</v>
      </c>
      <c r="K941" s="73">
        <f>IF($D941=1,INDEX(TblClusters[Tarif par nœud],$B941),"")</f>
        <v>2842</v>
      </c>
      <c r="L941" s="19">
        <f>IF($D941=1,INDEX(TblClusters[CPU initial (vCPU)],$B941),"")</f>
        <v>384</v>
      </c>
      <c r="M941" s="19">
        <f>IF($D941=1,INDEX(TblClusters[RAM initiale (Go)],$B941),"")</f>
        <v>3072</v>
      </c>
      <c r="N941" s="19">
        <f>IF($D941=1,INDEX(TblClusters[CPU min (vCPU)],$B941),"")</f>
        <v>192</v>
      </c>
      <c r="O941" s="19">
        <f>IF($D941=1,INDEX(TblClusters[RAM min (Go)],$B941),"")</f>
        <v>1536</v>
      </c>
      <c r="P941" s="19">
        <f>IF($D941&lt;&gt;1,"",IF($G941="ROKS",SUMIFS(TblApplications[Besoin ROKS CPU (vCPU)],TblApplications[Cluster ROKS cible],$F941,TblApplications[Action],"À migrer",TblApplications[Déjà incluse ROKS],"Non",TblApplications[Mois prov (calc)],"&lt;="&amp;$E941),SUMIFS(TblApplications[CPU IKS libérable (vCPU)],TblApplications[Cluster IKS source],$F941,TblApplications[Mois lib (calc)],"&lt;="&amp;$E941)))</f>
        <v>0</v>
      </c>
      <c r="Q941" s="19">
        <f>IF($D941&lt;&gt;1,"",IF($G941="ROKS",SUMIFS(TblApplications[Besoin ROKS RAM (Go)],TblApplications[Cluster ROKS cible],$F941,TblApplications[Action],"À migrer",TblApplications[Déjà incluse ROKS],"Non",TblApplications[Mois prov (calc)],"&lt;="&amp;$E941),SUMIFS(TblApplications[RAM IKS libérable (Go)],TblApplications[Cluster IKS source],$F941,TblApplications[Mois lib (calc)],"&lt;="&amp;$E941)))</f>
        <v>0</v>
      </c>
      <c r="R941" s="19">
        <f t="shared" si="241"/>
        <v>384</v>
      </c>
      <c r="S941" s="19">
        <f t="shared" si="242"/>
        <v>3072</v>
      </c>
      <c r="T941" s="19">
        <f t="shared" si="243"/>
        <v>6</v>
      </c>
      <c r="U941" s="19">
        <f t="shared" si="244"/>
        <v>384</v>
      </c>
      <c r="V941" s="19">
        <f t="shared" si="245"/>
        <v>3072</v>
      </c>
      <c r="W941" s="73">
        <f t="shared" si="246"/>
        <v>17052</v>
      </c>
      <c r="X941" s="19">
        <f>IF($D941&lt;&gt;1,"",IF($G941="ROKS",$R941,IF($AI941=1,0,MAX($N941,$L941-SUMIFS(TblApplications[CPU IKS libérable (vCPU)],TblApplications[Cluster IKS source],$F941,TblApplications[Action],"À migrer",TblApplications[Mois prov (calc)],"&lt;="&amp;$E941)-SUMIFS(TblApplications[CPU IKS libérable (vCPU)],TblApplications[Cluster IKS source],$F941,TblApplications[Action],"À décommissionner",TblApplications[Mois lib (calc)],"&lt;="&amp;$E941)))))</f>
        <v>384</v>
      </c>
      <c r="Y941" s="19">
        <f>IF($D941&lt;&gt;1,"",IF($G941="ROKS",$S941,IF($AI941=1,0,MAX($O941,$M941-SUMIFS(TblApplications[RAM IKS libérable (Go)],TblApplications[Cluster IKS source],$F941,TblApplications[Action],"À migrer",TblApplications[Mois prov (calc)],"&lt;="&amp;$E941)-SUMIFS(TblApplications[RAM IKS libérable (Go)],TblApplications[Cluster IKS source],$F941,TblApplications[Action],"À décommissionner",TblApplications[Mois lib (calc)],"&lt;="&amp;$E941)))))</f>
        <v>3072</v>
      </c>
      <c r="Z941" s="19">
        <f t="shared" si="247"/>
        <v>6</v>
      </c>
      <c r="AA941" s="73">
        <f t="shared" si="248"/>
        <v>17052</v>
      </c>
      <c r="AB941" s="19">
        <f t="shared" si="249"/>
        <v>6</v>
      </c>
      <c r="AC941" s="73">
        <f t="shared" si="250"/>
        <v>17052</v>
      </c>
      <c r="AD941" s="19">
        <f t="shared" si="251"/>
        <v>0</v>
      </c>
      <c r="AE941" s="19">
        <f t="shared" si="252"/>
        <v>0</v>
      </c>
      <c r="AF941" s="19" t="str">
        <f>IF($D941&lt;&gt;1,"",IF(INDEX(TblClusters[Environnement],$B941)="","(vide)",INDEX(TblClusters[Environnement],$B941)))</f>
        <v>NPRD</v>
      </c>
      <c r="AG941" s="19">
        <f t="shared" si="253"/>
        <v>691.2</v>
      </c>
      <c r="AH941" s="19">
        <f t="shared" si="254"/>
        <v>24.670138888888886</v>
      </c>
      <c r="AI941" s="19">
        <f>IF($D941&lt;&gt;1,"",IF(AND($G941="IKS",ISNUMBER(INDEX(TblClusters[Fermeture retenue],$B941))),IF($E941&gt;=INDEX(TblClusters[Fermeture retenue],$B941),1,0),0))</f>
        <v>0</v>
      </c>
    </row>
    <row r="942" spans="1:35" x14ac:dyDescent="0.2">
      <c r="A942" s="19">
        <v>937</v>
      </c>
      <c r="B942" s="19">
        <f t="shared" si="238"/>
        <v>27</v>
      </c>
      <c r="C942" s="19">
        <f t="shared" si="239"/>
        <v>1</v>
      </c>
      <c r="D942" s="19">
        <f>IF($C942&gt;p_horizon,0,IFERROR(IF(AND(INDEX(TblClusters[Cluster],$B942)&lt;&gt;"",ISNUMBER(INDEX(TblClusters[CPU initial (vCPU)],$B942)),ISNUMBER(INDEX(TblClusters[CPU min (vCPU)],$B942)),OR(INDEX(TblClusters[Plateforme],$B942)="IKS",INDEX(TblClusters[Plateforme],$B942)="ROKS")),1,0),0))</f>
        <v>1</v>
      </c>
      <c r="E942" s="72">
        <f t="shared" si="240"/>
        <v>46296</v>
      </c>
      <c r="F942" s="19" t="str">
        <f>IF($D942=1,INDEX(TblClusters[Cluster],$B942),"")</f>
        <v>ku002i000908</v>
      </c>
      <c r="G942" s="19" t="str">
        <f>IF($D942=1,INDEX(TblClusters[Plateforme],$B942),"")</f>
        <v>IKS</v>
      </c>
      <c r="H942" s="19">
        <f>IF($D942=1,INDEX(TblClusters[vCPU par nœud],$B942),"")</f>
        <v>32</v>
      </c>
      <c r="I942" s="19">
        <f>IF($D942=1,INDEX(TblClusters[RAM par nœud (Go)],$B942),"")</f>
        <v>256</v>
      </c>
      <c r="J942" s="19">
        <f>IF($D942=1,INDEX(TblClusters[Workers min],$B942),"")</f>
        <v>3</v>
      </c>
      <c r="K942" s="73">
        <f>IF($D942=1,INDEX(TblClusters[Tarif par nœud],$B942),"")</f>
        <v>1421</v>
      </c>
      <c r="L942" s="19">
        <f>IF($D942=1,INDEX(TblClusters[CPU initial (vCPU)],$B942),"")</f>
        <v>192</v>
      </c>
      <c r="M942" s="19">
        <f>IF($D942=1,INDEX(TblClusters[RAM initiale (Go)],$B942),"")</f>
        <v>1536</v>
      </c>
      <c r="N942" s="19">
        <f>IF($D942=1,INDEX(TblClusters[CPU min (vCPU)],$B942),"")</f>
        <v>96</v>
      </c>
      <c r="O942" s="19">
        <f>IF($D942=1,INDEX(TblClusters[RAM min (Go)],$B942),"")</f>
        <v>768</v>
      </c>
      <c r="P942" s="19">
        <f>IF($D942&lt;&gt;1,"",IF($G942="ROKS",SUMIFS(TblApplications[Besoin ROKS CPU (vCPU)],TblApplications[Cluster ROKS cible],$F942,TblApplications[Action],"À migrer",TblApplications[Déjà incluse ROKS],"Non",TblApplications[Mois prov (calc)],"&lt;="&amp;$E942),SUMIFS(TblApplications[CPU IKS libérable (vCPU)],TblApplications[Cluster IKS source],$F942,TblApplications[Mois lib (calc)],"&lt;="&amp;$E942)))</f>
        <v>0</v>
      </c>
      <c r="Q942" s="19">
        <f>IF($D942&lt;&gt;1,"",IF($G942="ROKS",SUMIFS(TblApplications[Besoin ROKS RAM (Go)],TblApplications[Cluster ROKS cible],$F942,TblApplications[Action],"À migrer",TblApplications[Déjà incluse ROKS],"Non",TblApplications[Mois prov (calc)],"&lt;="&amp;$E942),SUMIFS(TblApplications[RAM IKS libérable (Go)],TblApplications[Cluster IKS source],$F942,TblApplications[Mois lib (calc)],"&lt;="&amp;$E942)))</f>
        <v>0</v>
      </c>
      <c r="R942" s="19">
        <f t="shared" si="241"/>
        <v>192</v>
      </c>
      <c r="S942" s="19">
        <f t="shared" si="242"/>
        <v>1536</v>
      </c>
      <c r="T942" s="19">
        <f t="shared" si="243"/>
        <v>6</v>
      </c>
      <c r="U942" s="19">
        <f t="shared" si="244"/>
        <v>192</v>
      </c>
      <c r="V942" s="19">
        <f t="shared" si="245"/>
        <v>1536</v>
      </c>
      <c r="W942" s="73">
        <f t="shared" si="246"/>
        <v>8526</v>
      </c>
      <c r="X942" s="19">
        <f>IF($D942&lt;&gt;1,"",IF($G942="ROKS",$R942,IF($AI942=1,0,MAX($N942,$L942-SUMIFS(TblApplications[CPU IKS libérable (vCPU)],TblApplications[Cluster IKS source],$F942,TblApplications[Action],"À migrer",TblApplications[Mois prov (calc)],"&lt;="&amp;$E942)-SUMIFS(TblApplications[CPU IKS libérable (vCPU)],TblApplications[Cluster IKS source],$F942,TblApplications[Action],"À décommissionner",TblApplications[Mois lib (calc)],"&lt;="&amp;$E942)))))</f>
        <v>192</v>
      </c>
      <c r="Y942" s="19">
        <f>IF($D942&lt;&gt;1,"",IF($G942="ROKS",$S942,IF($AI942=1,0,MAX($O942,$M942-SUMIFS(TblApplications[RAM IKS libérable (Go)],TblApplications[Cluster IKS source],$F942,TblApplications[Action],"À migrer",TblApplications[Mois prov (calc)],"&lt;="&amp;$E942)-SUMIFS(TblApplications[RAM IKS libérable (Go)],TblApplications[Cluster IKS source],$F942,TblApplications[Action],"À décommissionner",TblApplications[Mois lib (calc)],"&lt;="&amp;$E942)))))</f>
        <v>1536</v>
      </c>
      <c r="Z942" s="19">
        <f t="shared" si="247"/>
        <v>6</v>
      </c>
      <c r="AA942" s="73">
        <f t="shared" si="248"/>
        <v>8526</v>
      </c>
      <c r="AB942" s="19">
        <f t="shared" si="249"/>
        <v>6</v>
      </c>
      <c r="AC942" s="73">
        <f t="shared" si="250"/>
        <v>8526</v>
      </c>
      <c r="AD942" s="19">
        <f t="shared" si="251"/>
        <v>0</v>
      </c>
      <c r="AE942" s="19">
        <f t="shared" si="252"/>
        <v>0</v>
      </c>
      <c r="AF942" s="19" t="str">
        <f>IF($D942&lt;&gt;1,"",IF(INDEX(TblClusters[Environnement],$B942)="","(vide)",INDEX(TblClusters[Environnement],$B942)))</f>
        <v>PRD</v>
      </c>
      <c r="AG942" s="19">
        <f t="shared" si="253"/>
        <v>345.6</v>
      </c>
      <c r="AH942" s="19">
        <f t="shared" si="254"/>
        <v>24.670138888888886</v>
      </c>
      <c r="AI942" s="19">
        <f>IF($D942&lt;&gt;1,"",IF(AND($G942="IKS",ISNUMBER(INDEX(TblClusters[Fermeture retenue],$B942))),IF($E942&gt;=INDEX(TblClusters[Fermeture retenue],$B942),1,0),0))</f>
        <v>0</v>
      </c>
    </row>
    <row r="943" spans="1:35" x14ac:dyDescent="0.2">
      <c r="A943" s="19">
        <v>938</v>
      </c>
      <c r="B943" s="19">
        <f t="shared" si="238"/>
        <v>27</v>
      </c>
      <c r="C943" s="19">
        <f t="shared" si="239"/>
        <v>2</v>
      </c>
      <c r="D943" s="19">
        <f>IF($C943&gt;p_horizon,0,IFERROR(IF(AND(INDEX(TblClusters[Cluster],$B943)&lt;&gt;"",ISNUMBER(INDEX(TblClusters[CPU initial (vCPU)],$B943)),ISNUMBER(INDEX(TblClusters[CPU min (vCPU)],$B943)),OR(INDEX(TblClusters[Plateforme],$B943)="IKS",INDEX(TblClusters[Plateforme],$B943)="ROKS")),1,0),0))</f>
        <v>1</v>
      </c>
      <c r="E943" s="72">
        <f t="shared" si="240"/>
        <v>46327</v>
      </c>
      <c r="F943" s="19" t="str">
        <f>IF($D943=1,INDEX(TblClusters[Cluster],$B943),"")</f>
        <v>ku002i000908</v>
      </c>
      <c r="G943" s="19" t="str">
        <f>IF($D943=1,INDEX(TblClusters[Plateforme],$B943),"")</f>
        <v>IKS</v>
      </c>
      <c r="H943" s="19">
        <f>IF($D943=1,INDEX(TblClusters[vCPU par nœud],$B943),"")</f>
        <v>32</v>
      </c>
      <c r="I943" s="19">
        <f>IF($D943=1,INDEX(TblClusters[RAM par nœud (Go)],$B943),"")</f>
        <v>256</v>
      </c>
      <c r="J943" s="19">
        <f>IF($D943=1,INDEX(TblClusters[Workers min],$B943),"")</f>
        <v>3</v>
      </c>
      <c r="K943" s="73">
        <f>IF($D943=1,INDEX(TblClusters[Tarif par nœud],$B943),"")</f>
        <v>1421</v>
      </c>
      <c r="L943" s="19">
        <f>IF($D943=1,INDEX(TblClusters[CPU initial (vCPU)],$B943),"")</f>
        <v>192</v>
      </c>
      <c r="M943" s="19">
        <f>IF($D943=1,INDEX(TblClusters[RAM initiale (Go)],$B943),"")</f>
        <v>1536</v>
      </c>
      <c r="N943" s="19">
        <f>IF($D943=1,INDEX(TblClusters[CPU min (vCPU)],$B943),"")</f>
        <v>96</v>
      </c>
      <c r="O943" s="19">
        <f>IF($D943=1,INDEX(TblClusters[RAM min (Go)],$B943),"")</f>
        <v>768</v>
      </c>
      <c r="P943" s="19">
        <f>IF($D943&lt;&gt;1,"",IF($G943="ROKS",SUMIFS(TblApplications[Besoin ROKS CPU (vCPU)],TblApplications[Cluster ROKS cible],$F943,TblApplications[Action],"À migrer",TblApplications[Déjà incluse ROKS],"Non",TblApplications[Mois prov (calc)],"&lt;="&amp;$E943),SUMIFS(TblApplications[CPU IKS libérable (vCPU)],TblApplications[Cluster IKS source],$F943,TblApplications[Mois lib (calc)],"&lt;="&amp;$E943)))</f>
        <v>0</v>
      </c>
      <c r="Q943" s="19">
        <f>IF($D943&lt;&gt;1,"",IF($G943="ROKS",SUMIFS(TblApplications[Besoin ROKS RAM (Go)],TblApplications[Cluster ROKS cible],$F943,TblApplications[Action],"À migrer",TblApplications[Déjà incluse ROKS],"Non",TblApplications[Mois prov (calc)],"&lt;="&amp;$E943),SUMIFS(TblApplications[RAM IKS libérable (Go)],TblApplications[Cluster IKS source],$F943,TblApplications[Mois lib (calc)],"&lt;="&amp;$E943)))</f>
        <v>0</v>
      </c>
      <c r="R943" s="19">
        <f t="shared" si="241"/>
        <v>192</v>
      </c>
      <c r="S943" s="19">
        <f t="shared" si="242"/>
        <v>1536</v>
      </c>
      <c r="T943" s="19">
        <f t="shared" si="243"/>
        <v>6</v>
      </c>
      <c r="U943" s="19">
        <f t="shared" si="244"/>
        <v>192</v>
      </c>
      <c r="V943" s="19">
        <f t="shared" si="245"/>
        <v>1536</v>
      </c>
      <c r="W943" s="73">
        <f t="shared" si="246"/>
        <v>8526</v>
      </c>
      <c r="X943" s="19">
        <f>IF($D943&lt;&gt;1,"",IF($G943="ROKS",$R943,IF($AI943=1,0,MAX($N943,$L943-SUMIFS(TblApplications[CPU IKS libérable (vCPU)],TblApplications[Cluster IKS source],$F943,TblApplications[Action],"À migrer",TblApplications[Mois prov (calc)],"&lt;="&amp;$E943)-SUMIFS(TblApplications[CPU IKS libérable (vCPU)],TblApplications[Cluster IKS source],$F943,TblApplications[Action],"À décommissionner",TblApplications[Mois lib (calc)],"&lt;="&amp;$E943)))))</f>
        <v>192</v>
      </c>
      <c r="Y943" s="19">
        <f>IF($D943&lt;&gt;1,"",IF($G943="ROKS",$S943,IF($AI943=1,0,MAX($O943,$M943-SUMIFS(TblApplications[RAM IKS libérable (Go)],TblApplications[Cluster IKS source],$F943,TblApplications[Action],"À migrer",TblApplications[Mois prov (calc)],"&lt;="&amp;$E943)-SUMIFS(TblApplications[RAM IKS libérable (Go)],TblApplications[Cluster IKS source],$F943,TblApplications[Action],"À décommissionner",TblApplications[Mois lib (calc)],"&lt;="&amp;$E943)))))</f>
        <v>1536</v>
      </c>
      <c r="Z943" s="19">
        <f t="shared" si="247"/>
        <v>6</v>
      </c>
      <c r="AA943" s="73">
        <f t="shared" si="248"/>
        <v>8526</v>
      </c>
      <c r="AB943" s="19">
        <f t="shared" si="249"/>
        <v>6</v>
      </c>
      <c r="AC943" s="73">
        <f t="shared" si="250"/>
        <v>8526</v>
      </c>
      <c r="AD943" s="19">
        <f t="shared" si="251"/>
        <v>0</v>
      </c>
      <c r="AE943" s="19">
        <f t="shared" si="252"/>
        <v>0</v>
      </c>
      <c r="AF943" s="19" t="str">
        <f>IF($D943&lt;&gt;1,"",IF(INDEX(TblClusters[Environnement],$B943)="","(vide)",INDEX(TblClusters[Environnement],$B943)))</f>
        <v>PRD</v>
      </c>
      <c r="AG943" s="19">
        <f t="shared" si="253"/>
        <v>345.6</v>
      </c>
      <c r="AH943" s="19">
        <f t="shared" si="254"/>
        <v>24.670138888888886</v>
      </c>
      <c r="AI943" s="19">
        <f>IF($D943&lt;&gt;1,"",IF(AND($G943="IKS",ISNUMBER(INDEX(TblClusters[Fermeture retenue],$B943))),IF($E943&gt;=INDEX(TblClusters[Fermeture retenue],$B943),1,0),0))</f>
        <v>0</v>
      </c>
    </row>
    <row r="944" spans="1:35" x14ac:dyDescent="0.2">
      <c r="A944" s="19">
        <v>939</v>
      </c>
      <c r="B944" s="19">
        <f t="shared" si="238"/>
        <v>27</v>
      </c>
      <c r="C944" s="19">
        <f t="shared" si="239"/>
        <v>3</v>
      </c>
      <c r="D944" s="19">
        <f>IF($C944&gt;p_horizon,0,IFERROR(IF(AND(INDEX(TblClusters[Cluster],$B944)&lt;&gt;"",ISNUMBER(INDEX(TblClusters[CPU initial (vCPU)],$B944)),ISNUMBER(INDEX(TblClusters[CPU min (vCPU)],$B944)),OR(INDEX(TblClusters[Plateforme],$B944)="IKS",INDEX(TblClusters[Plateforme],$B944)="ROKS")),1,0),0))</f>
        <v>1</v>
      </c>
      <c r="E944" s="72">
        <f t="shared" si="240"/>
        <v>46357</v>
      </c>
      <c r="F944" s="19" t="str">
        <f>IF($D944=1,INDEX(TblClusters[Cluster],$B944),"")</f>
        <v>ku002i000908</v>
      </c>
      <c r="G944" s="19" t="str">
        <f>IF($D944=1,INDEX(TblClusters[Plateforme],$B944),"")</f>
        <v>IKS</v>
      </c>
      <c r="H944" s="19">
        <f>IF($D944=1,INDEX(TblClusters[vCPU par nœud],$B944),"")</f>
        <v>32</v>
      </c>
      <c r="I944" s="19">
        <f>IF($D944=1,INDEX(TblClusters[RAM par nœud (Go)],$B944),"")</f>
        <v>256</v>
      </c>
      <c r="J944" s="19">
        <f>IF($D944=1,INDEX(TblClusters[Workers min],$B944),"")</f>
        <v>3</v>
      </c>
      <c r="K944" s="73">
        <f>IF($D944=1,INDEX(TblClusters[Tarif par nœud],$B944),"")</f>
        <v>1421</v>
      </c>
      <c r="L944" s="19">
        <f>IF($D944=1,INDEX(TblClusters[CPU initial (vCPU)],$B944),"")</f>
        <v>192</v>
      </c>
      <c r="M944" s="19">
        <f>IF($D944=1,INDEX(TblClusters[RAM initiale (Go)],$B944),"")</f>
        <v>1536</v>
      </c>
      <c r="N944" s="19">
        <f>IF($D944=1,INDEX(TblClusters[CPU min (vCPU)],$B944),"")</f>
        <v>96</v>
      </c>
      <c r="O944" s="19">
        <f>IF($D944=1,INDEX(TblClusters[RAM min (Go)],$B944),"")</f>
        <v>768</v>
      </c>
      <c r="P944" s="19">
        <f>IF($D944&lt;&gt;1,"",IF($G944="ROKS",SUMIFS(TblApplications[Besoin ROKS CPU (vCPU)],TblApplications[Cluster ROKS cible],$F944,TblApplications[Action],"À migrer",TblApplications[Déjà incluse ROKS],"Non",TblApplications[Mois prov (calc)],"&lt;="&amp;$E944),SUMIFS(TblApplications[CPU IKS libérable (vCPU)],TblApplications[Cluster IKS source],$F944,TblApplications[Mois lib (calc)],"&lt;="&amp;$E944)))</f>
        <v>0</v>
      </c>
      <c r="Q944" s="19">
        <f>IF($D944&lt;&gt;1,"",IF($G944="ROKS",SUMIFS(TblApplications[Besoin ROKS RAM (Go)],TblApplications[Cluster ROKS cible],$F944,TblApplications[Action],"À migrer",TblApplications[Déjà incluse ROKS],"Non",TblApplications[Mois prov (calc)],"&lt;="&amp;$E944),SUMIFS(TblApplications[RAM IKS libérable (Go)],TblApplications[Cluster IKS source],$F944,TblApplications[Mois lib (calc)],"&lt;="&amp;$E944)))</f>
        <v>0</v>
      </c>
      <c r="R944" s="19">
        <f t="shared" si="241"/>
        <v>192</v>
      </c>
      <c r="S944" s="19">
        <f t="shared" si="242"/>
        <v>1536</v>
      </c>
      <c r="T944" s="19">
        <f t="shared" si="243"/>
        <v>6</v>
      </c>
      <c r="U944" s="19">
        <f t="shared" si="244"/>
        <v>192</v>
      </c>
      <c r="V944" s="19">
        <f t="shared" si="245"/>
        <v>1536</v>
      </c>
      <c r="W944" s="73">
        <f t="shared" si="246"/>
        <v>8526</v>
      </c>
      <c r="X944" s="19">
        <f>IF($D944&lt;&gt;1,"",IF($G944="ROKS",$R944,IF($AI944=1,0,MAX($N944,$L944-SUMIFS(TblApplications[CPU IKS libérable (vCPU)],TblApplications[Cluster IKS source],$F944,TblApplications[Action],"À migrer",TblApplications[Mois prov (calc)],"&lt;="&amp;$E944)-SUMIFS(TblApplications[CPU IKS libérable (vCPU)],TblApplications[Cluster IKS source],$F944,TblApplications[Action],"À décommissionner",TblApplications[Mois lib (calc)],"&lt;="&amp;$E944)))))</f>
        <v>192</v>
      </c>
      <c r="Y944" s="19">
        <f>IF($D944&lt;&gt;1,"",IF($G944="ROKS",$S944,IF($AI944=1,0,MAX($O944,$M944-SUMIFS(TblApplications[RAM IKS libérable (Go)],TblApplications[Cluster IKS source],$F944,TblApplications[Action],"À migrer",TblApplications[Mois prov (calc)],"&lt;="&amp;$E944)-SUMIFS(TblApplications[RAM IKS libérable (Go)],TblApplications[Cluster IKS source],$F944,TblApplications[Action],"À décommissionner",TblApplications[Mois lib (calc)],"&lt;="&amp;$E944)))))</f>
        <v>1536</v>
      </c>
      <c r="Z944" s="19">
        <f t="shared" si="247"/>
        <v>6</v>
      </c>
      <c r="AA944" s="73">
        <f t="shared" si="248"/>
        <v>8526</v>
      </c>
      <c r="AB944" s="19">
        <f t="shared" si="249"/>
        <v>6</v>
      </c>
      <c r="AC944" s="73">
        <f t="shared" si="250"/>
        <v>8526</v>
      </c>
      <c r="AD944" s="19">
        <f t="shared" si="251"/>
        <v>0</v>
      </c>
      <c r="AE944" s="19">
        <f t="shared" si="252"/>
        <v>0</v>
      </c>
      <c r="AF944" s="19" t="str">
        <f>IF($D944&lt;&gt;1,"",IF(INDEX(TblClusters[Environnement],$B944)="","(vide)",INDEX(TblClusters[Environnement],$B944)))</f>
        <v>PRD</v>
      </c>
      <c r="AG944" s="19">
        <f t="shared" si="253"/>
        <v>345.6</v>
      </c>
      <c r="AH944" s="19">
        <f t="shared" si="254"/>
        <v>24.670138888888886</v>
      </c>
      <c r="AI944" s="19">
        <f>IF($D944&lt;&gt;1,"",IF(AND($G944="IKS",ISNUMBER(INDEX(TblClusters[Fermeture retenue],$B944))),IF($E944&gt;=INDEX(TblClusters[Fermeture retenue],$B944),1,0),0))</f>
        <v>0</v>
      </c>
    </row>
    <row r="945" spans="1:35" x14ac:dyDescent="0.2">
      <c r="A945" s="19">
        <v>940</v>
      </c>
      <c r="B945" s="19">
        <f t="shared" si="238"/>
        <v>27</v>
      </c>
      <c r="C945" s="19">
        <f t="shared" si="239"/>
        <v>4</v>
      </c>
      <c r="D945" s="19">
        <f>IF($C945&gt;p_horizon,0,IFERROR(IF(AND(INDEX(TblClusters[Cluster],$B945)&lt;&gt;"",ISNUMBER(INDEX(TblClusters[CPU initial (vCPU)],$B945)),ISNUMBER(INDEX(TblClusters[CPU min (vCPU)],$B945)),OR(INDEX(TblClusters[Plateforme],$B945)="IKS",INDEX(TblClusters[Plateforme],$B945)="ROKS")),1,0),0))</f>
        <v>1</v>
      </c>
      <c r="E945" s="72">
        <f t="shared" si="240"/>
        <v>46388</v>
      </c>
      <c r="F945" s="19" t="str">
        <f>IF($D945=1,INDEX(TblClusters[Cluster],$B945),"")</f>
        <v>ku002i000908</v>
      </c>
      <c r="G945" s="19" t="str">
        <f>IF($D945=1,INDEX(TblClusters[Plateforme],$B945),"")</f>
        <v>IKS</v>
      </c>
      <c r="H945" s="19">
        <f>IF($D945=1,INDEX(TblClusters[vCPU par nœud],$B945),"")</f>
        <v>32</v>
      </c>
      <c r="I945" s="19">
        <f>IF($D945=1,INDEX(TblClusters[RAM par nœud (Go)],$B945),"")</f>
        <v>256</v>
      </c>
      <c r="J945" s="19">
        <f>IF($D945=1,INDEX(TblClusters[Workers min],$B945),"")</f>
        <v>3</v>
      </c>
      <c r="K945" s="73">
        <f>IF($D945=1,INDEX(TblClusters[Tarif par nœud],$B945),"")</f>
        <v>1421</v>
      </c>
      <c r="L945" s="19">
        <f>IF($D945=1,INDEX(TblClusters[CPU initial (vCPU)],$B945),"")</f>
        <v>192</v>
      </c>
      <c r="M945" s="19">
        <f>IF($D945=1,INDEX(TblClusters[RAM initiale (Go)],$B945),"")</f>
        <v>1536</v>
      </c>
      <c r="N945" s="19">
        <f>IF($D945=1,INDEX(TblClusters[CPU min (vCPU)],$B945),"")</f>
        <v>96</v>
      </c>
      <c r="O945" s="19">
        <f>IF($D945=1,INDEX(TblClusters[RAM min (Go)],$B945),"")</f>
        <v>768</v>
      </c>
      <c r="P945" s="19">
        <f>IF($D945&lt;&gt;1,"",IF($G945="ROKS",SUMIFS(TblApplications[Besoin ROKS CPU (vCPU)],TblApplications[Cluster ROKS cible],$F945,TblApplications[Action],"À migrer",TblApplications[Déjà incluse ROKS],"Non",TblApplications[Mois prov (calc)],"&lt;="&amp;$E945),SUMIFS(TblApplications[CPU IKS libérable (vCPU)],TblApplications[Cluster IKS source],$F945,TblApplications[Mois lib (calc)],"&lt;="&amp;$E945)))</f>
        <v>0</v>
      </c>
      <c r="Q945" s="19">
        <f>IF($D945&lt;&gt;1,"",IF($G945="ROKS",SUMIFS(TblApplications[Besoin ROKS RAM (Go)],TblApplications[Cluster ROKS cible],$F945,TblApplications[Action],"À migrer",TblApplications[Déjà incluse ROKS],"Non",TblApplications[Mois prov (calc)],"&lt;="&amp;$E945),SUMIFS(TblApplications[RAM IKS libérable (Go)],TblApplications[Cluster IKS source],$F945,TblApplications[Mois lib (calc)],"&lt;="&amp;$E945)))</f>
        <v>0</v>
      </c>
      <c r="R945" s="19">
        <f t="shared" si="241"/>
        <v>192</v>
      </c>
      <c r="S945" s="19">
        <f t="shared" si="242"/>
        <v>1536</v>
      </c>
      <c r="T945" s="19">
        <f t="shared" si="243"/>
        <v>6</v>
      </c>
      <c r="U945" s="19">
        <f t="shared" si="244"/>
        <v>192</v>
      </c>
      <c r="V945" s="19">
        <f t="shared" si="245"/>
        <v>1536</v>
      </c>
      <c r="W945" s="73">
        <f t="shared" si="246"/>
        <v>8526</v>
      </c>
      <c r="X945" s="19">
        <f>IF($D945&lt;&gt;1,"",IF($G945="ROKS",$R945,IF($AI945=1,0,MAX($N945,$L945-SUMIFS(TblApplications[CPU IKS libérable (vCPU)],TblApplications[Cluster IKS source],$F945,TblApplications[Action],"À migrer",TblApplications[Mois prov (calc)],"&lt;="&amp;$E945)-SUMIFS(TblApplications[CPU IKS libérable (vCPU)],TblApplications[Cluster IKS source],$F945,TblApplications[Action],"À décommissionner",TblApplications[Mois lib (calc)],"&lt;="&amp;$E945)))))</f>
        <v>192</v>
      </c>
      <c r="Y945" s="19">
        <f>IF($D945&lt;&gt;1,"",IF($G945="ROKS",$S945,IF($AI945=1,0,MAX($O945,$M945-SUMIFS(TblApplications[RAM IKS libérable (Go)],TblApplications[Cluster IKS source],$F945,TblApplications[Action],"À migrer",TblApplications[Mois prov (calc)],"&lt;="&amp;$E945)-SUMIFS(TblApplications[RAM IKS libérable (Go)],TblApplications[Cluster IKS source],$F945,TblApplications[Action],"À décommissionner",TblApplications[Mois lib (calc)],"&lt;="&amp;$E945)))))</f>
        <v>1536</v>
      </c>
      <c r="Z945" s="19">
        <f t="shared" si="247"/>
        <v>6</v>
      </c>
      <c r="AA945" s="73">
        <f t="shared" si="248"/>
        <v>8526</v>
      </c>
      <c r="AB945" s="19">
        <f t="shared" si="249"/>
        <v>6</v>
      </c>
      <c r="AC945" s="73">
        <f t="shared" si="250"/>
        <v>8526</v>
      </c>
      <c r="AD945" s="19">
        <f t="shared" si="251"/>
        <v>0</v>
      </c>
      <c r="AE945" s="19">
        <f t="shared" si="252"/>
        <v>0</v>
      </c>
      <c r="AF945" s="19" t="str">
        <f>IF($D945&lt;&gt;1,"",IF(INDEX(TblClusters[Environnement],$B945)="","(vide)",INDEX(TblClusters[Environnement],$B945)))</f>
        <v>PRD</v>
      </c>
      <c r="AG945" s="19">
        <f t="shared" si="253"/>
        <v>345.6</v>
      </c>
      <c r="AH945" s="19">
        <f t="shared" si="254"/>
        <v>24.670138888888886</v>
      </c>
      <c r="AI945" s="19">
        <f>IF($D945&lt;&gt;1,"",IF(AND($G945="IKS",ISNUMBER(INDEX(TblClusters[Fermeture retenue],$B945))),IF($E945&gt;=INDEX(TblClusters[Fermeture retenue],$B945),1,0),0))</f>
        <v>0</v>
      </c>
    </row>
    <row r="946" spans="1:35" x14ac:dyDescent="0.2">
      <c r="A946" s="19">
        <v>941</v>
      </c>
      <c r="B946" s="19">
        <f t="shared" si="238"/>
        <v>27</v>
      </c>
      <c r="C946" s="19">
        <f t="shared" si="239"/>
        <v>5</v>
      </c>
      <c r="D946" s="19">
        <f>IF($C946&gt;p_horizon,0,IFERROR(IF(AND(INDEX(TblClusters[Cluster],$B946)&lt;&gt;"",ISNUMBER(INDEX(TblClusters[CPU initial (vCPU)],$B946)),ISNUMBER(INDEX(TblClusters[CPU min (vCPU)],$B946)),OR(INDEX(TblClusters[Plateforme],$B946)="IKS",INDEX(TblClusters[Plateforme],$B946)="ROKS")),1,0),0))</f>
        <v>1</v>
      </c>
      <c r="E946" s="72">
        <f t="shared" si="240"/>
        <v>46419</v>
      </c>
      <c r="F946" s="19" t="str">
        <f>IF($D946=1,INDEX(TblClusters[Cluster],$B946),"")</f>
        <v>ku002i000908</v>
      </c>
      <c r="G946" s="19" t="str">
        <f>IF($D946=1,INDEX(TblClusters[Plateforme],$B946),"")</f>
        <v>IKS</v>
      </c>
      <c r="H946" s="19">
        <f>IF($D946=1,INDEX(TblClusters[vCPU par nœud],$B946),"")</f>
        <v>32</v>
      </c>
      <c r="I946" s="19">
        <f>IF($D946=1,INDEX(TblClusters[RAM par nœud (Go)],$B946),"")</f>
        <v>256</v>
      </c>
      <c r="J946" s="19">
        <f>IF($D946=1,INDEX(TblClusters[Workers min],$B946),"")</f>
        <v>3</v>
      </c>
      <c r="K946" s="73">
        <f>IF($D946=1,INDEX(TblClusters[Tarif par nœud],$B946),"")</f>
        <v>1421</v>
      </c>
      <c r="L946" s="19">
        <f>IF($D946=1,INDEX(TblClusters[CPU initial (vCPU)],$B946),"")</f>
        <v>192</v>
      </c>
      <c r="M946" s="19">
        <f>IF($D946=1,INDEX(TblClusters[RAM initiale (Go)],$B946),"")</f>
        <v>1536</v>
      </c>
      <c r="N946" s="19">
        <f>IF($D946=1,INDEX(TblClusters[CPU min (vCPU)],$B946),"")</f>
        <v>96</v>
      </c>
      <c r="O946" s="19">
        <f>IF($D946=1,INDEX(TblClusters[RAM min (Go)],$B946),"")</f>
        <v>768</v>
      </c>
      <c r="P946" s="19">
        <f>IF($D946&lt;&gt;1,"",IF($G946="ROKS",SUMIFS(TblApplications[Besoin ROKS CPU (vCPU)],TblApplications[Cluster ROKS cible],$F946,TblApplications[Action],"À migrer",TblApplications[Déjà incluse ROKS],"Non",TblApplications[Mois prov (calc)],"&lt;="&amp;$E946),SUMIFS(TblApplications[CPU IKS libérable (vCPU)],TblApplications[Cluster IKS source],$F946,TblApplications[Mois lib (calc)],"&lt;="&amp;$E946)))</f>
        <v>0</v>
      </c>
      <c r="Q946" s="19">
        <f>IF($D946&lt;&gt;1,"",IF($G946="ROKS",SUMIFS(TblApplications[Besoin ROKS RAM (Go)],TblApplications[Cluster ROKS cible],$F946,TblApplications[Action],"À migrer",TblApplications[Déjà incluse ROKS],"Non",TblApplications[Mois prov (calc)],"&lt;="&amp;$E946),SUMIFS(TblApplications[RAM IKS libérable (Go)],TblApplications[Cluster IKS source],$F946,TblApplications[Mois lib (calc)],"&lt;="&amp;$E946)))</f>
        <v>0</v>
      </c>
      <c r="R946" s="19">
        <f t="shared" si="241"/>
        <v>192</v>
      </c>
      <c r="S946" s="19">
        <f t="shared" si="242"/>
        <v>1536</v>
      </c>
      <c r="T946" s="19">
        <f t="shared" si="243"/>
        <v>6</v>
      </c>
      <c r="U946" s="19">
        <f t="shared" si="244"/>
        <v>192</v>
      </c>
      <c r="V946" s="19">
        <f t="shared" si="245"/>
        <v>1536</v>
      </c>
      <c r="W946" s="73">
        <f t="shared" si="246"/>
        <v>8526</v>
      </c>
      <c r="X946" s="19">
        <f>IF($D946&lt;&gt;1,"",IF($G946="ROKS",$R946,IF($AI946=1,0,MAX($N946,$L946-SUMIFS(TblApplications[CPU IKS libérable (vCPU)],TblApplications[Cluster IKS source],$F946,TblApplications[Action],"À migrer",TblApplications[Mois prov (calc)],"&lt;="&amp;$E946)-SUMIFS(TblApplications[CPU IKS libérable (vCPU)],TblApplications[Cluster IKS source],$F946,TblApplications[Action],"À décommissionner",TblApplications[Mois lib (calc)],"&lt;="&amp;$E946)))))</f>
        <v>192</v>
      </c>
      <c r="Y946" s="19">
        <f>IF($D946&lt;&gt;1,"",IF($G946="ROKS",$S946,IF($AI946=1,0,MAX($O946,$M946-SUMIFS(TblApplications[RAM IKS libérable (Go)],TblApplications[Cluster IKS source],$F946,TblApplications[Action],"À migrer",TblApplications[Mois prov (calc)],"&lt;="&amp;$E946)-SUMIFS(TblApplications[RAM IKS libérable (Go)],TblApplications[Cluster IKS source],$F946,TblApplications[Action],"À décommissionner",TblApplications[Mois lib (calc)],"&lt;="&amp;$E946)))))</f>
        <v>1536</v>
      </c>
      <c r="Z946" s="19">
        <f t="shared" si="247"/>
        <v>6</v>
      </c>
      <c r="AA946" s="73">
        <f t="shared" si="248"/>
        <v>8526</v>
      </c>
      <c r="AB946" s="19">
        <f t="shared" si="249"/>
        <v>6</v>
      </c>
      <c r="AC946" s="73">
        <f t="shared" si="250"/>
        <v>8526</v>
      </c>
      <c r="AD946" s="19">
        <f t="shared" si="251"/>
        <v>0</v>
      </c>
      <c r="AE946" s="19">
        <f t="shared" si="252"/>
        <v>0</v>
      </c>
      <c r="AF946" s="19" t="str">
        <f>IF($D946&lt;&gt;1,"",IF(INDEX(TblClusters[Environnement],$B946)="","(vide)",INDEX(TblClusters[Environnement],$B946)))</f>
        <v>PRD</v>
      </c>
      <c r="AG946" s="19">
        <f t="shared" si="253"/>
        <v>345.6</v>
      </c>
      <c r="AH946" s="19">
        <f t="shared" si="254"/>
        <v>24.670138888888886</v>
      </c>
      <c r="AI946" s="19">
        <f>IF($D946&lt;&gt;1,"",IF(AND($G946="IKS",ISNUMBER(INDEX(TblClusters[Fermeture retenue],$B946))),IF($E946&gt;=INDEX(TblClusters[Fermeture retenue],$B946),1,0),0))</f>
        <v>0</v>
      </c>
    </row>
    <row r="947" spans="1:35" x14ac:dyDescent="0.2">
      <c r="A947" s="19">
        <v>942</v>
      </c>
      <c r="B947" s="19">
        <f t="shared" si="238"/>
        <v>27</v>
      </c>
      <c r="C947" s="19">
        <f t="shared" si="239"/>
        <v>6</v>
      </c>
      <c r="D947" s="19">
        <f>IF($C947&gt;p_horizon,0,IFERROR(IF(AND(INDEX(TblClusters[Cluster],$B947)&lt;&gt;"",ISNUMBER(INDEX(TblClusters[CPU initial (vCPU)],$B947)),ISNUMBER(INDEX(TblClusters[CPU min (vCPU)],$B947)),OR(INDEX(TblClusters[Plateforme],$B947)="IKS",INDEX(TblClusters[Plateforme],$B947)="ROKS")),1,0),0))</f>
        <v>1</v>
      </c>
      <c r="E947" s="72">
        <f t="shared" si="240"/>
        <v>46447</v>
      </c>
      <c r="F947" s="19" t="str">
        <f>IF($D947=1,INDEX(TblClusters[Cluster],$B947),"")</f>
        <v>ku002i000908</v>
      </c>
      <c r="G947" s="19" t="str">
        <f>IF($D947=1,INDEX(TblClusters[Plateforme],$B947),"")</f>
        <v>IKS</v>
      </c>
      <c r="H947" s="19">
        <f>IF($D947=1,INDEX(TblClusters[vCPU par nœud],$B947),"")</f>
        <v>32</v>
      </c>
      <c r="I947" s="19">
        <f>IF($D947=1,INDEX(TblClusters[RAM par nœud (Go)],$B947),"")</f>
        <v>256</v>
      </c>
      <c r="J947" s="19">
        <f>IF($D947=1,INDEX(TblClusters[Workers min],$B947),"")</f>
        <v>3</v>
      </c>
      <c r="K947" s="73">
        <f>IF($D947=1,INDEX(TblClusters[Tarif par nœud],$B947),"")</f>
        <v>1421</v>
      </c>
      <c r="L947" s="19">
        <f>IF($D947=1,INDEX(TblClusters[CPU initial (vCPU)],$B947),"")</f>
        <v>192</v>
      </c>
      <c r="M947" s="19">
        <f>IF($D947=1,INDEX(TblClusters[RAM initiale (Go)],$B947),"")</f>
        <v>1536</v>
      </c>
      <c r="N947" s="19">
        <f>IF($D947=1,INDEX(TblClusters[CPU min (vCPU)],$B947),"")</f>
        <v>96</v>
      </c>
      <c r="O947" s="19">
        <f>IF($D947=1,INDEX(TblClusters[RAM min (Go)],$B947),"")</f>
        <v>768</v>
      </c>
      <c r="P947" s="19">
        <f>IF($D947&lt;&gt;1,"",IF($G947="ROKS",SUMIFS(TblApplications[Besoin ROKS CPU (vCPU)],TblApplications[Cluster ROKS cible],$F947,TblApplications[Action],"À migrer",TblApplications[Déjà incluse ROKS],"Non",TblApplications[Mois prov (calc)],"&lt;="&amp;$E947),SUMIFS(TblApplications[CPU IKS libérable (vCPU)],TblApplications[Cluster IKS source],$F947,TblApplications[Mois lib (calc)],"&lt;="&amp;$E947)))</f>
        <v>0</v>
      </c>
      <c r="Q947" s="19">
        <f>IF($D947&lt;&gt;1,"",IF($G947="ROKS",SUMIFS(TblApplications[Besoin ROKS RAM (Go)],TblApplications[Cluster ROKS cible],$F947,TblApplications[Action],"À migrer",TblApplications[Déjà incluse ROKS],"Non",TblApplications[Mois prov (calc)],"&lt;="&amp;$E947),SUMIFS(TblApplications[RAM IKS libérable (Go)],TblApplications[Cluster IKS source],$F947,TblApplications[Mois lib (calc)],"&lt;="&amp;$E947)))</f>
        <v>0</v>
      </c>
      <c r="R947" s="19">
        <f t="shared" si="241"/>
        <v>192</v>
      </c>
      <c r="S947" s="19">
        <f t="shared" si="242"/>
        <v>1536</v>
      </c>
      <c r="T947" s="19">
        <f t="shared" si="243"/>
        <v>6</v>
      </c>
      <c r="U947" s="19">
        <f t="shared" si="244"/>
        <v>192</v>
      </c>
      <c r="V947" s="19">
        <f t="shared" si="245"/>
        <v>1536</v>
      </c>
      <c r="W947" s="73">
        <f t="shared" si="246"/>
        <v>8526</v>
      </c>
      <c r="X947" s="19">
        <f>IF($D947&lt;&gt;1,"",IF($G947="ROKS",$R947,IF($AI947=1,0,MAX($N947,$L947-SUMIFS(TblApplications[CPU IKS libérable (vCPU)],TblApplications[Cluster IKS source],$F947,TblApplications[Action],"À migrer",TblApplications[Mois prov (calc)],"&lt;="&amp;$E947)-SUMIFS(TblApplications[CPU IKS libérable (vCPU)],TblApplications[Cluster IKS source],$F947,TblApplications[Action],"À décommissionner",TblApplications[Mois lib (calc)],"&lt;="&amp;$E947)))))</f>
        <v>192</v>
      </c>
      <c r="Y947" s="19">
        <f>IF($D947&lt;&gt;1,"",IF($G947="ROKS",$S947,IF($AI947=1,0,MAX($O947,$M947-SUMIFS(TblApplications[RAM IKS libérable (Go)],TblApplications[Cluster IKS source],$F947,TblApplications[Action],"À migrer",TblApplications[Mois prov (calc)],"&lt;="&amp;$E947)-SUMIFS(TblApplications[RAM IKS libérable (Go)],TblApplications[Cluster IKS source],$F947,TblApplications[Action],"À décommissionner",TblApplications[Mois lib (calc)],"&lt;="&amp;$E947)))))</f>
        <v>1536</v>
      </c>
      <c r="Z947" s="19">
        <f t="shared" si="247"/>
        <v>6</v>
      </c>
      <c r="AA947" s="73">
        <f t="shared" si="248"/>
        <v>8526</v>
      </c>
      <c r="AB947" s="19">
        <f t="shared" si="249"/>
        <v>6</v>
      </c>
      <c r="AC947" s="73">
        <f t="shared" si="250"/>
        <v>8526</v>
      </c>
      <c r="AD947" s="19">
        <f t="shared" si="251"/>
        <v>0</v>
      </c>
      <c r="AE947" s="19">
        <f t="shared" si="252"/>
        <v>0</v>
      </c>
      <c r="AF947" s="19" t="str">
        <f>IF($D947&lt;&gt;1,"",IF(INDEX(TblClusters[Environnement],$B947)="","(vide)",INDEX(TblClusters[Environnement],$B947)))</f>
        <v>PRD</v>
      </c>
      <c r="AG947" s="19">
        <f t="shared" si="253"/>
        <v>345.6</v>
      </c>
      <c r="AH947" s="19">
        <f t="shared" si="254"/>
        <v>24.670138888888886</v>
      </c>
      <c r="AI947" s="19">
        <f>IF($D947&lt;&gt;1,"",IF(AND($G947="IKS",ISNUMBER(INDEX(TblClusters[Fermeture retenue],$B947))),IF($E947&gt;=INDEX(TblClusters[Fermeture retenue],$B947),1,0),0))</f>
        <v>0</v>
      </c>
    </row>
    <row r="948" spans="1:35" x14ac:dyDescent="0.2">
      <c r="A948" s="19">
        <v>943</v>
      </c>
      <c r="B948" s="19">
        <f t="shared" si="238"/>
        <v>27</v>
      </c>
      <c r="C948" s="19">
        <f t="shared" si="239"/>
        <v>7</v>
      </c>
      <c r="D948" s="19">
        <f>IF($C948&gt;p_horizon,0,IFERROR(IF(AND(INDEX(TblClusters[Cluster],$B948)&lt;&gt;"",ISNUMBER(INDEX(TblClusters[CPU initial (vCPU)],$B948)),ISNUMBER(INDEX(TblClusters[CPU min (vCPU)],$B948)),OR(INDEX(TblClusters[Plateforme],$B948)="IKS",INDEX(TblClusters[Plateforme],$B948)="ROKS")),1,0),0))</f>
        <v>1</v>
      </c>
      <c r="E948" s="72">
        <f t="shared" si="240"/>
        <v>46478</v>
      </c>
      <c r="F948" s="19" t="str">
        <f>IF($D948=1,INDEX(TblClusters[Cluster],$B948),"")</f>
        <v>ku002i000908</v>
      </c>
      <c r="G948" s="19" t="str">
        <f>IF($D948=1,INDEX(TblClusters[Plateforme],$B948),"")</f>
        <v>IKS</v>
      </c>
      <c r="H948" s="19">
        <f>IF($D948=1,INDEX(TblClusters[vCPU par nœud],$B948),"")</f>
        <v>32</v>
      </c>
      <c r="I948" s="19">
        <f>IF($D948=1,INDEX(TblClusters[RAM par nœud (Go)],$B948),"")</f>
        <v>256</v>
      </c>
      <c r="J948" s="19">
        <f>IF($D948=1,INDEX(TblClusters[Workers min],$B948),"")</f>
        <v>3</v>
      </c>
      <c r="K948" s="73">
        <f>IF($D948=1,INDEX(TblClusters[Tarif par nœud],$B948),"")</f>
        <v>1421</v>
      </c>
      <c r="L948" s="19">
        <f>IF($D948=1,INDEX(TblClusters[CPU initial (vCPU)],$B948),"")</f>
        <v>192</v>
      </c>
      <c r="M948" s="19">
        <f>IF($D948=1,INDEX(TblClusters[RAM initiale (Go)],$B948),"")</f>
        <v>1536</v>
      </c>
      <c r="N948" s="19">
        <f>IF($D948=1,INDEX(TblClusters[CPU min (vCPU)],$B948),"")</f>
        <v>96</v>
      </c>
      <c r="O948" s="19">
        <f>IF($D948=1,INDEX(TblClusters[RAM min (Go)],$B948),"")</f>
        <v>768</v>
      </c>
      <c r="P948" s="19">
        <f>IF($D948&lt;&gt;1,"",IF($G948="ROKS",SUMIFS(TblApplications[Besoin ROKS CPU (vCPU)],TblApplications[Cluster ROKS cible],$F948,TblApplications[Action],"À migrer",TblApplications[Déjà incluse ROKS],"Non",TblApplications[Mois prov (calc)],"&lt;="&amp;$E948),SUMIFS(TblApplications[CPU IKS libérable (vCPU)],TblApplications[Cluster IKS source],$F948,TblApplications[Mois lib (calc)],"&lt;="&amp;$E948)))</f>
        <v>0</v>
      </c>
      <c r="Q948" s="19">
        <f>IF($D948&lt;&gt;1,"",IF($G948="ROKS",SUMIFS(TblApplications[Besoin ROKS RAM (Go)],TblApplications[Cluster ROKS cible],$F948,TblApplications[Action],"À migrer",TblApplications[Déjà incluse ROKS],"Non",TblApplications[Mois prov (calc)],"&lt;="&amp;$E948),SUMIFS(TblApplications[RAM IKS libérable (Go)],TblApplications[Cluster IKS source],$F948,TblApplications[Mois lib (calc)],"&lt;="&amp;$E948)))</f>
        <v>0</v>
      </c>
      <c r="R948" s="19">
        <f t="shared" si="241"/>
        <v>192</v>
      </c>
      <c r="S948" s="19">
        <f t="shared" si="242"/>
        <v>1536</v>
      </c>
      <c r="T948" s="19">
        <f t="shared" si="243"/>
        <v>6</v>
      </c>
      <c r="U948" s="19">
        <f t="shared" si="244"/>
        <v>192</v>
      </c>
      <c r="V948" s="19">
        <f t="shared" si="245"/>
        <v>1536</v>
      </c>
      <c r="W948" s="73">
        <f t="shared" si="246"/>
        <v>8526</v>
      </c>
      <c r="X948" s="19">
        <f>IF($D948&lt;&gt;1,"",IF($G948="ROKS",$R948,IF($AI948=1,0,MAX($N948,$L948-SUMIFS(TblApplications[CPU IKS libérable (vCPU)],TblApplications[Cluster IKS source],$F948,TblApplications[Action],"À migrer",TblApplications[Mois prov (calc)],"&lt;="&amp;$E948)-SUMIFS(TblApplications[CPU IKS libérable (vCPU)],TblApplications[Cluster IKS source],$F948,TblApplications[Action],"À décommissionner",TblApplications[Mois lib (calc)],"&lt;="&amp;$E948)))))</f>
        <v>192</v>
      </c>
      <c r="Y948" s="19">
        <f>IF($D948&lt;&gt;1,"",IF($G948="ROKS",$S948,IF($AI948=1,0,MAX($O948,$M948-SUMIFS(TblApplications[RAM IKS libérable (Go)],TblApplications[Cluster IKS source],$F948,TblApplications[Action],"À migrer",TblApplications[Mois prov (calc)],"&lt;="&amp;$E948)-SUMIFS(TblApplications[RAM IKS libérable (Go)],TblApplications[Cluster IKS source],$F948,TblApplications[Action],"À décommissionner",TblApplications[Mois lib (calc)],"&lt;="&amp;$E948)))))</f>
        <v>1536</v>
      </c>
      <c r="Z948" s="19">
        <f t="shared" si="247"/>
        <v>6</v>
      </c>
      <c r="AA948" s="73">
        <f t="shared" si="248"/>
        <v>8526</v>
      </c>
      <c r="AB948" s="19">
        <f t="shared" si="249"/>
        <v>6</v>
      </c>
      <c r="AC948" s="73">
        <f t="shared" si="250"/>
        <v>8526</v>
      </c>
      <c r="AD948" s="19">
        <f t="shared" si="251"/>
        <v>0</v>
      </c>
      <c r="AE948" s="19">
        <f t="shared" si="252"/>
        <v>0</v>
      </c>
      <c r="AF948" s="19" t="str">
        <f>IF($D948&lt;&gt;1,"",IF(INDEX(TblClusters[Environnement],$B948)="","(vide)",INDEX(TblClusters[Environnement],$B948)))</f>
        <v>PRD</v>
      </c>
      <c r="AG948" s="19">
        <f t="shared" si="253"/>
        <v>345.6</v>
      </c>
      <c r="AH948" s="19">
        <f t="shared" si="254"/>
        <v>24.670138888888886</v>
      </c>
      <c r="AI948" s="19">
        <f>IF($D948&lt;&gt;1,"",IF(AND($G948="IKS",ISNUMBER(INDEX(TblClusters[Fermeture retenue],$B948))),IF($E948&gt;=INDEX(TblClusters[Fermeture retenue],$B948),1,0),0))</f>
        <v>0</v>
      </c>
    </row>
    <row r="949" spans="1:35" x14ac:dyDescent="0.2">
      <c r="A949" s="19">
        <v>944</v>
      </c>
      <c r="B949" s="19">
        <f t="shared" si="238"/>
        <v>27</v>
      </c>
      <c r="C949" s="19">
        <f t="shared" si="239"/>
        <v>8</v>
      </c>
      <c r="D949" s="19">
        <f>IF($C949&gt;p_horizon,0,IFERROR(IF(AND(INDEX(TblClusters[Cluster],$B949)&lt;&gt;"",ISNUMBER(INDEX(TblClusters[CPU initial (vCPU)],$B949)),ISNUMBER(INDEX(TblClusters[CPU min (vCPU)],$B949)),OR(INDEX(TblClusters[Plateforme],$B949)="IKS",INDEX(TblClusters[Plateforme],$B949)="ROKS")),1,0),0))</f>
        <v>1</v>
      </c>
      <c r="E949" s="72">
        <f t="shared" si="240"/>
        <v>46508</v>
      </c>
      <c r="F949" s="19" t="str">
        <f>IF($D949=1,INDEX(TblClusters[Cluster],$B949),"")</f>
        <v>ku002i000908</v>
      </c>
      <c r="G949" s="19" t="str">
        <f>IF($D949=1,INDEX(TblClusters[Plateforme],$B949),"")</f>
        <v>IKS</v>
      </c>
      <c r="H949" s="19">
        <f>IF($D949=1,INDEX(TblClusters[vCPU par nœud],$B949),"")</f>
        <v>32</v>
      </c>
      <c r="I949" s="19">
        <f>IF($D949=1,INDEX(TblClusters[RAM par nœud (Go)],$B949),"")</f>
        <v>256</v>
      </c>
      <c r="J949" s="19">
        <f>IF($D949=1,INDEX(TblClusters[Workers min],$B949),"")</f>
        <v>3</v>
      </c>
      <c r="K949" s="73">
        <f>IF($D949=1,INDEX(TblClusters[Tarif par nœud],$B949),"")</f>
        <v>1421</v>
      </c>
      <c r="L949" s="19">
        <f>IF($D949=1,INDEX(TblClusters[CPU initial (vCPU)],$B949),"")</f>
        <v>192</v>
      </c>
      <c r="M949" s="19">
        <f>IF($D949=1,INDEX(TblClusters[RAM initiale (Go)],$B949),"")</f>
        <v>1536</v>
      </c>
      <c r="N949" s="19">
        <f>IF($D949=1,INDEX(TblClusters[CPU min (vCPU)],$B949),"")</f>
        <v>96</v>
      </c>
      <c r="O949" s="19">
        <f>IF($D949=1,INDEX(TblClusters[RAM min (Go)],$B949),"")</f>
        <v>768</v>
      </c>
      <c r="P949" s="19">
        <f>IF($D949&lt;&gt;1,"",IF($G949="ROKS",SUMIFS(TblApplications[Besoin ROKS CPU (vCPU)],TblApplications[Cluster ROKS cible],$F949,TblApplications[Action],"À migrer",TblApplications[Déjà incluse ROKS],"Non",TblApplications[Mois prov (calc)],"&lt;="&amp;$E949),SUMIFS(TblApplications[CPU IKS libérable (vCPU)],TblApplications[Cluster IKS source],$F949,TblApplications[Mois lib (calc)],"&lt;="&amp;$E949)))</f>
        <v>0</v>
      </c>
      <c r="Q949" s="19">
        <f>IF($D949&lt;&gt;1,"",IF($G949="ROKS",SUMIFS(TblApplications[Besoin ROKS RAM (Go)],TblApplications[Cluster ROKS cible],$F949,TblApplications[Action],"À migrer",TblApplications[Déjà incluse ROKS],"Non",TblApplications[Mois prov (calc)],"&lt;="&amp;$E949),SUMIFS(TblApplications[RAM IKS libérable (Go)],TblApplications[Cluster IKS source],$F949,TblApplications[Mois lib (calc)],"&lt;="&amp;$E949)))</f>
        <v>0</v>
      </c>
      <c r="R949" s="19">
        <f t="shared" si="241"/>
        <v>192</v>
      </c>
      <c r="S949" s="19">
        <f t="shared" si="242"/>
        <v>1536</v>
      </c>
      <c r="T949" s="19">
        <f t="shared" si="243"/>
        <v>6</v>
      </c>
      <c r="U949" s="19">
        <f t="shared" si="244"/>
        <v>192</v>
      </c>
      <c r="V949" s="19">
        <f t="shared" si="245"/>
        <v>1536</v>
      </c>
      <c r="W949" s="73">
        <f t="shared" si="246"/>
        <v>8526</v>
      </c>
      <c r="X949" s="19">
        <f>IF($D949&lt;&gt;1,"",IF($G949="ROKS",$R949,IF($AI949=1,0,MAX($N949,$L949-SUMIFS(TblApplications[CPU IKS libérable (vCPU)],TblApplications[Cluster IKS source],$F949,TblApplications[Action],"À migrer",TblApplications[Mois prov (calc)],"&lt;="&amp;$E949)-SUMIFS(TblApplications[CPU IKS libérable (vCPU)],TblApplications[Cluster IKS source],$F949,TblApplications[Action],"À décommissionner",TblApplications[Mois lib (calc)],"&lt;="&amp;$E949)))))</f>
        <v>192</v>
      </c>
      <c r="Y949" s="19">
        <f>IF($D949&lt;&gt;1,"",IF($G949="ROKS",$S949,IF($AI949=1,0,MAX($O949,$M949-SUMIFS(TblApplications[RAM IKS libérable (Go)],TblApplications[Cluster IKS source],$F949,TblApplications[Action],"À migrer",TblApplications[Mois prov (calc)],"&lt;="&amp;$E949)-SUMIFS(TblApplications[RAM IKS libérable (Go)],TblApplications[Cluster IKS source],$F949,TblApplications[Action],"À décommissionner",TblApplications[Mois lib (calc)],"&lt;="&amp;$E949)))))</f>
        <v>1536</v>
      </c>
      <c r="Z949" s="19">
        <f t="shared" si="247"/>
        <v>6</v>
      </c>
      <c r="AA949" s="73">
        <f t="shared" si="248"/>
        <v>8526</v>
      </c>
      <c r="AB949" s="19">
        <f t="shared" si="249"/>
        <v>6</v>
      </c>
      <c r="AC949" s="73">
        <f t="shared" si="250"/>
        <v>8526</v>
      </c>
      <c r="AD949" s="19">
        <f t="shared" si="251"/>
        <v>0</v>
      </c>
      <c r="AE949" s="19">
        <f t="shared" si="252"/>
        <v>0</v>
      </c>
      <c r="AF949" s="19" t="str">
        <f>IF($D949&lt;&gt;1,"",IF(INDEX(TblClusters[Environnement],$B949)="","(vide)",INDEX(TblClusters[Environnement],$B949)))</f>
        <v>PRD</v>
      </c>
      <c r="AG949" s="19">
        <f t="shared" si="253"/>
        <v>345.6</v>
      </c>
      <c r="AH949" s="19">
        <f t="shared" si="254"/>
        <v>24.670138888888886</v>
      </c>
      <c r="AI949" s="19">
        <f>IF($D949&lt;&gt;1,"",IF(AND($G949="IKS",ISNUMBER(INDEX(TblClusters[Fermeture retenue],$B949))),IF($E949&gt;=INDEX(TblClusters[Fermeture retenue],$B949),1,0),0))</f>
        <v>0</v>
      </c>
    </row>
    <row r="950" spans="1:35" x14ac:dyDescent="0.2">
      <c r="A950" s="19">
        <v>945</v>
      </c>
      <c r="B950" s="19">
        <f t="shared" si="238"/>
        <v>27</v>
      </c>
      <c r="C950" s="19">
        <f t="shared" si="239"/>
        <v>9</v>
      </c>
      <c r="D950" s="19">
        <f>IF($C950&gt;p_horizon,0,IFERROR(IF(AND(INDEX(TblClusters[Cluster],$B950)&lt;&gt;"",ISNUMBER(INDEX(TblClusters[CPU initial (vCPU)],$B950)),ISNUMBER(INDEX(TblClusters[CPU min (vCPU)],$B950)),OR(INDEX(TblClusters[Plateforme],$B950)="IKS",INDEX(TblClusters[Plateforme],$B950)="ROKS")),1,0),0))</f>
        <v>1</v>
      </c>
      <c r="E950" s="72">
        <f t="shared" si="240"/>
        <v>46539</v>
      </c>
      <c r="F950" s="19" t="str">
        <f>IF($D950=1,INDEX(TblClusters[Cluster],$B950),"")</f>
        <v>ku002i000908</v>
      </c>
      <c r="G950" s="19" t="str">
        <f>IF($D950=1,INDEX(TblClusters[Plateforme],$B950),"")</f>
        <v>IKS</v>
      </c>
      <c r="H950" s="19">
        <f>IF($D950=1,INDEX(TblClusters[vCPU par nœud],$B950),"")</f>
        <v>32</v>
      </c>
      <c r="I950" s="19">
        <f>IF($D950=1,INDEX(TblClusters[RAM par nœud (Go)],$B950),"")</f>
        <v>256</v>
      </c>
      <c r="J950" s="19">
        <f>IF($D950=1,INDEX(TblClusters[Workers min],$B950),"")</f>
        <v>3</v>
      </c>
      <c r="K950" s="73">
        <f>IF($D950=1,INDEX(TblClusters[Tarif par nœud],$B950),"")</f>
        <v>1421</v>
      </c>
      <c r="L950" s="19">
        <f>IF($D950=1,INDEX(TblClusters[CPU initial (vCPU)],$B950),"")</f>
        <v>192</v>
      </c>
      <c r="M950" s="19">
        <f>IF($D950=1,INDEX(TblClusters[RAM initiale (Go)],$B950),"")</f>
        <v>1536</v>
      </c>
      <c r="N950" s="19">
        <f>IF($D950=1,INDEX(TblClusters[CPU min (vCPU)],$B950),"")</f>
        <v>96</v>
      </c>
      <c r="O950" s="19">
        <f>IF($D950=1,INDEX(TblClusters[RAM min (Go)],$B950),"")</f>
        <v>768</v>
      </c>
      <c r="P950" s="19">
        <f>IF($D950&lt;&gt;1,"",IF($G950="ROKS",SUMIFS(TblApplications[Besoin ROKS CPU (vCPU)],TblApplications[Cluster ROKS cible],$F950,TblApplications[Action],"À migrer",TblApplications[Déjà incluse ROKS],"Non",TblApplications[Mois prov (calc)],"&lt;="&amp;$E950),SUMIFS(TblApplications[CPU IKS libérable (vCPU)],TblApplications[Cluster IKS source],$F950,TblApplications[Mois lib (calc)],"&lt;="&amp;$E950)))</f>
        <v>0</v>
      </c>
      <c r="Q950" s="19">
        <f>IF($D950&lt;&gt;1,"",IF($G950="ROKS",SUMIFS(TblApplications[Besoin ROKS RAM (Go)],TblApplications[Cluster ROKS cible],$F950,TblApplications[Action],"À migrer",TblApplications[Déjà incluse ROKS],"Non",TblApplications[Mois prov (calc)],"&lt;="&amp;$E950),SUMIFS(TblApplications[RAM IKS libérable (Go)],TblApplications[Cluster IKS source],$F950,TblApplications[Mois lib (calc)],"&lt;="&amp;$E950)))</f>
        <v>0</v>
      </c>
      <c r="R950" s="19">
        <f t="shared" si="241"/>
        <v>192</v>
      </c>
      <c r="S950" s="19">
        <f t="shared" si="242"/>
        <v>1536</v>
      </c>
      <c r="T950" s="19">
        <f t="shared" si="243"/>
        <v>6</v>
      </c>
      <c r="U950" s="19">
        <f t="shared" si="244"/>
        <v>192</v>
      </c>
      <c r="V950" s="19">
        <f t="shared" si="245"/>
        <v>1536</v>
      </c>
      <c r="W950" s="73">
        <f t="shared" si="246"/>
        <v>8526</v>
      </c>
      <c r="X950" s="19">
        <f>IF($D950&lt;&gt;1,"",IF($G950="ROKS",$R950,IF($AI950=1,0,MAX($N950,$L950-SUMIFS(TblApplications[CPU IKS libérable (vCPU)],TblApplications[Cluster IKS source],$F950,TblApplications[Action],"À migrer",TblApplications[Mois prov (calc)],"&lt;="&amp;$E950)-SUMIFS(TblApplications[CPU IKS libérable (vCPU)],TblApplications[Cluster IKS source],$F950,TblApplications[Action],"À décommissionner",TblApplications[Mois lib (calc)],"&lt;="&amp;$E950)))))</f>
        <v>192</v>
      </c>
      <c r="Y950" s="19">
        <f>IF($D950&lt;&gt;1,"",IF($G950="ROKS",$S950,IF($AI950=1,0,MAX($O950,$M950-SUMIFS(TblApplications[RAM IKS libérable (Go)],TblApplications[Cluster IKS source],$F950,TblApplications[Action],"À migrer",TblApplications[Mois prov (calc)],"&lt;="&amp;$E950)-SUMIFS(TblApplications[RAM IKS libérable (Go)],TblApplications[Cluster IKS source],$F950,TblApplications[Action],"À décommissionner",TblApplications[Mois lib (calc)],"&lt;="&amp;$E950)))))</f>
        <v>1536</v>
      </c>
      <c r="Z950" s="19">
        <f t="shared" si="247"/>
        <v>6</v>
      </c>
      <c r="AA950" s="73">
        <f t="shared" si="248"/>
        <v>8526</v>
      </c>
      <c r="AB950" s="19">
        <f t="shared" si="249"/>
        <v>6</v>
      </c>
      <c r="AC950" s="73">
        <f t="shared" si="250"/>
        <v>8526</v>
      </c>
      <c r="AD950" s="19">
        <f t="shared" si="251"/>
        <v>0</v>
      </c>
      <c r="AE950" s="19">
        <f t="shared" si="252"/>
        <v>0</v>
      </c>
      <c r="AF950" s="19" t="str">
        <f>IF($D950&lt;&gt;1,"",IF(INDEX(TblClusters[Environnement],$B950)="","(vide)",INDEX(TblClusters[Environnement],$B950)))</f>
        <v>PRD</v>
      </c>
      <c r="AG950" s="19">
        <f t="shared" si="253"/>
        <v>345.6</v>
      </c>
      <c r="AH950" s="19">
        <f t="shared" si="254"/>
        <v>24.670138888888886</v>
      </c>
      <c r="AI950" s="19">
        <f>IF($D950&lt;&gt;1,"",IF(AND($G950="IKS",ISNUMBER(INDEX(TblClusters[Fermeture retenue],$B950))),IF($E950&gt;=INDEX(TblClusters[Fermeture retenue],$B950),1,0),0))</f>
        <v>0</v>
      </c>
    </row>
    <row r="951" spans="1:35" x14ac:dyDescent="0.2">
      <c r="A951" s="19">
        <v>946</v>
      </c>
      <c r="B951" s="19">
        <f t="shared" si="238"/>
        <v>27</v>
      </c>
      <c r="C951" s="19">
        <f t="shared" si="239"/>
        <v>10</v>
      </c>
      <c r="D951" s="19">
        <f>IF($C951&gt;p_horizon,0,IFERROR(IF(AND(INDEX(TblClusters[Cluster],$B951)&lt;&gt;"",ISNUMBER(INDEX(TblClusters[CPU initial (vCPU)],$B951)),ISNUMBER(INDEX(TblClusters[CPU min (vCPU)],$B951)),OR(INDEX(TblClusters[Plateforme],$B951)="IKS",INDEX(TblClusters[Plateforme],$B951)="ROKS")),1,0),0))</f>
        <v>1</v>
      </c>
      <c r="E951" s="72">
        <f t="shared" si="240"/>
        <v>46569</v>
      </c>
      <c r="F951" s="19" t="str">
        <f>IF($D951=1,INDEX(TblClusters[Cluster],$B951),"")</f>
        <v>ku002i000908</v>
      </c>
      <c r="G951" s="19" t="str">
        <f>IF($D951=1,INDEX(TblClusters[Plateforme],$B951),"")</f>
        <v>IKS</v>
      </c>
      <c r="H951" s="19">
        <f>IF($D951=1,INDEX(TblClusters[vCPU par nœud],$B951),"")</f>
        <v>32</v>
      </c>
      <c r="I951" s="19">
        <f>IF($D951=1,INDEX(TblClusters[RAM par nœud (Go)],$B951),"")</f>
        <v>256</v>
      </c>
      <c r="J951" s="19">
        <f>IF($D951=1,INDEX(TblClusters[Workers min],$B951),"")</f>
        <v>3</v>
      </c>
      <c r="K951" s="73">
        <f>IF($D951=1,INDEX(TblClusters[Tarif par nœud],$B951),"")</f>
        <v>1421</v>
      </c>
      <c r="L951" s="19">
        <f>IF($D951=1,INDEX(TblClusters[CPU initial (vCPU)],$B951),"")</f>
        <v>192</v>
      </c>
      <c r="M951" s="19">
        <f>IF($D951=1,INDEX(TblClusters[RAM initiale (Go)],$B951),"")</f>
        <v>1536</v>
      </c>
      <c r="N951" s="19">
        <f>IF($D951=1,INDEX(TblClusters[CPU min (vCPU)],$B951),"")</f>
        <v>96</v>
      </c>
      <c r="O951" s="19">
        <f>IF($D951=1,INDEX(TblClusters[RAM min (Go)],$B951),"")</f>
        <v>768</v>
      </c>
      <c r="P951" s="19">
        <f>IF($D951&lt;&gt;1,"",IF($G951="ROKS",SUMIFS(TblApplications[Besoin ROKS CPU (vCPU)],TblApplications[Cluster ROKS cible],$F951,TblApplications[Action],"À migrer",TblApplications[Déjà incluse ROKS],"Non",TblApplications[Mois prov (calc)],"&lt;="&amp;$E951),SUMIFS(TblApplications[CPU IKS libérable (vCPU)],TblApplications[Cluster IKS source],$F951,TblApplications[Mois lib (calc)],"&lt;="&amp;$E951)))</f>
        <v>0</v>
      </c>
      <c r="Q951" s="19">
        <f>IF($D951&lt;&gt;1,"",IF($G951="ROKS",SUMIFS(TblApplications[Besoin ROKS RAM (Go)],TblApplications[Cluster ROKS cible],$F951,TblApplications[Action],"À migrer",TblApplications[Déjà incluse ROKS],"Non",TblApplications[Mois prov (calc)],"&lt;="&amp;$E951),SUMIFS(TblApplications[RAM IKS libérable (Go)],TblApplications[Cluster IKS source],$F951,TblApplications[Mois lib (calc)],"&lt;="&amp;$E951)))</f>
        <v>0</v>
      </c>
      <c r="R951" s="19">
        <f t="shared" si="241"/>
        <v>192</v>
      </c>
      <c r="S951" s="19">
        <f t="shared" si="242"/>
        <v>1536</v>
      </c>
      <c r="T951" s="19">
        <f t="shared" si="243"/>
        <v>6</v>
      </c>
      <c r="U951" s="19">
        <f t="shared" si="244"/>
        <v>192</v>
      </c>
      <c r="V951" s="19">
        <f t="shared" si="245"/>
        <v>1536</v>
      </c>
      <c r="W951" s="73">
        <f t="shared" si="246"/>
        <v>8526</v>
      </c>
      <c r="X951" s="19">
        <f>IF($D951&lt;&gt;1,"",IF($G951="ROKS",$R951,IF($AI951=1,0,MAX($N951,$L951-SUMIFS(TblApplications[CPU IKS libérable (vCPU)],TblApplications[Cluster IKS source],$F951,TblApplications[Action],"À migrer",TblApplications[Mois prov (calc)],"&lt;="&amp;$E951)-SUMIFS(TblApplications[CPU IKS libérable (vCPU)],TblApplications[Cluster IKS source],$F951,TblApplications[Action],"À décommissionner",TblApplications[Mois lib (calc)],"&lt;="&amp;$E951)))))</f>
        <v>192</v>
      </c>
      <c r="Y951" s="19">
        <f>IF($D951&lt;&gt;1,"",IF($G951="ROKS",$S951,IF($AI951=1,0,MAX($O951,$M951-SUMIFS(TblApplications[RAM IKS libérable (Go)],TblApplications[Cluster IKS source],$F951,TblApplications[Action],"À migrer",TblApplications[Mois prov (calc)],"&lt;="&amp;$E951)-SUMIFS(TblApplications[RAM IKS libérable (Go)],TblApplications[Cluster IKS source],$F951,TblApplications[Action],"À décommissionner",TblApplications[Mois lib (calc)],"&lt;="&amp;$E951)))))</f>
        <v>1536</v>
      </c>
      <c r="Z951" s="19">
        <f t="shared" si="247"/>
        <v>6</v>
      </c>
      <c r="AA951" s="73">
        <f t="shared" si="248"/>
        <v>8526</v>
      </c>
      <c r="AB951" s="19">
        <f t="shared" si="249"/>
        <v>6</v>
      </c>
      <c r="AC951" s="73">
        <f t="shared" si="250"/>
        <v>8526</v>
      </c>
      <c r="AD951" s="19">
        <f t="shared" si="251"/>
        <v>0</v>
      </c>
      <c r="AE951" s="19">
        <f t="shared" si="252"/>
        <v>0</v>
      </c>
      <c r="AF951" s="19" t="str">
        <f>IF($D951&lt;&gt;1,"",IF(INDEX(TblClusters[Environnement],$B951)="","(vide)",INDEX(TblClusters[Environnement],$B951)))</f>
        <v>PRD</v>
      </c>
      <c r="AG951" s="19">
        <f t="shared" si="253"/>
        <v>345.6</v>
      </c>
      <c r="AH951" s="19">
        <f t="shared" si="254"/>
        <v>24.670138888888886</v>
      </c>
      <c r="AI951" s="19">
        <f>IF($D951&lt;&gt;1,"",IF(AND($G951="IKS",ISNUMBER(INDEX(TblClusters[Fermeture retenue],$B951))),IF($E951&gt;=INDEX(TblClusters[Fermeture retenue],$B951),1,0),0))</f>
        <v>0</v>
      </c>
    </row>
    <row r="952" spans="1:35" x14ac:dyDescent="0.2">
      <c r="A952" s="19">
        <v>947</v>
      </c>
      <c r="B952" s="19">
        <f t="shared" si="238"/>
        <v>27</v>
      </c>
      <c r="C952" s="19">
        <f t="shared" si="239"/>
        <v>11</v>
      </c>
      <c r="D952" s="19">
        <f>IF($C952&gt;p_horizon,0,IFERROR(IF(AND(INDEX(TblClusters[Cluster],$B952)&lt;&gt;"",ISNUMBER(INDEX(TblClusters[CPU initial (vCPU)],$B952)),ISNUMBER(INDEX(TblClusters[CPU min (vCPU)],$B952)),OR(INDEX(TblClusters[Plateforme],$B952)="IKS",INDEX(TblClusters[Plateforme],$B952)="ROKS")),1,0),0))</f>
        <v>1</v>
      </c>
      <c r="E952" s="72">
        <f t="shared" si="240"/>
        <v>46600</v>
      </c>
      <c r="F952" s="19" t="str">
        <f>IF($D952=1,INDEX(TblClusters[Cluster],$B952),"")</f>
        <v>ku002i000908</v>
      </c>
      <c r="G952" s="19" t="str">
        <f>IF($D952=1,INDEX(TblClusters[Plateforme],$B952),"")</f>
        <v>IKS</v>
      </c>
      <c r="H952" s="19">
        <f>IF($D952=1,INDEX(TblClusters[vCPU par nœud],$B952),"")</f>
        <v>32</v>
      </c>
      <c r="I952" s="19">
        <f>IF($D952=1,INDEX(TblClusters[RAM par nœud (Go)],$B952),"")</f>
        <v>256</v>
      </c>
      <c r="J952" s="19">
        <f>IF($D952=1,INDEX(TblClusters[Workers min],$B952),"")</f>
        <v>3</v>
      </c>
      <c r="K952" s="73">
        <f>IF($D952=1,INDEX(TblClusters[Tarif par nœud],$B952),"")</f>
        <v>1421</v>
      </c>
      <c r="L952" s="19">
        <f>IF($D952=1,INDEX(TblClusters[CPU initial (vCPU)],$B952),"")</f>
        <v>192</v>
      </c>
      <c r="M952" s="19">
        <f>IF($D952=1,INDEX(TblClusters[RAM initiale (Go)],$B952),"")</f>
        <v>1536</v>
      </c>
      <c r="N952" s="19">
        <f>IF($D952=1,INDEX(TblClusters[CPU min (vCPU)],$B952),"")</f>
        <v>96</v>
      </c>
      <c r="O952" s="19">
        <f>IF($D952=1,INDEX(TblClusters[RAM min (Go)],$B952),"")</f>
        <v>768</v>
      </c>
      <c r="P952" s="19">
        <f>IF($D952&lt;&gt;1,"",IF($G952="ROKS",SUMIFS(TblApplications[Besoin ROKS CPU (vCPU)],TblApplications[Cluster ROKS cible],$F952,TblApplications[Action],"À migrer",TblApplications[Déjà incluse ROKS],"Non",TblApplications[Mois prov (calc)],"&lt;="&amp;$E952),SUMIFS(TblApplications[CPU IKS libérable (vCPU)],TblApplications[Cluster IKS source],$F952,TblApplications[Mois lib (calc)],"&lt;="&amp;$E952)))</f>
        <v>0</v>
      </c>
      <c r="Q952" s="19">
        <f>IF($D952&lt;&gt;1,"",IF($G952="ROKS",SUMIFS(TblApplications[Besoin ROKS RAM (Go)],TblApplications[Cluster ROKS cible],$F952,TblApplications[Action],"À migrer",TblApplications[Déjà incluse ROKS],"Non",TblApplications[Mois prov (calc)],"&lt;="&amp;$E952),SUMIFS(TblApplications[RAM IKS libérable (Go)],TblApplications[Cluster IKS source],$F952,TblApplications[Mois lib (calc)],"&lt;="&amp;$E952)))</f>
        <v>0</v>
      </c>
      <c r="R952" s="19">
        <f t="shared" si="241"/>
        <v>192</v>
      </c>
      <c r="S952" s="19">
        <f t="shared" si="242"/>
        <v>1536</v>
      </c>
      <c r="T952" s="19">
        <f t="shared" si="243"/>
        <v>6</v>
      </c>
      <c r="U952" s="19">
        <f t="shared" si="244"/>
        <v>192</v>
      </c>
      <c r="V952" s="19">
        <f t="shared" si="245"/>
        <v>1536</v>
      </c>
      <c r="W952" s="73">
        <f t="shared" si="246"/>
        <v>8526</v>
      </c>
      <c r="X952" s="19">
        <f>IF($D952&lt;&gt;1,"",IF($G952="ROKS",$R952,IF($AI952=1,0,MAX($N952,$L952-SUMIFS(TblApplications[CPU IKS libérable (vCPU)],TblApplications[Cluster IKS source],$F952,TblApplications[Action],"À migrer",TblApplications[Mois prov (calc)],"&lt;="&amp;$E952)-SUMIFS(TblApplications[CPU IKS libérable (vCPU)],TblApplications[Cluster IKS source],$F952,TblApplications[Action],"À décommissionner",TblApplications[Mois lib (calc)],"&lt;="&amp;$E952)))))</f>
        <v>192</v>
      </c>
      <c r="Y952" s="19">
        <f>IF($D952&lt;&gt;1,"",IF($G952="ROKS",$S952,IF($AI952=1,0,MAX($O952,$M952-SUMIFS(TblApplications[RAM IKS libérable (Go)],TblApplications[Cluster IKS source],$F952,TblApplications[Action],"À migrer",TblApplications[Mois prov (calc)],"&lt;="&amp;$E952)-SUMIFS(TblApplications[RAM IKS libérable (Go)],TblApplications[Cluster IKS source],$F952,TblApplications[Action],"À décommissionner",TblApplications[Mois lib (calc)],"&lt;="&amp;$E952)))))</f>
        <v>1536</v>
      </c>
      <c r="Z952" s="19">
        <f t="shared" si="247"/>
        <v>6</v>
      </c>
      <c r="AA952" s="73">
        <f t="shared" si="248"/>
        <v>8526</v>
      </c>
      <c r="AB952" s="19">
        <f t="shared" si="249"/>
        <v>6</v>
      </c>
      <c r="AC952" s="73">
        <f t="shared" si="250"/>
        <v>8526</v>
      </c>
      <c r="AD952" s="19">
        <f t="shared" si="251"/>
        <v>0</v>
      </c>
      <c r="AE952" s="19">
        <f t="shared" si="252"/>
        <v>0</v>
      </c>
      <c r="AF952" s="19" t="str">
        <f>IF($D952&lt;&gt;1,"",IF(INDEX(TblClusters[Environnement],$B952)="","(vide)",INDEX(TblClusters[Environnement],$B952)))</f>
        <v>PRD</v>
      </c>
      <c r="AG952" s="19">
        <f t="shared" si="253"/>
        <v>345.6</v>
      </c>
      <c r="AH952" s="19">
        <f t="shared" si="254"/>
        <v>24.670138888888886</v>
      </c>
      <c r="AI952" s="19">
        <f>IF($D952&lt;&gt;1,"",IF(AND($G952="IKS",ISNUMBER(INDEX(TblClusters[Fermeture retenue],$B952))),IF($E952&gt;=INDEX(TblClusters[Fermeture retenue],$B952),1,0),0))</f>
        <v>0</v>
      </c>
    </row>
    <row r="953" spans="1:35" x14ac:dyDescent="0.2">
      <c r="A953" s="19">
        <v>948</v>
      </c>
      <c r="B953" s="19">
        <f t="shared" si="238"/>
        <v>27</v>
      </c>
      <c r="C953" s="19">
        <f t="shared" si="239"/>
        <v>12</v>
      </c>
      <c r="D953" s="19">
        <f>IF($C953&gt;p_horizon,0,IFERROR(IF(AND(INDEX(TblClusters[Cluster],$B953)&lt;&gt;"",ISNUMBER(INDEX(TblClusters[CPU initial (vCPU)],$B953)),ISNUMBER(INDEX(TblClusters[CPU min (vCPU)],$B953)),OR(INDEX(TblClusters[Plateforme],$B953)="IKS",INDEX(TblClusters[Plateforme],$B953)="ROKS")),1,0),0))</f>
        <v>1</v>
      </c>
      <c r="E953" s="72">
        <f t="shared" si="240"/>
        <v>46631</v>
      </c>
      <c r="F953" s="19" t="str">
        <f>IF($D953=1,INDEX(TblClusters[Cluster],$B953),"")</f>
        <v>ku002i000908</v>
      </c>
      <c r="G953" s="19" t="str">
        <f>IF($D953=1,INDEX(TblClusters[Plateforme],$B953),"")</f>
        <v>IKS</v>
      </c>
      <c r="H953" s="19">
        <f>IF($D953=1,INDEX(TblClusters[vCPU par nœud],$B953),"")</f>
        <v>32</v>
      </c>
      <c r="I953" s="19">
        <f>IF($D953=1,INDEX(TblClusters[RAM par nœud (Go)],$B953),"")</f>
        <v>256</v>
      </c>
      <c r="J953" s="19">
        <f>IF($D953=1,INDEX(TblClusters[Workers min],$B953),"")</f>
        <v>3</v>
      </c>
      <c r="K953" s="73">
        <f>IF($D953=1,INDEX(TblClusters[Tarif par nœud],$B953),"")</f>
        <v>1421</v>
      </c>
      <c r="L953" s="19">
        <f>IF($D953=1,INDEX(TblClusters[CPU initial (vCPU)],$B953),"")</f>
        <v>192</v>
      </c>
      <c r="M953" s="19">
        <f>IF($D953=1,INDEX(TblClusters[RAM initiale (Go)],$B953),"")</f>
        <v>1536</v>
      </c>
      <c r="N953" s="19">
        <f>IF($D953=1,INDEX(TblClusters[CPU min (vCPU)],$B953),"")</f>
        <v>96</v>
      </c>
      <c r="O953" s="19">
        <f>IF($D953=1,INDEX(TblClusters[RAM min (Go)],$B953),"")</f>
        <v>768</v>
      </c>
      <c r="P953" s="19">
        <f>IF($D953&lt;&gt;1,"",IF($G953="ROKS",SUMIFS(TblApplications[Besoin ROKS CPU (vCPU)],TblApplications[Cluster ROKS cible],$F953,TblApplications[Action],"À migrer",TblApplications[Déjà incluse ROKS],"Non",TblApplications[Mois prov (calc)],"&lt;="&amp;$E953),SUMIFS(TblApplications[CPU IKS libérable (vCPU)],TblApplications[Cluster IKS source],$F953,TblApplications[Mois lib (calc)],"&lt;="&amp;$E953)))</f>
        <v>0</v>
      </c>
      <c r="Q953" s="19">
        <f>IF($D953&lt;&gt;1,"",IF($G953="ROKS",SUMIFS(TblApplications[Besoin ROKS RAM (Go)],TblApplications[Cluster ROKS cible],$F953,TblApplications[Action],"À migrer",TblApplications[Déjà incluse ROKS],"Non",TblApplications[Mois prov (calc)],"&lt;="&amp;$E953),SUMIFS(TblApplications[RAM IKS libérable (Go)],TblApplications[Cluster IKS source],$F953,TblApplications[Mois lib (calc)],"&lt;="&amp;$E953)))</f>
        <v>0</v>
      </c>
      <c r="R953" s="19">
        <f t="shared" si="241"/>
        <v>192</v>
      </c>
      <c r="S953" s="19">
        <f t="shared" si="242"/>
        <v>1536</v>
      </c>
      <c r="T953" s="19">
        <f t="shared" si="243"/>
        <v>6</v>
      </c>
      <c r="U953" s="19">
        <f t="shared" si="244"/>
        <v>192</v>
      </c>
      <c r="V953" s="19">
        <f t="shared" si="245"/>
        <v>1536</v>
      </c>
      <c r="W953" s="73">
        <f t="shared" si="246"/>
        <v>8526</v>
      </c>
      <c r="X953" s="19">
        <f>IF($D953&lt;&gt;1,"",IF($G953="ROKS",$R953,IF($AI953=1,0,MAX($N953,$L953-SUMIFS(TblApplications[CPU IKS libérable (vCPU)],TblApplications[Cluster IKS source],$F953,TblApplications[Action],"À migrer",TblApplications[Mois prov (calc)],"&lt;="&amp;$E953)-SUMIFS(TblApplications[CPU IKS libérable (vCPU)],TblApplications[Cluster IKS source],$F953,TblApplications[Action],"À décommissionner",TblApplications[Mois lib (calc)],"&lt;="&amp;$E953)))))</f>
        <v>192</v>
      </c>
      <c r="Y953" s="19">
        <f>IF($D953&lt;&gt;1,"",IF($G953="ROKS",$S953,IF($AI953=1,0,MAX($O953,$M953-SUMIFS(TblApplications[RAM IKS libérable (Go)],TblApplications[Cluster IKS source],$F953,TblApplications[Action],"À migrer",TblApplications[Mois prov (calc)],"&lt;="&amp;$E953)-SUMIFS(TblApplications[RAM IKS libérable (Go)],TblApplications[Cluster IKS source],$F953,TblApplications[Action],"À décommissionner",TblApplications[Mois lib (calc)],"&lt;="&amp;$E953)))))</f>
        <v>1536</v>
      </c>
      <c r="Z953" s="19">
        <f t="shared" si="247"/>
        <v>6</v>
      </c>
      <c r="AA953" s="73">
        <f t="shared" si="248"/>
        <v>8526</v>
      </c>
      <c r="AB953" s="19">
        <f t="shared" si="249"/>
        <v>6</v>
      </c>
      <c r="AC953" s="73">
        <f t="shared" si="250"/>
        <v>8526</v>
      </c>
      <c r="AD953" s="19">
        <f t="shared" si="251"/>
        <v>0</v>
      </c>
      <c r="AE953" s="19">
        <f t="shared" si="252"/>
        <v>0</v>
      </c>
      <c r="AF953" s="19" t="str">
        <f>IF($D953&lt;&gt;1,"",IF(INDEX(TblClusters[Environnement],$B953)="","(vide)",INDEX(TblClusters[Environnement],$B953)))</f>
        <v>PRD</v>
      </c>
      <c r="AG953" s="19">
        <f t="shared" si="253"/>
        <v>345.6</v>
      </c>
      <c r="AH953" s="19">
        <f t="shared" si="254"/>
        <v>24.670138888888886</v>
      </c>
      <c r="AI953" s="19">
        <f>IF($D953&lt;&gt;1,"",IF(AND($G953="IKS",ISNUMBER(INDEX(TblClusters[Fermeture retenue],$B953))),IF($E953&gt;=INDEX(TblClusters[Fermeture retenue],$B953),1,0),0))</f>
        <v>0</v>
      </c>
    </row>
    <row r="954" spans="1:35" x14ac:dyDescent="0.2">
      <c r="A954" s="19">
        <v>949</v>
      </c>
      <c r="B954" s="19">
        <f t="shared" si="238"/>
        <v>27</v>
      </c>
      <c r="C954" s="19">
        <f t="shared" si="239"/>
        <v>13</v>
      </c>
      <c r="D954" s="19">
        <f>IF($C954&gt;p_horizon,0,IFERROR(IF(AND(INDEX(TblClusters[Cluster],$B954)&lt;&gt;"",ISNUMBER(INDEX(TblClusters[CPU initial (vCPU)],$B954)),ISNUMBER(INDEX(TblClusters[CPU min (vCPU)],$B954)),OR(INDEX(TblClusters[Plateforme],$B954)="IKS",INDEX(TblClusters[Plateforme],$B954)="ROKS")),1,0),0))</f>
        <v>1</v>
      </c>
      <c r="E954" s="72">
        <f t="shared" si="240"/>
        <v>46661</v>
      </c>
      <c r="F954" s="19" t="str">
        <f>IF($D954=1,INDEX(TblClusters[Cluster],$B954),"")</f>
        <v>ku002i000908</v>
      </c>
      <c r="G954" s="19" t="str">
        <f>IF($D954=1,INDEX(TblClusters[Plateforme],$B954),"")</f>
        <v>IKS</v>
      </c>
      <c r="H954" s="19">
        <f>IF($D954=1,INDEX(TblClusters[vCPU par nœud],$B954),"")</f>
        <v>32</v>
      </c>
      <c r="I954" s="19">
        <f>IF($D954=1,INDEX(TblClusters[RAM par nœud (Go)],$B954),"")</f>
        <v>256</v>
      </c>
      <c r="J954" s="19">
        <f>IF($D954=1,INDEX(TblClusters[Workers min],$B954),"")</f>
        <v>3</v>
      </c>
      <c r="K954" s="73">
        <f>IF($D954=1,INDEX(TblClusters[Tarif par nœud],$B954),"")</f>
        <v>1421</v>
      </c>
      <c r="L954" s="19">
        <f>IF($D954=1,INDEX(TblClusters[CPU initial (vCPU)],$B954),"")</f>
        <v>192</v>
      </c>
      <c r="M954" s="19">
        <f>IF($D954=1,INDEX(TblClusters[RAM initiale (Go)],$B954),"")</f>
        <v>1536</v>
      </c>
      <c r="N954" s="19">
        <f>IF($D954=1,INDEX(TblClusters[CPU min (vCPU)],$B954),"")</f>
        <v>96</v>
      </c>
      <c r="O954" s="19">
        <f>IF($D954=1,INDEX(TblClusters[RAM min (Go)],$B954),"")</f>
        <v>768</v>
      </c>
      <c r="P954" s="19">
        <f>IF($D954&lt;&gt;1,"",IF($G954="ROKS",SUMIFS(TblApplications[Besoin ROKS CPU (vCPU)],TblApplications[Cluster ROKS cible],$F954,TblApplications[Action],"À migrer",TblApplications[Déjà incluse ROKS],"Non",TblApplications[Mois prov (calc)],"&lt;="&amp;$E954),SUMIFS(TblApplications[CPU IKS libérable (vCPU)],TblApplications[Cluster IKS source],$F954,TblApplications[Mois lib (calc)],"&lt;="&amp;$E954)))</f>
        <v>0</v>
      </c>
      <c r="Q954" s="19">
        <f>IF($D954&lt;&gt;1,"",IF($G954="ROKS",SUMIFS(TblApplications[Besoin ROKS RAM (Go)],TblApplications[Cluster ROKS cible],$F954,TblApplications[Action],"À migrer",TblApplications[Déjà incluse ROKS],"Non",TblApplications[Mois prov (calc)],"&lt;="&amp;$E954),SUMIFS(TblApplications[RAM IKS libérable (Go)],TblApplications[Cluster IKS source],$F954,TblApplications[Mois lib (calc)],"&lt;="&amp;$E954)))</f>
        <v>0</v>
      </c>
      <c r="R954" s="19">
        <f t="shared" si="241"/>
        <v>192</v>
      </c>
      <c r="S954" s="19">
        <f t="shared" si="242"/>
        <v>1536</v>
      </c>
      <c r="T954" s="19">
        <f t="shared" si="243"/>
        <v>6</v>
      </c>
      <c r="U954" s="19">
        <f t="shared" si="244"/>
        <v>192</v>
      </c>
      <c r="V954" s="19">
        <f t="shared" si="245"/>
        <v>1536</v>
      </c>
      <c r="W954" s="73">
        <f t="shared" si="246"/>
        <v>8526</v>
      </c>
      <c r="X954" s="19">
        <f>IF($D954&lt;&gt;1,"",IF($G954="ROKS",$R954,IF($AI954=1,0,MAX($N954,$L954-SUMIFS(TblApplications[CPU IKS libérable (vCPU)],TblApplications[Cluster IKS source],$F954,TblApplications[Action],"À migrer",TblApplications[Mois prov (calc)],"&lt;="&amp;$E954)-SUMIFS(TblApplications[CPU IKS libérable (vCPU)],TblApplications[Cluster IKS source],$F954,TblApplications[Action],"À décommissionner",TblApplications[Mois lib (calc)],"&lt;="&amp;$E954)))))</f>
        <v>192</v>
      </c>
      <c r="Y954" s="19">
        <f>IF($D954&lt;&gt;1,"",IF($G954="ROKS",$S954,IF($AI954=1,0,MAX($O954,$M954-SUMIFS(TblApplications[RAM IKS libérable (Go)],TblApplications[Cluster IKS source],$F954,TblApplications[Action],"À migrer",TblApplications[Mois prov (calc)],"&lt;="&amp;$E954)-SUMIFS(TblApplications[RAM IKS libérable (Go)],TblApplications[Cluster IKS source],$F954,TblApplications[Action],"À décommissionner",TblApplications[Mois lib (calc)],"&lt;="&amp;$E954)))))</f>
        <v>1536</v>
      </c>
      <c r="Z954" s="19">
        <f t="shared" si="247"/>
        <v>6</v>
      </c>
      <c r="AA954" s="73">
        <f t="shared" si="248"/>
        <v>8526</v>
      </c>
      <c r="AB954" s="19">
        <f t="shared" si="249"/>
        <v>6</v>
      </c>
      <c r="AC954" s="73">
        <f t="shared" si="250"/>
        <v>8526</v>
      </c>
      <c r="AD954" s="19">
        <f t="shared" si="251"/>
        <v>0</v>
      </c>
      <c r="AE954" s="19">
        <f t="shared" si="252"/>
        <v>0</v>
      </c>
      <c r="AF954" s="19" t="str">
        <f>IF($D954&lt;&gt;1,"",IF(INDEX(TblClusters[Environnement],$B954)="","(vide)",INDEX(TblClusters[Environnement],$B954)))</f>
        <v>PRD</v>
      </c>
      <c r="AG954" s="19">
        <f t="shared" si="253"/>
        <v>345.6</v>
      </c>
      <c r="AH954" s="19">
        <f t="shared" si="254"/>
        <v>24.670138888888886</v>
      </c>
      <c r="AI954" s="19">
        <f>IF($D954&lt;&gt;1,"",IF(AND($G954="IKS",ISNUMBER(INDEX(TblClusters[Fermeture retenue],$B954))),IF($E954&gt;=INDEX(TblClusters[Fermeture retenue],$B954),1,0),0))</f>
        <v>0</v>
      </c>
    </row>
    <row r="955" spans="1:35" x14ac:dyDescent="0.2">
      <c r="A955" s="19">
        <v>950</v>
      </c>
      <c r="B955" s="19">
        <f t="shared" si="238"/>
        <v>27</v>
      </c>
      <c r="C955" s="19">
        <f t="shared" si="239"/>
        <v>14</v>
      </c>
      <c r="D955" s="19">
        <f>IF($C955&gt;p_horizon,0,IFERROR(IF(AND(INDEX(TblClusters[Cluster],$B955)&lt;&gt;"",ISNUMBER(INDEX(TblClusters[CPU initial (vCPU)],$B955)),ISNUMBER(INDEX(TblClusters[CPU min (vCPU)],$B955)),OR(INDEX(TblClusters[Plateforme],$B955)="IKS",INDEX(TblClusters[Plateforme],$B955)="ROKS")),1,0),0))</f>
        <v>1</v>
      </c>
      <c r="E955" s="72">
        <f t="shared" si="240"/>
        <v>46692</v>
      </c>
      <c r="F955" s="19" t="str">
        <f>IF($D955=1,INDEX(TblClusters[Cluster],$B955),"")</f>
        <v>ku002i000908</v>
      </c>
      <c r="G955" s="19" t="str">
        <f>IF($D955=1,INDEX(TblClusters[Plateforme],$B955),"")</f>
        <v>IKS</v>
      </c>
      <c r="H955" s="19">
        <f>IF($D955=1,INDEX(TblClusters[vCPU par nœud],$B955),"")</f>
        <v>32</v>
      </c>
      <c r="I955" s="19">
        <f>IF($D955=1,INDEX(TblClusters[RAM par nœud (Go)],$B955),"")</f>
        <v>256</v>
      </c>
      <c r="J955" s="19">
        <f>IF($D955=1,INDEX(TblClusters[Workers min],$B955),"")</f>
        <v>3</v>
      </c>
      <c r="K955" s="73">
        <f>IF($D955=1,INDEX(TblClusters[Tarif par nœud],$B955),"")</f>
        <v>1421</v>
      </c>
      <c r="L955" s="19">
        <f>IF($D955=1,INDEX(TblClusters[CPU initial (vCPU)],$B955),"")</f>
        <v>192</v>
      </c>
      <c r="M955" s="19">
        <f>IF($D955=1,INDEX(TblClusters[RAM initiale (Go)],$B955),"")</f>
        <v>1536</v>
      </c>
      <c r="N955" s="19">
        <f>IF($D955=1,INDEX(TblClusters[CPU min (vCPU)],$B955),"")</f>
        <v>96</v>
      </c>
      <c r="O955" s="19">
        <f>IF($D955=1,INDEX(TblClusters[RAM min (Go)],$B955),"")</f>
        <v>768</v>
      </c>
      <c r="P955" s="19">
        <f>IF($D955&lt;&gt;1,"",IF($G955="ROKS",SUMIFS(TblApplications[Besoin ROKS CPU (vCPU)],TblApplications[Cluster ROKS cible],$F955,TblApplications[Action],"À migrer",TblApplications[Déjà incluse ROKS],"Non",TblApplications[Mois prov (calc)],"&lt;="&amp;$E955),SUMIFS(TblApplications[CPU IKS libérable (vCPU)],TblApplications[Cluster IKS source],$F955,TblApplications[Mois lib (calc)],"&lt;="&amp;$E955)))</f>
        <v>0</v>
      </c>
      <c r="Q955" s="19">
        <f>IF($D955&lt;&gt;1,"",IF($G955="ROKS",SUMIFS(TblApplications[Besoin ROKS RAM (Go)],TblApplications[Cluster ROKS cible],$F955,TblApplications[Action],"À migrer",TblApplications[Déjà incluse ROKS],"Non",TblApplications[Mois prov (calc)],"&lt;="&amp;$E955),SUMIFS(TblApplications[RAM IKS libérable (Go)],TblApplications[Cluster IKS source],$F955,TblApplications[Mois lib (calc)],"&lt;="&amp;$E955)))</f>
        <v>0</v>
      </c>
      <c r="R955" s="19">
        <f t="shared" si="241"/>
        <v>192</v>
      </c>
      <c r="S955" s="19">
        <f t="shared" si="242"/>
        <v>1536</v>
      </c>
      <c r="T955" s="19">
        <f t="shared" si="243"/>
        <v>6</v>
      </c>
      <c r="U955" s="19">
        <f t="shared" si="244"/>
        <v>192</v>
      </c>
      <c r="V955" s="19">
        <f t="shared" si="245"/>
        <v>1536</v>
      </c>
      <c r="W955" s="73">
        <f t="shared" si="246"/>
        <v>8526</v>
      </c>
      <c r="X955" s="19">
        <f>IF($D955&lt;&gt;1,"",IF($G955="ROKS",$R955,IF($AI955=1,0,MAX($N955,$L955-SUMIFS(TblApplications[CPU IKS libérable (vCPU)],TblApplications[Cluster IKS source],$F955,TblApplications[Action],"À migrer",TblApplications[Mois prov (calc)],"&lt;="&amp;$E955)-SUMIFS(TblApplications[CPU IKS libérable (vCPU)],TblApplications[Cluster IKS source],$F955,TblApplications[Action],"À décommissionner",TblApplications[Mois lib (calc)],"&lt;="&amp;$E955)))))</f>
        <v>192</v>
      </c>
      <c r="Y955" s="19">
        <f>IF($D955&lt;&gt;1,"",IF($G955="ROKS",$S955,IF($AI955=1,0,MAX($O955,$M955-SUMIFS(TblApplications[RAM IKS libérable (Go)],TblApplications[Cluster IKS source],$F955,TblApplications[Action],"À migrer",TblApplications[Mois prov (calc)],"&lt;="&amp;$E955)-SUMIFS(TblApplications[RAM IKS libérable (Go)],TblApplications[Cluster IKS source],$F955,TblApplications[Action],"À décommissionner",TblApplications[Mois lib (calc)],"&lt;="&amp;$E955)))))</f>
        <v>1536</v>
      </c>
      <c r="Z955" s="19">
        <f t="shared" si="247"/>
        <v>6</v>
      </c>
      <c r="AA955" s="73">
        <f t="shared" si="248"/>
        <v>8526</v>
      </c>
      <c r="AB955" s="19">
        <f t="shared" si="249"/>
        <v>6</v>
      </c>
      <c r="AC955" s="73">
        <f t="shared" si="250"/>
        <v>8526</v>
      </c>
      <c r="AD955" s="19">
        <f t="shared" si="251"/>
        <v>0</v>
      </c>
      <c r="AE955" s="19">
        <f t="shared" si="252"/>
        <v>0</v>
      </c>
      <c r="AF955" s="19" t="str">
        <f>IF($D955&lt;&gt;1,"",IF(INDEX(TblClusters[Environnement],$B955)="","(vide)",INDEX(TblClusters[Environnement],$B955)))</f>
        <v>PRD</v>
      </c>
      <c r="AG955" s="19">
        <f t="shared" si="253"/>
        <v>345.6</v>
      </c>
      <c r="AH955" s="19">
        <f t="shared" si="254"/>
        <v>24.670138888888886</v>
      </c>
      <c r="AI955" s="19">
        <f>IF($D955&lt;&gt;1,"",IF(AND($G955="IKS",ISNUMBER(INDEX(TblClusters[Fermeture retenue],$B955))),IF($E955&gt;=INDEX(TblClusters[Fermeture retenue],$B955),1,0),0))</f>
        <v>0</v>
      </c>
    </row>
    <row r="956" spans="1:35" x14ac:dyDescent="0.2">
      <c r="A956" s="19">
        <v>951</v>
      </c>
      <c r="B956" s="19">
        <f t="shared" si="238"/>
        <v>27</v>
      </c>
      <c r="C956" s="19">
        <f t="shared" si="239"/>
        <v>15</v>
      </c>
      <c r="D956" s="19">
        <f>IF($C956&gt;p_horizon,0,IFERROR(IF(AND(INDEX(TblClusters[Cluster],$B956)&lt;&gt;"",ISNUMBER(INDEX(TblClusters[CPU initial (vCPU)],$B956)),ISNUMBER(INDEX(TblClusters[CPU min (vCPU)],$B956)),OR(INDEX(TblClusters[Plateforme],$B956)="IKS",INDEX(TblClusters[Plateforme],$B956)="ROKS")),1,0),0))</f>
        <v>1</v>
      </c>
      <c r="E956" s="72">
        <f t="shared" si="240"/>
        <v>46722</v>
      </c>
      <c r="F956" s="19" t="str">
        <f>IF($D956=1,INDEX(TblClusters[Cluster],$B956),"")</f>
        <v>ku002i000908</v>
      </c>
      <c r="G956" s="19" t="str">
        <f>IF($D956=1,INDEX(TblClusters[Plateforme],$B956),"")</f>
        <v>IKS</v>
      </c>
      <c r="H956" s="19">
        <f>IF($D956=1,INDEX(TblClusters[vCPU par nœud],$B956),"")</f>
        <v>32</v>
      </c>
      <c r="I956" s="19">
        <f>IF($D956=1,INDEX(TblClusters[RAM par nœud (Go)],$B956),"")</f>
        <v>256</v>
      </c>
      <c r="J956" s="19">
        <f>IF($D956=1,INDEX(TblClusters[Workers min],$B956),"")</f>
        <v>3</v>
      </c>
      <c r="K956" s="73">
        <f>IF($D956=1,INDEX(TblClusters[Tarif par nœud],$B956),"")</f>
        <v>1421</v>
      </c>
      <c r="L956" s="19">
        <f>IF($D956=1,INDEX(TblClusters[CPU initial (vCPU)],$B956),"")</f>
        <v>192</v>
      </c>
      <c r="M956" s="19">
        <f>IF($D956=1,INDEX(TblClusters[RAM initiale (Go)],$B956),"")</f>
        <v>1536</v>
      </c>
      <c r="N956" s="19">
        <f>IF($D956=1,INDEX(TblClusters[CPU min (vCPU)],$B956),"")</f>
        <v>96</v>
      </c>
      <c r="O956" s="19">
        <f>IF($D956=1,INDEX(TblClusters[RAM min (Go)],$B956),"")</f>
        <v>768</v>
      </c>
      <c r="P956" s="19">
        <f>IF($D956&lt;&gt;1,"",IF($G956="ROKS",SUMIFS(TblApplications[Besoin ROKS CPU (vCPU)],TblApplications[Cluster ROKS cible],$F956,TblApplications[Action],"À migrer",TblApplications[Déjà incluse ROKS],"Non",TblApplications[Mois prov (calc)],"&lt;="&amp;$E956),SUMIFS(TblApplications[CPU IKS libérable (vCPU)],TblApplications[Cluster IKS source],$F956,TblApplications[Mois lib (calc)],"&lt;="&amp;$E956)))</f>
        <v>0</v>
      </c>
      <c r="Q956" s="19">
        <f>IF($D956&lt;&gt;1,"",IF($G956="ROKS",SUMIFS(TblApplications[Besoin ROKS RAM (Go)],TblApplications[Cluster ROKS cible],$F956,TblApplications[Action],"À migrer",TblApplications[Déjà incluse ROKS],"Non",TblApplications[Mois prov (calc)],"&lt;="&amp;$E956),SUMIFS(TblApplications[RAM IKS libérable (Go)],TblApplications[Cluster IKS source],$F956,TblApplications[Mois lib (calc)],"&lt;="&amp;$E956)))</f>
        <v>0</v>
      </c>
      <c r="R956" s="19">
        <f t="shared" si="241"/>
        <v>192</v>
      </c>
      <c r="S956" s="19">
        <f t="shared" si="242"/>
        <v>1536</v>
      </c>
      <c r="T956" s="19">
        <f t="shared" si="243"/>
        <v>6</v>
      </c>
      <c r="U956" s="19">
        <f t="shared" si="244"/>
        <v>192</v>
      </c>
      <c r="V956" s="19">
        <f t="shared" si="245"/>
        <v>1536</v>
      </c>
      <c r="W956" s="73">
        <f t="shared" si="246"/>
        <v>8526</v>
      </c>
      <c r="X956" s="19">
        <f>IF($D956&lt;&gt;1,"",IF($G956="ROKS",$R956,IF($AI956=1,0,MAX($N956,$L956-SUMIFS(TblApplications[CPU IKS libérable (vCPU)],TblApplications[Cluster IKS source],$F956,TblApplications[Action],"À migrer",TblApplications[Mois prov (calc)],"&lt;="&amp;$E956)-SUMIFS(TblApplications[CPU IKS libérable (vCPU)],TblApplications[Cluster IKS source],$F956,TblApplications[Action],"À décommissionner",TblApplications[Mois lib (calc)],"&lt;="&amp;$E956)))))</f>
        <v>192</v>
      </c>
      <c r="Y956" s="19">
        <f>IF($D956&lt;&gt;1,"",IF($G956="ROKS",$S956,IF($AI956=1,0,MAX($O956,$M956-SUMIFS(TblApplications[RAM IKS libérable (Go)],TblApplications[Cluster IKS source],$F956,TblApplications[Action],"À migrer",TblApplications[Mois prov (calc)],"&lt;="&amp;$E956)-SUMIFS(TblApplications[RAM IKS libérable (Go)],TblApplications[Cluster IKS source],$F956,TblApplications[Action],"À décommissionner",TblApplications[Mois lib (calc)],"&lt;="&amp;$E956)))))</f>
        <v>1536</v>
      </c>
      <c r="Z956" s="19">
        <f t="shared" si="247"/>
        <v>6</v>
      </c>
      <c r="AA956" s="73">
        <f t="shared" si="248"/>
        <v>8526</v>
      </c>
      <c r="AB956" s="19">
        <f t="shared" si="249"/>
        <v>6</v>
      </c>
      <c r="AC956" s="73">
        <f t="shared" si="250"/>
        <v>8526</v>
      </c>
      <c r="AD956" s="19">
        <f t="shared" si="251"/>
        <v>0</v>
      </c>
      <c r="AE956" s="19">
        <f t="shared" si="252"/>
        <v>0</v>
      </c>
      <c r="AF956" s="19" t="str">
        <f>IF($D956&lt;&gt;1,"",IF(INDEX(TblClusters[Environnement],$B956)="","(vide)",INDEX(TblClusters[Environnement],$B956)))</f>
        <v>PRD</v>
      </c>
      <c r="AG956" s="19">
        <f t="shared" si="253"/>
        <v>345.6</v>
      </c>
      <c r="AH956" s="19">
        <f t="shared" si="254"/>
        <v>24.670138888888886</v>
      </c>
      <c r="AI956" s="19">
        <f>IF($D956&lt;&gt;1,"",IF(AND($G956="IKS",ISNUMBER(INDEX(TblClusters[Fermeture retenue],$B956))),IF($E956&gt;=INDEX(TblClusters[Fermeture retenue],$B956),1,0),0))</f>
        <v>0</v>
      </c>
    </row>
    <row r="957" spans="1:35" x14ac:dyDescent="0.2">
      <c r="A957" s="19">
        <v>952</v>
      </c>
      <c r="B957" s="19">
        <f t="shared" si="238"/>
        <v>27</v>
      </c>
      <c r="C957" s="19">
        <f t="shared" si="239"/>
        <v>16</v>
      </c>
      <c r="D957" s="19">
        <f>IF($C957&gt;p_horizon,0,IFERROR(IF(AND(INDEX(TblClusters[Cluster],$B957)&lt;&gt;"",ISNUMBER(INDEX(TblClusters[CPU initial (vCPU)],$B957)),ISNUMBER(INDEX(TblClusters[CPU min (vCPU)],$B957)),OR(INDEX(TblClusters[Plateforme],$B957)="IKS",INDEX(TblClusters[Plateforme],$B957)="ROKS")),1,0),0))</f>
        <v>1</v>
      </c>
      <c r="E957" s="72">
        <f t="shared" si="240"/>
        <v>46753</v>
      </c>
      <c r="F957" s="19" t="str">
        <f>IF($D957=1,INDEX(TblClusters[Cluster],$B957),"")</f>
        <v>ku002i000908</v>
      </c>
      <c r="G957" s="19" t="str">
        <f>IF($D957=1,INDEX(TblClusters[Plateforme],$B957),"")</f>
        <v>IKS</v>
      </c>
      <c r="H957" s="19">
        <f>IF($D957=1,INDEX(TblClusters[vCPU par nœud],$B957),"")</f>
        <v>32</v>
      </c>
      <c r="I957" s="19">
        <f>IF($D957=1,INDEX(TblClusters[RAM par nœud (Go)],$B957),"")</f>
        <v>256</v>
      </c>
      <c r="J957" s="19">
        <f>IF($D957=1,INDEX(TblClusters[Workers min],$B957),"")</f>
        <v>3</v>
      </c>
      <c r="K957" s="73">
        <f>IF($D957=1,INDEX(TblClusters[Tarif par nœud],$B957),"")</f>
        <v>1421</v>
      </c>
      <c r="L957" s="19">
        <f>IF($D957=1,INDEX(TblClusters[CPU initial (vCPU)],$B957),"")</f>
        <v>192</v>
      </c>
      <c r="M957" s="19">
        <f>IF($D957=1,INDEX(TblClusters[RAM initiale (Go)],$B957),"")</f>
        <v>1536</v>
      </c>
      <c r="N957" s="19">
        <f>IF($D957=1,INDEX(TblClusters[CPU min (vCPU)],$B957),"")</f>
        <v>96</v>
      </c>
      <c r="O957" s="19">
        <f>IF($D957=1,INDEX(TblClusters[RAM min (Go)],$B957),"")</f>
        <v>768</v>
      </c>
      <c r="P957" s="19">
        <f>IF($D957&lt;&gt;1,"",IF($G957="ROKS",SUMIFS(TblApplications[Besoin ROKS CPU (vCPU)],TblApplications[Cluster ROKS cible],$F957,TblApplications[Action],"À migrer",TblApplications[Déjà incluse ROKS],"Non",TblApplications[Mois prov (calc)],"&lt;="&amp;$E957),SUMIFS(TblApplications[CPU IKS libérable (vCPU)],TblApplications[Cluster IKS source],$F957,TblApplications[Mois lib (calc)],"&lt;="&amp;$E957)))</f>
        <v>0</v>
      </c>
      <c r="Q957" s="19">
        <f>IF($D957&lt;&gt;1,"",IF($G957="ROKS",SUMIFS(TblApplications[Besoin ROKS RAM (Go)],TblApplications[Cluster ROKS cible],$F957,TblApplications[Action],"À migrer",TblApplications[Déjà incluse ROKS],"Non",TblApplications[Mois prov (calc)],"&lt;="&amp;$E957),SUMIFS(TblApplications[RAM IKS libérable (Go)],TblApplications[Cluster IKS source],$F957,TblApplications[Mois lib (calc)],"&lt;="&amp;$E957)))</f>
        <v>0</v>
      </c>
      <c r="R957" s="19">
        <f t="shared" si="241"/>
        <v>192</v>
      </c>
      <c r="S957" s="19">
        <f t="shared" si="242"/>
        <v>1536</v>
      </c>
      <c r="T957" s="19">
        <f t="shared" si="243"/>
        <v>6</v>
      </c>
      <c r="U957" s="19">
        <f t="shared" si="244"/>
        <v>192</v>
      </c>
      <c r="V957" s="19">
        <f t="shared" si="245"/>
        <v>1536</v>
      </c>
      <c r="W957" s="73">
        <f t="shared" si="246"/>
        <v>8526</v>
      </c>
      <c r="X957" s="19">
        <f>IF($D957&lt;&gt;1,"",IF($G957="ROKS",$R957,IF($AI957=1,0,MAX($N957,$L957-SUMIFS(TblApplications[CPU IKS libérable (vCPU)],TblApplications[Cluster IKS source],$F957,TblApplications[Action],"À migrer",TblApplications[Mois prov (calc)],"&lt;="&amp;$E957)-SUMIFS(TblApplications[CPU IKS libérable (vCPU)],TblApplications[Cluster IKS source],$F957,TblApplications[Action],"À décommissionner",TblApplications[Mois lib (calc)],"&lt;="&amp;$E957)))))</f>
        <v>192</v>
      </c>
      <c r="Y957" s="19">
        <f>IF($D957&lt;&gt;1,"",IF($G957="ROKS",$S957,IF($AI957=1,0,MAX($O957,$M957-SUMIFS(TblApplications[RAM IKS libérable (Go)],TblApplications[Cluster IKS source],$F957,TblApplications[Action],"À migrer",TblApplications[Mois prov (calc)],"&lt;="&amp;$E957)-SUMIFS(TblApplications[RAM IKS libérable (Go)],TblApplications[Cluster IKS source],$F957,TblApplications[Action],"À décommissionner",TblApplications[Mois lib (calc)],"&lt;="&amp;$E957)))))</f>
        <v>1536</v>
      </c>
      <c r="Z957" s="19">
        <f t="shared" si="247"/>
        <v>6</v>
      </c>
      <c r="AA957" s="73">
        <f t="shared" si="248"/>
        <v>8526</v>
      </c>
      <c r="AB957" s="19">
        <f t="shared" si="249"/>
        <v>6</v>
      </c>
      <c r="AC957" s="73">
        <f t="shared" si="250"/>
        <v>8526</v>
      </c>
      <c r="AD957" s="19">
        <f t="shared" si="251"/>
        <v>0</v>
      </c>
      <c r="AE957" s="19">
        <f t="shared" si="252"/>
        <v>0</v>
      </c>
      <c r="AF957" s="19" t="str">
        <f>IF($D957&lt;&gt;1,"",IF(INDEX(TblClusters[Environnement],$B957)="","(vide)",INDEX(TblClusters[Environnement],$B957)))</f>
        <v>PRD</v>
      </c>
      <c r="AG957" s="19">
        <f t="shared" si="253"/>
        <v>345.6</v>
      </c>
      <c r="AH957" s="19">
        <f t="shared" si="254"/>
        <v>24.670138888888886</v>
      </c>
      <c r="AI957" s="19">
        <f>IF($D957&lt;&gt;1,"",IF(AND($G957="IKS",ISNUMBER(INDEX(TblClusters[Fermeture retenue],$B957))),IF($E957&gt;=INDEX(TblClusters[Fermeture retenue],$B957),1,0),0))</f>
        <v>0</v>
      </c>
    </row>
    <row r="958" spans="1:35" x14ac:dyDescent="0.2">
      <c r="A958" s="19">
        <v>953</v>
      </c>
      <c r="B958" s="19">
        <f t="shared" si="238"/>
        <v>27</v>
      </c>
      <c r="C958" s="19">
        <f t="shared" si="239"/>
        <v>17</v>
      </c>
      <c r="D958" s="19">
        <f>IF($C958&gt;p_horizon,0,IFERROR(IF(AND(INDEX(TblClusters[Cluster],$B958)&lt;&gt;"",ISNUMBER(INDEX(TblClusters[CPU initial (vCPU)],$B958)),ISNUMBER(INDEX(TblClusters[CPU min (vCPU)],$B958)),OR(INDEX(TblClusters[Plateforme],$B958)="IKS",INDEX(TblClusters[Plateforme],$B958)="ROKS")),1,0),0))</f>
        <v>1</v>
      </c>
      <c r="E958" s="72">
        <f t="shared" si="240"/>
        <v>46784</v>
      </c>
      <c r="F958" s="19" t="str">
        <f>IF($D958=1,INDEX(TblClusters[Cluster],$B958),"")</f>
        <v>ku002i000908</v>
      </c>
      <c r="G958" s="19" t="str">
        <f>IF($D958=1,INDEX(TblClusters[Plateforme],$B958),"")</f>
        <v>IKS</v>
      </c>
      <c r="H958" s="19">
        <f>IF($D958=1,INDEX(TblClusters[vCPU par nœud],$B958),"")</f>
        <v>32</v>
      </c>
      <c r="I958" s="19">
        <f>IF($D958=1,INDEX(TblClusters[RAM par nœud (Go)],$B958),"")</f>
        <v>256</v>
      </c>
      <c r="J958" s="19">
        <f>IF($D958=1,INDEX(TblClusters[Workers min],$B958),"")</f>
        <v>3</v>
      </c>
      <c r="K958" s="73">
        <f>IF($D958=1,INDEX(TblClusters[Tarif par nœud],$B958),"")</f>
        <v>1421</v>
      </c>
      <c r="L958" s="19">
        <f>IF($D958=1,INDEX(TblClusters[CPU initial (vCPU)],$B958),"")</f>
        <v>192</v>
      </c>
      <c r="M958" s="19">
        <f>IF($D958=1,INDEX(TblClusters[RAM initiale (Go)],$B958),"")</f>
        <v>1536</v>
      </c>
      <c r="N958" s="19">
        <f>IF($D958=1,INDEX(TblClusters[CPU min (vCPU)],$B958),"")</f>
        <v>96</v>
      </c>
      <c r="O958" s="19">
        <f>IF($D958=1,INDEX(TblClusters[RAM min (Go)],$B958),"")</f>
        <v>768</v>
      </c>
      <c r="P958" s="19">
        <f>IF($D958&lt;&gt;1,"",IF($G958="ROKS",SUMIFS(TblApplications[Besoin ROKS CPU (vCPU)],TblApplications[Cluster ROKS cible],$F958,TblApplications[Action],"À migrer",TblApplications[Déjà incluse ROKS],"Non",TblApplications[Mois prov (calc)],"&lt;="&amp;$E958),SUMIFS(TblApplications[CPU IKS libérable (vCPU)],TblApplications[Cluster IKS source],$F958,TblApplications[Mois lib (calc)],"&lt;="&amp;$E958)))</f>
        <v>0</v>
      </c>
      <c r="Q958" s="19">
        <f>IF($D958&lt;&gt;1,"",IF($G958="ROKS",SUMIFS(TblApplications[Besoin ROKS RAM (Go)],TblApplications[Cluster ROKS cible],$F958,TblApplications[Action],"À migrer",TblApplications[Déjà incluse ROKS],"Non",TblApplications[Mois prov (calc)],"&lt;="&amp;$E958),SUMIFS(TblApplications[RAM IKS libérable (Go)],TblApplications[Cluster IKS source],$F958,TblApplications[Mois lib (calc)],"&lt;="&amp;$E958)))</f>
        <v>0</v>
      </c>
      <c r="R958" s="19">
        <f t="shared" si="241"/>
        <v>192</v>
      </c>
      <c r="S958" s="19">
        <f t="shared" si="242"/>
        <v>1536</v>
      </c>
      <c r="T958" s="19">
        <f t="shared" si="243"/>
        <v>6</v>
      </c>
      <c r="U958" s="19">
        <f t="shared" si="244"/>
        <v>192</v>
      </c>
      <c r="V958" s="19">
        <f t="shared" si="245"/>
        <v>1536</v>
      </c>
      <c r="W958" s="73">
        <f t="shared" si="246"/>
        <v>8526</v>
      </c>
      <c r="X958" s="19">
        <f>IF($D958&lt;&gt;1,"",IF($G958="ROKS",$R958,IF($AI958=1,0,MAX($N958,$L958-SUMIFS(TblApplications[CPU IKS libérable (vCPU)],TblApplications[Cluster IKS source],$F958,TblApplications[Action],"À migrer",TblApplications[Mois prov (calc)],"&lt;="&amp;$E958)-SUMIFS(TblApplications[CPU IKS libérable (vCPU)],TblApplications[Cluster IKS source],$F958,TblApplications[Action],"À décommissionner",TblApplications[Mois lib (calc)],"&lt;="&amp;$E958)))))</f>
        <v>192</v>
      </c>
      <c r="Y958" s="19">
        <f>IF($D958&lt;&gt;1,"",IF($G958="ROKS",$S958,IF($AI958=1,0,MAX($O958,$M958-SUMIFS(TblApplications[RAM IKS libérable (Go)],TblApplications[Cluster IKS source],$F958,TblApplications[Action],"À migrer",TblApplications[Mois prov (calc)],"&lt;="&amp;$E958)-SUMIFS(TblApplications[RAM IKS libérable (Go)],TblApplications[Cluster IKS source],$F958,TblApplications[Action],"À décommissionner",TblApplications[Mois lib (calc)],"&lt;="&amp;$E958)))))</f>
        <v>1536</v>
      </c>
      <c r="Z958" s="19">
        <f t="shared" si="247"/>
        <v>6</v>
      </c>
      <c r="AA958" s="73">
        <f t="shared" si="248"/>
        <v>8526</v>
      </c>
      <c r="AB958" s="19">
        <f t="shared" si="249"/>
        <v>6</v>
      </c>
      <c r="AC958" s="73">
        <f t="shared" si="250"/>
        <v>8526</v>
      </c>
      <c r="AD958" s="19">
        <f t="shared" si="251"/>
        <v>0</v>
      </c>
      <c r="AE958" s="19">
        <f t="shared" si="252"/>
        <v>0</v>
      </c>
      <c r="AF958" s="19" t="str">
        <f>IF($D958&lt;&gt;1,"",IF(INDEX(TblClusters[Environnement],$B958)="","(vide)",INDEX(TblClusters[Environnement],$B958)))</f>
        <v>PRD</v>
      </c>
      <c r="AG958" s="19">
        <f t="shared" si="253"/>
        <v>345.6</v>
      </c>
      <c r="AH958" s="19">
        <f t="shared" si="254"/>
        <v>24.670138888888886</v>
      </c>
      <c r="AI958" s="19">
        <f>IF($D958&lt;&gt;1,"",IF(AND($G958="IKS",ISNUMBER(INDEX(TblClusters[Fermeture retenue],$B958))),IF($E958&gt;=INDEX(TblClusters[Fermeture retenue],$B958),1,0),0))</f>
        <v>0</v>
      </c>
    </row>
    <row r="959" spans="1:35" x14ac:dyDescent="0.2">
      <c r="A959" s="19">
        <v>954</v>
      </c>
      <c r="B959" s="19">
        <f t="shared" si="238"/>
        <v>27</v>
      </c>
      <c r="C959" s="19">
        <f t="shared" si="239"/>
        <v>18</v>
      </c>
      <c r="D959" s="19">
        <f>IF($C959&gt;p_horizon,0,IFERROR(IF(AND(INDEX(TblClusters[Cluster],$B959)&lt;&gt;"",ISNUMBER(INDEX(TblClusters[CPU initial (vCPU)],$B959)),ISNUMBER(INDEX(TblClusters[CPU min (vCPU)],$B959)),OR(INDEX(TblClusters[Plateforme],$B959)="IKS",INDEX(TblClusters[Plateforme],$B959)="ROKS")),1,0),0))</f>
        <v>1</v>
      </c>
      <c r="E959" s="72">
        <f t="shared" si="240"/>
        <v>46813</v>
      </c>
      <c r="F959" s="19" t="str">
        <f>IF($D959=1,INDEX(TblClusters[Cluster],$B959),"")</f>
        <v>ku002i000908</v>
      </c>
      <c r="G959" s="19" t="str">
        <f>IF($D959=1,INDEX(TblClusters[Plateforme],$B959),"")</f>
        <v>IKS</v>
      </c>
      <c r="H959" s="19">
        <f>IF($D959=1,INDEX(TblClusters[vCPU par nœud],$B959),"")</f>
        <v>32</v>
      </c>
      <c r="I959" s="19">
        <f>IF($D959=1,INDEX(TblClusters[RAM par nœud (Go)],$B959),"")</f>
        <v>256</v>
      </c>
      <c r="J959" s="19">
        <f>IF($D959=1,INDEX(TblClusters[Workers min],$B959),"")</f>
        <v>3</v>
      </c>
      <c r="K959" s="73">
        <f>IF($D959=1,INDEX(TblClusters[Tarif par nœud],$B959),"")</f>
        <v>1421</v>
      </c>
      <c r="L959" s="19">
        <f>IF($D959=1,INDEX(TblClusters[CPU initial (vCPU)],$B959),"")</f>
        <v>192</v>
      </c>
      <c r="M959" s="19">
        <f>IF($D959=1,INDEX(TblClusters[RAM initiale (Go)],$B959),"")</f>
        <v>1536</v>
      </c>
      <c r="N959" s="19">
        <f>IF($D959=1,INDEX(TblClusters[CPU min (vCPU)],$B959),"")</f>
        <v>96</v>
      </c>
      <c r="O959" s="19">
        <f>IF($D959=1,INDEX(TblClusters[RAM min (Go)],$B959),"")</f>
        <v>768</v>
      </c>
      <c r="P959" s="19">
        <f>IF($D959&lt;&gt;1,"",IF($G959="ROKS",SUMIFS(TblApplications[Besoin ROKS CPU (vCPU)],TblApplications[Cluster ROKS cible],$F959,TblApplications[Action],"À migrer",TblApplications[Déjà incluse ROKS],"Non",TblApplications[Mois prov (calc)],"&lt;="&amp;$E959),SUMIFS(TblApplications[CPU IKS libérable (vCPU)],TblApplications[Cluster IKS source],$F959,TblApplications[Mois lib (calc)],"&lt;="&amp;$E959)))</f>
        <v>0</v>
      </c>
      <c r="Q959" s="19">
        <f>IF($D959&lt;&gt;1,"",IF($G959="ROKS",SUMIFS(TblApplications[Besoin ROKS RAM (Go)],TblApplications[Cluster ROKS cible],$F959,TblApplications[Action],"À migrer",TblApplications[Déjà incluse ROKS],"Non",TblApplications[Mois prov (calc)],"&lt;="&amp;$E959),SUMIFS(TblApplications[RAM IKS libérable (Go)],TblApplications[Cluster IKS source],$F959,TblApplications[Mois lib (calc)],"&lt;="&amp;$E959)))</f>
        <v>0</v>
      </c>
      <c r="R959" s="19">
        <f t="shared" si="241"/>
        <v>192</v>
      </c>
      <c r="S959" s="19">
        <f t="shared" si="242"/>
        <v>1536</v>
      </c>
      <c r="T959" s="19">
        <f t="shared" si="243"/>
        <v>6</v>
      </c>
      <c r="U959" s="19">
        <f t="shared" si="244"/>
        <v>192</v>
      </c>
      <c r="V959" s="19">
        <f t="shared" si="245"/>
        <v>1536</v>
      </c>
      <c r="W959" s="73">
        <f t="shared" si="246"/>
        <v>8526</v>
      </c>
      <c r="X959" s="19">
        <f>IF($D959&lt;&gt;1,"",IF($G959="ROKS",$R959,IF($AI959=1,0,MAX($N959,$L959-SUMIFS(TblApplications[CPU IKS libérable (vCPU)],TblApplications[Cluster IKS source],$F959,TblApplications[Action],"À migrer",TblApplications[Mois prov (calc)],"&lt;="&amp;$E959)-SUMIFS(TblApplications[CPU IKS libérable (vCPU)],TblApplications[Cluster IKS source],$F959,TblApplications[Action],"À décommissionner",TblApplications[Mois lib (calc)],"&lt;="&amp;$E959)))))</f>
        <v>192</v>
      </c>
      <c r="Y959" s="19">
        <f>IF($D959&lt;&gt;1,"",IF($G959="ROKS",$S959,IF($AI959=1,0,MAX($O959,$M959-SUMIFS(TblApplications[RAM IKS libérable (Go)],TblApplications[Cluster IKS source],$F959,TblApplications[Action],"À migrer",TblApplications[Mois prov (calc)],"&lt;="&amp;$E959)-SUMIFS(TblApplications[RAM IKS libérable (Go)],TblApplications[Cluster IKS source],$F959,TblApplications[Action],"À décommissionner",TblApplications[Mois lib (calc)],"&lt;="&amp;$E959)))))</f>
        <v>1536</v>
      </c>
      <c r="Z959" s="19">
        <f t="shared" si="247"/>
        <v>6</v>
      </c>
      <c r="AA959" s="73">
        <f t="shared" si="248"/>
        <v>8526</v>
      </c>
      <c r="AB959" s="19">
        <f t="shared" si="249"/>
        <v>6</v>
      </c>
      <c r="AC959" s="73">
        <f t="shared" si="250"/>
        <v>8526</v>
      </c>
      <c r="AD959" s="19">
        <f t="shared" si="251"/>
        <v>0</v>
      </c>
      <c r="AE959" s="19">
        <f t="shared" si="252"/>
        <v>0</v>
      </c>
      <c r="AF959" s="19" t="str">
        <f>IF($D959&lt;&gt;1,"",IF(INDEX(TblClusters[Environnement],$B959)="","(vide)",INDEX(TblClusters[Environnement],$B959)))</f>
        <v>PRD</v>
      </c>
      <c r="AG959" s="19">
        <f t="shared" si="253"/>
        <v>345.6</v>
      </c>
      <c r="AH959" s="19">
        <f t="shared" si="254"/>
        <v>24.670138888888886</v>
      </c>
      <c r="AI959" s="19">
        <f>IF($D959&lt;&gt;1,"",IF(AND($G959="IKS",ISNUMBER(INDEX(TblClusters[Fermeture retenue],$B959))),IF($E959&gt;=INDEX(TblClusters[Fermeture retenue],$B959),1,0),0))</f>
        <v>0</v>
      </c>
    </row>
    <row r="960" spans="1:35" x14ac:dyDescent="0.2">
      <c r="A960" s="19">
        <v>955</v>
      </c>
      <c r="B960" s="19">
        <f t="shared" si="238"/>
        <v>27</v>
      </c>
      <c r="C960" s="19">
        <f t="shared" si="239"/>
        <v>19</v>
      </c>
      <c r="D960" s="19">
        <f>IF($C960&gt;p_horizon,0,IFERROR(IF(AND(INDEX(TblClusters[Cluster],$B960)&lt;&gt;"",ISNUMBER(INDEX(TblClusters[CPU initial (vCPU)],$B960)),ISNUMBER(INDEX(TblClusters[CPU min (vCPU)],$B960)),OR(INDEX(TblClusters[Plateforme],$B960)="IKS",INDEX(TblClusters[Plateforme],$B960)="ROKS")),1,0),0))</f>
        <v>1</v>
      </c>
      <c r="E960" s="72">
        <f t="shared" si="240"/>
        <v>46844</v>
      </c>
      <c r="F960" s="19" t="str">
        <f>IF($D960=1,INDEX(TblClusters[Cluster],$B960),"")</f>
        <v>ku002i000908</v>
      </c>
      <c r="G960" s="19" t="str">
        <f>IF($D960=1,INDEX(TblClusters[Plateforme],$B960),"")</f>
        <v>IKS</v>
      </c>
      <c r="H960" s="19">
        <f>IF($D960=1,INDEX(TblClusters[vCPU par nœud],$B960),"")</f>
        <v>32</v>
      </c>
      <c r="I960" s="19">
        <f>IF($D960=1,INDEX(TblClusters[RAM par nœud (Go)],$B960),"")</f>
        <v>256</v>
      </c>
      <c r="J960" s="19">
        <f>IF($D960=1,INDEX(TblClusters[Workers min],$B960),"")</f>
        <v>3</v>
      </c>
      <c r="K960" s="73">
        <f>IF($D960=1,INDEX(TblClusters[Tarif par nœud],$B960),"")</f>
        <v>1421</v>
      </c>
      <c r="L960" s="19">
        <f>IF($D960=1,INDEX(TblClusters[CPU initial (vCPU)],$B960),"")</f>
        <v>192</v>
      </c>
      <c r="M960" s="19">
        <f>IF($D960=1,INDEX(TblClusters[RAM initiale (Go)],$B960),"")</f>
        <v>1536</v>
      </c>
      <c r="N960" s="19">
        <f>IF($D960=1,INDEX(TblClusters[CPU min (vCPU)],$B960),"")</f>
        <v>96</v>
      </c>
      <c r="O960" s="19">
        <f>IF($D960=1,INDEX(TblClusters[RAM min (Go)],$B960),"")</f>
        <v>768</v>
      </c>
      <c r="P960" s="19">
        <f>IF($D960&lt;&gt;1,"",IF($G960="ROKS",SUMIFS(TblApplications[Besoin ROKS CPU (vCPU)],TblApplications[Cluster ROKS cible],$F960,TblApplications[Action],"À migrer",TblApplications[Déjà incluse ROKS],"Non",TblApplications[Mois prov (calc)],"&lt;="&amp;$E960),SUMIFS(TblApplications[CPU IKS libérable (vCPU)],TblApplications[Cluster IKS source],$F960,TblApplications[Mois lib (calc)],"&lt;="&amp;$E960)))</f>
        <v>0</v>
      </c>
      <c r="Q960" s="19">
        <f>IF($D960&lt;&gt;1,"",IF($G960="ROKS",SUMIFS(TblApplications[Besoin ROKS RAM (Go)],TblApplications[Cluster ROKS cible],$F960,TblApplications[Action],"À migrer",TblApplications[Déjà incluse ROKS],"Non",TblApplications[Mois prov (calc)],"&lt;="&amp;$E960),SUMIFS(TblApplications[RAM IKS libérable (Go)],TblApplications[Cluster IKS source],$F960,TblApplications[Mois lib (calc)],"&lt;="&amp;$E960)))</f>
        <v>0</v>
      </c>
      <c r="R960" s="19">
        <f t="shared" si="241"/>
        <v>192</v>
      </c>
      <c r="S960" s="19">
        <f t="shared" si="242"/>
        <v>1536</v>
      </c>
      <c r="T960" s="19">
        <f t="shared" si="243"/>
        <v>6</v>
      </c>
      <c r="U960" s="19">
        <f t="shared" si="244"/>
        <v>192</v>
      </c>
      <c r="V960" s="19">
        <f t="shared" si="245"/>
        <v>1536</v>
      </c>
      <c r="W960" s="73">
        <f t="shared" si="246"/>
        <v>8526</v>
      </c>
      <c r="X960" s="19">
        <f>IF($D960&lt;&gt;1,"",IF($G960="ROKS",$R960,IF($AI960=1,0,MAX($N960,$L960-SUMIFS(TblApplications[CPU IKS libérable (vCPU)],TblApplications[Cluster IKS source],$F960,TblApplications[Action],"À migrer",TblApplications[Mois prov (calc)],"&lt;="&amp;$E960)-SUMIFS(TblApplications[CPU IKS libérable (vCPU)],TblApplications[Cluster IKS source],$F960,TblApplications[Action],"À décommissionner",TblApplications[Mois lib (calc)],"&lt;="&amp;$E960)))))</f>
        <v>192</v>
      </c>
      <c r="Y960" s="19">
        <f>IF($D960&lt;&gt;1,"",IF($G960="ROKS",$S960,IF($AI960=1,0,MAX($O960,$M960-SUMIFS(TblApplications[RAM IKS libérable (Go)],TblApplications[Cluster IKS source],$F960,TblApplications[Action],"À migrer",TblApplications[Mois prov (calc)],"&lt;="&amp;$E960)-SUMIFS(TblApplications[RAM IKS libérable (Go)],TblApplications[Cluster IKS source],$F960,TblApplications[Action],"À décommissionner",TblApplications[Mois lib (calc)],"&lt;="&amp;$E960)))))</f>
        <v>1536</v>
      </c>
      <c r="Z960" s="19">
        <f t="shared" si="247"/>
        <v>6</v>
      </c>
      <c r="AA960" s="73">
        <f t="shared" si="248"/>
        <v>8526</v>
      </c>
      <c r="AB960" s="19">
        <f t="shared" si="249"/>
        <v>6</v>
      </c>
      <c r="AC960" s="73">
        <f t="shared" si="250"/>
        <v>8526</v>
      </c>
      <c r="AD960" s="19">
        <f t="shared" si="251"/>
        <v>0</v>
      </c>
      <c r="AE960" s="19">
        <f t="shared" si="252"/>
        <v>0</v>
      </c>
      <c r="AF960" s="19" t="str">
        <f>IF($D960&lt;&gt;1,"",IF(INDEX(TblClusters[Environnement],$B960)="","(vide)",INDEX(TblClusters[Environnement],$B960)))</f>
        <v>PRD</v>
      </c>
      <c r="AG960" s="19">
        <f t="shared" si="253"/>
        <v>345.6</v>
      </c>
      <c r="AH960" s="19">
        <f t="shared" si="254"/>
        <v>24.670138888888886</v>
      </c>
      <c r="AI960" s="19">
        <f>IF($D960&lt;&gt;1,"",IF(AND($G960="IKS",ISNUMBER(INDEX(TblClusters[Fermeture retenue],$B960))),IF($E960&gt;=INDEX(TblClusters[Fermeture retenue],$B960),1,0),0))</f>
        <v>0</v>
      </c>
    </row>
    <row r="961" spans="1:35" x14ac:dyDescent="0.2">
      <c r="A961" s="19">
        <v>956</v>
      </c>
      <c r="B961" s="19">
        <f t="shared" si="238"/>
        <v>27</v>
      </c>
      <c r="C961" s="19">
        <f t="shared" si="239"/>
        <v>20</v>
      </c>
      <c r="D961" s="19">
        <f>IF($C961&gt;p_horizon,0,IFERROR(IF(AND(INDEX(TblClusters[Cluster],$B961)&lt;&gt;"",ISNUMBER(INDEX(TblClusters[CPU initial (vCPU)],$B961)),ISNUMBER(INDEX(TblClusters[CPU min (vCPU)],$B961)),OR(INDEX(TblClusters[Plateforme],$B961)="IKS",INDEX(TblClusters[Plateforme],$B961)="ROKS")),1,0),0))</f>
        <v>1</v>
      </c>
      <c r="E961" s="72">
        <f t="shared" si="240"/>
        <v>46874</v>
      </c>
      <c r="F961" s="19" t="str">
        <f>IF($D961=1,INDEX(TblClusters[Cluster],$B961),"")</f>
        <v>ku002i000908</v>
      </c>
      <c r="G961" s="19" t="str">
        <f>IF($D961=1,INDEX(TblClusters[Plateforme],$B961),"")</f>
        <v>IKS</v>
      </c>
      <c r="H961" s="19">
        <f>IF($D961=1,INDEX(TblClusters[vCPU par nœud],$B961),"")</f>
        <v>32</v>
      </c>
      <c r="I961" s="19">
        <f>IF($D961=1,INDEX(TblClusters[RAM par nœud (Go)],$B961),"")</f>
        <v>256</v>
      </c>
      <c r="J961" s="19">
        <f>IF($D961=1,INDEX(TblClusters[Workers min],$B961),"")</f>
        <v>3</v>
      </c>
      <c r="K961" s="73">
        <f>IF($D961=1,INDEX(TblClusters[Tarif par nœud],$B961),"")</f>
        <v>1421</v>
      </c>
      <c r="L961" s="19">
        <f>IF($D961=1,INDEX(TblClusters[CPU initial (vCPU)],$B961),"")</f>
        <v>192</v>
      </c>
      <c r="M961" s="19">
        <f>IF($D961=1,INDEX(TblClusters[RAM initiale (Go)],$B961),"")</f>
        <v>1536</v>
      </c>
      <c r="N961" s="19">
        <f>IF($D961=1,INDEX(TblClusters[CPU min (vCPU)],$B961),"")</f>
        <v>96</v>
      </c>
      <c r="O961" s="19">
        <f>IF($D961=1,INDEX(TblClusters[RAM min (Go)],$B961),"")</f>
        <v>768</v>
      </c>
      <c r="P961" s="19">
        <f>IF($D961&lt;&gt;1,"",IF($G961="ROKS",SUMIFS(TblApplications[Besoin ROKS CPU (vCPU)],TblApplications[Cluster ROKS cible],$F961,TblApplications[Action],"À migrer",TblApplications[Déjà incluse ROKS],"Non",TblApplications[Mois prov (calc)],"&lt;="&amp;$E961),SUMIFS(TblApplications[CPU IKS libérable (vCPU)],TblApplications[Cluster IKS source],$F961,TblApplications[Mois lib (calc)],"&lt;="&amp;$E961)))</f>
        <v>0</v>
      </c>
      <c r="Q961" s="19">
        <f>IF($D961&lt;&gt;1,"",IF($G961="ROKS",SUMIFS(TblApplications[Besoin ROKS RAM (Go)],TblApplications[Cluster ROKS cible],$F961,TblApplications[Action],"À migrer",TblApplications[Déjà incluse ROKS],"Non",TblApplications[Mois prov (calc)],"&lt;="&amp;$E961),SUMIFS(TblApplications[RAM IKS libérable (Go)],TblApplications[Cluster IKS source],$F961,TblApplications[Mois lib (calc)],"&lt;="&amp;$E961)))</f>
        <v>0</v>
      </c>
      <c r="R961" s="19">
        <f t="shared" si="241"/>
        <v>192</v>
      </c>
      <c r="S961" s="19">
        <f t="shared" si="242"/>
        <v>1536</v>
      </c>
      <c r="T961" s="19">
        <f t="shared" si="243"/>
        <v>6</v>
      </c>
      <c r="U961" s="19">
        <f t="shared" si="244"/>
        <v>192</v>
      </c>
      <c r="V961" s="19">
        <f t="shared" si="245"/>
        <v>1536</v>
      </c>
      <c r="W961" s="73">
        <f t="shared" si="246"/>
        <v>8526</v>
      </c>
      <c r="X961" s="19">
        <f>IF($D961&lt;&gt;1,"",IF($G961="ROKS",$R961,IF($AI961=1,0,MAX($N961,$L961-SUMIFS(TblApplications[CPU IKS libérable (vCPU)],TblApplications[Cluster IKS source],$F961,TblApplications[Action],"À migrer",TblApplications[Mois prov (calc)],"&lt;="&amp;$E961)-SUMIFS(TblApplications[CPU IKS libérable (vCPU)],TblApplications[Cluster IKS source],$F961,TblApplications[Action],"À décommissionner",TblApplications[Mois lib (calc)],"&lt;="&amp;$E961)))))</f>
        <v>192</v>
      </c>
      <c r="Y961" s="19">
        <f>IF($D961&lt;&gt;1,"",IF($G961="ROKS",$S961,IF($AI961=1,0,MAX($O961,$M961-SUMIFS(TblApplications[RAM IKS libérable (Go)],TblApplications[Cluster IKS source],$F961,TblApplications[Action],"À migrer",TblApplications[Mois prov (calc)],"&lt;="&amp;$E961)-SUMIFS(TblApplications[RAM IKS libérable (Go)],TblApplications[Cluster IKS source],$F961,TblApplications[Action],"À décommissionner",TblApplications[Mois lib (calc)],"&lt;="&amp;$E961)))))</f>
        <v>1536</v>
      </c>
      <c r="Z961" s="19">
        <f t="shared" si="247"/>
        <v>6</v>
      </c>
      <c r="AA961" s="73">
        <f t="shared" si="248"/>
        <v>8526</v>
      </c>
      <c r="AB961" s="19">
        <f t="shared" si="249"/>
        <v>6</v>
      </c>
      <c r="AC961" s="73">
        <f t="shared" si="250"/>
        <v>8526</v>
      </c>
      <c r="AD961" s="19">
        <f t="shared" si="251"/>
        <v>0</v>
      </c>
      <c r="AE961" s="19">
        <f t="shared" si="252"/>
        <v>0</v>
      </c>
      <c r="AF961" s="19" t="str">
        <f>IF($D961&lt;&gt;1,"",IF(INDEX(TblClusters[Environnement],$B961)="","(vide)",INDEX(TblClusters[Environnement],$B961)))</f>
        <v>PRD</v>
      </c>
      <c r="AG961" s="19">
        <f t="shared" si="253"/>
        <v>345.6</v>
      </c>
      <c r="AH961" s="19">
        <f t="shared" si="254"/>
        <v>24.670138888888886</v>
      </c>
      <c r="AI961" s="19">
        <f>IF($D961&lt;&gt;1,"",IF(AND($G961="IKS",ISNUMBER(INDEX(TblClusters[Fermeture retenue],$B961))),IF($E961&gt;=INDEX(TblClusters[Fermeture retenue],$B961),1,0),0))</f>
        <v>0</v>
      </c>
    </row>
    <row r="962" spans="1:35" x14ac:dyDescent="0.2">
      <c r="A962" s="19">
        <v>957</v>
      </c>
      <c r="B962" s="19">
        <f t="shared" si="238"/>
        <v>27</v>
      </c>
      <c r="C962" s="19">
        <f t="shared" si="239"/>
        <v>21</v>
      </c>
      <c r="D962" s="19">
        <f>IF($C962&gt;p_horizon,0,IFERROR(IF(AND(INDEX(TblClusters[Cluster],$B962)&lt;&gt;"",ISNUMBER(INDEX(TblClusters[CPU initial (vCPU)],$B962)),ISNUMBER(INDEX(TblClusters[CPU min (vCPU)],$B962)),OR(INDEX(TblClusters[Plateforme],$B962)="IKS",INDEX(TblClusters[Plateforme],$B962)="ROKS")),1,0),0))</f>
        <v>1</v>
      </c>
      <c r="E962" s="72">
        <f t="shared" si="240"/>
        <v>46905</v>
      </c>
      <c r="F962" s="19" t="str">
        <f>IF($D962=1,INDEX(TblClusters[Cluster],$B962),"")</f>
        <v>ku002i000908</v>
      </c>
      <c r="G962" s="19" t="str">
        <f>IF($D962=1,INDEX(TblClusters[Plateforme],$B962),"")</f>
        <v>IKS</v>
      </c>
      <c r="H962" s="19">
        <f>IF($D962=1,INDEX(TblClusters[vCPU par nœud],$B962),"")</f>
        <v>32</v>
      </c>
      <c r="I962" s="19">
        <f>IF($D962=1,INDEX(TblClusters[RAM par nœud (Go)],$B962),"")</f>
        <v>256</v>
      </c>
      <c r="J962" s="19">
        <f>IF($D962=1,INDEX(TblClusters[Workers min],$B962),"")</f>
        <v>3</v>
      </c>
      <c r="K962" s="73">
        <f>IF($D962=1,INDEX(TblClusters[Tarif par nœud],$B962),"")</f>
        <v>1421</v>
      </c>
      <c r="L962" s="19">
        <f>IF($D962=1,INDEX(TblClusters[CPU initial (vCPU)],$B962),"")</f>
        <v>192</v>
      </c>
      <c r="M962" s="19">
        <f>IF($D962=1,INDEX(TblClusters[RAM initiale (Go)],$B962),"")</f>
        <v>1536</v>
      </c>
      <c r="N962" s="19">
        <f>IF($D962=1,INDEX(TblClusters[CPU min (vCPU)],$B962),"")</f>
        <v>96</v>
      </c>
      <c r="O962" s="19">
        <f>IF($D962=1,INDEX(TblClusters[RAM min (Go)],$B962),"")</f>
        <v>768</v>
      </c>
      <c r="P962" s="19">
        <f>IF($D962&lt;&gt;1,"",IF($G962="ROKS",SUMIFS(TblApplications[Besoin ROKS CPU (vCPU)],TblApplications[Cluster ROKS cible],$F962,TblApplications[Action],"À migrer",TblApplications[Déjà incluse ROKS],"Non",TblApplications[Mois prov (calc)],"&lt;="&amp;$E962),SUMIFS(TblApplications[CPU IKS libérable (vCPU)],TblApplications[Cluster IKS source],$F962,TblApplications[Mois lib (calc)],"&lt;="&amp;$E962)))</f>
        <v>0</v>
      </c>
      <c r="Q962" s="19">
        <f>IF($D962&lt;&gt;1,"",IF($G962="ROKS",SUMIFS(TblApplications[Besoin ROKS RAM (Go)],TblApplications[Cluster ROKS cible],$F962,TblApplications[Action],"À migrer",TblApplications[Déjà incluse ROKS],"Non",TblApplications[Mois prov (calc)],"&lt;="&amp;$E962),SUMIFS(TblApplications[RAM IKS libérable (Go)],TblApplications[Cluster IKS source],$F962,TblApplications[Mois lib (calc)],"&lt;="&amp;$E962)))</f>
        <v>0</v>
      </c>
      <c r="R962" s="19">
        <f t="shared" si="241"/>
        <v>192</v>
      </c>
      <c r="S962" s="19">
        <f t="shared" si="242"/>
        <v>1536</v>
      </c>
      <c r="T962" s="19">
        <f t="shared" si="243"/>
        <v>6</v>
      </c>
      <c r="U962" s="19">
        <f t="shared" si="244"/>
        <v>192</v>
      </c>
      <c r="V962" s="19">
        <f t="shared" si="245"/>
        <v>1536</v>
      </c>
      <c r="W962" s="73">
        <f t="shared" si="246"/>
        <v>8526</v>
      </c>
      <c r="X962" s="19">
        <f>IF($D962&lt;&gt;1,"",IF($G962="ROKS",$R962,IF($AI962=1,0,MAX($N962,$L962-SUMIFS(TblApplications[CPU IKS libérable (vCPU)],TblApplications[Cluster IKS source],$F962,TblApplications[Action],"À migrer",TblApplications[Mois prov (calc)],"&lt;="&amp;$E962)-SUMIFS(TblApplications[CPU IKS libérable (vCPU)],TblApplications[Cluster IKS source],$F962,TblApplications[Action],"À décommissionner",TblApplications[Mois lib (calc)],"&lt;="&amp;$E962)))))</f>
        <v>192</v>
      </c>
      <c r="Y962" s="19">
        <f>IF($D962&lt;&gt;1,"",IF($G962="ROKS",$S962,IF($AI962=1,0,MAX($O962,$M962-SUMIFS(TblApplications[RAM IKS libérable (Go)],TblApplications[Cluster IKS source],$F962,TblApplications[Action],"À migrer",TblApplications[Mois prov (calc)],"&lt;="&amp;$E962)-SUMIFS(TblApplications[RAM IKS libérable (Go)],TblApplications[Cluster IKS source],$F962,TblApplications[Action],"À décommissionner",TblApplications[Mois lib (calc)],"&lt;="&amp;$E962)))))</f>
        <v>1536</v>
      </c>
      <c r="Z962" s="19">
        <f t="shared" si="247"/>
        <v>6</v>
      </c>
      <c r="AA962" s="73">
        <f t="shared" si="248"/>
        <v>8526</v>
      </c>
      <c r="AB962" s="19">
        <f t="shared" si="249"/>
        <v>6</v>
      </c>
      <c r="AC962" s="73">
        <f t="shared" si="250"/>
        <v>8526</v>
      </c>
      <c r="AD962" s="19">
        <f t="shared" si="251"/>
        <v>0</v>
      </c>
      <c r="AE962" s="19">
        <f t="shared" si="252"/>
        <v>0</v>
      </c>
      <c r="AF962" s="19" t="str">
        <f>IF($D962&lt;&gt;1,"",IF(INDEX(TblClusters[Environnement],$B962)="","(vide)",INDEX(TblClusters[Environnement],$B962)))</f>
        <v>PRD</v>
      </c>
      <c r="AG962" s="19">
        <f t="shared" si="253"/>
        <v>345.6</v>
      </c>
      <c r="AH962" s="19">
        <f t="shared" si="254"/>
        <v>24.670138888888886</v>
      </c>
      <c r="AI962" s="19">
        <f>IF($D962&lt;&gt;1,"",IF(AND($G962="IKS",ISNUMBER(INDEX(TblClusters[Fermeture retenue],$B962))),IF($E962&gt;=INDEX(TblClusters[Fermeture retenue],$B962),1,0),0))</f>
        <v>0</v>
      </c>
    </row>
    <row r="963" spans="1:35" x14ac:dyDescent="0.2">
      <c r="A963" s="19">
        <v>958</v>
      </c>
      <c r="B963" s="19">
        <f t="shared" si="238"/>
        <v>27</v>
      </c>
      <c r="C963" s="19">
        <f t="shared" si="239"/>
        <v>22</v>
      </c>
      <c r="D963" s="19">
        <f>IF($C963&gt;p_horizon,0,IFERROR(IF(AND(INDEX(TblClusters[Cluster],$B963)&lt;&gt;"",ISNUMBER(INDEX(TblClusters[CPU initial (vCPU)],$B963)),ISNUMBER(INDEX(TblClusters[CPU min (vCPU)],$B963)),OR(INDEX(TblClusters[Plateforme],$B963)="IKS",INDEX(TblClusters[Plateforme],$B963)="ROKS")),1,0),0))</f>
        <v>1</v>
      </c>
      <c r="E963" s="72">
        <f t="shared" si="240"/>
        <v>46935</v>
      </c>
      <c r="F963" s="19" t="str">
        <f>IF($D963=1,INDEX(TblClusters[Cluster],$B963),"")</f>
        <v>ku002i000908</v>
      </c>
      <c r="G963" s="19" t="str">
        <f>IF($D963=1,INDEX(TblClusters[Plateforme],$B963),"")</f>
        <v>IKS</v>
      </c>
      <c r="H963" s="19">
        <f>IF($D963=1,INDEX(TblClusters[vCPU par nœud],$B963),"")</f>
        <v>32</v>
      </c>
      <c r="I963" s="19">
        <f>IF($D963=1,INDEX(TblClusters[RAM par nœud (Go)],$B963),"")</f>
        <v>256</v>
      </c>
      <c r="J963" s="19">
        <f>IF($D963=1,INDEX(TblClusters[Workers min],$B963),"")</f>
        <v>3</v>
      </c>
      <c r="K963" s="73">
        <f>IF($D963=1,INDEX(TblClusters[Tarif par nœud],$B963),"")</f>
        <v>1421</v>
      </c>
      <c r="L963" s="19">
        <f>IF($D963=1,INDEX(TblClusters[CPU initial (vCPU)],$B963),"")</f>
        <v>192</v>
      </c>
      <c r="M963" s="19">
        <f>IF($D963=1,INDEX(TblClusters[RAM initiale (Go)],$B963),"")</f>
        <v>1536</v>
      </c>
      <c r="N963" s="19">
        <f>IF($D963=1,INDEX(TblClusters[CPU min (vCPU)],$B963),"")</f>
        <v>96</v>
      </c>
      <c r="O963" s="19">
        <f>IF($D963=1,INDEX(TblClusters[RAM min (Go)],$B963),"")</f>
        <v>768</v>
      </c>
      <c r="P963" s="19">
        <f>IF($D963&lt;&gt;1,"",IF($G963="ROKS",SUMIFS(TblApplications[Besoin ROKS CPU (vCPU)],TblApplications[Cluster ROKS cible],$F963,TblApplications[Action],"À migrer",TblApplications[Déjà incluse ROKS],"Non",TblApplications[Mois prov (calc)],"&lt;="&amp;$E963),SUMIFS(TblApplications[CPU IKS libérable (vCPU)],TblApplications[Cluster IKS source],$F963,TblApplications[Mois lib (calc)],"&lt;="&amp;$E963)))</f>
        <v>0</v>
      </c>
      <c r="Q963" s="19">
        <f>IF($D963&lt;&gt;1,"",IF($G963="ROKS",SUMIFS(TblApplications[Besoin ROKS RAM (Go)],TblApplications[Cluster ROKS cible],$F963,TblApplications[Action],"À migrer",TblApplications[Déjà incluse ROKS],"Non",TblApplications[Mois prov (calc)],"&lt;="&amp;$E963),SUMIFS(TblApplications[RAM IKS libérable (Go)],TblApplications[Cluster IKS source],$F963,TblApplications[Mois lib (calc)],"&lt;="&amp;$E963)))</f>
        <v>0</v>
      </c>
      <c r="R963" s="19">
        <f t="shared" si="241"/>
        <v>192</v>
      </c>
      <c r="S963" s="19">
        <f t="shared" si="242"/>
        <v>1536</v>
      </c>
      <c r="T963" s="19">
        <f t="shared" si="243"/>
        <v>6</v>
      </c>
      <c r="U963" s="19">
        <f t="shared" si="244"/>
        <v>192</v>
      </c>
      <c r="V963" s="19">
        <f t="shared" si="245"/>
        <v>1536</v>
      </c>
      <c r="W963" s="73">
        <f t="shared" si="246"/>
        <v>8526</v>
      </c>
      <c r="X963" s="19">
        <f>IF($D963&lt;&gt;1,"",IF($G963="ROKS",$R963,IF($AI963=1,0,MAX($N963,$L963-SUMIFS(TblApplications[CPU IKS libérable (vCPU)],TblApplications[Cluster IKS source],$F963,TblApplications[Action],"À migrer",TblApplications[Mois prov (calc)],"&lt;="&amp;$E963)-SUMIFS(TblApplications[CPU IKS libérable (vCPU)],TblApplications[Cluster IKS source],$F963,TblApplications[Action],"À décommissionner",TblApplications[Mois lib (calc)],"&lt;="&amp;$E963)))))</f>
        <v>192</v>
      </c>
      <c r="Y963" s="19">
        <f>IF($D963&lt;&gt;1,"",IF($G963="ROKS",$S963,IF($AI963=1,0,MAX($O963,$M963-SUMIFS(TblApplications[RAM IKS libérable (Go)],TblApplications[Cluster IKS source],$F963,TblApplications[Action],"À migrer",TblApplications[Mois prov (calc)],"&lt;="&amp;$E963)-SUMIFS(TblApplications[RAM IKS libérable (Go)],TblApplications[Cluster IKS source],$F963,TblApplications[Action],"À décommissionner",TblApplications[Mois lib (calc)],"&lt;="&amp;$E963)))))</f>
        <v>1536</v>
      </c>
      <c r="Z963" s="19">
        <f t="shared" si="247"/>
        <v>6</v>
      </c>
      <c r="AA963" s="73">
        <f t="shared" si="248"/>
        <v>8526</v>
      </c>
      <c r="AB963" s="19">
        <f t="shared" si="249"/>
        <v>6</v>
      </c>
      <c r="AC963" s="73">
        <f t="shared" si="250"/>
        <v>8526</v>
      </c>
      <c r="AD963" s="19">
        <f t="shared" si="251"/>
        <v>0</v>
      </c>
      <c r="AE963" s="19">
        <f t="shared" si="252"/>
        <v>0</v>
      </c>
      <c r="AF963" s="19" t="str">
        <f>IF($D963&lt;&gt;1,"",IF(INDEX(TblClusters[Environnement],$B963)="","(vide)",INDEX(TblClusters[Environnement],$B963)))</f>
        <v>PRD</v>
      </c>
      <c r="AG963" s="19">
        <f t="shared" si="253"/>
        <v>345.6</v>
      </c>
      <c r="AH963" s="19">
        <f t="shared" si="254"/>
        <v>24.670138888888886</v>
      </c>
      <c r="AI963" s="19">
        <f>IF($D963&lt;&gt;1,"",IF(AND($G963="IKS",ISNUMBER(INDEX(TblClusters[Fermeture retenue],$B963))),IF($E963&gt;=INDEX(TblClusters[Fermeture retenue],$B963),1,0),0))</f>
        <v>0</v>
      </c>
    </row>
    <row r="964" spans="1:35" x14ac:dyDescent="0.2">
      <c r="A964" s="19">
        <v>959</v>
      </c>
      <c r="B964" s="19">
        <f t="shared" si="238"/>
        <v>27</v>
      </c>
      <c r="C964" s="19">
        <f t="shared" si="239"/>
        <v>23</v>
      </c>
      <c r="D964" s="19">
        <f>IF($C964&gt;p_horizon,0,IFERROR(IF(AND(INDEX(TblClusters[Cluster],$B964)&lt;&gt;"",ISNUMBER(INDEX(TblClusters[CPU initial (vCPU)],$B964)),ISNUMBER(INDEX(TblClusters[CPU min (vCPU)],$B964)),OR(INDEX(TblClusters[Plateforme],$B964)="IKS",INDEX(TblClusters[Plateforme],$B964)="ROKS")),1,0),0))</f>
        <v>1</v>
      </c>
      <c r="E964" s="72">
        <f t="shared" si="240"/>
        <v>46966</v>
      </c>
      <c r="F964" s="19" t="str">
        <f>IF($D964=1,INDEX(TblClusters[Cluster],$B964),"")</f>
        <v>ku002i000908</v>
      </c>
      <c r="G964" s="19" t="str">
        <f>IF($D964=1,INDEX(TblClusters[Plateforme],$B964),"")</f>
        <v>IKS</v>
      </c>
      <c r="H964" s="19">
        <f>IF($D964=1,INDEX(TblClusters[vCPU par nœud],$B964),"")</f>
        <v>32</v>
      </c>
      <c r="I964" s="19">
        <f>IF($D964=1,INDEX(TblClusters[RAM par nœud (Go)],$B964),"")</f>
        <v>256</v>
      </c>
      <c r="J964" s="19">
        <f>IF($D964=1,INDEX(TblClusters[Workers min],$B964),"")</f>
        <v>3</v>
      </c>
      <c r="K964" s="73">
        <f>IF($D964=1,INDEX(TblClusters[Tarif par nœud],$B964),"")</f>
        <v>1421</v>
      </c>
      <c r="L964" s="19">
        <f>IF($D964=1,INDEX(TblClusters[CPU initial (vCPU)],$B964),"")</f>
        <v>192</v>
      </c>
      <c r="M964" s="19">
        <f>IF($D964=1,INDEX(TblClusters[RAM initiale (Go)],$B964),"")</f>
        <v>1536</v>
      </c>
      <c r="N964" s="19">
        <f>IF($D964=1,INDEX(TblClusters[CPU min (vCPU)],$B964),"")</f>
        <v>96</v>
      </c>
      <c r="O964" s="19">
        <f>IF($D964=1,INDEX(TblClusters[RAM min (Go)],$B964),"")</f>
        <v>768</v>
      </c>
      <c r="P964" s="19">
        <f>IF($D964&lt;&gt;1,"",IF($G964="ROKS",SUMIFS(TblApplications[Besoin ROKS CPU (vCPU)],TblApplications[Cluster ROKS cible],$F964,TblApplications[Action],"À migrer",TblApplications[Déjà incluse ROKS],"Non",TblApplications[Mois prov (calc)],"&lt;="&amp;$E964),SUMIFS(TblApplications[CPU IKS libérable (vCPU)],TblApplications[Cluster IKS source],$F964,TblApplications[Mois lib (calc)],"&lt;="&amp;$E964)))</f>
        <v>0</v>
      </c>
      <c r="Q964" s="19">
        <f>IF($D964&lt;&gt;1,"",IF($G964="ROKS",SUMIFS(TblApplications[Besoin ROKS RAM (Go)],TblApplications[Cluster ROKS cible],$F964,TblApplications[Action],"À migrer",TblApplications[Déjà incluse ROKS],"Non",TblApplications[Mois prov (calc)],"&lt;="&amp;$E964),SUMIFS(TblApplications[RAM IKS libérable (Go)],TblApplications[Cluster IKS source],$F964,TblApplications[Mois lib (calc)],"&lt;="&amp;$E964)))</f>
        <v>0</v>
      </c>
      <c r="R964" s="19">
        <f t="shared" si="241"/>
        <v>192</v>
      </c>
      <c r="S964" s="19">
        <f t="shared" si="242"/>
        <v>1536</v>
      </c>
      <c r="T964" s="19">
        <f t="shared" si="243"/>
        <v>6</v>
      </c>
      <c r="U964" s="19">
        <f t="shared" si="244"/>
        <v>192</v>
      </c>
      <c r="V964" s="19">
        <f t="shared" si="245"/>
        <v>1536</v>
      </c>
      <c r="W964" s="73">
        <f t="shared" si="246"/>
        <v>8526</v>
      </c>
      <c r="X964" s="19">
        <f>IF($D964&lt;&gt;1,"",IF($G964="ROKS",$R964,IF($AI964=1,0,MAX($N964,$L964-SUMIFS(TblApplications[CPU IKS libérable (vCPU)],TblApplications[Cluster IKS source],$F964,TblApplications[Action],"À migrer",TblApplications[Mois prov (calc)],"&lt;="&amp;$E964)-SUMIFS(TblApplications[CPU IKS libérable (vCPU)],TblApplications[Cluster IKS source],$F964,TblApplications[Action],"À décommissionner",TblApplications[Mois lib (calc)],"&lt;="&amp;$E964)))))</f>
        <v>192</v>
      </c>
      <c r="Y964" s="19">
        <f>IF($D964&lt;&gt;1,"",IF($G964="ROKS",$S964,IF($AI964=1,0,MAX($O964,$M964-SUMIFS(TblApplications[RAM IKS libérable (Go)],TblApplications[Cluster IKS source],$F964,TblApplications[Action],"À migrer",TblApplications[Mois prov (calc)],"&lt;="&amp;$E964)-SUMIFS(TblApplications[RAM IKS libérable (Go)],TblApplications[Cluster IKS source],$F964,TblApplications[Action],"À décommissionner",TblApplications[Mois lib (calc)],"&lt;="&amp;$E964)))))</f>
        <v>1536</v>
      </c>
      <c r="Z964" s="19">
        <f t="shared" si="247"/>
        <v>6</v>
      </c>
      <c r="AA964" s="73">
        <f t="shared" si="248"/>
        <v>8526</v>
      </c>
      <c r="AB964" s="19">
        <f t="shared" si="249"/>
        <v>6</v>
      </c>
      <c r="AC964" s="73">
        <f t="shared" si="250"/>
        <v>8526</v>
      </c>
      <c r="AD964" s="19">
        <f t="shared" si="251"/>
        <v>0</v>
      </c>
      <c r="AE964" s="19">
        <f t="shared" si="252"/>
        <v>0</v>
      </c>
      <c r="AF964" s="19" t="str">
        <f>IF($D964&lt;&gt;1,"",IF(INDEX(TblClusters[Environnement],$B964)="","(vide)",INDEX(TblClusters[Environnement],$B964)))</f>
        <v>PRD</v>
      </c>
      <c r="AG964" s="19">
        <f t="shared" si="253"/>
        <v>345.6</v>
      </c>
      <c r="AH964" s="19">
        <f t="shared" si="254"/>
        <v>24.670138888888886</v>
      </c>
      <c r="AI964" s="19">
        <f>IF($D964&lt;&gt;1,"",IF(AND($G964="IKS",ISNUMBER(INDEX(TblClusters[Fermeture retenue],$B964))),IF($E964&gt;=INDEX(TblClusters[Fermeture retenue],$B964),1,0),0))</f>
        <v>0</v>
      </c>
    </row>
    <row r="965" spans="1:35" x14ac:dyDescent="0.2">
      <c r="A965" s="19">
        <v>960</v>
      </c>
      <c r="B965" s="19">
        <f t="shared" si="238"/>
        <v>27</v>
      </c>
      <c r="C965" s="19">
        <f t="shared" si="239"/>
        <v>24</v>
      </c>
      <c r="D965" s="19">
        <f>IF($C965&gt;p_horizon,0,IFERROR(IF(AND(INDEX(TblClusters[Cluster],$B965)&lt;&gt;"",ISNUMBER(INDEX(TblClusters[CPU initial (vCPU)],$B965)),ISNUMBER(INDEX(TblClusters[CPU min (vCPU)],$B965)),OR(INDEX(TblClusters[Plateforme],$B965)="IKS",INDEX(TblClusters[Plateforme],$B965)="ROKS")),1,0),0))</f>
        <v>1</v>
      </c>
      <c r="E965" s="72">
        <f t="shared" si="240"/>
        <v>46997</v>
      </c>
      <c r="F965" s="19" t="str">
        <f>IF($D965=1,INDEX(TblClusters[Cluster],$B965),"")</f>
        <v>ku002i000908</v>
      </c>
      <c r="G965" s="19" t="str">
        <f>IF($D965=1,INDEX(TblClusters[Plateforme],$B965),"")</f>
        <v>IKS</v>
      </c>
      <c r="H965" s="19">
        <f>IF($D965=1,INDEX(TblClusters[vCPU par nœud],$B965),"")</f>
        <v>32</v>
      </c>
      <c r="I965" s="19">
        <f>IF($D965=1,INDEX(TblClusters[RAM par nœud (Go)],$B965),"")</f>
        <v>256</v>
      </c>
      <c r="J965" s="19">
        <f>IF($D965=1,INDEX(TblClusters[Workers min],$B965),"")</f>
        <v>3</v>
      </c>
      <c r="K965" s="73">
        <f>IF($D965=1,INDEX(TblClusters[Tarif par nœud],$B965),"")</f>
        <v>1421</v>
      </c>
      <c r="L965" s="19">
        <f>IF($D965=1,INDEX(TblClusters[CPU initial (vCPU)],$B965),"")</f>
        <v>192</v>
      </c>
      <c r="M965" s="19">
        <f>IF($D965=1,INDEX(TblClusters[RAM initiale (Go)],$B965),"")</f>
        <v>1536</v>
      </c>
      <c r="N965" s="19">
        <f>IF($D965=1,INDEX(TblClusters[CPU min (vCPU)],$B965),"")</f>
        <v>96</v>
      </c>
      <c r="O965" s="19">
        <f>IF($D965=1,INDEX(TblClusters[RAM min (Go)],$B965),"")</f>
        <v>768</v>
      </c>
      <c r="P965" s="19">
        <f>IF($D965&lt;&gt;1,"",IF($G965="ROKS",SUMIFS(TblApplications[Besoin ROKS CPU (vCPU)],TblApplications[Cluster ROKS cible],$F965,TblApplications[Action],"À migrer",TblApplications[Déjà incluse ROKS],"Non",TblApplications[Mois prov (calc)],"&lt;="&amp;$E965),SUMIFS(TblApplications[CPU IKS libérable (vCPU)],TblApplications[Cluster IKS source],$F965,TblApplications[Mois lib (calc)],"&lt;="&amp;$E965)))</f>
        <v>0</v>
      </c>
      <c r="Q965" s="19">
        <f>IF($D965&lt;&gt;1,"",IF($G965="ROKS",SUMIFS(TblApplications[Besoin ROKS RAM (Go)],TblApplications[Cluster ROKS cible],$F965,TblApplications[Action],"À migrer",TblApplications[Déjà incluse ROKS],"Non",TblApplications[Mois prov (calc)],"&lt;="&amp;$E965),SUMIFS(TblApplications[RAM IKS libérable (Go)],TblApplications[Cluster IKS source],$F965,TblApplications[Mois lib (calc)],"&lt;="&amp;$E965)))</f>
        <v>0</v>
      </c>
      <c r="R965" s="19">
        <f t="shared" si="241"/>
        <v>192</v>
      </c>
      <c r="S965" s="19">
        <f t="shared" si="242"/>
        <v>1536</v>
      </c>
      <c r="T965" s="19">
        <f t="shared" si="243"/>
        <v>6</v>
      </c>
      <c r="U965" s="19">
        <f t="shared" si="244"/>
        <v>192</v>
      </c>
      <c r="V965" s="19">
        <f t="shared" si="245"/>
        <v>1536</v>
      </c>
      <c r="W965" s="73">
        <f t="shared" si="246"/>
        <v>8526</v>
      </c>
      <c r="X965" s="19">
        <f>IF($D965&lt;&gt;1,"",IF($G965="ROKS",$R965,IF($AI965=1,0,MAX($N965,$L965-SUMIFS(TblApplications[CPU IKS libérable (vCPU)],TblApplications[Cluster IKS source],$F965,TblApplications[Action],"À migrer",TblApplications[Mois prov (calc)],"&lt;="&amp;$E965)-SUMIFS(TblApplications[CPU IKS libérable (vCPU)],TblApplications[Cluster IKS source],$F965,TblApplications[Action],"À décommissionner",TblApplications[Mois lib (calc)],"&lt;="&amp;$E965)))))</f>
        <v>192</v>
      </c>
      <c r="Y965" s="19">
        <f>IF($D965&lt;&gt;1,"",IF($G965="ROKS",$S965,IF($AI965=1,0,MAX($O965,$M965-SUMIFS(TblApplications[RAM IKS libérable (Go)],TblApplications[Cluster IKS source],$F965,TblApplications[Action],"À migrer",TblApplications[Mois prov (calc)],"&lt;="&amp;$E965)-SUMIFS(TblApplications[RAM IKS libérable (Go)],TblApplications[Cluster IKS source],$F965,TblApplications[Action],"À décommissionner",TblApplications[Mois lib (calc)],"&lt;="&amp;$E965)))))</f>
        <v>1536</v>
      </c>
      <c r="Z965" s="19">
        <f t="shared" si="247"/>
        <v>6</v>
      </c>
      <c r="AA965" s="73">
        <f t="shared" si="248"/>
        <v>8526</v>
      </c>
      <c r="AB965" s="19">
        <f t="shared" si="249"/>
        <v>6</v>
      </c>
      <c r="AC965" s="73">
        <f t="shared" si="250"/>
        <v>8526</v>
      </c>
      <c r="AD965" s="19">
        <f t="shared" si="251"/>
        <v>0</v>
      </c>
      <c r="AE965" s="19">
        <f t="shared" si="252"/>
        <v>0</v>
      </c>
      <c r="AF965" s="19" t="str">
        <f>IF($D965&lt;&gt;1,"",IF(INDEX(TblClusters[Environnement],$B965)="","(vide)",INDEX(TblClusters[Environnement],$B965)))</f>
        <v>PRD</v>
      </c>
      <c r="AG965" s="19">
        <f t="shared" si="253"/>
        <v>345.6</v>
      </c>
      <c r="AH965" s="19">
        <f t="shared" si="254"/>
        <v>24.670138888888886</v>
      </c>
      <c r="AI965" s="19">
        <f>IF($D965&lt;&gt;1,"",IF(AND($G965="IKS",ISNUMBER(INDEX(TblClusters[Fermeture retenue],$B965))),IF($E965&gt;=INDEX(TblClusters[Fermeture retenue],$B965),1,0),0))</f>
        <v>0</v>
      </c>
    </row>
    <row r="966" spans="1:35" x14ac:dyDescent="0.2">
      <c r="A966" s="19">
        <v>961</v>
      </c>
      <c r="B966" s="19">
        <f t="shared" ref="B966:B1029" si="255">INT(($A966-1)/36)+1</f>
        <v>27</v>
      </c>
      <c r="C966" s="19">
        <f t="shared" ref="C966:C1029" si="256">MOD($A966-1,36)+1</f>
        <v>25</v>
      </c>
      <c r="D966" s="19">
        <f>IF($C966&gt;p_horizon,0,IFERROR(IF(AND(INDEX(TblClusters[Cluster],$B966)&lt;&gt;"",ISNUMBER(INDEX(TblClusters[CPU initial (vCPU)],$B966)),ISNUMBER(INDEX(TblClusters[CPU min (vCPU)],$B966)),OR(INDEX(TblClusters[Plateforme],$B966)="IKS",INDEX(TblClusters[Plateforme],$B966)="ROKS")),1,0),0))</f>
        <v>1</v>
      </c>
      <c r="E966" s="72">
        <f t="shared" ref="E966:E1029" si="257">IF($D966=1,EDATE(p_debut,$C966-1),"")</f>
        <v>47027</v>
      </c>
      <c r="F966" s="19" t="str">
        <f>IF($D966=1,INDEX(TblClusters[Cluster],$B966),"")</f>
        <v>ku002i000908</v>
      </c>
      <c r="G966" s="19" t="str">
        <f>IF($D966=1,INDEX(TblClusters[Plateforme],$B966),"")</f>
        <v>IKS</v>
      </c>
      <c r="H966" s="19">
        <f>IF($D966=1,INDEX(TblClusters[vCPU par nœud],$B966),"")</f>
        <v>32</v>
      </c>
      <c r="I966" s="19">
        <f>IF($D966=1,INDEX(TblClusters[RAM par nœud (Go)],$B966),"")</f>
        <v>256</v>
      </c>
      <c r="J966" s="19">
        <f>IF($D966=1,INDEX(TblClusters[Workers min],$B966),"")</f>
        <v>3</v>
      </c>
      <c r="K966" s="73">
        <f>IF($D966=1,INDEX(TblClusters[Tarif par nœud],$B966),"")</f>
        <v>1421</v>
      </c>
      <c r="L966" s="19">
        <f>IF($D966=1,INDEX(TblClusters[CPU initial (vCPU)],$B966),"")</f>
        <v>192</v>
      </c>
      <c r="M966" s="19">
        <f>IF($D966=1,INDEX(TblClusters[RAM initiale (Go)],$B966),"")</f>
        <v>1536</v>
      </c>
      <c r="N966" s="19">
        <f>IF($D966=1,INDEX(TblClusters[CPU min (vCPU)],$B966),"")</f>
        <v>96</v>
      </c>
      <c r="O966" s="19">
        <f>IF($D966=1,INDEX(TblClusters[RAM min (Go)],$B966),"")</f>
        <v>768</v>
      </c>
      <c r="P966" s="19">
        <f>IF($D966&lt;&gt;1,"",IF($G966="ROKS",SUMIFS(TblApplications[Besoin ROKS CPU (vCPU)],TblApplications[Cluster ROKS cible],$F966,TblApplications[Action],"À migrer",TblApplications[Déjà incluse ROKS],"Non",TblApplications[Mois prov (calc)],"&lt;="&amp;$E966),SUMIFS(TblApplications[CPU IKS libérable (vCPU)],TblApplications[Cluster IKS source],$F966,TblApplications[Mois lib (calc)],"&lt;="&amp;$E966)))</f>
        <v>0</v>
      </c>
      <c r="Q966" s="19">
        <f>IF($D966&lt;&gt;1,"",IF($G966="ROKS",SUMIFS(TblApplications[Besoin ROKS RAM (Go)],TblApplications[Cluster ROKS cible],$F966,TblApplications[Action],"À migrer",TblApplications[Déjà incluse ROKS],"Non",TblApplications[Mois prov (calc)],"&lt;="&amp;$E966),SUMIFS(TblApplications[RAM IKS libérable (Go)],TblApplications[Cluster IKS source],$F966,TblApplications[Mois lib (calc)],"&lt;="&amp;$E966)))</f>
        <v>0</v>
      </c>
      <c r="R966" s="19">
        <f t="shared" ref="R966:R1029" si="258">IF($D966&lt;&gt;1,"",IF($G966="ROKS",$L966+$P966,IF($AI966=1,0,MAX($N966,$L966-$P966))))</f>
        <v>192</v>
      </c>
      <c r="S966" s="19">
        <f t="shared" ref="S966:S1029" si="259">IF($D966&lt;&gt;1,"",IF($G966="ROKS",$M966+$Q966,IF($AI966=1,0,MAX($O966,$M966-$Q966))))</f>
        <v>1536</v>
      </c>
      <c r="T966" s="19">
        <f t="shared" ref="T966:T1029" si="260">IF($D966&lt;&gt;1,"",IF($AI966=1,0,MAX($J966,ROUNDUP(MAX($R966/$H966,$S966/$I966),0))))</f>
        <v>6</v>
      </c>
      <c r="U966" s="19">
        <f t="shared" ref="U966:U1029" si="261">IF($D966&lt;&gt;1,"",IF(p_mode="Nœud",$T966*$H966,$R966))</f>
        <v>192</v>
      </c>
      <c r="V966" s="19">
        <f t="shared" ref="V966:V1029" si="262">IF($D966&lt;&gt;1,"",IF(p_mode="Nœud",$T966*$I966,$S966))</f>
        <v>1536</v>
      </c>
      <c r="W966" s="73">
        <f t="shared" ref="W966:W1029" si="263">IF($D966&lt;&gt;1,"",IF(p_mode="Nœud",$T966*$K966,$R966*IF($G966="IKS",p_iks_cpu,p_roks_cpu)+$S966*IF($G966="IKS",p_iks_ram,p_roks_ram))*p_facteur)</f>
        <v>8526</v>
      </c>
      <c r="X966" s="19">
        <f>IF($D966&lt;&gt;1,"",IF($G966="ROKS",$R966,IF($AI966=1,0,MAX($N966,$L966-SUMIFS(TblApplications[CPU IKS libérable (vCPU)],TblApplications[Cluster IKS source],$F966,TblApplications[Action],"À migrer",TblApplications[Mois prov (calc)],"&lt;="&amp;$E966)-SUMIFS(TblApplications[CPU IKS libérable (vCPU)],TblApplications[Cluster IKS source],$F966,TblApplications[Action],"À décommissionner",TblApplications[Mois lib (calc)],"&lt;="&amp;$E966)))))</f>
        <v>192</v>
      </c>
      <c r="Y966" s="19">
        <f>IF($D966&lt;&gt;1,"",IF($G966="ROKS",$S966,IF($AI966=1,0,MAX($O966,$M966-SUMIFS(TblApplications[RAM IKS libérable (Go)],TblApplications[Cluster IKS source],$F966,TblApplications[Action],"À migrer",TblApplications[Mois prov (calc)],"&lt;="&amp;$E966)-SUMIFS(TblApplications[RAM IKS libérable (Go)],TblApplications[Cluster IKS source],$F966,TblApplications[Action],"À décommissionner",TblApplications[Mois lib (calc)],"&lt;="&amp;$E966)))))</f>
        <v>1536</v>
      </c>
      <c r="Z966" s="19">
        <f t="shared" ref="Z966:Z1029" si="264">IF($D966&lt;&gt;1,"",IF($AI966=1,0,MAX($J966,ROUNDUP(MAX($X966/$H966,$Y966/$I966),0))))</f>
        <v>6</v>
      </c>
      <c r="AA966" s="73">
        <f t="shared" ref="AA966:AA1029" si="265">IF($D966&lt;&gt;1,"",IF(p_mode="Nœud",$Z966*$K966,$X966*IF($G966="IKS",p_iks_cpu,p_roks_cpu)+$Y966*IF($G966="IKS",p_iks_ram,p_roks_ram))*p_facteur)</f>
        <v>8526</v>
      </c>
      <c r="AB966" s="19">
        <f t="shared" ref="AB966:AB1029" si="266">IF($D966&lt;&gt;1,"",MAX($J966,ROUNDUP(MAX($L966/$H966,$M966/$I966),0)))</f>
        <v>6</v>
      </c>
      <c r="AC966" s="73">
        <f t="shared" ref="AC966:AC1029" si="267">IF($D966&lt;&gt;1,"",IF(p_mode="Nœud",$AB966*$K966,$L966*IF($G966="IKS",p_iks_cpu,p_roks_cpu)+$M966*IF($G966="IKS",p_iks_ram,p_roks_ram))*p_facteur)</f>
        <v>8526</v>
      </c>
      <c r="AD966" s="19">
        <f t="shared" ref="AD966:AD1029" si="268">IF($D966&lt;&gt;1,"",IF(AND($G966="IKS",$AI966&lt;&gt;1,OR($L966-$P966&lt;$N966,$M966-$Q966&lt;$O966)),1,0))</f>
        <v>0</v>
      </c>
      <c r="AE966" s="19">
        <f t="shared" ref="AE966:AE1029" si="269">IF($D966&lt;&gt;1,"",IF(AND($G966="ROKS",$T966&gt;p_maxworkers),1,0))</f>
        <v>0</v>
      </c>
      <c r="AF966" s="19" t="str">
        <f>IF($D966&lt;&gt;1,"",IF(INDEX(TblClusters[Environnement],$B966)="","(vide)",INDEX(TblClusters[Environnement],$B966)))</f>
        <v>PRD</v>
      </c>
      <c r="AG966" s="19">
        <f t="shared" ref="AG966:AG1029" si="270">IF($D966&lt;&gt;1,"",$R966+p_poidsram*$S966)</f>
        <v>345.6</v>
      </c>
      <c r="AH966" s="19">
        <f t="shared" ref="AH966:AH1029" si="271">IF($D966&lt;&gt;1,"",IFERROR($W966/$AG966,0))</f>
        <v>24.670138888888886</v>
      </c>
      <c r="AI966" s="19">
        <f>IF($D966&lt;&gt;1,"",IF(AND($G966="IKS",ISNUMBER(INDEX(TblClusters[Fermeture retenue],$B966))),IF($E966&gt;=INDEX(TblClusters[Fermeture retenue],$B966),1,0),0))</f>
        <v>0</v>
      </c>
    </row>
    <row r="967" spans="1:35" x14ac:dyDescent="0.2">
      <c r="A967" s="19">
        <v>962</v>
      </c>
      <c r="B967" s="19">
        <f t="shared" si="255"/>
        <v>27</v>
      </c>
      <c r="C967" s="19">
        <f t="shared" si="256"/>
        <v>26</v>
      </c>
      <c r="D967" s="19">
        <f>IF($C967&gt;p_horizon,0,IFERROR(IF(AND(INDEX(TblClusters[Cluster],$B967)&lt;&gt;"",ISNUMBER(INDEX(TblClusters[CPU initial (vCPU)],$B967)),ISNUMBER(INDEX(TblClusters[CPU min (vCPU)],$B967)),OR(INDEX(TblClusters[Plateforme],$B967)="IKS",INDEX(TblClusters[Plateforme],$B967)="ROKS")),1,0),0))</f>
        <v>1</v>
      </c>
      <c r="E967" s="72">
        <f t="shared" si="257"/>
        <v>47058</v>
      </c>
      <c r="F967" s="19" t="str">
        <f>IF($D967=1,INDEX(TblClusters[Cluster],$B967),"")</f>
        <v>ku002i000908</v>
      </c>
      <c r="G967" s="19" t="str">
        <f>IF($D967=1,INDEX(TblClusters[Plateforme],$B967),"")</f>
        <v>IKS</v>
      </c>
      <c r="H967" s="19">
        <f>IF($D967=1,INDEX(TblClusters[vCPU par nœud],$B967),"")</f>
        <v>32</v>
      </c>
      <c r="I967" s="19">
        <f>IF($D967=1,INDEX(TblClusters[RAM par nœud (Go)],$B967),"")</f>
        <v>256</v>
      </c>
      <c r="J967" s="19">
        <f>IF($D967=1,INDEX(TblClusters[Workers min],$B967),"")</f>
        <v>3</v>
      </c>
      <c r="K967" s="73">
        <f>IF($D967=1,INDEX(TblClusters[Tarif par nœud],$B967),"")</f>
        <v>1421</v>
      </c>
      <c r="L967" s="19">
        <f>IF($D967=1,INDEX(TblClusters[CPU initial (vCPU)],$B967),"")</f>
        <v>192</v>
      </c>
      <c r="M967" s="19">
        <f>IF($D967=1,INDEX(TblClusters[RAM initiale (Go)],$B967),"")</f>
        <v>1536</v>
      </c>
      <c r="N967" s="19">
        <f>IF($D967=1,INDEX(TblClusters[CPU min (vCPU)],$B967),"")</f>
        <v>96</v>
      </c>
      <c r="O967" s="19">
        <f>IF($D967=1,INDEX(TblClusters[RAM min (Go)],$B967),"")</f>
        <v>768</v>
      </c>
      <c r="P967" s="19">
        <f>IF($D967&lt;&gt;1,"",IF($G967="ROKS",SUMIFS(TblApplications[Besoin ROKS CPU (vCPU)],TblApplications[Cluster ROKS cible],$F967,TblApplications[Action],"À migrer",TblApplications[Déjà incluse ROKS],"Non",TblApplications[Mois prov (calc)],"&lt;="&amp;$E967),SUMIFS(TblApplications[CPU IKS libérable (vCPU)],TblApplications[Cluster IKS source],$F967,TblApplications[Mois lib (calc)],"&lt;="&amp;$E967)))</f>
        <v>0</v>
      </c>
      <c r="Q967" s="19">
        <f>IF($D967&lt;&gt;1,"",IF($G967="ROKS",SUMIFS(TblApplications[Besoin ROKS RAM (Go)],TblApplications[Cluster ROKS cible],$F967,TblApplications[Action],"À migrer",TblApplications[Déjà incluse ROKS],"Non",TblApplications[Mois prov (calc)],"&lt;="&amp;$E967),SUMIFS(TblApplications[RAM IKS libérable (Go)],TblApplications[Cluster IKS source],$F967,TblApplications[Mois lib (calc)],"&lt;="&amp;$E967)))</f>
        <v>0</v>
      </c>
      <c r="R967" s="19">
        <f t="shared" si="258"/>
        <v>192</v>
      </c>
      <c r="S967" s="19">
        <f t="shared" si="259"/>
        <v>1536</v>
      </c>
      <c r="T967" s="19">
        <f t="shared" si="260"/>
        <v>6</v>
      </c>
      <c r="U967" s="19">
        <f t="shared" si="261"/>
        <v>192</v>
      </c>
      <c r="V967" s="19">
        <f t="shared" si="262"/>
        <v>1536</v>
      </c>
      <c r="W967" s="73">
        <f t="shared" si="263"/>
        <v>8526</v>
      </c>
      <c r="X967" s="19">
        <f>IF($D967&lt;&gt;1,"",IF($G967="ROKS",$R967,IF($AI967=1,0,MAX($N967,$L967-SUMIFS(TblApplications[CPU IKS libérable (vCPU)],TblApplications[Cluster IKS source],$F967,TblApplications[Action],"À migrer",TblApplications[Mois prov (calc)],"&lt;="&amp;$E967)-SUMIFS(TblApplications[CPU IKS libérable (vCPU)],TblApplications[Cluster IKS source],$F967,TblApplications[Action],"À décommissionner",TblApplications[Mois lib (calc)],"&lt;="&amp;$E967)))))</f>
        <v>192</v>
      </c>
      <c r="Y967" s="19">
        <f>IF($D967&lt;&gt;1,"",IF($G967="ROKS",$S967,IF($AI967=1,0,MAX($O967,$M967-SUMIFS(TblApplications[RAM IKS libérable (Go)],TblApplications[Cluster IKS source],$F967,TblApplications[Action],"À migrer",TblApplications[Mois prov (calc)],"&lt;="&amp;$E967)-SUMIFS(TblApplications[RAM IKS libérable (Go)],TblApplications[Cluster IKS source],$F967,TblApplications[Action],"À décommissionner",TblApplications[Mois lib (calc)],"&lt;="&amp;$E967)))))</f>
        <v>1536</v>
      </c>
      <c r="Z967" s="19">
        <f t="shared" si="264"/>
        <v>6</v>
      </c>
      <c r="AA967" s="73">
        <f t="shared" si="265"/>
        <v>8526</v>
      </c>
      <c r="AB967" s="19">
        <f t="shared" si="266"/>
        <v>6</v>
      </c>
      <c r="AC967" s="73">
        <f t="shared" si="267"/>
        <v>8526</v>
      </c>
      <c r="AD967" s="19">
        <f t="shared" si="268"/>
        <v>0</v>
      </c>
      <c r="AE967" s="19">
        <f t="shared" si="269"/>
        <v>0</v>
      </c>
      <c r="AF967" s="19" t="str">
        <f>IF($D967&lt;&gt;1,"",IF(INDEX(TblClusters[Environnement],$B967)="","(vide)",INDEX(TblClusters[Environnement],$B967)))</f>
        <v>PRD</v>
      </c>
      <c r="AG967" s="19">
        <f t="shared" si="270"/>
        <v>345.6</v>
      </c>
      <c r="AH967" s="19">
        <f t="shared" si="271"/>
        <v>24.670138888888886</v>
      </c>
      <c r="AI967" s="19">
        <f>IF($D967&lt;&gt;1,"",IF(AND($G967="IKS",ISNUMBER(INDEX(TblClusters[Fermeture retenue],$B967))),IF($E967&gt;=INDEX(TblClusters[Fermeture retenue],$B967),1,0),0))</f>
        <v>0</v>
      </c>
    </row>
    <row r="968" spans="1:35" x14ac:dyDescent="0.2">
      <c r="A968" s="19">
        <v>963</v>
      </c>
      <c r="B968" s="19">
        <f t="shared" si="255"/>
        <v>27</v>
      </c>
      <c r="C968" s="19">
        <f t="shared" si="256"/>
        <v>27</v>
      </c>
      <c r="D968" s="19">
        <f>IF($C968&gt;p_horizon,0,IFERROR(IF(AND(INDEX(TblClusters[Cluster],$B968)&lt;&gt;"",ISNUMBER(INDEX(TblClusters[CPU initial (vCPU)],$B968)),ISNUMBER(INDEX(TblClusters[CPU min (vCPU)],$B968)),OR(INDEX(TblClusters[Plateforme],$B968)="IKS",INDEX(TblClusters[Plateforme],$B968)="ROKS")),1,0),0))</f>
        <v>1</v>
      </c>
      <c r="E968" s="72">
        <f t="shared" si="257"/>
        <v>47088</v>
      </c>
      <c r="F968" s="19" t="str">
        <f>IF($D968=1,INDEX(TblClusters[Cluster],$B968),"")</f>
        <v>ku002i000908</v>
      </c>
      <c r="G968" s="19" t="str">
        <f>IF($D968=1,INDEX(TblClusters[Plateforme],$B968),"")</f>
        <v>IKS</v>
      </c>
      <c r="H968" s="19">
        <f>IF($D968=1,INDEX(TblClusters[vCPU par nœud],$B968),"")</f>
        <v>32</v>
      </c>
      <c r="I968" s="19">
        <f>IF($D968=1,INDEX(TblClusters[RAM par nœud (Go)],$B968),"")</f>
        <v>256</v>
      </c>
      <c r="J968" s="19">
        <f>IF($D968=1,INDEX(TblClusters[Workers min],$B968),"")</f>
        <v>3</v>
      </c>
      <c r="K968" s="73">
        <f>IF($D968=1,INDEX(TblClusters[Tarif par nœud],$B968),"")</f>
        <v>1421</v>
      </c>
      <c r="L968" s="19">
        <f>IF($D968=1,INDEX(TblClusters[CPU initial (vCPU)],$B968),"")</f>
        <v>192</v>
      </c>
      <c r="M968" s="19">
        <f>IF($D968=1,INDEX(TblClusters[RAM initiale (Go)],$B968),"")</f>
        <v>1536</v>
      </c>
      <c r="N968" s="19">
        <f>IF($D968=1,INDEX(TblClusters[CPU min (vCPU)],$B968),"")</f>
        <v>96</v>
      </c>
      <c r="O968" s="19">
        <f>IF($D968=1,INDEX(TblClusters[RAM min (Go)],$B968),"")</f>
        <v>768</v>
      </c>
      <c r="P968" s="19">
        <f>IF($D968&lt;&gt;1,"",IF($G968="ROKS",SUMIFS(TblApplications[Besoin ROKS CPU (vCPU)],TblApplications[Cluster ROKS cible],$F968,TblApplications[Action],"À migrer",TblApplications[Déjà incluse ROKS],"Non",TblApplications[Mois prov (calc)],"&lt;="&amp;$E968),SUMIFS(TblApplications[CPU IKS libérable (vCPU)],TblApplications[Cluster IKS source],$F968,TblApplications[Mois lib (calc)],"&lt;="&amp;$E968)))</f>
        <v>0</v>
      </c>
      <c r="Q968" s="19">
        <f>IF($D968&lt;&gt;1,"",IF($G968="ROKS",SUMIFS(TblApplications[Besoin ROKS RAM (Go)],TblApplications[Cluster ROKS cible],$F968,TblApplications[Action],"À migrer",TblApplications[Déjà incluse ROKS],"Non",TblApplications[Mois prov (calc)],"&lt;="&amp;$E968),SUMIFS(TblApplications[RAM IKS libérable (Go)],TblApplications[Cluster IKS source],$F968,TblApplications[Mois lib (calc)],"&lt;="&amp;$E968)))</f>
        <v>0</v>
      </c>
      <c r="R968" s="19">
        <f t="shared" si="258"/>
        <v>192</v>
      </c>
      <c r="S968" s="19">
        <f t="shared" si="259"/>
        <v>1536</v>
      </c>
      <c r="T968" s="19">
        <f t="shared" si="260"/>
        <v>6</v>
      </c>
      <c r="U968" s="19">
        <f t="shared" si="261"/>
        <v>192</v>
      </c>
      <c r="V968" s="19">
        <f t="shared" si="262"/>
        <v>1536</v>
      </c>
      <c r="W968" s="73">
        <f t="shared" si="263"/>
        <v>8526</v>
      </c>
      <c r="X968" s="19">
        <f>IF($D968&lt;&gt;1,"",IF($G968="ROKS",$R968,IF($AI968=1,0,MAX($N968,$L968-SUMIFS(TblApplications[CPU IKS libérable (vCPU)],TblApplications[Cluster IKS source],$F968,TblApplications[Action],"À migrer",TblApplications[Mois prov (calc)],"&lt;="&amp;$E968)-SUMIFS(TblApplications[CPU IKS libérable (vCPU)],TblApplications[Cluster IKS source],$F968,TblApplications[Action],"À décommissionner",TblApplications[Mois lib (calc)],"&lt;="&amp;$E968)))))</f>
        <v>192</v>
      </c>
      <c r="Y968" s="19">
        <f>IF($D968&lt;&gt;1,"",IF($G968="ROKS",$S968,IF($AI968=1,0,MAX($O968,$M968-SUMIFS(TblApplications[RAM IKS libérable (Go)],TblApplications[Cluster IKS source],$F968,TblApplications[Action],"À migrer",TblApplications[Mois prov (calc)],"&lt;="&amp;$E968)-SUMIFS(TblApplications[RAM IKS libérable (Go)],TblApplications[Cluster IKS source],$F968,TblApplications[Action],"À décommissionner",TblApplications[Mois lib (calc)],"&lt;="&amp;$E968)))))</f>
        <v>1536</v>
      </c>
      <c r="Z968" s="19">
        <f t="shared" si="264"/>
        <v>6</v>
      </c>
      <c r="AA968" s="73">
        <f t="shared" si="265"/>
        <v>8526</v>
      </c>
      <c r="AB968" s="19">
        <f t="shared" si="266"/>
        <v>6</v>
      </c>
      <c r="AC968" s="73">
        <f t="shared" si="267"/>
        <v>8526</v>
      </c>
      <c r="AD968" s="19">
        <f t="shared" si="268"/>
        <v>0</v>
      </c>
      <c r="AE968" s="19">
        <f t="shared" si="269"/>
        <v>0</v>
      </c>
      <c r="AF968" s="19" t="str">
        <f>IF($D968&lt;&gt;1,"",IF(INDEX(TblClusters[Environnement],$B968)="","(vide)",INDEX(TblClusters[Environnement],$B968)))</f>
        <v>PRD</v>
      </c>
      <c r="AG968" s="19">
        <f t="shared" si="270"/>
        <v>345.6</v>
      </c>
      <c r="AH968" s="19">
        <f t="shared" si="271"/>
        <v>24.670138888888886</v>
      </c>
      <c r="AI968" s="19">
        <f>IF($D968&lt;&gt;1,"",IF(AND($G968="IKS",ISNUMBER(INDEX(TblClusters[Fermeture retenue],$B968))),IF($E968&gt;=INDEX(TblClusters[Fermeture retenue],$B968),1,0),0))</f>
        <v>0</v>
      </c>
    </row>
    <row r="969" spans="1:35" x14ac:dyDescent="0.2">
      <c r="A969" s="19">
        <v>964</v>
      </c>
      <c r="B969" s="19">
        <f t="shared" si="255"/>
        <v>27</v>
      </c>
      <c r="C969" s="19">
        <f t="shared" si="256"/>
        <v>28</v>
      </c>
      <c r="D969" s="19">
        <f>IF($C969&gt;p_horizon,0,IFERROR(IF(AND(INDEX(TblClusters[Cluster],$B969)&lt;&gt;"",ISNUMBER(INDEX(TblClusters[CPU initial (vCPU)],$B969)),ISNUMBER(INDEX(TblClusters[CPU min (vCPU)],$B969)),OR(INDEX(TblClusters[Plateforme],$B969)="IKS",INDEX(TblClusters[Plateforme],$B969)="ROKS")),1,0),0))</f>
        <v>1</v>
      </c>
      <c r="E969" s="72">
        <f t="shared" si="257"/>
        <v>47119</v>
      </c>
      <c r="F969" s="19" t="str">
        <f>IF($D969=1,INDEX(TblClusters[Cluster],$B969),"")</f>
        <v>ku002i000908</v>
      </c>
      <c r="G969" s="19" t="str">
        <f>IF($D969=1,INDEX(TblClusters[Plateforme],$B969),"")</f>
        <v>IKS</v>
      </c>
      <c r="H969" s="19">
        <f>IF($D969=1,INDEX(TblClusters[vCPU par nœud],$B969),"")</f>
        <v>32</v>
      </c>
      <c r="I969" s="19">
        <f>IF($D969=1,INDEX(TblClusters[RAM par nœud (Go)],$B969),"")</f>
        <v>256</v>
      </c>
      <c r="J969" s="19">
        <f>IF($D969=1,INDEX(TblClusters[Workers min],$B969),"")</f>
        <v>3</v>
      </c>
      <c r="K969" s="73">
        <f>IF($D969=1,INDEX(TblClusters[Tarif par nœud],$B969),"")</f>
        <v>1421</v>
      </c>
      <c r="L969" s="19">
        <f>IF($D969=1,INDEX(TblClusters[CPU initial (vCPU)],$B969),"")</f>
        <v>192</v>
      </c>
      <c r="M969" s="19">
        <f>IF($D969=1,INDEX(TblClusters[RAM initiale (Go)],$B969),"")</f>
        <v>1536</v>
      </c>
      <c r="N969" s="19">
        <f>IF($D969=1,INDEX(TblClusters[CPU min (vCPU)],$B969),"")</f>
        <v>96</v>
      </c>
      <c r="O969" s="19">
        <f>IF($D969=1,INDEX(TblClusters[RAM min (Go)],$B969),"")</f>
        <v>768</v>
      </c>
      <c r="P969" s="19">
        <f>IF($D969&lt;&gt;1,"",IF($G969="ROKS",SUMIFS(TblApplications[Besoin ROKS CPU (vCPU)],TblApplications[Cluster ROKS cible],$F969,TblApplications[Action],"À migrer",TblApplications[Déjà incluse ROKS],"Non",TblApplications[Mois prov (calc)],"&lt;="&amp;$E969),SUMIFS(TblApplications[CPU IKS libérable (vCPU)],TblApplications[Cluster IKS source],$F969,TblApplications[Mois lib (calc)],"&lt;="&amp;$E969)))</f>
        <v>0</v>
      </c>
      <c r="Q969" s="19">
        <f>IF($D969&lt;&gt;1,"",IF($G969="ROKS",SUMIFS(TblApplications[Besoin ROKS RAM (Go)],TblApplications[Cluster ROKS cible],$F969,TblApplications[Action],"À migrer",TblApplications[Déjà incluse ROKS],"Non",TblApplications[Mois prov (calc)],"&lt;="&amp;$E969),SUMIFS(TblApplications[RAM IKS libérable (Go)],TblApplications[Cluster IKS source],$F969,TblApplications[Mois lib (calc)],"&lt;="&amp;$E969)))</f>
        <v>0</v>
      </c>
      <c r="R969" s="19">
        <f t="shared" si="258"/>
        <v>192</v>
      </c>
      <c r="S969" s="19">
        <f t="shared" si="259"/>
        <v>1536</v>
      </c>
      <c r="T969" s="19">
        <f t="shared" si="260"/>
        <v>6</v>
      </c>
      <c r="U969" s="19">
        <f t="shared" si="261"/>
        <v>192</v>
      </c>
      <c r="V969" s="19">
        <f t="shared" si="262"/>
        <v>1536</v>
      </c>
      <c r="W969" s="73">
        <f t="shared" si="263"/>
        <v>8526</v>
      </c>
      <c r="X969" s="19">
        <f>IF($D969&lt;&gt;1,"",IF($G969="ROKS",$R969,IF($AI969=1,0,MAX($N969,$L969-SUMIFS(TblApplications[CPU IKS libérable (vCPU)],TblApplications[Cluster IKS source],$F969,TblApplications[Action],"À migrer",TblApplications[Mois prov (calc)],"&lt;="&amp;$E969)-SUMIFS(TblApplications[CPU IKS libérable (vCPU)],TblApplications[Cluster IKS source],$F969,TblApplications[Action],"À décommissionner",TblApplications[Mois lib (calc)],"&lt;="&amp;$E969)))))</f>
        <v>192</v>
      </c>
      <c r="Y969" s="19">
        <f>IF($D969&lt;&gt;1,"",IF($G969="ROKS",$S969,IF($AI969=1,0,MAX($O969,$M969-SUMIFS(TblApplications[RAM IKS libérable (Go)],TblApplications[Cluster IKS source],$F969,TblApplications[Action],"À migrer",TblApplications[Mois prov (calc)],"&lt;="&amp;$E969)-SUMIFS(TblApplications[RAM IKS libérable (Go)],TblApplications[Cluster IKS source],$F969,TblApplications[Action],"À décommissionner",TblApplications[Mois lib (calc)],"&lt;="&amp;$E969)))))</f>
        <v>1536</v>
      </c>
      <c r="Z969" s="19">
        <f t="shared" si="264"/>
        <v>6</v>
      </c>
      <c r="AA969" s="73">
        <f t="shared" si="265"/>
        <v>8526</v>
      </c>
      <c r="AB969" s="19">
        <f t="shared" si="266"/>
        <v>6</v>
      </c>
      <c r="AC969" s="73">
        <f t="shared" si="267"/>
        <v>8526</v>
      </c>
      <c r="AD969" s="19">
        <f t="shared" si="268"/>
        <v>0</v>
      </c>
      <c r="AE969" s="19">
        <f t="shared" si="269"/>
        <v>0</v>
      </c>
      <c r="AF969" s="19" t="str">
        <f>IF($D969&lt;&gt;1,"",IF(INDEX(TblClusters[Environnement],$B969)="","(vide)",INDEX(TblClusters[Environnement],$B969)))</f>
        <v>PRD</v>
      </c>
      <c r="AG969" s="19">
        <f t="shared" si="270"/>
        <v>345.6</v>
      </c>
      <c r="AH969" s="19">
        <f t="shared" si="271"/>
        <v>24.670138888888886</v>
      </c>
      <c r="AI969" s="19">
        <f>IF($D969&lt;&gt;1,"",IF(AND($G969="IKS",ISNUMBER(INDEX(TblClusters[Fermeture retenue],$B969))),IF($E969&gt;=INDEX(TblClusters[Fermeture retenue],$B969),1,0),0))</f>
        <v>0</v>
      </c>
    </row>
    <row r="970" spans="1:35" x14ac:dyDescent="0.2">
      <c r="A970" s="19">
        <v>965</v>
      </c>
      <c r="B970" s="19">
        <f t="shared" si="255"/>
        <v>27</v>
      </c>
      <c r="C970" s="19">
        <f t="shared" si="256"/>
        <v>29</v>
      </c>
      <c r="D970" s="19">
        <f>IF($C970&gt;p_horizon,0,IFERROR(IF(AND(INDEX(TblClusters[Cluster],$B970)&lt;&gt;"",ISNUMBER(INDEX(TblClusters[CPU initial (vCPU)],$B970)),ISNUMBER(INDEX(TblClusters[CPU min (vCPU)],$B970)),OR(INDEX(TblClusters[Plateforme],$B970)="IKS",INDEX(TblClusters[Plateforme],$B970)="ROKS")),1,0),0))</f>
        <v>1</v>
      </c>
      <c r="E970" s="72">
        <f t="shared" si="257"/>
        <v>47150</v>
      </c>
      <c r="F970" s="19" t="str">
        <f>IF($D970=1,INDEX(TblClusters[Cluster],$B970),"")</f>
        <v>ku002i000908</v>
      </c>
      <c r="G970" s="19" t="str">
        <f>IF($D970=1,INDEX(TblClusters[Plateforme],$B970),"")</f>
        <v>IKS</v>
      </c>
      <c r="H970" s="19">
        <f>IF($D970=1,INDEX(TblClusters[vCPU par nœud],$B970),"")</f>
        <v>32</v>
      </c>
      <c r="I970" s="19">
        <f>IF($D970=1,INDEX(TblClusters[RAM par nœud (Go)],$B970),"")</f>
        <v>256</v>
      </c>
      <c r="J970" s="19">
        <f>IF($D970=1,INDEX(TblClusters[Workers min],$B970),"")</f>
        <v>3</v>
      </c>
      <c r="K970" s="73">
        <f>IF($D970=1,INDEX(TblClusters[Tarif par nœud],$B970),"")</f>
        <v>1421</v>
      </c>
      <c r="L970" s="19">
        <f>IF($D970=1,INDEX(TblClusters[CPU initial (vCPU)],$B970),"")</f>
        <v>192</v>
      </c>
      <c r="M970" s="19">
        <f>IF($D970=1,INDEX(TblClusters[RAM initiale (Go)],$B970),"")</f>
        <v>1536</v>
      </c>
      <c r="N970" s="19">
        <f>IF($D970=1,INDEX(TblClusters[CPU min (vCPU)],$B970),"")</f>
        <v>96</v>
      </c>
      <c r="O970" s="19">
        <f>IF($D970=1,INDEX(TblClusters[RAM min (Go)],$B970),"")</f>
        <v>768</v>
      </c>
      <c r="P970" s="19">
        <f>IF($D970&lt;&gt;1,"",IF($G970="ROKS",SUMIFS(TblApplications[Besoin ROKS CPU (vCPU)],TblApplications[Cluster ROKS cible],$F970,TblApplications[Action],"À migrer",TblApplications[Déjà incluse ROKS],"Non",TblApplications[Mois prov (calc)],"&lt;="&amp;$E970),SUMIFS(TblApplications[CPU IKS libérable (vCPU)],TblApplications[Cluster IKS source],$F970,TblApplications[Mois lib (calc)],"&lt;="&amp;$E970)))</f>
        <v>0</v>
      </c>
      <c r="Q970" s="19">
        <f>IF($D970&lt;&gt;1,"",IF($G970="ROKS",SUMIFS(TblApplications[Besoin ROKS RAM (Go)],TblApplications[Cluster ROKS cible],$F970,TblApplications[Action],"À migrer",TblApplications[Déjà incluse ROKS],"Non",TblApplications[Mois prov (calc)],"&lt;="&amp;$E970),SUMIFS(TblApplications[RAM IKS libérable (Go)],TblApplications[Cluster IKS source],$F970,TblApplications[Mois lib (calc)],"&lt;="&amp;$E970)))</f>
        <v>0</v>
      </c>
      <c r="R970" s="19">
        <f t="shared" si="258"/>
        <v>192</v>
      </c>
      <c r="S970" s="19">
        <f t="shared" si="259"/>
        <v>1536</v>
      </c>
      <c r="T970" s="19">
        <f t="shared" si="260"/>
        <v>6</v>
      </c>
      <c r="U970" s="19">
        <f t="shared" si="261"/>
        <v>192</v>
      </c>
      <c r="V970" s="19">
        <f t="shared" si="262"/>
        <v>1536</v>
      </c>
      <c r="W970" s="73">
        <f t="shared" si="263"/>
        <v>8526</v>
      </c>
      <c r="X970" s="19">
        <f>IF($D970&lt;&gt;1,"",IF($G970="ROKS",$R970,IF($AI970=1,0,MAX($N970,$L970-SUMIFS(TblApplications[CPU IKS libérable (vCPU)],TblApplications[Cluster IKS source],$F970,TblApplications[Action],"À migrer",TblApplications[Mois prov (calc)],"&lt;="&amp;$E970)-SUMIFS(TblApplications[CPU IKS libérable (vCPU)],TblApplications[Cluster IKS source],$F970,TblApplications[Action],"À décommissionner",TblApplications[Mois lib (calc)],"&lt;="&amp;$E970)))))</f>
        <v>192</v>
      </c>
      <c r="Y970" s="19">
        <f>IF($D970&lt;&gt;1,"",IF($G970="ROKS",$S970,IF($AI970=1,0,MAX($O970,$M970-SUMIFS(TblApplications[RAM IKS libérable (Go)],TblApplications[Cluster IKS source],$F970,TblApplications[Action],"À migrer",TblApplications[Mois prov (calc)],"&lt;="&amp;$E970)-SUMIFS(TblApplications[RAM IKS libérable (Go)],TblApplications[Cluster IKS source],$F970,TblApplications[Action],"À décommissionner",TblApplications[Mois lib (calc)],"&lt;="&amp;$E970)))))</f>
        <v>1536</v>
      </c>
      <c r="Z970" s="19">
        <f t="shared" si="264"/>
        <v>6</v>
      </c>
      <c r="AA970" s="73">
        <f t="shared" si="265"/>
        <v>8526</v>
      </c>
      <c r="AB970" s="19">
        <f t="shared" si="266"/>
        <v>6</v>
      </c>
      <c r="AC970" s="73">
        <f t="shared" si="267"/>
        <v>8526</v>
      </c>
      <c r="AD970" s="19">
        <f t="shared" si="268"/>
        <v>0</v>
      </c>
      <c r="AE970" s="19">
        <f t="shared" si="269"/>
        <v>0</v>
      </c>
      <c r="AF970" s="19" t="str">
        <f>IF($D970&lt;&gt;1,"",IF(INDEX(TblClusters[Environnement],$B970)="","(vide)",INDEX(TblClusters[Environnement],$B970)))</f>
        <v>PRD</v>
      </c>
      <c r="AG970" s="19">
        <f t="shared" si="270"/>
        <v>345.6</v>
      </c>
      <c r="AH970" s="19">
        <f t="shared" si="271"/>
        <v>24.670138888888886</v>
      </c>
      <c r="AI970" s="19">
        <f>IF($D970&lt;&gt;1,"",IF(AND($G970="IKS",ISNUMBER(INDEX(TblClusters[Fermeture retenue],$B970))),IF($E970&gt;=INDEX(TblClusters[Fermeture retenue],$B970),1,0),0))</f>
        <v>0</v>
      </c>
    </row>
    <row r="971" spans="1:35" x14ac:dyDescent="0.2">
      <c r="A971" s="19">
        <v>966</v>
      </c>
      <c r="B971" s="19">
        <f t="shared" si="255"/>
        <v>27</v>
      </c>
      <c r="C971" s="19">
        <f t="shared" si="256"/>
        <v>30</v>
      </c>
      <c r="D971" s="19">
        <f>IF($C971&gt;p_horizon,0,IFERROR(IF(AND(INDEX(TblClusters[Cluster],$B971)&lt;&gt;"",ISNUMBER(INDEX(TblClusters[CPU initial (vCPU)],$B971)),ISNUMBER(INDEX(TblClusters[CPU min (vCPU)],$B971)),OR(INDEX(TblClusters[Plateforme],$B971)="IKS",INDEX(TblClusters[Plateforme],$B971)="ROKS")),1,0),0))</f>
        <v>1</v>
      </c>
      <c r="E971" s="72">
        <f t="shared" si="257"/>
        <v>47178</v>
      </c>
      <c r="F971" s="19" t="str">
        <f>IF($D971=1,INDEX(TblClusters[Cluster],$B971),"")</f>
        <v>ku002i000908</v>
      </c>
      <c r="G971" s="19" t="str">
        <f>IF($D971=1,INDEX(TblClusters[Plateforme],$B971),"")</f>
        <v>IKS</v>
      </c>
      <c r="H971" s="19">
        <f>IF($D971=1,INDEX(TblClusters[vCPU par nœud],$B971),"")</f>
        <v>32</v>
      </c>
      <c r="I971" s="19">
        <f>IF($D971=1,INDEX(TblClusters[RAM par nœud (Go)],$B971),"")</f>
        <v>256</v>
      </c>
      <c r="J971" s="19">
        <f>IF($D971=1,INDEX(TblClusters[Workers min],$B971),"")</f>
        <v>3</v>
      </c>
      <c r="K971" s="73">
        <f>IF($D971=1,INDEX(TblClusters[Tarif par nœud],$B971),"")</f>
        <v>1421</v>
      </c>
      <c r="L971" s="19">
        <f>IF($D971=1,INDEX(TblClusters[CPU initial (vCPU)],$B971),"")</f>
        <v>192</v>
      </c>
      <c r="M971" s="19">
        <f>IF($D971=1,INDEX(TblClusters[RAM initiale (Go)],$B971),"")</f>
        <v>1536</v>
      </c>
      <c r="N971" s="19">
        <f>IF($D971=1,INDEX(TblClusters[CPU min (vCPU)],$B971),"")</f>
        <v>96</v>
      </c>
      <c r="O971" s="19">
        <f>IF($D971=1,INDEX(TblClusters[RAM min (Go)],$B971),"")</f>
        <v>768</v>
      </c>
      <c r="P971" s="19">
        <f>IF($D971&lt;&gt;1,"",IF($G971="ROKS",SUMIFS(TblApplications[Besoin ROKS CPU (vCPU)],TblApplications[Cluster ROKS cible],$F971,TblApplications[Action],"À migrer",TblApplications[Déjà incluse ROKS],"Non",TblApplications[Mois prov (calc)],"&lt;="&amp;$E971),SUMIFS(TblApplications[CPU IKS libérable (vCPU)],TblApplications[Cluster IKS source],$F971,TblApplications[Mois lib (calc)],"&lt;="&amp;$E971)))</f>
        <v>0</v>
      </c>
      <c r="Q971" s="19">
        <f>IF($D971&lt;&gt;1,"",IF($G971="ROKS",SUMIFS(TblApplications[Besoin ROKS RAM (Go)],TblApplications[Cluster ROKS cible],$F971,TblApplications[Action],"À migrer",TblApplications[Déjà incluse ROKS],"Non",TblApplications[Mois prov (calc)],"&lt;="&amp;$E971),SUMIFS(TblApplications[RAM IKS libérable (Go)],TblApplications[Cluster IKS source],$F971,TblApplications[Mois lib (calc)],"&lt;="&amp;$E971)))</f>
        <v>0</v>
      </c>
      <c r="R971" s="19">
        <f t="shared" si="258"/>
        <v>192</v>
      </c>
      <c r="S971" s="19">
        <f t="shared" si="259"/>
        <v>1536</v>
      </c>
      <c r="T971" s="19">
        <f t="shared" si="260"/>
        <v>6</v>
      </c>
      <c r="U971" s="19">
        <f t="shared" si="261"/>
        <v>192</v>
      </c>
      <c r="V971" s="19">
        <f t="shared" si="262"/>
        <v>1536</v>
      </c>
      <c r="W971" s="73">
        <f t="shared" si="263"/>
        <v>8526</v>
      </c>
      <c r="X971" s="19">
        <f>IF($D971&lt;&gt;1,"",IF($G971="ROKS",$R971,IF($AI971=1,0,MAX($N971,$L971-SUMIFS(TblApplications[CPU IKS libérable (vCPU)],TblApplications[Cluster IKS source],$F971,TblApplications[Action],"À migrer",TblApplications[Mois prov (calc)],"&lt;="&amp;$E971)-SUMIFS(TblApplications[CPU IKS libérable (vCPU)],TblApplications[Cluster IKS source],$F971,TblApplications[Action],"À décommissionner",TblApplications[Mois lib (calc)],"&lt;="&amp;$E971)))))</f>
        <v>192</v>
      </c>
      <c r="Y971" s="19">
        <f>IF($D971&lt;&gt;1,"",IF($G971="ROKS",$S971,IF($AI971=1,0,MAX($O971,$M971-SUMIFS(TblApplications[RAM IKS libérable (Go)],TblApplications[Cluster IKS source],$F971,TblApplications[Action],"À migrer",TblApplications[Mois prov (calc)],"&lt;="&amp;$E971)-SUMIFS(TblApplications[RAM IKS libérable (Go)],TblApplications[Cluster IKS source],$F971,TblApplications[Action],"À décommissionner",TblApplications[Mois lib (calc)],"&lt;="&amp;$E971)))))</f>
        <v>1536</v>
      </c>
      <c r="Z971" s="19">
        <f t="shared" si="264"/>
        <v>6</v>
      </c>
      <c r="AA971" s="73">
        <f t="shared" si="265"/>
        <v>8526</v>
      </c>
      <c r="AB971" s="19">
        <f t="shared" si="266"/>
        <v>6</v>
      </c>
      <c r="AC971" s="73">
        <f t="shared" si="267"/>
        <v>8526</v>
      </c>
      <c r="AD971" s="19">
        <f t="shared" si="268"/>
        <v>0</v>
      </c>
      <c r="AE971" s="19">
        <f t="shared" si="269"/>
        <v>0</v>
      </c>
      <c r="AF971" s="19" t="str">
        <f>IF($D971&lt;&gt;1,"",IF(INDEX(TblClusters[Environnement],$B971)="","(vide)",INDEX(TblClusters[Environnement],$B971)))</f>
        <v>PRD</v>
      </c>
      <c r="AG971" s="19">
        <f t="shared" si="270"/>
        <v>345.6</v>
      </c>
      <c r="AH971" s="19">
        <f t="shared" si="271"/>
        <v>24.670138888888886</v>
      </c>
      <c r="AI971" s="19">
        <f>IF($D971&lt;&gt;1,"",IF(AND($G971="IKS",ISNUMBER(INDEX(TblClusters[Fermeture retenue],$B971))),IF($E971&gt;=INDEX(TblClusters[Fermeture retenue],$B971),1,0),0))</f>
        <v>0</v>
      </c>
    </row>
    <row r="972" spans="1:35" x14ac:dyDescent="0.2">
      <c r="A972" s="19">
        <v>967</v>
      </c>
      <c r="B972" s="19">
        <f t="shared" si="255"/>
        <v>27</v>
      </c>
      <c r="C972" s="19">
        <f t="shared" si="256"/>
        <v>31</v>
      </c>
      <c r="D972" s="19">
        <f>IF($C972&gt;p_horizon,0,IFERROR(IF(AND(INDEX(TblClusters[Cluster],$B972)&lt;&gt;"",ISNUMBER(INDEX(TblClusters[CPU initial (vCPU)],$B972)),ISNUMBER(INDEX(TblClusters[CPU min (vCPU)],$B972)),OR(INDEX(TblClusters[Plateforme],$B972)="IKS",INDEX(TblClusters[Plateforme],$B972)="ROKS")),1,0),0))</f>
        <v>1</v>
      </c>
      <c r="E972" s="72">
        <f t="shared" si="257"/>
        <v>47209</v>
      </c>
      <c r="F972" s="19" t="str">
        <f>IF($D972=1,INDEX(TblClusters[Cluster],$B972),"")</f>
        <v>ku002i000908</v>
      </c>
      <c r="G972" s="19" t="str">
        <f>IF($D972=1,INDEX(TblClusters[Plateforme],$B972),"")</f>
        <v>IKS</v>
      </c>
      <c r="H972" s="19">
        <f>IF($D972=1,INDEX(TblClusters[vCPU par nœud],$B972),"")</f>
        <v>32</v>
      </c>
      <c r="I972" s="19">
        <f>IF($D972=1,INDEX(TblClusters[RAM par nœud (Go)],$B972),"")</f>
        <v>256</v>
      </c>
      <c r="J972" s="19">
        <f>IF($D972=1,INDEX(TblClusters[Workers min],$B972),"")</f>
        <v>3</v>
      </c>
      <c r="K972" s="73">
        <f>IF($D972=1,INDEX(TblClusters[Tarif par nœud],$B972),"")</f>
        <v>1421</v>
      </c>
      <c r="L972" s="19">
        <f>IF($D972=1,INDEX(TblClusters[CPU initial (vCPU)],$B972),"")</f>
        <v>192</v>
      </c>
      <c r="M972" s="19">
        <f>IF($D972=1,INDEX(TblClusters[RAM initiale (Go)],$B972),"")</f>
        <v>1536</v>
      </c>
      <c r="N972" s="19">
        <f>IF($D972=1,INDEX(TblClusters[CPU min (vCPU)],$B972),"")</f>
        <v>96</v>
      </c>
      <c r="O972" s="19">
        <f>IF($D972=1,INDEX(TblClusters[RAM min (Go)],$B972),"")</f>
        <v>768</v>
      </c>
      <c r="P972" s="19">
        <f>IF($D972&lt;&gt;1,"",IF($G972="ROKS",SUMIFS(TblApplications[Besoin ROKS CPU (vCPU)],TblApplications[Cluster ROKS cible],$F972,TblApplications[Action],"À migrer",TblApplications[Déjà incluse ROKS],"Non",TblApplications[Mois prov (calc)],"&lt;="&amp;$E972),SUMIFS(TblApplications[CPU IKS libérable (vCPU)],TblApplications[Cluster IKS source],$F972,TblApplications[Mois lib (calc)],"&lt;="&amp;$E972)))</f>
        <v>0</v>
      </c>
      <c r="Q972" s="19">
        <f>IF($D972&lt;&gt;1,"",IF($G972="ROKS",SUMIFS(TblApplications[Besoin ROKS RAM (Go)],TblApplications[Cluster ROKS cible],$F972,TblApplications[Action],"À migrer",TblApplications[Déjà incluse ROKS],"Non",TblApplications[Mois prov (calc)],"&lt;="&amp;$E972),SUMIFS(TblApplications[RAM IKS libérable (Go)],TblApplications[Cluster IKS source],$F972,TblApplications[Mois lib (calc)],"&lt;="&amp;$E972)))</f>
        <v>0</v>
      </c>
      <c r="R972" s="19">
        <f t="shared" si="258"/>
        <v>192</v>
      </c>
      <c r="S972" s="19">
        <f t="shared" si="259"/>
        <v>1536</v>
      </c>
      <c r="T972" s="19">
        <f t="shared" si="260"/>
        <v>6</v>
      </c>
      <c r="U972" s="19">
        <f t="shared" si="261"/>
        <v>192</v>
      </c>
      <c r="V972" s="19">
        <f t="shared" si="262"/>
        <v>1536</v>
      </c>
      <c r="W972" s="73">
        <f t="shared" si="263"/>
        <v>8526</v>
      </c>
      <c r="X972" s="19">
        <f>IF($D972&lt;&gt;1,"",IF($G972="ROKS",$R972,IF($AI972=1,0,MAX($N972,$L972-SUMIFS(TblApplications[CPU IKS libérable (vCPU)],TblApplications[Cluster IKS source],$F972,TblApplications[Action],"À migrer",TblApplications[Mois prov (calc)],"&lt;="&amp;$E972)-SUMIFS(TblApplications[CPU IKS libérable (vCPU)],TblApplications[Cluster IKS source],$F972,TblApplications[Action],"À décommissionner",TblApplications[Mois lib (calc)],"&lt;="&amp;$E972)))))</f>
        <v>192</v>
      </c>
      <c r="Y972" s="19">
        <f>IF($D972&lt;&gt;1,"",IF($G972="ROKS",$S972,IF($AI972=1,0,MAX($O972,$M972-SUMIFS(TblApplications[RAM IKS libérable (Go)],TblApplications[Cluster IKS source],$F972,TblApplications[Action],"À migrer",TblApplications[Mois prov (calc)],"&lt;="&amp;$E972)-SUMIFS(TblApplications[RAM IKS libérable (Go)],TblApplications[Cluster IKS source],$F972,TblApplications[Action],"À décommissionner",TblApplications[Mois lib (calc)],"&lt;="&amp;$E972)))))</f>
        <v>1536</v>
      </c>
      <c r="Z972" s="19">
        <f t="shared" si="264"/>
        <v>6</v>
      </c>
      <c r="AA972" s="73">
        <f t="shared" si="265"/>
        <v>8526</v>
      </c>
      <c r="AB972" s="19">
        <f t="shared" si="266"/>
        <v>6</v>
      </c>
      <c r="AC972" s="73">
        <f t="shared" si="267"/>
        <v>8526</v>
      </c>
      <c r="AD972" s="19">
        <f t="shared" si="268"/>
        <v>0</v>
      </c>
      <c r="AE972" s="19">
        <f t="shared" si="269"/>
        <v>0</v>
      </c>
      <c r="AF972" s="19" t="str">
        <f>IF($D972&lt;&gt;1,"",IF(INDEX(TblClusters[Environnement],$B972)="","(vide)",INDEX(TblClusters[Environnement],$B972)))</f>
        <v>PRD</v>
      </c>
      <c r="AG972" s="19">
        <f t="shared" si="270"/>
        <v>345.6</v>
      </c>
      <c r="AH972" s="19">
        <f t="shared" si="271"/>
        <v>24.670138888888886</v>
      </c>
      <c r="AI972" s="19">
        <f>IF($D972&lt;&gt;1,"",IF(AND($G972="IKS",ISNUMBER(INDEX(TblClusters[Fermeture retenue],$B972))),IF($E972&gt;=INDEX(TblClusters[Fermeture retenue],$B972),1,0),0))</f>
        <v>0</v>
      </c>
    </row>
    <row r="973" spans="1:35" x14ac:dyDescent="0.2">
      <c r="A973" s="19">
        <v>968</v>
      </c>
      <c r="B973" s="19">
        <f t="shared" si="255"/>
        <v>27</v>
      </c>
      <c r="C973" s="19">
        <f t="shared" si="256"/>
        <v>32</v>
      </c>
      <c r="D973" s="19">
        <f>IF($C973&gt;p_horizon,0,IFERROR(IF(AND(INDEX(TblClusters[Cluster],$B973)&lt;&gt;"",ISNUMBER(INDEX(TblClusters[CPU initial (vCPU)],$B973)),ISNUMBER(INDEX(TblClusters[CPU min (vCPU)],$B973)),OR(INDEX(TblClusters[Plateforme],$B973)="IKS",INDEX(TblClusters[Plateforme],$B973)="ROKS")),1,0),0))</f>
        <v>1</v>
      </c>
      <c r="E973" s="72">
        <f t="shared" si="257"/>
        <v>47239</v>
      </c>
      <c r="F973" s="19" t="str">
        <f>IF($D973=1,INDEX(TblClusters[Cluster],$B973),"")</f>
        <v>ku002i000908</v>
      </c>
      <c r="G973" s="19" t="str">
        <f>IF($D973=1,INDEX(TblClusters[Plateforme],$B973),"")</f>
        <v>IKS</v>
      </c>
      <c r="H973" s="19">
        <f>IF($D973=1,INDEX(TblClusters[vCPU par nœud],$B973),"")</f>
        <v>32</v>
      </c>
      <c r="I973" s="19">
        <f>IF($D973=1,INDEX(TblClusters[RAM par nœud (Go)],$B973),"")</f>
        <v>256</v>
      </c>
      <c r="J973" s="19">
        <f>IF($D973=1,INDEX(TblClusters[Workers min],$B973),"")</f>
        <v>3</v>
      </c>
      <c r="K973" s="73">
        <f>IF($D973=1,INDEX(TblClusters[Tarif par nœud],$B973),"")</f>
        <v>1421</v>
      </c>
      <c r="L973" s="19">
        <f>IF($D973=1,INDEX(TblClusters[CPU initial (vCPU)],$B973),"")</f>
        <v>192</v>
      </c>
      <c r="M973" s="19">
        <f>IF($D973=1,INDEX(TblClusters[RAM initiale (Go)],$B973),"")</f>
        <v>1536</v>
      </c>
      <c r="N973" s="19">
        <f>IF($D973=1,INDEX(TblClusters[CPU min (vCPU)],$B973),"")</f>
        <v>96</v>
      </c>
      <c r="O973" s="19">
        <f>IF($D973=1,INDEX(TblClusters[RAM min (Go)],$B973),"")</f>
        <v>768</v>
      </c>
      <c r="P973" s="19">
        <f>IF($D973&lt;&gt;1,"",IF($G973="ROKS",SUMIFS(TblApplications[Besoin ROKS CPU (vCPU)],TblApplications[Cluster ROKS cible],$F973,TblApplications[Action],"À migrer",TblApplications[Déjà incluse ROKS],"Non",TblApplications[Mois prov (calc)],"&lt;="&amp;$E973),SUMIFS(TblApplications[CPU IKS libérable (vCPU)],TblApplications[Cluster IKS source],$F973,TblApplications[Mois lib (calc)],"&lt;="&amp;$E973)))</f>
        <v>0</v>
      </c>
      <c r="Q973" s="19">
        <f>IF($D973&lt;&gt;1,"",IF($G973="ROKS",SUMIFS(TblApplications[Besoin ROKS RAM (Go)],TblApplications[Cluster ROKS cible],$F973,TblApplications[Action],"À migrer",TblApplications[Déjà incluse ROKS],"Non",TblApplications[Mois prov (calc)],"&lt;="&amp;$E973),SUMIFS(TblApplications[RAM IKS libérable (Go)],TblApplications[Cluster IKS source],$F973,TblApplications[Mois lib (calc)],"&lt;="&amp;$E973)))</f>
        <v>0</v>
      </c>
      <c r="R973" s="19">
        <f t="shared" si="258"/>
        <v>192</v>
      </c>
      <c r="S973" s="19">
        <f t="shared" si="259"/>
        <v>1536</v>
      </c>
      <c r="T973" s="19">
        <f t="shared" si="260"/>
        <v>6</v>
      </c>
      <c r="U973" s="19">
        <f t="shared" si="261"/>
        <v>192</v>
      </c>
      <c r="V973" s="19">
        <f t="shared" si="262"/>
        <v>1536</v>
      </c>
      <c r="W973" s="73">
        <f t="shared" si="263"/>
        <v>8526</v>
      </c>
      <c r="X973" s="19">
        <f>IF($D973&lt;&gt;1,"",IF($G973="ROKS",$R973,IF($AI973=1,0,MAX($N973,$L973-SUMIFS(TblApplications[CPU IKS libérable (vCPU)],TblApplications[Cluster IKS source],$F973,TblApplications[Action],"À migrer",TblApplications[Mois prov (calc)],"&lt;="&amp;$E973)-SUMIFS(TblApplications[CPU IKS libérable (vCPU)],TblApplications[Cluster IKS source],$F973,TblApplications[Action],"À décommissionner",TblApplications[Mois lib (calc)],"&lt;="&amp;$E973)))))</f>
        <v>192</v>
      </c>
      <c r="Y973" s="19">
        <f>IF($D973&lt;&gt;1,"",IF($G973="ROKS",$S973,IF($AI973=1,0,MAX($O973,$M973-SUMIFS(TblApplications[RAM IKS libérable (Go)],TblApplications[Cluster IKS source],$F973,TblApplications[Action],"À migrer",TblApplications[Mois prov (calc)],"&lt;="&amp;$E973)-SUMIFS(TblApplications[RAM IKS libérable (Go)],TblApplications[Cluster IKS source],$F973,TblApplications[Action],"À décommissionner",TblApplications[Mois lib (calc)],"&lt;="&amp;$E973)))))</f>
        <v>1536</v>
      </c>
      <c r="Z973" s="19">
        <f t="shared" si="264"/>
        <v>6</v>
      </c>
      <c r="AA973" s="73">
        <f t="shared" si="265"/>
        <v>8526</v>
      </c>
      <c r="AB973" s="19">
        <f t="shared" si="266"/>
        <v>6</v>
      </c>
      <c r="AC973" s="73">
        <f t="shared" si="267"/>
        <v>8526</v>
      </c>
      <c r="AD973" s="19">
        <f t="shared" si="268"/>
        <v>0</v>
      </c>
      <c r="AE973" s="19">
        <f t="shared" si="269"/>
        <v>0</v>
      </c>
      <c r="AF973" s="19" t="str">
        <f>IF($D973&lt;&gt;1,"",IF(INDEX(TblClusters[Environnement],$B973)="","(vide)",INDEX(TblClusters[Environnement],$B973)))</f>
        <v>PRD</v>
      </c>
      <c r="AG973" s="19">
        <f t="shared" si="270"/>
        <v>345.6</v>
      </c>
      <c r="AH973" s="19">
        <f t="shared" si="271"/>
        <v>24.670138888888886</v>
      </c>
      <c r="AI973" s="19">
        <f>IF($D973&lt;&gt;1,"",IF(AND($G973="IKS",ISNUMBER(INDEX(TblClusters[Fermeture retenue],$B973))),IF($E973&gt;=INDEX(TblClusters[Fermeture retenue],$B973),1,0),0))</f>
        <v>0</v>
      </c>
    </row>
    <row r="974" spans="1:35" x14ac:dyDescent="0.2">
      <c r="A974" s="19">
        <v>969</v>
      </c>
      <c r="B974" s="19">
        <f t="shared" si="255"/>
        <v>27</v>
      </c>
      <c r="C974" s="19">
        <f t="shared" si="256"/>
        <v>33</v>
      </c>
      <c r="D974" s="19">
        <f>IF($C974&gt;p_horizon,0,IFERROR(IF(AND(INDEX(TblClusters[Cluster],$B974)&lt;&gt;"",ISNUMBER(INDEX(TblClusters[CPU initial (vCPU)],$B974)),ISNUMBER(INDEX(TblClusters[CPU min (vCPU)],$B974)),OR(INDEX(TblClusters[Plateforme],$B974)="IKS",INDEX(TblClusters[Plateforme],$B974)="ROKS")),1,0),0))</f>
        <v>1</v>
      </c>
      <c r="E974" s="72">
        <f t="shared" si="257"/>
        <v>47270</v>
      </c>
      <c r="F974" s="19" t="str">
        <f>IF($D974=1,INDEX(TblClusters[Cluster],$B974),"")</f>
        <v>ku002i000908</v>
      </c>
      <c r="G974" s="19" t="str">
        <f>IF($D974=1,INDEX(TblClusters[Plateforme],$B974),"")</f>
        <v>IKS</v>
      </c>
      <c r="H974" s="19">
        <f>IF($D974=1,INDEX(TblClusters[vCPU par nœud],$B974),"")</f>
        <v>32</v>
      </c>
      <c r="I974" s="19">
        <f>IF($D974=1,INDEX(TblClusters[RAM par nœud (Go)],$B974),"")</f>
        <v>256</v>
      </c>
      <c r="J974" s="19">
        <f>IF($D974=1,INDEX(TblClusters[Workers min],$B974),"")</f>
        <v>3</v>
      </c>
      <c r="K974" s="73">
        <f>IF($D974=1,INDEX(TblClusters[Tarif par nœud],$B974),"")</f>
        <v>1421</v>
      </c>
      <c r="L974" s="19">
        <f>IF($D974=1,INDEX(TblClusters[CPU initial (vCPU)],$B974),"")</f>
        <v>192</v>
      </c>
      <c r="M974" s="19">
        <f>IF($D974=1,INDEX(TblClusters[RAM initiale (Go)],$B974),"")</f>
        <v>1536</v>
      </c>
      <c r="N974" s="19">
        <f>IF($D974=1,INDEX(TblClusters[CPU min (vCPU)],$B974),"")</f>
        <v>96</v>
      </c>
      <c r="O974" s="19">
        <f>IF($D974=1,INDEX(TblClusters[RAM min (Go)],$B974),"")</f>
        <v>768</v>
      </c>
      <c r="P974" s="19">
        <f>IF($D974&lt;&gt;1,"",IF($G974="ROKS",SUMIFS(TblApplications[Besoin ROKS CPU (vCPU)],TblApplications[Cluster ROKS cible],$F974,TblApplications[Action],"À migrer",TblApplications[Déjà incluse ROKS],"Non",TblApplications[Mois prov (calc)],"&lt;="&amp;$E974),SUMIFS(TblApplications[CPU IKS libérable (vCPU)],TblApplications[Cluster IKS source],$F974,TblApplications[Mois lib (calc)],"&lt;="&amp;$E974)))</f>
        <v>0</v>
      </c>
      <c r="Q974" s="19">
        <f>IF($D974&lt;&gt;1,"",IF($G974="ROKS",SUMIFS(TblApplications[Besoin ROKS RAM (Go)],TblApplications[Cluster ROKS cible],$F974,TblApplications[Action],"À migrer",TblApplications[Déjà incluse ROKS],"Non",TblApplications[Mois prov (calc)],"&lt;="&amp;$E974),SUMIFS(TblApplications[RAM IKS libérable (Go)],TblApplications[Cluster IKS source],$F974,TblApplications[Mois lib (calc)],"&lt;="&amp;$E974)))</f>
        <v>0</v>
      </c>
      <c r="R974" s="19">
        <f t="shared" si="258"/>
        <v>192</v>
      </c>
      <c r="S974" s="19">
        <f t="shared" si="259"/>
        <v>1536</v>
      </c>
      <c r="T974" s="19">
        <f t="shared" si="260"/>
        <v>6</v>
      </c>
      <c r="U974" s="19">
        <f t="shared" si="261"/>
        <v>192</v>
      </c>
      <c r="V974" s="19">
        <f t="shared" si="262"/>
        <v>1536</v>
      </c>
      <c r="W974" s="73">
        <f t="shared" si="263"/>
        <v>8526</v>
      </c>
      <c r="X974" s="19">
        <f>IF($D974&lt;&gt;1,"",IF($G974="ROKS",$R974,IF($AI974=1,0,MAX($N974,$L974-SUMIFS(TblApplications[CPU IKS libérable (vCPU)],TblApplications[Cluster IKS source],$F974,TblApplications[Action],"À migrer",TblApplications[Mois prov (calc)],"&lt;="&amp;$E974)-SUMIFS(TblApplications[CPU IKS libérable (vCPU)],TblApplications[Cluster IKS source],$F974,TblApplications[Action],"À décommissionner",TblApplications[Mois lib (calc)],"&lt;="&amp;$E974)))))</f>
        <v>192</v>
      </c>
      <c r="Y974" s="19">
        <f>IF($D974&lt;&gt;1,"",IF($G974="ROKS",$S974,IF($AI974=1,0,MAX($O974,$M974-SUMIFS(TblApplications[RAM IKS libérable (Go)],TblApplications[Cluster IKS source],$F974,TblApplications[Action],"À migrer",TblApplications[Mois prov (calc)],"&lt;="&amp;$E974)-SUMIFS(TblApplications[RAM IKS libérable (Go)],TblApplications[Cluster IKS source],$F974,TblApplications[Action],"À décommissionner",TblApplications[Mois lib (calc)],"&lt;="&amp;$E974)))))</f>
        <v>1536</v>
      </c>
      <c r="Z974" s="19">
        <f t="shared" si="264"/>
        <v>6</v>
      </c>
      <c r="AA974" s="73">
        <f t="shared" si="265"/>
        <v>8526</v>
      </c>
      <c r="AB974" s="19">
        <f t="shared" si="266"/>
        <v>6</v>
      </c>
      <c r="AC974" s="73">
        <f t="shared" si="267"/>
        <v>8526</v>
      </c>
      <c r="AD974" s="19">
        <f t="shared" si="268"/>
        <v>0</v>
      </c>
      <c r="AE974" s="19">
        <f t="shared" si="269"/>
        <v>0</v>
      </c>
      <c r="AF974" s="19" t="str">
        <f>IF($D974&lt;&gt;1,"",IF(INDEX(TblClusters[Environnement],$B974)="","(vide)",INDEX(TblClusters[Environnement],$B974)))</f>
        <v>PRD</v>
      </c>
      <c r="AG974" s="19">
        <f t="shared" si="270"/>
        <v>345.6</v>
      </c>
      <c r="AH974" s="19">
        <f t="shared" si="271"/>
        <v>24.670138888888886</v>
      </c>
      <c r="AI974" s="19">
        <f>IF($D974&lt;&gt;1,"",IF(AND($G974="IKS",ISNUMBER(INDEX(TblClusters[Fermeture retenue],$B974))),IF($E974&gt;=INDEX(TblClusters[Fermeture retenue],$B974),1,0),0))</f>
        <v>0</v>
      </c>
    </row>
    <row r="975" spans="1:35" x14ac:dyDescent="0.2">
      <c r="A975" s="19">
        <v>970</v>
      </c>
      <c r="B975" s="19">
        <f t="shared" si="255"/>
        <v>27</v>
      </c>
      <c r="C975" s="19">
        <f t="shared" si="256"/>
        <v>34</v>
      </c>
      <c r="D975" s="19">
        <f>IF($C975&gt;p_horizon,0,IFERROR(IF(AND(INDEX(TblClusters[Cluster],$B975)&lt;&gt;"",ISNUMBER(INDEX(TblClusters[CPU initial (vCPU)],$B975)),ISNUMBER(INDEX(TblClusters[CPU min (vCPU)],$B975)),OR(INDEX(TblClusters[Plateforme],$B975)="IKS",INDEX(TblClusters[Plateforme],$B975)="ROKS")),1,0),0))</f>
        <v>1</v>
      </c>
      <c r="E975" s="72">
        <f t="shared" si="257"/>
        <v>47300</v>
      </c>
      <c r="F975" s="19" t="str">
        <f>IF($D975=1,INDEX(TblClusters[Cluster],$B975),"")</f>
        <v>ku002i000908</v>
      </c>
      <c r="G975" s="19" t="str">
        <f>IF($D975=1,INDEX(TblClusters[Plateforme],$B975),"")</f>
        <v>IKS</v>
      </c>
      <c r="H975" s="19">
        <f>IF($D975=1,INDEX(TblClusters[vCPU par nœud],$B975),"")</f>
        <v>32</v>
      </c>
      <c r="I975" s="19">
        <f>IF($D975=1,INDEX(TblClusters[RAM par nœud (Go)],$B975),"")</f>
        <v>256</v>
      </c>
      <c r="J975" s="19">
        <f>IF($D975=1,INDEX(TblClusters[Workers min],$B975),"")</f>
        <v>3</v>
      </c>
      <c r="K975" s="73">
        <f>IF($D975=1,INDEX(TblClusters[Tarif par nœud],$B975),"")</f>
        <v>1421</v>
      </c>
      <c r="L975" s="19">
        <f>IF($D975=1,INDEX(TblClusters[CPU initial (vCPU)],$B975),"")</f>
        <v>192</v>
      </c>
      <c r="M975" s="19">
        <f>IF($D975=1,INDEX(TblClusters[RAM initiale (Go)],$B975),"")</f>
        <v>1536</v>
      </c>
      <c r="N975" s="19">
        <f>IF($D975=1,INDEX(TblClusters[CPU min (vCPU)],$B975),"")</f>
        <v>96</v>
      </c>
      <c r="O975" s="19">
        <f>IF($D975=1,INDEX(TblClusters[RAM min (Go)],$B975),"")</f>
        <v>768</v>
      </c>
      <c r="P975" s="19">
        <f>IF($D975&lt;&gt;1,"",IF($G975="ROKS",SUMIFS(TblApplications[Besoin ROKS CPU (vCPU)],TblApplications[Cluster ROKS cible],$F975,TblApplications[Action],"À migrer",TblApplications[Déjà incluse ROKS],"Non",TblApplications[Mois prov (calc)],"&lt;="&amp;$E975),SUMIFS(TblApplications[CPU IKS libérable (vCPU)],TblApplications[Cluster IKS source],$F975,TblApplications[Mois lib (calc)],"&lt;="&amp;$E975)))</f>
        <v>0</v>
      </c>
      <c r="Q975" s="19">
        <f>IF($D975&lt;&gt;1,"",IF($G975="ROKS",SUMIFS(TblApplications[Besoin ROKS RAM (Go)],TblApplications[Cluster ROKS cible],$F975,TblApplications[Action],"À migrer",TblApplications[Déjà incluse ROKS],"Non",TblApplications[Mois prov (calc)],"&lt;="&amp;$E975),SUMIFS(TblApplications[RAM IKS libérable (Go)],TblApplications[Cluster IKS source],$F975,TblApplications[Mois lib (calc)],"&lt;="&amp;$E975)))</f>
        <v>0</v>
      </c>
      <c r="R975" s="19">
        <f t="shared" si="258"/>
        <v>192</v>
      </c>
      <c r="S975" s="19">
        <f t="shared" si="259"/>
        <v>1536</v>
      </c>
      <c r="T975" s="19">
        <f t="shared" si="260"/>
        <v>6</v>
      </c>
      <c r="U975" s="19">
        <f t="shared" si="261"/>
        <v>192</v>
      </c>
      <c r="V975" s="19">
        <f t="shared" si="262"/>
        <v>1536</v>
      </c>
      <c r="W975" s="73">
        <f t="shared" si="263"/>
        <v>8526</v>
      </c>
      <c r="X975" s="19">
        <f>IF($D975&lt;&gt;1,"",IF($G975="ROKS",$R975,IF($AI975=1,0,MAX($N975,$L975-SUMIFS(TblApplications[CPU IKS libérable (vCPU)],TblApplications[Cluster IKS source],$F975,TblApplications[Action],"À migrer",TblApplications[Mois prov (calc)],"&lt;="&amp;$E975)-SUMIFS(TblApplications[CPU IKS libérable (vCPU)],TblApplications[Cluster IKS source],$F975,TblApplications[Action],"À décommissionner",TblApplications[Mois lib (calc)],"&lt;="&amp;$E975)))))</f>
        <v>192</v>
      </c>
      <c r="Y975" s="19">
        <f>IF($D975&lt;&gt;1,"",IF($G975="ROKS",$S975,IF($AI975=1,0,MAX($O975,$M975-SUMIFS(TblApplications[RAM IKS libérable (Go)],TblApplications[Cluster IKS source],$F975,TblApplications[Action],"À migrer",TblApplications[Mois prov (calc)],"&lt;="&amp;$E975)-SUMIFS(TblApplications[RAM IKS libérable (Go)],TblApplications[Cluster IKS source],$F975,TblApplications[Action],"À décommissionner",TblApplications[Mois lib (calc)],"&lt;="&amp;$E975)))))</f>
        <v>1536</v>
      </c>
      <c r="Z975" s="19">
        <f t="shared" si="264"/>
        <v>6</v>
      </c>
      <c r="AA975" s="73">
        <f t="shared" si="265"/>
        <v>8526</v>
      </c>
      <c r="AB975" s="19">
        <f t="shared" si="266"/>
        <v>6</v>
      </c>
      <c r="AC975" s="73">
        <f t="shared" si="267"/>
        <v>8526</v>
      </c>
      <c r="AD975" s="19">
        <f t="shared" si="268"/>
        <v>0</v>
      </c>
      <c r="AE975" s="19">
        <f t="shared" si="269"/>
        <v>0</v>
      </c>
      <c r="AF975" s="19" t="str">
        <f>IF($D975&lt;&gt;1,"",IF(INDEX(TblClusters[Environnement],$B975)="","(vide)",INDEX(TblClusters[Environnement],$B975)))</f>
        <v>PRD</v>
      </c>
      <c r="AG975" s="19">
        <f t="shared" si="270"/>
        <v>345.6</v>
      </c>
      <c r="AH975" s="19">
        <f t="shared" si="271"/>
        <v>24.670138888888886</v>
      </c>
      <c r="AI975" s="19">
        <f>IF($D975&lt;&gt;1,"",IF(AND($G975="IKS",ISNUMBER(INDEX(TblClusters[Fermeture retenue],$B975))),IF($E975&gt;=INDEX(TblClusters[Fermeture retenue],$B975),1,0),0))</f>
        <v>0</v>
      </c>
    </row>
    <row r="976" spans="1:35" x14ac:dyDescent="0.2">
      <c r="A976" s="19">
        <v>971</v>
      </c>
      <c r="B976" s="19">
        <f t="shared" si="255"/>
        <v>27</v>
      </c>
      <c r="C976" s="19">
        <f t="shared" si="256"/>
        <v>35</v>
      </c>
      <c r="D976" s="19">
        <f>IF($C976&gt;p_horizon,0,IFERROR(IF(AND(INDEX(TblClusters[Cluster],$B976)&lt;&gt;"",ISNUMBER(INDEX(TblClusters[CPU initial (vCPU)],$B976)),ISNUMBER(INDEX(TblClusters[CPU min (vCPU)],$B976)),OR(INDEX(TblClusters[Plateforme],$B976)="IKS",INDEX(TblClusters[Plateforme],$B976)="ROKS")),1,0),0))</f>
        <v>1</v>
      </c>
      <c r="E976" s="72">
        <f t="shared" si="257"/>
        <v>47331</v>
      </c>
      <c r="F976" s="19" t="str">
        <f>IF($D976=1,INDEX(TblClusters[Cluster],$B976),"")</f>
        <v>ku002i000908</v>
      </c>
      <c r="G976" s="19" t="str">
        <f>IF($D976=1,INDEX(TblClusters[Plateforme],$B976),"")</f>
        <v>IKS</v>
      </c>
      <c r="H976" s="19">
        <f>IF($D976=1,INDEX(TblClusters[vCPU par nœud],$B976),"")</f>
        <v>32</v>
      </c>
      <c r="I976" s="19">
        <f>IF($D976=1,INDEX(TblClusters[RAM par nœud (Go)],$B976),"")</f>
        <v>256</v>
      </c>
      <c r="J976" s="19">
        <f>IF($D976=1,INDEX(TblClusters[Workers min],$B976),"")</f>
        <v>3</v>
      </c>
      <c r="K976" s="73">
        <f>IF($D976=1,INDEX(TblClusters[Tarif par nœud],$B976),"")</f>
        <v>1421</v>
      </c>
      <c r="L976" s="19">
        <f>IF($D976=1,INDEX(TblClusters[CPU initial (vCPU)],$B976),"")</f>
        <v>192</v>
      </c>
      <c r="M976" s="19">
        <f>IF($D976=1,INDEX(TblClusters[RAM initiale (Go)],$B976),"")</f>
        <v>1536</v>
      </c>
      <c r="N976" s="19">
        <f>IF($D976=1,INDEX(TblClusters[CPU min (vCPU)],$B976),"")</f>
        <v>96</v>
      </c>
      <c r="O976" s="19">
        <f>IF($D976=1,INDEX(TblClusters[RAM min (Go)],$B976),"")</f>
        <v>768</v>
      </c>
      <c r="P976" s="19">
        <f>IF($D976&lt;&gt;1,"",IF($G976="ROKS",SUMIFS(TblApplications[Besoin ROKS CPU (vCPU)],TblApplications[Cluster ROKS cible],$F976,TblApplications[Action],"À migrer",TblApplications[Déjà incluse ROKS],"Non",TblApplications[Mois prov (calc)],"&lt;="&amp;$E976),SUMIFS(TblApplications[CPU IKS libérable (vCPU)],TblApplications[Cluster IKS source],$F976,TblApplications[Mois lib (calc)],"&lt;="&amp;$E976)))</f>
        <v>0</v>
      </c>
      <c r="Q976" s="19">
        <f>IF($D976&lt;&gt;1,"",IF($G976="ROKS",SUMIFS(TblApplications[Besoin ROKS RAM (Go)],TblApplications[Cluster ROKS cible],$F976,TblApplications[Action],"À migrer",TblApplications[Déjà incluse ROKS],"Non",TblApplications[Mois prov (calc)],"&lt;="&amp;$E976),SUMIFS(TblApplications[RAM IKS libérable (Go)],TblApplications[Cluster IKS source],$F976,TblApplications[Mois lib (calc)],"&lt;="&amp;$E976)))</f>
        <v>0</v>
      </c>
      <c r="R976" s="19">
        <f t="shared" si="258"/>
        <v>192</v>
      </c>
      <c r="S976" s="19">
        <f t="shared" si="259"/>
        <v>1536</v>
      </c>
      <c r="T976" s="19">
        <f t="shared" si="260"/>
        <v>6</v>
      </c>
      <c r="U976" s="19">
        <f t="shared" si="261"/>
        <v>192</v>
      </c>
      <c r="V976" s="19">
        <f t="shared" si="262"/>
        <v>1536</v>
      </c>
      <c r="W976" s="73">
        <f t="shared" si="263"/>
        <v>8526</v>
      </c>
      <c r="X976" s="19">
        <f>IF($D976&lt;&gt;1,"",IF($G976="ROKS",$R976,IF($AI976=1,0,MAX($N976,$L976-SUMIFS(TblApplications[CPU IKS libérable (vCPU)],TblApplications[Cluster IKS source],$F976,TblApplications[Action],"À migrer",TblApplications[Mois prov (calc)],"&lt;="&amp;$E976)-SUMIFS(TblApplications[CPU IKS libérable (vCPU)],TblApplications[Cluster IKS source],$F976,TblApplications[Action],"À décommissionner",TblApplications[Mois lib (calc)],"&lt;="&amp;$E976)))))</f>
        <v>192</v>
      </c>
      <c r="Y976" s="19">
        <f>IF($D976&lt;&gt;1,"",IF($G976="ROKS",$S976,IF($AI976=1,0,MAX($O976,$M976-SUMIFS(TblApplications[RAM IKS libérable (Go)],TblApplications[Cluster IKS source],$F976,TblApplications[Action],"À migrer",TblApplications[Mois prov (calc)],"&lt;="&amp;$E976)-SUMIFS(TblApplications[RAM IKS libérable (Go)],TblApplications[Cluster IKS source],$F976,TblApplications[Action],"À décommissionner",TblApplications[Mois lib (calc)],"&lt;="&amp;$E976)))))</f>
        <v>1536</v>
      </c>
      <c r="Z976" s="19">
        <f t="shared" si="264"/>
        <v>6</v>
      </c>
      <c r="AA976" s="73">
        <f t="shared" si="265"/>
        <v>8526</v>
      </c>
      <c r="AB976" s="19">
        <f t="shared" si="266"/>
        <v>6</v>
      </c>
      <c r="AC976" s="73">
        <f t="shared" si="267"/>
        <v>8526</v>
      </c>
      <c r="AD976" s="19">
        <f t="shared" si="268"/>
        <v>0</v>
      </c>
      <c r="AE976" s="19">
        <f t="shared" si="269"/>
        <v>0</v>
      </c>
      <c r="AF976" s="19" t="str">
        <f>IF($D976&lt;&gt;1,"",IF(INDEX(TblClusters[Environnement],$B976)="","(vide)",INDEX(TblClusters[Environnement],$B976)))</f>
        <v>PRD</v>
      </c>
      <c r="AG976" s="19">
        <f t="shared" si="270"/>
        <v>345.6</v>
      </c>
      <c r="AH976" s="19">
        <f t="shared" si="271"/>
        <v>24.670138888888886</v>
      </c>
      <c r="AI976" s="19">
        <f>IF($D976&lt;&gt;1,"",IF(AND($G976="IKS",ISNUMBER(INDEX(TblClusters[Fermeture retenue],$B976))),IF($E976&gt;=INDEX(TblClusters[Fermeture retenue],$B976),1,0),0))</f>
        <v>0</v>
      </c>
    </row>
    <row r="977" spans="1:35" x14ac:dyDescent="0.2">
      <c r="A977" s="19">
        <v>972</v>
      </c>
      <c r="B977" s="19">
        <f t="shared" si="255"/>
        <v>27</v>
      </c>
      <c r="C977" s="19">
        <f t="shared" si="256"/>
        <v>36</v>
      </c>
      <c r="D977" s="19">
        <f>IF($C977&gt;p_horizon,0,IFERROR(IF(AND(INDEX(TblClusters[Cluster],$B977)&lt;&gt;"",ISNUMBER(INDEX(TblClusters[CPU initial (vCPU)],$B977)),ISNUMBER(INDEX(TblClusters[CPU min (vCPU)],$B977)),OR(INDEX(TblClusters[Plateforme],$B977)="IKS",INDEX(TblClusters[Plateforme],$B977)="ROKS")),1,0),0))</f>
        <v>1</v>
      </c>
      <c r="E977" s="72">
        <f t="shared" si="257"/>
        <v>47362</v>
      </c>
      <c r="F977" s="19" t="str">
        <f>IF($D977=1,INDEX(TblClusters[Cluster],$B977),"")</f>
        <v>ku002i000908</v>
      </c>
      <c r="G977" s="19" t="str">
        <f>IF($D977=1,INDEX(TblClusters[Plateforme],$B977),"")</f>
        <v>IKS</v>
      </c>
      <c r="H977" s="19">
        <f>IF($D977=1,INDEX(TblClusters[vCPU par nœud],$B977),"")</f>
        <v>32</v>
      </c>
      <c r="I977" s="19">
        <f>IF($D977=1,INDEX(TblClusters[RAM par nœud (Go)],$B977),"")</f>
        <v>256</v>
      </c>
      <c r="J977" s="19">
        <f>IF($D977=1,INDEX(TblClusters[Workers min],$B977),"")</f>
        <v>3</v>
      </c>
      <c r="K977" s="73">
        <f>IF($D977=1,INDEX(TblClusters[Tarif par nœud],$B977),"")</f>
        <v>1421</v>
      </c>
      <c r="L977" s="19">
        <f>IF($D977=1,INDEX(TblClusters[CPU initial (vCPU)],$B977),"")</f>
        <v>192</v>
      </c>
      <c r="M977" s="19">
        <f>IF($D977=1,INDEX(TblClusters[RAM initiale (Go)],$B977),"")</f>
        <v>1536</v>
      </c>
      <c r="N977" s="19">
        <f>IF($D977=1,INDEX(TblClusters[CPU min (vCPU)],$B977),"")</f>
        <v>96</v>
      </c>
      <c r="O977" s="19">
        <f>IF($D977=1,INDEX(TblClusters[RAM min (Go)],$B977),"")</f>
        <v>768</v>
      </c>
      <c r="P977" s="19">
        <f>IF($D977&lt;&gt;1,"",IF($G977="ROKS",SUMIFS(TblApplications[Besoin ROKS CPU (vCPU)],TblApplications[Cluster ROKS cible],$F977,TblApplications[Action],"À migrer",TblApplications[Déjà incluse ROKS],"Non",TblApplications[Mois prov (calc)],"&lt;="&amp;$E977),SUMIFS(TblApplications[CPU IKS libérable (vCPU)],TblApplications[Cluster IKS source],$F977,TblApplications[Mois lib (calc)],"&lt;="&amp;$E977)))</f>
        <v>0</v>
      </c>
      <c r="Q977" s="19">
        <f>IF($D977&lt;&gt;1,"",IF($G977="ROKS",SUMIFS(TblApplications[Besoin ROKS RAM (Go)],TblApplications[Cluster ROKS cible],$F977,TblApplications[Action],"À migrer",TblApplications[Déjà incluse ROKS],"Non",TblApplications[Mois prov (calc)],"&lt;="&amp;$E977),SUMIFS(TblApplications[RAM IKS libérable (Go)],TblApplications[Cluster IKS source],$F977,TblApplications[Mois lib (calc)],"&lt;="&amp;$E977)))</f>
        <v>0</v>
      </c>
      <c r="R977" s="19">
        <f t="shared" si="258"/>
        <v>192</v>
      </c>
      <c r="S977" s="19">
        <f t="shared" si="259"/>
        <v>1536</v>
      </c>
      <c r="T977" s="19">
        <f t="shared" si="260"/>
        <v>6</v>
      </c>
      <c r="U977" s="19">
        <f t="shared" si="261"/>
        <v>192</v>
      </c>
      <c r="V977" s="19">
        <f t="shared" si="262"/>
        <v>1536</v>
      </c>
      <c r="W977" s="73">
        <f t="shared" si="263"/>
        <v>8526</v>
      </c>
      <c r="X977" s="19">
        <f>IF($D977&lt;&gt;1,"",IF($G977="ROKS",$R977,IF($AI977=1,0,MAX($N977,$L977-SUMIFS(TblApplications[CPU IKS libérable (vCPU)],TblApplications[Cluster IKS source],$F977,TblApplications[Action],"À migrer",TblApplications[Mois prov (calc)],"&lt;="&amp;$E977)-SUMIFS(TblApplications[CPU IKS libérable (vCPU)],TblApplications[Cluster IKS source],$F977,TblApplications[Action],"À décommissionner",TblApplications[Mois lib (calc)],"&lt;="&amp;$E977)))))</f>
        <v>192</v>
      </c>
      <c r="Y977" s="19">
        <f>IF($D977&lt;&gt;1,"",IF($G977="ROKS",$S977,IF($AI977=1,0,MAX($O977,$M977-SUMIFS(TblApplications[RAM IKS libérable (Go)],TblApplications[Cluster IKS source],$F977,TblApplications[Action],"À migrer",TblApplications[Mois prov (calc)],"&lt;="&amp;$E977)-SUMIFS(TblApplications[RAM IKS libérable (Go)],TblApplications[Cluster IKS source],$F977,TblApplications[Action],"À décommissionner",TblApplications[Mois lib (calc)],"&lt;="&amp;$E977)))))</f>
        <v>1536</v>
      </c>
      <c r="Z977" s="19">
        <f t="shared" si="264"/>
        <v>6</v>
      </c>
      <c r="AA977" s="73">
        <f t="shared" si="265"/>
        <v>8526</v>
      </c>
      <c r="AB977" s="19">
        <f t="shared" si="266"/>
        <v>6</v>
      </c>
      <c r="AC977" s="73">
        <f t="shared" si="267"/>
        <v>8526</v>
      </c>
      <c r="AD977" s="19">
        <f t="shared" si="268"/>
        <v>0</v>
      </c>
      <c r="AE977" s="19">
        <f t="shared" si="269"/>
        <v>0</v>
      </c>
      <c r="AF977" s="19" t="str">
        <f>IF($D977&lt;&gt;1,"",IF(INDEX(TblClusters[Environnement],$B977)="","(vide)",INDEX(TblClusters[Environnement],$B977)))</f>
        <v>PRD</v>
      </c>
      <c r="AG977" s="19">
        <f t="shared" si="270"/>
        <v>345.6</v>
      </c>
      <c r="AH977" s="19">
        <f t="shared" si="271"/>
        <v>24.670138888888886</v>
      </c>
      <c r="AI977" s="19">
        <f>IF($D977&lt;&gt;1,"",IF(AND($G977="IKS",ISNUMBER(INDEX(TblClusters[Fermeture retenue],$B977))),IF($E977&gt;=INDEX(TblClusters[Fermeture retenue],$B977),1,0),0))</f>
        <v>0</v>
      </c>
    </row>
    <row r="978" spans="1:35" x14ac:dyDescent="0.2">
      <c r="A978" s="19">
        <v>973</v>
      </c>
      <c r="B978" s="19">
        <f t="shared" si="255"/>
        <v>28</v>
      </c>
      <c r="C978" s="19">
        <f t="shared" si="256"/>
        <v>1</v>
      </c>
      <c r="D978" s="19">
        <f>IF($C978&gt;p_horizon,0,IFERROR(IF(AND(INDEX(TblClusters[Cluster],$B978)&lt;&gt;"",ISNUMBER(INDEX(TblClusters[CPU initial (vCPU)],$B978)),ISNUMBER(INDEX(TblClusters[CPU min (vCPU)],$B978)),OR(INDEX(TblClusters[Plateforme],$B978)="IKS",INDEX(TblClusters[Plateforme],$B978)="ROKS")),1,0),0))</f>
        <v>1</v>
      </c>
      <c r="E978" s="72">
        <f t="shared" si="257"/>
        <v>46296</v>
      </c>
      <c r="F978" s="19" t="str">
        <f>IF($D978=1,INDEX(TblClusters[Cluster],$B978),"")</f>
        <v>ku002i001021</v>
      </c>
      <c r="G978" s="19" t="str">
        <f>IF($D978=1,INDEX(TblClusters[Plateforme],$B978),"")</f>
        <v>IKS</v>
      </c>
      <c r="H978" s="19">
        <f>IF($D978=1,INDEX(TblClusters[vCPU par nœud],$B978),"")</f>
        <v>32</v>
      </c>
      <c r="I978" s="19">
        <f>IF($D978=1,INDEX(TblClusters[RAM par nœud (Go)],$B978),"")</f>
        <v>256</v>
      </c>
      <c r="J978" s="19">
        <f>IF($D978=1,INDEX(TblClusters[Workers min],$B978),"")</f>
        <v>3</v>
      </c>
      <c r="K978" s="73">
        <f>IF($D978=1,INDEX(TblClusters[Tarif par nœud],$B978),"")</f>
        <v>1421</v>
      </c>
      <c r="L978" s="19">
        <f>IF($D978=1,INDEX(TblClusters[CPU initial (vCPU)],$B978),"")</f>
        <v>288</v>
      </c>
      <c r="M978" s="19">
        <f>IF($D978=1,INDEX(TblClusters[RAM initiale (Go)],$B978),"")</f>
        <v>2304</v>
      </c>
      <c r="N978" s="19">
        <f>IF($D978=1,INDEX(TblClusters[CPU min (vCPU)],$B978),"")</f>
        <v>96</v>
      </c>
      <c r="O978" s="19">
        <f>IF($D978=1,INDEX(TblClusters[RAM min (Go)],$B978),"")</f>
        <v>768</v>
      </c>
      <c r="P978" s="19">
        <f>IF($D978&lt;&gt;1,"",IF($G978="ROKS",SUMIFS(TblApplications[Besoin ROKS CPU (vCPU)],TblApplications[Cluster ROKS cible],$F978,TblApplications[Action],"À migrer",TblApplications[Déjà incluse ROKS],"Non",TblApplications[Mois prov (calc)],"&lt;="&amp;$E978),SUMIFS(TblApplications[CPU IKS libérable (vCPU)],TblApplications[Cluster IKS source],$F978,TblApplications[Mois lib (calc)],"&lt;="&amp;$E978)))</f>
        <v>0</v>
      </c>
      <c r="Q978" s="19">
        <f>IF($D978&lt;&gt;1,"",IF($G978="ROKS",SUMIFS(TblApplications[Besoin ROKS RAM (Go)],TblApplications[Cluster ROKS cible],$F978,TblApplications[Action],"À migrer",TblApplications[Déjà incluse ROKS],"Non",TblApplications[Mois prov (calc)],"&lt;="&amp;$E978),SUMIFS(TblApplications[RAM IKS libérable (Go)],TblApplications[Cluster IKS source],$F978,TblApplications[Mois lib (calc)],"&lt;="&amp;$E978)))</f>
        <v>0</v>
      </c>
      <c r="R978" s="19">
        <f t="shared" si="258"/>
        <v>288</v>
      </c>
      <c r="S978" s="19">
        <f t="shared" si="259"/>
        <v>2304</v>
      </c>
      <c r="T978" s="19">
        <f t="shared" si="260"/>
        <v>9</v>
      </c>
      <c r="U978" s="19">
        <f t="shared" si="261"/>
        <v>288</v>
      </c>
      <c r="V978" s="19">
        <f t="shared" si="262"/>
        <v>2304</v>
      </c>
      <c r="W978" s="73">
        <f t="shared" si="263"/>
        <v>12789</v>
      </c>
      <c r="X978" s="19">
        <f>IF($D978&lt;&gt;1,"",IF($G978="ROKS",$R978,IF($AI978=1,0,MAX($N978,$L978-SUMIFS(TblApplications[CPU IKS libérable (vCPU)],TblApplications[Cluster IKS source],$F978,TblApplications[Action],"À migrer",TblApplications[Mois prov (calc)],"&lt;="&amp;$E978)-SUMIFS(TblApplications[CPU IKS libérable (vCPU)],TblApplications[Cluster IKS source],$F978,TblApplications[Action],"À décommissionner",TblApplications[Mois lib (calc)],"&lt;="&amp;$E978)))))</f>
        <v>288</v>
      </c>
      <c r="Y978" s="19">
        <f>IF($D978&lt;&gt;1,"",IF($G978="ROKS",$S978,IF($AI978=1,0,MAX($O978,$M978-SUMIFS(TblApplications[RAM IKS libérable (Go)],TblApplications[Cluster IKS source],$F978,TblApplications[Action],"À migrer",TblApplications[Mois prov (calc)],"&lt;="&amp;$E978)-SUMIFS(TblApplications[RAM IKS libérable (Go)],TblApplications[Cluster IKS source],$F978,TblApplications[Action],"À décommissionner",TblApplications[Mois lib (calc)],"&lt;="&amp;$E978)))))</f>
        <v>2304</v>
      </c>
      <c r="Z978" s="19">
        <f t="shared" si="264"/>
        <v>9</v>
      </c>
      <c r="AA978" s="73">
        <f t="shared" si="265"/>
        <v>12789</v>
      </c>
      <c r="AB978" s="19">
        <f t="shared" si="266"/>
        <v>9</v>
      </c>
      <c r="AC978" s="73">
        <f t="shared" si="267"/>
        <v>12789</v>
      </c>
      <c r="AD978" s="19">
        <f t="shared" si="268"/>
        <v>0</v>
      </c>
      <c r="AE978" s="19">
        <f t="shared" si="269"/>
        <v>0</v>
      </c>
      <c r="AF978" s="19" t="str">
        <f>IF($D978&lt;&gt;1,"",IF(INDEX(TblClusters[Environnement],$B978)="","(vide)",INDEX(TblClusters[Environnement],$B978)))</f>
        <v>NPRD</v>
      </c>
      <c r="AG978" s="19">
        <f t="shared" si="270"/>
        <v>518.4</v>
      </c>
      <c r="AH978" s="19">
        <f t="shared" si="271"/>
        <v>24.670138888888889</v>
      </c>
      <c r="AI978" s="19">
        <f>IF($D978&lt;&gt;1,"",IF(AND($G978="IKS",ISNUMBER(INDEX(TblClusters[Fermeture retenue],$B978))),IF($E978&gt;=INDEX(TblClusters[Fermeture retenue],$B978),1,0),0))</f>
        <v>0</v>
      </c>
    </row>
    <row r="979" spans="1:35" x14ac:dyDescent="0.2">
      <c r="A979" s="19">
        <v>974</v>
      </c>
      <c r="B979" s="19">
        <f t="shared" si="255"/>
        <v>28</v>
      </c>
      <c r="C979" s="19">
        <f t="shared" si="256"/>
        <v>2</v>
      </c>
      <c r="D979" s="19">
        <f>IF($C979&gt;p_horizon,0,IFERROR(IF(AND(INDEX(TblClusters[Cluster],$B979)&lt;&gt;"",ISNUMBER(INDEX(TblClusters[CPU initial (vCPU)],$B979)),ISNUMBER(INDEX(TblClusters[CPU min (vCPU)],$B979)),OR(INDEX(TblClusters[Plateforme],$B979)="IKS",INDEX(TblClusters[Plateforme],$B979)="ROKS")),1,0),0))</f>
        <v>1</v>
      </c>
      <c r="E979" s="72">
        <f t="shared" si="257"/>
        <v>46327</v>
      </c>
      <c r="F979" s="19" t="str">
        <f>IF($D979=1,INDEX(TblClusters[Cluster],$B979),"")</f>
        <v>ku002i001021</v>
      </c>
      <c r="G979" s="19" t="str">
        <f>IF($D979=1,INDEX(TblClusters[Plateforme],$B979),"")</f>
        <v>IKS</v>
      </c>
      <c r="H979" s="19">
        <f>IF($D979=1,INDEX(TblClusters[vCPU par nœud],$B979),"")</f>
        <v>32</v>
      </c>
      <c r="I979" s="19">
        <f>IF($D979=1,INDEX(TblClusters[RAM par nœud (Go)],$B979),"")</f>
        <v>256</v>
      </c>
      <c r="J979" s="19">
        <f>IF($D979=1,INDEX(TblClusters[Workers min],$B979),"")</f>
        <v>3</v>
      </c>
      <c r="K979" s="73">
        <f>IF($D979=1,INDEX(TblClusters[Tarif par nœud],$B979),"")</f>
        <v>1421</v>
      </c>
      <c r="L979" s="19">
        <f>IF($D979=1,INDEX(TblClusters[CPU initial (vCPU)],$B979),"")</f>
        <v>288</v>
      </c>
      <c r="M979" s="19">
        <f>IF($D979=1,INDEX(TblClusters[RAM initiale (Go)],$B979),"")</f>
        <v>2304</v>
      </c>
      <c r="N979" s="19">
        <f>IF($D979=1,INDEX(TblClusters[CPU min (vCPU)],$B979),"")</f>
        <v>96</v>
      </c>
      <c r="O979" s="19">
        <f>IF($D979=1,INDEX(TblClusters[RAM min (Go)],$B979),"")</f>
        <v>768</v>
      </c>
      <c r="P979" s="19">
        <f>IF($D979&lt;&gt;1,"",IF($G979="ROKS",SUMIFS(TblApplications[Besoin ROKS CPU (vCPU)],TblApplications[Cluster ROKS cible],$F979,TblApplications[Action],"À migrer",TblApplications[Déjà incluse ROKS],"Non",TblApplications[Mois prov (calc)],"&lt;="&amp;$E979),SUMIFS(TblApplications[CPU IKS libérable (vCPU)],TblApplications[Cluster IKS source],$F979,TblApplications[Mois lib (calc)],"&lt;="&amp;$E979)))</f>
        <v>0</v>
      </c>
      <c r="Q979" s="19">
        <f>IF($D979&lt;&gt;1,"",IF($G979="ROKS",SUMIFS(TblApplications[Besoin ROKS RAM (Go)],TblApplications[Cluster ROKS cible],$F979,TblApplications[Action],"À migrer",TblApplications[Déjà incluse ROKS],"Non",TblApplications[Mois prov (calc)],"&lt;="&amp;$E979),SUMIFS(TblApplications[RAM IKS libérable (Go)],TblApplications[Cluster IKS source],$F979,TblApplications[Mois lib (calc)],"&lt;="&amp;$E979)))</f>
        <v>0</v>
      </c>
      <c r="R979" s="19">
        <f t="shared" si="258"/>
        <v>288</v>
      </c>
      <c r="S979" s="19">
        <f t="shared" si="259"/>
        <v>2304</v>
      </c>
      <c r="T979" s="19">
        <f t="shared" si="260"/>
        <v>9</v>
      </c>
      <c r="U979" s="19">
        <f t="shared" si="261"/>
        <v>288</v>
      </c>
      <c r="V979" s="19">
        <f t="shared" si="262"/>
        <v>2304</v>
      </c>
      <c r="W979" s="73">
        <f t="shared" si="263"/>
        <v>12789</v>
      </c>
      <c r="X979" s="19">
        <f>IF($D979&lt;&gt;1,"",IF($G979="ROKS",$R979,IF($AI979=1,0,MAX($N979,$L979-SUMIFS(TblApplications[CPU IKS libérable (vCPU)],TblApplications[Cluster IKS source],$F979,TblApplications[Action],"À migrer",TblApplications[Mois prov (calc)],"&lt;="&amp;$E979)-SUMIFS(TblApplications[CPU IKS libérable (vCPU)],TblApplications[Cluster IKS source],$F979,TblApplications[Action],"À décommissionner",TblApplications[Mois lib (calc)],"&lt;="&amp;$E979)))))</f>
        <v>288</v>
      </c>
      <c r="Y979" s="19">
        <f>IF($D979&lt;&gt;1,"",IF($G979="ROKS",$S979,IF($AI979=1,0,MAX($O979,$M979-SUMIFS(TblApplications[RAM IKS libérable (Go)],TblApplications[Cluster IKS source],$F979,TblApplications[Action],"À migrer",TblApplications[Mois prov (calc)],"&lt;="&amp;$E979)-SUMIFS(TblApplications[RAM IKS libérable (Go)],TblApplications[Cluster IKS source],$F979,TblApplications[Action],"À décommissionner",TblApplications[Mois lib (calc)],"&lt;="&amp;$E979)))))</f>
        <v>2304</v>
      </c>
      <c r="Z979" s="19">
        <f t="shared" si="264"/>
        <v>9</v>
      </c>
      <c r="AA979" s="73">
        <f t="shared" si="265"/>
        <v>12789</v>
      </c>
      <c r="AB979" s="19">
        <f t="shared" si="266"/>
        <v>9</v>
      </c>
      <c r="AC979" s="73">
        <f t="shared" si="267"/>
        <v>12789</v>
      </c>
      <c r="AD979" s="19">
        <f t="shared" si="268"/>
        <v>0</v>
      </c>
      <c r="AE979" s="19">
        <f t="shared" si="269"/>
        <v>0</v>
      </c>
      <c r="AF979" s="19" t="str">
        <f>IF($D979&lt;&gt;1,"",IF(INDEX(TblClusters[Environnement],$B979)="","(vide)",INDEX(TblClusters[Environnement],$B979)))</f>
        <v>NPRD</v>
      </c>
      <c r="AG979" s="19">
        <f t="shared" si="270"/>
        <v>518.4</v>
      </c>
      <c r="AH979" s="19">
        <f t="shared" si="271"/>
        <v>24.670138888888889</v>
      </c>
      <c r="AI979" s="19">
        <f>IF($D979&lt;&gt;1,"",IF(AND($G979="IKS",ISNUMBER(INDEX(TblClusters[Fermeture retenue],$B979))),IF($E979&gt;=INDEX(TblClusters[Fermeture retenue],$B979),1,0),0))</f>
        <v>0</v>
      </c>
    </row>
    <row r="980" spans="1:35" x14ac:dyDescent="0.2">
      <c r="A980" s="19">
        <v>975</v>
      </c>
      <c r="B980" s="19">
        <f t="shared" si="255"/>
        <v>28</v>
      </c>
      <c r="C980" s="19">
        <f t="shared" si="256"/>
        <v>3</v>
      </c>
      <c r="D980" s="19">
        <f>IF($C980&gt;p_horizon,0,IFERROR(IF(AND(INDEX(TblClusters[Cluster],$B980)&lt;&gt;"",ISNUMBER(INDEX(TblClusters[CPU initial (vCPU)],$B980)),ISNUMBER(INDEX(TblClusters[CPU min (vCPU)],$B980)),OR(INDEX(TblClusters[Plateforme],$B980)="IKS",INDEX(TblClusters[Plateforme],$B980)="ROKS")),1,0),0))</f>
        <v>1</v>
      </c>
      <c r="E980" s="72">
        <f t="shared" si="257"/>
        <v>46357</v>
      </c>
      <c r="F980" s="19" t="str">
        <f>IF($D980=1,INDEX(TblClusters[Cluster],$B980),"")</f>
        <v>ku002i001021</v>
      </c>
      <c r="G980" s="19" t="str">
        <f>IF($D980=1,INDEX(TblClusters[Plateforme],$B980),"")</f>
        <v>IKS</v>
      </c>
      <c r="H980" s="19">
        <f>IF($D980=1,INDEX(TblClusters[vCPU par nœud],$B980),"")</f>
        <v>32</v>
      </c>
      <c r="I980" s="19">
        <f>IF($D980=1,INDEX(TblClusters[RAM par nœud (Go)],$B980),"")</f>
        <v>256</v>
      </c>
      <c r="J980" s="19">
        <f>IF($D980=1,INDEX(TblClusters[Workers min],$B980),"")</f>
        <v>3</v>
      </c>
      <c r="K980" s="73">
        <f>IF($D980=1,INDEX(TblClusters[Tarif par nœud],$B980),"")</f>
        <v>1421</v>
      </c>
      <c r="L980" s="19">
        <f>IF($D980=1,INDEX(TblClusters[CPU initial (vCPU)],$B980),"")</f>
        <v>288</v>
      </c>
      <c r="M980" s="19">
        <f>IF($D980=1,INDEX(TblClusters[RAM initiale (Go)],$B980),"")</f>
        <v>2304</v>
      </c>
      <c r="N980" s="19">
        <f>IF($D980=1,INDEX(TblClusters[CPU min (vCPU)],$B980),"")</f>
        <v>96</v>
      </c>
      <c r="O980" s="19">
        <f>IF($D980=1,INDEX(TblClusters[RAM min (Go)],$B980),"")</f>
        <v>768</v>
      </c>
      <c r="P980" s="19">
        <f>IF($D980&lt;&gt;1,"",IF($G980="ROKS",SUMIFS(TblApplications[Besoin ROKS CPU (vCPU)],TblApplications[Cluster ROKS cible],$F980,TblApplications[Action],"À migrer",TblApplications[Déjà incluse ROKS],"Non",TblApplications[Mois prov (calc)],"&lt;="&amp;$E980),SUMIFS(TblApplications[CPU IKS libérable (vCPU)],TblApplications[Cluster IKS source],$F980,TblApplications[Mois lib (calc)],"&lt;="&amp;$E980)))</f>
        <v>0</v>
      </c>
      <c r="Q980" s="19">
        <f>IF($D980&lt;&gt;1,"",IF($G980="ROKS",SUMIFS(TblApplications[Besoin ROKS RAM (Go)],TblApplications[Cluster ROKS cible],$F980,TblApplications[Action],"À migrer",TblApplications[Déjà incluse ROKS],"Non",TblApplications[Mois prov (calc)],"&lt;="&amp;$E980),SUMIFS(TblApplications[RAM IKS libérable (Go)],TblApplications[Cluster IKS source],$F980,TblApplications[Mois lib (calc)],"&lt;="&amp;$E980)))</f>
        <v>0</v>
      </c>
      <c r="R980" s="19">
        <f t="shared" si="258"/>
        <v>288</v>
      </c>
      <c r="S980" s="19">
        <f t="shared" si="259"/>
        <v>2304</v>
      </c>
      <c r="T980" s="19">
        <f t="shared" si="260"/>
        <v>9</v>
      </c>
      <c r="U980" s="19">
        <f t="shared" si="261"/>
        <v>288</v>
      </c>
      <c r="V980" s="19">
        <f t="shared" si="262"/>
        <v>2304</v>
      </c>
      <c r="W980" s="73">
        <f t="shared" si="263"/>
        <v>12789</v>
      </c>
      <c r="X980" s="19">
        <f>IF($D980&lt;&gt;1,"",IF($G980="ROKS",$R980,IF($AI980=1,0,MAX($N980,$L980-SUMIFS(TblApplications[CPU IKS libérable (vCPU)],TblApplications[Cluster IKS source],$F980,TblApplications[Action],"À migrer",TblApplications[Mois prov (calc)],"&lt;="&amp;$E980)-SUMIFS(TblApplications[CPU IKS libérable (vCPU)],TblApplications[Cluster IKS source],$F980,TblApplications[Action],"À décommissionner",TblApplications[Mois lib (calc)],"&lt;="&amp;$E980)))))</f>
        <v>288</v>
      </c>
      <c r="Y980" s="19">
        <f>IF($D980&lt;&gt;1,"",IF($G980="ROKS",$S980,IF($AI980=1,0,MAX($O980,$M980-SUMIFS(TblApplications[RAM IKS libérable (Go)],TblApplications[Cluster IKS source],$F980,TblApplications[Action],"À migrer",TblApplications[Mois prov (calc)],"&lt;="&amp;$E980)-SUMIFS(TblApplications[RAM IKS libérable (Go)],TblApplications[Cluster IKS source],$F980,TblApplications[Action],"À décommissionner",TblApplications[Mois lib (calc)],"&lt;="&amp;$E980)))))</f>
        <v>2304</v>
      </c>
      <c r="Z980" s="19">
        <f t="shared" si="264"/>
        <v>9</v>
      </c>
      <c r="AA980" s="73">
        <f t="shared" si="265"/>
        <v>12789</v>
      </c>
      <c r="AB980" s="19">
        <f t="shared" si="266"/>
        <v>9</v>
      </c>
      <c r="AC980" s="73">
        <f t="shared" si="267"/>
        <v>12789</v>
      </c>
      <c r="AD980" s="19">
        <f t="shared" si="268"/>
        <v>0</v>
      </c>
      <c r="AE980" s="19">
        <f t="shared" si="269"/>
        <v>0</v>
      </c>
      <c r="AF980" s="19" t="str">
        <f>IF($D980&lt;&gt;1,"",IF(INDEX(TblClusters[Environnement],$B980)="","(vide)",INDEX(TblClusters[Environnement],$B980)))</f>
        <v>NPRD</v>
      </c>
      <c r="AG980" s="19">
        <f t="shared" si="270"/>
        <v>518.4</v>
      </c>
      <c r="AH980" s="19">
        <f t="shared" si="271"/>
        <v>24.670138888888889</v>
      </c>
      <c r="AI980" s="19">
        <f>IF($D980&lt;&gt;1,"",IF(AND($G980="IKS",ISNUMBER(INDEX(TblClusters[Fermeture retenue],$B980))),IF($E980&gt;=INDEX(TblClusters[Fermeture retenue],$B980),1,0),0))</f>
        <v>0</v>
      </c>
    </row>
    <row r="981" spans="1:35" x14ac:dyDescent="0.2">
      <c r="A981" s="19">
        <v>976</v>
      </c>
      <c r="B981" s="19">
        <f t="shared" si="255"/>
        <v>28</v>
      </c>
      <c r="C981" s="19">
        <f t="shared" si="256"/>
        <v>4</v>
      </c>
      <c r="D981" s="19">
        <f>IF($C981&gt;p_horizon,0,IFERROR(IF(AND(INDEX(TblClusters[Cluster],$B981)&lt;&gt;"",ISNUMBER(INDEX(TblClusters[CPU initial (vCPU)],$B981)),ISNUMBER(INDEX(TblClusters[CPU min (vCPU)],$B981)),OR(INDEX(TblClusters[Plateforme],$B981)="IKS",INDEX(TblClusters[Plateforme],$B981)="ROKS")),1,0),0))</f>
        <v>1</v>
      </c>
      <c r="E981" s="72">
        <f t="shared" si="257"/>
        <v>46388</v>
      </c>
      <c r="F981" s="19" t="str">
        <f>IF($D981=1,INDEX(TblClusters[Cluster],$B981),"")</f>
        <v>ku002i001021</v>
      </c>
      <c r="G981" s="19" t="str">
        <f>IF($D981=1,INDEX(TblClusters[Plateforme],$B981),"")</f>
        <v>IKS</v>
      </c>
      <c r="H981" s="19">
        <f>IF($D981=1,INDEX(TblClusters[vCPU par nœud],$B981),"")</f>
        <v>32</v>
      </c>
      <c r="I981" s="19">
        <f>IF($D981=1,INDEX(TblClusters[RAM par nœud (Go)],$B981),"")</f>
        <v>256</v>
      </c>
      <c r="J981" s="19">
        <f>IF($D981=1,INDEX(TblClusters[Workers min],$B981),"")</f>
        <v>3</v>
      </c>
      <c r="K981" s="73">
        <f>IF($D981=1,INDEX(TblClusters[Tarif par nœud],$B981),"")</f>
        <v>1421</v>
      </c>
      <c r="L981" s="19">
        <f>IF($D981=1,INDEX(TblClusters[CPU initial (vCPU)],$B981),"")</f>
        <v>288</v>
      </c>
      <c r="M981" s="19">
        <f>IF($D981=1,INDEX(TblClusters[RAM initiale (Go)],$B981),"")</f>
        <v>2304</v>
      </c>
      <c r="N981" s="19">
        <f>IF($D981=1,INDEX(TblClusters[CPU min (vCPU)],$B981),"")</f>
        <v>96</v>
      </c>
      <c r="O981" s="19">
        <f>IF($D981=1,INDEX(TblClusters[RAM min (Go)],$B981),"")</f>
        <v>768</v>
      </c>
      <c r="P981" s="19">
        <f>IF($D981&lt;&gt;1,"",IF($G981="ROKS",SUMIFS(TblApplications[Besoin ROKS CPU (vCPU)],TblApplications[Cluster ROKS cible],$F981,TblApplications[Action],"À migrer",TblApplications[Déjà incluse ROKS],"Non",TblApplications[Mois prov (calc)],"&lt;="&amp;$E981),SUMIFS(TblApplications[CPU IKS libérable (vCPU)],TblApplications[Cluster IKS source],$F981,TblApplications[Mois lib (calc)],"&lt;="&amp;$E981)))</f>
        <v>0</v>
      </c>
      <c r="Q981" s="19">
        <f>IF($D981&lt;&gt;1,"",IF($G981="ROKS",SUMIFS(TblApplications[Besoin ROKS RAM (Go)],TblApplications[Cluster ROKS cible],$F981,TblApplications[Action],"À migrer",TblApplications[Déjà incluse ROKS],"Non",TblApplications[Mois prov (calc)],"&lt;="&amp;$E981),SUMIFS(TblApplications[RAM IKS libérable (Go)],TblApplications[Cluster IKS source],$F981,TblApplications[Mois lib (calc)],"&lt;="&amp;$E981)))</f>
        <v>0</v>
      </c>
      <c r="R981" s="19">
        <f t="shared" si="258"/>
        <v>288</v>
      </c>
      <c r="S981" s="19">
        <f t="shared" si="259"/>
        <v>2304</v>
      </c>
      <c r="T981" s="19">
        <f t="shared" si="260"/>
        <v>9</v>
      </c>
      <c r="U981" s="19">
        <f t="shared" si="261"/>
        <v>288</v>
      </c>
      <c r="V981" s="19">
        <f t="shared" si="262"/>
        <v>2304</v>
      </c>
      <c r="W981" s="73">
        <f t="shared" si="263"/>
        <v>12789</v>
      </c>
      <c r="X981" s="19">
        <f>IF($D981&lt;&gt;1,"",IF($G981="ROKS",$R981,IF($AI981=1,0,MAX($N981,$L981-SUMIFS(TblApplications[CPU IKS libérable (vCPU)],TblApplications[Cluster IKS source],$F981,TblApplications[Action],"À migrer",TblApplications[Mois prov (calc)],"&lt;="&amp;$E981)-SUMIFS(TblApplications[CPU IKS libérable (vCPU)],TblApplications[Cluster IKS source],$F981,TblApplications[Action],"À décommissionner",TblApplications[Mois lib (calc)],"&lt;="&amp;$E981)))))</f>
        <v>288</v>
      </c>
      <c r="Y981" s="19">
        <f>IF($D981&lt;&gt;1,"",IF($G981="ROKS",$S981,IF($AI981=1,0,MAX($O981,$M981-SUMIFS(TblApplications[RAM IKS libérable (Go)],TblApplications[Cluster IKS source],$F981,TblApplications[Action],"À migrer",TblApplications[Mois prov (calc)],"&lt;="&amp;$E981)-SUMIFS(TblApplications[RAM IKS libérable (Go)],TblApplications[Cluster IKS source],$F981,TblApplications[Action],"À décommissionner",TblApplications[Mois lib (calc)],"&lt;="&amp;$E981)))))</f>
        <v>2304</v>
      </c>
      <c r="Z981" s="19">
        <f t="shared" si="264"/>
        <v>9</v>
      </c>
      <c r="AA981" s="73">
        <f t="shared" si="265"/>
        <v>12789</v>
      </c>
      <c r="AB981" s="19">
        <f t="shared" si="266"/>
        <v>9</v>
      </c>
      <c r="AC981" s="73">
        <f t="shared" si="267"/>
        <v>12789</v>
      </c>
      <c r="AD981" s="19">
        <f t="shared" si="268"/>
        <v>0</v>
      </c>
      <c r="AE981" s="19">
        <f t="shared" si="269"/>
        <v>0</v>
      </c>
      <c r="AF981" s="19" t="str">
        <f>IF($D981&lt;&gt;1,"",IF(INDEX(TblClusters[Environnement],$B981)="","(vide)",INDEX(TblClusters[Environnement],$B981)))</f>
        <v>NPRD</v>
      </c>
      <c r="AG981" s="19">
        <f t="shared" si="270"/>
        <v>518.4</v>
      </c>
      <c r="AH981" s="19">
        <f t="shared" si="271"/>
        <v>24.670138888888889</v>
      </c>
      <c r="AI981" s="19">
        <f>IF($D981&lt;&gt;1,"",IF(AND($G981="IKS",ISNUMBER(INDEX(TblClusters[Fermeture retenue],$B981))),IF($E981&gt;=INDEX(TblClusters[Fermeture retenue],$B981),1,0),0))</f>
        <v>0</v>
      </c>
    </row>
    <row r="982" spans="1:35" x14ac:dyDescent="0.2">
      <c r="A982" s="19">
        <v>977</v>
      </c>
      <c r="B982" s="19">
        <f t="shared" si="255"/>
        <v>28</v>
      </c>
      <c r="C982" s="19">
        <f t="shared" si="256"/>
        <v>5</v>
      </c>
      <c r="D982" s="19">
        <f>IF($C982&gt;p_horizon,0,IFERROR(IF(AND(INDEX(TblClusters[Cluster],$B982)&lt;&gt;"",ISNUMBER(INDEX(TblClusters[CPU initial (vCPU)],$B982)),ISNUMBER(INDEX(TblClusters[CPU min (vCPU)],$B982)),OR(INDEX(TblClusters[Plateforme],$B982)="IKS",INDEX(TblClusters[Plateforme],$B982)="ROKS")),1,0),0))</f>
        <v>1</v>
      </c>
      <c r="E982" s="72">
        <f t="shared" si="257"/>
        <v>46419</v>
      </c>
      <c r="F982" s="19" t="str">
        <f>IF($D982=1,INDEX(TblClusters[Cluster],$B982),"")</f>
        <v>ku002i001021</v>
      </c>
      <c r="G982" s="19" t="str">
        <f>IF($D982=1,INDEX(TblClusters[Plateforme],$B982),"")</f>
        <v>IKS</v>
      </c>
      <c r="H982" s="19">
        <f>IF($D982=1,INDEX(TblClusters[vCPU par nœud],$B982),"")</f>
        <v>32</v>
      </c>
      <c r="I982" s="19">
        <f>IF($D982=1,INDEX(TblClusters[RAM par nœud (Go)],$B982),"")</f>
        <v>256</v>
      </c>
      <c r="J982" s="19">
        <f>IF($D982=1,INDEX(TblClusters[Workers min],$B982),"")</f>
        <v>3</v>
      </c>
      <c r="K982" s="73">
        <f>IF($D982=1,INDEX(TblClusters[Tarif par nœud],$B982),"")</f>
        <v>1421</v>
      </c>
      <c r="L982" s="19">
        <f>IF($D982=1,INDEX(TblClusters[CPU initial (vCPU)],$B982),"")</f>
        <v>288</v>
      </c>
      <c r="M982" s="19">
        <f>IF($D982=1,INDEX(TblClusters[RAM initiale (Go)],$B982),"")</f>
        <v>2304</v>
      </c>
      <c r="N982" s="19">
        <f>IF($D982=1,INDEX(TblClusters[CPU min (vCPU)],$B982),"")</f>
        <v>96</v>
      </c>
      <c r="O982" s="19">
        <f>IF($D982=1,INDEX(TblClusters[RAM min (Go)],$B982),"")</f>
        <v>768</v>
      </c>
      <c r="P982" s="19">
        <f>IF($D982&lt;&gt;1,"",IF($G982="ROKS",SUMIFS(TblApplications[Besoin ROKS CPU (vCPU)],TblApplications[Cluster ROKS cible],$F982,TblApplications[Action],"À migrer",TblApplications[Déjà incluse ROKS],"Non",TblApplications[Mois prov (calc)],"&lt;="&amp;$E982),SUMIFS(TblApplications[CPU IKS libérable (vCPU)],TblApplications[Cluster IKS source],$F982,TblApplications[Mois lib (calc)],"&lt;="&amp;$E982)))</f>
        <v>0</v>
      </c>
      <c r="Q982" s="19">
        <f>IF($D982&lt;&gt;1,"",IF($G982="ROKS",SUMIFS(TblApplications[Besoin ROKS RAM (Go)],TblApplications[Cluster ROKS cible],$F982,TblApplications[Action],"À migrer",TblApplications[Déjà incluse ROKS],"Non",TblApplications[Mois prov (calc)],"&lt;="&amp;$E982),SUMIFS(TblApplications[RAM IKS libérable (Go)],TblApplications[Cluster IKS source],$F982,TblApplications[Mois lib (calc)],"&lt;="&amp;$E982)))</f>
        <v>0</v>
      </c>
      <c r="R982" s="19">
        <f t="shared" si="258"/>
        <v>288</v>
      </c>
      <c r="S982" s="19">
        <f t="shared" si="259"/>
        <v>2304</v>
      </c>
      <c r="T982" s="19">
        <f t="shared" si="260"/>
        <v>9</v>
      </c>
      <c r="U982" s="19">
        <f t="shared" si="261"/>
        <v>288</v>
      </c>
      <c r="V982" s="19">
        <f t="shared" si="262"/>
        <v>2304</v>
      </c>
      <c r="W982" s="73">
        <f t="shared" si="263"/>
        <v>12789</v>
      </c>
      <c r="X982" s="19">
        <f>IF($D982&lt;&gt;1,"",IF($G982="ROKS",$R982,IF($AI982=1,0,MAX($N982,$L982-SUMIFS(TblApplications[CPU IKS libérable (vCPU)],TblApplications[Cluster IKS source],$F982,TblApplications[Action],"À migrer",TblApplications[Mois prov (calc)],"&lt;="&amp;$E982)-SUMIFS(TblApplications[CPU IKS libérable (vCPU)],TblApplications[Cluster IKS source],$F982,TblApplications[Action],"À décommissionner",TblApplications[Mois lib (calc)],"&lt;="&amp;$E982)))))</f>
        <v>288</v>
      </c>
      <c r="Y982" s="19">
        <f>IF($D982&lt;&gt;1,"",IF($G982="ROKS",$S982,IF($AI982=1,0,MAX($O982,$M982-SUMIFS(TblApplications[RAM IKS libérable (Go)],TblApplications[Cluster IKS source],$F982,TblApplications[Action],"À migrer",TblApplications[Mois prov (calc)],"&lt;="&amp;$E982)-SUMIFS(TblApplications[RAM IKS libérable (Go)],TblApplications[Cluster IKS source],$F982,TblApplications[Action],"À décommissionner",TblApplications[Mois lib (calc)],"&lt;="&amp;$E982)))))</f>
        <v>2304</v>
      </c>
      <c r="Z982" s="19">
        <f t="shared" si="264"/>
        <v>9</v>
      </c>
      <c r="AA982" s="73">
        <f t="shared" si="265"/>
        <v>12789</v>
      </c>
      <c r="AB982" s="19">
        <f t="shared" si="266"/>
        <v>9</v>
      </c>
      <c r="AC982" s="73">
        <f t="shared" si="267"/>
        <v>12789</v>
      </c>
      <c r="AD982" s="19">
        <f t="shared" si="268"/>
        <v>0</v>
      </c>
      <c r="AE982" s="19">
        <f t="shared" si="269"/>
        <v>0</v>
      </c>
      <c r="AF982" s="19" t="str">
        <f>IF($D982&lt;&gt;1,"",IF(INDEX(TblClusters[Environnement],$B982)="","(vide)",INDEX(TblClusters[Environnement],$B982)))</f>
        <v>NPRD</v>
      </c>
      <c r="AG982" s="19">
        <f t="shared" si="270"/>
        <v>518.4</v>
      </c>
      <c r="AH982" s="19">
        <f t="shared" si="271"/>
        <v>24.670138888888889</v>
      </c>
      <c r="AI982" s="19">
        <f>IF($D982&lt;&gt;1,"",IF(AND($G982="IKS",ISNUMBER(INDEX(TblClusters[Fermeture retenue],$B982))),IF($E982&gt;=INDEX(TblClusters[Fermeture retenue],$B982),1,0),0))</f>
        <v>0</v>
      </c>
    </row>
    <row r="983" spans="1:35" x14ac:dyDescent="0.2">
      <c r="A983" s="19">
        <v>978</v>
      </c>
      <c r="B983" s="19">
        <f t="shared" si="255"/>
        <v>28</v>
      </c>
      <c r="C983" s="19">
        <f t="shared" si="256"/>
        <v>6</v>
      </c>
      <c r="D983" s="19">
        <f>IF($C983&gt;p_horizon,0,IFERROR(IF(AND(INDEX(TblClusters[Cluster],$B983)&lt;&gt;"",ISNUMBER(INDEX(TblClusters[CPU initial (vCPU)],$B983)),ISNUMBER(INDEX(TblClusters[CPU min (vCPU)],$B983)),OR(INDEX(TblClusters[Plateforme],$B983)="IKS",INDEX(TblClusters[Plateforme],$B983)="ROKS")),1,0),0))</f>
        <v>1</v>
      </c>
      <c r="E983" s="72">
        <f t="shared" si="257"/>
        <v>46447</v>
      </c>
      <c r="F983" s="19" t="str">
        <f>IF($D983=1,INDEX(TblClusters[Cluster],$B983),"")</f>
        <v>ku002i001021</v>
      </c>
      <c r="G983" s="19" t="str">
        <f>IF($D983=1,INDEX(TblClusters[Plateforme],$B983),"")</f>
        <v>IKS</v>
      </c>
      <c r="H983" s="19">
        <f>IF($D983=1,INDEX(TblClusters[vCPU par nœud],$B983),"")</f>
        <v>32</v>
      </c>
      <c r="I983" s="19">
        <f>IF($D983=1,INDEX(TblClusters[RAM par nœud (Go)],$B983),"")</f>
        <v>256</v>
      </c>
      <c r="J983" s="19">
        <f>IF($D983=1,INDEX(TblClusters[Workers min],$B983),"")</f>
        <v>3</v>
      </c>
      <c r="K983" s="73">
        <f>IF($D983=1,INDEX(TblClusters[Tarif par nœud],$B983),"")</f>
        <v>1421</v>
      </c>
      <c r="L983" s="19">
        <f>IF($D983=1,INDEX(TblClusters[CPU initial (vCPU)],$B983),"")</f>
        <v>288</v>
      </c>
      <c r="M983" s="19">
        <f>IF($D983=1,INDEX(TblClusters[RAM initiale (Go)],$B983),"")</f>
        <v>2304</v>
      </c>
      <c r="N983" s="19">
        <f>IF($D983=1,INDEX(TblClusters[CPU min (vCPU)],$B983),"")</f>
        <v>96</v>
      </c>
      <c r="O983" s="19">
        <f>IF($D983=1,INDEX(TblClusters[RAM min (Go)],$B983),"")</f>
        <v>768</v>
      </c>
      <c r="P983" s="19">
        <f>IF($D983&lt;&gt;1,"",IF($G983="ROKS",SUMIFS(TblApplications[Besoin ROKS CPU (vCPU)],TblApplications[Cluster ROKS cible],$F983,TblApplications[Action],"À migrer",TblApplications[Déjà incluse ROKS],"Non",TblApplications[Mois prov (calc)],"&lt;="&amp;$E983),SUMIFS(TblApplications[CPU IKS libérable (vCPU)],TblApplications[Cluster IKS source],$F983,TblApplications[Mois lib (calc)],"&lt;="&amp;$E983)))</f>
        <v>0</v>
      </c>
      <c r="Q983" s="19">
        <f>IF($D983&lt;&gt;1,"",IF($G983="ROKS",SUMIFS(TblApplications[Besoin ROKS RAM (Go)],TblApplications[Cluster ROKS cible],$F983,TblApplications[Action],"À migrer",TblApplications[Déjà incluse ROKS],"Non",TblApplications[Mois prov (calc)],"&lt;="&amp;$E983),SUMIFS(TblApplications[RAM IKS libérable (Go)],TblApplications[Cluster IKS source],$F983,TblApplications[Mois lib (calc)],"&lt;="&amp;$E983)))</f>
        <v>0</v>
      </c>
      <c r="R983" s="19">
        <f t="shared" si="258"/>
        <v>288</v>
      </c>
      <c r="S983" s="19">
        <f t="shared" si="259"/>
        <v>2304</v>
      </c>
      <c r="T983" s="19">
        <f t="shared" si="260"/>
        <v>9</v>
      </c>
      <c r="U983" s="19">
        <f t="shared" si="261"/>
        <v>288</v>
      </c>
      <c r="V983" s="19">
        <f t="shared" si="262"/>
        <v>2304</v>
      </c>
      <c r="W983" s="73">
        <f t="shared" si="263"/>
        <v>12789</v>
      </c>
      <c r="X983" s="19">
        <f>IF($D983&lt;&gt;1,"",IF($G983="ROKS",$R983,IF($AI983=1,0,MAX($N983,$L983-SUMIFS(TblApplications[CPU IKS libérable (vCPU)],TblApplications[Cluster IKS source],$F983,TblApplications[Action],"À migrer",TblApplications[Mois prov (calc)],"&lt;="&amp;$E983)-SUMIFS(TblApplications[CPU IKS libérable (vCPU)],TblApplications[Cluster IKS source],$F983,TblApplications[Action],"À décommissionner",TblApplications[Mois lib (calc)],"&lt;="&amp;$E983)))))</f>
        <v>288</v>
      </c>
      <c r="Y983" s="19">
        <f>IF($D983&lt;&gt;1,"",IF($G983="ROKS",$S983,IF($AI983=1,0,MAX($O983,$M983-SUMIFS(TblApplications[RAM IKS libérable (Go)],TblApplications[Cluster IKS source],$F983,TblApplications[Action],"À migrer",TblApplications[Mois prov (calc)],"&lt;="&amp;$E983)-SUMIFS(TblApplications[RAM IKS libérable (Go)],TblApplications[Cluster IKS source],$F983,TblApplications[Action],"À décommissionner",TblApplications[Mois lib (calc)],"&lt;="&amp;$E983)))))</f>
        <v>2304</v>
      </c>
      <c r="Z983" s="19">
        <f t="shared" si="264"/>
        <v>9</v>
      </c>
      <c r="AA983" s="73">
        <f t="shared" si="265"/>
        <v>12789</v>
      </c>
      <c r="AB983" s="19">
        <f t="shared" si="266"/>
        <v>9</v>
      </c>
      <c r="AC983" s="73">
        <f t="shared" si="267"/>
        <v>12789</v>
      </c>
      <c r="AD983" s="19">
        <f t="shared" si="268"/>
        <v>0</v>
      </c>
      <c r="AE983" s="19">
        <f t="shared" si="269"/>
        <v>0</v>
      </c>
      <c r="AF983" s="19" t="str">
        <f>IF($D983&lt;&gt;1,"",IF(INDEX(TblClusters[Environnement],$B983)="","(vide)",INDEX(TblClusters[Environnement],$B983)))</f>
        <v>NPRD</v>
      </c>
      <c r="AG983" s="19">
        <f t="shared" si="270"/>
        <v>518.4</v>
      </c>
      <c r="AH983" s="19">
        <f t="shared" si="271"/>
        <v>24.670138888888889</v>
      </c>
      <c r="AI983" s="19">
        <f>IF($D983&lt;&gt;1,"",IF(AND($G983="IKS",ISNUMBER(INDEX(TblClusters[Fermeture retenue],$B983))),IF($E983&gt;=INDEX(TblClusters[Fermeture retenue],$B983),1,0),0))</f>
        <v>0</v>
      </c>
    </row>
    <row r="984" spans="1:35" x14ac:dyDescent="0.2">
      <c r="A984" s="19">
        <v>979</v>
      </c>
      <c r="B984" s="19">
        <f t="shared" si="255"/>
        <v>28</v>
      </c>
      <c r="C984" s="19">
        <f t="shared" si="256"/>
        <v>7</v>
      </c>
      <c r="D984" s="19">
        <f>IF($C984&gt;p_horizon,0,IFERROR(IF(AND(INDEX(TblClusters[Cluster],$B984)&lt;&gt;"",ISNUMBER(INDEX(TblClusters[CPU initial (vCPU)],$B984)),ISNUMBER(INDEX(TblClusters[CPU min (vCPU)],$B984)),OR(INDEX(TblClusters[Plateforme],$B984)="IKS",INDEX(TblClusters[Plateforme],$B984)="ROKS")),1,0),0))</f>
        <v>1</v>
      </c>
      <c r="E984" s="72">
        <f t="shared" si="257"/>
        <v>46478</v>
      </c>
      <c r="F984" s="19" t="str">
        <f>IF($D984=1,INDEX(TblClusters[Cluster],$B984),"")</f>
        <v>ku002i001021</v>
      </c>
      <c r="G984" s="19" t="str">
        <f>IF($D984=1,INDEX(TblClusters[Plateforme],$B984),"")</f>
        <v>IKS</v>
      </c>
      <c r="H984" s="19">
        <f>IF($D984=1,INDEX(TblClusters[vCPU par nœud],$B984),"")</f>
        <v>32</v>
      </c>
      <c r="I984" s="19">
        <f>IF($D984=1,INDEX(TblClusters[RAM par nœud (Go)],$B984),"")</f>
        <v>256</v>
      </c>
      <c r="J984" s="19">
        <f>IF($D984=1,INDEX(TblClusters[Workers min],$B984),"")</f>
        <v>3</v>
      </c>
      <c r="K984" s="73">
        <f>IF($D984=1,INDEX(TblClusters[Tarif par nœud],$B984),"")</f>
        <v>1421</v>
      </c>
      <c r="L984" s="19">
        <f>IF($D984=1,INDEX(TblClusters[CPU initial (vCPU)],$B984),"")</f>
        <v>288</v>
      </c>
      <c r="M984" s="19">
        <f>IF($D984=1,INDEX(TblClusters[RAM initiale (Go)],$B984),"")</f>
        <v>2304</v>
      </c>
      <c r="N984" s="19">
        <f>IF($D984=1,INDEX(TblClusters[CPU min (vCPU)],$B984),"")</f>
        <v>96</v>
      </c>
      <c r="O984" s="19">
        <f>IF($D984=1,INDEX(TblClusters[RAM min (Go)],$B984),"")</f>
        <v>768</v>
      </c>
      <c r="P984" s="19">
        <f>IF($D984&lt;&gt;1,"",IF($G984="ROKS",SUMIFS(TblApplications[Besoin ROKS CPU (vCPU)],TblApplications[Cluster ROKS cible],$F984,TblApplications[Action],"À migrer",TblApplications[Déjà incluse ROKS],"Non",TblApplications[Mois prov (calc)],"&lt;="&amp;$E984),SUMIFS(TblApplications[CPU IKS libérable (vCPU)],TblApplications[Cluster IKS source],$F984,TblApplications[Mois lib (calc)],"&lt;="&amp;$E984)))</f>
        <v>0</v>
      </c>
      <c r="Q984" s="19">
        <f>IF($D984&lt;&gt;1,"",IF($G984="ROKS",SUMIFS(TblApplications[Besoin ROKS RAM (Go)],TblApplications[Cluster ROKS cible],$F984,TblApplications[Action],"À migrer",TblApplications[Déjà incluse ROKS],"Non",TblApplications[Mois prov (calc)],"&lt;="&amp;$E984),SUMIFS(TblApplications[RAM IKS libérable (Go)],TblApplications[Cluster IKS source],$F984,TblApplications[Mois lib (calc)],"&lt;="&amp;$E984)))</f>
        <v>0</v>
      </c>
      <c r="R984" s="19">
        <f t="shared" si="258"/>
        <v>288</v>
      </c>
      <c r="S984" s="19">
        <f t="shared" si="259"/>
        <v>2304</v>
      </c>
      <c r="T984" s="19">
        <f t="shared" si="260"/>
        <v>9</v>
      </c>
      <c r="U984" s="19">
        <f t="shared" si="261"/>
        <v>288</v>
      </c>
      <c r="V984" s="19">
        <f t="shared" si="262"/>
        <v>2304</v>
      </c>
      <c r="W984" s="73">
        <f t="shared" si="263"/>
        <v>12789</v>
      </c>
      <c r="X984" s="19">
        <f>IF($D984&lt;&gt;1,"",IF($G984="ROKS",$R984,IF($AI984=1,0,MAX($N984,$L984-SUMIFS(TblApplications[CPU IKS libérable (vCPU)],TblApplications[Cluster IKS source],$F984,TblApplications[Action],"À migrer",TblApplications[Mois prov (calc)],"&lt;="&amp;$E984)-SUMIFS(TblApplications[CPU IKS libérable (vCPU)],TblApplications[Cluster IKS source],$F984,TblApplications[Action],"À décommissionner",TblApplications[Mois lib (calc)],"&lt;="&amp;$E984)))))</f>
        <v>288</v>
      </c>
      <c r="Y984" s="19">
        <f>IF($D984&lt;&gt;1,"",IF($G984="ROKS",$S984,IF($AI984=1,0,MAX($O984,$M984-SUMIFS(TblApplications[RAM IKS libérable (Go)],TblApplications[Cluster IKS source],$F984,TblApplications[Action],"À migrer",TblApplications[Mois prov (calc)],"&lt;="&amp;$E984)-SUMIFS(TblApplications[RAM IKS libérable (Go)],TblApplications[Cluster IKS source],$F984,TblApplications[Action],"À décommissionner",TblApplications[Mois lib (calc)],"&lt;="&amp;$E984)))))</f>
        <v>2304</v>
      </c>
      <c r="Z984" s="19">
        <f t="shared" si="264"/>
        <v>9</v>
      </c>
      <c r="AA984" s="73">
        <f t="shared" si="265"/>
        <v>12789</v>
      </c>
      <c r="AB984" s="19">
        <f t="shared" si="266"/>
        <v>9</v>
      </c>
      <c r="AC984" s="73">
        <f t="shared" si="267"/>
        <v>12789</v>
      </c>
      <c r="AD984" s="19">
        <f t="shared" si="268"/>
        <v>0</v>
      </c>
      <c r="AE984" s="19">
        <f t="shared" si="269"/>
        <v>0</v>
      </c>
      <c r="AF984" s="19" t="str">
        <f>IF($D984&lt;&gt;1,"",IF(INDEX(TblClusters[Environnement],$B984)="","(vide)",INDEX(TblClusters[Environnement],$B984)))</f>
        <v>NPRD</v>
      </c>
      <c r="AG984" s="19">
        <f t="shared" si="270"/>
        <v>518.4</v>
      </c>
      <c r="AH984" s="19">
        <f t="shared" si="271"/>
        <v>24.670138888888889</v>
      </c>
      <c r="AI984" s="19">
        <f>IF($D984&lt;&gt;1,"",IF(AND($G984="IKS",ISNUMBER(INDEX(TblClusters[Fermeture retenue],$B984))),IF($E984&gt;=INDEX(TblClusters[Fermeture retenue],$B984),1,0),0))</f>
        <v>0</v>
      </c>
    </row>
    <row r="985" spans="1:35" x14ac:dyDescent="0.2">
      <c r="A985" s="19">
        <v>980</v>
      </c>
      <c r="B985" s="19">
        <f t="shared" si="255"/>
        <v>28</v>
      </c>
      <c r="C985" s="19">
        <f t="shared" si="256"/>
        <v>8</v>
      </c>
      <c r="D985" s="19">
        <f>IF($C985&gt;p_horizon,0,IFERROR(IF(AND(INDEX(TblClusters[Cluster],$B985)&lt;&gt;"",ISNUMBER(INDEX(TblClusters[CPU initial (vCPU)],$B985)),ISNUMBER(INDEX(TblClusters[CPU min (vCPU)],$B985)),OR(INDEX(TblClusters[Plateforme],$B985)="IKS",INDEX(TblClusters[Plateforme],$B985)="ROKS")),1,0),0))</f>
        <v>1</v>
      </c>
      <c r="E985" s="72">
        <f t="shared" si="257"/>
        <v>46508</v>
      </c>
      <c r="F985" s="19" t="str">
        <f>IF($D985=1,INDEX(TblClusters[Cluster],$B985),"")</f>
        <v>ku002i001021</v>
      </c>
      <c r="G985" s="19" t="str">
        <f>IF($D985=1,INDEX(TblClusters[Plateforme],$B985),"")</f>
        <v>IKS</v>
      </c>
      <c r="H985" s="19">
        <f>IF($D985=1,INDEX(TblClusters[vCPU par nœud],$B985),"")</f>
        <v>32</v>
      </c>
      <c r="I985" s="19">
        <f>IF($D985=1,INDEX(TblClusters[RAM par nœud (Go)],$B985),"")</f>
        <v>256</v>
      </c>
      <c r="J985" s="19">
        <f>IF($D985=1,INDEX(TblClusters[Workers min],$B985),"")</f>
        <v>3</v>
      </c>
      <c r="K985" s="73">
        <f>IF($D985=1,INDEX(TblClusters[Tarif par nœud],$B985),"")</f>
        <v>1421</v>
      </c>
      <c r="L985" s="19">
        <f>IF($D985=1,INDEX(TblClusters[CPU initial (vCPU)],$B985),"")</f>
        <v>288</v>
      </c>
      <c r="M985" s="19">
        <f>IF($D985=1,INDEX(TblClusters[RAM initiale (Go)],$B985),"")</f>
        <v>2304</v>
      </c>
      <c r="N985" s="19">
        <f>IF($D985=1,INDEX(TblClusters[CPU min (vCPU)],$B985),"")</f>
        <v>96</v>
      </c>
      <c r="O985" s="19">
        <f>IF($D985=1,INDEX(TblClusters[RAM min (Go)],$B985),"")</f>
        <v>768</v>
      </c>
      <c r="P985" s="19">
        <f>IF($D985&lt;&gt;1,"",IF($G985="ROKS",SUMIFS(TblApplications[Besoin ROKS CPU (vCPU)],TblApplications[Cluster ROKS cible],$F985,TblApplications[Action],"À migrer",TblApplications[Déjà incluse ROKS],"Non",TblApplications[Mois prov (calc)],"&lt;="&amp;$E985),SUMIFS(TblApplications[CPU IKS libérable (vCPU)],TblApplications[Cluster IKS source],$F985,TblApplications[Mois lib (calc)],"&lt;="&amp;$E985)))</f>
        <v>0</v>
      </c>
      <c r="Q985" s="19">
        <f>IF($D985&lt;&gt;1,"",IF($G985="ROKS",SUMIFS(TblApplications[Besoin ROKS RAM (Go)],TblApplications[Cluster ROKS cible],$F985,TblApplications[Action],"À migrer",TblApplications[Déjà incluse ROKS],"Non",TblApplications[Mois prov (calc)],"&lt;="&amp;$E985),SUMIFS(TblApplications[RAM IKS libérable (Go)],TblApplications[Cluster IKS source],$F985,TblApplications[Mois lib (calc)],"&lt;="&amp;$E985)))</f>
        <v>0</v>
      </c>
      <c r="R985" s="19">
        <f t="shared" si="258"/>
        <v>288</v>
      </c>
      <c r="S985" s="19">
        <f t="shared" si="259"/>
        <v>2304</v>
      </c>
      <c r="T985" s="19">
        <f t="shared" si="260"/>
        <v>9</v>
      </c>
      <c r="U985" s="19">
        <f t="shared" si="261"/>
        <v>288</v>
      </c>
      <c r="V985" s="19">
        <f t="shared" si="262"/>
        <v>2304</v>
      </c>
      <c r="W985" s="73">
        <f t="shared" si="263"/>
        <v>12789</v>
      </c>
      <c r="X985" s="19">
        <f>IF($D985&lt;&gt;1,"",IF($G985="ROKS",$R985,IF($AI985=1,0,MAX($N985,$L985-SUMIFS(TblApplications[CPU IKS libérable (vCPU)],TblApplications[Cluster IKS source],$F985,TblApplications[Action],"À migrer",TblApplications[Mois prov (calc)],"&lt;="&amp;$E985)-SUMIFS(TblApplications[CPU IKS libérable (vCPU)],TblApplications[Cluster IKS source],$F985,TblApplications[Action],"À décommissionner",TblApplications[Mois lib (calc)],"&lt;="&amp;$E985)))))</f>
        <v>288</v>
      </c>
      <c r="Y985" s="19">
        <f>IF($D985&lt;&gt;1,"",IF($G985="ROKS",$S985,IF($AI985=1,0,MAX($O985,$M985-SUMIFS(TblApplications[RAM IKS libérable (Go)],TblApplications[Cluster IKS source],$F985,TblApplications[Action],"À migrer",TblApplications[Mois prov (calc)],"&lt;="&amp;$E985)-SUMIFS(TblApplications[RAM IKS libérable (Go)],TblApplications[Cluster IKS source],$F985,TblApplications[Action],"À décommissionner",TblApplications[Mois lib (calc)],"&lt;="&amp;$E985)))))</f>
        <v>2304</v>
      </c>
      <c r="Z985" s="19">
        <f t="shared" si="264"/>
        <v>9</v>
      </c>
      <c r="AA985" s="73">
        <f t="shared" si="265"/>
        <v>12789</v>
      </c>
      <c r="AB985" s="19">
        <f t="shared" si="266"/>
        <v>9</v>
      </c>
      <c r="AC985" s="73">
        <f t="shared" si="267"/>
        <v>12789</v>
      </c>
      <c r="AD985" s="19">
        <f t="shared" si="268"/>
        <v>0</v>
      </c>
      <c r="AE985" s="19">
        <f t="shared" si="269"/>
        <v>0</v>
      </c>
      <c r="AF985" s="19" t="str">
        <f>IF($D985&lt;&gt;1,"",IF(INDEX(TblClusters[Environnement],$B985)="","(vide)",INDEX(TblClusters[Environnement],$B985)))</f>
        <v>NPRD</v>
      </c>
      <c r="AG985" s="19">
        <f t="shared" si="270"/>
        <v>518.4</v>
      </c>
      <c r="AH985" s="19">
        <f t="shared" si="271"/>
        <v>24.670138888888889</v>
      </c>
      <c r="AI985" s="19">
        <f>IF($D985&lt;&gt;1,"",IF(AND($G985="IKS",ISNUMBER(INDEX(TblClusters[Fermeture retenue],$B985))),IF($E985&gt;=INDEX(TblClusters[Fermeture retenue],$B985),1,0),0))</f>
        <v>0</v>
      </c>
    </row>
    <row r="986" spans="1:35" x14ac:dyDescent="0.2">
      <c r="A986" s="19">
        <v>981</v>
      </c>
      <c r="B986" s="19">
        <f t="shared" si="255"/>
        <v>28</v>
      </c>
      <c r="C986" s="19">
        <f t="shared" si="256"/>
        <v>9</v>
      </c>
      <c r="D986" s="19">
        <f>IF($C986&gt;p_horizon,0,IFERROR(IF(AND(INDEX(TblClusters[Cluster],$B986)&lt;&gt;"",ISNUMBER(INDEX(TblClusters[CPU initial (vCPU)],$B986)),ISNUMBER(INDEX(TblClusters[CPU min (vCPU)],$B986)),OR(INDEX(TblClusters[Plateforme],$B986)="IKS",INDEX(TblClusters[Plateforme],$B986)="ROKS")),1,0),0))</f>
        <v>1</v>
      </c>
      <c r="E986" s="72">
        <f t="shared" si="257"/>
        <v>46539</v>
      </c>
      <c r="F986" s="19" t="str">
        <f>IF($D986=1,INDEX(TblClusters[Cluster],$B986),"")</f>
        <v>ku002i001021</v>
      </c>
      <c r="G986" s="19" t="str">
        <f>IF($D986=1,INDEX(TblClusters[Plateforme],$B986),"")</f>
        <v>IKS</v>
      </c>
      <c r="H986" s="19">
        <f>IF($D986=1,INDEX(TblClusters[vCPU par nœud],$B986),"")</f>
        <v>32</v>
      </c>
      <c r="I986" s="19">
        <f>IF($D986=1,INDEX(TblClusters[RAM par nœud (Go)],$B986),"")</f>
        <v>256</v>
      </c>
      <c r="J986" s="19">
        <f>IF($D986=1,INDEX(TblClusters[Workers min],$B986),"")</f>
        <v>3</v>
      </c>
      <c r="K986" s="73">
        <f>IF($D986=1,INDEX(TblClusters[Tarif par nœud],$B986),"")</f>
        <v>1421</v>
      </c>
      <c r="L986" s="19">
        <f>IF($D986=1,INDEX(TblClusters[CPU initial (vCPU)],$B986),"")</f>
        <v>288</v>
      </c>
      <c r="M986" s="19">
        <f>IF($D986=1,INDEX(TblClusters[RAM initiale (Go)],$B986),"")</f>
        <v>2304</v>
      </c>
      <c r="N986" s="19">
        <f>IF($D986=1,INDEX(TblClusters[CPU min (vCPU)],$B986),"")</f>
        <v>96</v>
      </c>
      <c r="O986" s="19">
        <f>IF($D986=1,INDEX(TblClusters[RAM min (Go)],$B986),"")</f>
        <v>768</v>
      </c>
      <c r="P986" s="19">
        <f>IF($D986&lt;&gt;1,"",IF($G986="ROKS",SUMIFS(TblApplications[Besoin ROKS CPU (vCPU)],TblApplications[Cluster ROKS cible],$F986,TblApplications[Action],"À migrer",TblApplications[Déjà incluse ROKS],"Non",TblApplications[Mois prov (calc)],"&lt;="&amp;$E986),SUMIFS(TblApplications[CPU IKS libérable (vCPU)],TblApplications[Cluster IKS source],$F986,TblApplications[Mois lib (calc)],"&lt;="&amp;$E986)))</f>
        <v>0</v>
      </c>
      <c r="Q986" s="19">
        <f>IF($D986&lt;&gt;1,"",IF($G986="ROKS",SUMIFS(TblApplications[Besoin ROKS RAM (Go)],TblApplications[Cluster ROKS cible],$F986,TblApplications[Action],"À migrer",TblApplications[Déjà incluse ROKS],"Non",TblApplications[Mois prov (calc)],"&lt;="&amp;$E986),SUMIFS(TblApplications[RAM IKS libérable (Go)],TblApplications[Cluster IKS source],$F986,TblApplications[Mois lib (calc)],"&lt;="&amp;$E986)))</f>
        <v>0</v>
      </c>
      <c r="R986" s="19">
        <f t="shared" si="258"/>
        <v>288</v>
      </c>
      <c r="S986" s="19">
        <f t="shared" si="259"/>
        <v>2304</v>
      </c>
      <c r="T986" s="19">
        <f t="shared" si="260"/>
        <v>9</v>
      </c>
      <c r="U986" s="19">
        <f t="shared" si="261"/>
        <v>288</v>
      </c>
      <c r="V986" s="19">
        <f t="shared" si="262"/>
        <v>2304</v>
      </c>
      <c r="W986" s="73">
        <f t="shared" si="263"/>
        <v>12789</v>
      </c>
      <c r="X986" s="19">
        <f>IF($D986&lt;&gt;1,"",IF($G986="ROKS",$R986,IF($AI986=1,0,MAX($N986,$L986-SUMIFS(TblApplications[CPU IKS libérable (vCPU)],TblApplications[Cluster IKS source],$F986,TblApplications[Action],"À migrer",TblApplications[Mois prov (calc)],"&lt;="&amp;$E986)-SUMIFS(TblApplications[CPU IKS libérable (vCPU)],TblApplications[Cluster IKS source],$F986,TblApplications[Action],"À décommissionner",TblApplications[Mois lib (calc)],"&lt;="&amp;$E986)))))</f>
        <v>288</v>
      </c>
      <c r="Y986" s="19">
        <f>IF($D986&lt;&gt;1,"",IF($G986="ROKS",$S986,IF($AI986=1,0,MAX($O986,$M986-SUMIFS(TblApplications[RAM IKS libérable (Go)],TblApplications[Cluster IKS source],$F986,TblApplications[Action],"À migrer",TblApplications[Mois prov (calc)],"&lt;="&amp;$E986)-SUMIFS(TblApplications[RAM IKS libérable (Go)],TblApplications[Cluster IKS source],$F986,TblApplications[Action],"À décommissionner",TblApplications[Mois lib (calc)],"&lt;="&amp;$E986)))))</f>
        <v>2304</v>
      </c>
      <c r="Z986" s="19">
        <f t="shared" si="264"/>
        <v>9</v>
      </c>
      <c r="AA986" s="73">
        <f t="shared" si="265"/>
        <v>12789</v>
      </c>
      <c r="AB986" s="19">
        <f t="shared" si="266"/>
        <v>9</v>
      </c>
      <c r="AC986" s="73">
        <f t="shared" si="267"/>
        <v>12789</v>
      </c>
      <c r="AD986" s="19">
        <f t="shared" si="268"/>
        <v>0</v>
      </c>
      <c r="AE986" s="19">
        <f t="shared" si="269"/>
        <v>0</v>
      </c>
      <c r="AF986" s="19" t="str">
        <f>IF($D986&lt;&gt;1,"",IF(INDEX(TblClusters[Environnement],$B986)="","(vide)",INDEX(TblClusters[Environnement],$B986)))</f>
        <v>NPRD</v>
      </c>
      <c r="AG986" s="19">
        <f t="shared" si="270"/>
        <v>518.4</v>
      </c>
      <c r="AH986" s="19">
        <f t="shared" si="271"/>
        <v>24.670138888888889</v>
      </c>
      <c r="AI986" s="19">
        <f>IF($D986&lt;&gt;1,"",IF(AND($G986="IKS",ISNUMBER(INDEX(TblClusters[Fermeture retenue],$B986))),IF($E986&gt;=INDEX(TblClusters[Fermeture retenue],$B986),1,0),0))</f>
        <v>0</v>
      </c>
    </row>
    <row r="987" spans="1:35" x14ac:dyDescent="0.2">
      <c r="A987" s="19">
        <v>982</v>
      </c>
      <c r="B987" s="19">
        <f t="shared" si="255"/>
        <v>28</v>
      </c>
      <c r="C987" s="19">
        <f t="shared" si="256"/>
        <v>10</v>
      </c>
      <c r="D987" s="19">
        <f>IF($C987&gt;p_horizon,0,IFERROR(IF(AND(INDEX(TblClusters[Cluster],$B987)&lt;&gt;"",ISNUMBER(INDEX(TblClusters[CPU initial (vCPU)],$B987)),ISNUMBER(INDEX(TblClusters[CPU min (vCPU)],$B987)),OR(INDEX(TblClusters[Plateforme],$B987)="IKS",INDEX(TblClusters[Plateforme],$B987)="ROKS")),1,0),0))</f>
        <v>1</v>
      </c>
      <c r="E987" s="72">
        <f t="shared" si="257"/>
        <v>46569</v>
      </c>
      <c r="F987" s="19" t="str">
        <f>IF($D987=1,INDEX(TblClusters[Cluster],$B987),"")</f>
        <v>ku002i001021</v>
      </c>
      <c r="G987" s="19" t="str">
        <f>IF($D987=1,INDEX(TblClusters[Plateforme],$B987),"")</f>
        <v>IKS</v>
      </c>
      <c r="H987" s="19">
        <f>IF($D987=1,INDEX(TblClusters[vCPU par nœud],$B987),"")</f>
        <v>32</v>
      </c>
      <c r="I987" s="19">
        <f>IF($D987=1,INDEX(TblClusters[RAM par nœud (Go)],$B987),"")</f>
        <v>256</v>
      </c>
      <c r="J987" s="19">
        <f>IF($D987=1,INDEX(TblClusters[Workers min],$B987),"")</f>
        <v>3</v>
      </c>
      <c r="K987" s="73">
        <f>IF($D987=1,INDEX(TblClusters[Tarif par nœud],$B987),"")</f>
        <v>1421</v>
      </c>
      <c r="L987" s="19">
        <f>IF($D987=1,INDEX(TblClusters[CPU initial (vCPU)],$B987),"")</f>
        <v>288</v>
      </c>
      <c r="M987" s="19">
        <f>IF($D987=1,INDEX(TblClusters[RAM initiale (Go)],$B987),"")</f>
        <v>2304</v>
      </c>
      <c r="N987" s="19">
        <f>IF($D987=1,INDEX(TblClusters[CPU min (vCPU)],$B987),"")</f>
        <v>96</v>
      </c>
      <c r="O987" s="19">
        <f>IF($D987=1,INDEX(TblClusters[RAM min (Go)],$B987),"")</f>
        <v>768</v>
      </c>
      <c r="P987" s="19">
        <f>IF($D987&lt;&gt;1,"",IF($G987="ROKS",SUMIFS(TblApplications[Besoin ROKS CPU (vCPU)],TblApplications[Cluster ROKS cible],$F987,TblApplications[Action],"À migrer",TblApplications[Déjà incluse ROKS],"Non",TblApplications[Mois prov (calc)],"&lt;="&amp;$E987),SUMIFS(TblApplications[CPU IKS libérable (vCPU)],TblApplications[Cluster IKS source],$F987,TblApplications[Mois lib (calc)],"&lt;="&amp;$E987)))</f>
        <v>0</v>
      </c>
      <c r="Q987" s="19">
        <f>IF($D987&lt;&gt;1,"",IF($G987="ROKS",SUMIFS(TblApplications[Besoin ROKS RAM (Go)],TblApplications[Cluster ROKS cible],$F987,TblApplications[Action],"À migrer",TblApplications[Déjà incluse ROKS],"Non",TblApplications[Mois prov (calc)],"&lt;="&amp;$E987),SUMIFS(TblApplications[RAM IKS libérable (Go)],TblApplications[Cluster IKS source],$F987,TblApplications[Mois lib (calc)],"&lt;="&amp;$E987)))</f>
        <v>0</v>
      </c>
      <c r="R987" s="19">
        <f t="shared" si="258"/>
        <v>288</v>
      </c>
      <c r="S987" s="19">
        <f t="shared" si="259"/>
        <v>2304</v>
      </c>
      <c r="T987" s="19">
        <f t="shared" si="260"/>
        <v>9</v>
      </c>
      <c r="U987" s="19">
        <f t="shared" si="261"/>
        <v>288</v>
      </c>
      <c r="V987" s="19">
        <f t="shared" si="262"/>
        <v>2304</v>
      </c>
      <c r="W987" s="73">
        <f t="shared" si="263"/>
        <v>12789</v>
      </c>
      <c r="X987" s="19">
        <f>IF($D987&lt;&gt;1,"",IF($G987="ROKS",$R987,IF($AI987=1,0,MAX($N987,$L987-SUMIFS(TblApplications[CPU IKS libérable (vCPU)],TblApplications[Cluster IKS source],$F987,TblApplications[Action],"À migrer",TblApplications[Mois prov (calc)],"&lt;="&amp;$E987)-SUMIFS(TblApplications[CPU IKS libérable (vCPU)],TblApplications[Cluster IKS source],$F987,TblApplications[Action],"À décommissionner",TblApplications[Mois lib (calc)],"&lt;="&amp;$E987)))))</f>
        <v>288</v>
      </c>
      <c r="Y987" s="19">
        <f>IF($D987&lt;&gt;1,"",IF($G987="ROKS",$S987,IF($AI987=1,0,MAX($O987,$M987-SUMIFS(TblApplications[RAM IKS libérable (Go)],TblApplications[Cluster IKS source],$F987,TblApplications[Action],"À migrer",TblApplications[Mois prov (calc)],"&lt;="&amp;$E987)-SUMIFS(TblApplications[RAM IKS libérable (Go)],TblApplications[Cluster IKS source],$F987,TblApplications[Action],"À décommissionner",TblApplications[Mois lib (calc)],"&lt;="&amp;$E987)))))</f>
        <v>2304</v>
      </c>
      <c r="Z987" s="19">
        <f t="shared" si="264"/>
        <v>9</v>
      </c>
      <c r="AA987" s="73">
        <f t="shared" si="265"/>
        <v>12789</v>
      </c>
      <c r="AB987" s="19">
        <f t="shared" si="266"/>
        <v>9</v>
      </c>
      <c r="AC987" s="73">
        <f t="shared" si="267"/>
        <v>12789</v>
      </c>
      <c r="AD987" s="19">
        <f t="shared" si="268"/>
        <v>0</v>
      </c>
      <c r="AE987" s="19">
        <f t="shared" si="269"/>
        <v>0</v>
      </c>
      <c r="AF987" s="19" t="str">
        <f>IF($D987&lt;&gt;1,"",IF(INDEX(TblClusters[Environnement],$B987)="","(vide)",INDEX(TblClusters[Environnement],$B987)))</f>
        <v>NPRD</v>
      </c>
      <c r="AG987" s="19">
        <f t="shared" si="270"/>
        <v>518.4</v>
      </c>
      <c r="AH987" s="19">
        <f t="shared" si="271"/>
        <v>24.670138888888889</v>
      </c>
      <c r="AI987" s="19">
        <f>IF($D987&lt;&gt;1,"",IF(AND($G987="IKS",ISNUMBER(INDEX(TblClusters[Fermeture retenue],$B987))),IF($E987&gt;=INDEX(TblClusters[Fermeture retenue],$B987),1,0),0))</f>
        <v>0</v>
      </c>
    </row>
    <row r="988" spans="1:35" x14ac:dyDescent="0.2">
      <c r="A988" s="19">
        <v>983</v>
      </c>
      <c r="B988" s="19">
        <f t="shared" si="255"/>
        <v>28</v>
      </c>
      <c r="C988" s="19">
        <f t="shared" si="256"/>
        <v>11</v>
      </c>
      <c r="D988" s="19">
        <f>IF($C988&gt;p_horizon,0,IFERROR(IF(AND(INDEX(TblClusters[Cluster],$B988)&lt;&gt;"",ISNUMBER(INDEX(TblClusters[CPU initial (vCPU)],$B988)),ISNUMBER(INDEX(TblClusters[CPU min (vCPU)],$B988)),OR(INDEX(TblClusters[Plateforme],$B988)="IKS",INDEX(TblClusters[Plateforme],$B988)="ROKS")),1,0),0))</f>
        <v>1</v>
      </c>
      <c r="E988" s="72">
        <f t="shared" si="257"/>
        <v>46600</v>
      </c>
      <c r="F988" s="19" t="str">
        <f>IF($D988=1,INDEX(TblClusters[Cluster],$B988),"")</f>
        <v>ku002i001021</v>
      </c>
      <c r="G988" s="19" t="str">
        <f>IF($D988=1,INDEX(TblClusters[Plateforme],$B988),"")</f>
        <v>IKS</v>
      </c>
      <c r="H988" s="19">
        <f>IF($D988=1,INDEX(TblClusters[vCPU par nœud],$B988),"")</f>
        <v>32</v>
      </c>
      <c r="I988" s="19">
        <f>IF($D988=1,INDEX(TblClusters[RAM par nœud (Go)],$B988),"")</f>
        <v>256</v>
      </c>
      <c r="J988" s="19">
        <f>IF($D988=1,INDEX(TblClusters[Workers min],$B988),"")</f>
        <v>3</v>
      </c>
      <c r="K988" s="73">
        <f>IF($D988=1,INDEX(TblClusters[Tarif par nœud],$B988),"")</f>
        <v>1421</v>
      </c>
      <c r="L988" s="19">
        <f>IF($D988=1,INDEX(TblClusters[CPU initial (vCPU)],$B988),"")</f>
        <v>288</v>
      </c>
      <c r="M988" s="19">
        <f>IF($D988=1,INDEX(TblClusters[RAM initiale (Go)],$B988),"")</f>
        <v>2304</v>
      </c>
      <c r="N988" s="19">
        <f>IF($D988=1,INDEX(TblClusters[CPU min (vCPU)],$B988),"")</f>
        <v>96</v>
      </c>
      <c r="O988" s="19">
        <f>IF($D988=1,INDEX(TblClusters[RAM min (Go)],$B988),"")</f>
        <v>768</v>
      </c>
      <c r="P988" s="19">
        <f>IF($D988&lt;&gt;1,"",IF($G988="ROKS",SUMIFS(TblApplications[Besoin ROKS CPU (vCPU)],TblApplications[Cluster ROKS cible],$F988,TblApplications[Action],"À migrer",TblApplications[Déjà incluse ROKS],"Non",TblApplications[Mois prov (calc)],"&lt;="&amp;$E988),SUMIFS(TblApplications[CPU IKS libérable (vCPU)],TblApplications[Cluster IKS source],$F988,TblApplications[Mois lib (calc)],"&lt;="&amp;$E988)))</f>
        <v>0</v>
      </c>
      <c r="Q988" s="19">
        <f>IF($D988&lt;&gt;1,"",IF($G988="ROKS",SUMIFS(TblApplications[Besoin ROKS RAM (Go)],TblApplications[Cluster ROKS cible],$F988,TblApplications[Action],"À migrer",TblApplications[Déjà incluse ROKS],"Non",TblApplications[Mois prov (calc)],"&lt;="&amp;$E988),SUMIFS(TblApplications[RAM IKS libérable (Go)],TblApplications[Cluster IKS source],$F988,TblApplications[Mois lib (calc)],"&lt;="&amp;$E988)))</f>
        <v>0</v>
      </c>
      <c r="R988" s="19">
        <f t="shared" si="258"/>
        <v>288</v>
      </c>
      <c r="S988" s="19">
        <f t="shared" si="259"/>
        <v>2304</v>
      </c>
      <c r="T988" s="19">
        <f t="shared" si="260"/>
        <v>9</v>
      </c>
      <c r="U988" s="19">
        <f t="shared" si="261"/>
        <v>288</v>
      </c>
      <c r="V988" s="19">
        <f t="shared" si="262"/>
        <v>2304</v>
      </c>
      <c r="W988" s="73">
        <f t="shared" si="263"/>
        <v>12789</v>
      </c>
      <c r="X988" s="19">
        <f>IF($D988&lt;&gt;1,"",IF($G988="ROKS",$R988,IF($AI988=1,0,MAX($N988,$L988-SUMIFS(TblApplications[CPU IKS libérable (vCPU)],TblApplications[Cluster IKS source],$F988,TblApplications[Action],"À migrer",TblApplications[Mois prov (calc)],"&lt;="&amp;$E988)-SUMIFS(TblApplications[CPU IKS libérable (vCPU)],TblApplications[Cluster IKS source],$F988,TblApplications[Action],"À décommissionner",TblApplications[Mois lib (calc)],"&lt;="&amp;$E988)))))</f>
        <v>288</v>
      </c>
      <c r="Y988" s="19">
        <f>IF($D988&lt;&gt;1,"",IF($G988="ROKS",$S988,IF($AI988=1,0,MAX($O988,$M988-SUMIFS(TblApplications[RAM IKS libérable (Go)],TblApplications[Cluster IKS source],$F988,TblApplications[Action],"À migrer",TblApplications[Mois prov (calc)],"&lt;="&amp;$E988)-SUMIFS(TblApplications[RAM IKS libérable (Go)],TblApplications[Cluster IKS source],$F988,TblApplications[Action],"À décommissionner",TblApplications[Mois lib (calc)],"&lt;="&amp;$E988)))))</f>
        <v>2304</v>
      </c>
      <c r="Z988" s="19">
        <f t="shared" si="264"/>
        <v>9</v>
      </c>
      <c r="AA988" s="73">
        <f t="shared" si="265"/>
        <v>12789</v>
      </c>
      <c r="AB988" s="19">
        <f t="shared" si="266"/>
        <v>9</v>
      </c>
      <c r="AC988" s="73">
        <f t="shared" si="267"/>
        <v>12789</v>
      </c>
      <c r="AD988" s="19">
        <f t="shared" si="268"/>
        <v>0</v>
      </c>
      <c r="AE988" s="19">
        <f t="shared" si="269"/>
        <v>0</v>
      </c>
      <c r="AF988" s="19" t="str">
        <f>IF($D988&lt;&gt;1,"",IF(INDEX(TblClusters[Environnement],$B988)="","(vide)",INDEX(TblClusters[Environnement],$B988)))</f>
        <v>NPRD</v>
      </c>
      <c r="AG988" s="19">
        <f t="shared" si="270"/>
        <v>518.4</v>
      </c>
      <c r="AH988" s="19">
        <f t="shared" si="271"/>
        <v>24.670138888888889</v>
      </c>
      <c r="AI988" s="19">
        <f>IF($D988&lt;&gt;1,"",IF(AND($G988="IKS",ISNUMBER(INDEX(TblClusters[Fermeture retenue],$B988))),IF($E988&gt;=INDEX(TblClusters[Fermeture retenue],$B988),1,0),0))</f>
        <v>0</v>
      </c>
    </row>
    <row r="989" spans="1:35" x14ac:dyDescent="0.2">
      <c r="A989" s="19">
        <v>984</v>
      </c>
      <c r="B989" s="19">
        <f t="shared" si="255"/>
        <v>28</v>
      </c>
      <c r="C989" s="19">
        <f t="shared" si="256"/>
        <v>12</v>
      </c>
      <c r="D989" s="19">
        <f>IF($C989&gt;p_horizon,0,IFERROR(IF(AND(INDEX(TblClusters[Cluster],$B989)&lt;&gt;"",ISNUMBER(INDEX(TblClusters[CPU initial (vCPU)],$B989)),ISNUMBER(INDEX(TblClusters[CPU min (vCPU)],$B989)),OR(INDEX(TblClusters[Plateforme],$B989)="IKS",INDEX(TblClusters[Plateforme],$B989)="ROKS")),1,0),0))</f>
        <v>1</v>
      </c>
      <c r="E989" s="72">
        <f t="shared" si="257"/>
        <v>46631</v>
      </c>
      <c r="F989" s="19" t="str">
        <f>IF($D989=1,INDEX(TblClusters[Cluster],$B989),"")</f>
        <v>ku002i001021</v>
      </c>
      <c r="G989" s="19" t="str">
        <f>IF($D989=1,INDEX(TblClusters[Plateforme],$B989),"")</f>
        <v>IKS</v>
      </c>
      <c r="H989" s="19">
        <f>IF($D989=1,INDEX(TblClusters[vCPU par nœud],$B989),"")</f>
        <v>32</v>
      </c>
      <c r="I989" s="19">
        <f>IF($D989=1,INDEX(TblClusters[RAM par nœud (Go)],$B989),"")</f>
        <v>256</v>
      </c>
      <c r="J989" s="19">
        <f>IF($D989=1,INDEX(TblClusters[Workers min],$B989),"")</f>
        <v>3</v>
      </c>
      <c r="K989" s="73">
        <f>IF($D989=1,INDEX(TblClusters[Tarif par nœud],$B989),"")</f>
        <v>1421</v>
      </c>
      <c r="L989" s="19">
        <f>IF($D989=1,INDEX(TblClusters[CPU initial (vCPU)],$B989),"")</f>
        <v>288</v>
      </c>
      <c r="M989" s="19">
        <f>IF($D989=1,INDEX(TblClusters[RAM initiale (Go)],$B989),"")</f>
        <v>2304</v>
      </c>
      <c r="N989" s="19">
        <f>IF($D989=1,INDEX(TblClusters[CPU min (vCPU)],$B989),"")</f>
        <v>96</v>
      </c>
      <c r="O989" s="19">
        <f>IF($D989=1,INDEX(TblClusters[RAM min (Go)],$B989),"")</f>
        <v>768</v>
      </c>
      <c r="P989" s="19">
        <f>IF($D989&lt;&gt;1,"",IF($G989="ROKS",SUMIFS(TblApplications[Besoin ROKS CPU (vCPU)],TblApplications[Cluster ROKS cible],$F989,TblApplications[Action],"À migrer",TblApplications[Déjà incluse ROKS],"Non",TblApplications[Mois prov (calc)],"&lt;="&amp;$E989),SUMIFS(TblApplications[CPU IKS libérable (vCPU)],TblApplications[Cluster IKS source],$F989,TblApplications[Mois lib (calc)],"&lt;="&amp;$E989)))</f>
        <v>0</v>
      </c>
      <c r="Q989" s="19">
        <f>IF($D989&lt;&gt;1,"",IF($G989="ROKS",SUMIFS(TblApplications[Besoin ROKS RAM (Go)],TblApplications[Cluster ROKS cible],$F989,TblApplications[Action],"À migrer",TblApplications[Déjà incluse ROKS],"Non",TblApplications[Mois prov (calc)],"&lt;="&amp;$E989),SUMIFS(TblApplications[RAM IKS libérable (Go)],TblApplications[Cluster IKS source],$F989,TblApplications[Mois lib (calc)],"&lt;="&amp;$E989)))</f>
        <v>0</v>
      </c>
      <c r="R989" s="19">
        <f t="shared" si="258"/>
        <v>288</v>
      </c>
      <c r="S989" s="19">
        <f t="shared" si="259"/>
        <v>2304</v>
      </c>
      <c r="T989" s="19">
        <f t="shared" si="260"/>
        <v>9</v>
      </c>
      <c r="U989" s="19">
        <f t="shared" si="261"/>
        <v>288</v>
      </c>
      <c r="V989" s="19">
        <f t="shared" si="262"/>
        <v>2304</v>
      </c>
      <c r="W989" s="73">
        <f t="shared" si="263"/>
        <v>12789</v>
      </c>
      <c r="X989" s="19">
        <f>IF($D989&lt;&gt;1,"",IF($G989="ROKS",$R989,IF($AI989=1,0,MAX($N989,$L989-SUMIFS(TblApplications[CPU IKS libérable (vCPU)],TblApplications[Cluster IKS source],$F989,TblApplications[Action],"À migrer",TblApplications[Mois prov (calc)],"&lt;="&amp;$E989)-SUMIFS(TblApplications[CPU IKS libérable (vCPU)],TblApplications[Cluster IKS source],$F989,TblApplications[Action],"À décommissionner",TblApplications[Mois lib (calc)],"&lt;="&amp;$E989)))))</f>
        <v>288</v>
      </c>
      <c r="Y989" s="19">
        <f>IF($D989&lt;&gt;1,"",IF($G989="ROKS",$S989,IF($AI989=1,0,MAX($O989,$M989-SUMIFS(TblApplications[RAM IKS libérable (Go)],TblApplications[Cluster IKS source],$F989,TblApplications[Action],"À migrer",TblApplications[Mois prov (calc)],"&lt;="&amp;$E989)-SUMIFS(TblApplications[RAM IKS libérable (Go)],TblApplications[Cluster IKS source],$F989,TblApplications[Action],"À décommissionner",TblApplications[Mois lib (calc)],"&lt;="&amp;$E989)))))</f>
        <v>2304</v>
      </c>
      <c r="Z989" s="19">
        <f t="shared" si="264"/>
        <v>9</v>
      </c>
      <c r="AA989" s="73">
        <f t="shared" si="265"/>
        <v>12789</v>
      </c>
      <c r="AB989" s="19">
        <f t="shared" si="266"/>
        <v>9</v>
      </c>
      <c r="AC989" s="73">
        <f t="shared" si="267"/>
        <v>12789</v>
      </c>
      <c r="AD989" s="19">
        <f t="shared" si="268"/>
        <v>0</v>
      </c>
      <c r="AE989" s="19">
        <f t="shared" si="269"/>
        <v>0</v>
      </c>
      <c r="AF989" s="19" t="str">
        <f>IF($D989&lt;&gt;1,"",IF(INDEX(TblClusters[Environnement],$B989)="","(vide)",INDEX(TblClusters[Environnement],$B989)))</f>
        <v>NPRD</v>
      </c>
      <c r="AG989" s="19">
        <f t="shared" si="270"/>
        <v>518.4</v>
      </c>
      <c r="AH989" s="19">
        <f t="shared" si="271"/>
        <v>24.670138888888889</v>
      </c>
      <c r="AI989" s="19">
        <f>IF($D989&lt;&gt;1,"",IF(AND($G989="IKS",ISNUMBER(INDEX(TblClusters[Fermeture retenue],$B989))),IF($E989&gt;=INDEX(TblClusters[Fermeture retenue],$B989),1,0),0))</f>
        <v>0</v>
      </c>
    </row>
    <row r="990" spans="1:35" x14ac:dyDescent="0.2">
      <c r="A990" s="19">
        <v>985</v>
      </c>
      <c r="B990" s="19">
        <f t="shared" si="255"/>
        <v>28</v>
      </c>
      <c r="C990" s="19">
        <f t="shared" si="256"/>
        <v>13</v>
      </c>
      <c r="D990" s="19">
        <f>IF($C990&gt;p_horizon,0,IFERROR(IF(AND(INDEX(TblClusters[Cluster],$B990)&lt;&gt;"",ISNUMBER(INDEX(TblClusters[CPU initial (vCPU)],$B990)),ISNUMBER(INDEX(TblClusters[CPU min (vCPU)],$B990)),OR(INDEX(TblClusters[Plateforme],$B990)="IKS",INDEX(TblClusters[Plateforme],$B990)="ROKS")),1,0),0))</f>
        <v>1</v>
      </c>
      <c r="E990" s="72">
        <f t="shared" si="257"/>
        <v>46661</v>
      </c>
      <c r="F990" s="19" t="str">
        <f>IF($D990=1,INDEX(TblClusters[Cluster],$B990),"")</f>
        <v>ku002i001021</v>
      </c>
      <c r="G990" s="19" t="str">
        <f>IF($D990=1,INDEX(TblClusters[Plateforme],$B990),"")</f>
        <v>IKS</v>
      </c>
      <c r="H990" s="19">
        <f>IF($D990=1,INDEX(TblClusters[vCPU par nœud],$B990),"")</f>
        <v>32</v>
      </c>
      <c r="I990" s="19">
        <f>IF($D990=1,INDEX(TblClusters[RAM par nœud (Go)],$B990),"")</f>
        <v>256</v>
      </c>
      <c r="J990" s="19">
        <f>IF($D990=1,INDEX(TblClusters[Workers min],$B990),"")</f>
        <v>3</v>
      </c>
      <c r="K990" s="73">
        <f>IF($D990=1,INDEX(TblClusters[Tarif par nœud],$B990),"")</f>
        <v>1421</v>
      </c>
      <c r="L990" s="19">
        <f>IF($D990=1,INDEX(TblClusters[CPU initial (vCPU)],$B990),"")</f>
        <v>288</v>
      </c>
      <c r="M990" s="19">
        <f>IF($D990=1,INDEX(TblClusters[RAM initiale (Go)],$B990),"")</f>
        <v>2304</v>
      </c>
      <c r="N990" s="19">
        <f>IF($D990=1,INDEX(TblClusters[CPU min (vCPU)],$B990),"")</f>
        <v>96</v>
      </c>
      <c r="O990" s="19">
        <f>IF($D990=1,INDEX(TblClusters[RAM min (Go)],$B990),"")</f>
        <v>768</v>
      </c>
      <c r="P990" s="19">
        <f>IF($D990&lt;&gt;1,"",IF($G990="ROKS",SUMIFS(TblApplications[Besoin ROKS CPU (vCPU)],TblApplications[Cluster ROKS cible],$F990,TblApplications[Action],"À migrer",TblApplications[Déjà incluse ROKS],"Non",TblApplications[Mois prov (calc)],"&lt;="&amp;$E990),SUMIFS(TblApplications[CPU IKS libérable (vCPU)],TblApplications[Cluster IKS source],$F990,TblApplications[Mois lib (calc)],"&lt;="&amp;$E990)))</f>
        <v>0</v>
      </c>
      <c r="Q990" s="19">
        <f>IF($D990&lt;&gt;1,"",IF($G990="ROKS",SUMIFS(TblApplications[Besoin ROKS RAM (Go)],TblApplications[Cluster ROKS cible],$F990,TblApplications[Action],"À migrer",TblApplications[Déjà incluse ROKS],"Non",TblApplications[Mois prov (calc)],"&lt;="&amp;$E990),SUMIFS(TblApplications[RAM IKS libérable (Go)],TblApplications[Cluster IKS source],$F990,TblApplications[Mois lib (calc)],"&lt;="&amp;$E990)))</f>
        <v>0</v>
      </c>
      <c r="R990" s="19">
        <f t="shared" si="258"/>
        <v>288</v>
      </c>
      <c r="S990" s="19">
        <f t="shared" si="259"/>
        <v>2304</v>
      </c>
      <c r="T990" s="19">
        <f t="shared" si="260"/>
        <v>9</v>
      </c>
      <c r="U990" s="19">
        <f t="shared" si="261"/>
        <v>288</v>
      </c>
      <c r="V990" s="19">
        <f t="shared" si="262"/>
        <v>2304</v>
      </c>
      <c r="W990" s="73">
        <f t="shared" si="263"/>
        <v>12789</v>
      </c>
      <c r="X990" s="19">
        <f>IF($D990&lt;&gt;1,"",IF($G990="ROKS",$R990,IF($AI990=1,0,MAX($N990,$L990-SUMIFS(TblApplications[CPU IKS libérable (vCPU)],TblApplications[Cluster IKS source],$F990,TblApplications[Action],"À migrer",TblApplications[Mois prov (calc)],"&lt;="&amp;$E990)-SUMIFS(TblApplications[CPU IKS libérable (vCPU)],TblApplications[Cluster IKS source],$F990,TblApplications[Action],"À décommissionner",TblApplications[Mois lib (calc)],"&lt;="&amp;$E990)))))</f>
        <v>288</v>
      </c>
      <c r="Y990" s="19">
        <f>IF($D990&lt;&gt;1,"",IF($G990="ROKS",$S990,IF($AI990=1,0,MAX($O990,$M990-SUMIFS(TblApplications[RAM IKS libérable (Go)],TblApplications[Cluster IKS source],$F990,TblApplications[Action],"À migrer",TblApplications[Mois prov (calc)],"&lt;="&amp;$E990)-SUMIFS(TblApplications[RAM IKS libérable (Go)],TblApplications[Cluster IKS source],$F990,TblApplications[Action],"À décommissionner",TblApplications[Mois lib (calc)],"&lt;="&amp;$E990)))))</f>
        <v>2304</v>
      </c>
      <c r="Z990" s="19">
        <f t="shared" si="264"/>
        <v>9</v>
      </c>
      <c r="AA990" s="73">
        <f t="shared" si="265"/>
        <v>12789</v>
      </c>
      <c r="AB990" s="19">
        <f t="shared" si="266"/>
        <v>9</v>
      </c>
      <c r="AC990" s="73">
        <f t="shared" si="267"/>
        <v>12789</v>
      </c>
      <c r="AD990" s="19">
        <f t="shared" si="268"/>
        <v>0</v>
      </c>
      <c r="AE990" s="19">
        <f t="shared" si="269"/>
        <v>0</v>
      </c>
      <c r="AF990" s="19" t="str">
        <f>IF($D990&lt;&gt;1,"",IF(INDEX(TblClusters[Environnement],$B990)="","(vide)",INDEX(TblClusters[Environnement],$B990)))</f>
        <v>NPRD</v>
      </c>
      <c r="AG990" s="19">
        <f t="shared" si="270"/>
        <v>518.4</v>
      </c>
      <c r="AH990" s="19">
        <f t="shared" si="271"/>
        <v>24.670138888888889</v>
      </c>
      <c r="AI990" s="19">
        <f>IF($D990&lt;&gt;1,"",IF(AND($G990="IKS",ISNUMBER(INDEX(TblClusters[Fermeture retenue],$B990))),IF($E990&gt;=INDEX(TblClusters[Fermeture retenue],$B990),1,0),0))</f>
        <v>0</v>
      </c>
    </row>
    <row r="991" spans="1:35" x14ac:dyDescent="0.2">
      <c r="A991" s="19">
        <v>986</v>
      </c>
      <c r="B991" s="19">
        <f t="shared" si="255"/>
        <v>28</v>
      </c>
      <c r="C991" s="19">
        <f t="shared" si="256"/>
        <v>14</v>
      </c>
      <c r="D991" s="19">
        <f>IF($C991&gt;p_horizon,0,IFERROR(IF(AND(INDEX(TblClusters[Cluster],$B991)&lt;&gt;"",ISNUMBER(INDEX(TblClusters[CPU initial (vCPU)],$B991)),ISNUMBER(INDEX(TblClusters[CPU min (vCPU)],$B991)),OR(INDEX(TblClusters[Plateforme],$B991)="IKS",INDEX(TblClusters[Plateforme],$B991)="ROKS")),1,0),0))</f>
        <v>1</v>
      </c>
      <c r="E991" s="72">
        <f t="shared" si="257"/>
        <v>46692</v>
      </c>
      <c r="F991" s="19" t="str">
        <f>IF($D991=1,INDEX(TblClusters[Cluster],$B991),"")</f>
        <v>ku002i001021</v>
      </c>
      <c r="G991" s="19" t="str">
        <f>IF($D991=1,INDEX(TblClusters[Plateforme],$B991),"")</f>
        <v>IKS</v>
      </c>
      <c r="H991" s="19">
        <f>IF($D991=1,INDEX(TblClusters[vCPU par nœud],$B991),"")</f>
        <v>32</v>
      </c>
      <c r="I991" s="19">
        <f>IF($D991=1,INDEX(TblClusters[RAM par nœud (Go)],$B991),"")</f>
        <v>256</v>
      </c>
      <c r="J991" s="19">
        <f>IF($D991=1,INDEX(TblClusters[Workers min],$B991),"")</f>
        <v>3</v>
      </c>
      <c r="K991" s="73">
        <f>IF($D991=1,INDEX(TblClusters[Tarif par nœud],$B991),"")</f>
        <v>1421</v>
      </c>
      <c r="L991" s="19">
        <f>IF($D991=1,INDEX(TblClusters[CPU initial (vCPU)],$B991),"")</f>
        <v>288</v>
      </c>
      <c r="M991" s="19">
        <f>IF($D991=1,INDEX(TblClusters[RAM initiale (Go)],$B991),"")</f>
        <v>2304</v>
      </c>
      <c r="N991" s="19">
        <f>IF($D991=1,INDEX(TblClusters[CPU min (vCPU)],$B991),"")</f>
        <v>96</v>
      </c>
      <c r="O991" s="19">
        <f>IF($D991=1,INDEX(TblClusters[RAM min (Go)],$B991),"")</f>
        <v>768</v>
      </c>
      <c r="P991" s="19">
        <f>IF($D991&lt;&gt;1,"",IF($G991="ROKS",SUMIFS(TblApplications[Besoin ROKS CPU (vCPU)],TblApplications[Cluster ROKS cible],$F991,TblApplications[Action],"À migrer",TblApplications[Déjà incluse ROKS],"Non",TblApplications[Mois prov (calc)],"&lt;="&amp;$E991),SUMIFS(TblApplications[CPU IKS libérable (vCPU)],TblApplications[Cluster IKS source],$F991,TblApplications[Mois lib (calc)],"&lt;="&amp;$E991)))</f>
        <v>0</v>
      </c>
      <c r="Q991" s="19">
        <f>IF($D991&lt;&gt;1,"",IF($G991="ROKS",SUMIFS(TblApplications[Besoin ROKS RAM (Go)],TblApplications[Cluster ROKS cible],$F991,TblApplications[Action],"À migrer",TblApplications[Déjà incluse ROKS],"Non",TblApplications[Mois prov (calc)],"&lt;="&amp;$E991),SUMIFS(TblApplications[RAM IKS libérable (Go)],TblApplications[Cluster IKS source],$F991,TblApplications[Mois lib (calc)],"&lt;="&amp;$E991)))</f>
        <v>0</v>
      </c>
      <c r="R991" s="19">
        <f t="shared" si="258"/>
        <v>288</v>
      </c>
      <c r="S991" s="19">
        <f t="shared" si="259"/>
        <v>2304</v>
      </c>
      <c r="T991" s="19">
        <f t="shared" si="260"/>
        <v>9</v>
      </c>
      <c r="U991" s="19">
        <f t="shared" si="261"/>
        <v>288</v>
      </c>
      <c r="V991" s="19">
        <f t="shared" si="262"/>
        <v>2304</v>
      </c>
      <c r="W991" s="73">
        <f t="shared" si="263"/>
        <v>12789</v>
      </c>
      <c r="X991" s="19">
        <f>IF($D991&lt;&gt;1,"",IF($G991="ROKS",$R991,IF($AI991=1,0,MAX($N991,$L991-SUMIFS(TblApplications[CPU IKS libérable (vCPU)],TblApplications[Cluster IKS source],$F991,TblApplications[Action],"À migrer",TblApplications[Mois prov (calc)],"&lt;="&amp;$E991)-SUMIFS(TblApplications[CPU IKS libérable (vCPU)],TblApplications[Cluster IKS source],$F991,TblApplications[Action],"À décommissionner",TblApplications[Mois lib (calc)],"&lt;="&amp;$E991)))))</f>
        <v>288</v>
      </c>
      <c r="Y991" s="19">
        <f>IF($D991&lt;&gt;1,"",IF($G991="ROKS",$S991,IF($AI991=1,0,MAX($O991,$M991-SUMIFS(TblApplications[RAM IKS libérable (Go)],TblApplications[Cluster IKS source],$F991,TblApplications[Action],"À migrer",TblApplications[Mois prov (calc)],"&lt;="&amp;$E991)-SUMIFS(TblApplications[RAM IKS libérable (Go)],TblApplications[Cluster IKS source],$F991,TblApplications[Action],"À décommissionner",TblApplications[Mois lib (calc)],"&lt;="&amp;$E991)))))</f>
        <v>2304</v>
      </c>
      <c r="Z991" s="19">
        <f t="shared" si="264"/>
        <v>9</v>
      </c>
      <c r="AA991" s="73">
        <f t="shared" si="265"/>
        <v>12789</v>
      </c>
      <c r="AB991" s="19">
        <f t="shared" si="266"/>
        <v>9</v>
      </c>
      <c r="AC991" s="73">
        <f t="shared" si="267"/>
        <v>12789</v>
      </c>
      <c r="AD991" s="19">
        <f t="shared" si="268"/>
        <v>0</v>
      </c>
      <c r="AE991" s="19">
        <f t="shared" si="269"/>
        <v>0</v>
      </c>
      <c r="AF991" s="19" t="str">
        <f>IF($D991&lt;&gt;1,"",IF(INDEX(TblClusters[Environnement],$B991)="","(vide)",INDEX(TblClusters[Environnement],$B991)))</f>
        <v>NPRD</v>
      </c>
      <c r="AG991" s="19">
        <f t="shared" si="270"/>
        <v>518.4</v>
      </c>
      <c r="AH991" s="19">
        <f t="shared" si="271"/>
        <v>24.670138888888889</v>
      </c>
      <c r="AI991" s="19">
        <f>IF($D991&lt;&gt;1,"",IF(AND($G991="IKS",ISNUMBER(INDEX(TblClusters[Fermeture retenue],$B991))),IF($E991&gt;=INDEX(TblClusters[Fermeture retenue],$B991),1,0),0))</f>
        <v>0</v>
      </c>
    </row>
    <row r="992" spans="1:35" x14ac:dyDescent="0.2">
      <c r="A992" s="19">
        <v>987</v>
      </c>
      <c r="B992" s="19">
        <f t="shared" si="255"/>
        <v>28</v>
      </c>
      <c r="C992" s="19">
        <f t="shared" si="256"/>
        <v>15</v>
      </c>
      <c r="D992" s="19">
        <f>IF($C992&gt;p_horizon,0,IFERROR(IF(AND(INDEX(TblClusters[Cluster],$B992)&lt;&gt;"",ISNUMBER(INDEX(TblClusters[CPU initial (vCPU)],$B992)),ISNUMBER(INDEX(TblClusters[CPU min (vCPU)],$B992)),OR(INDEX(TblClusters[Plateforme],$B992)="IKS",INDEX(TblClusters[Plateforme],$B992)="ROKS")),1,0),0))</f>
        <v>1</v>
      </c>
      <c r="E992" s="72">
        <f t="shared" si="257"/>
        <v>46722</v>
      </c>
      <c r="F992" s="19" t="str">
        <f>IF($D992=1,INDEX(TblClusters[Cluster],$B992),"")</f>
        <v>ku002i001021</v>
      </c>
      <c r="G992" s="19" t="str">
        <f>IF($D992=1,INDEX(TblClusters[Plateforme],$B992),"")</f>
        <v>IKS</v>
      </c>
      <c r="H992" s="19">
        <f>IF($D992=1,INDEX(TblClusters[vCPU par nœud],$B992),"")</f>
        <v>32</v>
      </c>
      <c r="I992" s="19">
        <f>IF($D992=1,INDEX(TblClusters[RAM par nœud (Go)],$B992),"")</f>
        <v>256</v>
      </c>
      <c r="J992" s="19">
        <f>IF($D992=1,INDEX(TblClusters[Workers min],$B992),"")</f>
        <v>3</v>
      </c>
      <c r="K992" s="73">
        <f>IF($D992=1,INDEX(TblClusters[Tarif par nœud],$B992),"")</f>
        <v>1421</v>
      </c>
      <c r="L992" s="19">
        <f>IF($D992=1,INDEX(TblClusters[CPU initial (vCPU)],$B992),"")</f>
        <v>288</v>
      </c>
      <c r="M992" s="19">
        <f>IF($D992=1,INDEX(TblClusters[RAM initiale (Go)],$B992),"")</f>
        <v>2304</v>
      </c>
      <c r="N992" s="19">
        <f>IF($D992=1,INDEX(TblClusters[CPU min (vCPU)],$B992),"")</f>
        <v>96</v>
      </c>
      <c r="O992" s="19">
        <f>IF($D992=1,INDEX(TblClusters[RAM min (Go)],$B992),"")</f>
        <v>768</v>
      </c>
      <c r="P992" s="19">
        <f>IF($D992&lt;&gt;1,"",IF($G992="ROKS",SUMIFS(TblApplications[Besoin ROKS CPU (vCPU)],TblApplications[Cluster ROKS cible],$F992,TblApplications[Action],"À migrer",TblApplications[Déjà incluse ROKS],"Non",TblApplications[Mois prov (calc)],"&lt;="&amp;$E992),SUMIFS(TblApplications[CPU IKS libérable (vCPU)],TblApplications[Cluster IKS source],$F992,TblApplications[Mois lib (calc)],"&lt;="&amp;$E992)))</f>
        <v>0</v>
      </c>
      <c r="Q992" s="19">
        <f>IF($D992&lt;&gt;1,"",IF($G992="ROKS",SUMIFS(TblApplications[Besoin ROKS RAM (Go)],TblApplications[Cluster ROKS cible],$F992,TblApplications[Action],"À migrer",TblApplications[Déjà incluse ROKS],"Non",TblApplications[Mois prov (calc)],"&lt;="&amp;$E992),SUMIFS(TblApplications[RAM IKS libérable (Go)],TblApplications[Cluster IKS source],$F992,TblApplications[Mois lib (calc)],"&lt;="&amp;$E992)))</f>
        <v>0</v>
      </c>
      <c r="R992" s="19">
        <f t="shared" si="258"/>
        <v>288</v>
      </c>
      <c r="S992" s="19">
        <f t="shared" si="259"/>
        <v>2304</v>
      </c>
      <c r="T992" s="19">
        <f t="shared" si="260"/>
        <v>9</v>
      </c>
      <c r="U992" s="19">
        <f t="shared" si="261"/>
        <v>288</v>
      </c>
      <c r="V992" s="19">
        <f t="shared" si="262"/>
        <v>2304</v>
      </c>
      <c r="W992" s="73">
        <f t="shared" si="263"/>
        <v>12789</v>
      </c>
      <c r="X992" s="19">
        <f>IF($D992&lt;&gt;1,"",IF($G992="ROKS",$R992,IF($AI992=1,0,MAX($N992,$L992-SUMIFS(TblApplications[CPU IKS libérable (vCPU)],TblApplications[Cluster IKS source],$F992,TblApplications[Action],"À migrer",TblApplications[Mois prov (calc)],"&lt;="&amp;$E992)-SUMIFS(TblApplications[CPU IKS libérable (vCPU)],TblApplications[Cluster IKS source],$F992,TblApplications[Action],"À décommissionner",TblApplications[Mois lib (calc)],"&lt;="&amp;$E992)))))</f>
        <v>288</v>
      </c>
      <c r="Y992" s="19">
        <f>IF($D992&lt;&gt;1,"",IF($G992="ROKS",$S992,IF($AI992=1,0,MAX($O992,$M992-SUMIFS(TblApplications[RAM IKS libérable (Go)],TblApplications[Cluster IKS source],$F992,TblApplications[Action],"À migrer",TblApplications[Mois prov (calc)],"&lt;="&amp;$E992)-SUMIFS(TblApplications[RAM IKS libérable (Go)],TblApplications[Cluster IKS source],$F992,TblApplications[Action],"À décommissionner",TblApplications[Mois lib (calc)],"&lt;="&amp;$E992)))))</f>
        <v>2304</v>
      </c>
      <c r="Z992" s="19">
        <f t="shared" si="264"/>
        <v>9</v>
      </c>
      <c r="AA992" s="73">
        <f t="shared" si="265"/>
        <v>12789</v>
      </c>
      <c r="AB992" s="19">
        <f t="shared" si="266"/>
        <v>9</v>
      </c>
      <c r="AC992" s="73">
        <f t="shared" si="267"/>
        <v>12789</v>
      </c>
      <c r="AD992" s="19">
        <f t="shared" si="268"/>
        <v>0</v>
      </c>
      <c r="AE992" s="19">
        <f t="shared" si="269"/>
        <v>0</v>
      </c>
      <c r="AF992" s="19" t="str">
        <f>IF($D992&lt;&gt;1,"",IF(INDEX(TblClusters[Environnement],$B992)="","(vide)",INDEX(TblClusters[Environnement],$B992)))</f>
        <v>NPRD</v>
      </c>
      <c r="AG992" s="19">
        <f t="shared" si="270"/>
        <v>518.4</v>
      </c>
      <c r="AH992" s="19">
        <f t="shared" si="271"/>
        <v>24.670138888888889</v>
      </c>
      <c r="AI992" s="19">
        <f>IF($D992&lt;&gt;1,"",IF(AND($G992="IKS",ISNUMBER(INDEX(TblClusters[Fermeture retenue],$B992))),IF($E992&gt;=INDEX(TblClusters[Fermeture retenue],$B992),1,0),0))</f>
        <v>0</v>
      </c>
    </row>
    <row r="993" spans="1:35" x14ac:dyDescent="0.2">
      <c r="A993" s="19">
        <v>988</v>
      </c>
      <c r="B993" s="19">
        <f t="shared" si="255"/>
        <v>28</v>
      </c>
      <c r="C993" s="19">
        <f t="shared" si="256"/>
        <v>16</v>
      </c>
      <c r="D993" s="19">
        <f>IF($C993&gt;p_horizon,0,IFERROR(IF(AND(INDEX(TblClusters[Cluster],$B993)&lt;&gt;"",ISNUMBER(INDEX(TblClusters[CPU initial (vCPU)],$B993)),ISNUMBER(INDEX(TblClusters[CPU min (vCPU)],$B993)),OR(INDEX(TblClusters[Plateforme],$B993)="IKS",INDEX(TblClusters[Plateforme],$B993)="ROKS")),1,0),0))</f>
        <v>1</v>
      </c>
      <c r="E993" s="72">
        <f t="shared" si="257"/>
        <v>46753</v>
      </c>
      <c r="F993" s="19" t="str">
        <f>IF($D993=1,INDEX(TblClusters[Cluster],$B993),"")</f>
        <v>ku002i001021</v>
      </c>
      <c r="G993" s="19" t="str">
        <f>IF($D993=1,INDEX(TblClusters[Plateforme],$B993),"")</f>
        <v>IKS</v>
      </c>
      <c r="H993" s="19">
        <f>IF($D993=1,INDEX(TblClusters[vCPU par nœud],$B993),"")</f>
        <v>32</v>
      </c>
      <c r="I993" s="19">
        <f>IF($D993=1,INDEX(TblClusters[RAM par nœud (Go)],$B993),"")</f>
        <v>256</v>
      </c>
      <c r="J993" s="19">
        <f>IF($D993=1,INDEX(TblClusters[Workers min],$B993),"")</f>
        <v>3</v>
      </c>
      <c r="K993" s="73">
        <f>IF($D993=1,INDEX(TblClusters[Tarif par nœud],$B993),"")</f>
        <v>1421</v>
      </c>
      <c r="L993" s="19">
        <f>IF($D993=1,INDEX(TblClusters[CPU initial (vCPU)],$B993),"")</f>
        <v>288</v>
      </c>
      <c r="M993" s="19">
        <f>IF($D993=1,INDEX(TblClusters[RAM initiale (Go)],$B993),"")</f>
        <v>2304</v>
      </c>
      <c r="N993" s="19">
        <f>IF($D993=1,INDEX(TblClusters[CPU min (vCPU)],$B993),"")</f>
        <v>96</v>
      </c>
      <c r="O993" s="19">
        <f>IF($D993=1,INDEX(TblClusters[RAM min (Go)],$B993),"")</f>
        <v>768</v>
      </c>
      <c r="P993" s="19">
        <f>IF($D993&lt;&gt;1,"",IF($G993="ROKS",SUMIFS(TblApplications[Besoin ROKS CPU (vCPU)],TblApplications[Cluster ROKS cible],$F993,TblApplications[Action],"À migrer",TblApplications[Déjà incluse ROKS],"Non",TblApplications[Mois prov (calc)],"&lt;="&amp;$E993),SUMIFS(TblApplications[CPU IKS libérable (vCPU)],TblApplications[Cluster IKS source],$F993,TblApplications[Mois lib (calc)],"&lt;="&amp;$E993)))</f>
        <v>0</v>
      </c>
      <c r="Q993" s="19">
        <f>IF($D993&lt;&gt;1,"",IF($G993="ROKS",SUMIFS(TblApplications[Besoin ROKS RAM (Go)],TblApplications[Cluster ROKS cible],$F993,TblApplications[Action],"À migrer",TblApplications[Déjà incluse ROKS],"Non",TblApplications[Mois prov (calc)],"&lt;="&amp;$E993),SUMIFS(TblApplications[RAM IKS libérable (Go)],TblApplications[Cluster IKS source],$F993,TblApplications[Mois lib (calc)],"&lt;="&amp;$E993)))</f>
        <v>0</v>
      </c>
      <c r="R993" s="19">
        <f t="shared" si="258"/>
        <v>288</v>
      </c>
      <c r="S993" s="19">
        <f t="shared" si="259"/>
        <v>2304</v>
      </c>
      <c r="T993" s="19">
        <f t="shared" si="260"/>
        <v>9</v>
      </c>
      <c r="U993" s="19">
        <f t="shared" si="261"/>
        <v>288</v>
      </c>
      <c r="V993" s="19">
        <f t="shared" si="262"/>
        <v>2304</v>
      </c>
      <c r="W993" s="73">
        <f t="shared" si="263"/>
        <v>12789</v>
      </c>
      <c r="X993" s="19">
        <f>IF($D993&lt;&gt;1,"",IF($G993="ROKS",$R993,IF($AI993=1,0,MAX($N993,$L993-SUMIFS(TblApplications[CPU IKS libérable (vCPU)],TblApplications[Cluster IKS source],$F993,TblApplications[Action],"À migrer",TblApplications[Mois prov (calc)],"&lt;="&amp;$E993)-SUMIFS(TblApplications[CPU IKS libérable (vCPU)],TblApplications[Cluster IKS source],$F993,TblApplications[Action],"À décommissionner",TblApplications[Mois lib (calc)],"&lt;="&amp;$E993)))))</f>
        <v>288</v>
      </c>
      <c r="Y993" s="19">
        <f>IF($D993&lt;&gt;1,"",IF($G993="ROKS",$S993,IF($AI993=1,0,MAX($O993,$M993-SUMIFS(TblApplications[RAM IKS libérable (Go)],TblApplications[Cluster IKS source],$F993,TblApplications[Action],"À migrer",TblApplications[Mois prov (calc)],"&lt;="&amp;$E993)-SUMIFS(TblApplications[RAM IKS libérable (Go)],TblApplications[Cluster IKS source],$F993,TblApplications[Action],"À décommissionner",TblApplications[Mois lib (calc)],"&lt;="&amp;$E993)))))</f>
        <v>2304</v>
      </c>
      <c r="Z993" s="19">
        <f t="shared" si="264"/>
        <v>9</v>
      </c>
      <c r="AA993" s="73">
        <f t="shared" si="265"/>
        <v>12789</v>
      </c>
      <c r="AB993" s="19">
        <f t="shared" si="266"/>
        <v>9</v>
      </c>
      <c r="AC993" s="73">
        <f t="shared" si="267"/>
        <v>12789</v>
      </c>
      <c r="AD993" s="19">
        <f t="shared" si="268"/>
        <v>0</v>
      </c>
      <c r="AE993" s="19">
        <f t="shared" si="269"/>
        <v>0</v>
      </c>
      <c r="AF993" s="19" t="str">
        <f>IF($D993&lt;&gt;1,"",IF(INDEX(TblClusters[Environnement],$B993)="","(vide)",INDEX(TblClusters[Environnement],$B993)))</f>
        <v>NPRD</v>
      </c>
      <c r="AG993" s="19">
        <f t="shared" si="270"/>
        <v>518.4</v>
      </c>
      <c r="AH993" s="19">
        <f t="shared" si="271"/>
        <v>24.670138888888889</v>
      </c>
      <c r="AI993" s="19">
        <f>IF($D993&lt;&gt;1,"",IF(AND($G993="IKS",ISNUMBER(INDEX(TblClusters[Fermeture retenue],$B993))),IF($E993&gt;=INDEX(TblClusters[Fermeture retenue],$B993),1,0),0))</f>
        <v>0</v>
      </c>
    </row>
    <row r="994" spans="1:35" x14ac:dyDescent="0.2">
      <c r="A994" s="19">
        <v>989</v>
      </c>
      <c r="B994" s="19">
        <f t="shared" si="255"/>
        <v>28</v>
      </c>
      <c r="C994" s="19">
        <f t="shared" si="256"/>
        <v>17</v>
      </c>
      <c r="D994" s="19">
        <f>IF($C994&gt;p_horizon,0,IFERROR(IF(AND(INDEX(TblClusters[Cluster],$B994)&lt;&gt;"",ISNUMBER(INDEX(TblClusters[CPU initial (vCPU)],$B994)),ISNUMBER(INDEX(TblClusters[CPU min (vCPU)],$B994)),OR(INDEX(TblClusters[Plateforme],$B994)="IKS",INDEX(TblClusters[Plateforme],$B994)="ROKS")),1,0),0))</f>
        <v>1</v>
      </c>
      <c r="E994" s="72">
        <f t="shared" si="257"/>
        <v>46784</v>
      </c>
      <c r="F994" s="19" t="str">
        <f>IF($D994=1,INDEX(TblClusters[Cluster],$B994),"")</f>
        <v>ku002i001021</v>
      </c>
      <c r="G994" s="19" t="str">
        <f>IF($D994=1,INDEX(TblClusters[Plateforme],$B994),"")</f>
        <v>IKS</v>
      </c>
      <c r="H994" s="19">
        <f>IF($D994=1,INDEX(TblClusters[vCPU par nœud],$B994),"")</f>
        <v>32</v>
      </c>
      <c r="I994" s="19">
        <f>IF($D994=1,INDEX(TblClusters[RAM par nœud (Go)],$B994),"")</f>
        <v>256</v>
      </c>
      <c r="J994" s="19">
        <f>IF($D994=1,INDEX(TblClusters[Workers min],$B994),"")</f>
        <v>3</v>
      </c>
      <c r="K994" s="73">
        <f>IF($D994=1,INDEX(TblClusters[Tarif par nœud],$B994),"")</f>
        <v>1421</v>
      </c>
      <c r="L994" s="19">
        <f>IF($D994=1,INDEX(TblClusters[CPU initial (vCPU)],$B994),"")</f>
        <v>288</v>
      </c>
      <c r="M994" s="19">
        <f>IF($D994=1,INDEX(TblClusters[RAM initiale (Go)],$B994),"")</f>
        <v>2304</v>
      </c>
      <c r="N994" s="19">
        <f>IF($D994=1,INDEX(TblClusters[CPU min (vCPU)],$B994),"")</f>
        <v>96</v>
      </c>
      <c r="O994" s="19">
        <f>IF($D994=1,INDEX(TblClusters[RAM min (Go)],$B994),"")</f>
        <v>768</v>
      </c>
      <c r="P994" s="19">
        <f>IF($D994&lt;&gt;1,"",IF($G994="ROKS",SUMIFS(TblApplications[Besoin ROKS CPU (vCPU)],TblApplications[Cluster ROKS cible],$F994,TblApplications[Action],"À migrer",TblApplications[Déjà incluse ROKS],"Non",TblApplications[Mois prov (calc)],"&lt;="&amp;$E994),SUMIFS(TblApplications[CPU IKS libérable (vCPU)],TblApplications[Cluster IKS source],$F994,TblApplications[Mois lib (calc)],"&lt;="&amp;$E994)))</f>
        <v>0</v>
      </c>
      <c r="Q994" s="19">
        <f>IF($D994&lt;&gt;1,"",IF($G994="ROKS",SUMIFS(TblApplications[Besoin ROKS RAM (Go)],TblApplications[Cluster ROKS cible],$F994,TblApplications[Action],"À migrer",TblApplications[Déjà incluse ROKS],"Non",TblApplications[Mois prov (calc)],"&lt;="&amp;$E994),SUMIFS(TblApplications[RAM IKS libérable (Go)],TblApplications[Cluster IKS source],$F994,TblApplications[Mois lib (calc)],"&lt;="&amp;$E994)))</f>
        <v>0</v>
      </c>
      <c r="R994" s="19">
        <f t="shared" si="258"/>
        <v>288</v>
      </c>
      <c r="S994" s="19">
        <f t="shared" si="259"/>
        <v>2304</v>
      </c>
      <c r="T994" s="19">
        <f t="shared" si="260"/>
        <v>9</v>
      </c>
      <c r="U994" s="19">
        <f t="shared" si="261"/>
        <v>288</v>
      </c>
      <c r="V994" s="19">
        <f t="shared" si="262"/>
        <v>2304</v>
      </c>
      <c r="W994" s="73">
        <f t="shared" si="263"/>
        <v>12789</v>
      </c>
      <c r="X994" s="19">
        <f>IF($D994&lt;&gt;1,"",IF($G994="ROKS",$R994,IF($AI994=1,0,MAX($N994,$L994-SUMIFS(TblApplications[CPU IKS libérable (vCPU)],TblApplications[Cluster IKS source],$F994,TblApplications[Action],"À migrer",TblApplications[Mois prov (calc)],"&lt;="&amp;$E994)-SUMIFS(TblApplications[CPU IKS libérable (vCPU)],TblApplications[Cluster IKS source],$F994,TblApplications[Action],"À décommissionner",TblApplications[Mois lib (calc)],"&lt;="&amp;$E994)))))</f>
        <v>288</v>
      </c>
      <c r="Y994" s="19">
        <f>IF($D994&lt;&gt;1,"",IF($G994="ROKS",$S994,IF($AI994=1,0,MAX($O994,$M994-SUMIFS(TblApplications[RAM IKS libérable (Go)],TblApplications[Cluster IKS source],$F994,TblApplications[Action],"À migrer",TblApplications[Mois prov (calc)],"&lt;="&amp;$E994)-SUMIFS(TblApplications[RAM IKS libérable (Go)],TblApplications[Cluster IKS source],$F994,TblApplications[Action],"À décommissionner",TblApplications[Mois lib (calc)],"&lt;="&amp;$E994)))))</f>
        <v>2304</v>
      </c>
      <c r="Z994" s="19">
        <f t="shared" si="264"/>
        <v>9</v>
      </c>
      <c r="AA994" s="73">
        <f t="shared" si="265"/>
        <v>12789</v>
      </c>
      <c r="AB994" s="19">
        <f t="shared" si="266"/>
        <v>9</v>
      </c>
      <c r="AC994" s="73">
        <f t="shared" si="267"/>
        <v>12789</v>
      </c>
      <c r="AD994" s="19">
        <f t="shared" si="268"/>
        <v>0</v>
      </c>
      <c r="AE994" s="19">
        <f t="shared" si="269"/>
        <v>0</v>
      </c>
      <c r="AF994" s="19" t="str">
        <f>IF($D994&lt;&gt;1,"",IF(INDEX(TblClusters[Environnement],$B994)="","(vide)",INDEX(TblClusters[Environnement],$B994)))</f>
        <v>NPRD</v>
      </c>
      <c r="AG994" s="19">
        <f t="shared" si="270"/>
        <v>518.4</v>
      </c>
      <c r="AH994" s="19">
        <f t="shared" si="271"/>
        <v>24.670138888888889</v>
      </c>
      <c r="AI994" s="19">
        <f>IF($D994&lt;&gt;1,"",IF(AND($G994="IKS",ISNUMBER(INDEX(TblClusters[Fermeture retenue],$B994))),IF($E994&gt;=INDEX(TblClusters[Fermeture retenue],$B994),1,0),0))</f>
        <v>0</v>
      </c>
    </row>
    <row r="995" spans="1:35" x14ac:dyDescent="0.2">
      <c r="A995" s="19">
        <v>990</v>
      </c>
      <c r="B995" s="19">
        <f t="shared" si="255"/>
        <v>28</v>
      </c>
      <c r="C995" s="19">
        <f t="shared" si="256"/>
        <v>18</v>
      </c>
      <c r="D995" s="19">
        <f>IF($C995&gt;p_horizon,0,IFERROR(IF(AND(INDEX(TblClusters[Cluster],$B995)&lt;&gt;"",ISNUMBER(INDEX(TblClusters[CPU initial (vCPU)],$B995)),ISNUMBER(INDEX(TblClusters[CPU min (vCPU)],$B995)),OR(INDEX(TblClusters[Plateforme],$B995)="IKS",INDEX(TblClusters[Plateforme],$B995)="ROKS")),1,0),0))</f>
        <v>1</v>
      </c>
      <c r="E995" s="72">
        <f t="shared" si="257"/>
        <v>46813</v>
      </c>
      <c r="F995" s="19" t="str">
        <f>IF($D995=1,INDEX(TblClusters[Cluster],$B995),"")</f>
        <v>ku002i001021</v>
      </c>
      <c r="G995" s="19" t="str">
        <f>IF($D995=1,INDEX(TblClusters[Plateforme],$B995),"")</f>
        <v>IKS</v>
      </c>
      <c r="H995" s="19">
        <f>IF($D995=1,INDEX(TblClusters[vCPU par nœud],$B995),"")</f>
        <v>32</v>
      </c>
      <c r="I995" s="19">
        <f>IF($D995=1,INDEX(TblClusters[RAM par nœud (Go)],$B995),"")</f>
        <v>256</v>
      </c>
      <c r="J995" s="19">
        <f>IF($D995=1,INDEX(TblClusters[Workers min],$B995),"")</f>
        <v>3</v>
      </c>
      <c r="K995" s="73">
        <f>IF($D995=1,INDEX(TblClusters[Tarif par nœud],$B995),"")</f>
        <v>1421</v>
      </c>
      <c r="L995" s="19">
        <f>IF($D995=1,INDEX(TblClusters[CPU initial (vCPU)],$B995),"")</f>
        <v>288</v>
      </c>
      <c r="M995" s="19">
        <f>IF($D995=1,INDEX(TblClusters[RAM initiale (Go)],$B995),"")</f>
        <v>2304</v>
      </c>
      <c r="N995" s="19">
        <f>IF($D995=1,INDEX(TblClusters[CPU min (vCPU)],$B995),"")</f>
        <v>96</v>
      </c>
      <c r="O995" s="19">
        <f>IF($D995=1,INDEX(TblClusters[RAM min (Go)],$B995),"")</f>
        <v>768</v>
      </c>
      <c r="P995" s="19">
        <f>IF($D995&lt;&gt;1,"",IF($G995="ROKS",SUMIFS(TblApplications[Besoin ROKS CPU (vCPU)],TblApplications[Cluster ROKS cible],$F995,TblApplications[Action],"À migrer",TblApplications[Déjà incluse ROKS],"Non",TblApplications[Mois prov (calc)],"&lt;="&amp;$E995),SUMIFS(TblApplications[CPU IKS libérable (vCPU)],TblApplications[Cluster IKS source],$F995,TblApplications[Mois lib (calc)],"&lt;="&amp;$E995)))</f>
        <v>0</v>
      </c>
      <c r="Q995" s="19">
        <f>IF($D995&lt;&gt;1,"",IF($G995="ROKS",SUMIFS(TblApplications[Besoin ROKS RAM (Go)],TblApplications[Cluster ROKS cible],$F995,TblApplications[Action],"À migrer",TblApplications[Déjà incluse ROKS],"Non",TblApplications[Mois prov (calc)],"&lt;="&amp;$E995),SUMIFS(TblApplications[RAM IKS libérable (Go)],TblApplications[Cluster IKS source],$F995,TblApplications[Mois lib (calc)],"&lt;="&amp;$E995)))</f>
        <v>0</v>
      </c>
      <c r="R995" s="19">
        <f t="shared" si="258"/>
        <v>288</v>
      </c>
      <c r="S995" s="19">
        <f t="shared" si="259"/>
        <v>2304</v>
      </c>
      <c r="T995" s="19">
        <f t="shared" si="260"/>
        <v>9</v>
      </c>
      <c r="U995" s="19">
        <f t="shared" si="261"/>
        <v>288</v>
      </c>
      <c r="V995" s="19">
        <f t="shared" si="262"/>
        <v>2304</v>
      </c>
      <c r="W995" s="73">
        <f t="shared" si="263"/>
        <v>12789</v>
      </c>
      <c r="X995" s="19">
        <f>IF($D995&lt;&gt;1,"",IF($G995="ROKS",$R995,IF($AI995=1,0,MAX($N995,$L995-SUMIFS(TblApplications[CPU IKS libérable (vCPU)],TblApplications[Cluster IKS source],$F995,TblApplications[Action],"À migrer",TblApplications[Mois prov (calc)],"&lt;="&amp;$E995)-SUMIFS(TblApplications[CPU IKS libérable (vCPU)],TblApplications[Cluster IKS source],$F995,TblApplications[Action],"À décommissionner",TblApplications[Mois lib (calc)],"&lt;="&amp;$E995)))))</f>
        <v>288</v>
      </c>
      <c r="Y995" s="19">
        <f>IF($D995&lt;&gt;1,"",IF($G995="ROKS",$S995,IF($AI995=1,0,MAX($O995,$M995-SUMIFS(TblApplications[RAM IKS libérable (Go)],TblApplications[Cluster IKS source],$F995,TblApplications[Action],"À migrer",TblApplications[Mois prov (calc)],"&lt;="&amp;$E995)-SUMIFS(TblApplications[RAM IKS libérable (Go)],TblApplications[Cluster IKS source],$F995,TblApplications[Action],"À décommissionner",TblApplications[Mois lib (calc)],"&lt;="&amp;$E995)))))</f>
        <v>2304</v>
      </c>
      <c r="Z995" s="19">
        <f t="shared" si="264"/>
        <v>9</v>
      </c>
      <c r="AA995" s="73">
        <f t="shared" si="265"/>
        <v>12789</v>
      </c>
      <c r="AB995" s="19">
        <f t="shared" si="266"/>
        <v>9</v>
      </c>
      <c r="AC995" s="73">
        <f t="shared" si="267"/>
        <v>12789</v>
      </c>
      <c r="AD995" s="19">
        <f t="shared" si="268"/>
        <v>0</v>
      </c>
      <c r="AE995" s="19">
        <f t="shared" si="269"/>
        <v>0</v>
      </c>
      <c r="AF995" s="19" t="str">
        <f>IF($D995&lt;&gt;1,"",IF(INDEX(TblClusters[Environnement],$B995)="","(vide)",INDEX(TblClusters[Environnement],$B995)))</f>
        <v>NPRD</v>
      </c>
      <c r="AG995" s="19">
        <f t="shared" si="270"/>
        <v>518.4</v>
      </c>
      <c r="AH995" s="19">
        <f t="shared" si="271"/>
        <v>24.670138888888889</v>
      </c>
      <c r="AI995" s="19">
        <f>IF($D995&lt;&gt;1,"",IF(AND($G995="IKS",ISNUMBER(INDEX(TblClusters[Fermeture retenue],$B995))),IF($E995&gt;=INDEX(TblClusters[Fermeture retenue],$B995),1,0),0))</f>
        <v>0</v>
      </c>
    </row>
    <row r="996" spans="1:35" x14ac:dyDescent="0.2">
      <c r="A996" s="19">
        <v>991</v>
      </c>
      <c r="B996" s="19">
        <f t="shared" si="255"/>
        <v>28</v>
      </c>
      <c r="C996" s="19">
        <f t="shared" si="256"/>
        <v>19</v>
      </c>
      <c r="D996" s="19">
        <f>IF($C996&gt;p_horizon,0,IFERROR(IF(AND(INDEX(TblClusters[Cluster],$B996)&lt;&gt;"",ISNUMBER(INDEX(TblClusters[CPU initial (vCPU)],$B996)),ISNUMBER(INDEX(TblClusters[CPU min (vCPU)],$B996)),OR(INDEX(TblClusters[Plateforme],$B996)="IKS",INDEX(TblClusters[Plateforme],$B996)="ROKS")),1,0),0))</f>
        <v>1</v>
      </c>
      <c r="E996" s="72">
        <f t="shared" si="257"/>
        <v>46844</v>
      </c>
      <c r="F996" s="19" t="str">
        <f>IF($D996=1,INDEX(TblClusters[Cluster],$B996),"")</f>
        <v>ku002i001021</v>
      </c>
      <c r="G996" s="19" t="str">
        <f>IF($D996=1,INDEX(TblClusters[Plateforme],$B996),"")</f>
        <v>IKS</v>
      </c>
      <c r="H996" s="19">
        <f>IF($D996=1,INDEX(TblClusters[vCPU par nœud],$B996),"")</f>
        <v>32</v>
      </c>
      <c r="I996" s="19">
        <f>IF($D996=1,INDEX(TblClusters[RAM par nœud (Go)],$B996),"")</f>
        <v>256</v>
      </c>
      <c r="J996" s="19">
        <f>IF($D996=1,INDEX(TblClusters[Workers min],$B996),"")</f>
        <v>3</v>
      </c>
      <c r="K996" s="73">
        <f>IF($D996=1,INDEX(TblClusters[Tarif par nœud],$B996),"")</f>
        <v>1421</v>
      </c>
      <c r="L996" s="19">
        <f>IF($D996=1,INDEX(TblClusters[CPU initial (vCPU)],$B996),"")</f>
        <v>288</v>
      </c>
      <c r="M996" s="19">
        <f>IF($D996=1,INDEX(TblClusters[RAM initiale (Go)],$B996),"")</f>
        <v>2304</v>
      </c>
      <c r="N996" s="19">
        <f>IF($D996=1,INDEX(TblClusters[CPU min (vCPU)],$B996),"")</f>
        <v>96</v>
      </c>
      <c r="O996" s="19">
        <f>IF($D996=1,INDEX(TblClusters[RAM min (Go)],$B996),"")</f>
        <v>768</v>
      </c>
      <c r="P996" s="19">
        <f>IF($D996&lt;&gt;1,"",IF($G996="ROKS",SUMIFS(TblApplications[Besoin ROKS CPU (vCPU)],TblApplications[Cluster ROKS cible],$F996,TblApplications[Action],"À migrer",TblApplications[Déjà incluse ROKS],"Non",TblApplications[Mois prov (calc)],"&lt;="&amp;$E996),SUMIFS(TblApplications[CPU IKS libérable (vCPU)],TblApplications[Cluster IKS source],$F996,TblApplications[Mois lib (calc)],"&lt;="&amp;$E996)))</f>
        <v>0</v>
      </c>
      <c r="Q996" s="19">
        <f>IF($D996&lt;&gt;1,"",IF($G996="ROKS",SUMIFS(TblApplications[Besoin ROKS RAM (Go)],TblApplications[Cluster ROKS cible],$F996,TblApplications[Action],"À migrer",TblApplications[Déjà incluse ROKS],"Non",TblApplications[Mois prov (calc)],"&lt;="&amp;$E996),SUMIFS(TblApplications[RAM IKS libérable (Go)],TblApplications[Cluster IKS source],$F996,TblApplications[Mois lib (calc)],"&lt;="&amp;$E996)))</f>
        <v>0</v>
      </c>
      <c r="R996" s="19">
        <f t="shared" si="258"/>
        <v>288</v>
      </c>
      <c r="S996" s="19">
        <f t="shared" si="259"/>
        <v>2304</v>
      </c>
      <c r="T996" s="19">
        <f t="shared" si="260"/>
        <v>9</v>
      </c>
      <c r="U996" s="19">
        <f t="shared" si="261"/>
        <v>288</v>
      </c>
      <c r="V996" s="19">
        <f t="shared" si="262"/>
        <v>2304</v>
      </c>
      <c r="W996" s="73">
        <f t="shared" si="263"/>
        <v>12789</v>
      </c>
      <c r="X996" s="19">
        <f>IF($D996&lt;&gt;1,"",IF($G996="ROKS",$R996,IF($AI996=1,0,MAX($N996,$L996-SUMIFS(TblApplications[CPU IKS libérable (vCPU)],TblApplications[Cluster IKS source],$F996,TblApplications[Action],"À migrer",TblApplications[Mois prov (calc)],"&lt;="&amp;$E996)-SUMIFS(TblApplications[CPU IKS libérable (vCPU)],TblApplications[Cluster IKS source],$F996,TblApplications[Action],"À décommissionner",TblApplications[Mois lib (calc)],"&lt;="&amp;$E996)))))</f>
        <v>288</v>
      </c>
      <c r="Y996" s="19">
        <f>IF($D996&lt;&gt;1,"",IF($G996="ROKS",$S996,IF($AI996=1,0,MAX($O996,$M996-SUMIFS(TblApplications[RAM IKS libérable (Go)],TblApplications[Cluster IKS source],$F996,TblApplications[Action],"À migrer",TblApplications[Mois prov (calc)],"&lt;="&amp;$E996)-SUMIFS(TblApplications[RAM IKS libérable (Go)],TblApplications[Cluster IKS source],$F996,TblApplications[Action],"À décommissionner",TblApplications[Mois lib (calc)],"&lt;="&amp;$E996)))))</f>
        <v>2304</v>
      </c>
      <c r="Z996" s="19">
        <f t="shared" si="264"/>
        <v>9</v>
      </c>
      <c r="AA996" s="73">
        <f t="shared" si="265"/>
        <v>12789</v>
      </c>
      <c r="AB996" s="19">
        <f t="shared" si="266"/>
        <v>9</v>
      </c>
      <c r="AC996" s="73">
        <f t="shared" si="267"/>
        <v>12789</v>
      </c>
      <c r="AD996" s="19">
        <f t="shared" si="268"/>
        <v>0</v>
      </c>
      <c r="AE996" s="19">
        <f t="shared" si="269"/>
        <v>0</v>
      </c>
      <c r="AF996" s="19" t="str">
        <f>IF($D996&lt;&gt;1,"",IF(INDEX(TblClusters[Environnement],$B996)="","(vide)",INDEX(TblClusters[Environnement],$B996)))</f>
        <v>NPRD</v>
      </c>
      <c r="AG996" s="19">
        <f t="shared" si="270"/>
        <v>518.4</v>
      </c>
      <c r="AH996" s="19">
        <f t="shared" si="271"/>
        <v>24.670138888888889</v>
      </c>
      <c r="AI996" s="19">
        <f>IF($D996&lt;&gt;1,"",IF(AND($G996="IKS",ISNUMBER(INDEX(TblClusters[Fermeture retenue],$B996))),IF($E996&gt;=INDEX(TblClusters[Fermeture retenue],$B996),1,0),0))</f>
        <v>0</v>
      </c>
    </row>
    <row r="997" spans="1:35" x14ac:dyDescent="0.2">
      <c r="A997" s="19">
        <v>992</v>
      </c>
      <c r="B997" s="19">
        <f t="shared" si="255"/>
        <v>28</v>
      </c>
      <c r="C997" s="19">
        <f t="shared" si="256"/>
        <v>20</v>
      </c>
      <c r="D997" s="19">
        <f>IF($C997&gt;p_horizon,0,IFERROR(IF(AND(INDEX(TblClusters[Cluster],$B997)&lt;&gt;"",ISNUMBER(INDEX(TblClusters[CPU initial (vCPU)],$B997)),ISNUMBER(INDEX(TblClusters[CPU min (vCPU)],$B997)),OR(INDEX(TblClusters[Plateforme],$B997)="IKS",INDEX(TblClusters[Plateforme],$B997)="ROKS")),1,0),0))</f>
        <v>1</v>
      </c>
      <c r="E997" s="72">
        <f t="shared" si="257"/>
        <v>46874</v>
      </c>
      <c r="F997" s="19" t="str">
        <f>IF($D997=1,INDEX(TblClusters[Cluster],$B997),"")</f>
        <v>ku002i001021</v>
      </c>
      <c r="G997" s="19" t="str">
        <f>IF($D997=1,INDEX(TblClusters[Plateforme],$B997),"")</f>
        <v>IKS</v>
      </c>
      <c r="H997" s="19">
        <f>IF($D997=1,INDEX(TblClusters[vCPU par nœud],$B997),"")</f>
        <v>32</v>
      </c>
      <c r="I997" s="19">
        <f>IF($D997=1,INDEX(TblClusters[RAM par nœud (Go)],$B997),"")</f>
        <v>256</v>
      </c>
      <c r="J997" s="19">
        <f>IF($D997=1,INDEX(TblClusters[Workers min],$B997),"")</f>
        <v>3</v>
      </c>
      <c r="K997" s="73">
        <f>IF($D997=1,INDEX(TblClusters[Tarif par nœud],$B997),"")</f>
        <v>1421</v>
      </c>
      <c r="L997" s="19">
        <f>IF($D997=1,INDEX(TblClusters[CPU initial (vCPU)],$B997),"")</f>
        <v>288</v>
      </c>
      <c r="M997" s="19">
        <f>IF($D997=1,INDEX(TblClusters[RAM initiale (Go)],$B997),"")</f>
        <v>2304</v>
      </c>
      <c r="N997" s="19">
        <f>IF($D997=1,INDEX(TblClusters[CPU min (vCPU)],$B997),"")</f>
        <v>96</v>
      </c>
      <c r="O997" s="19">
        <f>IF($D997=1,INDEX(TblClusters[RAM min (Go)],$B997),"")</f>
        <v>768</v>
      </c>
      <c r="P997" s="19">
        <f>IF($D997&lt;&gt;1,"",IF($G997="ROKS",SUMIFS(TblApplications[Besoin ROKS CPU (vCPU)],TblApplications[Cluster ROKS cible],$F997,TblApplications[Action],"À migrer",TblApplications[Déjà incluse ROKS],"Non",TblApplications[Mois prov (calc)],"&lt;="&amp;$E997),SUMIFS(TblApplications[CPU IKS libérable (vCPU)],TblApplications[Cluster IKS source],$F997,TblApplications[Mois lib (calc)],"&lt;="&amp;$E997)))</f>
        <v>0</v>
      </c>
      <c r="Q997" s="19">
        <f>IF($D997&lt;&gt;1,"",IF($G997="ROKS",SUMIFS(TblApplications[Besoin ROKS RAM (Go)],TblApplications[Cluster ROKS cible],$F997,TblApplications[Action],"À migrer",TblApplications[Déjà incluse ROKS],"Non",TblApplications[Mois prov (calc)],"&lt;="&amp;$E997),SUMIFS(TblApplications[RAM IKS libérable (Go)],TblApplications[Cluster IKS source],$F997,TblApplications[Mois lib (calc)],"&lt;="&amp;$E997)))</f>
        <v>0</v>
      </c>
      <c r="R997" s="19">
        <f t="shared" si="258"/>
        <v>288</v>
      </c>
      <c r="S997" s="19">
        <f t="shared" si="259"/>
        <v>2304</v>
      </c>
      <c r="T997" s="19">
        <f t="shared" si="260"/>
        <v>9</v>
      </c>
      <c r="U997" s="19">
        <f t="shared" si="261"/>
        <v>288</v>
      </c>
      <c r="V997" s="19">
        <f t="shared" si="262"/>
        <v>2304</v>
      </c>
      <c r="W997" s="73">
        <f t="shared" si="263"/>
        <v>12789</v>
      </c>
      <c r="X997" s="19">
        <f>IF($D997&lt;&gt;1,"",IF($G997="ROKS",$R997,IF($AI997=1,0,MAX($N997,$L997-SUMIFS(TblApplications[CPU IKS libérable (vCPU)],TblApplications[Cluster IKS source],$F997,TblApplications[Action],"À migrer",TblApplications[Mois prov (calc)],"&lt;="&amp;$E997)-SUMIFS(TblApplications[CPU IKS libérable (vCPU)],TblApplications[Cluster IKS source],$F997,TblApplications[Action],"À décommissionner",TblApplications[Mois lib (calc)],"&lt;="&amp;$E997)))))</f>
        <v>288</v>
      </c>
      <c r="Y997" s="19">
        <f>IF($D997&lt;&gt;1,"",IF($G997="ROKS",$S997,IF($AI997=1,0,MAX($O997,$M997-SUMIFS(TblApplications[RAM IKS libérable (Go)],TblApplications[Cluster IKS source],$F997,TblApplications[Action],"À migrer",TblApplications[Mois prov (calc)],"&lt;="&amp;$E997)-SUMIFS(TblApplications[RAM IKS libérable (Go)],TblApplications[Cluster IKS source],$F997,TblApplications[Action],"À décommissionner",TblApplications[Mois lib (calc)],"&lt;="&amp;$E997)))))</f>
        <v>2304</v>
      </c>
      <c r="Z997" s="19">
        <f t="shared" si="264"/>
        <v>9</v>
      </c>
      <c r="AA997" s="73">
        <f t="shared" si="265"/>
        <v>12789</v>
      </c>
      <c r="AB997" s="19">
        <f t="shared" si="266"/>
        <v>9</v>
      </c>
      <c r="AC997" s="73">
        <f t="shared" si="267"/>
        <v>12789</v>
      </c>
      <c r="AD997" s="19">
        <f t="shared" si="268"/>
        <v>0</v>
      </c>
      <c r="AE997" s="19">
        <f t="shared" si="269"/>
        <v>0</v>
      </c>
      <c r="AF997" s="19" t="str">
        <f>IF($D997&lt;&gt;1,"",IF(INDEX(TblClusters[Environnement],$B997)="","(vide)",INDEX(TblClusters[Environnement],$B997)))</f>
        <v>NPRD</v>
      </c>
      <c r="AG997" s="19">
        <f t="shared" si="270"/>
        <v>518.4</v>
      </c>
      <c r="AH997" s="19">
        <f t="shared" si="271"/>
        <v>24.670138888888889</v>
      </c>
      <c r="AI997" s="19">
        <f>IF($D997&lt;&gt;1,"",IF(AND($G997="IKS",ISNUMBER(INDEX(TblClusters[Fermeture retenue],$B997))),IF($E997&gt;=INDEX(TblClusters[Fermeture retenue],$B997),1,0),0))</f>
        <v>0</v>
      </c>
    </row>
    <row r="998" spans="1:35" x14ac:dyDescent="0.2">
      <c r="A998" s="19">
        <v>993</v>
      </c>
      <c r="B998" s="19">
        <f t="shared" si="255"/>
        <v>28</v>
      </c>
      <c r="C998" s="19">
        <f t="shared" si="256"/>
        <v>21</v>
      </c>
      <c r="D998" s="19">
        <f>IF($C998&gt;p_horizon,0,IFERROR(IF(AND(INDEX(TblClusters[Cluster],$B998)&lt;&gt;"",ISNUMBER(INDEX(TblClusters[CPU initial (vCPU)],$B998)),ISNUMBER(INDEX(TblClusters[CPU min (vCPU)],$B998)),OR(INDEX(TblClusters[Plateforme],$B998)="IKS",INDEX(TblClusters[Plateforme],$B998)="ROKS")),1,0),0))</f>
        <v>1</v>
      </c>
      <c r="E998" s="72">
        <f t="shared" si="257"/>
        <v>46905</v>
      </c>
      <c r="F998" s="19" t="str">
        <f>IF($D998=1,INDEX(TblClusters[Cluster],$B998),"")</f>
        <v>ku002i001021</v>
      </c>
      <c r="G998" s="19" t="str">
        <f>IF($D998=1,INDEX(TblClusters[Plateforme],$B998),"")</f>
        <v>IKS</v>
      </c>
      <c r="H998" s="19">
        <f>IF($D998=1,INDEX(TblClusters[vCPU par nœud],$B998),"")</f>
        <v>32</v>
      </c>
      <c r="I998" s="19">
        <f>IF($D998=1,INDEX(TblClusters[RAM par nœud (Go)],$B998),"")</f>
        <v>256</v>
      </c>
      <c r="J998" s="19">
        <f>IF($D998=1,INDEX(TblClusters[Workers min],$B998),"")</f>
        <v>3</v>
      </c>
      <c r="K998" s="73">
        <f>IF($D998=1,INDEX(TblClusters[Tarif par nœud],$B998),"")</f>
        <v>1421</v>
      </c>
      <c r="L998" s="19">
        <f>IF($D998=1,INDEX(TblClusters[CPU initial (vCPU)],$B998),"")</f>
        <v>288</v>
      </c>
      <c r="M998" s="19">
        <f>IF($D998=1,INDEX(TblClusters[RAM initiale (Go)],$B998),"")</f>
        <v>2304</v>
      </c>
      <c r="N998" s="19">
        <f>IF($D998=1,INDEX(TblClusters[CPU min (vCPU)],$B998),"")</f>
        <v>96</v>
      </c>
      <c r="O998" s="19">
        <f>IF($D998=1,INDEX(TblClusters[RAM min (Go)],$B998),"")</f>
        <v>768</v>
      </c>
      <c r="P998" s="19">
        <f>IF($D998&lt;&gt;1,"",IF($G998="ROKS",SUMIFS(TblApplications[Besoin ROKS CPU (vCPU)],TblApplications[Cluster ROKS cible],$F998,TblApplications[Action],"À migrer",TblApplications[Déjà incluse ROKS],"Non",TblApplications[Mois prov (calc)],"&lt;="&amp;$E998),SUMIFS(TblApplications[CPU IKS libérable (vCPU)],TblApplications[Cluster IKS source],$F998,TblApplications[Mois lib (calc)],"&lt;="&amp;$E998)))</f>
        <v>0</v>
      </c>
      <c r="Q998" s="19">
        <f>IF($D998&lt;&gt;1,"",IF($G998="ROKS",SUMIFS(TblApplications[Besoin ROKS RAM (Go)],TblApplications[Cluster ROKS cible],$F998,TblApplications[Action],"À migrer",TblApplications[Déjà incluse ROKS],"Non",TblApplications[Mois prov (calc)],"&lt;="&amp;$E998),SUMIFS(TblApplications[RAM IKS libérable (Go)],TblApplications[Cluster IKS source],$F998,TblApplications[Mois lib (calc)],"&lt;="&amp;$E998)))</f>
        <v>0</v>
      </c>
      <c r="R998" s="19">
        <f t="shared" si="258"/>
        <v>288</v>
      </c>
      <c r="S998" s="19">
        <f t="shared" si="259"/>
        <v>2304</v>
      </c>
      <c r="T998" s="19">
        <f t="shared" si="260"/>
        <v>9</v>
      </c>
      <c r="U998" s="19">
        <f t="shared" si="261"/>
        <v>288</v>
      </c>
      <c r="V998" s="19">
        <f t="shared" si="262"/>
        <v>2304</v>
      </c>
      <c r="W998" s="73">
        <f t="shared" si="263"/>
        <v>12789</v>
      </c>
      <c r="X998" s="19">
        <f>IF($D998&lt;&gt;1,"",IF($G998="ROKS",$R998,IF($AI998=1,0,MAX($N998,$L998-SUMIFS(TblApplications[CPU IKS libérable (vCPU)],TblApplications[Cluster IKS source],$F998,TblApplications[Action],"À migrer",TblApplications[Mois prov (calc)],"&lt;="&amp;$E998)-SUMIFS(TblApplications[CPU IKS libérable (vCPU)],TblApplications[Cluster IKS source],$F998,TblApplications[Action],"À décommissionner",TblApplications[Mois lib (calc)],"&lt;="&amp;$E998)))))</f>
        <v>288</v>
      </c>
      <c r="Y998" s="19">
        <f>IF($D998&lt;&gt;1,"",IF($G998="ROKS",$S998,IF($AI998=1,0,MAX($O998,$M998-SUMIFS(TblApplications[RAM IKS libérable (Go)],TblApplications[Cluster IKS source],$F998,TblApplications[Action],"À migrer",TblApplications[Mois prov (calc)],"&lt;="&amp;$E998)-SUMIFS(TblApplications[RAM IKS libérable (Go)],TblApplications[Cluster IKS source],$F998,TblApplications[Action],"À décommissionner",TblApplications[Mois lib (calc)],"&lt;="&amp;$E998)))))</f>
        <v>2304</v>
      </c>
      <c r="Z998" s="19">
        <f t="shared" si="264"/>
        <v>9</v>
      </c>
      <c r="AA998" s="73">
        <f t="shared" si="265"/>
        <v>12789</v>
      </c>
      <c r="AB998" s="19">
        <f t="shared" si="266"/>
        <v>9</v>
      </c>
      <c r="AC998" s="73">
        <f t="shared" si="267"/>
        <v>12789</v>
      </c>
      <c r="AD998" s="19">
        <f t="shared" si="268"/>
        <v>0</v>
      </c>
      <c r="AE998" s="19">
        <f t="shared" si="269"/>
        <v>0</v>
      </c>
      <c r="AF998" s="19" t="str">
        <f>IF($D998&lt;&gt;1,"",IF(INDEX(TblClusters[Environnement],$B998)="","(vide)",INDEX(TblClusters[Environnement],$B998)))</f>
        <v>NPRD</v>
      </c>
      <c r="AG998" s="19">
        <f t="shared" si="270"/>
        <v>518.4</v>
      </c>
      <c r="AH998" s="19">
        <f t="shared" si="271"/>
        <v>24.670138888888889</v>
      </c>
      <c r="AI998" s="19">
        <f>IF($D998&lt;&gt;1,"",IF(AND($G998="IKS",ISNUMBER(INDEX(TblClusters[Fermeture retenue],$B998))),IF($E998&gt;=INDEX(TblClusters[Fermeture retenue],$B998),1,0),0))</f>
        <v>0</v>
      </c>
    </row>
    <row r="999" spans="1:35" x14ac:dyDescent="0.2">
      <c r="A999" s="19">
        <v>994</v>
      </c>
      <c r="B999" s="19">
        <f t="shared" si="255"/>
        <v>28</v>
      </c>
      <c r="C999" s="19">
        <f t="shared" si="256"/>
        <v>22</v>
      </c>
      <c r="D999" s="19">
        <f>IF($C999&gt;p_horizon,0,IFERROR(IF(AND(INDEX(TblClusters[Cluster],$B999)&lt;&gt;"",ISNUMBER(INDEX(TblClusters[CPU initial (vCPU)],$B999)),ISNUMBER(INDEX(TblClusters[CPU min (vCPU)],$B999)),OR(INDEX(TblClusters[Plateforme],$B999)="IKS",INDEX(TblClusters[Plateforme],$B999)="ROKS")),1,0),0))</f>
        <v>1</v>
      </c>
      <c r="E999" s="72">
        <f t="shared" si="257"/>
        <v>46935</v>
      </c>
      <c r="F999" s="19" t="str">
        <f>IF($D999=1,INDEX(TblClusters[Cluster],$B999),"")</f>
        <v>ku002i001021</v>
      </c>
      <c r="G999" s="19" t="str">
        <f>IF($D999=1,INDEX(TblClusters[Plateforme],$B999),"")</f>
        <v>IKS</v>
      </c>
      <c r="H999" s="19">
        <f>IF($D999=1,INDEX(TblClusters[vCPU par nœud],$B999),"")</f>
        <v>32</v>
      </c>
      <c r="I999" s="19">
        <f>IF($D999=1,INDEX(TblClusters[RAM par nœud (Go)],$B999),"")</f>
        <v>256</v>
      </c>
      <c r="J999" s="19">
        <f>IF($D999=1,INDEX(TblClusters[Workers min],$B999),"")</f>
        <v>3</v>
      </c>
      <c r="K999" s="73">
        <f>IF($D999=1,INDEX(TblClusters[Tarif par nœud],$B999),"")</f>
        <v>1421</v>
      </c>
      <c r="L999" s="19">
        <f>IF($D999=1,INDEX(TblClusters[CPU initial (vCPU)],$B999),"")</f>
        <v>288</v>
      </c>
      <c r="M999" s="19">
        <f>IF($D999=1,INDEX(TblClusters[RAM initiale (Go)],$B999),"")</f>
        <v>2304</v>
      </c>
      <c r="N999" s="19">
        <f>IF($D999=1,INDEX(TblClusters[CPU min (vCPU)],$B999),"")</f>
        <v>96</v>
      </c>
      <c r="O999" s="19">
        <f>IF($D999=1,INDEX(TblClusters[RAM min (Go)],$B999),"")</f>
        <v>768</v>
      </c>
      <c r="P999" s="19">
        <f>IF($D999&lt;&gt;1,"",IF($G999="ROKS",SUMIFS(TblApplications[Besoin ROKS CPU (vCPU)],TblApplications[Cluster ROKS cible],$F999,TblApplications[Action],"À migrer",TblApplications[Déjà incluse ROKS],"Non",TblApplications[Mois prov (calc)],"&lt;="&amp;$E999),SUMIFS(TblApplications[CPU IKS libérable (vCPU)],TblApplications[Cluster IKS source],$F999,TblApplications[Mois lib (calc)],"&lt;="&amp;$E999)))</f>
        <v>0</v>
      </c>
      <c r="Q999" s="19">
        <f>IF($D999&lt;&gt;1,"",IF($G999="ROKS",SUMIFS(TblApplications[Besoin ROKS RAM (Go)],TblApplications[Cluster ROKS cible],$F999,TblApplications[Action],"À migrer",TblApplications[Déjà incluse ROKS],"Non",TblApplications[Mois prov (calc)],"&lt;="&amp;$E999),SUMIFS(TblApplications[RAM IKS libérable (Go)],TblApplications[Cluster IKS source],$F999,TblApplications[Mois lib (calc)],"&lt;="&amp;$E999)))</f>
        <v>0</v>
      </c>
      <c r="R999" s="19">
        <f t="shared" si="258"/>
        <v>288</v>
      </c>
      <c r="S999" s="19">
        <f t="shared" si="259"/>
        <v>2304</v>
      </c>
      <c r="T999" s="19">
        <f t="shared" si="260"/>
        <v>9</v>
      </c>
      <c r="U999" s="19">
        <f t="shared" si="261"/>
        <v>288</v>
      </c>
      <c r="V999" s="19">
        <f t="shared" si="262"/>
        <v>2304</v>
      </c>
      <c r="W999" s="73">
        <f t="shared" si="263"/>
        <v>12789</v>
      </c>
      <c r="X999" s="19">
        <f>IF($D999&lt;&gt;1,"",IF($G999="ROKS",$R999,IF($AI999=1,0,MAX($N999,$L999-SUMIFS(TblApplications[CPU IKS libérable (vCPU)],TblApplications[Cluster IKS source],$F999,TblApplications[Action],"À migrer",TblApplications[Mois prov (calc)],"&lt;="&amp;$E999)-SUMIFS(TblApplications[CPU IKS libérable (vCPU)],TblApplications[Cluster IKS source],$F999,TblApplications[Action],"À décommissionner",TblApplications[Mois lib (calc)],"&lt;="&amp;$E999)))))</f>
        <v>288</v>
      </c>
      <c r="Y999" s="19">
        <f>IF($D999&lt;&gt;1,"",IF($G999="ROKS",$S999,IF($AI999=1,0,MAX($O999,$M999-SUMIFS(TblApplications[RAM IKS libérable (Go)],TblApplications[Cluster IKS source],$F999,TblApplications[Action],"À migrer",TblApplications[Mois prov (calc)],"&lt;="&amp;$E999)-SUMIFS(TblApplications[RAM IKS libérable (Go)],TblApplications[Cluster IKS source],$F999,TblApplications[Action],"À décommissionner",TblApplications[Mois lib (calc)],"&lt;="&amp;$E999)))))</f>
        <v>2304</v>
      </c>
      <c r="Z999" s="19">
        <f t="shared" si="264"/>
        <v>9</v>
      </c>
      <c r="AA999" s="73">
        <f t="shared" si="265"/>
        <v>12789</v>
      </c>
      <c r="AB999" s="19">
        <f t="shared" si="266"/>
        <v>9</v>
      </c>
      <c r="AC999" s="73">
        <f t="shared" si="267"/>
        <v>12789</v>
      </c>
      <c r="AD999" s="19">
        <f t="shared" si="268"/>
        <v>0</v>
      </c>
      <c r="AE999" s="19">
        <f t="shared" si="269"/>
        <v>0</v>
      </c>
      <c r="AF999" s="19" t="str">
        <f>IF($D999&lt;&gt;1,"",IF(INDEX(TblClusters[Environnement],$B999)="","(vide)",INDEX(TblClusters[Environnement],$B999)))</f>
        <v>NPRD</v>
      </c>
      <c r="AG999" s="19">
        <f t="shared" si="270"/>
        <v>518.4</v>
      </c>
      <c r="AH999" s="19">
        <f t="shared" si="271"/>
        <v>24.670138888888889</v>
      </c>
      <c r="AI999" s="19">
        <f>IF($D999&lt;&gt;1,"",IF(AND($G999="IKS",ISNUMBER(INDEX(TblClusters[Fermeture retenue],$B999))),IF($E999&gt;=INDEX(TblClusters[Fermeture retenue],$B999),1,0),0))</f>
        <v>0</v>
      </c>
    </row>
    <row r="1000" spans="1:35" x14ac:dyDescent="0.2">
      <c r="A1000" s="19">
        <v>995</v>
      </c>
      <c r="B1000" s="19">
        <f t="shared" si="255"/>
        <v>28</v>
      </c>
      <c r="C1000" s="19">
        <f t="shared" si="256"/>
        <v>23</v>
      </c>
      <c r="D1000" s="19">
        <f>IF($C1000&gt;p_horizon,0,IFERROR(IF(AND(INDEX(TblClusters[Cluster],$B1000)&lt;&gt;"",ISNUMBER(INDEX(TblClusters[CPU initial (vCPU)],$B1000)),ISNUMBER(INDEX(TblClusters[CPU min (vCPU)],$B1000)),OR(INDEX(TblClusters[Plateforme],$B1000)="IKS",INDEX(TblClusters[Plateforme],$B1000)="ROKS")),1,0),0))</f>
        <v>1</v>
      </c>
      <c r="E1000" s="72">
        <f t="shared" si="257"/>
        <v>46966</v>
      </c>
      <c r="F1000" s="19" t="str">
        <f>IF($D1000=1,INDEX(TblClusters[Cluster],$B1000),"")</f>
        <v>ku002i001021</v>
      </c>
      <c r="G1000" s="19" t="str">
        <f>IF($D1000=1,INDEX(TblClusters[Plateforme],$B1000),"")</f>
        <v>IKS</v>
      </c>
      <c r="H1000" s="19">
        <f>IF($D1000=1,INDEX(TblClusters[vCPU par nœud],$B1000),"")</f>
        <v>32</v>
      </c>
      <c r="I1000" s="19">
        <f>IF($D1000=1,INDEX(TblClusters[RAM par nœud (Go)],$B1000),"")</f>
        <v>256</v>
      </c>
      <c r="J1000" s="19">
        <f>IF($D1000=1,INDEX(TblClusters[Workers min],$B1000),"")</f>
        <v>3</v>
      </c>
      <c r="K1000" s="73">
        <f>IF($D1000=1,INDEX(TblClusters[Tarif par nœud],$B1000),"")</f>
        <v>1421</v>
      </c>
      <c r="L1000" s="19">
        <f>IF($D1000=1,INDEX(TblClusters[CPU initial (vCPU)],$B1000),"")</f>
        <v>288</v>
      </c>
      <c r="M1000" s="19">
        <f>IF($D1000=1,INDEX(TblClusters[RAM initiale (Go)],$B1000),"")</f>
        <v>2304</v>
      </c>
      <c r="N1000" s="19">
        <f>IF($D1000=1,INDEX(TblClusters[CPU min (vCPU)],$B1000),"")</f>
        <v>96</v>
      </c>
      <c r="O1000" s="19">
        <f>IF($D1000=1,INDEX(TblClusters[RAM min (Go)],$B1000),"")</f>
        <v>768</v>
      </c>
      <c r="P1000" s="19">
        <f>IF($D1000&lt;&gt;1,"",IF($G1000="ROKS",SUMIFS(TblApplications[Besoin ROKS CPU (vCPU)],TblApplications[Cluster ROKS cible],$F1000,TblApplications[Action],"À migrer",TblApplications[Déjà incluse ROKS],"Non",TblApplications[Mois prov (calc)],"&lt;="&amp;$E1000),SUMIFS(TblApplications[CPU IKS libérable (vCPU)],TblApplications[Cluster IKS source],$F1000,TblApplications[Mois lib (calc)],"&lt;="&amp;$E1000)))</f>
        <v>0</v>
      </c>
      <c r="Q1000" s="19">
        <f>IF($D1000&lt;&gt;1,"",IF($G1000="ROKS",SUMIFS(TblApplications[Besoin ROKS RAM (Go)],TblApplications[Cluster ROKS cible],$F1000,TblApplications[Action],"À migrer",TblApplications[Déjà incluse ROKS],"Non",TblApplications[Mois prov (calc)],"&lt;="&amp;$E1000),SUMIFS(TblApplications[RAM IKS libérable (Go)],TblApplications[Cluster IKS source],$F1000,TblApplications[Mois lib (calc)],"&lt;="&amp;$E1000)))</f>
        <v>0</v>
      </c>
      <c r="R1000" s="19">
        <f t="shared" si="258"/>
        <v>288</v>
      </c>
      <c r="S1000" s="19">
        <f t="shared" si="259"/>
        <v>2304</v>
      </c>
      <c r="T1000" s="19">
        <f t="shared" si="260"/>
        <v>9</v>
      </c>
      <c r="U1000" s="19">
        <f t="shared" si="261"/>
        <v>288</v>
      </c>
      <c r="V1000" s="19">
        <f t="shared" si="262"/>
        <v>2304</v>
      </c>
      <c r="W1000" s="73">
        <f t="shared" si="263"/>
        <v>12789</v>
      </c>
      <c r="X1000" s="19">
        <f>IF($D1000&lt;&gt;1,"",IF($G1000="ROKS",$R1000,IF($AI1000=1,0,MAX($N1000,$L1000-SUMIFS(TblApplications[CPU IKS libérable (vCPU)],TblApplications[Cluster IKS source],$F1000,TblApplications[Action],"À migrer",TblApplications[Mois prov (calc)],"&lt;="&amp;$E1000)-SUMIFS(TblApplications[CPU IKS libérable (vCPU)],TblApplications[Cluster IKS source],$F1000,TblApplications[Action],"À décommissionner",TblApplications[Mois lib (calc)],"&lt;="&amp;$E1000)))))</f>
        <v>288</v>
      </c>
      <c r="Y1000" s="19">
        <f>IF($D1000&lt;&gt;1,"",IF($G1000="ROKS",$S1000,IF($AI1000=1,0,MAX($O1000,$M1000-SUMIFS(TblApplications[RAM IKS libérable (Go)],TblApplications[Cluster IKS source],$F1000,TblApplications[Action],"À migrer",TblApplications[Mois prov (calc)],"&lt;="&amp;$E1000)-SUMIFS(TblApplications[RAM IKS libérable (Go)],TblApplications[Cluster IKS source],$F1000,TblApplications[Action],"À décommissionner",TblApplications[Mois lib (calc)],"&lt;="&amp;$E1000)))))</f>
        <v>2304</v>
      </c>
      <c r="Z1000" s="19">
        <f t="shared" si="264"/>
        <v>9</v>
      </c>
      <c r="AA1000" s="73">
        <f t="shared" si="265"/>
        <v>12789</v>
      </c>
      <c r="AB1000" s="19">
        <f t="shared" si="266"/>
        <v>9</v>
      </c>
      <c r="AC1000" s="73">
        <f t="shared" si="267"/>
        <v>12789</v>
      </c>
      <c r="AD1000" s="19">
        <f t="shared" si="268"/>
        <v>0</v>
      </c>
      <c r="AE1000" s="19">
        <f t="shared" si="269"/>
        <v>0</v>
      </c>
      <c r="AF1000" s="19" t="str">
        <f>IF($D1000&lt;&gt;1,"",IF(INDEX(TblClusters[Environnement],$B1000)="","(vide)",INDEX(TblClusters[Environnement],$B1000)))</f>
        <v>NPRD</v>
      </c>
      <c r="AG1000" s="19">
        <f t="shared" si="270"/>
        <v>518.4</v>
      </c>
      <c r="AH1000" s="19">
        <f t="shared" si="271"/>
        <v>24.670138888888889</v>
      </c>
      <c r="AI1000" s="19">
        <f>IF($D1000&lt;&gt;1,"",IF(AND($G1000="IKS",ISNUMBER(INDEX(TblClusters[Fermeture retenue],$B1000))),IF($E1000&gt;=INDEX(TblClusters[Fermeture retenue],$B1000),1,0),0))</f>
        <v>0</v>
      </c>
    </row>
    <row r="1001" spans="1:35" x14ac:dyDescent="0.2">
      <c r="A1001" s="19">
        <v>996</v>
      </c>
      <c r="B1001" s="19">
        <f t="shared" si="255"/>
        <v>28</v>
      </c>
      <c r="C1001" s="19">
        <f t="shared" si="256"/>
        <v>24</v>
      </c>
      <c r="D1001" s="19">
        <f>IF($C1001&gt;p_horizon,0,IFERROR(IF(AND(INDEX(TblClusters[Cluster],$B1001)&lt;&gt;"",ISNUMBER(INDEX(TblClusters[CPU initial (vCPU)],$B1001)),ISNUMBER(INDEX(TblClusters[CPU min (vCPU)],$B1001)),OR(INDEX(TblClusters[Plateforme],$B1001)="IKS",INDEX(TblClusters[Plateforme],$B1001)="ROKS")),1,0),0))</f>
        <v>1</v>
      </c>
      <c r="E1001" s="72">
        <f t="shared" si="257"/>
        <v>46997</v>
      </c>
      <c r="F1001" s="19" t="str">
        <f>IF($D1001=1,INDEX(TblClusters[Cluster],$B1001),"")</f>
        <v>ku002i001021</v>
      </c>
      <c r="G1001" s="19" t="str">
        <f>IF($D1001=1,INDEX(TblClusters[Plateforme],$B1001),"")</f>
        <v>IKS</v>
      </c>
      <c r="H1001" s="19">
        <f>IF($D1001=1,INDEX(TblClusters[vCPU par nœud],$B1001),"")</f>
        <v>32</v>
      </c>
      <c r="I1001" s="19">
        <f>IF($D1001=1,INDEX(TblClusters[RAM par nœud (Go)],$B1001),"")</f>
        <v>256</v>
      </c>
      <c r="J1001" s="19">
        <f>IF($D1001=1,INDEX(TblClusters[Workers min],$B1001),"")</f>
        <v>3</v>
      </c>
      <c r="K1001" s="73">
        <f>IF($D1001=1,INDEX(TblClusters[Tarif par nœud],$B1001),"")</f>
        <v>1421</v>
      </c>
      <c r="L1001" s="19">
        <f>IF($D1001=1,INDEX(TblClusters[CPU initial (vCPU)],$B1001),"")</f>
        <v>288</v>
      </c>
      <c r="M1001" s="19">
        <f>IF($D1001=1,INDEX(TblClusters[RAM initiale (Go)],$B1001),"")</f>
        <v>2304</v>
      </c>
      <c r="N1001" s="19">
        <f>IF($D1001=1,INDEX(TblClusters[CPU min (vCPU)],$B1001),"")</f>
        <v>96</v>
      </c>
      <c r="O1001" s="19">
        <f>IF($D1001=1,INDEX(TblClusters[RAM min (Go)],$B1001),"")</f>
        <v>768</v>
      </c>
      <c r="P1001" s="19">
        <f>IF($D1001&lt;&gt;1,"",IF($G1001="ROKS",SUMIFS(TblApplications[Besoin ROKS CPU (vCPU)],TblApplications[Cluster ROKS cible],$F1001,TblApplications[Action],"À migrer",TblApplications[Déjà incluse ROKS],"Non",TblApplications[Mois prov (calc)],"&lt;="&amp;$E1001),SUMIFS(TblApplications[CPU IKS libérable (vCPU)],TblApplications[Cluster IKS source],$F1001,TblApplications[Mois lib (calc)],"&lt;="&amp;$E1001)))</f>
        <v>0</v>
      </c>
      <c r="Q1001" s="19">
        <f>IF($D1001&lt;&gt;1,"",IF($G1001="ROKS",SUMIFS(TblApplications[Besoin ROKS RAM (Go)],TblApplications[Cluster ROKS cible],$F1001,TblApplications[Action],"À migrer",TblApplications[Déjà incluse ROKS],"Non",TblApplications[Mois prov (calc)],"&lt;="&amp;$E1001),SUMIFS(TblApplications[RAM IKS libérable (Go)],TblApplications[Cluster IKS source],$F1001,TblApplications[Mois lib (calc)],"&lt;="&amp;$E1001)))</f>
        <v>0</v>
      </c>
      <c r="R1001" s="19">
        <f t="shared" si="258"/>
        <v>288</v>
      </c>
      <c r="S1001" s="19">
        <f t="shared" si="259"/>
        <v>2304</v>
      </c>
      <c r="T1001" s="19">
        <f t="shared" si="260"/>
        <v>9</v>
      </c>
      <c r="U1001" s="19">
        <f t="shared" si="261"/>
        <v>288</v>
      </c>
      <c r="V1001" s="19">
        <f t="shared" si="262"/>
        <v>2304</v>
      </c>
      <c r="W1001" s="73">
        <f t="shared" si="263"/>
        <v>12789</v>
      </c>
      <c r="X1001" s="19">
        <f>IF($D1001&lt;&gt;1,"",IF($G1001="ROKS",$R1001,IF($AI1001=1,0,MAX($N1001,$L1001-SUMIFS(TblApplications[CPU IKS libérable (vCPU)],TblApplications[Cluster IKS source],$F1001,TblApplications[Action],"À migrer",TblApplications[Mois prov (calc)],"&lt;="&amp;$E1001)-SUMIFS(TblApplications[CPU IKS libérable (vCPU)],TblApplications[Cluster IKS source],$F1001,TblApplications[Action],"À décommissionner",TblApplications[Mois lib (calc)],"&lt;="&amp;$E1001)))))</f>
        <v>288</v>
      </c>
      <c r="Y1001" s="19">
        <f>IF($D1001&lt;&gt;1,"",IF($G1001="ROKS",$S1001,IF($AI1001=1,0,MAX($O1001,$M1001-SUMIFS(TblApplications[RAM IKS libérable (Go)],TblApplications[Cluster IKS source],$F1001,TblApplications[Action],"À migrer",TblApplications[Mois prov (calc)],"&lt;="&amp;$E1001)-SUMIFS(TblApplications[RAM IKS libérable (Go)],TblApplications[Cluster IKS source],$F1001,TblApplications[Action],"À décommissionner",TblApplications[Mois lib (calc)],"&lt;="&amp;$E1001)))))</f>
        <v>2304</v>
      </c>
      <c r="Z1001" s="19">
        <f t="shared" si="264"/>
        <v>9</v>
      </c>
      <c r="AA1001" s="73">
        <f t="shared" si="265"/>
        <v>12789</v>
      </c>
      <c r="AB1001" s="19">
        <f t="shared" si="266"/>
        <v>9</v>
      </c>
      <c r="AC1001" s="73">
        <f t="shared" si="267"/>
        <v>12789</v>
      </c>
      <c r="AD1001" s="19">
        <f t="shared" si="268"/>
        <v>0</v>
      </c>
      <c r="AE1001" s="19">
        <f t="shared" si="269"/>
        <v>0</v>
      </c>
      <c r="AF1001" s="19" t="str">
        <f>IF($D1001&lt;&gt;1,"",IF(INDEX(TblClusters[Environnement],$B1001)="","(vide)",INDEX(TblClusters[Environnement],$B1001)))</f>
        <v>NPRD</v>
      </c>
      <c r="AG1001" s="19">
        <f t="shared" si="270"/>
        <v>518.4</v>
      </c>
      <c r="AH1001" s="19">
        <f t="shared" si="271"/>
        <v>24.670138888888889</v>
      </c>
      <c r="AI1001" s="19">
        <f>IF($D1001&lt;&gt;1,"",IF(AND($G1001="IKS",ISNUMBER(INDEX(TblClusters[Fermeture retenue],$B1001))),IF($E1001&gt;=INDEX(TblClusters[Fermeture retenue],$B1001),1,0),0))</f>
        <v>0</v>
      </c>
    </row>
    <row r="1002" spans="1:35" x14ac:dyDescent="0.2">
      <c r="A1002" s="19">
        <v>997</v>
      </c>
      <c r="B1002" s="19">
        <f t="shared" si="255"/>
        <v>28</v>
      </c>
      <c r="C1002" s="19">
        <f t="shared" si="256"/>
        <v>25</v>
      </c>
      <c r="D1002" s="19">
        <f>IF($C1002&gt;p_horizon,0,IFERROR(IF(AND(INDEX(TblClusters[Cluster],$B1002)&lt;&gt;"",ISNUMBER(INDEX(TblClusters[CPU initial (vCPU)],$B1002)),ISNUMBER(INDEX(TblClusters[CPU min (vCPU)],$B1002)),OR(INDEX(TblClusters[Plateforme],$B1002)="IKS",INDEX(TblClusters[Plateforme],$B1002)="ROKS")),1,0),0))</f>
        <v>1</v>
      </c>
      <c r="E1002" s="72">
        <f t="shared" si="257"/>
        <v>47027</v>
      </c>
      <c r="F1002" s="19" t="str">
        <f>IF($D1002=1,INDEX(TblClusters[Cluster],$B1002),"")</f>
        <v>ku002i001021</v>
      </c>
      <c r="G1002" s="19" t="str">
        <f>IF($D1002=1,INDEX(TblClusters[Plateforme],$B1002),"")</f>
        <v>IKS</v>
      </c>
      <c r="H1002" s="19">
        <f>IF($D1002=1,INDEX(TblClusters[vCPU par nœud],$B1002),"")</f>
        <v>32</v>
      </c>
      <c r="I1002" s="19">
        <f>IF($D1002=1,INDEX(TblClusters[RAM par nœud (Go)],$B1002),"")</f>
        <v>256</v>
      </c>
      <c r="J1002" s="19">
        <f>IF($D1002=1,INDEX(TblClusters[Workers min],$B1002),"")</f>
        <v>3</v>
      </c>
      <c r="K1002" s="73">
        <f>IF($D1002=1,INDEX(TblClusters[Tarif par nœud],$B1002),"")</f>
        <v>1421</v>
      </c>
      <c r="L1002" s="19">
        <f>IF($D1002=1,INDEX(TblClusters[CPU initial (vCPU)],$B1002),"")</f>
        <v>288</v>
      </c>
      <c r="M1002" s="19">
        <f>IF($D1002=1,INDEX(TblClusters[RAM initiale (Go)],$B1002),"")</f>
        <v>2304</v>
      </c>
      <c r="N1002" s="19">
        <f>IF($D1002=1,INDEX(TblClusters[CPU min (vCPU)],$B1002),"")</f>
        <v>96</v>
      </c>
      <c r="O1002" s="19">
        <f>IF($D1002=1,INDEX(TblClusters[RAM min (Go)],$B1002),"")</f>
        <v>768</v>
      </c>
      <c r="P1002" s="19">
        <f>IF($D1002&lt;&gt;1,"",IF($G1002="ROKS",SUMIFS(TblApplications[Besoin ROKS CPU (vCPU)],TblApplications[Cluster ROKS cible],$F1002,TblApplications[Action],"À migrer",TblApplications[Déjà incluse ROKS],"Non",TblApplications[Mois prov (calc)],"&lt;="&amp;$E1002),SUMIFS(TblApplications[CPU IKS libérable (vCPU)],TblApplications[Cluster IKS source],$F1002,TblApplications[Mois lib (calc)],"&lt;="&amp;$E1002)))</f>
        <v>0</v>
      </c>
      <c r="Q1002" s="19">
        <f>IF($D1002&lt;&gt;1,"",IF($G1002="ROKS",SUMIFS(TblApplications[Besoin ROKS RAM (Go)],TblApplications[Cluster ROKS cible],$F1002,TblApplications[Action],"À migrer",TblApplications[Déjà incluse ROKS],"Non",TblApplications[Mois prov (calc)],"&lt;="&amp;$E1002),SUMIFS(TblApplications[RAM IKS libérable (Go)],TblApplications[Cluster IKS source],$F1002,TblApplications[Mois lib (calc)],"&lt;="&amp;$E1002)))</f>
        <v>0</v>
      </c>
      <c r="R1002" s="19">
        <f t="shared" si="258"/>
        <v>288</v>
      </c>
      <c r="S1002" s="19">
        <f t="shared" si="259"/>
        <v>2304</v>
      </c>
      <c r="T1002" s="19">
        <f t="shared" si="260"/>
        <v>9</v>
      </c>
      <c r="U1002" s="19">
        <f t="shared" si="261"/>
        <v>288</v>
      </c>
      <c r="V1002" s="19">
        <f t="shared" si="262"/>
        <v>2304</v>
      </c>
      <c r="W1002" s="73">
        <f t="shared" si="263"/>
        <v>12789</v>
      </c>
      <c r="X1002" s="19">
        <f>IF($D1002&lt;&gt;1,"",IF($G1002="ROKS",$R1002,IF($AI1002=1,0,MAX($N1002,$L1002-SUMIFS(TblApplications[CPU IKS libérable (vCPU)],TblApplications[Cluster IKS source],$F1002,TblApplications[Action],"À migrer",TblApplications[Mois prov (calc)],"&lt;="&amp;$E1002)-SUMIFS(TblApplications[CPU IKS libérable (vCPU)],TblApplications[Cluster IKS source],$F1002,TblApplications[Action],"À décommissionner",TblApplications[Mois lib (calc)],"&lt;="&amp;$E1002)))))</f>
        <v>288</v>
      </c>
      <c r="Y1002" s="19">
        <f>IF($D1002&lt;&gt;1,"",IF($G1002="ROKS",$S1002,IF($AI1002=1,0,MAX($O1002,$M1002-SUMIFS(TblApplications[RAM IKS libérable (Go)],TblApplications[Cluster IKS source],$F1002,TblApplications[Action],"À migrer",TblApplications[Mois prov (calc)],"&lt;="&amp;$E1002)-SUMIFS(TblApplications[RAM IKS libérable (Go)],TblApplications[Cluster IKS source],$F1002,TblApplications[Action],"À décommissionner",TblApplications[Mois lib (calc)],"&lt;="&amp;$E1002)))))</f>
        <v>2304</v>
      </c>
      <c r="Z1002" s="19">
        <f t="shared" si="264"/>
        <v>9</v>
      </c>
      <c r="AA1002" s="73">
        <f t="shared" si="265"/>
        <v>12789</v>
      </c>
      <c r="AB1002" s="19">
        <f t="shared" si="266"/>
        <v>9</v>
      </c>
      <c r="AC1002" s="73">
        <f t="shared" si="267"/>
        <v>12789</v>
      </c>
      <c r="AD1002" s="19">
        <f t="shared" si="268"/>
        <v>0</v>
      </c>
      <c r="AE1002" s="19">
        <f t="shared" si="269"/>
        <v>0</v>
      </c>
      <c r="AF1002" s="19" t="str">
        <f>IF($D1002&lt;&gt;1,"",IF(INDEX(TblClusters[Environnement],$B1002)="","(vide)",INDEX(TblClusters[Environnement],$B1002)))</f>
        <v>NPRD</v>
      </c>
      <c r="AG1002" s="19">
        <f t="shared" si="270"/>
        <v>518.4</v>
      </c>
      <c r="AH1002" s="19">
        <f t="shared" si="271"/>
        <v>24.670138888888889</v>
      </c>
      <c r="AI1002" s="19">
        <f>IF($D1002&lt;&gt;1,"",IF(AND($G1002="IKS",ISNUMBER(INDEX(TblClusters[Fermeture retenue],$B1002))),IF($E1002&gt;=INDEX(TblClusters[Fermeture retenue],$B1002),1,0),0))</f>
        <v>0</v>
      </c>
    </row>
    <row r="1003" spans="1:35" x14ac:dyDescent="0.2">
      <c r="A1003" s="19">
        <v>998</v>
      </c>
      <c r="B1003" s="19">
        <f t="shared" si="255"/>
        <v>28</v>
      </c>
      <c r="C1003" s="19">
        <f t="shared" si="256"/>
        <v>26</v>
      </c>
      <c r="D1003" s="19">
        <f>IF($C1003&gt;p_horizon,0,IFERROR(IF(AND(INDEX(TblClusters[Cluster],$B1003)&lt;&gt;"",ISNUMBER(INDEX(TblClusters[CPU initial (vCPU)],$B1003)),ISNUMBER(INDEX(TblClusters[CPU min (vCPU)],$B1003)),OR(INDEX(TblClusters[Plateforme],$B1003)="IKS",INDEX(TblClusters[Plateforme],$B1003)="ROKS")),1,0),0))</f>
        <v>1</v>
      </c>
      <c r="E1003" s="72">
        <f t="shared" si="257"/>
        <v>47058</v>
      </c>
      <c r="F1003" s="19" t="str">
        <f>IF($D1003=1,INDEX(TblClusters[Cluster],$B1003),"")</f>
        <v>ku002i001021</v>
      </c>
      <c r="G1003" s="19" t="str">
        <f>IF($D1003=1,INDEX(TblClusters[Plateforme],$B1003),"")</f>
        <v>IKS</v>
      </c>
      <c r="H1003" s="19">
        <f>IF($D1003=1,INDEX(TblClusters[vCPU par nœud],$B1003),"")</f>
        <v>32</v>
      </c>
      <c r="I1003" s="19">
        <f>IF($D1003=1,INDEX(TblClusters[RAM par nœud (Go)],$B1003),"")</f>
        <v>256</v>
      </c>
      <c r="J1003" s="19">
        <f>IF($D1003=1,INDEX(TblClusters[Workers min],$B1003),"")</f>
        <v>3</v>
      </c>
      <c r="K1003" s="73">
        <f>IF($D1003=1,INDEX(TblClusters[Tarif par nœud],$B1003),"")</f>
        <v>1421</v>
      </c>
      <c r="L1003" s="19">
        <f>IF($D1003=1,INDEX(TblClusters[CPU initial (vCPU)],$B1003),"")</f>
        <v>288</v>
      </c>
      <c r="M1003" s="19">
        <f>IF($D1003=1,INDEX(TblClusters[RAM initiale (Go)],$B1003),"")</f>
        <v>2304</v>
      </c>
      <c r="N1003" s="19">
        <f>IF($D1003=1,INDEX(TblClusters[CPU min (vCPU)],$B1003),"")</f>
        <v>96</v>
      </c>
      <c r="O1003" s="19">
        <f>IF($D1003=1,INDEX(TblClusters[RAM min (Go)],$B1003),"")</f>
        <v>768</v>
      </c>
      <c r="P1003" s="19">
        <f>IF($D1003&lt;&gt;1,"",IF($G1003="ROKS",SUMIFS(TblApplications[Besoin ROKS CPU (vCPU)],TblApplications[Cluster ROKS cible],$F1003,TblApplications[Action],"À migrer",TblApplications[Déjà incluse ROKS],"Non",TblApplications[Mois prov (calc)],"&lt;="&amp;$E1003),SUMIFS(TblApplications[CPU IKS libérable (vCPU)],TblApplications[Cluster IKS source],$F1003,TblApplications[Mois lib (calc)],"&lt;="&amp;$E1003)))</f>
        <v>0</v>
      </c>
      <c r="Q1003" s="19">
        <f>IF($D1003&lt;&gt;1,"",IF($G1003="ROKS",SUMIFS(TblApplications[Besoin ROKS RAM (Go)],TblApplications[Cluster ROKS cible],$F1003,TblApplications[Action],"À migrer",TblApplications[Déjà incluse ROKS],"Non",TblApplications[Mois prov (calc)],"&lt;="&amp;$E1003),SUMIFS(TblApplications[RAM IKS libérable (Go)],TblApplications[Cluster IKS source],$F1003,TblApplications[Mois lib (calc)],"&lt;="&amp;$E1003)))</f>
        <v>0</v>
      </c>
      <c r="R1003" s="19">
        <f t="shared" si="258"/>
        <v>288</v>
      </c>
      <c r="S1003" s="19">
        <f t="shared" si="259"/>
        <v>2304</v>
      </c>
      <c r="T1003" s="19">
        <f t="shared" si="260"/>
        <v>9</v>
      </c>
      <c r="U1003" s="19">
        <f t="shared" si="261"/>
        <v>288</v>
      </c>
      <c r="V1003" s="19">
        <f t="shared" si="262"/>
        <v>2304</v>
      </c>
      <c r="W1003" s="73">
        <f t="shared" si="263"/>
        <v>12789</v>
      </c>
      <c r="X1003" s="19">
        <f>IF($D1003&lt;&gt;1,"",IF($G1003="ROKS",$R1003,IF($AI1003=1,0,MAX($N1003,$L1003-SUMIFS(TblApplications[CPU IKS libérable (vCPU)],TblApplications[Cluster IKS source],$F1003,TblApplications[Action],"À migrer",TblApplications[Mois prov (calc)],"&lt;="&amp;$E1003)-SUMIFS(TblApplications[CPU IKS libérable (vCPU)],TblApplications[Cluster IKS source],$F1003,TblApplications[Action],"À décommissionner",TblApplications[Mois lib (calc)],"&lt;="&amp;$E1003)))))</f>
        <v>288</v>
      </c>
      <c r="Y1003" s="19">
        <f>IF($D1003&lt;&gt;1,"",IF($G1003="ROKS",$S1003,IF($AI1003=1,0,MAX($O1003,$M1003-SUMIFS(TblApplications[RAM IKS libérable (Go)],TblApplications[Cluster IKS source],$F1003,TblApplications[Action],"À migrer",TblApplications[Mois prov (calc)],"&lt;="&amp;$E1003)-SUMIFS(TblApplications[RAM IKS libérable (Go)],TblApplications[Cluster IKS source],$F1003,TblApplications[Action],"À décommissionner",TblApplications[Mois lib (calc)],"&lt;="&amp;$E1003)))))</f>
        <v>2304</v>
      </c>
      <c r="Z1003" s="19">
        <f t="shared" si="264"/>
        <v>9</v>
      </c>
      <c r="AA1003" s="73">
        <f t="shared" si="265"/>
        <v>12789</v>
      </c>
      <c r="AB1003" s="19">
        <f t="shared" si="266"/>
        <v>9</v>
      </c>
      <c r="AC1003" s="73">
        <f t="shared" si="267"/>
        <v>12789</v>
      </c>
      <c r="AD1003" s="19">
        <f t="shared" si="268"/>
        <v>0</v>
      </c>
      <c r="AE1003" s="19">
        <f t="shared" si="269"/>
        <v>0</v>
      </c>
      <c r="AF1003" s="19" t="str">
        <f>IF($D1003&lt;&gt;1,"",IF(INDEX(TblClusters[Environnement],$B1003)="","(vide)",INDEX(TblClusters[Environnement],$B1003)))</f>
        <v>NPRD</v>
      </c>
      <c r="AG1003" s="19">
        <f t="shared" si="270"/>
        <v>518.4</v>
      </c>
      <c r="AH1003" s="19">
        <f t="shared" si="271"/>
        <v>24.670138888888889</v>
      </c>
      <c r="AI1003" s="19">
        <f>IF($D1003&lt;&gt;1,"",IF(AND($G1003="IKS",ISNUMBER(INDEX(TblClusters[Fermeture retenue],$B1003))),IF($E1003&gt;=INDEX(TblClusters[Fermeture retenue],$B1003),1,0),0))</f>
        <v>0</v>
      </c>
    </row>
    <row r="1004" spans="1:35" x14ac:dyDescent="0.2">
      <c r="A1004" s="19">
        <v>999</v>
      </c>
      <c r="B1004" s="19">
        <f t="shared" si="255"/>
        <v>28</v>
      </c>
      <c r="C1004" s="19">
        <f t="shared" si="256"/>
        <v>27</v>
      </c>
      <c r="D1004" s="19">
        <f>IF($C1004&gt;p_horizon,0,IFERROR(IF(AND(INDEX(TblClusters[Cluster],$B1004)&lt;&gt;"",ISNUMBER(INDEX(TblClusters[CPU initial (vCPU)],$B1004)),ISNUMBER(INDEX(TblClusters[CPU min (vCPU)],$B1004)),OR(INDEX(TblClusters[Plateforme],$B1004)="IKS",INDEX(TblClusters[Plateforme],$B1004)="ROKS")),1,0),0))</f>
        <v>1</v>
      </c>
      <c r="E1004" s="72">
        <f t="shared" si="257"/>
        <v>47088</v>
      </c>
      <c r="F1004" s="19" t="str">
        <f>IF($D1004=1,INDEX(TblClusters[Cluster],$B1004),"")</f>
        <v>ku002i001021</v>
      </c>
      <c r="G1004" s="19" t="str">
        <f>IF($D1004=1,INDEX(TblClusters[Plateforme],$B1004),"")</f>
        <v>IKS</v>
      </c>
      <c r="H1004" s="19">
        <f>IF($D1004=1,INDEX(TblClusters[vCPU par nœud],$B1004),"")</f>
        <v>32</v>
      </c>
      <c r="I1004" s="19">
        <f>IF($D1004=1,INDEX(TblClusters[RAM par nœud (Go)],$B1004),"")</f>
        <v>256</v>
      </c>
      <c r="J1004" s="19">
        <f>IF($D1004=1,INDEX(TblClusters[Workers min],$B1004),"")</f>
        <v>3</v>
      </c>
      <c r="K1004" s="73">
        <f>IF($D1004=1,INDEX(TblClusters[Tarif par nœud],$B1004),"")</f>
        <v>1421</v>
      </c>
      <c r="L1004" s="19">
        <f>IF($D1004=1,INDEX(TblClusters[CPU initial (vCPU)],$B1004),"")</f>
        <v>288</v>
      </c>
      <c r="M1004" s="19">
        <f>IF($D1004=1,INDEX(TblClusters[RAM initiale (Go)],$B1004),"")</f>
        <v>2304</v>
      </c>
      <c r="N1004" s="19">
        <f>IF($D1004=1,INDEX(TblClusters[CPU min (vCPU)],$B1004),"")</f>
        <v>96</v>
      </c>
      <c r="O1004" s="19">
        <f>IF($D1004=1,INDEX(TblClusters[RAM min (Go)],$B1004),"")</f>
        <v>768</v>
      </c>
      <c r="P1004" s="19">
        <f>IF($D1004&lt;&gt;1,"",IF($G1004="ROKS",SUMIFS(TblApplications[Besoin ROKS CPU (vCPU)],TblApplications[Cluster ROKS cible],$F1004,TblApplications[Action],"À migrer",TblApplications[Déjà incluse ROKS],"Non",TblApplications[Mois prov (calc)],"&lt;="&amp;$E1004),SUMIFS(TblApplications[CPU IKS libérable (vCPU)],TblApplications[Cluster IKS source],$F1004,TblApplications[Mois lib (calc)],"&lt;="&amp;$E1004)))</f>
        <v>0</v>
      </c>
      <c r="Q1004" s="19">
        <f>IF($D1004&lt;&gt;1,"",IF($G1004="ROKS",SUMIFS(TblApplications[Besoin ROKS RAM (Go)],TblApplications[Cluster ROKS cible],$F1004,TblApplications[Action],"À migrer",TblApplications[Déjà incluse ROKS],"Non",TblApplications[Mois prov (calc)],"&lt;="&amp;$E1004),SUMIFS(TblApplications[RAM IKS libérable (Go)],TblApplications[Cluster IKS source],$F1004,TblApplications[Mois lib (calc)],"&lt;="&amp;$E1004)))</f>
        <v>0</v>
      </c>
      <c r="R1004" s="19">
        <f t="shared" si="258"/>
        <v>288</v>
      </c>
      <c r="S1004" s="19">
        <f t="shared" si="259"/>
        <v>2304</v>
      </c>
      <c r="T1004" s="19">
        <f t="shared" si="260"/>
        <v>9</v>
      </c>
      <c r="U1004" s="19">
        <f t="shared" si="261"/>
        <v>288</v>
      </c>
      <c r="V1004" s="19">
        <f t="shared" si="262"/>
        <v>2304</v>
      </c>
      <c r="W1004" s="73">
        <f t="shared" si="263"/>
        <v>12789</v>
      </c>
      <c r="X1004" s="19">
        <f>IF($D1004&lt;&gt;1,"",IF($G1004="ROKS",$R1004,IF($AI1004=1,0,MAX($N1004,$L1004-SUMIFS(TblApplications[CPU IKS libérable (vCPU)],TblApplications[Cluster IKS source],$F1004,TblApplications[Action],"À migrer",TblApplications[Mois prov (calc)],"&lt;="&amp;$E1004)-SUMIFS(TblApplications[CPU IKS libérable (vCPU)],TblApplications[Cluster IKS source],$F1004,TblApplications[Action],"À décommissionner",TblApplications[Mois lib (calc)],"&lt;="&amp;$E1004)))))</f>
        <v>288</v>
      </c>
      <c r="Y1004" s="19">
        <f>IF($D1004&lt;&gt;1,"",IF($G1004="ROKS",$S1004,IF($AI1004=1,0,MAX($O1004,$M1004-SUMIFS(TblApplications[RAM IKS libérable (Go)],TblApplications[Cluster IKS source],$F1004,TblApplications[Action],"À migrer",TblApplications[Mois prov (calc)],"&lt;="&amp;$E1004)-SUMIFS(TblApplications[RAM IKS libérable (Go)],TblApplications[Cluster IKS source],$F1004,TblApplications[Action],"À décommissionner",TblApplications[Mois lib (calc)],"&lt;="&amp;$E1004)))))</f>
        <v>2304</v>
      </c>
      <c r="Z1004" s="19">
        <f t="shared" si="264"/>
        <v>9</v>
      </c>
      <c r="AA1004" s="73">
        <f t="shared" si="265"/>
        <v>12789</v>
      </c>
      <c r="AB1004" s="19">
        <f t="shared" si="266"/>
        <v>9</v>
      </c>
      <c r="AC1004" s="73">
        <f t="shared" si="267"/>
        <v>12789</v>
      </c>
      <c r="AD1004" s="19">
        <f t="shared" si="268"/>
        <v>0</v>
      </c>
      <c r="AE1004" s="19">
        <f t="shared" si="269"/>
        <v>0</v>
      </c>
      <c r="AF1004" s="19" t="str">
        <f>IF($D1004&lt;&gt;1,"",IF(INDEX(TblClusters[Environnement],$B1004)="","(vide)",INDEX(TblClusters[Environnement],$B1004)))</f>
        <v>NPRD</v>
      </c>
      <c r="AG1004" s="19">
        <f t="shared" si="270"/>
        <v>518.4</v>
      </c>
      <c r="AH1004" s="19">
        <f t="shared" si="271"/>
        <v>24.670138888888889</v>
      </c>
      <c r="AI1004" s="19">
        <f>IF($D1004&lt;&gt;1,"",IF(AND($G1004="IKS",ISNUMBER(INDEX(TblClusters[Fermeture retenue],$B1004))),IF($E1004&gt;=INDEX(TblClusters[Fermeture retenue],$B1004),1,0),0))</f>
        <v>0</v>
      </c>
    </row>
    <row r="1005" spans="1:35" x14ac:dyDescent="0.2">
      <c r="A1005" s="19">
        <v>1000</v>
      </c>
      <c r="B1005" s="19">
        <f t="shared" si="255"/>
        <v>28</v>
      </c>
      <c r="C1005" s="19">
        <f t="shared" si="256"/>
        <v>28</v>
      </c>
      <c r="D1005" s="19">
        <f>IF($C1005&gt;p_horizon,0,IFERROR(IF(AND(INDEX(TblClusters[Cluster],$B1005)&lt;&gt;"",ISNUMBER(INDEX(TblClusters[CPU initial (vCPU)],$B1005)),ISNUMBER(INDEX(TblClusters[CPU min (vCPU)],$B1005)),OR(INDEX(TblClusters[Plateforme],$B1005)="IKS",INDEX(TblClusters[Plateforme],$B1005)="ROKS")),1,0),0))</f>
        <v>1</v>
      </c>
      <c r="E1005" s="72">
        <f t="shared" si="257"/>
        <v>47119</v>
      </c>
      <c r="F1005" s="19" t="str">
        <f>IF($D1005=1,INDEX(TblClusters[Cluster],$B1005),"")</f>
        <v>ku002i001021</v>
      </c>
      <c r="G1005" s="19" t="str">
        <f>IF($D1005=1,INDEX(TblClusters[Plateforme],$B1005),"")</f>
        <v>IKS</v>
      </c>
      <c r="H1005" s="19">
        <f>IF($D1005=1,INDEX(TblClusters[vCPU par nœud],$B1005),"")</f>
        <v>32</v>
      </c>
      <c r="I1005" s="19">
        <f>IF($D1005=1,INDEX(TblClusters[RAM par nœud (Go)],$B1005),"")</f>
        <v>256</v>
      </c>
      <c r="J1005" s="19">
        <f>IF($D1005=1,INDEX(TblClusters[Workers min],$B1005),"")</f>
        <v>3</v>
      </c>
      <c r="K1005" s="73">
        <f>IF($D1005=1,INDEX(TblClusters[Tarif par nœud],$B1005),"")</f>
        <v>1421</v>
      </c>
      <c r="L1005" s="19">
        <f>IF($D1005=1,INDEX(TblClusters[CPU initial (vCPU)],$B1005),"")</f>
        <v>288</v>
      </c>
      <c r="M1005" s="19">
        <f>IF($D1005=1,INDEX(TblClusters[RAM initiale (Go)],$B1005),"")</f>
        <v>2304</v>
      </c>
      <c r="N1005" s="19">
        <f>IF($D1005=1,INDEX(TblClusters[CPU min (vCPU)],$B1005),"")</f>
        <v>96</v>
      </c>
      <c r="O1005" s="19">
        <f>IF($D1005=1,INDEX(TblClusters[RAM min (Go)],$B1005),"")</f>
        <v>768</v>
      </c>
      <c r="P1005" s="19">
        <f>IF($D1005&lt;&gt;1,"",IF($G1005="ROKS",SUMIFS(TblApplications[Besoin ROKS CPU (vCPU)],TblApplications[Cluster ROKS cible],$F1005,TblApplications[Action],"À migrer",TblApplications[Déjà incluse ROKS],"Non",TblApplications[Mois prov (calc)],"&lt;="&amp;$E1005),SUMIFS(TblApplications[CPU IKS libérable (vCPU)],TblApplications[Cluster IKS source],$F1005,TblApplications[Mois lib (calc)],"&lt;="&amp;$E1005)))</f>
        <v>0</v>
      </c>
      <c r="Q1005" s="19">
        <f>IF($D1005&lt;&gt;1,"",IF($G1005="ROKS",SUMIFS(TblApplications[Besoin ROKS RAM (Go)],TblApplications[Cluster ROKS cible],$F1005,TblApplications[Action],"À migrer",TblApplications[Déjà incluse ROKS],"Non",TblApplications[Mois prov (calc)],"&lt;="&amp;$E1005),SUMIFS(TblApplications[RAM IKS libérable (Go)],TblApplications[Cluster IKS source],$F1005,TblApplications[Mois lib (calc)],"&lt;="&amp;$E1005)))</f>
        <v>0</v>
      </c>
      <c r="R1005" s="19">
        <f t="shared" si="258"/>
        <v>288</v>
      </c>
      <c r="S1005" s="19">
        <f t="shared" si="259"/>
        <v>2304</v>
      </c>
      <c r="T1005" s="19">
        <f t="shared" si="260"/>
        <v>9</v>
      </c>
      <c r="U1005" s="19">
        <f t="shared" si="261"/>
        <v>288</v>
      </c>
      <c r="V1005" s="19">
        <f t="shared" si="262"/>
        <v>2304</v>
      </c>
      <c r="W1005" s="73">
        <f t="shared" si="263"/>
        <v>12789</v>
      </c>
      <c r="X1005" s="19">
        <f>IF($D1005&lt;&gt;1,"",IF($G1005="ROKS",$R1005,IF($AI1005=1,0,MAX($N1005,$L1005-SUMIFS(TblApplications[CPU IKS libérable (vCPU)],TblApplications[Cluster IKS source],$F1005,TblApplications[Action],"À migrer",TblApplications[Mois prov (calc)],"&lt;="&amp;$E1005)-SUMIFS(TblApplications[CPU IKS libérable (vCPU)],TblApplications[Cluster IKS source],$F1005,TblApplications[Action],"À décommissionner",TblApplications[Mois lib (calc)],"&lt;="&amp;$E1005)))))</f>
        <v>288</v>
      </c>
      <c r="Y1005" s="19">
        <f>IF($D1005&lt;&gt;1,"",IF($G1005="ROKS",$S1005,IF($AI1005=1,0,MAX($O1005,$M1005-SUMIFS(TblApplications[RAM IKS libérable (Go)],TblApplications[Cluster IKS source],$F1005,TblApplications[Action],"À migrer",TblApplications[Mois prov (calc)],"&lt;="&amp;$E1005)-SUMIFS(TblApplications[RAM IKS libérable (Go)],TblApplications[Cluster IKS source],$F1005,TblApplications[Action],"À décommissionner",TblApplications[Mois lib (calc)],"&lt;="&amp;$E1005)))))</f>
        <v>2304</v>
      </c>
      <c r="Z1005" s="19">
        <f t="shared" si="264"/>
        <v>9</v>
      </c>
      <c r="AA1005" s="73">
        <f t="shared" si="265"/>
        <v>12789</v>
      </c>
      <c r="AB1005" s="19">
        <f t="shared" si="266"/>
        <v>9</v>
      </c>
      <c r="AC1005" s="73">
        <f t="shared" si="267"/>
        <v>12789</v>
      </c>
      <c r="AD1005" s="19">
        <f t="shared" si="268"/>
        <v>0</v>
      </c>
      <c r="AE1005" s="19">
        <f t="shared" si="269"/>
        <v>0</v>
      </c>
      <c r="AF1005" s="19" t="str">
        <f>IF($D1005&lt;&gt;1,"",IF(INDEX(TblClusters[Environnement],$B1005)="","(vide)",INDEX(TblClusters[Environnement],$B1005)))</f>
        <v>NPRD</v>
      </c>
      <c r="AG1005" s="19">
        <f t="shared" si="270"/>
        <v>518.4</v>
      </c>
      <c r="AH1005" s="19">
        <f t="shared" si="271"/>
        <v>24.670138888888889</v>
      </c>
      <c r="AI1005" s="19">
        <f>IF($D1005&lt;&gt;1,"",IF(AND($G1005="IKS",ISNUMBER(INDEX(TblClusters[Fermeture retenue],$B1005))),IF($E1005&gt;=INDEX(TblClusters[Fermeture retenue],$B1005),1,0),0))</f>
        <v>0</v>
      </c>
    </row>
    <row r="1006" spans="1:35" x14ac:dyDescent="0.2">
      <c r="A1006" s="19">
        <v>1001</v>
      </c>
      <c r="B1006" s="19">
        <f t="shared" si="255"/>
        <v>28</v>
      </c>
      <c r="C1006" s="19">
        <f t="shared" si="256"/>
        <v>29</v>
      </c>
      <c r="D1006" s="19">
        <f>IF($C1006&gt;p_horizon,0,IFERROR(IF(AND(INDEX(TblClusters[Cluster],$B1006)&lt;&gt;"",ISNUMBER(INDEX(TblClusters[CPU initial (vCPU)],$B1006)),ISNUMBER(INDEX(TblClusters[CPU min (vCPU)],$B1006)),OR(INDEX(TblClusters[Plateforme],$B1006)="IKS",INDEX(TblClusters[Plateforme],$B1006)="ROKS")),1,0),0))</f>
        <v>1</v>
      </c>
      <c r="E1006" s="72">
        <f t="shared" si="257"/>
        <v>47150</v>
      </c>
      <c r="F1006" s="19" t="str">
        <f>IF($D1006=1,INDEX(TblClusters[Cluster],$B1006),"")</f>
        <v>ku002i001021</v>
      </c>
      <c r="G1006" s="19" t="str">
        <f>IF($D1006=1,INDEX(TblClusters[Plateforme],$B1006),"")</f>
        <v>IKS</v>
      </c>
      <c r="H1006" s="19">
        <f>IF($D1006=1,INDEX(TblClusters[vCPU par nœud],$B1006),"")</f>
        <v>32</v>
      </c>
      <c r="I1006" s="19">
        <f>IF($D1006=1,INDEX(TblClusters[RAM par nœud (Go)],$B1006),"")</f>
        <v>256</v>
      </c>
      <c r="J1006" s="19">
        <f>IF($D1006=1,INDEX(TblClusters[Workers min],$B1006),"")</f>
        <v>3</v>
      </c>
      <c r="K1006" s="73">
        <f>IF($D1006=1,INDEX(TblClusters[Tarif par nœud],$B1006),"")</f>
        <v>1421</v>
      </c>
      <c r="L1006" s="19">
        <f>IF($D1006=1,INDEX(TblClusters[CPU initial (vCPU)],$B1006),"")</f>
        <v>288</v>
      </c>
      <c r="M1006" s="19">
        <f>IF($D1006=1,INDEX(TblClusters[RAM initiale (Go)],$B1006),"")</f>
        <v>2304</v>
      </c>
      <c r="N1006" s="19">
        <f>IF($D1006=1,INDEX(TblClusters[CPU min (vCPU)],$B1006),"")</f>
        <v>96</v>
      </c>
      <c r="O1006" s="19">
        <f>IF($D1006=1,INDEX(TblClusters[RAM min (Go)],$B1006),"")</f>
        <v>768</v>
      </c>
      <c r="P1006" s="19">
        <f>IF($D1006&lt;&gt;1,"",IF($G1006="ROKS",SUMIFS(TblApplications[Besoin ROKS CPU (vCPU)],TblApplications[Cluster ROKS cible],$F1006,TblApplications[Action],"À migrer",TblApplications[Déjà incluse ROKS],"Non",TblApplications[Mois prov (calc)],"&lt;="&amp;$E1006),SUMIFS(TblApplications[CPU IKS libérable (vCPU)],TblApplications[Cluster IKS source],$F1006,TblApplications[Mois lib (calc)],"&lt;="&amp;$E1006)))</f>
        <v>0</v>
      </c>
      <c r="Q1006" s="19">
        <f>IF($D1006&lt;&gt;1,"",IF($G1006="ROKS",SUMIFS(TblApplications[Besoin ROKS RAM (Go)],TblApplications[Cluster ROKS cible],$F1006,TblApplications[Action],"À migrer",TblApplications[Déjà incluse ROKS],"Non",TblApplications[Mois prov (calc)],"&lt;="&amp;$E1006),SUMIFS(TblApplications[RAM IKS libérable (Go)],TblApplications[Cluster IKS source],$F1006,TblApplications[Mois lib (calc)],"&lt;="&amp;$E1006)))</f>
        <v>0</v>
      </c>
      <c r="R1006" s="19">
        <f t="shared" si="258"/>
        <v>288</v>
      </c>
      <c r="S1006" s="19">
        <f t="shared" si="259"/>
        <v>2304</v>
      </c>
      <c r="T1006" s="19">
        <f t="shared" si="260"/>
        <v>9</v>
      </c>
      <c r="U1006" s="19">
        <f t="shared" si="261"/>
        <v>288</v>
      </c>
      <c r="V1006" s="19">
        <f t="shared" si="262"/>
        <v>2304</v>
      </c>
      <c r="W1006" s="73">
        <f t="shared" si="263"/>
        <v>12789</v>
      </c>
      <c r="X1006" s="19">
        <f>IF($D1006&lt;&gt;1,"",IF($G1006="ROKS",$R1006,IF($AI1006=1,0,MAX($N1006,$L1006-SUMIFS(TblApplications[CPU IKS libérable (vCPU)],TblApplications[Cluster IKS source],$F1006,TblApplications[Action],"À migrer",TblApplications[Mois prov (calc)],"&lt;="&amp;$E1006)-SUMIFS(TblApplications[CPU IKS libérable (vCPU)],TblApplications[Cluster IKS source],$F1006,TblApplications[Action],"À décommissionner",TblApplications[Mois lib (calc)],"&lt;="&amp;$E1006)))))</f>
        <v>288</v>
      </c>
      <c r="Y1006" s="19">
        <f>IF($D1006&lt;&gt;1,"",IF($G1006="ROKS",$S1006,IF($AI1006=1,0,MAX($O1006,$M1006-SUMIFS(TblApplications[RAM IKS libérable (Go)],TblApplications[Cluster IKS source],$F1006,TblApplications[Action],"À migrer",TblApplications[Mois prov (calc)],"&lt;="&amp;$E1006)-SUMIFS(TblApplications[RAM IKS libérable (Go)],TblApplications[Cluster IKS source],$F1006,TblApplications[Action],"À décommissionner",TblApplications[Mois lib (calc)],"&lt;="&amp;$E1006)))))</f>
        <v>2304</v>
      </c>
      <c r="Z1006" s="19">
        <f t="shared" si="264"/>
        <v>9</v>
      </c>
      <c r="AA1006" s="73">
        <f t="shared" si="265"/>
        <v>12789</v>
      </c>
      <c r="AB1006" s="19">
        <f t="shared" si="266"/>
        <v>9</v>
      </c>
      <c r="AC1006" s="73">
        <f t="shared" si="267"/>
        <v>12789</v>
      </c>
      <c r="AD1006" s="19">
        <f t="shared" si="268"/>
        <v>0</v>
      </c>
      <c r="AE1006" s="19">
        <f t="shared" si="269"/>
        <v>0</v>
      </c>
      <c r="AF1006" s="19" t="str">
        <f>IF($D1006&lt;&gt;1,"",IF(INDEX(TblClusters[Environnement],$B1006)="","(vide)",INDEX(TblClusters[Environnement],$B1006)))</f>
        <v>NPRD</v>
      </c>
      <c r="AG1006" s="19">
        <f t="shared" si="270"/>
        <v>518.4</v>
      </c>
      <c r="AH1006" s="19">
        <f t="shared" si="271"/>
        <v>24.670138888888889</v>
      </c>
      <c r="AI1006" s="19">
        <f>IF($D1006&lt;&gt;1,"",IF(AND($G1006="IKS",ISNUMBER(INDEX(TblClusters[Fermeture retenue],$B1006))),IF($E1006&gt;=INDEX(TblClusters[Fermeture retenue],$B1006),1,0),0))</f>
        <v>0</v>
      </c>
    </row>
    <row r="1007" spans="1:35" x14ac:dyDescent="0.2">
      <c r="A1007" s="19">
        <v>1002</v>
      </c>
      <c r="B1007" s="19">
        <f t="shared" si="255"/>
        <v>28</v>
      </c>
      <c r="C1007" s="19">
        <f t="shared" si="256"/>
        <v>30</v>
      </c>
      <c r="D1007" s="19">
        <f>IF($C1007&gt;p_horizon,0,IFERROR(IF(AND(INDEX(TblClusters[Cluster],$B1007)&lt;&gt;"",ISNUMBER(INDEX(TblClusters[CPU initial (vCPU)],$B1007)),ISNUMBER(INDEX(TblClusters[CPU min (vCPU)],$B1007)),OR(INDEX(TblClusters[Plateforme],$B1007)="IKS",INDEX(TblClusters[Plateforme],$B1007)="ROKS")),1,0),0))</f>
        <v>1</v>
      </c>
      <c r="E1007" s="72">
        <f t="shared" si="257"/>
        <v>47178</v>
      </c>
      <c r="F1007" s="19" t="str">
        <f>IF($D1007=1,INDEX(TblClusters[Cluster],$B1007),"")</f>
        <v>ku002i001021</v>
      </c>
      <c r="G1007" s="19" t="str">
        <f>IF($D1007=1,INDEX(TblClusters[Plateforme],$B1007),"")</f>
        <v>IKS</v>
      </c>
      <c r="H1007" s="19">
        <f>IF($D1007=1,INDEX(TblClusters[vCPU par nœud],$B1007),"")</f>
        <v>32</v>
      </c>
      <c r="I1007" s="19">
        <f>IF($D1007=1,INDEX(TblClusters[RAM par nœud (Go)],$B1007),"")</f>
        <v>256</v>
      </c>
      <c r="J1007" s="19">
        <f>IF($D1007=1,INDEX(TblClusters[Workers min],$B1007),"")</f>
        <v>3</v>
      </c>
      <c r="K1007" s="73">
        <f>IF($D1007=1,INDEX(TblClusters[Tarif par nœud],$B1007),"")</f>
        <v>1421</v>
      </c>
      <c r="L1007" s="19">
        <f>IF($D1007=1,INDEX(TblClusters[CPU initial (vCPU)],$B1007),"")</f>
        <v>288</v>
      </c>
      <c r="M1007" s="19">
        <f>IF($D1007=1,INDEX(TblClusters[RAM initiale (Go)],$B1007),"")</f>
        <v>2304</v>
      </c>
      <c r="N1007" s="19">
        <f>IF($D1007=1,INDEX(TblClusters[CPU min (vCPU)],$B1007),"")</f>
        <v>96</v>
      </c>
      <c r="O1007" s="19">
        <f>IF($D1007=1,INDEX(TblClusters[RAM min (Go)],$B1007),"")</f>
        <v>768</v>
      </c>
      <c r="P1007" s="19">
        <f>IF($D1007&lt;&gt;1,"",IF($G1007="ROKS",SUMIFS(TblApplications[Besoin ROKS CPU (vCPU)],TblApplications[Cluster ROKS cible],$F1007,TblApplications[Action],"À migrer",TblApplications[Déjà incluse ROKS],"Non",TblApplications[Mois prov (calc)],"&lt;="&amp;$E1007),SUMIFS(TblApplications[CPU IKS libérable (vCPU)],TblApplications[Cluster IKS source],$F1007,TblApplications[Mois lib (calc)],"&lt;="&amp;$E1007)))</f>
        <v>0</v>
      </c>
      <c r="Q1007" s="19">
        <f>IF($D1007&lt;&gt;1,"",IF($G1007="ROKS",SUMIFS(TblApplications[Besoin ROKS RAM (Go)],TblApplications[Cluster ROKS cible],$F1007,TblApplications[Action],"À migrer",TblApplications[Déjà incluse ROKS],"Non",TblApplications[Mois prov (calc)],"&lt;="&amp;$E1007),SUMIFS(TblApplications[RAM IKS libérable (Go)],TblApplications[Cluster IKS source],$F1007,TblApplications[Mois lib (calc)],"&lt;="&amp;$E1007)))</f>
        <v>0</v>
      </c>
      <c r="R1007" s="19">
        <f t="shared" si="258"/>
        <v>288</v>
      </c>
      <c r="S1007" s="19">
        <f t="shared" si="259"/>
        <v>2304</v>
      </c>
      <c r="T1007" s="19">
        <f t="shared" si="260"/>
        <v>9</v>
      </c>
      <c r="U1007" s="19">
        <f t="shared" si="261"/>
        <v>288</v>
      </c>
      <c r="V1007" s="19">
        <f t="shared" si="262"/>
        <v>2304</v>
      </c>
      <c r="W1007" s="73">
        <f t="shared" si="263"/>
        <v>12789</v>
      </c>
      <c r="X1007" s="19">
        <f>IF($D1007&lt;&gt;1,"",IF($G1007="ROKS",$R1007,IF($AI1007=1,0,MAX($N1007,$L1007-SUMIFS(TblApplications[CPU IKS libérable (vCPU)],TblApplications[Cluster IKS source],$F1007,TblApplications[Action],"À migrer",TblApplications[Mois prov (calc)],"&lt;="&amp;$E1007)-SUMIFS(TblApplications[CPU IKS libérable (vCPU)],TblApplications[Cluster IKS source],$F1007,TblApplications[Action],"À décommissionner",TblApplications[Mois lib (calc)],"&lt;="&amp;$E1007)))))</f>
        <v>288</v>
      </c>
      <c r="Y1007" s="19">
        <f>IF($D1007&lt;&gt;1,"",IF($G1007="ROKS",$S1007,IF($AI1007=1,0,MAX($O1007,$M1007-SUMIFS(TblApplications[RAM IKS libérable (Go)],TblApplications[Cluster IKS source],$F1007,TblApplications[Action],"À migrer",TblApplications[Mois prov (calc)],"&lt;="&amp;$E1007)-SUMIFS(TblApplications[RAM IKS libérable (Go)],TblApplications[Cluster IKS source],$F1007,TblApplications[Action],"À décommissionner",TblApplications[Mois lib (calc)],"&lt;="&amp;$E1007)))))</f>
        <v>2304</v>
      </c>
      <c r="Z1007" s="19">
        <f t="shared" si="264"/>
        <v>9</v>
      </c>
      <c r="AA1007" s="73">
        <f t="shared" si="265"/>
        <v>12789</v>
      </c>
      <c r="AB1007" s="19">
        <f t="shared" si="266"/>
        <v>9</v>
      </c>
      <c r="AC1007" s="73">
        <f t="shared" si="267"/>
        <v>12789</v>
      </c>
      <c r="AD1007" s="19">
        <f t="shared" si="268"/>
        <v>0</v>
      </c>
      <c r="AE1007" s="19">
        <f t="shared" si="269"/>
        <v>0</v>
      </c>
      <c r="AF1007" s="19" t="str">
        <f>IF($D1007&lt;&gt;1,"",IF(INDEX(TblClusters[Environnement],$B1007)="","(vide)",INDEX(TblClusters[Environnement],$B1007)))</f>
        <v>NPRD</v>
      </c>
      <c r="AG1007" s="19">
        <f t="shared" si="270"/>
        <v>518.4</v>
      </c>
      <c r="AH1007" s="19">
        <f t="shared" si="271"/>
        <v>24.670138888888889</v>
      </c>
      <c r="AI1007" s="19">
        <f>IF($D1007&lt;&gt;1,"",IF(AND($G1007="IKS",ISNUMBER(INDEX(TblClusters[Fermeture retenue],$B1007))),IF($E1007&gt;=INDEX(TblClusters[Fermeture retenue],$B1007),1,0),0))</f>
        <v>0</v>
      </c>
    </row>
    <row r="1008" spans="1:35" x14ac:dyDescent="0.2">
      <c r="A1008" s="19">
        <v>1003</v>
      </c>
      <c r="B1008" s="19">
        <f t="shared" si="255"/>
        <v>28</v>
      </c>
      <c r="C1008" s="19">
        <f t="shared" si="256"/>
        <v>31</v>
      </c>
      <c r="D1008" s="19">
        <f>IF($C1008&gt;p_horizon,0,IFERROR(IF(AND(INDEX(TblClusters[Cluster],$B1008)&lt;&gt;"",ISNUMBER(INDEX(TblClusters[CPU initial (vCPU)],$B1008)),ISNUMBER(INDEX(TblClusters[CPU min (vCPU)],$B1008)),OR(INDEX(TblClusters[Plateforme],$B1008)="IKS",INDEX(TblClusters[Plateforme],$B1008)="ROKS")),1,0),0))</f>
        <v>1</v>
      </c>
      <c r="E1008" s="72">
        <f t="shared" si="257"/>
        <v>47209</v>
      </c>
      <c r="F1008" s="19" t="str">
        <f>IF($D1008=1,INDEX(TblClusters[Cluster],$B1008),"")</f>
        <v>ku002i001021</v>
      </c>
      <c r="G1008" s="19" t="str">
        <f>IF($D1008=1,INDEX(TblClusters[Plateforme],$B1008),"")</f>
        <v>IKS</v>
      </c>
      <c r="H1008" s="19">
        <f>IF($D1008=1,INDEX(TblClusters[vCPU par nœud],$B1008),"")</f>
        <v>32</v>
      </c>
      <c r="I1008" s="19">
        <f>IF($D1008=1,INDEX(TblClusters[RAM par nœud (Go)],$B1008),"")</f>
        <v>256</v>
      </c>
      <c r="J1008" s="19">
        <f>IF($D1008=1,INDEX(TblClusters[Workers min],$B1008),"")</f>
        <v>3</v>
      </c>
      <c r="K1008" s="73">
        <f>IF($D1008=1,INDEX(TblClusters[Tarif par nœud],$B1008),"")</f>
        <v>1421</v>
      </c>
      <c r="L1008" s="19">
        <f>IF($D1008=1,INDEX(TblClusters[CPU initial (vCPU)],$B1008),"")</f>
        <v>288</v>
      </c>
      <c r="M1008" s="19">
        <f>IF($D1008=1,INDEX(TblClusters[RAM initiale (Go)],$B1008),"")</f>
        <v>2304</v>
      </c>
      <c r="N1008" s="19">
        <f>IF($D1008=1,INDEX(TblClusters[CPU min (vCPU)],$B1008),"")</f>
        <v>96</v>
      </c>
      <c r="O1008" s="19">
        <f>IF($D1008=1,INDEX(TblClusters[RAM min (Go)],$B1008),"")</f>
        <v>768</v>
      </c>
      <c r="P1008" s="19">
        <f>IF($D1008&lt;&gt;1,"",IF($G1008="ROKS",SUMIFS(TblApplications[Besoin ROKS CPU (vCPU)],TblApplications[Cluster ROKS cible],$F1008,TblApplications[Action],"À migrer",TblApplications[Déjà incluse ROKS],"Non",TblApplications[Mois prov (calc)],"&lt;="&amp;$E1008),SUMIFS(TblApplications[CPU IKS libérable (vCPU)],TblApplications[Cluster IKS source],$F1008,TblApplications[Mois lib (calc)],"&lt;="&amp;$E1008)))</f>
        <v>0</v>
      </c>
      <c r="Q1008" s="19">
        <f>IF($D1008&lt;&gt;1,"",IF($G1008="ROKS",SUMIFS(TblApplications[Besoin ROKS RAM (Go)],TblApplications[Cluster ROKS cible],$F1008,TblApplications[Action],"À migrer",TblApplications[Déjà incluse ROKS],"Non",TblApplications[Mois prov (calc)],"&lt;="&amp;$E1008),SUMIFS(TblApplications[RAM IKS libérable (Go)],TblApplications[Cluster IKS source],$F1008,TblApplications[Mois lib (calc)],"&lt;="&amp;$E1008)))</f>
        <v>0</v>
      </c>
      <c r="R1008" s="19">
        <f t="shared" si="258"/>
        <v>288</v>
      </c>
      <c r="S1008" s="19">
        <f t="shared" si="259"/>
        <v>2304</v>
      </c>
      <c r="T1008" s="19">
        <f t="shared" si="260"/>
        <v>9</v>
      </c>
      <c r="U1008" s="19">
        <f t="shared" si="261"/>
        <v>288</v>
      </c>
      <c r="V1008" s="19">
        <f t="shared" si="262"/>
        <v>2304</v>
      </c>
      <c r="W1008" s="73">
        <f t="shared" si="263"/>
        <v>12789</v>
      </c>
      <c r="X1008" s="19">
        <f>IF($D1008&lt;&gt;1,"",IF($G1008="ROKS",$R1008,IF($AI1008=1,0,MAX($N1008,$L1008-SUMIFS(TblApplications[CPU IKS libérable (vCPU)],TblApplications[Cluster IKS source],$F1008,TblApplications[Action],"À migrer",TblApplications[Mois prov (calc)],"&lt;="&amp;$E1008)-SUMIFS(TblApplications[CPU IKS libérable (vCPU)],TblApplications[Cluster IKS source],$F1008,TblApplications[Action],"À décommissionner",TblApplications[Mois lib (calc)],"&lt;="&amp;$E1008)))))</f>
        <v>288</v>
      </c>
      <c r="Y1008" s="19">
        <f>IF($D1008&lt;&gt;1,"",IF($G1008="ROKS",$S1008,IF($AI1008=1,0,MAX($O1008,$M1008-SUMIFS(TblApplications[RAM IKS libérable (Go)],TblApplications[Cluster IKS source],$F1008,TblApplications[Action],"À migrer",TblApplications[Mois prov (calc)],"&lt;="&amp;$E1008)-SUMIFS(TblApplications[RAM IKS libérable (Go)],TblApplications[Cluster IKS source],$F1008,TblApplications[Action],"À décommissionner",TblApplications[Mois lib (calc)],"&lt;="&amp;$E1008)))))</f>
        <v>2304</v>
      </c>
      <c r="Z1008" s="19">
        <f t="shared" si="264"/>
        <v>9</v>
      </c>
      <c r="AA1008" s="73">
        <f t="shared" si="265"/>
        <v>12789</v>
      </c>
      <c r="AB1008" s="19">
        <f t="shared" si="266"/>
        <v>9</v>
      </c>
      <c r="AC1008" s="73">
        <f t="shared" si="267"/>
        <v>12789</v>
      </c>
      <c r="AD1008" s="19">
        <f t="shared" si="268"/>
        <v>0</v>
      </c>
      <c r="AE1008" s="19">
        <f t="shared" si="269"/>
        <v>0</v>
      </c>
      <c r="AF1008" s="19" t="str">
        <f>IF($D1008&lt;&gt;1,"",IF(INDEX(TblClusters[Environnement],$B1008)="","(vide)",INDEX(TblClusters[Environnement],$B1008)))</f>
        <v>NPRD</v>
      </c>
      <c r="AG1008" s="19">
        <f t="shared" si="270"/>
        <v>518.4</v>
      </c>
      <c r="AH1008" s="19">
        <f t="shared" si="271"/>
        <v>24.670138888888889</v>
      </c>
      <c r="AI1008" s="19">
        <f>IF($D1008&lt;&gt;1,"",IF(AND($G1008="IKS",ISNUMBER(INDEX(TblClusters[Fermeture retenue],$B1008))),IF($E1008&gt;=INDEX(TblClusters[Fermeture retenue],$B1008),1,0),0))</f>
        <v>0</v>
      </c>
    </row>
    <row r="1009" spans="1:35" x14ac:dyDescent="0.2">
      <c r="A1009" s="19">
        <v>1004</v>
      </c>
      <c r="B1009" s="19">
        <f t="shared" si="255"/>
        <v>28</v>
      </c>
      <c r="C1009" s="19">
        <f t="shared" si="256"/>
        <v>32</v>
      </c>
      <c r="D1009" s="19">
        <f>IF($C1009&gt;p_horizon,0,IFERROR(IF(AND(INDEX(TblClusters[Cluster],$B1009)&lt;&gt;"",ISNUMBER(INDEX(TblClusters[CPU initial (vCPU)],$B1009)),ISNUMBER(INDEX(TblClusters[CPU min (vCPU)],$B1009)),OR(INDEX(TblClusters[Plateforme],$B1009)="IKS",INDEX(TblClusters[Plateforme],$B1009)="ROKS")),1,0),0))</f>
        <v>1</v>
      </c>
      <c r="E1009" s="72">
        <f t="shared" si="257"/>
        <v>47239</v>
      </c>
      <c r="F1009" s="19" t="str">
        <f>IF($D1009=1,INDEX(TblClusters[Cluster],$B1009),"")</f>
        <v>ku002i001021</v>
      </c>
      <c r="G1009" s="19" t="str">
        <f>IF($D1009=1,INDEX(TblClusters[Plateforme],$B1009),"")</f>
        <v>IKS</v>
      </c>
      <c r="H1009" s="19">
        <f>IF($D1009=1,INDEX(TblClusters[vCPU par nœud],$B1009),"")</f>
        <v>32</v>
      </c>
      <c r="I1009" s="19">
        <f>IF($D1009=1,INDEX(TblClusters[RAM par nœud (Go)],$B1009),"")</f>
        <v>256</v>
      </c>
      <c r="J1009" s="19">
        <f>IF($D1009=1,INDEX(TblClusters[Workers min],$B1009),"")</f>
        <v>3</v>
      </c>
      <c r="K1009" s="73">
        <f>IF($D1009=1,INDEX(TblClusters[Tarif par nœud],$B1009),"")</f>
        <v>1421</v>
      </c>
      <c r="L1009" s="19">
        <f>IF($D1009=1,INDEX(TblClusters[CPU initial (vCPU)],$B1009),"")</f>
        <v>288</v>
      </c>
      <c r="M1009" s="19">
        <f>IF($D1009=1,INDEX(TblClusters[RAM initiale (Go)],$B1009),"")</f>
        <v>2304</v>
      </c>
      <c r="N1009" s="19">
        <f>IF($D1009=1,INDEX(TblClusters[CPU min (vCPU)],$B1009),"")</f>
        <v>96</v>
      </c>
      <c r="O1009" s="19">
        <f>IF($D1009=1,INDEX(TblClusters[RAM min (Go)],$B1009),"")</f>
        <v>768</v>
      </c>
      <c r="P1009" s="19">
        <f>IF($D1009&lt;&gt;1,"",IF($G1009="ROKS",SUMIFS(TblApplications[Besoin ROKS CPU (vCPU)],TblApplications[Cluster ROKS cible],$F1009,TblApplications[Action],"À migrer",TblApplications[Déjà incluse ROKS],"Non",TblApplications[Mois prov (calc)],"&lt;="&amp;$E1009),SUMIFS(TblApplications[CPU IKS libérable (vCPU)],TblApplications[Cluster IKS source],$F1009,TblApplications[Mois lib (calc)],"&lt;="&amp;$E1009)))</f>
        <v>0</v>
      </c>
      <c r="Q1009" s="19">
        <f>IF($D1009&lt;&gt;1,"",IF($G1009="ROKS",SUMIFS(TblApplications[Besoin ROKS RAM (Go)],TblApplications[Cluster ROKS cible],$F1009,TblApplications[Action],"À migrer",TblApplications[Déjà incluse ROKS],"Non",TblApplications[Mois prov (calc)],"&lt;="&amp;$E1009),SUMIFS(TblApplications[RAM IKS libérable (Go)],TblApplications[Cluster IKS source],$F1009,TblApplications[Mois lib (calc)],"&lt;="&amp;$E1009)))</f>
        <v>0</v>
      </c>
      <c r="R1009" s="19">
        <f t="shared" si="258"/>
        <v>288</v>
      </c>
      <c r="S1009" s="19">
        <f t="shared" si="259"/>
        <v>2304</v>
      </c>
      <c r="T1009" s="19">
        <f t="shared" si="260"/>
        <v>9</v>
      </c>
      <c r="U1009" s="19">
        <f t="shared" si="261"/>
        <v>288</v>
      </c>
      <c r="V1009" s="19">
        <f t="shared" si="262"/>
        <v>2304</v>
      </c>
      <c r="W1009" s="73">
        <f t="shared" si="263"/>
        <v>12789</v>
      </c>
      <c r="X1009" s="19">
        <f>IF($D1009&lt;&gt;1,"",IF($G1009="ROKS",$R1009,IF($AI1009=1,0,MAX($N1009,$L1009-SUMIFS(TblApplications[CPU IKS libérable (vCPU)],TblApplications[Cluster IKS source],$F1009,TblApplications[Action],"À migrer",TblApplications[Mois prov (calc)],"&lt;="&amp;$E1009)-SUMIFS(TblApplications[CPU IKS libérable (vCPU)],TblApplications[Cluster IKS source],$F1009,TblApplications[Action],"À décommissionner",TblApplications[Mois lib (calc)],"&lt;="&amp;$E1009)))))</f>
        <v>288</v>
      </c>
      <c r="Y1009" s="19">
        <f>IF($D1009&lt;&gt;1,"",IF($G1009="ROKS",$S1009,IF($AI1009=1,0,MAX($O1009,$M1009-SUMIFS(TblApplications[RAM IKS libérable (Go)],TblApplications[Cluster IKS source],$F1009,TblApplications[Action],"À migrer",TblApplications[Mois prov (calc)],"&lt;="&amp;$E1009)-SUMIFS(TblApplications[RAM IKS libérable (Go)],TblApplications[Cluster IKS source],$F1009,TblApplications[Action],"À décommissionner",TblApplications[Mois lib (calc)],"&lt;="&amp;$E1009)))))</f>
        <v>2304</v>
      </c>
      <c r="Z1009" s="19">
        <f t="shared" si="264"/>
        <v>9</v>
      </c>
      <c r="AA1009" s="73">
        <f t="shared" si="265"/>
        <v>12789</v>
      </c>
      <c r="AB1009" s="19">
        <f t="shared" si="266"/>
        <v>9</v>
      </c>
      <c r="AC1009" s="73">
        <f t="shared" si="267"/>
        <v>12789</v>
      </c>
      <c r="AD1009" s="19">
        <f t="shared" si="268"/>
        <v>0</v>
      </c>
      <c r="AE1009" s="19">
        <f t="shared" si="269"/>
        <v>0</v>
      </c>
      <c r="AF1009" s="19" t="str">
        <f>IF($D1009&lt;&gt;1,"",IF(INDEX(TblClusters[Environnement],$B1009)="","(vide)",INDEX(TblClusters[Environnement],$B1009)))</f>
        <v>NPRD</v>
      </c>
      <c r="AG1009" s="19">
        <f t="shared" si="270"/>
        <v>518.4</v>
      </c>
      <c r="AH1009" s="19">
        <f t="shared" si="271"/>
        <v>24.670138888888889</v>
      </c>
      <c r="AI1009" s="19">
        <f>IF($D1009&lt;&gt;1,"",IF(AND($G1009="IKS",ISNUMBER(INDEX(TblClusters[Fermeture retenue],$B1009))),IF($E1009&gt;=INDEX(TblClusters[Fermeture retenue],$B1009),1,0),0))</f>
        <v>0</v>
      </c>
    </row>
    <row r="1010" spans="1:35" x14ac:dyDescent="0.2">
      <c r="A1010" s="19">
        <v>1005</v>
      </c>
      <c r="B1010" s="19">
        <f t="shared" si="255"/>
        <v>28</v>
      </c>
      <c r="C1010" s="19">
        <f t="shared" si="256"/>
        <v>33</v>
      </c>
      <c r="D1010" s="19">
        <f>IF($C1010&gt;p_horizon,0,IFERROR(IF(AND(INDEX(TblClusters[Cluster],$B1010)&lt;&gt;"",ISNUMBER(INDEX(TblClusters[CPU initial (vCPU)],$B1010)),ISNUMBER(INDEX(TblClusters[CPU min (vCPU)],$B1010)),OR(INDEX(TblClusters[Plateforme],$B1010)="IKS",INDEX(TblClusters[Plateforme],$B1010)="ROKS")),1,0),0))</f>
        <v>1</v>
      </c>
      <c r="E1010" s="72">
        <f t="shared" si="257"/>
        <v>47270</v>
      </c>
      <c r="F1010" s="19" t="str">
        <f>IF($D1010=1,INDEX(TblClusters[Cluster],$B1010),"")</f>
        <v>ku002i001021</v>
      </c>
      <c r="G1010" s="19" t="str">
        <f>IF($D1010=1,INDEX(TblClusters[Plateforme],$B1010),"")</f>
        <v>IKS</v>
      </c>
      <c r="H1010" s="19">
        <f>IF($D1010=1,INDEX(TblClusters[vCPU par nœud],$B1010),"")</f>
        <v>32</v>
      </c>
      <c r="I1010" s="19">
        <f>IF($D1010=1,INDEX(TblClusters[RAM par nœud (Go)],$B1010),"")</f>
        <v>256</v>
      </c>
      <c r="J1010" s="19">
        <f>IF($D1010=1,INDEX(TblClusters[Workers min],$B1010),"")</f>
        <v>3</v>
      </c>
      <c r="K1010" s="73">
        <f>IF($D1010=1,INDEX(TblClusters[Tarif par nœud],$B1010),"")</f>
        <v>1421</v>
      </c>
      <c r="L1010" s="19">
        <f>IF($D1010=1,INDEX(TblClusters[CPU initial (vCPU)],$B1010),"")</f>
        <v>288</v>
      </c>
      <c r="M1010" s="19">
        <f>IF($D1010=1,INDEX(TblClusters[RAM initiale (Go)],$B1010),"")</f>
        <v>2304</v>
      </c>
      <c r="N1010" s="19">
        <f>IF($D1010=1,INDEX(TblClusters[CPU min (vCPU)],$B1010),"")</f>
        <v>96</v>
      </c>
      <c r="O1010" s="19">
        <f>IF($D1010=1,INDEX(TblClusters[RAM min (Go)],$B1010),"")</f>
        <v>768</v>
      </c>
      <c r="P1010" s="19">
        <f>IF($D1010&lt;&gt;1,"",IF($G1010="ROKS",SUMIFS(TblApplications[Besoin ROKS CPU (vCPU)],TblApplications[Cluster ROKS cible],$F1010,TblApplications[Action],"À migrer",TblApplications[Déjà incluse ROKS],"Non",TblApplications[Mois prov (calc)],"&lt;="&amp;$E1010),SUMIFS(TblApplications[CPU IKS libérable (vCPU)],TblApplications[Cluster IKS source],$F1010,TblApplications[Mois lib (calc)],"&lt;="&amp;$E1010)))</f>
        <v>0</v>
      </c>
      <c r="Q1010" s="19">
        <f>IF($D1010&lt;&gt;1,"",IF($G1010="ROKS",SUMIFS(TblApplications[Besoin ROKS RAM (Go)],TblApplications[Cluster ROKS cible],$F1010,TblApplications[Action],"À migrer",TblApplications[Déjà incluse ROKS],"Non",TblApplications[Mois prov (calc)],"&lt;="&amp;$E1010),SUMIFS(TblApplications[RAM IKS libérable (Go)],TblApplications[Cluster IKS source],$F1010,TblApplications[Mois lib (calc)],"&lt;="&amp;$E1010)))</f>
        <v>0</v>
      </c>
      <c r="R1010" s="19">
        <f t="shared" si="258"/>
        <v>288</v>
      </c>
      <c r="S1010" s="19">
        <f t="shared" si="259"/>
        <v>2304</v>
      </c>
      <c r="T1010" s="19">
        <f t="shared" si="260"/>
        <v>9</v>
      </c>
      <c r="U1010" s="19">
        <f t="shared" si="261"/>
        <v>288</v>
      </c>
      <c r="V1010" s="19">
        <f t="shared" si="262"/>
        <v>2304</v>
      </c>
      <c r="W1010" s="73">
        <f t="shared" si="263"/>
        <v>12789</v>
      </c>
      <c r="X1010" s="19">
        <f>IF($D1010&lt;&gt;1,"",IF($G1010="ROKS",$R1010,IF($AI1010=1,0,MAX($N1010,$L1010-SUMIFS(TblApplications[CPU IKS libérable (vCPU)],TblApplications[Cluster IKS source],$F1010,TblApplications[Action],"À migrer",TblApplications[Mois prov (calc)],"&lt;="&amp;$E1010)-SUMIFS(TblApplications[CPU IKS libérable (vCPU)],TblApplications[Cluster IKS source],$F1010,TblApplications[Action],"À décommissionner",TblApplications[Mois lib (calc)],"&lt;="&amp;$E1010)))))</f>
        <v>288</v>
      </c>
      <c r="Y1010" s="19">
        <f>IF($D1010&lt;&gt;1,"",IF($G1010="ROKS",$S1010,IF($AI1010=1,0,MAX($O1010,$M1010-SUMIFS(TblApplications[RAM IKS libérable (Go)],TblApplications[Cluster IKS source],$F1010,TblApplications[Action],"À migrer",TblApplications[Mois prov (calc)],"&lt;="&amp;$E1010)-SUMIFS(TblApplications[RAM IKS libérable (Go)],TblApplications[Cluster IKS source],$F1010,TblApplications[Action],"À décommissionner",TblApplications[Mois lib (calc)],"&lt;="&amp;$E1010)))))</f>
        <v>2304</v>
      </c>
      <c r="Z1010" s="19">
        <f t="shared" si="264"/>
        <v>9</v>
      </c>
      <c r="AA1010" s="73">
        <f t="shared" si="265"/>
        <v>12789</v>
      </c>
      <c r="AB1010" s="19">
        <f t="shared" si="266"/>
        <v>9</v>
      </c>
      <c r="AC1010" s="73">
        <f t="shared" si="267"/>
        <v>12789</v>
      </c>
      <c r="AD1010" s="19">
        <f t="shared" si="268"/>
        <v>0</v>
      </c>
      <c r="AE1010" s="19">
        <f t="shared" si="269"/>
        <v>0</v>
      </c>
      <c r="AF1010" s="19" t="str">
        <f>IF($D1010&lt;&gt;1,"",IF(INDEX(TblClusters[Environnement],$B1010)="","(vide)",INDEX(TblClusters[Environnement],$B1010)))</f>
        <v>NPRD</v>
      </c>
      <c r="AG1010" s="19">
        <f t="shared" si="270"/>
        <v>518.4</v>
      </c>
      <c r="AH1010" s="19">
        <f t="shared" si="271"/>
        <v>24.670138888888889</v>
      </c>
      <c r="AI1010" s="19">
        <f>IF($D1010&lt;&gt;1,"",IF(AND($G1010="IKS",ISNUMBER(INDEX(TblClusters[Fermeture retenue],$B1010))),IF($E1010&gt;=INDEX(TblClusters[Fermeture retenue],$B1010),1,0),0))</f>
        <v>0</v>
      </c>
    </row>
    <row r="1011" spans="1:35" x14ac:dyDescent="0.2">
      <c r="A1011" s="19">
        <v>1006</v>
      </c>
      <c r="B1011" s="19">
        <f t="shared" si="255"/>
        <v>28</v>
      </c>
      <c r="C1011" s="19">
        <f t="shared" si="256"/>
        <v>34</v>
      </c>
      <c r="D1011" s="19">
        <f>IF($C1011&gt;p_horizon,0,IFERROR(IF(AND(INDEX(TblClusters[Cluster],$B1011)&lt;&gt;"",ISNUMBER(INDEX(TblClusters[CPU initial (vCPU)],$B1011)),ISNUMBER(INDEX(TblClusters[CPU min (vCPU)],$B1011)),OR(INDEX(TblClusters[Plateforme],$B1011)="IKS",INDEX(TblClusters[Plateforme],$B1011)="ROKS")),1,0),0))</f>
        <v>1</v>
      </c>
      <c r="E1011" s="72">
        <f t="shared" si="257"/>
        <v>47300</v>
      </c>
      <c r="F1011" s="19" t="str">
        <f>IF($D1011=1,INDEX(TblClusters[Cluster],$B1011),"")</f>
        <v>ku002i001021</v>
      </c>
      <c r="G1011" s="19" t="str">
        <f>IF($D1011=1,INDEX(TblClusters[Plateforme],$B1011),"")</f>
        <v>IKS</v>
      </c>
      <c r="H1011" s="19">
        <f>IF($D1011=1,INDEX(TblClusters[vCPU par nœud],$B1011),"")</f>
        <v>32</v>
      </c>
      <c r="I1011" s="19">
        <f>IF($D1011=1,INDEX(TblClusters[RAM par nœud (Go)],$B1011),"")</f>
        <v>256</v>
      </c>
      <c r="J1011" s="19">
        <f>IF($D1011=1,INDEX(TblClusters[Workers min],$B1011),"")</f>
        <v>3</v>
      </c>
      <c r="K1011" s="73">
        <f>IF($D1011=1,INDEX(TblClusters[Tarif par nœud],$B1011),"")</f>
        <v>1421</v>
      </c>
      <c r="L1011" s="19">
        <f>IF($D1011=1,INDEX(TblClusters[CPU initial (vCPU)],$B1011),"")</f>
        <v>288</v>
      </c>
      <c r="M1011" s="19">
        <f>IF($D1011=1,INDEX(TblClusters[RAM initiale (Go)],$B1011),"")</f>
        <v>2304</v>
      </c>
      <c r="N1011" s="19">
        <f>IF($D1011=1,INDEX(TblClusters[CPU min (vCPU)],$B1011),"")</f>
        <v>96</v>
      </c>
      <c r="O1011" s="19">
        <f>IF($D1011=1,INDEX(TblClusters[RAM min (Go)],$B1011),"")</f>
        <v>768</v>
      </c>
      <c r="P1011" s="19">
        <f>IF($D1011&lt;&gt;1,"",IF($G1011="ROKS",SUMIFS(TblApplications[Besoin ROKS CPU (vCPU)],TblApplications[Cluster ROKS cible],$F1011,TblApplications[Action],"À migrer",TblApplications[Déjà incluse ROKS],"Non",TblApplications[Mois prov (calc)],"&lt;="&amp;$E1011),SUMIFS(TblApplications[CPU IKS libérable (vCPU)],TblApplications[Cluster IKS source],$F1011,TblApplications[Mois lib (calc)],"&lt;="&amp;$E1011)))</f>
        <v>0</v>
      </c>
      <c r="Q1011" s="19">
        <f>IF($D1011&lt;&gt;1,"",IF($G1011="ROKS",SUMIFS(TblApplications[Besoin ROKS RAM (Go)],TblApplications[Cluster ROKS cible],$F1011,TblApplications[Action],"À migrer",TblApplications[Déjà incluse ROKS],"Non",TblApplications[Mois prov (calc)],"&lt;="&amp;$E1011),SUMIFS(TblApplications[RAM IKS libérable (Go)],TblApplications[Cluster IKS source],$F1011,TblApplications[Mois lib (calc)],"&lt;="&amp;$E1011)))</f>
        <v>0</v>
      </c>
      <c r="R1011" s="19">
        <f t="shared" si="258"/>
        <v>288</v>
      </c>
      <c r="S1011" s="19">
        <f t="shared" si="259"/>
        <v>2304</v>
      </c>
      <c r="T1011" s="19">
        <f t="shared" si="260"/>
        <v>9</v>
      </c>
      <c r="U1011" s="19">
        <f t="shared" si="261"/>
        <v>288</v>
      </c>
      <c r="V1011" s="19">
        <f t="shared" si="262"/>
        <v>2304</v>
      </c>
      <c r="W1011" s="73">
        <f t="shared" si="263"/>
        <v>12789</v>
      </c>
      <c r="X1011" s="19">
        <f>IF($D1011&lt;&gt;1,"",IF($G1011="ROKS",$R1011,IF($AI1011=1,0,MAX($N1011,$L1011-SUMIFS(TblApplications[CPU IKS libérable (vCPU)],TblApplications[Cluster IKS source],$F1011,TblApplications[Action],"À migrer",TblApplications[Mois prov (calc)],"&lt;="&amp;$E1011)-SUMIFS(TblApplications[CPU IKS libérable (vCPU)],TblApplications[Cluster IKS source],$F1011,TblApplications[Action],"À décommissionner",TblApplications[Mois lib (calc)],"&lt;="&amp;$E1011)))))</f>
        <v>288</v>
      </c>
      <c r="Y1011" s="19">
        <f>IF($D1011&lt;&gt;1,"",IF($G1011="ROKS",$S1011,IF($AI1011=1,0,MAX($O1011,$M1011-SUMIFS(TblApplications[RAM IKS libérable (Go)],TblApplications[Cluster IKS source],$F1011,TblApplications[Action],"À migrer",TblApplications[Mois prov (calc)],"&lt;="&amp;$E1011)-SUMIFS(TblApplications[RAM IKS libérable (Go)],TblApplications[Cluster IKS source],$F1011,TblApplications[Action],"À décommissionner",TblApplications[Mois lib (calc)],"&lt;="&amp;$E1011)))))</f>
        <v>2304</v>
      </c>
      <c r="Z1011" s="19">
        <f t="shared" si="264"/>
        <v>9</v>
      </c>
      <c r="AA1011" s="73">
        <f t="shared" si="265"/>
        <v>12789</v>
      </c>
      <c r="AB1011" s="19">
        <f t="shared" si="266"/>
        <v>9</v>
      </c>
      <c r="AC1011" s="73">
        <f t="shared" si="267"/>
        <v>12789</v>
      </c>
      <c r="AD1011" s="19">
        <f t="shared" si="268"/>
        <v>0</v>
      </c>
      <c r="AE1011" s="19">
        <f t="shared" si="269"/>
        <v>0</v>
      </c>
      <c r="AF1011" s="19" t="str">
        <f>IF($D1011&lt;&gt;1,"",IF(INDEX(TblClusters[Environnement],$B1011)="","(vide)",INDEX(TblClusters[Environnement],$B1011)))</f>
        <v>NPRD</v>
      </c>
      <c r="AG1011" s="19">
        <f t="shared" si="270"/>
        <v>518.4</v>
      </c>
      <c r="AH1011" s="19">
        <f t="shared" si="271"/>
        <v>24.670138888888889</v>
      </c>
      <c r="AI1011" s="19">
        <f>IF($D1011&lt;&gt;1,"",IF(AND($G1011="IKS",ISNUMBER(INDEX(TblClusters[Fermeture retenue],$B1011))),IF($E1011&gt;=INDEX(TblClusters[Fermeture retenue],$B1011),1,0),0))</f>
        <v>0</v>
      </c>
    </row>
    <row r="1012" spans="1:35" x14ac:dyDescent="0.2">
      <c r="A1012" s="19">
        <v>1007</v>
      </c>
      <c r="B1012" s="19">
        <f t="shared" si="255"/>
        <v>28</v>
      </c>
      <c r="C1012" s="19">
        <f t="shared" si="256"/>
        <v>35</v>
      </c>
      <c r="D1012" s="19">
        <f>IF($C1012&gt;p_horizon,0,IFERROR(IF(AND(INDEX(TblClusters[Cluster],$B1012)&lt;&gt;"",ISNUMBER(INDEX(TblClusters[CPU initial (vCPU)],$B1012)),ISNUMBER(INDEX(TblClusters[CPU min (vCPU)],$B1012)),OR(INDEX(TblClusters[Plateforme],$B1012)="IKS",INDEX(TblClusters[Plateforme],$B1012)="ROKS")),1,0),0))</f>
        <v>1</v>
      </c>
      <c r="E1012" s="72">
        <f t="shared" si="257"/>
        <v>47331</v>
      </c>
      <c r="F1012" s="19" t="str">
        <f>IF($D1012=1,INDEX(TblClusters[Cluster],$B1012),"")</f>
        <v>ku002i001021</v>
      </c>
      <c r="G1012" s="19" t="str">
        <f>IF($D1012=1,INDEX(TblClusters[Plateforme],$B1012),"")</f>
        <v>IKS</v>
      </c>
      <c r="H1012" s="19">
        <f>IF($D1012=1,INDEX(TblClusters[vCPU par nœud],$B1012),"")</f>
        <v>32</v>
      </c>
      <c r="I1012" s="19">
        <f>IF($D1012=1,INDEX(TblClusters[RAM par nœud (Go)],$B1012),"")</f>
        <v>256</v>
      </c>
      <c r="J1012" s="19">
        <f>IF($D1012=1,INDEX(TblClusters[Workers min],$B1012),"")</f>
        <v>3</v>
      </c>
      <c r="K1012" s="73">
        <f>IF($D1012=1,INDEX(TblClusters[Tarif par nœud],$B1012),"")</f>
        <v>1421</v>
      </c>
      <c r="L1012" s="19">
        <f>IF($D1012=1,INDEX(TblClusters[CPU initial (vCPU)],$B1012),"")</f>
        <v>288</v>
      </c>
      <c r="M1012" s="19">
        <f>IF($D1012=1,INDEX(TblClusters[RAM initiale (Go)],$B1012),"")</f>
        <v>2304</v>
      </c>
      <c r="N1012" s="19">
        <f>IF($D1012=1,INDEX(TblClusters[CPU min (vCPU)],$B1012),"")</f>
        <v>96</v>
      </c>
      <c r="O1012" s="19">
        <f>IF($D1012=1,INDEX(TblClusters[RAM min (Go)],$B1012),"")</f>
        <v>768</v>
      </c>
      <c r="P1012" s="19">
        <f>IF($D1012&lt;&gt;1,"",IF($G1012="ROKS",SUMIFS(TblApplications[Besoin ROKS CPU (vCPU)],TblApplications[Cluster ROKS cible],$F1012,TblApplications[Action],"À migrer",TblApplications[Déjà incluse ROKS],"Non",TblApplications[Mois prov (calc)],"&lt;="&amp;$E1012),SUMIFS(TblApplications[CPU IKS libérable (vCPU)],TblApplications[Cluster IKS source],$F1012,TblApplications[Mois lib (calc)],"&lt;="&amp;$E1012)))</f>
        <v>0</v>
      </c>
      <c r="Q1012" s="19">
        <f>IF($D1012&lt;&gt;1,"",IF($G1012="ROKS",SUMIFS(TblApplications[Besoin ROKS RAM (Go)],TblApplications[Cluster ROKS cible],$F1012,TblApplications[Action],"À migrer",TblApplications[Déjà incluse ROKS],"Non",TblApplications[Mois prov (calc)],"&lt;="&amp;$E1012),SUMIFS(TblApplications[RAM IKS libérable (Go)],TblApplications[Cluster IKS source],$F1012,TblApplications[Mois lib (calc)],"&lt;="&amp;$E1012)))</f>
        <v>0</v>
      </c>
      <c r="R1012" s="19">
        <f t="shared" si="258"/>
        <v>288</v>
      </c>
      <c r="S1012" s="19">
        <f t="shared" si="259"/>
        <v>2304</v>
      </c>
      <c r="T1012" s="19">
        <f t="shared" si="260"/>
        <v>9</v>
      </c>
      <c r="U1012" s="19">
        <f t="shared" si="261"/>
        <v>288</v>
      </c>
      <c r="V1012" s="19">
        <f t="shared" si="262"/>
        <v>2304</v>
      </c>
      <c r="W1012" s="73">
        <f t="shared" si="263"/>
        <v>12789</v>
      </c>
      <c r="X1012" s="19">
        <f>IF($D1012&lt;&gt;1,"",IF($G1012="ROKS",$R1012,IF($AI1012=1,0,MAX($N1012,$L1012-SUMIFS(TblApplications[CPU IKS libérable (vCPU)],TblApplications[Cluster IKS source],$F1012,TblApplications[Action],"À migrer",TblApplications[Mois prov (calc)],"&lt;="&amp;$E1012)-SUMIFS(TblApplications[CPU IKS libérable (vCPU)],TblApplications[Cluster IKS source],$F1012,TblApplications[Action],"À décommissionner",TblApplications[Mois lib (calc)],"&lt;="&amp;$E1012)))))</f>
        <v>288</v>
      </c>
      <c r="Y1012" s="19">
        <f>IF($D1012&lt;&gt;1,"",IF($G1012="ROKS",$S1012,IF($AI1012=1,0,MAX($O1012,$M1012-SUMIFS(TblApplications[RAM IKS libérable (Go)],TblApplications[Cluster IKS source],$F1012,TblApplications[Action],"À migrer",TblApplications[Mois prov (calc)],"&lt;="&amp;$E1012)-SUMIFS(TblApplications[RAM IKS libérable (Go)],TblApplications[Cluster IKS source],$F1012,TblApplications[Action],"À décommissionner",TblApplications[Mois lib (calc)],"&lt;="&amp;$E1012)))))</f>
        <v>2304</v>
      </c>
      <c r="Z1012" s="19">
        <f t="shared" si="264"/>
        <v>9</v>
      </c>
      <c r="AA1012" s="73">
        <f t="shared" si="265"/>
        <v>12789</v>
      </c>
      <c r="AB1012" s="19">
        <f t="shared" si="266"/>
        <v>9</v>
      </c>
      <c r="AC1012" s="73">
        <f t="shared" si="267"/>
        <v>12789</v>
      </c>
      <c r="AD1012" s="19">
        <f t="shared" si="268"/>
        <v>0</v>
      </c>
      <c r="AE1012" s="19">
        <f t="shared" si="269"/>
        <v>0</v>
      </c>
      <c r="AF1012" s="19" t="str">
        <f>IF($D1012&lt;&gt;1,"",IF(INDEX(TblClusters[Environnement],$B1012)="","(vide)",INDEX(TblClusters[Environnement],$B1012)))</f>
        <v>NPRD</v>
      </c>
      <c r="AG1012" s="19">
        <f t="shared" si="270"/>
        <v>518.4</v>
      </c>
      <c r="AH1012" s="19">
        <f t="shared" si="271"/>
        <v>24.670138888888889</v>
      </c>
      <c r="AI1012" s="19">
        <f>IF($D1012&lt;&gt;1,"",IF(AND($G1012="IKS",ISNUMBER(INDEX(TblClusters[Fermeture retenue],$B1012))),IF($E1012&gt;=INDEX(TblClusters[Fermeture retenue],$B1012),1,0),0))</f>
        <v>0</v>
      </c>
    </row>
    <row r="1013" spans="1:35" x14ac:dyDescent="0.2">
      <c r="A1013" s="19">
        <v>1008</v>
      </c>
      <c r="B1013" s="19">
        <f t="shared" si="255"/>
        <v>28</v>
      </c>
      <c r="C1013" s="19">
        <f t="shared" si="256"/>
        <v>36</v>
      </c>
      <c r="D1013" s="19">
        <f>IF($C1013&gt;p_horizon,0,IFERROR(IF(AND(INDEX(TblClusters[Cluster],$B1013)&lt;&gt;"",ISNUMBER(INDEX(TblClusters[CPU initial (vCPU)],$B1013)),ISNUMBER(INDEX(TblClusters[CPU min (vCPU)],$B1013)),OR(INDEX(TblClusters[Plateforme],$B1013)="IKS",INDEX(TblClusters[Plateforme],$B1013)="ROKS")),1,0),0))</f>
        <v>1</v>
      </c>
      <c r="E1013" s="72">
        <f t="shared" si="257"/>
        <v>47362</v>
      </c>
      <c r="F1013" s="19" t="str">
        <f>IF($D1013=1,INDEX(TblClusters[Cluster],$B1013),"")</f>
        <v>ku002i001021</v>
      </c>
      <c r="G1013" s="19" t="str">
        <f>IF($D1013=1,INDEX(TblClusters[Plateforme],$B1013),"")</f>
        <v>IKS</v>
      </c>
      <c r="H1013" s="19">
        <f>IF($D1013=1,INDEX(TblClusters[vCPU par nœud],$B1013),"")</f>
        <v>32</v>
      </c>
      <c r="I1013" s="19">
        <f>IF($D1013=1,INDEX(TblClusters[RAM par nœud (Go)],$B1013),"")</f>
        <v>256</v>
      </c>
      <c r="J1013" s="19">
        <f>IF($D1013=1,INDEX(TblClusters[Workers min],$B1013),"")</f>
        <v>3</v>
      </c>
      <c r="K1013" s="73">
        <f>IF($D1013=1,INDEX(TblClusters[Tarif par nœud],$B1013),"")</f>
        <v>1421</v>
      </c>
      <c r="L1013" s="19">
        <f>IF($D1013=1,INDEX(TblClusters[CPU initial (vCPU)],$B1013),"")</f>
        <v>288</v>
      </c>
      <c r="M1013" s="19">
        <f>IF($D1013=1,INDEX(TblClusters[RAM initiale (Go)],$B1013),"")</f>
        <v>2304</v>
      </c>
      <c r="N1013" s="19">
        <f>IF($D1013=1,INDEX(TblClusters[CPU min (vCPU)],$B1013),"")</f>
        <v>96</v>
      </c>
      <c r="O1013" s="19">
        <f>IF($D1013=1,INDEX(TblClusters[RAM min (Go)],$B1013),"")</f>
        <v>768</v>
      </c>
      <c r="P1013" s="19">
        <f>IF($D1013&lt;&gt;1,"",IF($G1013="ROKS",SUMIFS(TblApplications[Besoin ROKS CPU (vCPU)],TblApplications[Cluster ROKS cible],$F1013,TblApplications[Action],"À migrer",TblApplications[Déjà incluse ROKS],"Non",TblApplications[Mois prov (calc)],"&lt;="&amp;$E1013),SUMIFS(TblApplications[CPU IKS libérable (vCPU)],TblApplications[Cluster IKS source],$F1013,TblApplications[Mois lib (calc)],"&lt;="&amp;$E1013)))</f>
        <v>0</v>
      </c>
      <c r="Q1013" s="19">
        <f>IF($D1013&lt;&gt;1,"",IF($G1013="ROKS",SUMIFS(TblApplications[Besoin ROKS RAM (Go)],TblApplications[Cluster ROKS cible],$F1013,TblApplications[Action],"À migrer",TblApplications[Déjà incluse ROKS],"Non",TblApplications[Mois prov (calc)],"&lt;="&amp;$E1013),SUMIFS(TblApplications[RAM IKS libérable (Go)],TblApplications[Cluster IKS source],$F1013,TblApplications[Mois lib (calc)],"&lt;="&amp;$E1013)))</f>
        <v>0</v>
      </c>
      <c r="R1013" s="19">
        <f t="shared" si="258"/>
        <v>288</v>
      </c>
      <c r="S1013" s="19">
        <f t="shared" si="259"/>
        <v>2304</v>
      </c>
      <c r="T1013" s="19">
        <f t="shared" si="260"/>
        <v>9</v>
      </c>
      <c r="U1013" s="19">
        <f t="shared" si="261"/>
        <v>288</v>
      </c>
      <c r="V1013" s="19">
        <f t="shared" si="262"/>
        <v>2304</v>
      </c>
      <c r="W1013" s="73">
        <f t="shared" si="263"/>
        <v>12789</v>
      </c>
      <c r="X1013" s="19">
        <f>IF($D1013&lt;&gt;1,"",IF($G1013="ROKS",$R1013,IF($AI1013=1,0,MAX($N1013,$L1013-SUMIFS(TblApplications[CPU IKS libérable (vCPU)],TblApplications[Cluster IKS source],$F1013,TblApplications[Action],"À migrer",TblApplications[Mois prov (calc)],"&lt;="&amp;$E1013)-SUMIFS(TblApplications[CPU IKS libérable (vCPU)],TblApplications[Cluster IKS source],$F1013,TblApplications[Action],"À décommissionner",TblApplications[Mois lib (calc)],"&lt;="&amp;$E1013)))))</f>
        <v>288</v>
      </c>
      <c r="Y1013" s="19">
        <f>IF($D1013&lt;&gt;1,"",IF($G1013="ROKS",$S1013,IF($AI1013=1,0,MAX($O1013,$M1013-SUMIFS(TblApplications[RAM IKS libérable (Go)],TblApplications[Cluster IKS source],$F1013,TblApplications[Action],"À migrer",TblApplications[Mois prov (calc)],"&lt;="&amp;$E1013)-SUMIFS(TblApplications[RAM IKS libérable (Go)],TblApplications[Cluster IKS source],$F1013,TblApplications[Action],"À décommissionner",TblApplications[Mois lib (calc)],"&lt;="&amp;$E1013)))))</f>
        <v>2304</v>
      </c>
      <c r="Z1013" s="19">
        <f t="shared" si="264"/>
        <v>9</v>
      </c>
      <c r="AA1013" s="73">
        <f t="shared" si="265"/>
        <v>12789</v>
      </c>
      <c r="AB1013" s="19">
        <f t="shared" si="266"/>
        <v>9</v>
      </c>
      <c r="AC1013" s="73">
        <f t="shared" si="267"/>
        <v>12789</v>
      </c>
      <c r="AD1013" s="19">
        <f t="shared" si="268"/>
        <v>0</v>
      </c>
      <c r="AE1013" s="19">
        <f t="shared" si="269"/>
        <v>0</v>
      </c>
      <c r="AF1013" s="19" t="str">
        <f>IF($D1013&lt;&gt;1,"",IF(INDEX(TblClusters[Environnement],$B1013)="","(vide)",INDEX(TblClusters[Environnement],$B1013)))</f>
        <v>NPRD</v>
      </c>
      <c r="AG1013" s="19">
        <f t="shared" si="270"/>
        <v>518.4</v>
      </c>
      <c r="AH1013" s="19">
        <f t="shared" si="271"/>
        <v>24.670138888888889</v>
      </c>
      <c r="AI1013" s="19">
        <f>IF($D1013&lt;&gt;1,"",IF(AND($G1013="IKS",ISNUMBER(INDEX(TblClusters[Fermeture retenue],$B1013))),IF($E1013&gt;=INDEX(TblClusters[Fermeture retenue],$B1013),1,0),0))</f>
        <v>0</v>
      </c>
    </row>
    <row r="1014" spans="1:35" x14ac:dyDescent="0.2">
      <c r="A1014" s="19">
        <v>1009</v>
      </c>
      <c r="B1014" s="19">
        <f t="shared" si="255"/>
        <v>29</v>
      </c>
      <c r="C1014" s="19">
        <f t="shared" si="256"/>
        <v>1</v>
      </c>
      <c r="D1014" s="19">
        <f>IF($C1014&gt;p_horizon,0,IFERROR(IF(AND(INDEX(TblClusters[Cluster],$B1014)&lt;&gt;"",ISNUMBER(INDEX(TblClusters[CPU initial (vCPU)],$B1014)),ISNUMBER(INDEX(TblClusters[CPU min (vCPU)],$B1014)),OR(INDEX(TblClusters[Plateforme],$B1014)="IKS",INDEX(TblClusters[Plateforme],$B1014)="ROKS")),1,0),0))</f>
        <v>1</v>
      </c>
      <c r="E1014" s="72">
        <f t="shared" si="257"/>
        <v>46296</v>
      </c>
      <c r="F1014" s="19" t="str">
        <f>IF($D1014=1,INDEX(TblClusters[Cluster],$B1014),"")</f>
        <v>ku002i001071</v>
      </c>
      <c r="G1014" s="19" t="str">
        <f>IF($D1014=1,INDEX(TblClusters[Plateforme],$B1014),"")</f>
        <v>IKS</v>
      </c>
      <c r="H1014" s="19">
        <f>IF($D1014=1,INDEX(TblClusters[vCPU par nœud],$B1014),"")</f>
        <v>64</v>
      </c>
      <c r="I1014" s="19">
        <f>IF($D1014=1,INDEX(TblClusters[RAM par nœud (Go)],$B1014),"")</f>
        <v>512</v>
      </c>
      <c r="J1014" s="19">
        <f>IF($D1014=1,INDEX(TblClusters[Workers min],$B1014),"")</f>
        <v>3</v>
      </c>
      <c r="K1014" s="73">
        <f>IF($D1014=1,INDEX(TblClusters[Tarif par nœud],$B1014),"")</f>
        <v>2842</v>
      </c>
      <c r="L1014" s="19">
        <f>IF($D1014=1,INDEX(TblClusters[CPU initial (vCPU)],$B1014),"")</f>
        <v>384</v>
      </c>
      <c r="M1014" s="19">
        <f>IF($D1014=1,INDEX(TblClusters[RAM initiale (Go)],$B1014),"")</f>
        <v>3072</v>
      </c>
      <c r="N1014" s="19">
        <f>IF($D1014=1,INDEX(TblClusters[CPU min (vCPU)],$B1014),"")</f>
        <v>192</v>
      </c>
      <c r="O1014" s="19">
        <f>IF($D1014=1,INDEX(TblClusters[RAM min (Go)],$B1014),"")</f>
        <v>1536</v>
      </c>
      <c r="P1014" s="19">
        <f>IF($D1014&lt;&gt;1,"",IF($G1014="ROKS",SUMIFS(TblApplications[Besoin ROKS CPU (vCPU)],TblApplications[Cluster ROKS cible],$F1014,TblApplications[Action],"À migrer",TblApplications[Déjà incluse ROKS],"Non",TblApplications[Mois prov (calc)],"&lt;="&amp;$E1014),SUMIFS(TblApplications[CPU IKS libérable (vCPU)],TblApplications[Cluster IKS source],$F1014,TblApplications[Mois lib (calc)],"&lt;="&amp;$E1014)))</f>
        <v>0</v>
      </c>
      <c r="Q1014" s="19">
        <f>IF($D1014&lt;&gt;1,"",IF($G1014="ROKS",SUMIFS(TblApplications[Besoin ROKS RAM (Go)],TblApplications[Cluster ROKS cible],$F1014,TblApplications[Action],"À migrer",TblApplications[Déjà incluse ROKS],"Non",TblApplications[Mois prov (calc)],"&lt;="&amp;$E1014),SUMIFS(TblApplications[RAM IKS libérable (Go)],TblApplications[Cluster IKS source],$F1014,TblApplications[Mois lib (calc)],"&lt;="&amp;$E1014)))</f>
        <v>0</v>
      </c>
      <c r="R1014" s="19">
        <f t="shared" si="258"/>
        <v>384</v>
      </c>
      <c r="S1014" s="19">
        <f t="shared" si="259"/>
        <v>3072</v>
      </c>
      <c r="T1014" s="19">
        <f t="shared" si="260"/>
        <v>6</v>
      </c>
      <c r="U1014" s="19">
        <f t="shared" si="261"/>
        <v>384</v>
      </c>
      <c r="V1014" s="19">
        <f t="shared" si="262"/>
        <v>3072</v>
      </c>
      <c r="W1014" s="73">
        <f t="shared" si="263"/>
        <v>17052</v>
      </c>
      <c r="X1014" s="19">
        <f>IF($D1014&lt;&gt;1,"",IF($G1014="ROKS",$R1014,IF($AI1014=1,0,MAX($N1014,$L1014-SUMIFS(TblApplications[CPU IKS libérable (vCPU)],TblApplications[Cluster IKS source],$F1014,TblApplications[Action],"À migrer",TblApplications[Mois prov (calc)],"&lt;="&amp;$E1014)-SUMIFS(TblApplications[CPU IKS libérable (vCPU)],TblApplications[Cluster IKS source],$F1014,TblApplications[Action],"À décommissionner",TblApplications[Mois lib (calc)],"&lt;="&amp;$E1014)))))</f>
        <v>384</v>
      </c>
      <c r="Y1014" s="19">
        <f>IF($D1014&lt;&gt;1,"",IF($G1014="ROKS",$S1014,IF($AI1014=1,0,MAX($O1014,$M1014-SUMIFS(TblApplications[RAM IKS libérable (Go)],TblApplications[Cluster IKS source],$F1014,TblApplications[Action],"À migrer",TblApplications[Mois prov (calc)],"&lt;="&amp;$E1014)-SUMIFS(TblApplications[RAM IKS libérable (Go)],TblApplications[Cluster IKS source],$F1014,TblApplications[Action],"À décommissionner",TblApplications[Mois lib (calc)],"&lt;="&amp;$E1014)))))</f>
        <v>3072</v>
      </c>
      <c r="Z1014" s="19">
        <f t="shared" si="264"/>
        <v>6</v>
      </c>
      <c r="AA1014" s="73">
        <f t="shared" si="265"/>
        <v>17052</v>
      </c>
      <c r="AB1014" s="19">
        <f t="shared" si="266"/>
        <v>6</v>
      </c>
      <c r="AC1014" s="73">
        <f t="shared" si="267"/>
        <v>17052</v>
      </c>
      <c r="AD1014" s="19">
        <f t="shared" si="268"/>
        <v>0</v>
      </c>
      <c r="AE1014" s="19">
        <f t="shared" si="269"/>
        <v>0</v>
      </c>
      <c r="AF1014" s="19" t="str">
        <f>IF($D1014&lt;&gt;1,"",IF(INDEX(TblClusters[Environnement],$B1014)="","(vide)",INDEX(TblClusters[Environnement],$B1014)))</f>
        <v>PRD</v>
      </c>
      <c r="AG1014" s="19">
        <f t="shared" si="270"/>
        <v>691.2</v>
      </c>
      <c r="AH1014" s="19">
        <f t="shared" si="271"/>
        <v>24.670138888888886</v>
      </c>
      <c r="AI1014" s="19">
        <f>IF($D1014&lt;&gt;1,"",IF(AND($G1014="IKS",ISNUMBER(INDEX(TblClusters[Fermeture retenue],$B1014))),IF($E1014&gt;=INDEX(TblClusters[Fermeture retenue],$B1014),1,0),0))</f>
        <v>0</v>
      </c>
    </row>
    <row r="1015" spans="1:35" x14ac:dyDescent="0.2">
      <c r="A1015" s="19">
        <v>1010</v>
      </c>
      <c r="B1015" s="19">
        <f t="shared" si="255"/>
        <v>29</v>
      </c>
      <c r="C1015" s="19">
        <f t="shared" si="256"/>
        <v>2</v>
      </c>
      <c r="D1015" s="19">
        <f>IF($C1015&gt;p_horizon,0,IFERROR(IF(AND(INDEX(TblClusters[Cluster],$B1015)&lt;&gt;"",ISNUMBER(INDEX(TblClusters[CPU initial (vCPU)],$B1015)),ISNUMBER(INDEX(TblClusters[CPU min (vCPU)],$B1015)),OR(INDEX(TblClusters[Plateforme],$B1015)="IKS",INDEX(TblClusters[Plateforme],$B1015)="ROKS")),1,0),0))</f>
        <v>1</v>
      </c>
      <c r="E1015" s="72">
        <f t="shared" si="257"/>
        <v>46327</v>
      </c>
      <c r="F1015" s="19" t="str">
        <f>IF($D1015=1,INDEX(TblClusters[Cluster],$B1015),"")</f>
        <v>ku002i001071</v>
      </c>
      <c r="G1015" s="19" t="str">
        <f>IF($D1015=1,INDEX(TblClusters[Plateforme],$B1015),"")</f>
        <v>IKS</v>
      </c>
      <c r="H1015" s="19">
        <f>IF($D1015=1,INDEX(TblClusters[vCPU par nœud],$B1015),"")</f>
        <v>64</v>
      </c>
      <c r="I1015" s="19">
        <f>IF($D1015=1,INDEX(TblClusters[RAM par nœud (Go)],$B1015),"")</f>
        <v>512</v>
      </c>
      <c r="J1015" s="19">
        <f>IF($D1015=1,INDEX(TblClusters[Workers min],$B1015),"")</f>
        <v>3</v>
      </c>
      <c r="K1015" s="73">
        <f>IF($D1015=1,INDEX(TblClusters[Tarif par nœud],$B1015),"")</f>
        <v>2842</v>
      </c>
      <c r="L1015" s="19">
        <f>IF($D1015=1,INDEX(TblClusters[CPU initial (vCPU)],$B1015),"")</f>
        <v>384</v>
      </c>
      <c r="M1015" s="19">
        <f>IF($D1015=1,INDEX(TblClusters[RAM initiale (Go)],$B1015),"")</f>
        <v>3072</v>
      </c>
      <c r="N1015" s="19">
        <f>IF($D1015=1,INDEX(TblClusters[CPU min (vCPU)],$B1015),"")</f>
        <v>192</v>
      </c>
      <c r="O1015" s="19">
        <f>IF($D1015=1,INDEX(TblClusters[RAM min (Go)],$B1015),"")</f>
        <v>1536</v>
      </c>
      <c r="P1015" s="19">
        <f>IF($D1015&lt;&gt;1,"",IF($G1015="ROKS",SUMIFS(TblApplications[Besoin ROKS CPU (vCPU)],TblApplications[Cluster ROKS cible],$F1015,TblApplications[Action],"À migrer",TblApplications[Déjà incluse ROKS],"Non",TblApplications[Mois prov (calc)],"&lt;="&amp;$E1015),SUMIFS(TblApplications[CPU IKS libérable (vCPU)],TblApplications[Cluster IKS source],$F1015,TblApplications[Mois lib (calc)],"&lt;="&amp;$E1015)))</f>
        <v>0</v>
      </c>
      <c r="Q1015" s="19">
        <f>IF($D1015&lt;&gt;1,"",IF($G1015="ROKS",SUMIFS(TblApplications[Besoin ROKS RAM (Go)],TblApplications[Cluster ROKS cible],$F1015,TblApplications[Action],"À migrer",TblApplications[Déjà incluse ROKS],"Non",TblApplications[Mois prov (calc)],"&lt;="&amp;$E1015),SUMIFS(TblApplications[RAM IKS libérable (Go)],TblApplications[Cluster IKS source],$F1015,TblApplications[Mois lib (calc)],"&lt;="&amp;$E1015)))</f>
        <v>0</v>
      </c>
      <c r="R1015" s="19">
        <f t="shared" si="258"/>
        <v>384</v>
      </c>
      <c r="S1015" s="19">
        <f t="shared" si="259"/>
        <v>3072</v>
      </c>
      <c r="T1015" s="19">
        <f t="shared" si="260"/>
        <v>6</v>
      </c>
      <c r="U1015" s="19">
        <f t="shared" si="261"/>
        <v>384</v>
      </c>
      <c r="V1015" s="19">
        <f t="shared" si="262"/>
        <v>3072</v>
      </c>
      <c r="W1015" s="73">
        <f t="shared" si="263"/>
        <v>17052</v>
      </c>
      <c r="X1015" s="19">
        <f>IF($D1015&lt;&gt;1,"",IF($G1015="ROKS",$R1015,IF($AI1015=1,0,MAX($N1015,$L1015-SUMIFS(TblApplications[CPU IKS libérable (vCPU)],TblApplications[Cluster IKS source],$F1015,TblApplications[Action],"À migrer",TblApplications[Mois prov (calc)],"&lt;="&amp;$E1015)-SUMIFS(TblApplications[CPU IKS libérable (vCPU)],TblApplications[Cluster IKS source],$F1015,TblApplications[Action],"À décommissionner",TblApplications[Mois lib (calc)],"&lt;="&amp;$E1015)))))</f>
        <v>384</v>
      </c>
      <c r="Y1015" s="19">
        <f>IF($D1015&lt;&gt;1,"",IF($G1015="ROKS",$S1015,IF($AI1015=1,0,MAX($O1015,$M1015-SUMIFS(TblApplications[RAM IKS libérable (Go)],TblApplications[Cluster IKS source],$F1015,TblApplications[Action],"À migrer",TblApplications[Mois prov (calc)],"&lt;="&amp;$E1015)-SUMIFS(TblApplications[RAM IKS libérable (Go)],TblApplications[Cluster IKS source],$F1015,TblApplications[Action],"À décommissionner",TblApplications[Mois lib (calc)],"&lt;="&amp;$E1015)))))</f>
        <v>3072</v>
      </c>
      <c r="Z1015" s="19">
        <f t="shared" si="264"/>
        <v>6</v>
      </c>
      <c r="AA1015" s="73">
        <f t="shared" si="265"/>
        <v>17052</v>
      </c>
      <c r="AB1015" s="19">
        <f t="shared" si="266"/>
        <v>6</v>
      </c>
      <c r="AC1015" s="73">
        <f t="shared" si="267"/>
        <v>17052</v>
      </c>
      <c r="AD1015" s="19">
        <f t="shared" si="268"/>
        <v>0</v>
      </c>
      <c r="AE1015" s="19">
        <f t="shared" si="269"/>
        <v>0</v>
      </c>
      <c r="AF1015" s="19" t="str">
        <f>IF($D1015&lt;&gt;1,"",IF(INDEX(TblClusters[Environnement],$B1015)="","(vide)",INDEX(TblClusters[Environnement],$B1015)))</f>
        <v>PRD</v>
      </c>
      <c r="AG1015" s="19">
        <f t="shared" si="270"/>
        <v>691.2</v>
      </c>
      <c r="AH1015" s="19">
        <f t="shared" si="271"/>
        <v>24.670138888888886</v>
      </c>
      <c r="AI1015" s="19">
        <f>IF($D1015&lt;&gt;1,"",IF(AND($G1015="IKS",ISNUMBER(INDEX(TblClusters[Fermeture retenue],$B1015))),IF($E1015&gt;=INDEX(TblClusters[Fermeture retenue],$B1015),1,0),0))</f>
        <v>0</v>
      </c>
    </row>
    <row r="1016" spans="1:35" x14ac:dyDescent="0.2">
      <c r="A1016" s="19">
        <v>1011</v>
      </c>
      <c r="B1016" s="19">
        <f t="shared" si="255"/>
        <v>29</v>
      </c>
      <c r="C1016" s="19">
        <f t="shared" si="256"/>
        <v>3</v>
      </c>
      <c r="D1016" s="19">
        <f>IF($C1016&gt;p_horizon,0,IFERROR(IF(AND(INDEX(TblClusters[Cluster],$B1016)&lt;&gt;"",ISNUMBER(INDEX(TblClusters[CPU initial (vCPU)],$B1016)),ISNUMBER(INDEX(TblClusters[CPU min (vCPU)],$B1016)),OR(INDEX(TblClusters[Plateforme],$B1016)="IKS",INDEX(TblClusters[Plateforme],$B1016)="ROKS")),1,0),0))</f>
        <v>1</v>
      </c>
      <c r="E1016" s="72">
        <f t="shared" si="257"/>
        <v>46357</v>
      </c>
      <c r="F1016" s="19" t="str">
        <f>IF($D1016=1,INDEX(TblClusters[Cluster],$B1016),"")</f>
        <v>ku002i001071</v>
      </c>
      <c r="G1016" s="19" t="str">
        <f>IF($D1016=1,INDEX(TblClusters[Plateforme],$B1016),"")</f>
        <v>IKS</v>
      </c>
      <c r="H1016" s="19">
        <f>IF($D1016=1,INDEX(TblClusters[vCPU par nœud],$B1016),"")</f>
        <v>64</v>
      </c>
      <c r="I1016" s="19">
        <f>IF($D1016=1,INDEX(TblClusters[RAM par nœud (Go)],$B1016),"")</f>
        <v>512</v>
      </c>
      <c r="J1016" s="19">
        <f>IF($D1016=1,INDEX(TblClusters[Workers min],$B1016),"")</f>
        <v>3</v>
      </c>
      <c r="K1016" s="73">
        <f>IF($D1016=1,INDEX(TblClusters[Tarif par nœud],$B1016),"")</f>
        <v>2842</v>
      </c>
      <c r="L1016" s="19">
        <f>IF($D1016=1,INDEX(TblClusters[CPU initial (vCPU)],$B1016),"")</f>
        <v>384</v>
      </c>
      <c r="M1016" s="19">
        <f>IF($D1016=1,INDEX(TblClusters[RAM initiale (Go)],$B1016),"")</f>
        <v>3072</v>
      </c>
      <c r="N1016" s="19">
        <f>IF($D1016=1,INDEX(TblClusters[CPU min (vCPU)],$B1016),"")</f>
        <v>192</v>
      </c>
      <c r="O1016" s="19">
        <f>IF($D1016=1,INDEX(TblClusters[RAM min (Go)],$B1016),"")</f>
        <v>1536</v>
      </c>
      <c r="P1016" s="19">
        <f>IF($D1016&lt;&gt;1,"",IF($G1016="ROKS",SUMIFS(TblApplications[Besoin ROKS CPU (vCPU)],TblApplications[Cluster ROKS cible],$F1016,TblApplications[Action],"À migrer",TblApplications[Déjà incluse ROKS],"Non",TblApplications[Mois prov (calc)],"&lt;="&amp;$E1016),SUMIFS(TblApplications[CPU IKS libérable (vCPU)],TblApplications[Cluster IKS source],$F1016,TblApplications[Mois lib (calc)],"&lt;="&amp;$E1016)))</f>
        <v>0</v>
      </c>
      <c r="Q1016" s="19">
        <f>IF($D1016&lt;&gt;1,"",IF($G1016="ROKS",SUMIFS(TblApplications[Besoin ROKS RAM (Go)],TblApplications[Cluster ROKS cible],$F1016,TblApplications[Action],"À migrer",TblApplications[Déjà incluse ROKS],"Non",TblApplications[Mois prov (calc)],"&lt;="&amp;$E1016),SUMIFS(TblApplications[RAM IKS libérable (Go)],TblApplications[Cluster IKS source],$F1016,TblApplications[Mois lib (calc)],"&lt;="&amp;$E1016)))</f>
        <v>0</v>
      </c>
      <c r="R1016" s="19">
        <f t="shared" si="258"/>
        <v>384</v>
      </c>
      <c r="S1016" s="19">
        <f t="shared" si="259"/>
        <v>3072</v>
      </c>
      <c r="T1016" s="19">
        <f t="shared" si="260"/>
        <v>6</v>
      </c>
      <c r="U1016" s="19">
        <f t="shared" si="261"/>
        <v>384</v>
      </c>
      <c r="V1016" s="19">
        <f t="shared" si="262"/>
        <v>3072</v>
      </c>
      <c r="W1016" s="73">
        <f t="shared" si="263"/>
        <v>17052</v>
      </c>
      <c r="X1016" s="19">
        <f>IF($D1016&lt;&gt;1,"",IF($G1016="ROKS",$R1016,IF($AI1016=1,0,MAX($N1016,$L1016-SUMIFS(TblApplications[CPU IKS libérable (vCPU)],TblApplications[Cluster IKS source],$F1016,TblApplications[Action],"À migrer",TblApplications[Mois prov (calc)],"&lt;="&amp;$E1016)-SUMIFS(TblApplications[CPU IKS libérable (vCPU)],TblApplications[Cluster IKS source],$F1016,TblApplications[Action],"À décommissionner",TblApplications[Mois lib (calc)],"&lt;="&amp;$E1016)))))</f>
        <v>384</v>
      </c>
      <c r="Y1016" s="19">
        <f>IF($D1016&lt;&gt;1,"",IF($G1016="ROKS",$S1016,IF($AI1016=1,0,MAX($O1016,$M1016-SUMIFS(TblApplications[RAM IKS libérable (Go)],TblApplications[Cluster IKS source],$F1016,TblApplications[Action],"À migrer",TblApplications[Mois prov (calc)],"&lt;="&amp;$E1016)-SUMIFS(TblApplications[RAM IKS libérable (Go)],TblApplications[Cluster IKS source],$F1016,TblApplications[Action],"À décommissionner",TblApplications[Mois lib (calc)],"&lt;="&amp;$E1016)))))</f>
        <v>3072</v>
      </c>
      <c r="Z1016" s="19">
        <f t="shared" si="264"/>
        <v>6</v>
      </c>
      <c r="AA1016" s="73">
        <f t="shared" si="265"/>
        <v>17052</v>
      </c>
      <c r="AB1016" s="19">
        <f t="shared" si="266"/>
        <v>6</v>
      </c>
      <c r="AC1016" s="73">
        <f t="shared" si="267"/>
        <v>17052</v>
      </c>
      <c r="AD1016" s="19">
        <f t="shared" si="268"/>
        <v>0</v>
      </c>
      <c r="AE1016" s="19">
        <f t="shared" si="269"/>
        <v>0</v>
      </c>
      <c r="AF1016" s="19" t="str">
        <f>IF($D1016&lt;&gt;1,"",IF(INDEX(TblClusters[Environnement],$B1016)="","(vide)",INDEX(TblClusters[Environnement],$B1016)))</f>
        <v>PRD</v>
      </c>
      <c r="AG1016" s="19">
        <f t="shared" si="270"/>
        <v>691.2</v>
      </c>
      <c r="AH1016" s="19">
        <f t="shared" si="271"/>
        <v>24.670138888888886</v>
      </c>
      <c r="AI1016" s="19">
        <f>IF($D1016&lt;&gt;1,"",IF(AND($G1016="IKS",ISNUMBER(INDEX(TblClusters[Fermeture retenue],$B1016))),IF($E1016&gt;=INDEX(TblClusters[Fermeture retenue],$B1016),1,0),0))</f>
        <v>0</v>
      </c>
    </row>
    <row r="1017" spans="1:35" x14ac:dyDescent="0.2">
      <c r="A1017" s="19">
        <v>1012</v>
      </c>
      <c r="B1017" s="19">
        <f t="shared" si="255"/>
        <v>29</v>
      </c>
      <c r="C1017" s="19">
        <f t="shared" si="256"/>
        <v>4</v>
      </c>
      <c r="D1017" s="19">
        <f>IF($C1017&gt;p_horizon,0,IFERROR(IF(AND(INDEX(TblClusters[Cluster],$B1017)&lt;&gt;"",ISNUMBER(INDEX(TblClusters[CPU initial (vCPU)],$B1017)),ISNUMBER(INDEX(TblClusters[CPU min (vCPU)],$B1017)),OR(INDEX(TblClusters[Plateforme],$B1017)="IKS",INDEX(TblClusters[Plateforme],$B1017)="ROKS")),1,0),0))</f>
        <v>1</v>
      </c>
      <c r="E1017" s="72">
        <f t="shared" si="257"/>
        <v>46388</v>
      </c>
      <c r="F1017" s="19" t="str">
        <f>IF($D1017=1,INDEX(TblClusters[Cluster],$B1017),"")</f>
        <v>ku002i001071</v>
      </c>
      <c r="G1017" s="19" t="str">
        <f>IF($D1017=1,INDEX(TblClusters[Plateforme],$B1017),"")</f>
        <v>IKS</v>
      </c>
      <c r="H1017" s="19">
        <f>IF($D1017=1,INDEX(TblClusters[vCPU par nœud],$B1017),"")</f>
        <v>64</v>
      </c>
      <c r="I1017" s="19">
        <f>IF($D1017=1,INDEX(TblClusters[RAM par nœud (Go)],$B1017),"")</f>
        <v>512</v>
      </c>
      <c r="J1017" s="19">
        <f>IF($D1017=1,INDEX(TblClusters[Workers min],$B1017),"")</f>
        <v>3</v>
      </c>
      <c r="K1017" s="73">
        <f>IF($D1017=1,INDEX(TblClusters[Tarif par nœud],$B1017),"")</f>
        <v>2842</v>
      </c>
      <c r="L1017" s="19">
        <f>IF($D1017=1,INDEX(TblClusters[CPU initial (vCPU)],$B1017),"")</f>
        <v>384</v>
      </c>
      <c r="M1017" s="19">
        <f>IF($D1017=1,INDEX(TblClusters[RAM initiale (Go)],$B1017),"")</f>
        <v>3072</v>
      </c>
      <c r="N1017" s="19">
        <f>IF($D1017=1,INDEX(TblClusters[CPU min (vCPU)],$B1017),"")</f>
        <v>192</v>
      </c>
      <c r="O1017" s="19">
        <f>IF($D1017=1,INDEX(TblClusters[RAM min (Go)],$B1017),"")</f>
        <v>1536</v>
      </c>
      <c r="P1017" s="19">
        <f>IF($D1017&lt;&gt;1,"",IF($G1017="ROKS",SUMIFS(TblApplications[Besoin ROKS CPU (vCPU)],TblApplications[Cluster ROKS cible],$F1017,TblApplications[Action],"À migrer",TblApplications[Déjà incluse ROKS],"Non",TblApplications[Mois prov (calc)],"&lt;="&amp;$E1017),SUMIFS(TblApplications[CPU IKS libérable (vCPU)],TblApplications[Cluster IKS source],$F1017,TblApplications[Mois lib (calc)],"&lt;="&amp;$E1017)))</f>
        <v>0</v>
      </c>
      <c r="Q1017" s="19">
        <f>IF($D1017&lt;&gt;1,"",IF($G1017="ROKS",SUMIFS(TblApplications[Besoin ROKS RAM (Go)],TblApplications[Cluster ROKS cible],$F1017,TblApplications[Action],"À migrer",TblApplications[Déjà incluse ROKS],"Non",TblApplications[Mois prov (calc)],"&lt;="&amp;$E1017),SUMIFS(TblApplications[RAM IKS libérable (Go)],TblApplications[Cluster IKS source],$F1017,TblApplications[Mois lib (calc)],"&lt;="&amp;$E1017)))</f>
        <v>0</v>
      </c>
      <c r="R1017" s="19">
        <f t="shared" si="258"/>
        <v>384</v>
      </c>
      <c r="S1017" s="19">
        <f t="shared" si="259"/>
        <v>3072</v>
      </c>
      <c r="T1017" s="19">
        <f t="shared" si="260"/>
        <v>6</v>
      </c>
      <c r="U1017" s="19">
        <f t="shared" si="261"/>
        <v>384</v>
      </c>
      <c r="V1017" s="19">
        <f t="shared" si="262"/>
        <v>3072</v>
      </c>
      <c r="W1017" s="73">
        <f t="shared" si="263"/>
        <v>17052</v>
      </c>
      <c r="X1017" s="19">
        <f>IF($D1017&lt;&gt;1,"",IF($G1017="ROKS",$R1017,IF($AI1017=1,0,MAX($N1017,$L1017-SUMIFS(TblApplications[CPU IKS libérable (vCPU)],TblApplications[Cluster IKS source],$F1017,TblApplications[Action],"À migrer",TblApplications[Mois prov (calc)],"&lt;="&amp;$E1017)-SUMIFS(TblApplications[CPU IKS libérable (vCPU)],TblApplications[Cluster IKS source],$F1017,TblApplications[Action],"À décommissionner",TblApplications[Mois lib (calc)],"&lt;="&amp;$E1017)))))</f>
        <v>384</v>
      </c>
      <c r="Y1017" s="19">
        <f>IF($D1017&lt;&gt;1,"",IF($G1017="ROKS",$S1017,IF($AI1017=1,0,MAX($O1017,$M1017-SUMIFS(TblApplications[RAM IKS libérable (Go)],TblApplications[Cluster IKS source],$F1017,TblApplications[Action],"À migrer",TblApplications[Mois prov (calc)],"&lt;="&amp;$E1017)-SUMIFS(TblApplications[RAM IKS libérable (Go)],TblApplications[Cluster IKS source],$F1017,TblApplications[Action],"À décommissionner",TblApplications[Mois lib (calc)],"&lt;="&amp;$E1017)))))</f>
        <v>3072</v>
      </c>
      <c r="Z1017" s="19">
        <f t="shared" si="264"/>
        <v>6</v>
      </c>
      <c r="AA1017" s="73">
        <f t="shared" si="265"/>
        <v>17052</v>
      </c>
      <c r="AB1017" s="19">
        <f t="shared" si="266"/>
        <v>6</v>
      </c>
      <c r="AC1017" s="73">
        <f t="shared" si="267"/>
        <v>17052</v>
      </c>
      <c r="AD1017" s="19">
        <f t="shared" si="268"/>
        <v>0</v>
      </c>
      <c r="AE1017" s="19">
        <f t="shared" si="269"/>
        <v>0</v>
      </c>
      <c r="AF1017" s="19" t="str">
        <f>IF($D1017&lt;&gt;1,"",IF(INDEX(TblClusters[Environnement],$B1017)="","(vide)",INDEX(TblClusters[Environnement],$B1017)))</f>
        <v>PRD</v>
      </c>
      <c r="AG1017" s="19">
        <f t="shared" si="270"/>
        <v>691.2</v>
      </c>
      <c r="AH1017" s="19">
        <f t="shared" si="271"/>
        <v>24.670138888888886</v>
      </c>
      <c r="AI1017" s="19">
        <f>IF($D1017&lt;&gt;1,"",IF(AND($G1017="IKS",ISNUMBER(INDEX(TblClusters[Fermeture retenue],$B1017))),IF($E1017&gt;=INDEX(TblClusters[Fermeture retenue],$B1017),1,0),0))</f>
        <v>0</v>
      </c>
    </row>
    <row r="1018" spans="1:35" x14ac:dyDescent="0.2">
      <c r="A1018" s="19">
        <v>1013</v>
      </c>
      <c r="B1018" s="19">
        <f t="shared" si="255"/>
        <v>29</v>
      </c>
      <c r="C1018" s="19">
        <f t="shared" si="256"/>
        <v>5</v>
      </c>
      <c r="D1018" s="19">
        <f>IF($C1018&gt;p_horizon,0,IFERROR(IF(AND(INDEX(TblClusters[Cluster],$B1018)&lt;&gt;"",ISNUMBER(INDEX(TblClusters[CPU initial (vCPU)],$B1018)),ISNUMBER(INDEX(TblClusters[CPU min (vCPU)],$B1018)),OR(INDEX(TblClusters[Plateforme],$B1018)="IKS",INDEX(TblClusters[Plateforme],$B1018)="ROKS")),1,0),0))</f>
        <v>1</v>
      </c>
      <c r="E1018" s="72">
        <f t="shared" si="257"/>
        <v>46419</v>
      </c>
      <c r="F1018" s="19" t="str">
        <f>IF($D1018=1,INDEX(TblClusters[Cluster],$B1018),"")</f>
        <v>ku002i001071</v>
      </c>
      <c r="G1018" s="19" t="str">
        <f>IF($D1018=1,INDEX(TblClusters[Plateforme],$B1018),"")</f>
        <v>IKS</v>
      </c>
      <c r="H1018" s="19">
        <f>IF($D1018=1,INDEX(TblClusters[vCPU par nœud],$B1018),"")</f>
        <v>64</v>
      </c>
      <c r="I1018" s="19">
        <f>IF($D1018=1,INDEX(TblClusters[RAM par nœud (Go)],$B1018),"")</f>
        <v>512</v>
      </c>
      <c r="J1018" s="19">
        <f>IF($D1018=1,INDEX(TblClusters[Workers min],$B1018),"")</f>
        <v>3</v>
      </c>
      <c r="K1018" s="73">
        <f>IF($D1018=1,INDEX(TblClusters[Tarif par nœud],$B1018),"")</f>
        <v>2842</v>
      </c>
      <c r="L1018" s="19">
        <f>IF($D1018=1,INDEX(TblClusters[CPU initial (vCPU)],$B1018),"")</f>
        <v>384</v>
      </c>
      <c r="M1018" s="19">
        <f>IF($D1018=1,INDEX(TblClusters[RAM initiale (Go)],$B1018),"")</f>
        <v>3072</v>
      </c>
      <c r="N1018" s="19">
        <f>IF($D1018=1,INDEX(TblClusters[CPU min (vCPU)],$B1018),"")</f>
        <v>192</v>
      </c>
      <c r="O1018" s="19">
        <f>IF($D1018=1,INDEX(TblClusters[RAM min (Go)],$B1018),"")</f>
        <v>1536</v>
      </c>
      <c r="P1018" s="19">
        <f>IF($D1018&lt;&gt;1,"",IF($G1018="ROKS",SUMIFS(TblApplications[Besoin ROKS CPU (vCPU)],TblApplications[Cluster ROKS cible],$F1018,TblApplications[Action],"À migrer",TblApplications[Déjà incluse ROKS],"Non",TblApplications[Mois prov (calc)],"&lt;="&amp;$E1018),SUMIFS(TblApplications[CPU IKS libérable (vCPU)],TblApplications[Cluster IKS source],$F1018,TblApplications[Mois lib (calc)],"&lt;="&amp;$E1018)))</f>
        <v>0</v>
      </c>
      <c r="Q1018" s="19">
        <f>IF($D1018&lt;&gt;1,"",IF($G1018="ROKS",SUMIFS(TblApplications[Besoin ROKS RAM (Go)],TblApplications[Cluster ROKS cible],$F1018,TblApplications[Action],"À migrer",TblApplications[Déjà incluse ROKS],"Non",TblApplications[Mois prov (calc)],"&lt;="&amp;$E1018),SUMIFS(TblApplications[RAM IKS libérable (Go)],TblApplications[Cluster IKS source],$F1018,TblApplications[Mois lib (calc)],"&lt;="&amp;$E1018)))</f>
        <v>0</v>
      </c>
      <c r="R1018" s="19">
        <f t="shared" si="258"/>
        <v>384</v>
      </c>
      <c r="S1018" s="19">
        <f t="shared" si="259"/>
        <v>3072</v>
      </c>
      <c r="T1018" s="19">
        <f t="shared" si="260"/>
        <v>6</v>
      </c>
      <c r="U1018" s="19">
        <f t="shared" si="261"/>
        <v>384</v>
      </c>
      <c r="V1018" s="19">
        <f t="shared" si="262"/>
        <v>3072</v>
      </c>
      <c r="W1018" s="73">
        <f t="shared" si="263"/>
        <v>17052</v>
      </c>
      <c r="X1018" s="19">
        <f>IF($D1018&lt;&gt;1,"",IF($G1018="ROKS",$R1018,IF($AI1018=1,0,MAX($N1018,$L1018-SUMIFS(TblApplications[CPU IKS libérable (vCPU)],TblApplications[Cluster IKS source],$F1018,TblApplications[Action],"À migrer",TblApplications[Mois prov (calc)],"&lt;="&amp;$E1018)-SUMIFS(TblApplications[CPU IKS libérable (vCPU)],TblApplications[Cluster IKS source],$F1018,TblApplications[Action],"À décommissionner",TblApplications[Mois lib (calc)],"&lt;="&amp;$E1018)))))</f>
        <v>384</v>
      </c>
      <c r="Y1018" s="19">
        <f>IF($D1018&lt;&gt;1,"",IF($G1018="ROKS",$S1018,IF($AI1018=1,0,MAX($O1018,$M1018-SUMIFS(TblApplications[RAM IKS libérable (Go)],TblApplications[Cluster IKS source],$F1018,TblApplications[Action],"À migrer",TblApplications[Mois prov (calc)],"&lt;="&amp;$E1018)-SUMIFS(TblApplications[RAM IKS libérable (Go)],TblApplications[Cluster IKS source],$F1018,TblApplications[Action],"À décommissionner",TblApplications[Mois lib (calc)],"&lt;="&amp;$E1018)))))</f>
        <v>3072</v>
      </c>
      <c r="Z1018" s="19">
        <f t="shared" si="264"/>
        <v>6</v>
      </c>
      <c r="AA1018" s="73">
        <f t="shared" si="265"/>
        <v>17052</v>
      </c>
      <c r="AB1018" s="19">
        <f t="shared" si="266"/>
        <v>6</v>
      </c>
      <c r="AC1018" s="73">
        <f t="shared" si="267"/>
        <v>17052</v>
      </c>
      <c r="AD1018" s="19">
        <f t="shared" si="268"/>
        <v>0</v>
      </c>
      <c r="AE1018" s="19">
        <f t="shared" si="269"/>
        <v>0</v>
      </c>
      <c r="AF1018" s="19" t="str">
        <f>IF($D1018&lt;&gt;1,"",IF(INDEX(TblClusters[Environnement],$B1018)="","(vide)",INDEX(TblClusters[Environnement],$B1018)))</f>
        <v>PRD</v>
      </c>
      <c r="AG1018" s="19">
        <f t="shared" si="270"/>
        <v>691.2</v>
      </c>
      <c r="AH1018" s="19">
        <f t="shared" si="271"/>
        <v>24.670138888888886</v>
      </c>
      <c r="AI1018" s="19">
        <f>IF($D1018&lt;&gt;1,"",IF(AND($G1018="IKS",ISNUMBER(INDEX(TblClusters[Fermeture retenue],$B1018))),IF($E1018&gt;=INDEX(TblClusters[Fermeture retenue],$B1018),1,0),0))</f>
        <v>0</v>
      </c>
    </row>
    <row r="1019" spans="1:35" x14ac:dyDescent="0.2">
      <c r="A1019" s="19">
        <v>1014</v>
      </c>
      <c r="B1019" s="19">
        <f t="shared" si="255"/>
        <v>29</v>
      </c>
      <c r="C1019" s="19">
        <f t="shared" si="256"/>
        <v>6</v>
      </c>
      <c r="D1019" s="19">
        <f>IF($C1019&gt;p_horizon,0,IFERROR(IF(AND(INDEX(TblClusters[Cluster],$B1019)&lt;&gt;"",ISNUMBER(INDEX(TblClusters[CPU initial (vCPU)],$B1019)),ISNUMBER(INDEX(TblClusters[CPU min (vCPU)],$B1019)),OR(INDEX(TblClusters[Plateforme],$B1019)="IKS",INDEX(TblClusters[Plateforme],$B1019)="ROKS")),1,0),0))</f>
        <v>1</v>
      </c>
      <c r="E1019" s="72">
        <f t="shared" si="257"/>
        <v>46447</v>
      </c>
      <c r="F1019" s="19" t="str">
        <f>IF($D1019=1,INDEX(TblClusters[Cluster],$B1019),"")</f>
        <v>ku002i001071</v>
      </c>
      <c r="G1019" s="19" t="str">
        <f>IF($D1019=1,INDEX(TblClusters[Plateforme],$B1019),"")</f>
        <v>IKS</v>
      </c>
      <c r="H1019" s="19">
        <f>IF($D1019=1,INDEX(TblClusters[vCPU par nœud],$B1019),"")</f>
        <v>64</v>
      </c>
      <c r="I1019" s="19">
        <f>IF($D1019=1,INDEX(TblClusters[RAM par nœud (Go)],$B1019),"")</f>
        <v>512</v>
      </c>
      <c r="J1019" s="19">
        <f>IF($D1019=1,INDEX(TblClusters[Workers min],$B1019),"")</f>
        <v>3</v>
      </c>
      <c r="K1019" s="73">
        <f>IF($D1019=1,INDEX(TblClusters[Tarif par nœud],$B1019),"")</f>
        <v>2842</v>
      </c>
      <c r="L1019" s="19">
        <f>IF($D1019=1,INDEX(TblClusters[CPU initial (vCPU)],$B1019),"")</f>
        <v>384</v>
      </c>
      <c r="M1019" s="19">
        <f>IF($D1019=1,INDEX(TblClusters[RAM initiale (Go)],$B1019),"")</f>
        <v>3072</v>
      </c>
      <c r="N1019" s="19">
        <f>IF($D1019=1,INDEX(TblClusters[CPU min (vCPU)],$B1019),"")</f>
        <v>192</v>
      </c>
      <c r="O1019" s="19">
        <f>IF($D1019=1,INDEX(TblClusters[RAM min (Go)],$B1019),"")</f>
        <v>1536</v>
      </c>
      <c r="P1019" s="19">
        <f>IF($D1019&lt;&gt;1,"",IF($G1019="ROKS",SUMIFS(TblApplications[Besoin ROKS CPU (vCPU)],TblApplications[Cluster ROKS cible],$F1019,TblApplications[Action],"À migrer",TblApplications[Déjà incluse ROKS],"Non",TblApplications[Mois prov (calc)],"&lt;="&amp;$E1019),SUMIFS(TblApplications[CPU IKS libérable (vCPU)],TblApplications[Cluster IKS source],$F1019,TblApplications[Mois lib (calc)],"&lt;="&amp;$E1019)))</f>
        <v>0</v>
      </c>
      <c r="Q1019" s="19">
        <f>IF($D1019&lt;&gt;1,"",IF($G1019="ROKS",SUMIFS(TblApplications[Besoin ROKS RAM (Go)],TblApplications[Cluster ROKS cible],$F1019,TblApplications[Action],"À migrer",TblApplications[Déjà incluse ROKS],"Non",TblApplications[Mois prov (calc)],"&lt;="&amp;$E1019),SUMIFS(TblApplications[RAM IKS libérable (Go)],TblApplications[Cluster IKS source],$F1019,TblApplications[Mois lib (calc)],"&lt;="&amp;$E1019)))</f>
        <v>0</v>
      </c>
      <c r="R1019" s="19">
        <f t="shared" si="258"/>
        <v>384</v>
      </c>
      <c r="S1019" s="19">
        <f t="shared" si="259"/>
        <v>3072</v>
      </c>
      <c r="T1019" s="19">
        <f t="shared" si="260"/>
        <v>6</v>
      </c>
      <c r="U1019" s="19">
        <f t="shared" si="261"/>
        <v>384</v>
      </c>
      <c r="V1019" s="19">
        <f t="shared" si="262"/>
        <v>3072</v>
      </c>
      <c r="W1019" s="73">
        <f t="shared" si="263"/>
        <v>17052</v>
      </c>
      <c r="X1019" s="19">
        <f>IF($D1019&lt;&gt;1,"",IF($G1019="ROKS",$R1019,IF($AI1019=1,0,MAX($N1019,$L1019-SUMIFS(TblApplications[CPU IKS libérable (vCPU)],TblApplications[Cluster IKS source],$F1019,TblApplications[Action],"À migrer",TblApplications[Mois prov (calc)],"&lt;="&amp;$E1019)-SUMIFS(TblApplications[CPU IKS libérable (vCPU)],TblApplications[Cluster IKS source],$F1019,TblApplications[Action],"À décommissionner",TblApplications[Mois lib (calc)],"&lt;="&amp;$E1019)))))</f>
        <v>384</v>
      </c>
      <c r="Y1019" s="19">
        <f>IF($D1019&lt;&gt;1,"",IF($G1019="ROKS",$S1019,IF($AI1019=1,0,MAX($O1019,$M1019-SUMIFS(TblApplications[RAM IKS libérable (Go)],TblApplications[Cluster IKS source],$F1019,TblApplications[Action],"À migrer",TblApplications[Mois prov (calc)],"&lt;="&amp;$E1019)-SUMIFS(TblApplications[RAM IKS libérable (Go)],TblApplications[Cluster IKS source],$F1019,TblApplications[Action],"À décommissionner",TblApplications[Mois lib (calc)],"&lt;="&amp;$E1019)))))</f>
        <v>3072</v>
      </c>
      <c r="Z1019" s="19">
        <f t="shared" si="264"/>
        <v>6</v>
      </c>
      <c r="AA1019" s="73">
        <f t="shared" si="265"/>
        <v>17052</v>
      </c>
      <c r="AB1019" s="19">
        <f t="shared" si="266"/>
        <v>6</v>
      </c>
      <c r="AC1019" s="73">
        <f t="shared" si="267"/>
        <v>17052</v>
      </c>
      <c r="AD1019" s="19">
        <f t="shared" si="268"/>
        <v>0</v>
      </c>
      <c r="AE1019" s="19">
        <f t="shared" si="269"/>
        <v>0</v>
      </c>
      <c r="AF1019" s="19" t="str">
        <f>IF($D1019&lt;&gt;1,"",IF(INDEX(TblClusters[Environnement],$B1019)="","(vide)",INDEX(TblClusters[Environnement],$B1019)))</f>
        <v>PRD</v>
      </c>
      <c r="AG1019" s="19">
        <f t="shared" si="270"/>
        <v>691.2</v>
      </c>
      <c r="AH1019" s="19">
        <f t="shared" si="271"/>
        <v>24.670138888888886</v>
      </c>
      <c r="AI1019" s="19">
        <f>IF($D1019&lt;&gt;1,"",IF(AND($G1019="IKS",ISNUMBER(INDEX(TblClusters[Fermeture retenue],$B1019))),IF($E1019&gt;=INDEX(TblClusters[Fermeture retenue],$B1019),1,0),0))</f>
        <v>0</v>
      </c>
    </row>
    <row r="1020" spans="1:35" x14ac:dyDescent="0.2">
      <c r="A1020" s="19">
        <v>1015</v>
      </c>
      <c r="B1020" s="19">
        <f t="shared" si="255"/>
        <v>29</v>
      </c>
      <c r="C1020" s="19">
        <f t="shared" si="256"/>
        <v>7</v>
      </c>
      <c r="D1020" s="19">
        <f>IF($C1020&gt;p_horizon,0,IFERROR(IF(AND(INDEX(TblClusters[Cluster],$B1020)&lt;&gt;"",ISNUMBER(INDEX(TblClusters[CPU initial (vCPU)],$B1020)),ISNUMBER(INDEX(TblClusters[CPU min (vCPU)],$B1020)),OR(INDEX(TblClusters[Plateforme],$B1020)="IKS",INDEX(TblClusters[Plateforme],$B1020)="ROKS")),1,0),0))</f>
        <v>1</v>
      </c>
      <c r="E1020" s="72">
        <f t="shared" si="257"/>
        <v>46478</v>
      </c>
      <c r="F1020" s="19" t="str">
        <f>IF($D1020=1,INDEX(TblClusters[Cluster],$B1020),"")</f>
        <v>ku002i001071</v>
      </c>
      <c r="G1020" s="19" t="str">
        <f>IF($D1020=1,INDEX(TblClusters[Plateforme],$B1020),"")</f>
        <v>IKS</v>
      </c>
      <c r="H1020" s="19">
        <f>IF($D1020=1,INDEX(TblClusters[vCPU par nœud],$B1020),"")</f>
        <v>64</v>
      </c>
      <c r="I1020" s="19">
        <f>IF($D1020=1,INDEX(TblClusters[RAM par nœud (Go)],$B1020),"")</f>
        <v>512</v>
      </c>
      <c r="J1020" s="19">
        <f>IF($D1020=1,INDEX(TblClusters[Workers min],$B1020),"")</f>
        <v>3</v>
      </c>
      <c r="K1020" s="73">
        <f>IF($D1020=1,INDEX(TblClusters[Tarif par nœud],$B1020),"")</f>
        <v>2842</v>
      </c>
      <c r="L1020" s="19">
        <f>IF($D1020=1,INDEX(TblClusters[CPU initial (vCPU)],$B1020),"")</f>
        <v>384</v>
      </c>
      <c r="M1020" s="19">
        <f>IF($D1020=1,INDEX(TblClusters[RAM initiale (Go)],$B1020),"")</f>
        <v>3072</v>
      </c>
      <c r="N1020" s="19">
        <f>IF($D1020=1,INDEX(TblClusters[CPU min (vCPU)],$B1020),"")</f>
        <v>192</v>
      </c>
      <c r="O1020" s="19">
        <f>IF($D1020=1,INDEX(TblClusters[RAM min (Go)],$B1020),"")</f>
        <v>1536</v>
      </c>
      <c r="P1020" s="19">
        <f>IF($D1020&lt;&gt;1,"",IF($G1020="ROKS",SUMIFS(TblApplications[Besoin ROKS CPU (vCPU)],TblApplications[Cluster ROKS cible],$F1020,TblApplications[Action],"À migrer",TblApplications[Déjà incluse ROKS],"Non",TblApplications[Mois prov (calc)],"&lt;="&amp;$E1020),SUMIFS(TblApplications[CPU IKS libérable (vCPU)],TblApplications[Cluster IKS source],$F1020,TblApplications[Mois lib (calc)],"&lt;="&amp;$E1020)))</f>
        <v>0</v>
      </c>
      <c r="Q1020" s="19">
        <f>IF($D1020&lt;&gt;1,"",IF($G1020="ROKS",SUMIFS(TblApplications[Besoin ROKS RAM (Go)],TblApplications[Cluster ROKS cible],$F1020,TblApplications[Action],"À migrer",TblApplications[Déjà incluse ROKS],"Non",TblApplications[Mois prov (calc)],"&lt;="&amp;$E1020),SUMIFS(TblApplications[RAM IKS libérable (Go)],TblApplications[Cluster IKS source],$F1020,TblApplications[Mois lib (calc)],"&lt;="&amp;$E1020)))</f>
        <v>0</v>
      </c>
      <c r="R1020" s="19">
        <f t="shared" si="258"/>
        <v>384</v>
      </c>
      <c r="S1020" s="19">
        <f t="shared" si="259"/>
        <v>3072</v>
      </c>
      <c r="T1020" s="19">
        <f t="shared" si="260"/>
        <v>6</v>
      </c>
      <c r="U1020" s="19">
        <f t="shared" si="261"/>
        <v>384</v>
      </c>
      <c r="V1020" s="19">
        <f t="shared" si="262"/>
        <v>3072</v>
      </c>
      <c r="W1020" s="73">
        <f t="shared" si="263"/>
        <v>17052</v>
      </c>
      <c r="X1020" s="19">
        <f>IF($D1020&lt;&gt;1,"",IF($G1020="ROKS",$R1020,IF($AI1020=1,0,MAX($N1020,$L1020-SUMIFS(TblApplications[CPU IKS libérable (vCPU)],TblApplications[Cluster IKS source],$F1020,TblApplications[Action],"À migrer",TblApplications[Mois prov (calc)],"&lt;="&amp;$E1020)-SUMIFS(TblApplications[CPU IKS libérable (vCPU)],TblApplications[Cluster IKS source],$F1020,TblApplications[Action],"À décommissionner",TblApplications[Mois lib (calc)],"&lt;="&amp;$E1020)))))</f>
        <v>384</v>
      </c>
      <c r="Y1020" s="19">
        <f>IF($D1020&lt;&gt;1,"",IF($G1020="ROKS",$S1020,IF($AI1020=1,0,MAX($O1020,$M1020-SUMIFS(TblApplications[RAM IKS libérable (Go)],TblApplications[Cluster IKS source],$F1020,TblApplications[Action],"À migrer",TblApplications[Mois prov (calc)],"&lt;="&amp;$E1020)-SUMIFS(TblApplications[RAM IKS libérable (Go)],TblApplications[Cluster IKS source],$F1020,TblApplications[Action],"À décommissionner",TblApplications[Mois lib (calc)],"&lt;="&amp;$E1020)))))</f>
        <v>3072</v>
      </c>
      <c r="Z1020" s="19">
        <f t="shared" si="264"/>
        <v>6</v>
      </c>
      <c r="AA1020" s="73">
        <f t="shared" si="265"/>
        <v>17052</v>
      </c>
      <c r="AB1020" s="19">
        <f t="shared" si="266"/>
        <v>6</v>
      </c>
      <c r="AC1020" s="73">
        <f t="shared" si="267"/>
        <v>17052</v>
      </c>
      <c r="AD1020" s="19">
        <f t="shared" si="268"/>
        <v>0</v>
      </c>
      <c r="AE1020" s="19">
        <f t="shared" si="269"/>
        <v>0</v>
      </c>
      <c r="AF1020" s="19" t="str">
        <f>IF($D1020&lt;&gt;1,"",IF(INDEX(TblClusters[Environnement],$B1020)="","(vide)",INDEX(TblClusters[Environnement],$B1020)))</f>
        <v>PRD</v>
      </c>
      <c r="AG1020" s="19">
        <f t="shared" si="270"/>
        <v>691.2</v>
      </c>
      <c r="AH1020" s="19">
        <f t="shared" si="271"/>
        <v>24.670138888888886</v>
      </c>
      <c r="AI1020" s="19">
        <f>IF($D1020&lt;&gt;1,"",IF(AND($G1020="IKS",ISNUMBER(INDEX(TblClusters[Fermeture retenue],$B1020))),IF($E1020&gt;=INDEX(TblClusters[Fermeture retenue],$B1020),1,0),0))</f>
        <v>0</v>
      </c>
    </row>
    <row r="1021" spans="1:35" x14ac:dyDescent="0.2">
      <c r="A1021" s="19">
        <v>1016</v>
      </c>
      <c r="B1021" s="19">
        <f t="shared" si="255"/>
        <v>29</v>
      </c>
      <c r="C1021" s="19">
        <f t="shared" si="256"/>
        <v>8</v>
      </c>
      <c r="D1021" s="19">
        <f>IF($C1021&gt;p_horizon,0,IFERROR(IF(AND(INDEX(TblClusters[Cluster],$B1021)&lt;&gt;"",ISNUMBER(INDEX(TblClusters[CPU initial (vCPU)],$B1021)),ISNUMBER(INDEX(TblClusters[CPU min (vCPU)],$B1021)),OR(INDEX(TblClusters[Plateforme],$B1021)="IKS",INDEX(TblClusters[Plateforme],$B1021)="ROKS")),1,0),0))</f>
        <v>1</v>
      </c>
      <c r="E1021" s="72">
        <f t="shared" si="257"/>
        <v>46508</v>
      </c>
      <c r="F1021" s="19" t="str">
        <f>IF($D1021=1,INDEX(TblClusters[Cluster],$B1021),"")</f>
        <v>ku002i001071</v>
      </c>
      <c r="G1021" s="19" t="str">
        <f>IF($D1021=1,INDEX(TblClusters[Plateforme],$B1021),"")</f>
        <v>IKS</v>
      </c>
      <c r="H1021" s="19">
        <f>IF($D1021=1,INDEX(TblClusters[vCPU par nœud],$B1021),"")</f>
        <v>64</v>
      </c>
      <c r="I1021" s="19">
        <f>IF($D1021=1,INDEX(TblClusters[RAM par nœud (Go)],$B1021),"")</f>
        <v>512</v>
      </c>
      <c r="J1021" s="19">
        <f>IF($D1021=1,INDEX(TblClusters[Workers min],$B1021),"")</f>
        <v>3</v>
      </c>
      <c r="K1021" s="73">
        <f>IF($D1021=1,INDEX(TblClusters[Tarif par nœud],$B1021),"")</f>
        <v>2842</v>
      </c>
      <c r="L1021" s="19">
        <f>IF($D1021=1,INDEX(TblClusters[CPU initial (vCPU)],$B1021),"")</f>
        <v>384</v>
      </c>
      <c r="M1021" s="19">
        <f>IF($D1021=1,INDEX(TblClusters[RAM initiale (Go)],$B1021),"")</f>
        <v>3072</v>
      </c>
      <c r="N1021" s="19">
        <f>IF($D1021=1,INDEX(TblClusters[CPU min (vCPU)],$B1021),"")</f>
        <v>192</v>
      </c>
      <c r="O1021" s="19">
        <f>IF($D1021=1,INDEX(TblClusters[RAM min (Go)],$B1021),"")</f>
        <v>1536</v>
      </c>
      <c r="P1021" s="19">
        <f>IF($D1021&lt;&gt;1,"",IF($G1021="ROKS",SUMIFS(TblApplications[Besoin ROKS CPU (vCPU)],TblApplications[Cluster ROKS cible],$F1021,TblApplications[Action],"À migrer",TblApplications[Déjà incluse ROKS],"Non",TblApplications[Mois prov (calc)],"&lt;="&amp;$E1021),SUMIFS(TblApplications[CPU IKS libérable (vCPU)],TblApplications[Cluster IKS source],$F1021,TblApplications[Mois lib (calc)],"&lt;="&amp;$E1021)))</f>
        <v>0</v>
      </c>
      <c r="Q1021" s="19">
        <f>IF($D1021&lt;&gt;1,"",IF($G1021="ROKS",SUMIFS(TblApplications[Besoin ROKS RAM (Go)],TblApplications[Cluster ROKS cible],$F1021,TblApplications[Action],"À migrer",TblApplications[Déjà incluse ROKS],"Non",TblApplications[Mois prov (calc)],"&lt;="&amp;$E1021),SUMIFS(TblApplications[RAM IKS libérable (Go)],TblApplications[Cluster IKS source],$F1021,TblApplications[Mois lib (calc)],"&lt;="&amp;$E1021)))</f>
        <v>0</v>
      </c>
      <c r="R1021" s="19">
        <f t="shared" si="258"/>
        <v>384</v>
      </c>
      <c r="S1021" s="19">
        <f t="shared" si="259"/>
        <v>3072</v>
      </c>
      <c r="T1021" s="19">
        <f t="shared" si="260"/>
        <v>6</v>
      </c>
      <c r="U1021" s="19">
        <f t="shared" si="261"/>
        <v>384</v>
      </c>
      <c r="V1021" s="19">
        <f t="shared" si="262"/>
        <v>3072</v>
      </c>
      <c r="W1021" s="73">
        <f t="shared" si="263"/>
        <v>17052</v>
      </c>
      <c r="X1021" s="19">
        <f>IF($D1021&lt;&gt;1,"",IF($G1021="ROKS",$R1021,IF($AI1021=1,0,MAX($N1021,$L1021-SUMIFS(TblApplications[CPU IKS libérable (vCPU)],TblApplications[Cluster IKS source],$F1021,TblApplications[Action],"À migrer",TblApplications[Mois prov (calc)],"&lt;="&amp;$E1021)-SUMIFS(TblApplications[CPU IKS libérable (vCPU)],TblApplications[Cluster IKS source],$F1021,TblApplications[Action],"À décommissionner",TblApplications[Mois lib (calc)],"&lt;="&amp;$E1021)))))</f>
        <v>384</v>
      </c>
      <c r="Y1021" s="19">
        <f>IF($D1021&lt;&gt;1,"",IF($G1021="ROKS",$S1021,IF($AI1021=1,0,MAX($O1021,$M1021-SUMIFS(TblApplications[RAM IKS libérable (Go)],TblApplications[Cluster IKS source],$F1021,TblApplications[Action],"À migrer",TblApplications[Mois prov (calc)],"&lt;="&amp;$E1021)-SUMIFS(TblApplications[RAM IKS libérable (Go)],TblApplications[Cluster IKS source],$F1021,TblApplications[Action],"À décommissionner",TblApplications[Mois lib (calc)],"&lt;="&amp;$E1021)))))</f>
        <v>3072</v>
      </c>
      <c r="Z1021" s="19">
        <f t="shared" si="264"/>
        <v>6</v>
      </c>
      <c r="AA1021" s="73">
        <f t="shared" si="265"/>
        <v>17052</v>
      </c>
      <c r="AB1021" s="19">
        <f t="shared" si="266"/>
        <v>6</v>
      </c>
      <c r="AC1021" s="73">
        <f t="shared" si="267"/>
        <v>17052</v>
      </c>
      <c r="AD1021" s="19">
        <f t="shared" si="268"/>
        <v>0</v>
      </c>
      <c r="AE1021" s="19">
        <f t="shared" si="269"/>
        <v>0</v>
      </c>
      <c r="AF1021" s="19" t="str">
        <f>IF($D1021&lt;&gt;1,"",IF(INDEX(TblClusters[Environnement],$B1021)="","(vide)",INDEX(TblClusters[Environnement],$B1021)))</f>
        <v>PRD</v>
      </c>
      <c r="AG1021" s="19">
        <f t="shared" si="270"/>
        <v>691.2</v>
      </c>
      <c r="AH1021" s="19">
        <f t="shared" si="271"/>
        <v>24.670138888888886</v>
      </c>
      <c r="AI1021" s="19">
        <f>IF($D1021&lt;&gt;1,"",IF(AND($G1021="IKS",ISNUMBER(INDEX(TblClusters[Fermeture retenue],$B1021))),IF($E1021&gt;=INDEX(TblClusters[Fermeture retenue],$B1021),1,0),0))</f>
        <v>0</v>
      </c>
    </row>
    <row r="1022" spans="1:35" x14ac:dyDescent="0.2">
      <c r="A1022" s="19">
        <v>1017</v>
      </c>
      <c r="B1022" s="19">
        <f t="shared" si="255"/>
        <v>29</v>
      </c>
      <c r="C1022" s="19">
        <f t="shared" si="256"/>
        <v>9</v>
      </c>
      <c r="D1022" s="19">
        <f>IF($C1022&gt;p_horizon,0,IFERROR(IF(AND(INDEX(TblClusters[Cluster],$B1022)&lt;&gt;"",ISNUMBER(INDEX(TblClusters[CPU initial (vCPU)],$B1022)),ISNUMBER(INDEX(TblClusters[CPU min (vCPU)],$B1022)),OR(INDEX(TblClusters[Plateforme],$B1022)="IKS",INDEX(TblClusters[Plateforme],$B1022)="ROKS")),1,0),0))</f>
        <v>1</v>
      </c>
      <c r="E1022" s="72">
        <f t="shared" si="257"/>
        <v>46539</v>
      </c>
      <c r="F1022" s="19" t="str">
        <f>IF($D1022=1,INDEX(TblClusters[Cluster],$B1022),"")</f>
        <v>ku002i001071</v>
      </c>
      <c r="G1022" s="19" t="str">
        <f>IF($D1022=1,INDEX(TblClusters[Plateforme],$B1022),"")</f>
        <v>IKS</v>
      </c>
      <c r="H1022" s="19">
        <f>IF($D1022=1,INDEX(TblClusters[vCPU par nœud],$B1022),"")</f>
        <v>64</v>
      </c>
      <c r="I1022" s="19">
        <f>IF($D1022=1,INDEX(TblClusters[RAM par nœud (Go)],$B1022),"")</f>
        <v>512</v>
      </c>
      <c r="J1022" s="19">
        <f>IF($D1022=1,INDEX(TblClusters[Workers min],$B1022),"")</f>
        <v>3</v>
      </c>
      <c r="K1022" s="73">
        <f>IF($D1022=1,INDEX(TblClusters[Tarif par nœud],$B1022),"")</f>
        <v>2842</v>
      </c>
      <c r="L1022" s="19">
        <f>IF($D1022=1,INDEX(TblClusters[CPU initial (vCPU)],$B1022),"")</f>
        <v>384</v>
      </c>
      <c r="M1022" s="19">
        <f>IF($D1022=1,INDEX(TblClusters[RAM initiale (Go)],$B1022),"")</f>
        <v>3072</v>
      </c>
      <c r="N1022" s="19">
        <f>IF($D1022=1,INDEX(TblClusters[CPU min (vCPU)],$B1022),"")</f>
        <v>192</v>
      </c>
      <c r="O1022" s="19">
        <f>IF($D1022=1,INDEX(TblClusters[RAM min (Go)],$B1022),"")</f>
        <v>1536</v>
      </c>
      <c r="P1022" s="19">
        <f>IF($D1022&lt;&gt;1,"",IF($G1022="ROKS",SUMIFS(TblApplications[Besoin ROKS CPU (vCPU)],TblApplications[Cluster ROKS cible],$F1022,TblApplications[Action],"À migrer",TblApplications[Déjà incluse ROKS],"Non",TblApplications[Mois prov (calc)],"&lt;="&amp;$E1022),SUMIFS(TblApplications[CPU IKS libérable (vCPU)],TblApplications[Cluster IKS source],$F1022,TblApplications[Mois lib (calc)],"&lt;="&amp;$E1022)))</f>
        <v>0</v>
      </c>
      <c r="Q1022" s="19">
        <f>IF($D1022&lt;&gt;1,"",IF($G1022="ROKS",SUMIFS(TblApplications[Besoin ROKS RAM (Go)],TblApplications[Cluster ROKS cible],$F1022,TblApplications[Action],"À migrer",TblApplications[Déjà incluse ROKS],"Non",TblApplications[Mois prov (calc)],"&lt;="&amp;$E1022),SUMIFS(TblApplications[RAM IKS libérable (Go)],TblApplications[Cluster IKS source],$F1022,TblApplications[Mois lib (calc)],"&lt;="&amp;$E1022)))</f>
        <v>0</v>
      </c>
      <c r="R1022" s="19">
        <f t="shared" si="258"/>
        <v>384</v>
      </c>
      <c r="S1022" s="19">
        <f t="shared" si="259"/>
        <v>3072</v>
      </c>
      <c r="T1022" s="19">
        <f t="shared" si="260"/>
        <v>6</v>
      </c>
      <c r="U1022" s="19">
        <f t="shared" si="261"/>
        <v>384</v>
      </c>
      <c r="V1022" s="19">
        <f t="shared" si="262"/>
        <v>3072</v>
      </c>
      <c r="W1022" s="73">
        <f t="shared" si="263"/>
        <v>17052</v>
      </c>
      <c r="X1022" s="19">
        <f>IF($D1022&lt;&gt;1,"",IF($G1022="ROKS",$R1022,IF($AI1022=1,0,MAX($N1022,$L1022-SUMIFS(TblApplications[CPU IKS libérable (vCPU)],TblApplications[Cluster IKS source],$F1022,TblApplications[Action],"À migrer",TblApplications[Mois prov (calc)],"&lt;="&amp;$E1022)-SUMIFS(TblApplications[CPU IKS libérable (vCPU)],TblApplications[Cluster IKS source],$F1022,TblApplications[Action],"À décommissionner",TblApplications[Mois lib (calc)],"&lt;="&amp;$E1022)))))</f>
        <v>384</v>
      </c>
      <c r="Y1022" s="19">
        <f>IF($D1022&lt;&gt;1,"",IF($G1022="ROKS",$S1022,IF($AI1022=1,0,MAX($O1022,$M1022-SUMIFS(TblApplications[RAM IKS libérable (Go)],TblApplications[Cluster IKS source],$F1022,TblApplications[Action],"À migrer",TblApplications[Mois prov (calc)],"&lt;="&amp;$E1022)-SUMIFS(TblApplications[RAM IKS libérable (Go)],TblApplications[Cluster IKS source],$F1022,TblApplications[Action],"À décommissionner",TblApplications[Mois lib (calc)],"&lt;="&amp;$E1022)))))</f>
        <v>3072</v>
      </c>
      <c r="Z1022" s="19">
        <f t="shared" si="264"/>
        <v>6</v>
      </c>
      <c r="AA1022" s="73">
        <f t="shared" si="265"/>
        <v>17052</v>
      </c>
      <c r="AB1022" s="19">
        <f t="shared" si="266"/>
        <v>6</v>
      </c>
      <c r="AC1022" s="73">
        <f t="shared" si="267"/>
        <v>17052</v>
      </c>
      <c r="AD1022" s="19">
        <f t="shared" si="268"/>
        <v>0</v>
      </c>
      <c r="AE1022" s="19">
        <f t="shared" si="269"/>
        <v>0</v>
      </c>
      <c r="AF1022" s="19" t="str">
        <f>IF($D1022&lt;&gt;1,"",IF(INDEX(TblClusters[Environnement],$B1022)="","(vide)",INDEX(TblClusters[Environnement],$B1022)))</f>
        <v>PRD</v>
      </c>
      <c r="AG1022" s="19">
        <f t="shared" si="270"/>
        <v>691.2</v>
      </c>
      <c r="AH1022" s="19">
        <f t="shared" si="271"/>
        <v>24.670138888888886</v>
      </c>
      <c r="AI1022" s="19">
        <f>IF($D1022&lt;&gt;1,"",IF(AND($G1022="IKS",ISNUMBER(INDEX(TblClusters[Fermeture retenue],$B1022))),IF($E1022&gt;=INDEX(TblClusters[Fermeture retenue],$B1022),1,0),0))</f>
        <v>0</v>
      </c>
    </row>
    <row r="1023" spans="1:35" x14ac:dyDescent="0.2">
      <c r="A1023" s="19">
        <v>1018</v>
      </c>
      <c r="B1023" s="19">
        <f t="shared" si="255"/>
        <v>29</v>
      </c>
      <c r="C1023" s="19">
        <f t="shared" si="256"/>
        <v>10</v>
      </c>
      <c r="D1023" s="19">
        <f>IF($C1023&gt;p_horizon,0,IFERROR(IF(AND(INDEX(TblClusters[Cluster],$B1023)&lt;&gt;"",ISNUMBER(INDEX(TblClusters[CPU initial (vCPU)],$B1023)),ISNUMBER(INDEX(TblClusters[CPU min (vCPU)],$B1023)),OR(INDEX(TblClusters[Plateforme],$B1023)="IKS",INDEX(TblClusters[Plateforme],$B1023)="ROKS")),1,0),0))</f>
        <v>1</v>
      </c>
      <c r="E1023" s="72">
        <f t="shared" si="257"/>
        <v>46569</v>
      </c>
      <c r="F1023" s="19" t="str">
        <f>IF($D1023=1,INDEX(TblClusters[Cluster],$B1023),"")</f>
        <v>ku002i001071</v>
      </c>
      <c r="G1023" s="19" t="str">
        <f>IF($D1023=1,INDEX(TblClusters[Plateforme],$B1023),"")</f>
        <v>IKS</v>
      </c>
      <c r="H1023" s="19">
        <f>IF($D1023=1,INDEX(TblClusters[vCPU par nœud],$B1023),"")</f>
        <v>64</v>
      </c>
      <c r="I1023" s="19">
        <f>IF($D1023=1,INDEX(TblClusters[RAM par nœud (Go)],$B1023),"")</f>
        <v>512</v>
      </c>
      <c r="J1023" s="19">
        <f>IF($D1023=1,INDEX(TblClusters[Workers min],$B1023),"")</f>
        <v>3</v>
      </c>
      <c r="K1023" s="73">
        <f>IF($D1023=1,INDEX(TblClusters[Tarif par nœud],$B1023),"")</f>
        <v>2842</v>
      </c>
      <c r="L1023" s="19">
        <f>IF($D1023=1,INDEX(TblClusters[CPU initial (vCPU)],$B1023),"")</f>
        <v>384</v>
      </c>
      <c r="M1023" s="19">
        <f>IF($D1023=1,INDEX(TblClusters[RAM initiale (Go)],$B1023),"")</f>
        <v>3072</v>
      </c>
      <c r="N1023" s="19">
        <f>IF($D1023=1,INDEX(TblClusters[CPU min (vCPU)],$B1023),"")</f>
        <v>192</v>
      </c>
      <c r="O1023" s="19">
        <f>IF($D1023=1,INDEX(TblClusters[RAM min (Go)],$B1023),"")</f>
        <v>1536</v>
      </c>
      <c r="P1023" s="19">
        <f>IF($D1023&lt;&gt;1,"",IF($G1023="ROKS",SUMIFS(TblApplications[Besoin ROKS CPU (vCPU)],TblApplications[Cluster ROKS cible],$F1023,TblApplications[Action],"À migrer",TblApplications[Déjà incluse ROKS],"Non",TblApplications[Mois prov (calc)],"&lt;="&amp;$E1023),SUMIFS(TblApplications[CPU IKS libérable (vCPU)],TblApplications[Cluster IKS source],$F1023,TblApplications[Mois lib (calc)],"&lt;="&amp;$E1023)))</f>
        <v>0</v>
      </c>
      <c r="Q1023" s="19">
        <f>IF($D1023&lt;&gt;1,"",IF($G1023="ROKS",SUMIFS(TblApplications[Besoin ROKS RAM (Go)],TblApplications[Cluster ROKS cible],$F1023,TblApplications[Action],"À migrer",TblApplications[Déjà incluse ROKS],"Non",TblApplications[Mois prov (calc)],"&lt;="&amp;$E1023),SUMIFS(TblApplications[RAM IKS libérable (Go)],TblApplications[Cluster IKS source],$F1023,TblApplications[Mois lib (calc)],"&lt;="&amp;$E1023)))</f>
        <v>0</v>
      </c>
      <c r="R1023" s="19">
        <f t="shared" si="258"/>
        <v>384</v>
      </c>
      <c r="S1023" s="19">
        <f t="shared" si="259"/>
        <v>3072</v>
      </c>
      <c r="T1023" s="19">
        <f t="shared" si="260"/>
        <v>6</v>
      </c>
      <c r="U1023" s="19">
        <f t="shared" si="261"/>
        <v>384</v>
      </c>
      <c r="V1023" s="19">
        <f t="shared" si="262"/>
        <v>3072</v>
      </c>
      <c r="W1023" s="73">
        <f t="shared" si="263"/>
        <v>17052</v>
      </c>
      <c r="X1023" s="19">
        <f>IF($D1023&lt;&gt;1,"",IF($G1023="ROKS",$R1023,IF($AI1023=1,0,MAX($N1023,$L1023-SUMIFS(TblApplications[CPU IKS libérable (vCPU)],TblApplications[Cluster IKS source],$F1023,TblApplications[Action],"À migrer",TblApplications[Mois prov (calc)],"&lt;="&amp;$E1023)-SUMIFS(TblApplications[CPU IKS libérable (vCPU)],TblApplications[Cluster IKS source],$F1023,TblApplications[Action],"À décommissionner",TblApplications[Mois lib (calc)],"&lt;="&amp;$E1023)))))</f>
        <v>384</v>
      </c>
      <c r="Y1023" s="19">
        <f>IF($D1023&lt;&gt;1,"",IF($G1023="ROKS",$S1023,IF($AI1023=1,0,MAX($O1023,$M1023-SUMIFS(TblApplications[RAM IKS libérable (Go)],TblApplications[Cluster IKS source],$F1023,TblApplications[Action],"À migrer",TblApplications[Mois prov (calc)],"&lt;="&amp;$E1023)-SUMIFS(TblApplications[RAM IKS libérable (Go)],TblApplications[Cluster IKS source],$F1023,TblApplications[Action],"À décommissionner",TblApplications[Mois lib (calc)],"&lt;="&amp;$E1023)))))</f>
        <v>3072</v>
      </c>
      <c r="Z1023" s="19">
        <f t="shared" si="264"/>
        <v>6</v>
      </c>
      <c r="AA1023" s="73">
        <f t="shared" si="265"/>
        <v>17052</v>
      </c>
      <c r="AB1023" s="19">
        <f t="shared" si="266"/>
        <v>6</v>
      </c>
      <c r="AC1023" s="73">
        <f t="shared" si="267"/>
        <v>17052</v>
      </c>
      <c r="AD1023" s="19">
        <f t="shared" si="268"/>
        <v>0</v>
      </c>
      <c r="AE1023" s="19">
        <f t="shared" si="269"/>
        <v>0</v>
      </c>
      <c r="AF1023" s="19" t="str">
        <f>IF($D1023&lt;&gt;1,"",IF(INDEX(TblClusters[Environnement],$B1023)="","(vide)",INDEX(TblClusters[Environnement],$B1023)))</f>
        <v>PRD</v>
      </c>
      <c r="AG1023" s="19">
        <f t="shared" si="270"/>
        <v>691.2</v>
      </c>
      <c r="AH1023" s="19">
        <f t="shared" si="271"/>
        <v>24.670138888888886</v>
      </c>
      <c r="AI1023" s="19">
        <f>IF($D1023&lt;&gt;1,"",IF(AND($G1023="IKS",ISNUMBER(INDEX(TblClusters[Fermeture retenue],$B1023))),IF($E1023&gt;=INDEX(TblClusters[Fermeture retenue],$B1023),1,0),0))</f>
        <v>0</v>
      </c>
    </row>
    <row r="1024" spans="1:35" x14ac:dyDescent="0.2">
      <c r="A1024" s="19">
        <v>1019</v>
      </c>
      <c r="B1024" s="19">
        <f t="shared" si="255"/>
        <v>29</v>
      </c>
      <c r="C1024" s="19">
        <f t="shared" si="256"/>
        <v>11</v>
      </c>
      <c r="D1024" s="19">
        <f>IF($C1024&gt;p_horizon,0,IFERROR(IF(AND(INDEX(TblClusters[Cluster],$B1024)&lt;&gt;"",ISNUMBER(INDEX(TblClusters[CPU initial (vCPU)],$B1024)),ISNUMBER(INDEX(TblClusters[CPU min (vCPU)],$B1024)),OR(INDEX(TblClusters[Plateforme],$B1024)="IKS",INDEX(TblClusters[Plateforme],$B1024)="ROKS")),1,0),0))</f>
        <v>1</v>
      </c>
      <c r="E1024" s="72">
        <f t="shared" si="257"/>
        <v>46600</v>
      </c>
      <c r="F1024" s="19" t="str">
        <f>IF($D1024=1,INDEX(TblClusters[Cluster],$B1024),"")</f>
        <v>ku002i001071</v>
      </c>
      <c r="G1024" s="19" t="str">
        <f>IF($D1024=1,INDEX(TblClusters[Plateforme],$B1024),"")</f>
        <v>IKS</v>
      </c>
      <c r="H1024" s="19">
        <f>IF($D1024=1,INDEX(TblClusters[vCPU par nœud],$B1024),"")</f>
        <v>64</v>
      </c>
      <c r="I1024" s="19">
        <f>IF($D1024=1,INDEX(TblClusters[RAM par nœud (Go)],$B1024),"")</f>
        <v>512</v>
      </c>
      <c r="J1024" s="19">
        <f>IF($D1024=1,INDEX(TblClusters[Workers min],$B1024),"")</f>
        <v>3</v>
      </c>
      <c r="K1024" s="73">
        <f>IF($D1024=1,INDEX(TblClusters[Tarif par nœud],$B1024),"")</f>
        <v>2842</v>
      </c>
      <c r="L1024" s="19">
        <f>IF($D1024=1,INDEX(TblClusters[CPU initial (vCPU)],$B1024),"")</f>
        <v>384</v>
      </c>
      <c r="M1024" s="19">
        <f>IF($D1024=1,INDEX(TblClusters[RAM initiale (Go)],$B1024),"")</f>
        <v>3072</v>
      </c>
      <c r="N1024" s="19">
        <f>IF($D1024=1,INDEX(TblClusters[CPU min (vCPU)],$B1024),"")</f>
        <v>192</v>
      </c>
      <c r="O1024" s="19">
        <f>IF($D1024=1,INDEX(TblClusters[RAM min (Go)],$B1024),"")</f>
        <v>1536</v>
      </c>
      <c r="P1024" s="19">
        <f>IF($D1024&lt;&gt;1,"",IF($G1024="ROKS",SUMIFS(TblApplications[Besoin ROKS CPU (vCPU)],TblApplications[Cluster ROKS cible],$F1024,TblApplications[Action],"À migrer",TblApplications[Déjà incluse ROKS],"Non",TblApplications[Mois prov (calc)],"&lt;="&amp;$E1024),SUMIFS(TblApplications[CPU IKS libérable (vCPU)],TblApplications[Cluster IKS source],$F1024,TblApplications[Mois lib (calc)],"&lt;="&amp;$E1024)))</f>
        <v>0</v>
      </c>
      <c r="Q1024" s="19">
        <f>IF($D1024&lt;&gt;1,"",IF($G1024="ROKS",SUMIFS(TblApplications[Besoin ROKS RAM (Go)],TblApplications[Cluster ROKS cible],$F1024,TblApplications[Action],"À migrer",TblApplications[Déjà incluse ROKS],"Non",TblApplications[Mois prov (calc)],"&lt;="&amp;$E1024),SUMIFS(TblApplications[RAM IKS libérable (Go)],TblApplications[Cluster IKS source],$F1024,TblApplications[Mois lib (calc)],"&lt;="&amp;$E1024)))</f>
        <v>0</v>
      </c>
      <c r="R1024" s="19">
        <f t="shared" si="258"/>
        <v>384</v>
      </c>
      <c r="S1024" s="19">
        <f t="shared" si="259"/>
        <v>3072</v>
      </c>
      <c r="T1024" s="19">
        <f t="shared" si="260"/>
        <v>6</v>
      </c>
      <c r="U1024" s="19">
        <f t="shared" si="261"/>
        <v>384</v>
      </c>
      <c r="V1024" s="19">
        <f t="shared" si="262"/>
        <v>3072</v>
      </c>
      <c r="W1024" s="73">
        <f t="shared" si="263"/>
        <v>17052</v>
      </c>
      <c r="X1024" s="19">
        <f>IF($D1024&lt;&gt;1,"",IF($G1024="ROKS",$R1024,IF($AI1024=1,0,MAX($N1024,$L1024-SUMIFS(TblApplications[CPU IKS libérable (vCPU)],TblApplications[Cluster IKS source],$F1024,TblApplications[Action],"À migrer",TblApplications[Mois prov (calc)],"&lt;="&amp;$E1024)-SUMIFS(TblApplications[CPU IKS libérable (vCPU)],TblApplications[Cluster IKS source],$F1024,TblApplications[Action],"À décommissionner",TblApplications[Mois lib (calc)],"&lt;="&amp;$E1024)))))</f>
        <v>384</v>
      </c>
      <c r="Y1024" s="19">
        <f>IF($D1024&lt;&gt;1,"",IF($G1024="ROKS",$S1024,IF($AI1024=1,0,MAX($O1024,$M1024-SUMIFS(TblApplications[RAM IKS libérable (Go)],TblApplications[Cluster IKS source],$F1024,TblApplications[Action],"À migrer",TblApplications[Mois prov (calc)],"&lt;="&amp;$E1024)-SUMIFS(TblApplications[RAM IKS libérable (Go)],TblApplications[Cluster IKS source],$F1024,TblApplications[Action],"À décommissionner",TblApplications[Mois lib (calc)],"&lt;="&amp;$E1024)))))</f>
        <v>3072</v>
      </c>
      <c r="Z1024" s="19">
        <f t="shared" si="264"/>
        <v>6</v>
      </c>
      <c r="AA1024" s="73">
        <f t="shared" si="265"/>
        <v>17052</v>
      </c>
      <c r="AB1024" s="19">
        <f t="shared" si="266"/>
        <v>6</v>
      </c>
      <c r="AC1024" s="73">
        <f t="shared" si="267"/>
        <v>17052</v>
      </c>
      <c r="AD1024" s="19">
        <f t="shared" si="268"/>
        <v>0</v>
      </c>
      <c r="AE1024" s="19">
        <f t="shared" si="269"/>
        <v>0</v>
      </c>
      <c r="AF1024" s="19" t="str">
        <f>IF($D1024&lt;&gt;1,"",IF(INDEX(TblClusters[Environnement],$B1024)="","(vide)",INDEX(TblClusters[Environnement],$B1024)))</f>
        <v>PRD</v>
      </c>
      <c r="AG1024" s="19">
        <f t="shared" si="270"/>
        <v>691.2</v>
      </c>
      <c r="AH1024" s="19">
        <f t="shared" si="271"/>
        <v>24.670138888888886</v>
      </c>
      <c r="AI1024" s="19">
        <f>IF($D1024&lt;&gt;1,"",IF(AND($G1024="IKS",ISNUMBER(INDEX(TblClusters[Fermeture retenue],$B1024))),IF($E1024&gt;=INDEX(TblClusters[Fermeture retenue],$B1024),1,0),0))</f>
        <v>0</v>
      </c>
    </row>
    <row r="1025" spans="1:35" x14ac:dyDescent="0.2">
      <c r="A1025" s="19">
        <v>1020</v>
      </c>
      <c r="B1025" s="19">
        <f t="shared" si="255"/>
        <v>29</v>
      </c>
      <c r="C1025" s="19">
        <f t="shared" si="256"/>
        <v>12</v>
      </c>
      <c r="D1025" s="19">
        <f>IF($C1025&gt;p_horizon,0,IFERROR(IF(AND(INDEX(TblClusters[Cluster],$B1025)&lt;&gt;"",ISNUMBER(INDEX(TblClusters[CPU initial (vCPU)],$B1025)),ISNUMBER(INDEX(TblClusters[CPU min (vCPU)],$B1025)),OR(INDEX(TblClusters[Plateforme],$B1025)="IKS",INDEX(TblClusters[Plateforme],$B1025)="ROKS")),1,0),0))</f>
        <v>1</v>
      </c>
      <c r="E1025" s="72">
        <f t="shared" si="257"/>
        <v>46631</v>
      </c>
      <c r="F1025" s="19" t="str">
        <f>IF($D1025=1,INDEX(TblClusters[Cluster],$B1025),"")</f>
        <v>ku002i001071</v>
      </c>
      <c r="G1025" s="19" t="str">
        <f>IF($D1025=1,INDEX(TblClusters[Plateforme],$B1025),"")</f>
        <v>IKS</v>
      </c>
      <c r="H1025" s="19">
        <f>IF($D1025=1,INDEX(TblClusters[vCPU par nœud],$B1025),"")</f>
        <v>64</v>
      </c>
      <c r="I1025" s="19">
        <f>IF($D1025=1,INDEX(TblClusters[RAM par nœud (Go)],$B1025),"")</f>
        <v>512</v>
      </c>
      <c r="J1025" s="19">
        <f>IF($D1025=1,INDEX(TblClusters[Workers min],$B1025),"")</f>
        <v>3</v>
      </c>
      <c r="K1025" s="73">
        <f>IF($D1025=1,INDEX(TblClusters[Tarif par nœud],$B1025),"")</f>
        <v>2842</v>
      </c>
      <c r="L1025" s="19">
        <f>IF($D1025=1,INDEX(TblClusters[CPU initial (vCPU)],$B1025),"")</f>
        <v>384</v>
      </c>
      <c r="M1025" s="19">
        <f>IF($D1025=1,INDEX(TblClusters[RAM initiale (Go)],$B1025),"")</f>
        <v>3072</v>
      </c>
      <c r="N1025" s="19">
        <f>IF($D1025=1,INDEX(TblClusters[CPU min (vCPU)],$B1025),"")</f>
        <v>192</v>
      </c>
      <c r="O1025" s="19">
        <f>IF($D1025=1,INDEX(TblClusters[RAM min (Go)],$B1025),"")</f>
        <v>1536</v>
      </c>
      <c r="P1025" s="19">
        <f>IF($D1025&lt;&gt;1,"",IF($G1025="ROKS",SUMIFS(TblApplications[Besoin ROKS CPU (vCPU)],TblApplications[Cluster ROKS cible],$F1025,TblApplications[Action],"À migrer",TblApplications[Déjà incluse ROKS],"Non",TblApplications[Mois prov (calc)],"&lt;="&amp;$E1025),SUMIFS(TblApplications[CPU IKS libérable (vCPU)],TblApplications[Cluster IKS source],$F1025,TblApplications[Mois lib (calc)],"&lt;="&amp;$E1025)))</f>
        <v>0</v>
      </c>
      <c r="Q1025" s="19">
        <f>IF($D1025&lt;&gt;1,"",IF($G1025="ROKS",SUMIFS(TblApplications[Besoin ROKS RAM (Go)],TblApplications[Cluster ROKS cible],$F1025,TblApplications[Action],"À migrer",TblApplications[Déjà incluse ROKS],"Non",TblApplications[Mois prov (calc)],"&lt;="&amp;$E1025),SUMIFS(TblApplications[RAM IKS libérable (Go)],TblApplications[Cluster IKS source],$F1025,TblApplications[Mois lib (calc)],"&lt;="&amp;$E1025)))</f>
        <v>0</v>
      </c>
      <c r="R1025" s="19">
        <f t="shared" si="258"/>
        <v>384</v>
      </c>
      <c r="S1025" s="19">
        <f t="shared" si="259"/>
        <v>3072</v>
      </c>
      <c r="T1025" s="19">
        <f t="shared" si="260"/>
        <v>6</v>
      </c>
      <c r="U1025" s="19">
        <f t="shared" si="261"/>
        <v>384</v>
      </c>
      <c r="V1025" s="19">
        <f t="shared" si="262"/>
        <v>3072</v>
      </c>
      <c r="W1025" s="73">
        <f t="shared" si="263"/>
        <v>17052</v>
      </c>
      <c r="X1025" s="19">
        <f>IF($D1025&lt;&gt;1,"",IF($G1025="ROKS",$R1025,IF($AI1025=1,0,MAX($N1025,$L1025-SUMIFS(TblApplications[CPU IKS libérable (vCPU)],TblApplications[Cluster IKS source],$F1025,TblApplications[Action],"À migrer",TblApplications[Mois prov (calc)],"&lt;="&amp;$E1025)-SUMIFS(TblApplications[CPU IKS libérable (vCPU)],TblApplications[Cluster IKS source],$F1025,TblApplications[Action],"À décommissionner",TblApplications[Mois lib (calc)],"&lt;="&amp;$E1025)))))</f>
        <v>384</v>
      </c>
      <c r="Y1025" s="19">
        <f>IF($D1025&lt;&gt;1,"",IF($G1025="ROKS",$S1025,IF($AI1025=1,0,MAX($O1025,$M1025-SUMIFS(TblApplications[RAM IKS libérable (Go)],TblApplications[Cluster IKS source],$F1025,TblApplications[Action],"À migrer",TblApplications[Mois prov (calc)],"&lt;="&amp;$E1025)-SUMIFS(TblApplications[RAM IKS libérable (Go)],TblApplications[Cluster IKS source],$F1025,TblApplications[Action],"À décommissionner",TblApplications[Mois lib (calc)],"&lt;="&amp;$E1025)))))</f>
        <v>3072</v>
      </c>
      <c r="Z1025" s="19">
        <f t="shared" si="264"/>
        <v>6</v>
      </c>
      <c r="AA1025" s="73">
        <f t="shared" si="265"/>
        <v>17052</v>
      </c>
      <c r="AB1025" s="19">
        <f t="shared" si="266"/>
        <v>6</v>
      </c>
      <c r="AC1025" s="73">
        <f t="shared" si="267"/>
        <v>17052</v>
      </c>
      <c r="AD1025" s="19">
        <f t="shared" si="268"/>
        <v>0</v>
      </c>
      <c r="AE1025" s="19">
        <f t="shared" si="269"/>
        <v>0</v>
      </c>
      <c r="AF1025" s="19" t="str">
        <f>IF($D1025&lt;&gt;1,"",IF(INDEX(TblClusters[Environnement],$B1025)="","(vide)",INDEX(TblClusters[Environnement],$B1025)))</f>
        <v>PRD</v>
      </c>
      <c r="AG1025" s="19">
        <f t="shared" si="270"/>
        <v>691.2</v>
      </c>
      <c r="AH1025" s="19">
        <f t="shared" si="271"/>
        <v>24.670138888888886</v>
      </c>
      <c r="AI1025" s="19">
        <f>IF($D1025&lt;&gt;1,"",IF(AND($G1025="IKS",ISNUMBER(INDEX(TblClusters[Fermeture retenue],$B1025))),IF($E1025&gt;=INDEX(TblClusters[Fermeture retenue],$B1025),1,0),0))</f>
        <v>0</v>
      </c>
    </row>
    <row r="1026" spans="1:35" x14ac:dyDescent="0.2">
      <c r="A1026" s="19">
        <v>1021</v>
      </c>
      <c r="B1026" s="19">
        <f t="shared" si="255"/>
        <v>29</v>
      </c>
      <c r="C1026" s="19">
        <f t="shared" si="256"/>
        <v>13</v>
      </c>
      <c r="D1026" s="19">
        <f>IF($C1026&gt;p_horizon,0,IFERROR(IF(AND(INDEX(TblClusters[Cluster],$B1026)&lt;&gt;"",ISNUMBER(INDEX(TblClusters[CPU initial (vCPU)],$B1026)),ISNUMBER(INDEX(TblClusters[CPU min (vCPU)],$B1026)),OR(INDEX(TblClusters[Plateforme],$B1026)="IKS",INDEX(TblClusters[Plateforme],$B1026)="ROKS")),1,0),0))</f>
        <v>1</v>
      </c>
      <c r="E1026" s="72">
        <f t="shared" si="257"/>
        <v>46661</v>
      </c>
      <c r="F1026" s="19" t="str">
        <f>IF($D1026=1,INDEX(TblClusters[Cluster],$B1026),"")</f>
        <v>ku002i001071</v>
      </c>
      <c r="G1026" s="19" t="str">
        <f>IF($D1026=1,INDEX(TblClusters[Plateforme],$B1026),"")</f>
        <v>IKS</v>
      </c>
      <c r="H1026" s="19">
        <f>IF($D1026=1,INDEX(TblClusters[vCPU par nœud],$B1026),"")</f>
        <v>64</v>
      </c>
      <c r="I1026" s="19">
        <f>IF($D1026=1,INDEX(TblClusters[RAM par nœud (Go)],$B1026),"")</f>
        <v>512</v>
      </c>
      <c r="J1026" s="19">
        <f>IF($D1026=1,INDEX(TblClusters[Workers min],$B1026),"")</f>
        <v>3</v>
      </c>
      <c r="K1026" s="73">
        <f>IF($D1026=1,INDEX(TblClusters[Tarif par nœud],$B1026),"")</f>
        <v>2842</v>
      </c>
      <c r="L1026" s="19">
        <f>IF($D1026=1,INDEX(TblClusters[CPU initial (vCPU)],$B1026),"")</f>
        <v>384</v>
      </c>
      <c r="M1026" s="19">
        <f>IF($D1026=1,INDEX(TblClusters[RAM initiale (Go)],$B1026),"")</f>
        <v>3072</v>
      </c>
      <c r="N1026" s="19">
        <f>IF($D1026=1,INDEX(TblClusters[CPU min (vCPU)],$B1026),"")</f>
        <v>192</v>
      </c>
      <c r="O1026" s="19">
        <f>IF($D1026=1,INDEX(TblClusters[RAM min (Go)],$B1026),"")</f>
        <v>1536</v>
      </c>
      <c r="P1026" s="19">
        <f>IF($D1026&lt;&gt;1,"",IF($G1026="ROKS",SUMIFS(TblApplications[Besoin ROKS CPU (vCPU)],TblApplications[Cluster ROKS cible],$F1026,TblApplications[Action],"À migrer",TblApplications[Déjà incluse ROKS],"Non",TblApplications[Mois prov (calc)],"&lt;="&amp;$E1026),SUMIFS(TblApplications[CPU IKS libérable (vCPU)],TblApplications[Cluster IKS source],$F1026,TblApplications[Mois lib (calc)],"&lt;="&amp;$E1026)))</f>
        <v>0</v>
      </c>
      <c r="Q1026" s="19">
        <f>IF($D1026&lt;&gt;1,"",IF($G1026="ROKS",SUMIFS(TblApplications[Besoin ROKS RAM (Go)],TblApplications[Cluster ROKS cible],$F1026,TblApplications[Action],"À migrer",TblApplications[Déjà incluse ROKS],"Non",TblApplications[Mois prov (calc)],"&lt;="&amp;$E1026),SUMIFS(TblApplications[RAM IKS libérable (Go)],TblApplications[Cluster IKS source],$F1026,TblApplications[Mois lib (calc)],"&lt;="&amp;$E1026)))</f>
        <v>0</v>
      </c>
      <c r="R1026" s="19">
        <f t="shared" si="258"/>
        <v>384</v>
      </c>
      <c r="S1026" s="19">
        <f t="shared" si="259"/>
        <v>3072</v>
      </c>
      <c r="T1026" s="19">
        <f t="shared" si="260"/>
        <v>6</v>
      </c>
      <c r="U1026" s="19">
        <f t="shared" si="261"/>
        <v>384</v>
      </c>
      <c r="V1026" s="19">
        <f t="shared" si="262"/>
        <v>3072</v>
      </c>
      <c r="W1026" s="73">
        <f t="shared" si="263"/>
        <v>17052</v>
      </c>
      <c r="X1026" s="19">
        <f>IF($D1026&lt;&gt;1,"",IF($G1026="ROKS",$R1026,IF($AI1026=1,0,MAX($N1026,$L1026-SUMIFS(TblApplications[CPU IKS libérable (vCPU)],TblApplications[Cluster IKS source],$F1026,TblApplications[Action],"À migrer",TblApplications[Mois prov (calc)],"&lt;="&amp;$E1026)-SUMIFS(TblApplications[CPU IKS libérable (vCPU)],TblApplications[Cluster IKS source],$F1026,TblApplications[Action],"À décommissionner",TblApplications[Mois lib (calc)],"&lt;="&amp;$E1026)))))</f>
        <v>384</v>
      </c>
      <c r="Y1026" s="19">
        <f>IF($D1026&lt;&gt;1,"",IF($G1026="ROKS",$S1026,IF($AI1026=1,0,MAX($O1026,$M1026-SUMIFS(TblApplications[RAM IKS libérable (Go)],TblApplications[Cluster IKS source],$F1026,TblApplications[Action],"À migrer",TblApplications[Mois prov (calc)],"&lt;="&amp;$E1026)-SUMIFS(TblApplications[RAM IKS libérable (Go)],TblApplications[Cluster IKS source],$F1026,TblApplications[Action],"À décommissionner",TblApplications[Mois lib (calc)],"&lt;="&amp;$E1026)))))</f>
        <v>3072</v>
      </c>
      <c r="Z1026" s="19">
        <f t="shared" si="264"/>
        <v>6</v>
      </c>
      <c r="AA1026" s="73">
        <f t="shared" si="265"/>
        <v>17052</v>
      </c>
      <c r="AB1026" s="19">
        <f t="shared" si="266"/>
        <v>6</v>
      </c>
      <c r="AC1026" s="73">
        <f t="shared" si="267"/>
        <v>17052</v>
      </c>
      <c r="AD1026" s="19">
        <f t="shared" si="268"/>
        <v>0</v>
      </c>
      <c r="AE1026" s="19">
        <f t="shared" si="269"/>
        <v>0</v>
      </c>
      <c r="AF1026" s="19" t="str">
        <f>IF($D1026&lt;&gt;1,"",IF(INDEX(TblClusters[Environnement],$B1026)="","(vide)",INDEX(TblClusters[Environnement],$B1026)))</f>
        <v>PRD</v>
      </c>
      <c r="AG1026" s="19">
        <f t="shared" si="270"/>
        <v>691.2</v>
      </c>
      <c r="AH1026" s="19">
        <f t="shared" si="271"/>
        <v>24.670138888888886</v>
      </c>
      <c r="AI1026" s="19">
        <f>IF($D1026&lt;&gt;1,"",IF(AND($G1026="IKS",ISNUMBER(INDEX(TblClusters[Fermeture retenue],$B1026))),IF($E1026&gt;=INDEX(TblClusters[Fermeture retenue],$B1026),1,0),0))</f>
        <v>0</v>
      </c>
    </row>
    <row r="1027" spans="1:35" x14ac:dyDescent="0.2">
      <c r="A1027" s="19">
        <v>1022</v>
      </c>
      <c r="B1027" s="19">
        <f t="shared" si="255"/>
        <v>29</v>
      </c>
      <c r="C1027" s="19">
        <f t="shared" si="256"/>
        <v>14</v>
      </c>
      <c r="D1027" s="19">
        <f>IF($C1027&gt;p_horizon,0,IFERROR(IF(AND(INDEX(TblClusters[Cluster],$B1027)&lt;&gt;"",ISNUMBER(INDEX(TblClusters[CPU initial (vCPU)],$B1027)),ISNUMBER(INDEX(TblClusters[CPU min (vCPU)],$B1027)),OR(INDEX(TblClusters[Plateforme],$B1027)="IKS",INDEX(TblClusters[Plateforme],$B1027)="ROKS")),1,0),0))</f>
        <v>1</v>
      </c>
      <c r="E1027" s="72">
        <f t="shared" si="257"/>
        <v>46692</v>
      </c>
      <c r="F1027" s="19" t="str">
        <f>IF($D1027=1,INDEX(TblClusters[Cluster],$B1027),"")</f>
        <v>ku002i001071</v>
      </c>
      <c r="G1027" s="19" t="str">
        <f>IF($D1027=1,INDEX(TblClusters[Plateforme],$B1027),"")</f>
        <v>IKS</v>
      </c>
      <c r="H1027" s="19">
        <f>IF($D1027=1,INDEX(TblClusters[vCPU par nœud],$B1027),"")</f>
        <v>64</v>
      </c>
      <c r="I1027" s="19">
        <f>IF($D1027=1,INDEX(TblClusters[RAM par nœud (Go)],$B1027),"")</f>
        <v>512</v>
      </c>
      <c r="J1027" s="19">
        <f>IF($D1027=1,INDEX(TblClusters[Workers min],$B1027),"")</f>
        <v>3</v>
      </c>
      <c r="K1027" s="73">
        <f>IF($D1027=1,INDEX(TblClusters[Tarif par nœud],$B1027),"")</f>
        <v>2842</v>
      </c>
      <c r="L1027" s="19">
        <f>IF($D1027=1,INDEX(TblClusters[CPU initial (vCPU)],$B1027),"")</f>
        <v>384</v>
      </c>
      <c r="M1027" s="19">
        <f>IF($D1027=1,INDEX(TblClusters[RAM initiale (Go)],$B1027),"")</f>
        <v>3072</v>
      </c>
      <c r="N1027" s="19">
        <f>IF($D1027=1,INDEX(TblClusters[CPU min (vCPU)],$B1027),"")</f>
        <v>192</v>
      </c>
      <c r="O1027" s="19">
        <f>IF($D1027=1,INDEX(TblClusters[RAM min (Go)],$B1027),"")</f>
        <v>1536</v>
      </c>
      <c r="P1027" s="19">
        <f>IF($D1027&lt;&gt;1,"",IF($G1027="ROKS",SUMIFS(TblApplications[Besoin ROKS CPU (vCPU)],TblApplications[Cluster ROKS cible],$F1027,TblApplications[Action],"À migrer",TblApplications[Déjà incluse ROKS],"Non",TblApplications[Mois prov (calc)],"&lt;="&amp;$E1027),SUMIFS(TblApplications[CPU IKS libérable (vCPU)],TblApplications[Cluster IKS source],$F1027,TblApplications[Mois lib (calc)],"&lt;="&amp;$E1027)))</f>
        <v>0</v>
      </c>
      <c r="Q1027" s="19">
        <f>IF($D1027&lt;&gt;1,"",IF($G1027="ROKS",SUMIFS(TblApplications[Besoin ROKS RAM (Go)],TblApplications[Cluster ROKS cible],$F1027,TblApplications[Action],"À migrer",TblApplications[Déjà incluse ROKS],"Non",TblApplications[Mois prov (calc)],"&lt;="&amp;$E1027),SUMIFS(TblApplications[RAM IKS libérable (Go)],TblApplications[Cluster IKS source],$F1027,TblApplications[Mois lib (calc)],"&lt;="&amp;$E1027)))</f>
        <v>0</v>
      </c>
      <c r="R1027" s="19">
        <f t="shared" si="258"/>
        <v>384</v>
      </c>
      <c r="S1027" s="19">
        <f t="shared" si="259"/>
        <v>3072</v>
      </c>
      <c r="T1027" s="19">
        <f t="shared" si="260"/>
        <v>6</v>
      </c>
      <c r="U1027" s="19">
        <f t="shared" si="261"/>
        <v>384</v>
      </c>
      <c r="V1027" s="19">
        <f t="shared" si="262"/>
        <v>3072</v>
      </c>
      <c r="W1027" s="73">
        <f t="shared" si="263"/>
        <v>17052</v>
      </c>
      <c r="X1027" s="19">
        <f>IF($D1027&lt;&gt;1,"",IF($G1027="ROKS",$R1027,IF($AI1027=1,0,MAX($N1027,$L1027-SUMIFS(TblApplications[CPU IKS libérable (vCPU)],TblApplications[Cluster IKS source],$F1027,TblApplications[Action],"À migrer",TblApplications[Mois prov (calc)],"&lt;="&amp;$E1027)-SUMIFS(TblApplications[CPU IKS libérable (vCPU)],TblApplications[Cluster IKS source],$F1027,TblApplications[Action],"À décommissionner",TblApplications[Mois lib (calc)],"&lt;="&amp;$E1027)))))</f>
        <v>384</v>
      </c>
      <c r="Y1027" s="19">
        <f>IF($D1027&lt;&gt;1,"",IF($G1027="ROKS",$S1027,IF($AI1027=1,0,MAX($O1027,$M1027-SUMIFS(TblApplications[RAM IKS libérable (Go)],TblApplications[Cluster IKS source],$F1027,TblApplications[Action],"À migrer",TblApplications[Mois prov (calc)],"&lt;="&amp;$E1027)-SUMIFS(TblApplications[RAM IKS libérable (Go)],TblApplications[Cluster IKS source],$F1027,TblApplications[Action],"À décommissionner",TblApplications[Mois lib (calc)],"&lt;="&amp;$E1027)))))</f>
        <v>3072</v>
      </c>
      <c r="Z1027" s="19">
        <f t="shared" si="264"/>
        <v>6</v>
      </c>
      <c r="AA1027" s="73">
        <f t="shared" si="265"/>
        <v>17052</v>
      </c>
      <c r="AB1027" s="19">
        <f t="shared" si="266"/>
        <v>6</v>
      </c>
      <c r="AC1027" s="73">
        <f t="shared" si="267"/>
        <v>17052</v>
      </c>
      <c r="AD1027" s="19">
        <f t="shared" si="268"/>
        <v>0</v>
      </c>
      <c r="AE1027" s="19">
        <f t="shared" si="269"/>
        <v>0</v>
      </c>
      <c r="AF1027" s="19" t="str">
        <f>IF($D1027&lt;&gt;1,"",IF(INDEX(TblClusters[Environnement],$B1027)="","(vide)",INDEX(TblClusters[Environnement],$B1027)))</f>
        <v>PRD</v>
      </c>
      <c r="AG1027" s="19">
        <f t="shared" si="270"/>
        <v>691.2</v>
      </c>
      <c r="AH1027" s="19">
        <f t="shared" si="271"/>
        <v>24.670138888888886</v>
      </c>
      <c r="AI1027" s="19">
        <f>IF($D1027&lt;&gt;1,"",IF(AND($G1027="IKS",ISNUMBER(INDEX(TblClusters[Fermeture retenue],$B1027))),IF($E1027&gt;=INDEX(TblClusters[Fermeture retenue],$B1027),1,0),0))</f>
        <v>0</v>
      </c>
    </row>
    <row r="1028" spans="1:35" x14ac:dyDescent="0.2">
      <c r="A1028" s="19">
        <v>1023</v>
      </c>
      <c r="B1028" s="19">
        <f t="shared" si="255"/>
        <v>29</v>
      </c>
      <c r="C1028" s="19">
        <f t="shared" si="256"/>
        <v>15</v>
      </c>
      <c r="D1028" s="19">
        <f>IF($C1028&gt;p_horizon,0,IFERROR(IF(AND(INDEX(TblClusters[Cluster],$B1028)&lt;&gt;"",ISNUMBER(INDEX(TblClusters[CPU initial (vCPU)],$B1028)),ISNUMBER(INDEX(TblClusters[CPU min (vCPU)],$B1028)),OR(INDEX(TblClusters[Plateforme],$B1028)="IKS",INDEX(TblClusters[Plateforme],$B1028)="ROKS")),1,0),0))</f>
        <v>1</v>
      </c>
      <c r="E1028" s="72">
        <f t="shared" si="257"/>
        <v>46722</v>
      </c>
      <c r="F1028" s="19" t="str">
        <f>IF($D1028=1,INDEX(TblClusters[Cluster],$B1028),"")</f>
        <v>ku002i001071</v>
      </c>
      <c r="G1028" s="19" t="str">
        <f>IF($D1028=1,INDEX(TblClusters[Plateforme],$B1028),"")</f>
        <v>IKS</v>
      </c>
      <c r="H1028" s="19">
        <f>IF($D1028=1,INDEX(TblClusters[vCPU par nœud],$B1028),"")</f>
        <v>64</v>
      </c>
      <c r="I1028" s="19">
        <f>IF($D1028=1,INDEX(TblClusters[RAM par nœud (Go)],$B1028),"")</f>
        <v>512</v>
      </c>
      <c r="J1028" s="19">
        <f>IF($D1028=1,INDEX(TblClusters[Workers min],$B1028),"")</f>
        <v>3</v>
      </c>
      <c r="K1028" s="73">
        <f>IF($D1028=1,INDEX(TblClusters[Tarif par nœud],$B1028),"")</f>
        <v>2842</v>
      </c>
      <c r="L1028" s="19">
        <f>IF($D1028=1,INDEX(TblClusters[CPU initial (vCPU)],$B1028),"")</f>
        <v>384</v>
      </c>
      <c r="M1028" s="19">
        <f>IF($D1028=1,INDEX(TblClusters[RAM initiale (Go)],$B1028),"")</f>
        <v>3072</v>
      </c>
      <c r="N1028" s="19">
        <f>IF($D1028=1,INDEX(TblClusters[CPU min (vCPU)],$B1028),"")</f>
        <v>192</v>
      </c>
      <c r="O1028" s="19">
        <f>IF($D1028=1,INDEX(TblClusters[RAM min (Go)],$B1028),"")</f>
        <v>1536</v>
      </c>
      <c r="P1028" s="19">
        <f>IF($D1028&lt;&gt;1,"",IF($G1028="ROKS",SUMIFS(TblApplications[Besoin ROKS CPU (vCPU)],TblApplications[Cluster ROKS cible],$F1028,TblApplications[Action],"À migrer",TblApplications[Déjà incluse ROKS],"Non",TblApplications[Mois prov (calc)],"&lt;="&amp;$E1028),SUMIFS(TblApplications[CPU IKS libérable (vCPU)],TblApplications[Cluster IKS source],$F1028,TblApplications[Mois lib (calc)],"&lt;="&amp;$E1028)))</f>
        <v>0</v>
      </c>
      <c r="Q1028" s="19">
        <f>IF($D1028&lt;&gt;1,"",IF($G1028="ROKS",SUMIFS(TblApplications[Besoin ROKS RAM (Go)],TblApplications[Cluster ROKS cible],$F1028,TblApplications[Action],"À migrer",TblApplications[Déjà incluse ROKS],"Non",TblApplications[Mois prov (calc)],"&lt;="&amp;$E1028),SUMIFS(TblApplications[RAM IKS libérable (Go)],TblApplications[Cluster IKS source],$F1028,TblApplications[Mois lib (calc)],"&lt;="&amp;$E1028)))</f>
        <v>0</v>
      </c>
      <c r="R1028" s="19">
        <f t="shared" si="258"/>
        <v>384</v>
      </c>
      <c r="S1028" s="19">
        <f t="shared" si="259"/>
        <v>3072</v>
      </c>
      <c r="T1028" s="19">
        <f t="shared" si="260"/>
        <v>6</v>
      </c>
      <c r="U1028" s="19">
        <f t="shared" si="261"/>
        <v>384</v>
      </c>
      <c r="V1028" s="19">
        <f t="shared" si="262"/>
        <v>3072</v>
      </c>
      <c r="W1028" s="73">
        <f t="shared" si="263"/>
        <v>17052</v>
      </c>
      <c r="X1028" s="19">
        <f>IF($D1028&lt;&gt;1,"",IF($G1028="ROKS",$R1028,IF($AI1028=1,0,MAX($N1028,$L1028-SUMIFS(TblApplications[CPU IKS libérable (vCPU)],TblApplications[Cluster IKS source],$F1028,TblApplications[Action],"À migrer",TblApplications[Mois prov (calc)],"&lt;="&amp;$E1028)-SUMIFS(TblApplications[CPU IKS libérable (vCPU)],TblApplications[Cluster IKS source],$F1028,TblApplications[Action],"À décommissionner",TblApplications[Mois lib (calc)],"&lt;="&amp;$E1028)))))</f>
        <v>384</v>
      </c>
      <c r="Y1028" s="19">
        <f>IF($D1028&lt;&gt;1,"",IF($G1028="ROKS",$S1028,IF($AI1028=1,0,MAX($O1028,$M1028-SUMIFS(TblApplications[RAM IKS libérable (Go)],TblApplications[Cluster IKS source],$F1028,TblApplications[Action],"À migrer",TblApplications[Mois prov (calc)],"&lt;="&amp;$E1028)-SUMIFS(TblApplications[RAM IKS libérable (Go)],TblApplications[Cluster IKS source],$F1028,TblApplications[Action],"À décommissionner",TblApplications[Mois lib (calc)],"&lt;="&amp;$E1028)))))</f>
        <v>3072</v>
      </c>
      <c r="Z1028" s="19">
        <f t="shared" si="264"/>
        <v>6</v>
      </c>
      <c r="AA1028" s="73">
        <f t="shared" si="265"/>
        <v>17052</v>
      </c>
      <c r="AB1028" s="19">
        <f t="shared" si="266"/>
        <v>6</v>
      </c>
      <c r="AC1028" s="73">
        <f t="shared" si="267"/>
        <v>17052</v>
      </c>
      <c r="AD1028" s="19">
        <f t="shared" si="268"/>
        <v>0</v>
      </c>
      <c r="AE1028" s="19">
        <f t="shared" si="269"/>
        <v>0</v>
      </c>
      <c r="AF1028" s="19" t="str">
        <f>IF($D1028&lt;&gt;1,"",IF(INDEX(TblClusters[Environnement],$B1028)="","(vide)",INDEX(TblClusters[Environnement],$B1028)))</f>
        <v>PRD</v>
      </c>
      <c r="AG1028" s="19">
        <f t="shared" si="270"/>
        <v>691.2</v>
      </c>
      <c r="AH1028" s="19">
        <f t="shared" si="271"/>
        <v>24.670138888888886</v>
      </c>
      <c r="AI1028" s="19">
        <f>IF($D1028&lt;&gt;1,"",IF(AND($G1028="IKS",ISNUMBER(INDEX(TblClusters[Fermeture retenue],$B1028))),IF($E1028&gt;=INDEX(TblClusters[Fermeture retenue],$B1028),1,0),0))</f>
        <v>0</v>
      </c>
    </row>
    <row r="1029" spans="1:35" x14ac:dyDescent="0.2">
      <c r="A1029" s="19">
        <v>1024</v>
      </c>
      <c r="B1029" s="19">
        <f t="shared" si="255"/>
        <v>29</v>
      </c>
      <c r="C1029" s="19">
        <f t="shared" si="256"/>
        <v>16</v>
      </c>
      <c r="D1029" s="19">
        <f>IF($C1029&gt;p_horizon,0,IFERROR(IF(AND(INDEX(TblClusters[Cluster],$B1029)&lt;&gt;"",ISNUMBER(INDEX(TblClusters[CPU initial (vCPU)],$B1029)),ISNUMBER(INDEX(TblClusters[CPU min (vCPU)],$B1029)),OR(INDEX(TblClusters[Plateforme],$B1029)="IKS",INDEX(TblClusters[Plateforme],$B1029)="ROKS")),1,0),0))</f>
        <v>1</v>
      </c>
      <c r="E1029" s="72">
        <f t="shared" si="257"/>
        <v>46753</v>
      </c>
      <c r="F1029" s="19" t="str">
        <f>IF($D1029=1,INDEX(TblClusters[Cluster],$B1029),"")</f>
        <v>ku002i001071</v>
      </c>
      <c r="G1029" s="19" t="str">
        <f>IF($D1029=1,INDEX(TblClusters[Plateforme],$B1029),"")</f>
        <v>IKS</v>
      </c>
      <c r="H1029" s="19">
        <f>IF($D1029=1,INDEX(TblClusters[vCPU par nœud],$B1029),"")</f>
        <v>64</v>
      </c>
      <c r="I1029" s="19">
        <f>IF($D1029=1,INDEX(TblClusters[RAM par nœud (Go)],$B1029),"")</f>
        <v>512</v>
      </c>
      <c r="J1029" s="19">
        <f>IF($D1029=1,INDEX(TblClusters[Workers min],$B1029),"")</f>
        <v>3</v>
      </c>
      <c r="K1029" s="73">
        <f>IF($D1029=1,INDEX(TblClusters[Tarif par nœud],$B1029),"")</f>
        <v>2842</v>
      </c>
      <c r="L1029" s="19">
        <f>IF($D1029=1,INDEX(TblClusters[CPU initial (vCPU)],$B1029),"")</f>
        <v>384</v>
      </c>
      <c r="M1029" s="19">
        <f>IF($D1029=1,INDEX(TblClusters[RAM initiale (Go)],$B1029),"")</f>
        <v>3072</v>
      </c>
      <c r="N1029" s="19">
        <f>IF($D1029=1,INDEX(TblClusters[CPU min (vCPU)],$B1029),"")</f>
        <v>192</v>
      </c>
      <c r="O1029" s="19">
        <f>IF($D1029=1,INDEX(TblClusters[RAM min (Go)],$B1029),"")</f>
        <v>1536</v>
      </c>
      <c r="P1029" s="19">
        <f>IF($D1029&lt;&gt;1,"",IF($G1029="ROKS",SUMIFS(TblApplications[Besoin ROKS CPU (vCPU)],TblApplications[Cluster ROKS cible],$F1029,TblApplications[Action],"À migrer",TblApplications[Déjà incluse ROKS],"Non",TblApplications[Mois prov (calc)],"&lt;="&amp;$E1029),SUMIFS(TblApplications[CPU IKS libérable (vCPU)],TblApplications[Cluster IKS source],$F1029,TblApplications[Mois lib (calc)],"&lt;="&amp;$E1029)))</f>
        <v>0</v>
      </c>
      <c r="Q1029" s="19">
        <f>IF($D1029&lt;&gt;1,"",IF($G1029="ROKS",SUMIFS(TblApplications[Besoin ROKS RAM (Go)],TblApplications[Cluster ROKS cible],$F1029,TblApplications[Action],"À migrer",TblApplications[Déjà incluse ROKS],"Non",TblApplications[Mois prov (calc)],"&lt;="&amp;$E1029),SUMIFS(TblApplications[RAM IKS libérable (Go)],TblApplications[Cluster IKS source],$F1029,TblApplications[Mois lib (calc)],"&lt;="&amp;$E1029)))</f>
        <v>0</v>
      </c>
      <c r="R1029" s="19">
        <f t="shared" si="258"/>
        <v>384</v>
      </c>
      <c r="S1029" s="19">
        <f t="shared" si="259"/>
        <v>3072</v>
      </c>
      <c r="T1029" s="19">
        <f t="shared" si="260"/>
        <v>6</v>
      </c>
      <c r="U1029" s="19">
        <f t="shared" si="261"/>
        <v>384</v>
      </c>
      <c r="V1029" s="19">
        <f t="shared" si="262"/>
        <v>3072</v>
      </c>
      <c r="W1029" s="73">
        <f t="shared" si="263"/>
        <v>17052</v>
      </c>
      <c r="X1029" s="19">
        <f>IF($D1029&lt;&gt;1,"",IF($G1029="ROKS",$R1029,IF($AI1029=1,0,MAX($N1029,$L1029-SUMIFS(TblApplications[CPU IKS libérable (vCPU)],TblApplications[Cluster IKS source],$F1029,TblApplications[Action],"À migrer",TblApplications[Mois prov (calc)],"&lt;="&amp;$E1029)-SUMIFS(TblApplications[CPU IKS libérable (vCPU)],TblApplications[Cluster IKS source],$F1029,TblApplications[Action],"À décommissionner",TblApplications[Mois lib (calc)],"&lt;="&amp;$E1029)))))</f>
        <v>384</v>
      </c>
      <c r="Y1029" s="19">
        <f>IF($D1029&lt;&gt;1,"",IF($G1029="ROKS",$S1029,IF($AI1029=1,0,MAX($O1029,$M1029-SUMIFS(TblApplications[RAM IKS libérable (Go)],TblApplications[Cluster IKS source],$F1029,TblApplications[Action],"À migrer",TblApplications[Mois prov (calc)],"&lt;="&amp;$E1029)-SUMIFS(TblApplications[RAM IKS libérable (Go)],TblApplications[Cluster IKS source],$F1029,TblApplications[Action],"À décommissionner",TblApplications[Mois lib (calc)],"&lt;="&amp;$E1029)))))</f>
        <v>3072</v>
      </c>
      <c r="Z1029" s="19">
        <f t="shared" si="264"/>
        <v>6</v>
      </c>
      <c r="AA1029" s="73">
        <f t="shared" si="265"/>
        <v>17052</v>
      </c>
      <c r="AB1029" s="19">
        <f t="shared" si="266"/>
        <v>6</v>
      </c>
      <c r="AC1029" s="73">
        <f t="shared" si="267"/>
        <v>17052</v>
      </c>
      <c r="AD1029" s="19">
        <f t="shared" si="268"/>
        <v>0</v>
      </c>
      <c r="AE1029" s="19">
        <f t="shared" si="269"/>
        <v>0</v>
      </c>
      <c r="AF1029" s="19" t="str">
        <f>IF($D1029&lt;&gt;1,"",IF(INDEX(TblClusters[Environnement],$B1029)="","(vide)",INDEX(TblClusters[Environnement],$B1029)))</f>
        <v>PRD</v>
      </c>
      <c r="AG1029" s="19">
        <f t="shared" si="270"/>
        <v>691.2</v>
      </c>
      <c r="AH1029" s="19">
        <f t="shared" si="271"/>
        <v>24.670138888888886</v>
      </c>
      <c r="AI1029" s="19">
        <f>IF($D1029&lt;&gt;1,"",IF(AND($G1029="IKS",ISNUMBER(INDEX(TblClusters[Fermeture retenue],$B1029))),IF($E1029&gt;=INDEX(TblClusters[Fermeture retenue],$B1029),1,0),0))</f>
        <v>0</v>
      </c>
    </row>
    <row r="1030" spans="1:35" x14ac:dyDescent="0.2">
      <c r="A1030" s="19">
        <v>1025</v>
      </c>
      <c r="B1030" s="19">
        <f t="shared" ref="B1030:B1093" si="272">INT(($A1030-1)/36)+1</f>
        <v>29</v>
      </c>
      <c r="C1030" s="19">
        <f t="shared" ref="C1030:C1093" si="273">MOD($A1030-1,36)+1</f>
        <v>17</v>
      </c>
      <c r="D1030" s="19">
        <f>IF($C1030&gt;p_horizon,0,IFERROR(IF(AND(INDEX(TblClusters[Cluster],$B1030)&lt;&gt;"",ISNUMBER(INDEX(TblClusters[CPU initial (vCPU)],$B1030)),ISNUMBER(INDEX(TblClusters[CPU min (vCPU)],$B1030)),OR(INDEX(TblClusters[Plateforme],$B1030)="IKS",INDEX(TblClusters[Plateforme],$B1030)="ROKS")),1,0),0))</f>
        <v>1</v>
      </c>
      <c r="E1030" s="72">
        <f t="shared" ref="E1030:E1093" si="274">IF($D1030=1,EDATE(p_debut,$C1030-1),"")</f>
        <v>46784</v>
      </c>
      <c r="F1030" s="19" t="str">
        <f>IF($D1030=1,INDEX(TblClusters[Cluster],$B1030),"")</f>
        <v>ku002i001071</v>
      </c>
      <c r="G1030" s="19" t="str">
        <f>IF($D1030=1,INDEX(TblClusters[Plateforme],$B1030),"")</f>
        <v>IKS</v>
      </c>
      <c r="H1030" s="19">
        <f>IF($D1030=1,INDEX(TblClusters[vCPU par nœud],$B1030),"")</f>
        <v>64</v>
      </c>
      <c r="I1030" s="19">
        <f>IF($D1030=1,INDEX(TblClusters[RAM par nœud (Go)],$B1030),"")</f>
        <v>512</v>
      </c>
      <c r="J1030" s="19">
        <f>IF($D1030=1,INDEX(TblClusters[Workers min],$B1030),"")</f>
        <v>3</v>
      </c>
      <c r="K1030" s="73">
        <f>IF($D1030=1,INDEX(TblClusters[Tarif par nœud],$B1030),"")</f>
        <v>2842</v>
      </c>
      <c r="L1030" s="19">
        <f>IF($D1030=1,INDEX(TblClusters[CPU initial (vCPU)],$B1030),"")</f>
        <v>384</v>
      </c>
      <c r="M1030" s="19">
        <f>IF($D1030=1,INDEX(TblClusters[RAM initiale (Go)],$B1030),"")</f>
        <v>3072</v>
      </c>
      <c r="N1030" s="19">
        <f>IF($D1030=1,INDEX(TblClusters[CPU min (vCPU)],$B1030),"")</f>
        <v>192</v>
      </c>
      <c r="O1030" s="19">
        <f>IF($D1030=1,INDEX(TblClusters[RAM min (Go)],$B1030),"")</f>
        <v>1536</v>
      </c>
      <c r="P1030" s="19">
        <f>IF($D1030&lt;&gt;1,"",IF($G1030="ROKS",SUMIFS(TblApplications[Besoin ROKS CPU (vCPU)],TblApplications[Cluster ROKS cible],$F1030,TblApplications[Action],"À migrer",TblApplications[Déjà incluse ROKS],"Non",TblApplications[Mois prov (calc)],"&lt;="&amp;$E1030),SUMIFS(TblApplications[CPU IKS libérable (vCPU)],TblApplications[Cluster IKS source],$F1030,TblApplications[Mois lib (calc)],"&lt;="&amp;$E1030)))</f>
        <v>0</v>
      </c>
      <c r="Q1030" s="19">
        <f>IF($D1030&lt;&gt;1,"",IF($G1030="ROKS",SUMIFS(TblApplications[Besoin ROKS RAM (Go)],TblApplications[Cluster ROKS cible],$F1030,TblApplications[Action],"À migrer",TblApplications[Déjà incluse ROKS],"Non",TblApplications[Mois prov (calc)],"&lt;="&amp;$E1030),SUMIFS(TblApplications[RAM IKS libérable (Go)],TblApplications[Cluster IKS source],$F1030,TblApplications[Mois lib (calc)],"&lt;="&amp;$E1030)))</f>
        <v>0</v>
      </c>
      <c r="R1030" s="19">
        <f t="shared" ref="R1030:R1093" si="275">IF($D1030&lt;&gt;1,"",IF($G1030="ROKS",$L1030+$P1030,IF($AI1030=1,0,MAX($N1030,$L1030-$P1030))))</f>
        <v>384</v>
      </c>
      <c r="S1030" s="19">
        <f t="shared" ref="S1030:S1093" si="276">IF($D1030&lt;&gt;1,"",IF($G1030="ROKS",$M1030+$Q1030,IF($AI1030=1,0,MAX($O1030,$M1030-$Q1030))))</f>
        <v>3072</v>
      </c>
      <c r="T1030" s="19">
        <f t="shared" ref="T1030:T1093" si="277">IF($D1030&lt;&gt;1,"",IF($AI1030=1,0,MAX($J1030,ROUNDUP(MAX($R1030/$H1030,$S1030/$I1030),0))))</f>
        <v>6</v>
      </c>
      <c r="U1030" s="19">
        <f t="shared" ref="U1030:U1093" si="278">IF($D1030&lt;&gt;1,"",IF(p_mode="Nœud",$T1030*$H1030,$R1030))</f>
        <v>384</v>
      </c>
      <c r="V1030" s="19">
        <f t="shared" ref="V1030:V1093" si="279">IF($D1030&lt;&gt;1,"",IF(p_mode="Nœud",$T1030*$I1030,$S1030))</f>
        <v>3072</v>
      </c>
      <c r="W1030" s="73">
        <f t="shared" ref="W1030:W1093" si="280">IF($D1030&lt;&gt;1,"",IF(p_mode="Nœud",$T1030*$K1030,$R1030*IF($G1030="IKS",p_iks_cpu,p_roks_cpu)+$S1030*IF($G1030="IKS",p_iks_ram,p_roks_ram))*p_facteur)</f>
        <v>17052</v>
      </c>
      <c r="X1030" s="19">
        <f>IF($D1030&lt;&gt;1,"",IF($G1030="ROKS",$R1030,IF($AI1030=1,0,MAX($N1030,$L1030-SUMIFS(TblApplications[CPU IKS libérable (vCPU)],TblApplications[Cluster IKS source],$F1030,TblApplications[Action],"À migrer",TblApplications[Mois prov (calc)],"&lt;="&amp;$E1030)-SUMIFS(TblApplications[CPU IKS libérable (vCPU)],TblApplications[Cluster IKS source],$F1030,TblApplications[Action],"À décommissionner",TblApplications[Mois lib (calc)],"&lt;="&amp;$E1030)))))</f>
        <v>384</v>
      </c>
      <c r="Y1030" s="19">
        <f>IF($D1030&lt;&gt;1,"",IF($G1030="ROKS",$S1030,IF($AI1030=1,0,MAX($O1030,$M1030-SUMIFS(TblApplications[RAM IKS libérable (Go)],TblApplications[Cluster IKS source],$F1030,TblApplications[Action],"À migrer",TblApplications[Mois prov (calc)],"&lt;="&amp;$E1030)-SUMIFS(TblApplications[RAM IKS libérable (Go)],TblApplications[Cluster IKS source],$F1030,TblApplications[Action],"À décommissionner",TblApplications[Mois lib (calc)],"&lt;="&amp;$E1030)))))</f>
        <v>3072</v>
      </c>
      <c r="Z1030" s="19">
        <f t="shared" ref="Z1030:Z1093" si="281">IF($D1030&lt;&gt;1,"",IF($AI1030=1,0,MAX($J1030,ROUNDUP(MAX($X1030/$H1030,$Y1030/$I1030),0))))</f>
        <v>6</v>
      </c>
      <c r="AA1030" s="73">
        <f t="shared" ref="AA1030:AA1093" si="282">IF($D1030&lt;&gt;1,"",IF(p_mode="Nœud",$Z1030*$K1030,$X1030*IF($G1030="IKS",p_iks_cpu,p_roks_cpu)+$Y1030*IF($G1030="IKS",p_iks_ram,p_roks_ram))*p_facteur)</f>
        <v>17052</v>
      </c>
      <c r="AB1030" s="19">
        <f t="shared" ref="AB1030:AB1093" si="283">IF($D1030&lt;&gt;1,"",MAX($J1030,ROUNDUP(MAX($L1030/$H1030,$M1030/$I1030),0)))</f>
        <v>6</v>
      </c>
      <c r="AC1030" s="73">
        <f t="shared" ref="AC1030:AC1093" si="284">IF($D1030&lt;&gt;1,"",IF(p_mode="Nœud",$AB1030*$K1030,$L1030*IF($G1030="IKS",p_iks_cpu,p_roks_cpu)+$M1030*IF($G1030="IKS",p_iks_ram,p_roks_ram))*p_facteur)</f>
        <v>17052</v>
      </c>
      <c r="AD1030" s="19">
        <f t="shared" ref="AD1030:AD1093" si="285">IF($D1030&lt;&gt;1,"",IF(AND($G1030="IKS",$AI1030&lt;&gt;1,OR($L1030-$P1030&lt;$N1030,$M1030-$Q1030&lt;$O1030)),1,0))</f>
        <v>0</v>
      </c>
      <c r="AE1030" s="19">
        <f t="shared" ref="AE1030:AE1093" si="286">IF($D1030&lt;&gt;1,"",IF(AND($G1030="ROKS",$T1030&gt;p_maxworkers),1,0))</f>
        <v>0</v>
      </c>
      <c r="AF1030" s="19" t="str">
        <f>IF($D1030&lt;&gt;1,"",IF(INDEX(TblClusters[Environnement],$B1030)="","(vide)",INDEX(TblClusters[Environnement],$B1030)))</f>
        <v>PRD</v>
      </c>
      <c r="AG1030" s="19">
        <f t="shared" ref="AG1030:AG1093" si="287">IF($D1030&lt;&gt;1,"",$R1030+p_poidsram*$S1030)</f>
        <v>691.2</v>
      </c>
      <c r="AH1030" s="19">
        <f t="shared" ref="AH1030:AH1093" si="288">IF($D1030&lt;&gt;1,"",IFERROR($W1030/$AG1030,0))</f>
        <v>24.670138888888886</v>
      </c>
      <c r="AI1030" s="19">
        <f>IF($D1030&lt;&gt;1,"",IF(AND($G1030="IKS",ISNUMBER(INDEX(TblClusters[Fermeture retenue],$B1030))),IF($E1030&gt;=INDEX(TblClusters[Fermeture retenue],$B1030),1,0),0))</f>
        <v>0</v>
      </c>
    </row>
    <row r="1031" spans="1:35" x14ac:dyDescent="0.2">
      <c r="A1031" s="19">
        <v>1026</v>
      </c>
      <c r="B1031" s="19">
        <f t="shared" si="272"/>
        <v>29</v>
      </c>
      <c r="C1031" s="19">
        <f t="shared" si="273"/>
        <v>18</v>
      </c>
      <c r="D1031" s="19">
        <f>IF($C1031&gt;p_horizon,0,IFERROR(IF(AND(INDEX(TblClusters[Cluster],$B1031)&lt;&gt;"",ISNUMBER(INDEX(TblClusters[CPU initial (vCPU)],$B1031)),ISNUMBER(INDEX(TblClusters[CPU min (vCPU)],$B1031)),OR(INDEX(TblClusters[Plateforme],$B1031)="IKS",INDEX(TblClusters[Plateforme],$B1031)="ROKS")),1,0),0))</f>
        <v>1</v>
      </c>
      <c r="E1031" s="72">
        <f t="shared" si="274"/>
        <v>46813</v>
      </c>
      <c r="F1031" s="19" t="str">
        <f>IF($D1031=1,INDEX(TblClusters[Cluster],$B1031),"")</f>
        <v>ku002i001071</v>
      </c>
      <c r="G1031" s="19" t="str">
        <f>IF($D1031=1,INDEX(TblClusters[Plateforme],$B1031),"")</f>
        <v>IKS</v>
      </c>
      <c r="H1031" s="19">
        <f>IF($D1031=1,INDEX(TblClusters[vCPU par nœud],$B1031),"")</f>
        <v>64</v>
      </c>
      <c r="I1031" s="19">
        <f>IF($D1031=1,INDEX(TblClusters[RAM par nœud (Go)],$B1031),"")</f>
        <v>512</v>
      </c>
      <c r="J1031" s="19">
        <f>IF($D1031=1,INDEX(TblClusters[Workers min],$B1031),"")</f>
        <v>3</v>
      </c>
      <c r="K1031" s="73">
        <f>IF($D1031=1,INDEX(TblClusters[Tarif par nœud],$B1031),"")</f>
        <v>2842</v>
      </c>
      <c r="L1031" s="19">
        <f>IF($D1031=1,INDEX(TblClusters[CPU initial (vCPU)],$B1031),"")</f>
        <v>384</v>
      </c>
      <c r="M1031" s="19">
        <f>IF($D1031=1,INDEX(TblClusters[RAM initiale (Go)],$B1031),"")</f>
        <v>3072</v>
      </c>
      <c r="N1031" s="19">
        <f>IF($D1031=1,INDEX(TblClusters[CPU min (vCPU)],$B1031),"")</f>
        <v>192</v>
      </c>
      <c r="O1031" s="19">
        <f>IF($D1031=1,INDEX(TblClusters[RAM min (Go)],$B1031),"")</f>
        <v>1536</v>
      </c>
      <c r="P1031" s="19">
        <f>IF($D1031&lt;&gt;1,"",IF($G1031="ROKS",SUMIFS(TblApplications[Besoin ROKS CPU (vCPU)],TblApplications[Cluster ROKS cible],$F1031,TblApplications[Action],"À migrer",TblApplications[Déjà incluse ROKS],"Non",TblApplications[Mois prov (calc)],"&lt;="&amp;$E1031),SUMIFS(TblApplications[CPU IKS libérable (vCPU)],TblApplications[Cluster IKS source],$F1031,TblApplications[Mois lib (calc)],"&lt;="&amp;$E1031)))</f>
        <v>0</v>
      </c>
      <c r="Q1031" s="19">
        <f>IF($D1031&lt;&gt;1,"",IF($G1031="ROKS",SUMIFS(TblApplications[Besoin ROKS RAM (Go)],TblApplications[Cluster ROKS cible],$F1031,TblApplications[Action],"À migrer",TblApplications[Déjà incluse ROKS],"Non",TblApplications[Mois prov (calc)],"&lt;="&amp;$E1031),SUMIFS(TblApplications[RAM IKS libérable (Go)],TblApplications[Cluster IKS source],$F1031,TblApplications[Mois lib (calc)],"&lt;="&amp;$E1031)))</f>
        <v>0</v>
      </c>
      <c r="R1031" s="19">
        <f t="shared" si="275"/>
        <v>384</v>
      </c>
      <c r="S1031" s="19">
        <f t="shared" si="276"/>
        <v>3072</v>
      </c>
      <c r="T1031" s="19">
        <f t="shared" si="277"/>
        <v>6</v>
      </c>
      <c r="U1031" s="19">
        <f t="shared" si="278"/>
        <v>384</v>
      </c>
      <c r="V1031" s="19">
        <f t="shared" si="279"/>
        <v>3072</v>
      </c>
      <c r="W1031" s="73">
        <f t="shared" si="280"/>
        <v>17052</v>
      </c>
      <c r="X1031" s="19">
        <f>IF($D1031&lt;&gt;1,"",IF($G1031="ROKS",$R1031,IF($AI1031=1,0,MAX($N1031,$L1031-SUMIFS(TblApplications[CPU IKS libérable (vCPU)],TblApplications[Cluster IKS source],$F1031,TblApplications[Action],"À migrer",TblApplications[Mois prov (calc)],"&lt;="&amp;$E1031)-SUMIFS(TblApplications[CPU IKS libérable (vCPU)],TblApplications[Cluster IKS source],$F1031,TblApplications[Action],"À décommissionner",TblApplications[Mois lib (calc)],"&lt;="&amp;$E1031)))))</f>
        <v>384</v>
      </c>
      <c r="Y1031" s="19">
        <f>IF($D1031&lt;&gt;1,"",IF($G1031="ROKS",$S1031,IF($AI1031=1,0,MAX($O1031,$M1031-SUMIFS(TblApplications[RAM IKS libérable (Go)],TblApplications[Cluster IKS source],$F1031,TblApplications[Action],"À migrer",TblApplications[Mois prov (calc)],"&lt;="&amp;$E1031)-SUMIFS(TblApplications[RAM IKS libérable (Go)],TblApplications[Cluster IKS source],$F1031,TblApplications[Action],"À décommissionner",TblApplications[Mois lib (calc)],"&lt;="&amp;$E1031)))))</f>
        <v>3072</v>
      </c>
      <c r="Z1031" s="19">
        <f t="shared" si="281"/>
        <v>6</v>
      </c>
      <c r="AA1031" s="73">
        <f t="shared" si="282"/>
        <v>17052</v>
      </c>
      <c r="AB1031" s="19">
        <f t="shared" si="283"/>
        <v>6</v>
      </c>
      <c r="AC1031" s="73">
        <f t="shared" si="284"/>
        <v>17052</v>
      </c>
      <c r="AD1031" s="19">
        <f t="shared" si="285"/>
        <v>0</v>
      </c>
      <c r="AE1031" s="19">
        <f t="shared" si="286"/>
        <v>0</v>
      </c>
      <c r="AF1031" s="19" t="str">
        <f>IF($D1031&lt;&gt;1,"",IF(INDEX(TblClusters[Environnement],$B1031)="","(vide)",INDEX(TblClusters[Environnement],$B1031)))</f>
        <v>PRD</v>
      </c>
      <c r="AG1031" s="19">
        <f t="shared" si="287"/>
        <v>691.2</v>
      </c>
      <c r="AH1031" s="19">
        <f t="shared" si="288"/>
        <v>24.670138888888886</v>
      </c>
      <c r="AI1031" s="19">
        <f>IF($D1031&lt;&gt;1,"",IF(AND($G1031="IKS",ISNUMBER(INDEX(TblClusters[Fermeture retenue],$B1031))),IF($E1031&gt;=INDEX(TblClusters[Fermeture retenue],$B1031),1,0),0))</f>
        <v>0</v>
      </c>
    </row>
    <row r="1032" spans="1:35" x14ac:dyDescent="0.2">
      <c r="A1032" s="19">
        <v>1027</v>
      </c>
      <c r="B1032" s="19">
        <f t="shared" si="272"/>
        <v>29</v>
      </c>
      <c r="C1032" s="19">
        <f t="shared" si="273"/>
        <v>19</v>
      </c>
      <c r="D1032" s="19">
        <f>IF($C1032&gt;p_horizon,0,IFERROR(IF(AND(INDEX(TblClusters[Cluster],$B1032)&lt;&gt;"",ISNUMBER(INDEX(TblClusters[CPU initial (vCPU)],$B1032)),ISNUMBER(INDEX(TblClusters[CPU min (vCPU)],$B1032)),OR(INDEX(TblClusters[Plateforme],$B1032)="IKS",INDEX(TblClusters[Plateforme],$B1032)="ROKS")),1,0),0))</f>
        <v>1</v>
      </c>
      <c r="E1032" s="72">
        <f t="shared" si="274"/>
        <v>46844</v>
      </c>
      <c r="F1032" s="19" t="str">
        <f>IF($D1032=1,INDEX(TblClusters[Cluster],$B1032),"")</f>
        <v>ku002i001071</v>
      </c>
      <c r="G1032" s="19" t="str">
        <f>IF($D1032=1,INDEX(TblClusters[Plateforme],$B1032),"")</f>
        <v>IKS</v>
      </c>
      <c r="H1032" s="19">
        <f>IF($D1032=1,INDEX(TblClusters[vCPU par nœud],$B1032),"")</f>
        <v>64</v>
      </c>
      <c r="I1032" s="19">
        <f>IF($D1032=1,INDEX(TblClusters[RAM par nœud (Go)],$B1032),"")</f>
        <v>512</v>
      </c>
      <c r="J1032" s="19">
        <f>IF($D1032=1,INDEX(TblClusters[Workers min],$B1032),"")</f>
        <v>3</v>
      </c>
      <c r="K1032" s="73">
        <f>IF($D1032=1,INDEX(TblClusters[Tarif par nœud],$B1032),"")</f>
        <v>2842</v>
      </c>
      <c r="L1032" s="19">
        <f>IF($D1032=1,INDEX(TblClusters[CPU initial (vCPU)],$B1032),"")</f>
        <v>384</v>
      </c>
      <c r="M1032" s="19">
        <f>IF($D1032=1,INDEX(TblClusters[RAM initiale (Go)],$B1032),"")</f>
        <v>3072</v>
      </c>
      <c r="N1032" s="19">
        <f>IF($D1032=1,INDEX(TblClusters[CPU min (vCPU)],$B1032),"")</f>
        <v>192</v>
      </c>
      <c r="O1032" s="19">
        <f>IF($D1032=1,INDEX(TblClusters[RAM min (Go)],$B1032),"")</f>
        <v>1536</v>
      </c>
      <c r="P1032" s="19">
        <f>IF($D1032&lt;&gt;1,"",IF($G1032="ROKS",SUMIFS(TblApplications[Besoin ROKS CPU (vCPU)],TblApplications[Cluster ROKS cible],$F1032,TblApplications[Action],"À migrer",TblApplications[Déjà incluse ROKS],"Non",TblApplications[Mois prov (calc)],"&lt;="&amp;$E1032),SUMIFS(TblApplications[CPU IKS libérable (vCPU)],TblApplications[Cluster IKS source],$F1032,TblApplications[Mois lib (calc)],"&lt;="&amp;$E1032)))</f>
        <v>0</v>
      </c>
      <c r="Q1032" s="19">
        <f>IF($D1032&lt;&gt;1,"",IF($G1032="ROKS",SUMIFS(TblApplications[Besoin ROKS RAM (Go)],TblApplications[Cluster ROKS cible],$F1032,TblApplications[Action],"À migrer",TblApplications[Déjà incluse ROKS],"Non",TblApplications[Mois prov (calc)],"&lt;="&amp;$E1032),SUMIFS(TblApplications[RAM IKS libérable (Go)],TblApplications[Cluster IKS source],$F1032,TblApplications[Mois lib (calc)],"&lt;="&amp;$E1032)))</f>
        <v>0</v>
      </c>
      <c r="R1032" s="19">
        <f t="shared" si="275"/>
        <v>384</v>
      </c>
      <c r="S1032" s="19">
        <f t="shared" si="276"/>
        <v>3072</v>
      </c>
      <c r="T1032" s="19">
        <f t="shared" si="277"/>
        <v>6</v>
      </c>
      <c r="U1032" s="19">
        <f t="shared" si="278"/>
        <v>384</v>
      </c>
      <c r="V1032" s="19">
        <f t="shared" si="279"/>
        <v>3072</v>
      </c>
      <c r="W1032" s="73">
        <f t="shared" si="280"/>
        <v>17052</v>
      </c>
      <c r="X1032" s="19">
        <f>IF($D1032&lt;&gt;1,"",IF($G1032="ROKS",$R1032,IF($AI1032=1,0,MAX($N1032,$L1032-SUMIFS(TblApplications[CPU IKS libérable (vCPU)],TblApplications[Cluster IKS source],$F1032,TblApplications[Action],"À migrer",TblApplications[Mois prov (calc)],"&lt;="&amp;$E1032)-SUMIFS(TblApplications[CPU IKS libérable (vCPU)],TblApplications[Cluster IKS source],$F1032,TblApplications[Action],"À décommissionner",TblApplications[Mois lib (calc)],"&lt;="&amp;$E1032)))))</f>
        <v>384</v>
      </c>
      <c r="Y1032" s="19">
        <f>IF($D1032&lt;&gt;1,"",IF($G1032="ROKS",$S1032,IF($AI1032=1,0,MAX($O1032,$M1032-SUMIFS(TblApplications[RAM IKS libérable (Go)],TblApplications[Cluster IKS source],$F1032,TblApplications[Action],"À migrer",TblApplications[Mois prov (calc)],"&lt;="&amp;$E1032)-SUMIFS(TblApplications[RAM IKS libérable (Go)],TblApplications[Cluster IKS source],$F1032,TblApplications[Action],"À décommissionner",TblApplications[Mois lib (calc)],"&lt;="&amp;$E1032)))))</f>
        <v>3072</v>
      </c>
      <c r="Z1032" s="19">
        <f t="shared" si="281"/>
        <v>6</v>
      </c>
      <c r="AA1032" s="73">
        <f t="shared" si="282"/>
        <v>17052</v>
      </c>
      <c r="AB1032" s="19">
        <f t="shared" si="283"/>
        <v>6</v>
      </c>
      <c r="AC1032" s="73">
        <f t="shared" si="284"/>
        <v>17052</v>
      </c>
      <c r="AD1032" s="19">
        <f t="shared" si="285"/>
        <v>0</v>
      </c>
      <c r="AE1032" s="19">
        <f t="shared" si="286"/>
        <v>0</v>
      </c>
      <c r="AF1032" s="19" t="str">
        <f>IF($D1032&lt;&gt;1,"",IF(INDEX(TblClusters[Environnement],$B1032)="","(vide)",INDEX(TblClusters[Environnement],$B1032)))</f>
        <v>PRD</v>
      </c>
      <c r="AG1032" s="19">
        <f t="shared" si="287"/>
        <v>691.2</v>
      </c>
      <c r="AH1032" s="19">
        <f t="shared" si="288"/>
        <v>24.670138888888886</v>
      </c>
      <c r="AI1032" s="19">
        <f>IF($D1032&lt;&gt;1,"",IF(AND($G1032="IKS",ISNUMBER(INDEX(TblClusters[Fermeture retenue],$B1032))),IF($E1032&gt;=INDEX(TblClusters[Fermeture retenue],$B1032),1,0),0))</f>
        <v>0</v>
      </c>
    </row>
    <row r="1033" spans="1:35" x14ac:dyDescent="0.2">
      <c r="A1033" s="19">
        <v>1028</v>
      </c>
      <c r="B1033" s="19">
        <f t="shared" si="272"/>
        <v>29</v>
      </c>
      <c r="C1033" s="19">
        <f t="shared" si="273"/>
        <v>20</v>
      </c>
      <c r="D1033" s="19">
        <f>IF($C1033&gt;p_horizon,0,IFERROR(IF(AND(INDEX(TblClusters[Cluster],$B1033)&lt;&gt;"",ISNUMBER(INDEX(TblClusters[CPU initial (vCPU)],$B1033)),ISNUMBER(INDEX(TblClusters[CPU min (vCPU)],$B1033)),OR(INDEX(TblClusters[Plateforme],$B1033)="IKS",INDEX(TblClusters[Plateforme],$B1033)="ROKS")),1,0),0))</f>
        <v>1</v>
      </c>
      <c r="E1033" s="72">
        <f t="shared" si="274"/>
        <v>46874</v>
      </c>
      <c r="F1033" s="19" t="str">
        <f>IF($D1033=1,INDEX(TblClusters[Cluster],$B1033),"")</f>
        <v>ku002i001071</v>
      </c>
      <c r="G1033" s="19" t="str">
        <f>IF($D1033=1,INDEX(TblClusters[Plateforme],$B1033),"")</f>
        <v>IKS</v>
      </c>
      <c r="H1033" s="19">
        <f>IF($D1033=1,INDEX(TblClusters[vCPU par nœud],$B1033),"")</f>
        <v>64</v>
      </c>
      <c r="I1033" s="19">
        <f>IF($D1033=1,INDEX(TblClusters[RAM par nœud (Go)],$B1033),"")</f>
        <v>512</v>
      </c>
      <c r="J1033" s="19">
        <f>IF($D1033=1,INDEX(TblClusters[Workers min],$B1033),"")</f>
        <v>3</v>
      </c>
      <c r="K1033" s="73">
        <f>IF($D1033=1,INDEX(TblClusters[Tarif par nœud],$B1033),"")</f>
        <v>2842</v>
      </c>
      <c r="L1033" s="19">
        <f>IF($D1033=1,INDEX(TblClusters[CPU initial (vCPU)],$B1033),"")</f>
        <v>384</v>
      </c>
      <c r="M1033" s="19">
        <f>IF($D1033=1,INDEX(TblClusters[RAM initiale (Go)],$B1033),"")</f>
        <v>3072</v>
      </c>
      <c r="N1033" s="19">
        <f>IF($D1033=1,INDEX(TblClusters[CPU min (vCPU)],$B1033),"")</f>
        <v>192</v>
      </c>
      <c r="O1033" s="19">
        <f>IF($D1033=1,INDEX(TblClusters[RAM min (Go)],$B1033),"")</f>
        <v>1536</v>
      </c>
      <c r="P1033" s="19">
        <f>IF($D1033&lt;&gt;1,"",IF($G1033="ROKS",SUMIFS(TblApplications[Besoin ROKS CPU (vCPU)],TblApplications[Cluster ROKS cible],$F1033,TblApplications[Action],"À migrer",TblApplications[Déjà incluse ROKS],"Non",TblApplications[Mois prov (calc)],"&lt;="&amp;$E1033),SUMIFS(TblApplications[CPU IKS libérable (vCPU)],TblApplications[Cluster IKS source],$F1033,TblApplications[Mois lib (calc)],"&lt;="&amp;$E1033)))</f>
        <v>0</v>
      </c>
      <c r="Q1033" s="19">
        <f>IF($D1033&lt;&gt;1,"",IF($G1033="ROKS",SUMIFS(TblApplications[Besoin ROKS RAM (Go)],TblApplications[Cluster ROKS cible],$F1033,TblApplications[Action],"À migrer",TblApplications[Déjà incluse ROKS],"Non",TblApplications[Mois prov (calc)],"&lt;="&amp;$E1033),SUMIFS(TblApplications[RAM IKS libérable (Go)],TblApplications[Cluster IKS source],$F1033,TblApplications[Mois lib (calc)],"&lt;="&amp;$E1033)))</f>
        <v>0</v>
      </c>
      <c r="R1033" s="19">
        <f t="shared" si="275"/>
        <v>384</v>
      </c>
      <c r="S1033" s="19">
        <f t="shared" si="276"/>
        <v>3072</v>
      </c>
      <c r="T1033" s="19">
        <f t="shared" si="277"/>
        <v>6</v>
      </c>
      <c r="U1033" s="19">
        <f t="shared" si="278"/>
        <v>384</v>
      </c>
      <c r="V1033" s="19">
        <f t="shared" si="279"/>
        <v>3072</v>
      </c>
      <c r="W1033" s="73">
        <f t="shared" si="280"/>
        <v>17052</v>
      </c>
      <c r="X1033" s="19">
        <f>IF($D1033&lt;&gt;1,"",IF($G1033="ROKS",$R1033,IF($AI1033=1,0,MAX($N1033,$L1033-SUMIFS(TblApplications[CPU IKS libérable (vCPU)],TblApplications[Cluster IKS source],$F1033,TblApplications[Action],"À migrer",TblApplications[Mois prov (calc)],"&lt;="&amp;$E1033)-SUMIFS(TblApplications[CPU IKS libérable (vCPU)],TblApplications[Cluster IKS source],$F1033,TblApplications[Action],"À décommissionner",TblApplications[Mois lib (calc)],"&lt;="&amp;$E1033)))))</f>
        <v>384</v>
      </c>
      <c r="Y1033" s="19">
        <f>IF($D1033&lt;&gt;1,"",IF($G1033="ROKS",$S1033,IF($AI1033=1,0,MAX($O1033,$M1033-SUMIFS(TblApplications[RAM IKS libérable (Go)],TblApplications[Cluster IKS source],$F1033,TblApplications[Action],"À migrer",TblApplications[Mois prov (calc)],"&lt;="&amp;$E1033)-SUMIFS(TblApplications[RAM IKS libérable (Go)],TblApplications[Cluster IKS source],$F1033,TblApplications[Action],"À décommissionner",TblApplications[Mois lib (calc)],"&lt;="&amp;$E1033)))))</f>
        <v>3072</v>
      </c>
      <c r="Z1033" s="19">
        <f t="shared" si="281"/>
        <v>6</v>
      </c>
      <c r="AA1033" s="73">
        <f t="shared" si="282"/>
        <v>17052</v>
      </c>
      <c r="AB1033" s="19">
        <f t="shared" si="283"/>
        <v>6</v>
      </c>
      <c r="AC1033" s="73">
        <f t="shared" si="284"/>
        <v>17052</v>
      </c>
      <c r="AD1033" s="19">
        <f t="shared" si="285"/>
        <v>0</v>
      </c>
      <c r="AE1033" s="19">
        <f t="shared" si="286"/>
        <v>0</v>
      </c>
      <c r="AF1033" s="19" t="str">
        <f>IF($D1033&lt;&gt;1,"",IF(INDEX(TblClusters[Environnement],$B1033)="","(vide)",INDEX(TblClusters[Environnement],$B1033)))</f>
        <v>PRD</v>
      </c>
      <c r="AG1033" s="19">
        <f t="shared" si="287"/>
        <v>691.2</v>
      </c>
      <c r="AH1033" s="19">
        <f t="shared" si="288"/>
        <v>24.670138888888886</v>
      </c>
      <c r="AI1033" s="19">
        <f>IF($D1033&lt;&gt;1,"",IF(AND($G1033="IKS",ISNUMBER(INDEX(TblClusters[Fermeture retenue],$B1033))),IF($E1033&gt;=INDEX(TblClusters[Fermeture retenue],$B1033),1,0),0))</f>
        <v>0</v>
      </c>
    </row>
    <row r="1034" spans="1:35" x14ac:dyDescent="0.2">
      <c r="A1034" s="19">
        <v>1029</v>
      </c>
      <c r="B1034" s="19">
        <f t="shared" si="272"/>
        <v>29</v>
      </c>
      <c r="C1034" s="19">
        <f t="shared" si="273"/>
        <v>21</v>
      </c>
      <c r="D1034" s="19">
        <f>IF($C1034&gt;p_horizon,0,IFERROR(IF(AND(INDEX(TblClusters[Cluster],$B1034)&lt;&gt;"",ISNUMBER(INDEX(TblClusters[CPU initial (vCPU)],$B1034)),ISNUMBER(INDEX(TblClusters[CPU min (vCPU)],$B1034)),OR(INDEX(TblClusters[Plateforme],$B1034)="IKS",INDEX(TblClusters[Plateforme],$B1034)="ROKS")),1,0),0))</f>
        <v>1</v>
      </c>
      <c r="E1034" s="72">
        <f t="shared" si="274"/>
        <v>46905</v>
      </c>
      <c r="F1034" s="19" t="str">
        <f>IF($D1034=1,INDEX(TblClusters[Cluster],$B1034),"")</f>
        <v>ku002i001071</v>
      </c>
      <c r="G1034" s="19" t="str">
        <f>IF($D1034=1,INDEX(TblClusters[Plateforme],$B1034),"")</f>
        <v>IKS</v>
      </c>
      <c r="H1034" s="19">
        <f>IF($D1034=1,INDEX(TblClusters[vCPU par nœud],$B1034),"")</f>
        <v>64</v>
      </c>
      <c r="I1034" s="19">
        <f>IF($D1034=1,INDEX(TblClusters[RAM par nœud (Go)],$B1034),"")</f>
        <v>512</v>
      </c>
      <c r="J1034" s="19">
        <f>IF($D1034=1,INDEX(TblClusters[Workers min],$B1034),"")</f>
        <v>3</v>
      </c>
      <c r="K1034" s="73">
        <f>IF($D1034=1,INDEX(TblClusters[Tarif par nœud],$B1034),"")</f>
        <v>2842</v>
      </c>
      <c r="L1034" s="19">
        <f>IF($D1034=1,INDEX(TblClusters[CPU initial (vCPU)],$B1034),"")</f>
        <v>384</v>
      </c>
      <c r="M1034" s="19">
        <f>IF($D1034=1,INDEX(TblClusters[RAM initiale (Go)],$B1034),"")</f>
        <v>3072</v>
      </c>
      <c r="N1034" s="19">
        <f>IF($D1034=1,INDEX(TblClusters[CPU min (vCPU)],$B1034),"")</f>
        <v>192</v>
      </c>
      <c r="O1034" s="19">
        <f>IF($D1034=1,INDEX(TblClusters[RAM min (Go)],$B1034),"")</f>
        <v>1536</v>
      </c>
      <c r="P1034" s="19">
        <f>IF($D1034&lt;&gt;1,"",IF($G1034="ROKS",SUMIFS(TblApplications[Besoin ROKS CPU (vCPU)],TblApplications[Cluster ROKS cible],$F1034,TblApplications[Action],"À migrer",TblApplications[Déjà incluse ROKS],"Non",TblApplications[Mois prov (calc)],"&lt;="&amp;$E1034),SUMIFS(TblApplications[CPU IKS libérable (vCPU)],TblApplications[Cluster IKS source],$F1034,TblApplications[Mois lib (calc)],"&lt;="&amp;$E1034)))</f>
        <v>0</v>
      </c>
      <c r="Q1034" s="19">
        <f>IF($D1034&lt;&gt;1,"",IF($G1034="ROKS",SUMIFS(TblApplications[Besoin ROKS RAM (Go)],TblApplications[Cluster ROKS cible],$F1034,TblApplications[Action],"À migrer",TblApplications[Déjà incluse ROKS],"Non",TblApplications[Mois prov (calc)],"&lt;="&amp;$E1034),SUMIFS(TblApplications[RAM IKS libérable (Go)],TblApplications[Cluster IKS source],$F1034,TblApplications[Mois lib (calc)],"&lt;="&amp;$E1034)))</f>
        <v>0</v>
      </c>
      <c r="R1034" s="19">
        <f t="shared" si="275"/>
        <v>384</v>
      </c>
      <c r="S1034" s="19">
        <f t="shared" si="276"/>
        <v>3072</v>
      </c>
      <c r="T1034" s="19">
        <f t="shared" si="277"/>
        <v>6</v>
      </c>
      <c r="U1034" s="19">
        <f t="shared" si="278"/>
        <v>384</v>
      </c>
      <c r="V1034" s="19">
        <f t="shared" si="279"/>
        <v>3072</v>
      </c>
      <c r="W1034" s="73">
        <f t="shared" si="280"/>
        <v>17052</v>
      </c>
      <c r="X1034" s="19">
        <f>IF($D1034&lt;&gt;1,"",IF($G1034="ROKS",$R1034,IF($AI1034=1,0,MAX($N1034,$L1034-SUMIFS(TblApplications[CPU IKS libérable (vCPU)],TblApplications[Cluster IKS source],$F1034,TblApplications[Action],"À migrer",TblApplications[Mois prov (calc)],"&lt;="&amp;$E1034)-SUMIFS(TblApplications[CPU IKS libérable (vCPU)],TblApplications[Cluster IKS source],$F1034,TblApplications[Action],"À décommissionner",TblApplications[Mois lib (calc)],"&lt;="&amp;$E1034)))))</f>
        <v>384</v>
      </c>
      <c r="Y1034" s="19">
        <f>IF($D1034&lt;&gt;1,"",IF($G1034="ROKS",$S1034,IF($AI1034=1,0,MAX($O1034,$M1034-SUMIFS(TblApplications[RAM IKS libérable (Go)],TblApplications[Cluster IKS source],$F1034,TblApplications[Action],"À migrer",TblApplications[Mois prov (calc)],"&lt;="&amp;$E1034)-SUMIFS(TblApplications[RAM IKS libérable (Go)],TblApplications[Cluster IKS source],$F1034,TblApplications[Action],"À décommissionner",TblApplications[Mois lib (calc)],"&lt;="&amp;$E1034)))))</f>
        <v>3072</v>
      </c>
      <c r="Z1034" s="19">
        <f t="shared" si="281"/>
        <v>6</v>
      </c>
      <c r="AA1034" s="73">
        <f t="shared" si="282"/>
        <v>17052</v>
      </c>
      <c r="AB1034" s="19">
        <f t="shared" si="283"/>
        <v>6</v>
      </c>
      <c r="AC1034" s="73">
        <f t="shared" si="284"/>
        <v>17052</v>
      </c>
      <c r="AD1034" s="19">
        <f t="shared" si="285"/>
        <v>0</v>
      </c>
      <c r="AE1034" s="19">
        <f t="shared" si="286"/>
        <v>0</v>
      </c>
      <c r="AF1034" s="19" t="str">
        <f>IF($D1034&lt;&gt;1,"",IF(INDEX(TblClusters[Environnement],$B1034)="","(vide)",INDEX(TblClusters[Environnement],$B1034)))</f>
        <v>PRD</v>
      </c>
      <c r="AG1034" s="19">
        <f t="shared" si="287"/>
        <v>691.2</v>
      </c>
      <c r="AH1034" s="19">
        <f t="shared" si="288"/>
        <v>24.670138888888886</v>
      </c>
      <c r="AI1034" s="19">
        <f>IF($D1034&lt;&gt;1,"",IF(AND($G1034="IKS",ISNUMBER(INDEX(TblClusters[Fermeture retenue],$B1034))),IF($E1034&gt;=INDEX(TblClusters[Fermeture retenue],$B1034),1,0),0))</f>
        <v>0</v>
      </c>
    </row>
    <row r="1035" spans="1:35" x14ac:dyDescent="0.2">
      <c r="A1035" s="19">
        <v>1030</v>
      </c>
      <c r="B1035" s="19">
        <f t="shared" si="272"/>
        <v>29</v>
      </c>
      <c r="C1035" s="19">
        <f t="shared" si="273"/>
        <v>22</v>
      </c>
      <c r="D1035" s="19">
        <f>IF($C1035&gt;p_horizon,0,IFERROR(IF(AND(INDEX(TblClusters[Cluster],$B1035)&lt;&gt;"",ISNUMBER(INDEX(TblClusters[CPU initial (vCPU)],$B1035)),ISNUMBER(INDEX(TblClusters[CPU min (vCPU)],$B1035)),OR(INDEX(TblClusters[Plateforme],$B1035)="IKS",INDEX(TblClusters[Plateforme],$B1035)="ROKS")),1,0),0))</f>
        <v>1</v>
      </c>
      <c r="E1035" s="72">
        <f t="shared" si="274"/>
        <v>46935</v>
      </c>
      <c r="F1035" s="19" t="str">
        <f>IF($D1035=1,INDEX(TblClusters[Cluster],$B1035),"")</f>
        <v>ku002i001071</v>
      </c>
      <c r="G1035" s="19" t="str">
        <f>IF($D1035=1,INDEX(TblClusters[Plateforme],$B1035),"")</f>
        <v>IKS</v>
      </c>
      <c r="H1035" s="19">
        <f>IF($D1035=1,INDEX(TblClusters[vCPU par nœud],$B1035),"")</f>
        <v>64</v>
      </c>
      <c r="I1035" s="19">
        <f>IF($D1035=1,INDEX(TblClusters[RAM par nœud (Go)],$B1035),"")</f>
        <v>512</v>
      </c>
      <c r="J1035" s="19">
        <f>IF($D1035=1,INDEX(TblClusters[Workers min],$B1035),"")</f>
        <v>3</v>
      </c>
      <c r="K1035" s="73">
        <f>IF($D1035=1,INDEX(TblClusters[Tarif par nœud],$B1035),"")</f>
        <v>2842</v>
      </c>
      <c r="L1035" s="19">
        <f>IF($D1035=1,INDEX(TblClusters[CPU initial (vCPU)],$B1035),"")</f>
        <v>384</v>
      </c>
      <c r="M1035" s="19">
        <f>IF($D1035=1,INDEX(TblClusters[RAM initiale (Go)],$B1035),"")</f>
        <v>3072</v>
      </c>
      <c r="N1035" s="19">
        <f>IF($D1035=1,INDEX(TblClusters[CPU min (vCPU)],$B1035),"")</f>
        <v>192</v>
      </c>
      <c r="O1035" s="19">
        <f>IF($D1035=1,INDEX(TblClusters[RAM min (Go)],$B1035),"")</f>
        <v>1536</v>
      </c>
      <c r="P1035" s="19">
        <f>IF($D1035&lt;&gt;1,"",IF($G1035="ROKS",SUMIFS(TblApplications[Besoin ROKS CPU (vCPU)],TblApplications[Cluster ROKS cible],$F1035,TblApplications[Action],"À migrer",TblApplications[Déjà incluse ROKS],"Non",TblApplications[Mois prov (calc)],"&lt;="&amp;$E1035),SUMIFS(TblApplications[CPU IKS libérable (vCPU)],TblApplications[Cluster IKS source],$F1035,TblApplications[Mois lib (calc)],"&lt;="&amp;$E1035)))</f>
        <v>0</v>
      </c>
      <c r="Q1035" s="19">
        <f>IF($D1035&lt;&gt;1,"",IF($G1035="ROKS",SUMIFS(TblApplications[Besoin ROKS RAM (Go)],TblApplications[Cluster ROKS cible],$F1035,TblApplications[Action],"À migrer",TblApplications[Déjà incluse ROKS],"Non",TblApplications[Mois prov (calc)],"&lt;="&amp;$E1035),SUMIFS(TblApplications[RAM IKS libérable (Go)],TblApplications[Cluster IKS source],$F1035,TblApplications[Mois lib (calc)],"&lt;="&amp;$E1035)))</f>
        <v>0</v>
      </c>
      <c r="R1035" s="19">
        <f t="shared" si="275"/>
        <v>384</v>
      </c>
      <c r="S1035" s="19">
        <f t="shared" si="276"/>
        <v>3072</v>
      </c>
      <c r="T1035" s="19">
        <f t="shared" si="277"/>
        <v>6</v>
      </c>
      <c r="U1035" s="19">
        <f t="shared" si="278"/>
        <v>384</v>
      </c>
      <c r="V1035" s="19">
        <f t="shared" si="279"/>
        <v>3072</v>
      </c>
      <c r="W1035" s="73">
        <f t="shared" si="280"/>
        <v>17052</v>
      </c>
      <c r="X1035" s="19">
        <f>IF($D1035&lt;&gt;1,"",IF($G1035="ROKS",$R1035,IF($AI1035=1,0,MAX($N1035,$L1035-SUMIFS(TblApplications[CPU IKS libérable (vCPU)],TblApplications[Cluster IKS source],$F1035,TblApplications[Action],"À migrer",TblApplications[Mois prov (calc)],"&lt;="&amp;$E1035)-SUMIFS(TblApplications[CPU IKS libérable (vCPU)],TblApplications[Cluster IKS source],$F1035,TblApplications[Action],"À décommissionner",TblApplications[Mois lib (calc)],"&lt;="&amp;$E1035)))))</f>
        <v>384</v>
      </c>
      <c r="Y1035" s="19">
        <f>IF($D1035&lt;&gt;1,"",IF($G1035="ROKS",$S1035,IF($AI1035=1,0,MAX($O1035,$M1035-SUMIFS(TblApplications[RAM IKS libérable (Go)],TblApplications[Cluster IKS source],$F1035,TblApplications[Action],"À migrer",TblApplications[Mois prov (calc)],"&lt;="&amp;$E1035)-SUMIFS(TblApplications[RAM IKS libérable (Go)],TblApplications[Cluster IKS source],$F1035,TblApplications[Action],"À décommissionner",TblApplications[Mois lib (calc)],"&lt;="&amp;$E1035)))))</f>
        <v>3072</v>
      </c>
      <c r="Z1035" s="19">
        <f t="shared" si="281"/>
        <v>6</v>
      </c>
      <c r="AA1035" s="73">
        <f t="shared" si="282"/>
        <v>17052</v>
      </c>
      <c r="AB1035" s="19">
        <f t="shared" si="283"/>
        <v>6</v>
      </c>
      <c r="AC1035" s="73">
        <f t="shared" si="284"/>
        <v>17052</v>
      </c>
      <c r="AD1035" s="19">
        <f t="shared" si="285"/>
        <v>0</v>
      </c>
      <c r="AE1035" s="19">
        <f t="shared" si="286"/>
        <v>0</v>
      </c>
      <c r="AF1035" s="19" t="str">
        <f>IF($D1035&lt;&gt;1,"",IF(INDEX(TblClusters[Environnement],$B1035)="","(vide)",INDEX(TblClusters[Environnement],$B1035)))</f>
        <v>PRD</v>
      </c>
      <c r="AG1035" s="19">
        <f t="shared" si="287"/>
        <v>691.2</v>
      </c>
      <c r="AH1035" s="19">
        <f t="shared" si="288"/>
        <v>24.670138888888886</v>
      </c>
      <c r="AI1035" s="19">
        <f>IF($D1035&lt;&gt;1,"",IF(AND($G1035="IKS",ISNUMBER(INDEX(TblClusters[Fermeture retenue],$B1035))),IF($E1035&gt;=INDEX(TblClusters[Fermeture retenue],$B1035),1,0),0))</f>
        <v>0</v>
      </c>
    </row>
    <row r="1036" spans="1:35" x14ac:dyDescent="0.2">
      <c r="A1036" s="19">
        <v>1031</v>
      </c>
      <c r="B1036" s="19">
        <f t="shared" si="272"/>
        <v>29</v>
      </c>
      <c r="C1036" s="19">
        <f t="shared" si="273"/>
        <v>23</v>
      </c>
      <c r="D1036" s="19">
        <f>IF($C1036&gt;p_horizon,0,IFERROR(IF(AND(INDEX(TblClusters[Cluster],$B1036)&lt;&gt;"",ISNUMBER(INDEX(TblClusters[CPU initial (vCPU)],$B1036)),ISNUMBER(INDEX(TblClusters[CPU min (vCPU)],$B1036)),OR(INDEX(TblClusters[Plateforme],$B1036)="IKS",INDEX(TblClusters[Plateforme],$B1036)="ROKS")),1,0),0))</f>
        <v>1</v>
      </c>
      <c r="E1036" s="72">
        <f t="shared" si="274"/>
        <v>46966</v>
      </c>
      <c r="F1036" s="19" t="str">
        <f>IF($D1036=1,INDEX(TblClusters[Cluster],$B1036),"")</f>
        <v>ku002i001071</v>
      </c>
      <c r="G1036" s="19" t="str">
        <f>IF($D1036=1,INDEX(TblClusters[Plateforme],$B1036),"")</f>
        <v>IKS</v>
      </c>
      <c r="H1036" s="19">
        <f>IF($D1036=1,INDEX(TblClusters[vCPU par nœud],$B1036),"")</f>
        <v>64</v>
      </c>
      <c r="I1036" s="19">
        <f>IF($D1036=1,INDEX(TblClusters[RAM par nœud (Go)],$B1036),"")</f>
        <v>512</v>
      </c>
      <c r="J1036" s="19">
        <f>IF($D1036=1,INDEX(TblClusters[Workers min],$B1036),"")</f>
        <v>3</v>
      </c>
      <c r="K1036" s="73">
        <f>IF($D1036=1,INDEX(TblClusters[Tarif par nœud],$B1036),"")</f>
        <v>2842</v>
      </c>
      <c r="L1036" s="19">
        <f>IF($D1036=1,INDEX(TblClusters[CPU initial (vCPU)],$B1036),"")</f>
        <v>384</v>
      </c>
      <c r="M1036" s="19">
        <f>IF($D1036=1,INDEX(TblClusters[RAM initiale (Go)],$B1036),"")</f>
        <v>3072</v>
      </c>
      <c r="N1036" s="19">
        <f>IF($D1036=1,INDEX(TblClusters[CPU min (vCPU)],$B1036),"")</f>
        <v>192</v>
      </c>
      <c r="O1036" s="19">
        <f>IF($D1036=1,INDEX(TblClusters[RAM min (Go)],$B1036),"")</f>
        <v>1536</v>
      </c>
      <c r="P1036" s="19">
        <f>IF($D1036&lt;&gt;1,"",IF($G1036="ROKS",SUMIFS(TblApplications[Besoin ROKS CPU (vCPU)],TblApplications[Cluster ROKS cible],$F1036,TblApplications[Action],"À migrer",TblApplications[Déjà incluse ROKS],"Non",TblApplications[Mois prov (calc)],"&lt;="&amp;$E1036),SUMIFS(TblApplications[CPU IKS libérable (vCPU)],TblApplications[Cluster IKS source],$F1036,TblApplications[Mois lib (calc)],"&lt;="&amp;$E1036)))</f>
        <v>0</v>
      </c>
      <c r="Q1036" s="19">
        <f>IF($D1036&lt;&gt;1,"",IF($G1036="ROKS",SUMIFS(TblApplications[Besoin ROKS RAM (Go)],TblApplications[Cluster ROKS cible],$F1036,TblApplications[Action],"À migrer",TblApplications[Déjà incluse ROKS],"Non",TblApplications[Mois prov (calc)],"&lt;="&amp;$E1036),SUMIFS(TblApplications[RAM IKS libérable (Go)],TblApplications[Cluster IKS source],$F1036,TblApplications[Mois lib (calc)],"&lt;="&amp;$E1036)))</f>
        <v>0</v>
      </c>
      <c r="R1036" s="19">
        <f t="shared" si="275"/>
        <v>384</v>
      </c>
      <c r="S1036" s="19">
        <f t="shared" si="276"/>
        <v>3072</v>
      </c>
      <c r="T1036" s="19">
        <f t="shared" si="277"/>
        <v>6</v>
      </c>
      <c r="U1036" s="19">
        <f t="shared" si="278"/>
        <v>384</v>
      </c>
      <c r="V1036" s="19">
        <f t="shared" si="279"/>
        <v>3072</v>
      </c>
      <c r="W1036" s="73">
        <f t="shared" si="280"/>
        <v>17052</v>
      </c>
      <c r="X1036" s="19">
        <f>IF($D1036&lt;&gt;1,"",IF($G1036="ROKS",$R1036,IF($AI1036=1,0,MAX($N1036,$L1036-SUMIFS(TblApplications[CPU IKS libérable (vCPU)],TblApplications[Cluster IKS source],$F1036,TblApplications[Action],"À migrer",TblApplications[Mois prov (calc)],"&lt;="&amp;$E1036)-SUMIFS(TblApplications[CPU IKS libérable (vCPU)],TblApplications[Cluster IKS source],$F1036,TblApplications[Action],"À décommissionner",TblApplications[Mois lib (calc)],"&lt;="&amp;$E1036)))))</f>
        <v>384</v>
      </c>
      <c r="Y1036" s="19">
        <f>IF($D1036&lt;&gt;1,"",IF($G1036="ROKS",$S1036,IF($AI1036=1,0,MAX($O1036,$M1036-SUMIFS(TblApplications[RAM IKS libérable (Go)],TblApplications[Cluster IKS source],$F1036,TblApplications[Action],"À migrer",TblApplications[Mois prov (calc)],"&lt;="&amp;$E1036)-SUMIFS(TblApplications[RAM IKS libérable (Go)],TblApplications[Cluster IKS source],$F1036,TblApplications[Action],"À décommissionner",TblApplications[Mois lib (calc)],"&lt;="&amp;$E1036)))))</f>
        <v>3072</v>
      </c>
      <c r="Z1036" s="19">
        <f t="shared" si="281"/>
        <v>6</v>
      </c>
      <c r="AA1036" s="73">
        <f t="shared" si="282"/>
        <v>17052</v>
      </c>
      <c r="AB1036" s="19">
        <f t="shared" si="283"/>
        <v>6</v>
      </c>
      <c r="AC1036" s="73">
        <f t="shared" si="284"/>
        <v>17052</v>
      </c>
      <c r="AD1036" s="19">
        <f t="shared" si="285"/>
        <v>0</v>
      </c>
      <c r="AE1036" s="19">
        <f t="shared" si="286"/>
        <v>0</v>
      </c>
      <c r="AF1036" s="19" t="str">
        <f>IF($D1036&lt;&gt;1,"",IF(INDEX(TblClusters[Environnement],$B1036)="","(vide)",INDEX(TblClusters[Environnement],$B1036)))</f>
        <v>PRD</v>
      </c>
      <c r="AG1036" s="19">
        <f t="shared" si="287"/>
        <v>691.2</v>
      </c>
      <c r="AH1036" s="19">
        <f t="shared" si="288"/>
        <v>24.670138888888886</v>
      </c>
      <c r="AI1036" s="19">
        <f>IF($D1036&lt;&gt;1,"",IF(AND($G1036="IKS",ISNUMBER(INDEX(TblClusters[Fermeture retenue],$B1036))),IF($E1036&gt;=INDEX(TblClusters[Fermeture retenue],$B1036),1,0),0))</f>
        <v>0</v>
      </c>
    </row>
    <row r="1037" spans="1:35" x14ac:dyDescent="0.2">
      <c r="A1037" s="19">
        <v>1032</v>
      </c>
      <c r="B1037" s="19">
        <f t="shared" si="272"/>
        <v>29</v>
      </c>
      <c r="C1037" s="19">
        <f t="shared" si="273"/>
        <v>24</v>
      </c>
      <c r="D1037" s="19">
        <f>IF($C1037&gt;p_horizon,0,IFERROR(IF(AND(INDEX(TblClusters[Cluster],$B1037)&lt;&gt;"",ISNUMBER(INDEX(TblClusters[CPU initial (vCPU)],$B1037)),ISNUMBER(INDEX(TblClusters[CPU min (vCPU)],$B1037)),OR(INDEX(TblClusters[Plateforme],$B1037)="IKS",INDEX(TblClusters[Plateforme],$B1037)="ROKS")),1,0),0))</f>
        <v>1</v>
      </c>
      <c r="E1037" s="72">
        <f t="shared" si="274"/>
        <v>46997</v>
      </c>
      <c r="F1037" s="19" t="str">
        <f>IF($D1037=1,INDEX(TblClusters[Cluster],$B1037),"")</f>
        <v>ku002i001071</v>
      </c>
      <c r="G1037" s="19" t="str">
        <f>IF($D1037=1,INDEX(TblClusters[Plateforme],$B1037),"")</f>
        <v>IKS</v>
      </c>
      <c r="H1037" s="19">
        <f>IF($D1037=1,INDEX(TblClusters[vCPU par nœud],$B1037),"")</f>
        <v>64</v>
      </c>
      <c r="I1037" s="19">
        <f>IF($D1037=1,INDEX(TblClusters[RAM par nœud (Go)],$B1037),"")</f>
        <v>512</v>
      </c>
      <c r="J1037" s="19">
        <f>IF($D1037=1,INDEX(TblClusters[Workers min],$B1037),"")</f>
        <v>3</v>
      </c>
      <c r="K1037" s="73">
        <f>IF($D1037=1,INDEX(TblClusters[Tarif par nœud],$B1037),"")</f>
        <v>2842</v>
      </c>
      <c r="L1037" s="19">
        <f>IF($D1037=1,INDEX(TblClusters[CPU initial (vCPU)],$B1037),"")</f>
        <v>384</v>
      </c>
      <c r="M1037" s="19">
        <f>IF($D1037=1,INDEX(TblClusters[RAM initiale (Go)],$B1037),"")</f>
        <v>3072</v>
      </c>
      <c r="N1037" s="19">
        <f>IF($D1037=1,INDEX(TblClusters[CPU min (vCPU)],$B1037),"")</f>
        <v>192</v>
      </c>
      <c r="O1037" s="19">
        <f>IF($D1037=1,INDEX(TblClusters[RAM min (Go)],$B1037),"")</f>
        <v>1536</v>
      </c>
      <c r="P1037" s="19">
        <f>IF($D1037&lt;&gt;1,"",IF($G1037="ROKS",SUMIFS(TblApplications[Besoin ROKS CPU (vCPU)],TblApplications[Cluster ROKS cible],$F1037,TblApplications[Action],"À migrer",TblApplications[Déjà incluse ROKS],"Non",TblApplications[Mois prov (calc)],"&lt;="&amp;$E1037),SUMIFS(TblApplications[CPU IKS libérable (vCPU)],TblApplications[Cluster IKS source],$F1037,TblApplications[Mois lib (calc)],"&lt;="&amp;$E1037)))</f>
        <v>0</v>
      </c>
      <c r="Q1037" s="19">
        <f>IF($D1037&lt;&gt;1,"",IF($G1037="ROKS",SUMIFS(TblApplications[Besoin ROKS RAM (Go)],TblApplications[Cluster ROKS cible],$F1037,TblApplications[Action],"À migrer",TblApplications[Déjà incluse ROKS],"Non",TblApplications[Mois prov (calc)],"&lt;="&amp;$E1037),SUMIFS(TblApplications[RAM IKS libérable (Go)],TblApplications[Cluster IKS source],$F1037,TblApplications[Mois lib (calc)],"&lt;="&amp;$E1037)))</f>
        <v>0</v>
      </c>
      <c r="R1037" s="19">
        <f t="shared" si="275"/>
        <v>384</v>
      </c>
      <c r="S1037" s="19">
        <f t="shared" si="276"/>
        <v>3072</v>
      </c>
      <c r="T1037" s="19">
        <f t="shared" si="277"/>
        <v>6</v>
      </c>
      <c r="U1037" s="19">
        <f t="shared" si="278"/>
        <v>384</v>
      </c>
      <c r="V1037" s="19">
        <f t="shared" si="279"/>
        <v>3072</v>
      </c>
      <c r="W1037" s="73">
        <f t="shared" si="280"/>
        <v>17052</v>
      </c>
      <c r="X1037" s="19">
        <f>IF($D1037&lt;&gt;1,"",IF($G1037="ROKS",$R1037,IF($AI1037=1,0,MAX($N1037,$L1037-SUMIFS(TblApplications[CPU IKS libérable (vCPU)],TblApplications[Cluster IKS source],$F1037,TblApplications[Action],"À migrer",TblApplications[Mois prov (calc)],"&lt;="&amp;$E1037)-SUMIFS(TblApplications[CPU IKS libérable (vCPU)],TblApplications[Cluster IKS source],$F1037,TblApplications[Action],"À décommissionner",TblApplications[Mois lib (calc)],"&lt;="&amp;$E1037)))))</f>
        <v>384</v>
      </c>
      <c r="Y1037" s="19">
        <f>IF($D1037&lt;&gt;1,"",IF($G1037="ROKS",$S1037,IF($AI1037=1,0,MAX($O1037,$M1037-SUMIFS(TblApplications[RAM IKS libérable (Go)],TblApplications[Cluster IKS source],$F1037,TblApplications[Action],"À migrer",TblApplications[Mois prov (calc)],"&lt;="&amp;$E1037)-SUMIFS(TblApplications[RAM IKS libérable (Go)],TblApplications[Cluster IKS source],$F1037,TblApplications[Action],"À décommissionner",TblApplications[Mois lib (calc)],"&lt;="&amp;$E1037)))))</f>
        <v>3072</v>
      </c>
      <c r="Z1037" s="19">
        <f t="shared" si="281"/>
        <v>6</v>
      </c>
      <c r="AA1037" s="73">
        <f t="shared" si="282"/>
        <v>17052</v>
      </c>
      <c r="AB1037" s="19">
        <f t="shared" si="283"/>
        <v>6</v>
      </c>
      <c r="AC1037" s="73">
        <f t="shared" si="284"/>
        <v>17052</v>
      </c>
      <c r="AD1037" s="19">
        <f t="shared" si="285"/>
        <v>0</v>
      </c>
      <c r="AE1037" s="19">
        <f t="shared" si="286"/>
        <v>0</v>
      </c>
      <c r="AF1037" s="19" t="str">
        <f>IF($D1037&lt;&gt;1,"",IF(INDEX(TblClusters[Environnement],$B1037)="","(vide)",INDEX(TblClusters[Environnement],$B1037)))</f>
        <v>PRD</v>
      </c>
      <c r="AG1037" s="19">
        <f t="shared" si="287"/>
        <v>691.2</v>
      </c>
      <c r="AH1037" s="19">
        <f t="shared" si="288"/>
        <v>24.670138888888886</v>
      </c>
      <c r="AI1037" s="19">
        <f>IF($D1037&lt;&gt;1,"",IF(AND($G1037="IKS",ISNUMBER(INDEX(TblClusters[Fermeture retenue],$B1037))),IF($E1037&gt;=INDEX(TblClusters[Fermeture retenue],$B1037),1,0),0))</f>
        <v>0</v>
      </c>
    </row>
    <row r="1038" spans="1:35" x14ac:dyDescent="0.2">
      <c r="A1038" s="19">
        <v>1033</v>
      </c>
      <c r="B1038" s="19">
        <f t="shared" si="272"/>
        <v>29</v>
      </c>
      <c r="C1038" s="19">
        <f t="shared" si="273"/>
        <v>25</v>
      </c>
      <c r="D1038" s="19">
        <f>IF($C1038&gt;p_horizon,0,IFERROR(IF(AND(INDEX(TblClusters[Cluster],$B1038)&lt;&gt;"",ISNUMBER(INDEX(TblClusters[CPU initial (vCPU)],$B1038)),ISNUMBER(INDEX(TblClusters[CPU min (vCPU)],$B1038)),OR(INDEX(TblClusters[Plateforme],$B1038)="IKS",INDEX(TblClusters[Plateforme],$B1038)="ROKS")),1,0),0))</f>
        <v>1</v>
      </c>
      <c r="E1038" s="72">
        <f t="shared" si="274"/>
        <v>47027</v>
      </c>
      <c r="F1038" s="19" t="str">
        <f>IF($D1038=1,INDEX(TblClusters[Cluster],$B1038),"")</f>
        <v>ku002i001071</v>
      </c>
      <c r="G1038" s="19" t="str">
        <f>IF($D1038=1,INDEX(TblClusters[Plateforme],$B1038),"")</f>
        <v>IKS</v>
      </c>
      <c r="H1038" s="19">
        <f>IF($D1038=1,INDEX(TblClusters[vCPU par nœud],$B1038),"")</f>
        <v>64</v>
      </c>
      <c r="I1038" s="19">
        <f>IF($D1038=1,INDEX(TblClusters[RAM par nœud (Go)],$B1038),"")</f>
        <v>512</v>
      </c>
      <c r="J1038" s="19">
        <f>IF($D1038=1,INDEX(TblClusters[Workers min],$B1038),"")</f>
        <v>3</v>
      </c>
      <c r="K1038" s="73">
        <f>IF($D1038=1,INDEX(TblClusters[Tarif par nœud],$B1038),"")</f>
        <v>2842</v>
      </c>
      <c r="L1038" s="19">
        <f>IF($D1038=1,INDEX(TblClusters[CPU initial (vCPU)],$B1038),"")</f>
        <v>384</v>
      </c>
      <c r="M1038" s="19">
        <f>IF($D1038=1,INDEX(TblClusters[RAM initiale (Go)],$B1038),"")</f>
        <v>3072</v>
      </c>
      <c r="N1038" s="19">
        <f>IF($D1038=1,INDEX(TblClusters[CPU min (vCPU)],$B1038),"")</f>
        <v>192</v>
      </c>
      <c r="O1038" s="19">
        <f>IF($D1038=1,INDEX(TblClusters[RAM min (Go)],$B1038),"")</f>
        <v>1536</v>
      </c>
      <c r="P1038" s="19">
        <f>IF($D1038&lt;&gt;1,"",IF($G1038="ROKS",SUMIFS(TblApplications[Besoin ROKS CPU (vCPU)],TblApplications[Cluster ROKS cible],$F1038,TblApplications[Action],"À migrer",TblApplications[Déjà incluse ROKS],"Non",TblApplications[Mois prov (calc)],"&lt;="&amp;$E1038),SUMIFS(TblApplications[CPU IKS libérable (vCPU)],TblApplications[Cluster IKS source],$F1038,TblApplications[Mois lib (calc)],"&lt;="&amp;$E1038)))</f>
        <v>0</v>
      </c>
      <c r="Q1038" s="19">
        <f>IF($D1038&lt;&gt;1,"",IF($G1038="ROKS",SUMIFS(TblApplications[Besoin ROKS RAM (Go)],TblApplications[Cluster ROKS cible],$F1038,TblApplications[Action],"À migrer",TblApplications[Déjà incluse ROKS],"Non",TblApplications[Mois prov (calc)],"&lt;="&amp;$E1038),SUMIFS(TblApplications[RAM IKS libérable (Go)],TblApplications[Cluster IKS source],$F1038,TblApplications[Mois lib (calc)],"&lt;="&amp;$E1038)))</f>
        <v>0</v>
      </c>
      <c r="R1038" s="19">
        <f t="shared" si="275"/>
        <v>384</v>
      </c>
      <c r="S1038" s="19">
        <f t="shared" si="276"/>
        <v>3072</v>
      </c>
      <c r="T1038" s="19">
        <f t="shared" si="277"/>
        <v>6</v>
      </c>
      <c r="U1038" s="19">
        <f t="shared" si="278"/>
        <v>384</v>
      </c>
      <c r="V1038" s="19">
        <f t="shared" si="279"/>
        <v>3072</v>
      </c>
      <c r="W1038" s="73">
        <f t="shared" si="280"/>
        <v>17052</v>
      </c>
      <c r="X1038" s="19">
        <f>IF($D1038&lt;&gt;1,"",IF($G1038="ROKS",$R1038,IF($AI1038=1,0,MAX($N1038,$L1038-SUMIFS(TblApplications[CPU IKS libérable (vCPU)],TblApplications[Cluster IKS source],$F1038,TblApplications[Action],"À migrer",TblApplications[Mois prov (calc)],"&lt;="&amp;$E1038)-SUMIFS(TblApplications[CPU IKS libérable (vCPU)],TblApplications[Cluster IKS source],$F1038,TblApplications[Action],"À décommissionner",TblApplications[Mois lib (calc)],"&lt;="&amp;$E1038)))))</f>
        <v>384</v>
      </c>
      <c r="Y1038" s="19">
        <f>IF($D1038&lt;&gt;1,"",IF($G1038="ROKS",$S1038,IF($AI1038=1,0,MAX($O1038,$M1038-SUMIFS(TblApplications[RAM IKS libérable (Go)],TblApplications[Cluster IKS source],$F1038,TblApplications[Action],"À migrer",TblApplications[Mois prov (calc)],"&lt;="&amp;$E1038)-SUMIFS(TblApplications[RAM IKS libérable (Go)],TblApplications[Cluster IKS source],$F1038,TblApplications[Action],"À décommissionner",TblApplications[Mois lib (calc)],"&lt;="&amp;$E1038)))))</f>
        <v>3072</v>
      </c>
      <c r="Z1038" s="19">
        <f t="shared" si="281"/>
        <v>6</v>
      </c>
      <c r="AA1038" s="73">
        <f t="shared" si="282"/>
        <v>17052</v>
      </c>
      <c r="AB1038" s="19">
        <f t="shared" si="283"/>
        <v>6</v>
      </c>
      <c r="AC1038" s="73">
        <f t="shared" si="284"/>
        <v>17052</v>
      </c>
      <c r="AD1038" s="19">
        <f t="shared" si="285"/>
        <v>0</v>
      </c>
      <c r="AE1038" s="19">
        <f t="shared" si="286"/>
        <v>0</v>
      </c>
      <c r="AF1038" s="19" t="str">
        <f>IF($D1038&lt;&gt;1,"",IF(INDEX(TblClusters[Environnement],$B1038)="","(vide)",INDEX(TblClusters[Environnement],$B1038)))</f>
        <v>PRD</v>
      </c>
      <c r="AG1038" s="19">
        <f t="shared" si="287"/>
        <v>691.2</v>
      </c>
      <c r="AH1038" s="19">
        <f t="shared" si="288"/>
        <v>24.670138888888886</v>
      </c>
      <c r="AI1038" s="19">
        <f>IF($D1038&lt;&gt;1,"",IF(AND($G1038="IKS",ISNUMBER(INDEX(TblClusters[Fermeture retenue],$B1038))),IF($E1038&gt;=INDEX(TblClusters[Fermeture retenue],$B1038),1,0),0))</f>
        <v>0</v>
      </c>
    </row>
    <row r="1039" spans="1:35" x14ac:dyDescent="0.2">
      <c r="A1039" s="19">
        <v>1034</v>
      </c>
      <c r="B1039" s="19">
        <f t="shared" si="272"/>
        <v>29</v>
      </c>
      <c r="C1039" s="19">
        <f t="shared" si="273"/>
        <v>26</v>
      </c>
      <c r="D1039" s="19">
        <f>IF($C1039&gt;p_horizon,0,IFERROR(IF(AND(INDEX(TblClusters[Cluster],$B1039)&lt;&gt;"",ISNUMBER(INDEX(TblClusters[CPU initial (vCPU)],$B1039)),ISNUMBER(INDEX(TblClusters[CPU min (vCPU)],$B1039)),OR(INDEX(TblClusters[Plateforme],$B1039)="IKS",INDEX(TblClusters[Plateforme],$B1039)="ROKS")),1,0),0))</f>
        <v>1</v>
      </c>
      <c r="E1039" s="72">
        <f t="shared" si="274"/>
        <v>47058</v>
      </c>
      <c r="F1039" s="19" t="str">
        <f>IF($D1039=1,INDEX(TblClusters[Cluster],$B1039),"")</f>
        <v>ku002i001071</v>
      </c>
      <c r="G1039" s="19" t="str">
        <f>IF($D1039=1,INDEX(TblClusters[Plateforme],$B1039),"")</f>
        <v>IKS</v>
      </c>
      <c r="H1039" s="19">
        <f>IF($D1039=1,INDEX(TblClusters[vCPU par nœud],$B1039),"")</f>
        <v>64</v>
      </c>
      <c r="I1039" s="19">
        <f>IF($D1039=1,INDEX(TblClusters[RAM par nœud (Go)],$B1039),"")</f>
        <v>512</v>
      </c>
      <c r="J1039" s="19">
        <f>IF($D1039=1,INDEX(TblClusters[Workers min],$B1039),"")</f>
        <v>3</v>
      </c>
      <c r="K1039" s="73">
        <f>IF($D1039=1,INDEX(TblClusters[Tarif par nœud],$B1039),"")</f>
        <v>2842</v>
      </c>
      <c r="L1039" s="19">
        <f>IF($D1039=1,INDEX(TblClusters[CPU initial (vCPU)],$B1039),"")</f>
        <v>384</v>
      </c>
      <c r="M1039" s="19">
        <f>IF($D1039=1,INDEX(TblClusters[RAM initiale (Go)],$B1039),"")</f>
        <v>3072</v>
      </c>
      <c r="N1039" s="19">
        <f>IF($D1039=1,INDEX(TblClusters[CPU min (vCPU)],$B1039),"")</f>
        <v>192</v>
      </c>
      <c r="O1039" s="19">
        <f>IF($D1039=1,INDEX(TblClusters[RAM min (Go)],$B1039),"")</f>
        <v>1536</v>
      </c>
      <c r="P1039" s="19">
        <f>IF($D1039&lt;&gt;1,"",IF($G1039="ROKS",SUMIFS(TblApplications[Besoin ROKS CPU (vCPU)],TblApplications[Cluster ROKS cible],$F1039,TblApplications[Action],"À migrer",TblApplications[Déjà incluse ROKS],"Non",TblApplications[Mois prov (calc)],"&lt;="&amp;$E1039),SUMIFS(TblApplications[CPU IKS libérable (vCPU)],TblApplications[Cluster IKS source],$F1039,TblApplications[Mois lib (calc)],"&lt;="&amp;$E1039)))</f>
        <v>0</v>
      </c>
      <c r="Q1039" s="19">
        <f>IF($D1039&lt;&gt;1,"",IF($G1039="ROKS",SUMIFS(TblApplications[Besoin ROKS RAM (Go)],TblApplications[Cluster ROKS cible],$F1039,TblApplications[Action],"À migrer",TblApplications[Déjà incluse ROKS],"Non",TblApplications[Mois prov (calc)],"&lt;="&amp;$E1039),SUMIFS(TblApplications[RAM IKS libérable (Go)],TblApplications[Cluster IKS source],$F1039,TblApplications[Mois lib (calc)],"&lt;="&amp;$E1039)))</f>
        <v>0</v>
      </c>
      <c r="R1039" s="19">
        <f t="shared" si="275"/>
        <v>384</v>
      </c>
      <c r="S1039" s="19">
        <f t="shared" si="276"/>
        <v>3072</v>
      </c>
      <c r="T1039" s="19">
        <f t="shared" si="277"/>
        <v>6</v>
      </c>
      <c r="U1039" s="19">
        <f t="shared" si="278"/>
        <v>384</v>
      </c>
      <c r="V1039" s="19">
        <f t="shared" si="279"/>
        <v>3072</v>
      </c>
      <c r="W1039" s="73">
        <f t="shared" si="280"/>
        <v>17052</v>
      </c>
      <c r="X1039" s="19">
        <f>IF($D1039&lt;&gt;1,"",IF($G1039="ROKS",$R1039,IF($AI1039=1,0,MAX($N1039,$L1039-SUMIFS(TblApplications[CPU IKS libérable (vCPU)],TblApplications[Cluster IKS source],$F1039,TblApplications[Action],"À migrer",TblApplications[Mois prov (calc)],"&lt;="&amp;$E1039)-SUMIFS(TblApplications[CPU IKS libérable (vCPU)],TblApplications[Cluster IKS source],$F1039,TblApplications[Action],"À décommissionner",TblApplications[Mois lib (calc)],"&lt;="&amp;$E1039)))))</f>
        <v>384</v>
      </c>
      <c r="Y1039" s="19">
        <f>IF($D1039&lt;&gt;1,"",IF($G1039="ROKS",$S1039,IF($AI1039=1,0,MAX($O1039,$M1039-SUMIFS(TblApplications[RAM IKS libérable (Go)],TblApplications[Cluster IKS source],$F1039,TblApplications[Action],"À migrer",TblApplications[Mois prov (calc)],"&lt;="&amp;$E1039)-SUMIFS(TblApplications[RAM IKS libérable (Go)],TblApplications[Cluster IKS source],$F1039,TblApplications[Action],"À décommissionner",TblApplications[Mois lib (calc)],"&lt;="&amp;$E1039)))))</f>
        <v>3072</v>
      </c>
      <c r="Z1039" s="19">
        <f t="shared" si="281"/>
        <v>6</v>
      </c>
      <c r="AA1039" s="73">
        <f t="shared" si="282"/>
        <v>17052</v>
      </c>
      <c r="AB1039" s="19">
        <f t="shared" si="283"/>
        <v>6</v>
      </c>
      <c r="AC1039" s="73">
        <f t="shared" si="284"/>
        <v>17052</v>
      </c>
      <c r="AD1039" s="19">
        <f t="shared" si="285"/>
        <v>0</v>
      </c>
      <c r="AE1039" s="19">
        <f t="shared" si="286"/>
        <v>0</v>
      </c>
      <c r="AF1039" s="19" t="str">
        <f>IF($D1039&lt;&gt;1,"",IF(INDEX(TblClusters[Environnement],$B1039)="","(vide)",INDEX(TblClusters[Environnement],$B1039)))</f>
        <v>PRD</v>
      </c>
      <c r="AG1039" s="19">
        <f t="shared" si="287"/>
        <v>691.2</v>
      </c>
      <c r="AH1039" s="19">
        <f t="shared" si="288"/>
        <v>24.670138888888886</v>
      </c>
      <c r="AI1039" s="19">
        <f>IF($D1039&lt;&gt;1,"",IF(AND($G1039="IKS",ISNUMBER(INDEX(TblClusters[Fermeture retenue],$B1039))),IF($E1039&gt;=INDEX(TblClusters[Fermeture retenue],$B1039),1,0),0))</f>
        <v>0</v>
      </c>
    </row>
    <row r="1040" spans="1:35" x14ac:dyDescent="0.2">
      <c r="A1040" s="19">
        <v>1035</v>
      </c>
      <c r="B1040" s="19">
        <f t="shared" si="272"/>
        <v>29</v>
      </c>
      <c r="C1040" s="19">
        <f t="shared" si="273"/>
        <v>27</v>
      </c>
      <c r="D1040" s="19">
        <f>IF($C1040&gt;p_horizon,0,IFERROR(IF(AND(INDEX(TblClusters[Cluster],$B1040)&lt;&gt;"",ISNUMBER(INDEX(TblClusters[CPU initial (vCPU)],$B1040)),ISNUMBER(INDEX(TblClusters[CPU min (vCPU)],$B1040)),OR(INDEX(TblClusters[Plateforme],$B1040)="IKS",INDEX(TblClusters[Plateforme],$B1040)="ROKS")),1,0),0))</f>
        <v>1</v>
      </c>
      <c r="E1040" s="72">
        <f t="shared" si="274"/>
        <v>47088</v>
      </c>
      <c r="F1040" s="19" t="str">
        <f>IF($D1040=1,INDEX(TblClusters[Cluster],$B1040),"")</f>
        <v>ku002i001071</v>
      </c>
      <c r="G1040" s="19" t="str">
        <f>IF($D1040=1,INDEX(TblClusters[Plateforme],$B1040),"")</f>
        <v>IKS</v>
      </c>
      <c r="H1040" s="19">
        <f>IF($D1040=1,INDEX(TblClusters[vCPU par nœud],$B1040),"")</f>
        <v>64</v>
      </c>
      <c r="I1040" s="19">
        <f>IF($D1040=1,INDEX(TblClusters[RAM par nœud (Go)],$B1040),"")</f>
        <v>512</v>
      </c>
      <c r="J1040" s="19">
        <f>IF($D1040=1,INDEX(TblClusters[Workers min],$B1040),"")</f>
        <v>3</v>
      </c>
      <c r="K1040" s="73">
        <f>IF($D1040=1,INDEX(TblClusters[Tarif par nœud],$B1040),"")</f>
        <v>2842</v>
      </c>
      <c r="L1040" s="19">
        <f>IF($D1040=1,INDEX(TblClusters[CPU initial (vCPU)],$B1040),"")</f>
        <v>384</v>
      </c>
      <c r="M1040" s="19">
        <f>IF($D1040=1,INDEX(TblClusters[RAM initiale (Go)],$B1040),"")</f>
        <v>3072</v>
      </c>
      <c r="N1040" s="19">
        <f>IF($D1040=1,INDEX(TblClusters[CPU min (vCPU)],$B1040),"")</f>
        <v>192</v>
      </c>
      <c r="O1040" s="19">
        <f>IF($D1040=1,INDEX(TblClusters[RAM min (Go)],$B1040),"")</f>
        <v>1536</v>
      </c>
      <c r="P1040" s="19">
        <f>IF($D1040&lt;&gt;1,"",IF($G1040="ROKS",SUMIFS(TblApplications[Besoin ROKS CPU (vCPU)],TblApplications[Cluster ROKS cible],$F1040,TblApplications[Action],"À migrer",TblApplications[Déjà incluse ROKS],"Non",TblApplications[Mois prov (calc)],"&lt;="&amp;$E1040),SUMIFS(TblApplications[CPU IKS libérable (vCPU)],TblApplications[Cluster IKS source],$F1040,TblApplications[Mois lib (calc)],"&lt;="&amp;$E1040)))</f>
        <v>0</v>
      </c>
      <c r="Q1040" s="19">
        <f>IF($D1040&lt;&gt;1,"",IF($G1040="ROKS",SUMIFS(TblApplications[Besoin ROKS RAM (Go)],TblApplications[Cluster ROKS cible],$F1040,TblApplications[Action],"À migrer",TblApplications[Déjà incluse ROKS],"Non",TblApplications[Mois prov (calc)],"&lt;="&amp;$E1040),SUMIFS(TblApplications[RAM IKS libérable (Go)],TblApplications[Cluster IKS source],$F1040,TblApplications[Mois lib (calc)],"&lt;="&amp;$E1040)))</f>
        <v>0</v>
      </c>
      <c r="R1040" s="19">
        <f t="shared" si="275"/>
        <v>384</v>
      </c>
      <c r="S1040" s="19">
        <f t="shared" si="276"/>
        <v>3072</v>
      </c>
      <c r="T1040" s="19">
        <f t="shared" si="277"/>
        <v>6</v>
      </c>
      <c r="U1040" s="19">
        <f t="shared" si="278"/>
        <v>384</v>
      </c>
      <c r="V1040" s="19">
        <f t="shared" si="279"/>
        <v>3072</v>
      </c>
      <c r="W1040" s="73">
        <f t="shared" si="280"/>
        <v>17052</v>
      </c>
      <c r="X1040" s="19">
        <f>IF($D1040&lt;&gt;1,"",IF($G1040="ROKS",$R1040,IF($AI1040=1,0,MAX($N1040,$L1040-SUMIFS(TblApplications[CPU IKS libérable (vCPU)],TblApplications[Cluster IKS source],$F1040,TblApplications[Action],"À migrer",TblApplications[Mois prov (calc)],"&lt;="&amp;$E1040)-SUMIFS(TblApplications[CPU IKS libérable (vCPU)],TblApplications[Cluster IKS source],$F1040,TblApplications[Action],"À décommissionner",TblApplications[Mois lib (calc)],"&lt;="&amp;$E1040)))))</f>
        <v>384</v>
      </c>
      <c r="Y1040" s="19">
        <f>IF($D1040&lt;&gt;1,"",IF($G1040="ROKS",$S1040,IF($AI1040=1,0,MAX($O1040,$M1040-SUMIFS(TblApplications[RAM IKS libérable (Go)],TblApplications[Cluster IKS source],$F1040,TblApplications[Action],"À migrer",TblApplications[Mois prov (calc)],"&lt;="&amp;$E1040)-SUMIFS(TblApplications[RAM IKS libérable (Go)],TblApplications[Cluster IKS source],$F1040,TblApplications[Action],"À décommissionner",TblApplications[Mois lib (calc)],"&lt;="&amp;$E1040)))))</f>
        <v>3072</v>
      </c>
      <c r="Z1040" s="19">
        <f t="shared" si="281"/>
        <v>6</v>
      </c>
      <c r="AA1040" s="73">
        <f t="shared" si="282"/>
        <v>17052</v>
      </c>
      <c r="AB1040" s="19">
        <f t="shared" si="283"/>
        <v>6</v>
      </c>
      <c r="AC1040" s="73">
        <f t="shared" si="284"/>
        <v>17052</v>
      </c>
      <c r="AD1040" s="19">
        <f t="shared" si="285"/>
        <v>0</v>
      </c>
      <c r="AE1040" s="19">
        <f t="shared" si="286"/>
        <v>0</v>
      </c>
      <c r="AF1040" s="19" t="str">
        <f>IF($D1040&lt;&gt;1,"",IF(INDEX(TblClusters[Environnement],$B1040)="","(vide)",INDEX(TblClusters[Environnement],$B1040)))</f>
        <v>PRD</v>
      </c>
      <c r="AG1040" s="19">
        <f t="shared" si="287"/>
        <v>691.2</v>
      </c>
      <c r="AH1040" s="19">
        <f t="shared" si="288"/>
        <v>24.670138888888886</v>
      </c>
      <c r="AI1040" s="19">
        <f>IF($D1040&lt;&gt;1,"",IF(AND($G1040="IKS",ISNUMBER(INDEX(TblClusters[Fermeture retenue],$B1040))),IF($E1040&gt;=INDEX(TblClusters[Fermeture retenue],$B1040),1,0),0))</f>
        <v>0</v>
      </c>
    </row>
    <row r="1041" spans="1:35" x14ac:dyDescent="0.2">
      <c r="A1041" s="19">
        <v>1036</v>
      </c>
      <c r="B1041" s="19">
        <f t="shared" si="272"/>
        <v>29</v>
      </c>
      <c r="C1041" s="19">
        <f t="shared" si="273"/>
        <v>28</v>
      </c>
      <c r="D1041" s="19">
        <f>IF($C1041&gt;p_horizon,0,IFERROR(IF(AND(INDEX(TblClusters[Cluster],$B1041)&lt;&gt;"",ISNUMBER(INDEX(TblClusters[CPU initial (vCPU)],$B1041)),ISNUMBER(INDEX(TblClusters[CPU min (vCPU)],$B1041)),OR(INDEX(TblClusters[Plateforme],$B1041)="IKS",INDEX(TblClusters[Plateforme],$B1041)="ROKS")),1,0),0))</f>
        <v>1</v>
      </c>
      <c r="E1041" s="72">
        <f t="shared" si="274"/>
        <v>47119</v>
      </c>
      <c r="F1041" s="19" t="str">
        <f>IF($D1041=1,INDEX(TblClusters[Cluster],$B1041),"")</f>
        <v>ku002i001071</v>
      </c>
      <c r="G1041" s="19" t="str">
        <f>IF($D1041=1,INDEX(TblClusters[Plateforme],$B1041),"")</f>
        <v>IKS</v>
      </c>
      <c r="H1041" s="19">
        <f>IF($D1041=1,INDEX(TblClusters[vCPU par nœud],$B1041),"")</f>
        <v>64</v>
      </c>
      <c r="I1041" s="19">
        <f>IF($D1041=1,INDEX(TblClusters[RAM par nœud (Go)],$B1041),"")</f>
        <v>512</v>
      </c>
      <c r="J1041" s="19">
        <f>IF($D1041=1,INDEX(TblClusters[Workers min],$B1041),"")</f>
        <v>3</v>
      </c>
      <c r="K1041" s="73">
        <f>IF($D1041=1,INDEX(TblClusters[Tarif par nœud],$B1041),"")</f>
        <v>2842</v>
      </c>
      <c r="L1041" s="19">
        <f>IF($D1041=1,INDEX(TblClusters[CPU initial (vCPU)],$B1041),"")</f>
        <v>384</v>
      </c>
      <c r="M1041" s="19">
        <f>IF($D1041=1,INDEX(TblClusters[RAM initiale (Go)],$B1041),"")</f>
        <v>3072</v>
      </c>
      <c r="N1041" s="19">
        <f>IF($D1041=1,INDEX(TblClusters[CPU min (vCPU)],$B1041),"")</f>
        <v>192</v>
      </c>
      <c r="O1041" s="19">
        <f>IF($D1041=1,INDEX(TblClusters[RAM min (Go)],$B1041),"")</f>
        <v>1536</v>
      </c>
      <c r="P1041" s="19">
        <f>IF($D1041&lt;&gt;1,"",IF($G1041="ROKS",SUMIFS(TblApplications[Besoin ROKS CPU (vCPU)],TblApplications[Cluster ROKS cible],$F1041,TblApplications[Action],"À migrer",TblApplications[Déjà incluse ROKS],"Non",TblApplications[Mois prov (calc)],"&lt;="&amp;$E1041),SUMIFS(TblApplications[CPU IKS libérable (vCPU)],TblApplications[Cluster IKS source],$F1041,TblApplications[Mois lib (calc)],"&lt;="&amp;$E1041)))</f>
        <v>0</v>
      </c>
      <c r="Q1041" s="19">
        <f>IF($D1041&lt;&gt;1,"",IF($G1041="ROKS",SUMIFS(TblApplications[Besoin ROKS RAM (Go)],TblApplications[Cluster ROKS cible],$F1041,TblApplications[Action],"À migrer",TblApplications[Déjà incluse ROKS],"Non",TblApplications[Mois prov (calc)],"&lt;="&amp;$E1041),SUMIFS(TblApplications[RAM IKS libérable (Go)],TblApplications[Cluster IKS source],$F1041,TblApplications[Mois lib (calc)],"&lt;="&amp;$E1041)))</f>
        <v>0</v>
      </c>
      <c r="R1041" s="19">
        <f t="shared" si="275"/>
        <v>384</v>
      </c>
      <c r="S1041" s="19">
        <f t="shared" si="276"/>
        <v>3072</v>
      </c>
      <c r="T1041" s="19">
        <f t="shared" si="277"/>
        <v>6</v>
      </c>
      <c r="U1041" s="19">
        <f t="shared" si="278"/>
        <v>384</v>
      </c>
      <c r="V1041" s="19">
        <f t="shared" si="279"/>
        <v>3072</v>
      </c>
      <c r="W1041" s="73">
        <f t="shared" si="280"/>
        <v>17052</v>
      </c>
      <c r="X1041" s="19">
        <f>IF($D1041&lt;&gt;1,"",IF($G1041="ROKS",$R1041,IF($AI1041=1,0,MAX($N1041,$L1041-SUMIFS(TblApplications[CPU IKS libérable (vCPU)],TblApplications[Cluster IKS source],$F1041,TblApplications[Action],"À migrer",TblApplications[Mois prov (calc)],"&lt;="&amp;$E1041)-SUMIFS(TblApplications[CPU IKS libérable (vCPU)],TblApplications[Cluster IKS source],$F1041,TblApplications[Action],"À décommissionner",TblApplications[Mois lib (calc)],"&lt;="&amp;$E1041)))))</f>
        <v>384</v>
      </c>
      <c r="Y1041" s="19">
        <f>IF($D1041&lt;&gt;1,"",IF($G1041="ROKS",$S1041,IF($AI1041=1,0,MAX($O1041,$M1041-SUMIFS(TblApplications[RAM IKS libérable (Go)],TblApplications[Cluster IKS source],$F1041,TblApplications[Action],"À migrer",TblApplications[Mois prov (calc)],"&lt;="&amp;$E1041)-SUMIFS(TblApplications[RAM IKS libérable (Go)],TblApplications[Cluster IKS source],$F1041,TblApplications[Action],"À décommissionner",TblApplications[Mois lib (calc)],"&lt;="&amp;$E1041)))))</f>
        <v>3072</v>
      </c>
      <c r="Z1041" s="19">
        <f t="shared" si="281"/>
        <v>6</v>
      </c>
      <c r="AA1041" s="73">
        <f t="shared" si="282"/>
        <v>17052</v>
      </c>
      <c r="AB1041" s="19">
        <f t="shared" si="283"/>
        <v>6</v>
      </c>
      <c r="AC1041" s="73">
        <f t="shared" si="284"/>
        <v>17052</v>
      </c>
      <c r="AD1041" s="19">
        <f t="shared" si="285"/>
        <v>0</v>
      </c>
      <c r="AE1041" s="19">
        <f t="shared" si="286"/>
        <v>0</v>
      </c>
      <c r="AF1041" s="19" t="str">
        <f>IF($D1041&lt;&gt;1,"",IF(INDEX(TblClusters[Environnement],$B1041)="","(vide)",INDEX(TblClusters[Environnement],$B1041)))</f>
        <v>PRD</v>
      </c>
      <c r="AG1041" s="19">
        <f t="shared" si="287"/>
        <v>691.2</v>
      </c>
      <c r="AH1041" s="19">
        <f t="shared" si="288"/>
        <v>24.670138888888886</v>
      </c>
      <c r="AI1041" s="19">
        <f>IF($D1041&lt;&gt;1,"",IF(AND($G1041="IKS",ISNUMBER(INDEX(TblClusters[Fermeture retenue],$B1041))),IF($E1041&gt;=INDEX(TblClusters[Fermeture retenue],$B1041),1,0),0))</f>
        <v>0</v>
      </c>
    </row>
    <row r="1042" spans="1:35" x14ac:dyDescent="0.2">
      <c r="A1042" s="19">
        <v>1037</v>
      </c>
      <c r="B1042" s="19">
        <f t="shared" si="272"/>
        <v>29</v>
      </c>
      <c r="C1042" s="19">
        <f t="shared" si="273"/>
        <v>29</v>
      </c>
      <c r="D1042" s="19">
        <f>IF($C1042&gt;p_horizon,0,IFERROR(IF(AND(INDEX(TblClusters[Cluster],$B1042)&lt;&gt;"",ISNUMBER(INDEX(TblClusters[CPU initial (vCPU)],$B1042)),ISNUMBER(INDEX(TblClusters[CPU min (vCPU)],$B1042)),OR(INDEX(TblClusters[Plateforme],$B1042)="IKS",INDEX(TblClusters[Plateforme],$B1042)="ROKS")),1,0),0))</f>
        <v>1</v>
      </c>
      <c r="E1042" s="72">
        <f t="shared" si="274"/>
        <v>47150</v>
      </c>
      <c r="F1042" s="19" t="str">
        <f>IF($D1042=1,INDEX(TblClusters[Cluster],$B1042),"")</f>
        <v>ku002i001071</v>
      </c>
      <c r="G1042" s="19" t="str">
        <f>IF($D1042=1,INDEX(TblClusters[Plateforme],$B1042),"")</f>
        <v>IKS</v>
      </c>
      <c r="H1042" s="19">
        <f>IF($D1042=1,INDEX(TblClusters[vCPU par nœud],$B1042),"")</f>
        <v>64</v>
      </c>
      <c r="I1042" s="19">
        <f>IF($D1042=1,INDEX(TblClusters[RAM par nœud (Go)],$B1042),"")</f>
        <v>512</v>
      </c>
      <c r="J1042" s="19">
        <f>IF($D1042=1,INDEX(TblClusters[Workers min],$B1042),"")</f>
        <v>3</v>
      </c>
      <c r="K1042" s="73">
        <f>IF($D1042=1,INDEX(TblClusters[Tarif par nœud],$B1042),"")</f>
        <v>2842</v>
      </c>
      <c r="L1042" s="19">
        <f>IF($D1042=1,INDEX(TblClusters[CPU initial (vCPU)],$B1042),"")</f>
        <v>384</v>
      </c>
      <c r="M1042" s="19">
        <f>IF($D1042=1,INDEX(TblClusters[RAM initiale (Go)],$B1042),"")</f>
        <v>3072</v>
      </c>
      <c r="N1042" s="19">
        <f>IF($D1042=1,INDEX(TblClusters[CPU min (vCPU)],$B1042),"")</f>
        <v>192</v>
      </c>
      <c r="O1042" s="19">
        <f>IF($D1042=1,INDEX(TblClusters[RAM min (Go)],$B1042),"")</f>
        <v>1536</v>
      </c>
      <c r="P1042" s="19">
        <f>IF($D1042&lt;&gt;1,"",IF($G1042="ROKS",SUMIFS(TblApplications[Besoin ROKS CPU (vCPU)],TblApplications[Cluster ROKS cible],$F1042,TblApplications[Action],"À migrer",TblApplications[Déjà incluse ROKS],"Non",TblApplications[Mois prov (calc)],"&lt;="&amp;$E1042),SUMIFS(TblApplications[CPU IKS libérable (vCPU)],TblApplications[Cluster IKS source],$F1042,TblApplications[Mois lib (calc)],"&lt;="&amp;$E1042)))</f>
        <v>0</v>
      </c>
      <c r="Q1042" s="19">
        <f>IF($D1042&lt;&gt;1,"",IF($G1042="ROKS",SUMIFS(TblApplications[Besoin ROKS RAM (Go)],TblApplications[Cluster ROKS cible],$F1042,TblApplications[Action],"À migrer",TblApplications[Déjà incluse ROKS],"Non",TblApplications[Mois prov (calc)],"&lt;="&amp;$E1042),SUMIFS(TblApplications[RAM IKS libérable (Go)],TblApplications[Cluster IKS source],$F1042,TblApplications[Mois lib (calc)],"&lt;="&amp;$E1042)))</f>
        <v>0</v>
      </c>
      <c r="R1042" s="19">
        <f t="shared" si="275"/>
        <v>384</v>
      </c>
      <c r="S1042" s="19">
        <f t="shared" si="276"/>
        <v>3072</v>
      </c>
      <c r="T1042" s="19">
        <f t="shared" si="277"/>
        <v>6</v>
      </c>
      <c r="U1042" s="19">
        <f t="shared" si="278"/>
        <v>384</v>
      </c>
      <c r="V1042" s="19">
        <f t="shared" si="279"/>
        <v>3072</v>
      </c>
      <c r="W1042" s="73">
        <f t="shared" si="280"/>
        <v>17052</v>
      </c>
      <c r="X1042" s="19">
        <f>IF($D1042&lt;&gt;1,"",IF($G1042="ROKS",$R1042,IF($AI1042=1,0,MAX($N1042,$L1042-SUMIFS(TblApplications[CPU IKS libérable (vCPU)],TblApplications[Cluster IKS source],$F1042,TblApplications[Action],"À migrer",TblApplications[Mois prov (calc)],"&lt;="&amp;$E1042)-SUMIFS(TblApplications[CPU IKS libérable (vCPU)],TblApplications[Cluster IKS source],$F1042,TblApplications[Action],"À décommissionner",TblApplications[Mois lib (calc)],"&lt;="&amp;$E1042)))))</f>
        <v>384</v>
      </c>
      <c r="Y1042" s="19">
        <f>IF($D1042&lt;&gt;1,"",IF($G1042="ROKS",$S1042,IF($AI1042=1,0,MAX($O1042,$M1042-SUMIFS(TblApplications[RAM IKS libérable (Go)],TblApplications[Cluster IKS source],$F1042,TblApplications[Action],"À migrer",TblApplications[Mois prov (calc)],"&lt;="&amp;$E1042)-SUMIFS(TblApplications[RAM IKS libérable (Go)],TblApplications[Cluster IKS source],$F1042,TblApplications[Action],"À décommissionner",TblApplications[Mois lib (calc)],"&lt;="&amp;$E1042)))))</f>
        <v>3072</v>
      </c>
      <c r="Z1042" s="19">
        <f t="shared" si="281"/>
        <v>6</v>
      </c>
      <c r="AA1042" s="73">
        <f t="shared" si="282"/>
        <v>17052</v>
      </c>
      <c r="AB1042" s="19">
        <f t="shared" si="283"/>
        <v>6</v>
      </c>
      <c r="AC1042" s="73">
        <f t="shared" si="284"/>
        <v>17052</v>
      </c>
      <c r="AD1042" s="19">
        <f t="shared" si="285"/>
        <v>0</v>
      </c>
      <c r="AE1042" s="19">
        <f t="shared" si="286"/>
        <v>0</v>
      </c>
      <c r="AF1042" s="19" t="str">
        <f>IF($D1042&lt;&gt;1,"",IF(INDEX(TblClusters[Environnement],$B1042)="","(vide)",INDEX(TblClusters[Environnement],$B1042)))</f>
        <v>PRD</v>
      </c>
      <c r="AG1042" s="19">
        <f t="shared" si="287"/>
        <v>691.2</v>
      </c>
      <c r="AH1042" s="19">
        <f t="shared" si="288"/>
        <v>24.670138888888886</v>
      </c>
      <c r="AI1042" s="19">
        <f>IF($D1042&lt;&gt;1,"",IF(AND($G1042="IKS",ISNUMBER(INDEX(TblClusters[Fermeture retenue],$B1042))),IF($E1042&gt;=INDEX(TblClusters[Fermeture retenue],$B1042),1,0),0))</f>
        <v>0</v>
      </c>
    </row>
    <row r="1043" spans="1:35" x14ac:dyDescent="0.2">
      <c r="A1043" s="19">
        <v>1038</v>
      </c>
      <c r="B1043" s="19">
        <f t="shared" si="272"/>
        <v>29</v>
      </c>
      <c r="C1043" s="19">
        <f t="shared" si="273"/>
        <v>30</v>
      </c>
      <c r="D1043" s="19">
        <f>IF($C1043&gt;p_horizon,0,IFERROR(IF(AND(INDEX(TblClusters[Cluster],$B1043)&lt;&gt;"",ISNUMBER(INDEX(TblClusters[CPU initial (vCPU)],$B1043)),ISNUMBER(INDEX(TblClusters[CPU min (vCPU)],$B1043)),OR(INDEX(TblClusters[Plateforme],$B1043)="IKS",INDEX(TblClusters[Plateforme],$B1043)="ROKS")),1,0),0))</f>
        <v>1</v>
      </c>
      <c r="E1043" s="72">
        <f t="shared" si="274"/>
        <v>47178</v>
      </c>
      <c r="F1043" s="19" t="str">
        <f>IF($D1043=1,INDEX(TblClusters[Cluster],$B1043),"")</f>
        <v>ku002i001071</v>
      </c>
      <c r="G1043" s="19" t="str">
        <f>IF($D1043=1,INDEX(TblClusters[Plateforme],$B1043),"")</f>
        <v>IKS</v>
      </c>
      <c r="H1043" s="19">
        <f>IF($D1043=1,INDEX(TblClusters[vCPU par nœud],$B1043),"")</f>
        <v>64</v>
      </c>
      <c r="I1043" s="19">
        <f>IF($D1043=1,INDEX(TblClusters[RAM par nœud (Go)],$B1043),"")</f>
        <v>512</v>
      </c>
      <c r="J1043" s="19">
        <f>IF($D1043=1,INDEX(TblClusters[Workers min],$B1043),"")</f>
        <v>3</v>
      </c>
      <c r="K1043" s="73">
        <f>IF($D1043=1,INDEX(TblClusters[Tarif par nœud],$B1043),"")</f>
        <v>2842</v>
      </c>
      <c r="L1043" s="19">
        <f>IF($D1043=1,INDEX(TblClusters[CPU initial (vCPU)],$B1043),"")</f>
        <v>384</v>
      </c>
      <c r="M1043" s="19">
        <f>IF($D1043=1,INDEX(TblClusters[RAM initiale (Go)],$B1043),"")</f>
        <v>3072</v>
      </c>
      <c r="N1043" s="19">
        <f>IF($D1043=1,INDEX(TblClusters[CPU min (vCPU)],$B1043),"")</f>
        <v>192</v>
      </c>
      <c r="O1043" s="19">
        <f>IF($D1043=1,INDEX(TblClusters[RAM min (Go)],$B1043),"")</f>
        <v>1536</v>
      </c>
      <c r="P1043" s="19">
        <f>IF($D1043&lt;&gt;1,"",IF($G1043="ROKS",SUMIFS(TblApplications[Besoin ROKS CPU (vCPU)],TblApplications[Cluster ROKS cible],$F1043,TblApplications[Action],"À migrer",TblApplications[Déjà incluse ROKS],"Non",TblApplications[Mois prov (calc)],"&lt;="&amp;$E1043),SUMIFS(TblApplications[CPU IKS libérable (vCPU)],TblApplications[Cluster IKS source],$F1043,TblApplications[Mois lib (calc)],"&lt;="&amp;$E1043)))</f>
        <v>0</v>
      </c>
      <c r="Q1043" s="19">
        <f>IF($D1043&lt;&gt;1,"",IF($G1043="ROKS",SUMIFS(TblApplications[Besoin ROKS RAM (Go)],TblApplications[Cluster ROKS cible],$F1043,TblApplications[Action],"À migrer",TblApplications[Déjà incluse ROKS],"Non",TblApplications[Mois prov (calc)],"&lt;="&amp;$E1043),SUMIFS(TblApplications[RAM IKS libérable (Go)],TblApplications[Cluster IKS source],$F1043,TblApplications[Mois lib (calc)],"&lt;="&amp;$E1043)))</f>
        <v>0</v>
      </c>
      <c r="R1043" s="19">
        <f t="shared" si="275"/>
        <v>384</v>
      </c>
      <c r="S1043" s="19">
        <f t="shared" si="276"/>
        <v>3072</v>
      </c>
      <c r="T1043" s="19">
        <f t="shared" si="277"/>
        <v>6</v>
      </c>
      <c r="U1043" s="19">
        <f t="shared" si="278"/>
        <v>384</v>
      </c>
      <c r="V1043" s="19">
        <f t="shared" si="279"/>
        <v>3072</v>
      </c>
      <c r="W1043" s="73">
        <f t="shared" si="280"/>
        <v>17052</v>
      </c>
      <c r="X1043" s="19">
        <f>IF($D1043&lt;&gt;1,"",IF($G1043="ROKS",$R1043,IF($AI1043=1,0,MAX($N1043,$L1043-SUMIFS(TblApplications[CPU IKS libérable (vCPU)],TblApplications[Cluster IKS source],$F1043,TblApplications[Action],"À migrer",TblApplications[Mois prov (calc)],"&lt;="&amp;$E1043)-SUMIFS(TblApplications[CPU IKS libérable (vCPU)],TblApplications[Cluster IKS source],$F1043,TblApplications[Action],"À décommissionner",TblApplications[Mois lib (calc)],"&lt;="&amp;$E1043)))))</f>
        <v>384</v>
      </c>
      <c r="Y1043" s="19">
        <f>IF($D1043&lt;&gt;1,"",IF($G1043="ROKS",$S1043,IF($AI1043=1,0,MAX($O1043,$M1043-SUMIFS(TblApplications[RAM IKS libérable (Go)],TblApplications[Cluster IKS source],$F1043,TblApplications[Action],"À migrer",TblApplications[Mois prov (calc)],"&lt;="&amp;$E1043)-SUMIFS(TblApplications[RAM IKS libérable (Go)],TblApplications[Cluster IKS source],$F1043,TblApplications[Action],"À décommissionner",TblApplications[Mois lib (calc)],"&lt;="&amp;$E1043)))))</f>
        <v>3072</v>
      </c>
      <c r="Z1043" s="19">
        <f t="shared" si="281"/>
        <v>6</v>
      </c>
      <c r="AA1043" s="73">
        <f t="shared" si="282"/>
        <v>17052</v>
      </c>
      <c r="AB1043" s="19">
        <f t="shared" si="283"/>
        <v>6</v>
      </c>
      <c r="AC1043" s="73">
        <f t="shared" si="284"/>
        <v>17052</v>
      </c>
      <c r="AD1043" s="19">
        <f t="shared" si="285"/>
        <v>0</v>
      </c>
      <c r="AE1043" s="19">
        <f t="shared" si="286"/>
        <v>0</v>
      </c>
      <c r="AF1043" s="19" t="str">
        <f>IF($D1043&lt;&gt;1,"",IF(INDEX(TblClusters[Environnement],$B1043)="","(vide)",INDEX(TblClusters[Environnement],$B1043)))</f>
        <v>PRD</v>
      </c>
      <c r="AG1043" s="19">
        <f t="shared" si="287"/>
        <v>691.2</v>
      </c>
      <c r="AH1043" s="19">
        <f t="shared" si="288"/>
        <v>24.670138888888886</v>
      </c>
      <c r="AI1043" s="19">
        <f>IF($D1043&lt;&gt;1,"",IF(AND($G1043="IKS",ISNUMBER(INDEX(TblClusters[Fermeture retenue],$B1043))),IF($E1043&gt;=INDEX(TblClusters[Fermeture retenue],$B1043),1,0),0))</f>
        <v>0</v>
      </c>
    </row>
    <row r="1044" spans="1:35" x14ac:dyDescent="0.2">
      <c r="A1044" s="19">
        <v>1039</v>
      </c>
      <c r="B1044" s="19">
        <f t="shared" si="272"/>
        <v>29</v>
      </c>
      <c r="C1044" s="19">
        <f t="shared" si="273"/>
        <v>31</v>
      </c>
      <c r="D1044" s="19">
        <f>IF($C1044&gt;p_horizon,0,IFERROR(IF(AND(INDEX(TblClusters[Cluster],$B1044)&lt;&gt;"",ISNUMBER(INDEX(TblClusters[CPU initial (vCPU)],$B1044)),ISNUMBER(INDEX(TblClusters[CPU min (vCPU)],$B1044)),OR(INDEX(TblClusters[Plateforme],$B1044)="IKS",INDEX(TblClusters[Plateforme],$B1044)="ROKS")),1,0),0))</f>
        <v>1</v>
      </c>
      <c r="E1044" s="72">
        <f t="shared" si="274"/>
        <v>47209</v>
      </c>
      <c r="F1044" s="19" t="str">
        <f>IF($D1044=1,INDEX(TblClusters[Cluster],$B1044),"")</f>
        <v>ku002i001071</v>
      </c>
      <c r="G1044" s="19" t="str">
        <f>IF($D1044=1,INDEX(TblClusters[Plateforme],$B1044),"")</f>
        <v>IKS</v>
      </c>
      <c r="H1044" s="19">
        <f>IF($D1044=1,INDEX(TblClusters[vCPU par nœud],$B1044),"")</f>
        <v>64</v>
      </c>
      <c r="I1044" s="19">
        <f>IF($D1044=1,INDEX(TblClusters[RAM par nœud (Go)],$B1044),"")</f>
        <v>512</v>
      </c>
      <c r="J1044" s="19">
        <f>IF($D1044=1,INDEX(TblClusters[Workers min],$B1044),"")</f>
        <v>3</v>
      </c>
      <c r="K1044" s="73">
        <f>IF($D1044=1,INDEX(TblClusters[Tarif par nœud],$B1044),"")</f>
        <v>2842</v>
      </c>
      <c r="L1044" s="19">
        <f>IF($D1044=1,INDEX(TblClusters[CPU initial (vCPU)],$B1044),"")</f>
        <v>384</v>
      </c>
      <c r="M1044" s="19">
        <f>IF($D1044=1,INDEX(TblClusters[RAM initiale (Go)],$B1044),"")</f>
        <v>3072</v>
      </c>
      <c r="N1044" s="19">
        <f>IF($D1044=1,INDEX(TblClusters[CPU min (vCPU)],$B1044),"")</f>
        <v>192</v>
      </c>
      <c r="O1044" s="19">
        <f>IF($D1044=1,INDEX(TblClusters[RAM min (Go)],$B1044),"")</f>
        <v>1536</v>
      </c>
      <c r="P1044" s="19">
        <f>IF($D1044&lt;&gt;1,"",IF($G1044="ROKS",SUMIFS(TblApplications[Besoin ROKS CPU (vCPU)],TblApplications[Cluster ROKS cible],$F1044,TblApplications[Action],"À migrer",TblApplications[Déjà incluse ROKS],"Non",TblApplications[Mois prov (calc)],"&lt;="&amp;$E1044),SUMIFS(TblApplications[CPU IKS libérable (vCPU)],TblApplications[Cluster IKS source],$F1044,TblApplications[Mois lib (calc)],"&lt;="&amp;$E1044)))</f>
        <v>0</v>
      </c>
      <c r="Q1044" s="19">
        <f>IF($D1044&lt;&gt;1,"",IF($G1044="ROKS",SUMIFS(TblApplications[Besoin ROKS RAM (Go)],TblApplications[Cluster ROKS cible],$F1044,TblApplications[Action],"À migrer",TblApplications[Déjà incluse ROKS],"Non",TblApplications[Mois prov (calc)],"&lt;="&amp;$E1044),SUMIFS(TblApplications[RAM IKS libérable (Go)],TblApplications[Cluster IKS source],$F1044,TblApplications[Mois lib (calc)],"&lt;="&amp;$E1044)))</f>
        <v>0</v>
      </c>
      <c r="R1044" s="19">
        <f t="shared" si="275"/>
        <v>384</v>
      </c>
      <c r="S1044" s="19">
        <f t="shared" si="276"/>
        <v>3072</v>
      </c>
      <c r="T1044" s="19">
        <f t="shared" si="277"/>
        <v>6</v>
      </c>
      <c r="U1044" s="19">
        <f t="shared" si="278"/>
        <v>384</v>
      </c>
      <c r="V1044" s="19">
        <f t="shared" si="279"/>
        <v>3072</v>
      </c>
      <c r="W1044" s="73">
        <f t="shared" si="280"/>
        <v>17052</v>
      </c>
      <c r="X1044" s="19">
        <f>IF($D1044&lt;&gt;1,"",IF($G1044="ROKS",$R1044,IF($AI1044=1,0,MAX($N1044,$L1044-SUMIFS(TblApplications[CPU IKS libérable (vCPU)],TblApplications[Cluster IKS source],$F1044,TblApplications[Action],"À migrer",TblApplications[Mois prov (calc)],"&lt;="&amp;$E1044)-SUMIFS(TblApplications[CPU IKS libérable (vCPU)],TblApplications[Cluster IKS source],$F1044,TblApplications[Action],"À décommissionner",TblApplications[Mois lib (calc)],"&lt;="&amp;$E1044)))))</f>
        <v>384</v>
      </c>
      <c r="Y1044" s="19">
        <f>IF($D1044&lt;&gt;1,"",IF($G1044="ROKS",$S1044,IF($AI1044=1,0,MAX($O1044,$M1044-SUMIFS(TblApplications[RAM IKS libérable (Go)],TblApplications[Cluster IKS source],$F1044,TblApplications[Action],"À migrer",TblApplications[Mois prov (calc)],"&lt;="&amp;$E1044)-SUMIFS(TblApplications[RAM IKS libérable (Go)],TblApplications[Cluster IKS source],$F1044,TblApplications[Action],"À décommissionner",TblApplications[Mois lib (calc)],"&lt;="&amp;$E1044)))))</f>
        <v>3072</v>
      </c>
      <c r="Z1044" s="19">
        <f t="shared" si="281"/>
        <v>6</v>
      </c>
      <c r="AA1044" s="73">
        <f t="shared" si="282"/>
        <v>17052</v>
      </c>
      <c r="AB1044" s="19">
        <f t="shared" si="283"/>
        <v>6</v>
      </c>
      <c r="AC1044" s="73">
        <f t="shared" si="284"/>
        <v>17052</v>
      </c>
      <c r="AD1044" s="19">
        <f t="shared" si="285"/>
        <v>0</v>
      </c>
      <c r="AE1044" s="19">
        <f t="shared" si="286"/>
        <v>0</v>
      </c>
      <c r="AF1044" s="19" t="str">
        <f>IF($D1044&lt;&gt;1,"",IF(INDEX(TblClusters[Environnement],$B1044)="","(vide)",INDEX(TblClusters[Environnement],$B1044)))</f>
        <v>PRD</v>
      </c>
      <c r="AG1044" s="19">
        <f t="shared" si="287"/>
        <v>691.2</v>
      </c>
      <c r="AH1044" s="19">
        <f t="shared" si="288"/>
        <v>24.670138888888886</v>
      </c>
      <c r="AI1044" s="19">
        <f>IF($D1044&lt;&gt;1,"",IF(AND($G1044="IKS",ISNUMBER(INDEX(TblClusters[Fermeture retenue],$B1044))),IF($E1044&gt;=INDEX(TblClusters[Fermeture retenue],$B1044),1,0),0))</f>
        <v>0</v>
      </c>
    </row>
    <row r="1045" spans="1:35" x14ac:dyDescent="0.2">
      <c r="A1045" s="19">
        <v>1040</v>
      </c>
      <c r="B1045" s="19">
        <f t="shared" si="272"/>
        <v>29</v>
      </c>
      <c r="C1045" s="19">
        <f t="shared" si="273"/>
        <v>32</v>
      </c>
      <c r="D1045" s="19">
        <f>IF($C1045&gt;p_horizon,0,IFERROR(IF(AND(INDEX(TblClusters[Cluster],$B1045)&lt;&gt;"",ISNUMBER(INDEX(TblClusters[CPU initial (vCPU)],$B1045)),ISNUMBER(INDEX(TblClusters[CPU min (vCPU)],$B1045)),OR(INDEX(TblClusters[Plateforme],$B1045)="IKS",INDEX(TblClusters[Plateforme],$B1045)="ROKS")),1,0),0))</f>
        <v>1</v>
      </c>
      <c r="E1045" s="72">
        <f t="shared" si="274"/>
        <v>47239</v>
      </c>
      <c r="F1045" s="19" t="str">
        <f>IF($D1045=1,INDEX(TblClusters[Cluster],$B1045),"")</f>
        <v>ku002i001071</v>
      </c>
      <c r="G1045" s="19" t="str">
        <f>IF($D1045=1,INDEX(TblClusters[Plateforme],$B1045),"")</f>
        <v>IKS</v>
      </c>
      <c r="H1045" s="19">
        <f>IF($D1045=1,INDEX(TblClusters[vCPU par nœud],$B1045),"")</f>
        <v>64</v>
      </c>
      <c r="I1045" s="19">
        <f>IF($D1045=1,INDEX(TblClusters[RAM par nœud (Go)],$B1045),"")</f>
        <v>512</v>
      </c>
      <c r="J1045" s="19">
        <f>IF($D1045=1,INDEX(TblClusters[Workers min],$B1045),"")</f>
        <v>3</v>
      </c>
      <c r="K1045" s="73">
        <f>IF($D1045=1,INDEX(TblClusters[Tarif par nœud],$B1045),"")</f>
        <v>2842</v>
      </c>
      <c r="L1045" s="19">
        <f>IF($D1045=1,INDEX(TblClusters[CPU initial (vCPU)],$B1045),"")</f>
        <v>384</v>
      </c>
      <c r="M1045" s="19">
        <f>IF($D1045=1,INDEX(TblClusters[RAM initiale (Go)],$B1045),"")</f>
        <v>3072</v>
      </c>
      <c r="N1045" s="19">
        <f>IF($D1045=1,INDEX(TblClusters[CPU min (vCPU)],$B1045),"")</f>
        <v>192</v>
      </c>
      <c r="O1045" s="19">
        <f>IF($D1045=1,INDEX(TblClusters[RAM min (Go)],$B1045),"")</f>
        <v>1536</v>
      </c>
      <c r="P1045" s="19">
        <f>IF($D1045&lt;&gt;1,"",IF($G1045="ROKS",SUMIFS(TblApplications[Besoin ROKS CPU (vCPU)],TblApplications[Cluster ROKS cible],$F1045,TblApplications[Action],"À migrer",TblApplications[Déjà incluse ROKS],"Non",TblApplications[Mois prov (calc)],"&lt;="&amp;$E1045),SUMIFS(TblApplications[CPU IKS libérable (vCPU)],TblApplications[Cluster IKS source],$F1045,TblApplications[Mois lib (calc)],"&lt;="&amp;$E1045)))</f>
        <v>0</v>
      </c>
      <c r="Q1045" s="19">
        <f>IF($D1045&lt;&gt;1,"",IF($G1045="ROKS",SUMIFS(TblApplications[Besoin ROKS RAM (Go)],TblApplications[Cluster ROKS cible],$F1045,TblApplications[Action],"À migrer",TblApplications[Déjà incluse ROKS],"Non",TblApplications[Mois prov (calc)],"&lt;="&amp;$E1045),SUMIFS(TblApplications[RAM IKS libérable (Go)],TblApplications[Cluster IKS source],$F1045,TblApplications[Mois lib (calc)],"&lt;="&amp;$E1045)))</f>
        <v>0</v>
      </c>
      <c r="R1045" s="19">
        <f t="shared" si="275"/>
        <v>384</v>
      </c>
      <c r="S1045" s="19">
        <f t="shared" si="276"/>
        <v>3072</v>
      </c>
      <c r="T1045" s="19">
        <f t="shared" si="277"/>
        <v>6</v>
      </c>
      <c r="U1045" s="19">
        <f t="shared" si="278"/>
        <v>384</v>
      </c>
      <c r="V1045" s="19">
        <f t="shared" si="279"/>
        <v>3072</v>
      </c>
      <c r="W1045" s="73">
        <f t="shared" si="280"/>
        <v>17052</v>
      </c>
      <c r="X1045" s="19">
        <f>IF($D1045&lt;&gt;1,"",IF($G1045="ROKS",$R1045,IF($AI1045=1,0,MAX($N1045,$L1045-SUMIFS(TblApplications[CPU IKS libérable (vCPU)],TblApplications[Cluster IKS source],$F1045,TblApplications[Action],"À migrer",TblApplications[Mois prov (calc)],"&lt;="&amp;$E1045)-SUMIFS(TblApplications[CPU IKS libérable (vCPU)],TblApplications[Cluster IKS source],$F1045,TblApplications[Action],"À décommissionner",TblApplications[Mois lib (calc)],"&lt;="&amp;$E1045)))))</f>
        <v>384</v>
      </c>
      <c r="Y1045" s="19">
        <f>IF($D1045&lt;&gt;1,"",IF($G1045="ROKS",$S1045,IF($AI1045=1,0,MAX($O1045,$M1045-SUMIFS(TblApplications[RAM IKS libérable (Go)],TblApplications[Cluster IKS source],$F1045,TblApplications[Action],"À migrer",TblApplications[Mois prov (calc)],"&lt;="&amp;$E1045)-SUMIFS(TblApplications[RAM IKS libérable (Go)],TblApplications[Cluster IKS source],$F1045,TblApplications[Action],"À décommissionner",TblApplications[Mois lib (calc)],"&lt;="&amp;$E1045)))))</f>
        <v>3072</v>
      </c>
      <c r="Z1045" s="19">
        <f t="shared" si="281"/>
        <v>6</v>
      </c>
      <c r="AA1045" s="73">
        <f t="shared" si="282"/>
        <v>17052</v>
      </c>
      <c r="AB1045" s="19">
        <f t="shared" si="283"/>
        <v>6</v>
      </c>
      <c r="AC1045" s="73">
        <f t="shared" si="284"/>
        <v>17052</v>
      </c>
      <c r="AD1045" s="19">
        <f t="shared" si="285"/>
        <v>0</v>
      </c>
      <c r="AE1045" s="19">
        <f t="shared" si="286"/>
        <v>0</v>
      </c>
      <c r="AF1045" s="19" t="str">
        <f>IF($D1045&lt;&gt;1,"",IF(INDEX(TblClusters[Environnement],$B1045)="","(vide)",INDEX(TblClusters[Environnement],$B1045)))</f>
        <v>PRD</v>
      </c>
      <c r="AG1045" s="19">
        <f t="shared" si="287"/>
        <v>691.2</v>
      </c>
      <c r="AH1045" s="19">
        <f t="shared" si="288"/>
        <v>24.670138888888886</v>
      </c>
      <c r="AI1045" s="19">
        <f>IF($D1045&lt;&gt;1,"",IF(AND($G1045="IKS",ISNUMBER(INDEX(TblClusters[Fermeture retenue],$B1045))),IF($E1045&gt;=INDEX(TblClusters[Fermeture retenue],$B1045),1,0),0))</f>
        <v>0</v>
      </c>
    </row>
    <row r="1046" spans="1:35" x14ac:dyDescent="0.2">
      <c r="A1046" s="19">
        <v>1041</v>
      </c>
      <c r="B1046" s="19">
        <f t="shared" si="272"/>
        <v>29</v>
      </c>
      <c r="C1046" s="19">
        <f t="shared" si="273"/>
        <v>33</v>
      </c>
      <c r="D1046" s="19">
        <f>IF($C1046&gt;p_horizon,0,IFERROR(IF(AND(INDEX(TblClusters[Cluster],$B1046)&lt;&gt;"",ISNUMBER(INDEX(TblClusters[CPU initial (vCPU)],$B1046)),ISNUMBER(INDEX(TblClusters[CPU min (vCPU)],$B1046)),OR(INDEX(TblClusters[Plateforme],$B1046)="IKS",INDEX(TblClusters[Plateforme],$B1046)="ROKS")),1,0),0))</f>
        <v>1</v>
      </c>
      <c r="E1046" s="72">
        <f t="shared" si="274"/>
        <v>47270</v>
      </c>
      <c r="F1046" s="19" t="str">
        <f>IF($D1046=1,INDEX(TblClusters[Cluster],$B1046),"")</f>
        <v>ku002i001071</v>
      </c>
      <c r="G1046" s="19" t="str">
        <f>IF($D1046=1,INDEX(TblClusters[Plateforme],$B1046),"")</f>
        <v>IKS</v>
      </c>
      <c r="H1046" s="19">
        <f>IF($D1046=1,INDEX(TblClusters[vCPU par nœud],$B1046),"")</f>
        <v>64</v>
      </c>
      <c r="I1046" s="19">
        <f>IF($D1046=1,INDEX(TblClusters[RAM par nœud (Go)],$B1046),"")</f>
        <v>512</v>
      </c>
      <c r="J1046" s="19">
        <f>IF($D1046=1,INDEX(TblClusters[Workers min],$B1046),"")</f>
        <v>3</v>
      </c>
      <c r="K1046" s="73">
        <f>IF($D1046=1,INDEX(TblClusters[Tarif par nœud],$B1046),"")</f>
        <v>2842</v>
      </c>
      <c r="L1046" s="19">
        <f>IF($D1046=1,INDEX(TblClusters[CPU initial (vCPU)],$B1046),"")</f>
        <v>384</v>
      </c>
      <c r="M1046" s="19">
        <f>IF($D1046=1,INDEX(TblClusters[RAM initiale (Go)],$B1046),"")</f>
        <v>3072</v>
      </c>
      <c r="N1046" s="19">
        <f>IF($D1046=1,INDEX(TblClusters[CPU min (vCPU)],$B1046),"")</f>
        <v>192</v>
      </c>
      <c r="O1046" s="19">
        <f>IF($D1046=1,INDEX(TblClusters[RAM min (Go)],$B1046),"")</f>
        <v>1536</v>
      </c>
      <c r="P1046" s="19">
        <f>IF($D1046&lt;&gt;1,"",IF($G1046="ROKS",SUMIFS(TblApplications[Besoin ROKS CPU (vCPU)],TblApplications[Cluster ROKS cible],$F1046,TblApplications[Action],"À migrer",TblApplications[Déjà incluse ROKS],"Non",TblApplications[Mois prov (calc)],"&lt;="&amp;$E1046),SUMIFS(TblApplications[CPU IKS libérable (vCPU)],TblApplications[Cluster IKS source],$F1046,TblApplications[Mois lib (calc)],"&lt;="&amp;$E1046)))</f>
        <v>0</v>
      </c>
      <c r="Q1046" s="19">
        <f>IF($D1046&lt;&gt;1,"",IF($G1046="ROKS",SUMIFS(TblApplications[Besoin ROKS RAM (Go)],TblApplications[Cluster ROKS cible],$F1046,TblApplications[Action],"À migrer",TblApplications[Déjà incluse ROKS],"Non",TblApplications[Mois prov (calc)],"&lt;="&amp;$E1046),SUMIFS(TblApplications[RAM IKS libérable (Go)],TblApplications[Cluster IKS source],$F1046,TblApplications[Mois lib (calc)],"&lt;="&amp;$E1046)))</f>
        <v>0</v>
      </c>
      <c r="R1046" s="19">
        <f t="shared" si="275"/>
        <v>384</v>
      </c>
      <c r="S1046" s="19">
        <f t="shared" si="276"/>
        <v>3072</v>
      </c>
      <c r="T1046" s="19">
        <f t="shared" si="277"/>
        <v>6</v>
      </c>
      <c r="U1046" s="19">
        <f t="shared" si="278"/>
        <v>384</v>
      </c>
      <c r="V1046" s="19">
        <f t="shared" si="279"/>
        <v>3072</v>
      </c>
      <c r="W1046" s="73">
        <f t="shared" si="280"/>
        <v>17052</v>
      </c>
      <c r="X1046" s="19">
        <f>IF($D1046&lt;&gt;1,"",IF($G1046="ROKS",$R1046,IF($AI1046=1,0,MAX($N1046,$L1046-SUMIFS(TblApplications[CPU IKS libérable (vCPU)],TblApplications[Cluster IKS source],$F1046,TblApplications[Action],"À migrer",TblApplications[Mois prov (calc)],"&lt;="&amp;$E1046)-SUMIFS(TblApplications[CPU IKS libérable (vCPU)],TblApplications[Cluster IKS source],$F1046,TblApplications[Action],"À décommissionner",TblApplications[Mois lib (calc)],"&lt;="&amp;$E1046)))))</f>
        <v>384</v>
      </c>
      <c r="Y1046" s="19">
        <f>IF($D1046&lt;&gt;1,"",IF($G1046="ROKS",$S1046,IF($AI1046=1,0,MAX($O1046,$M1046-SUMIFS(TblApplications[RAM IKS libérable (Go)],TblApplications[Cluster IKS source],$F1046,TblApplications[Action],"À migrer",TblApplications[Mois prov (calc)],"&lt;="&amp;$E1046)-SUMIFS(TblApplications[RAM IKS libérable (Go)],TblApplications[Cluster IKS source],$F1046,TblApplications[Action],"À décommissionner",TblApplications[Mois lib (calc)],"&lt;="&amp;$E1046)))))</f>
        <v>3072</v>
      </c>
      <c r="Z1046" s="19">
        <f t="shared" si="281"/>
        <v>6</v>
      </c>
      <c r="AA1046" s="73">
        <f t="shared" si="282"/>
        <v>17052</v>
      </c>
      <c r="AB1046" s="19">
        <f t="shared" si="283"/>
        <v>6</v>
      </c>
      <c r="AC1046" s="73">
        <f t="shared" si="284"/>
        <v>17052</v>
      </c>
      <c r="AD1046" s="19">
        <f t="shared" si="285"/>
        <v>0</v>
      </c>
      <c r="AE1046" s="19">
        <f t="shared" si="286"/>
        <v>0</v>
      </c>
      <c r="AF1046" s="19" t="str">
        <f>IF($D1046&lt;&gt;1,"",IF(INDEX(TblClusters[Environnement],$B1046)="","(vide)",INDEX(TblClusters[Environnement],$B1046)))</f>
        <v>PRD</v>
      </c>
      <c r="AG1046" s="19">
        <f t="shared" si="287"/>
        <v>691.2</v>
      </c>
      <c r="AH1046" s="19">
        <f t="shared" si="288"/>
        <v>24.670138888888886</v>
      </c>
      <c r="AI1046" s="19">
        <f>IF($D1046&lt;&gt;1,"",IF(AND($G1046="IKS",ISNUMBER(INDEX(TblClusters[Fermeture retenue],$B1046))),IF($E1046&gt;=INDEX(TblClusters[Fermeture retenue],$B1046),1,0),0))</f>
        <v>0</v>
      </c>
    </row>
    <row r="1047" spans="1:35" x14ac:dyDescent="0.2">
      <c r="A1047" s="19">
        <v>1042</v>
      </c>
      <c r="B1047" s="19">
        <f t="shared" si="272"/>
        <v>29</v>
      </c>
      <c r="C1047" s="19">
        <f t="shared" si="273"/>
        <v>34</v>
      </c>
      <c r="D1047" s="19">
        <f>IF($C1047&gt;p_horizon,0,IFERROR(IF(AND(INDEX(TblClusters[Cluster],$B1047)&lt;&gt;"",ISNUMBER(INDEX(TblClusters[CPU initial (vCPU)],$B1047)),ISNUMBER(INDEX(TblClusters[CPU min (vCPU)],$B1047)),OR(INDEX(TblClusters[Plateforme],$B1047)="IKS",INDEX(TblClusters[Plateforme],$B1047)="ROKS")),1,0),0))</f>
        <v>1</v>
      </c>
      <c r="E1047" s="72">
        <f t="shared" si="274"/>
        <v>47300</v>
      </c>
      <c r="F1047" s="19" t="str">
        <f>IF($D1047=1,INDEX(TblClusters[Cluster],$B1047),"")</f>
        <v>ku002i001071</v>
      </c>
      <c r="G1047" s="19" t="str">
        <f>IF($D1047=1,INDEX(TblClusters[Plateforme],$B1047),"")</f>
        <v>IKS</v>
      </c>
      <c r="H1047" s="19">
        <f>IF($D1047=1,INDEX(TblClusters[vCPU par nœud],$B1047),"")</f>
        <v>64</v>
      </c>
      <c r="I1047" s="19">
        <f>IF($D1047=1,INDEX(TblClusters[RAM par nœud (Go)],$B1047),"")</f>
        <v>512</v>
      </c>
      <c r="J1047" s="19">
        <f>IF($D1047=1,INDEX(TblClusters[Workers min],$B1047),"")</f>
        <v>3</v>
      </c>
      <c r="K1047" s="73">
        <f>IF($D1047=1,INDEX(TblClusters[Tarif par nœud],$B1047),"")</f>
        <v>2842</v>
      </c>
      <c r="L1047" s="19">
        <f>IF($D1047=1,INDEX(TblClusters[CPU initial (vCPU)],$B1047),"")</f>
        <v>384</v>
      </c>
      <c r="M1047" s="19">
        <f>IF($D1047=1,INDEX(TblClusters[RAM initiale (Go)],$B1047),"")</f>
        <v>3072</v>
      </c>
      <c r="N1047" s="19">
        <f>IF($D1047=1,INDEX(TblClusters[CPU min (vCPU)],$B1047),"")</f>
        <v>192</v>
      </c>
      <c r="O1047" s="19">
        <f>IF($D1047=1,INDEX(TblClusters[RAM min (Go)],$B1047),"")</f>
        <v>1536</v>
      </c>
      <c r="P1047" s="19">
        <f>IF($D1047&lt;&gt;1,"",IF($G1047="ROKS",SUMIFS(TblApplications[Besoin ROKS CPU (vCPU)],TblApplications[Cluster ROKS cible],$F1047,TblApplications[Action],"À migrer",TblApplications[Déjà incluse ROKS],"Non",TblApplications[Mois prov (calc)],"&lt;="&amp;$E1047),SUMIFS(TblApplications[CPU IKS libérable (vCPU)],TblApplications[Cluster IKS source],$F1047,TblApplications[Mois lib (calc)],"&lt;="&amp;$E1047)))</f>
        <v>0</v>
      </c>
      <c r="Q1047" s="19">
        <f>IF($D1047&lt;&gt;1,"",IF($G1047="ROKS",SUMIFS(TblApplications[Besoin ROKS RAM (Go)],TblApplications[Cluster ROKS cible],$F1047,TblApplications[Action],"À migrer",TblApplications[Déjà incluse ROKS],"Non",TblApplications[Mois prov (calc)],"&lt;="&amp;$E1047),SUMIFS(TblApplications[RAM IKS libérable (Go)],TblApplications[Cluster IKS source],$F1047,TblApplications[Mois lib (calc)],"&lt;="&amp;$E1047)))</f>
        <v>0</v>
      </c>
      <c r="R1047" s="19">
        <f t="shared" si="275"/>
        <v>384</v>
      </c>
      <c r="S1047" s="19">
        <f t="shared" si="276"/>
        <v>3072</v>
      </c>
      <c r="T1047" s="19">
        <f t="shared" si="277"/>
        <v>6</v>
      </c>
      <c r="U1047" s="19">
        <f t="shared" si="278"/>
        <v>384</v>
      </c>
      <c r="V1047" s="19">
        <f t="shared" si="279"/>
        <v>3072</v>
      </c>
      <c r="W1047" s="73">
        <f t="shared" si="280"/>
        <v>17052</v>
      </c>
      <c r="X1047" s="19">
        <f>IF($D1047&lt;&gt;1,"",IF($G1047="ROKS",$R1047,IF($AI1047=1,0,MAX($N1047,$L1047-SUMIFS(TblApplications[CPU IKS libérable (vCPU)],TblApplications[Cluster IKS source],$F1047,TblApplications[Action],"À migrer",TblApplications[Mois prov (calc)],"&lt;="&amp;$E1047)-SUMIFS(TblApplications[CPU IKS libérable (vCPU)],TblApplications[Cluster IKS source],$F1047,TblApplications[Action],"À décommissionner",TblApplications[Mois lib (calc)],"&lt;="&amp;$E1047)))))</f>
        <v>384</v>
      </c>
      <c r="Y1047" s="19">
        <f>IF($D1047&lt;&gt;1,"",IF($G1047="ROKS",$S1047,IF($AI1047=1,0,MAX($O1047,$M1047-SUMIFS(TblApplications[RAM IKS libérable (Go)],TblApplications[Cluster IKS source],$F1047,TblApplications[Action],"À migrer",TblApplications[Mois prov (calc)],"&lt;="&amp;$E1047)-SUMIFS(TblApplications[RAM IKS libérable (Go)],TblApplications[Cluster IKS source],$F1047,TblApplications[Action],"À décommissionner",TblApplications[Mois lib (calc)],"&lt;="&amp;$E1047)))))</f>
        <v>3072</v>
      </c>
      <c r="Z1047" s="19">
        <f t="shared" si="281"/>
        <v>6</v>
      </c>
      <c r="AA1047" s="73">
        <f t="shared" si="282"/>
        <v>17052</v>
      </c>
      <c r="AB1047" s="19">
        <f t="shared" si="283"/>
        <v>6</v>
      </c>
      <c r="AC1047" s="73">
        <f t="shared" si="284"/>
        <v>17052</v>
      </c>
      <c r="AD1047" s="19">
        <f t="shared" si="285"/>
        <v>0</v>
      </c>
      <c r="AE1047" s="19">
        <f t="shared" si="286"/>
        <v>0</v>
      </c>
      <c r="AF1047" s="19" t="str">
        <f>IF($D1047&lt;&gt;1,"",IF(INDEX(TblClusters[Environnement],$B1047)="","(vide)",INDEX(TblClusters[Environnement],$B1047)))</f>
        <v>PRD</v>
      </c>
      <c r="AG1047" s="19">
        <f t="shared" si="287"/>
        <v>691.2</v>
      </c>
      <c r="AH1047" s="19">
        <f t="shared" si="288"/>
        <v>24.670138888888886</v>
      </c>
      <c r="AI1047" s="19">
        <f>IF($D1047&lt;&gt;1,"",IF(AND($G1047="IKS",ISNUMBER(INDEX(TblClusters[Fermeture retenue],$B1047))),IF($E1047&gt;=INDEX(TblClusters[Fermeture retenue],$B1047),1,0),0))</f>
        <v>0</v>
      </c>
    </row>
    <row r="1048" spans="1:35" x14ac:dyDescent="0.2">
      <c r="A1048" s="19">
        <v>1043</v>
      </c>
      <c r="B1048" s="19">
        <f t="shared" si="272"/>
        <v>29</v>
      </c>
      <c r="C1048" s="19">
        <f t="shared" si="273"/>
        <v>35</v>
      </c>
      <c r="D1048" s="19">
        <f>IF($C1048&gt;p_horizon,0,IFERROR(IF(AND(INDEX(TblClusters[Cluster],$B1048)&lt;&gt;"",ISNUMBER(INDEX(TblClusters[CPU initial (vCPU)],$B1048)),ISNUMBER(INDEX(TblClusters[CPU min (vCPU)],$B1048)),OR(INDEX(TblClusters[Plateforme],$B1048)="IKS",INDEX(TblClusters[Plateforme],$B1048)="ROKS")),1,0),0))</f>
        <v>1</v>
      </c>
      <c r="E1048" s="72">
        <f t="shared" si="274"/>
        <v>47331</v>
      </c>
      <c r="F1048" s="19" t="str">
        <f>IF($D1048=1,INDEX(TblClusters[Cluster],$B1048),"")</f>
        <v>ku002i001071</v>
      </c>
      <c r="G1048" s="19" t="str">
        <f>IF($D1048=1,INDEX(TblClusters[Plateforme],$B1048),"")</f>
        <v>IKS</v>
      </c>
      <c r="H1048" s="19">
        <f>IF($D1048=1,INDEX(TblClusters[vCPU par nœud],$B1048),"")</f>
        <v>64</v>
      </c>
      <c r="I1048" s="19">
        <f>IF($D1048=1,INDEX(TblClusters[RAM par nœud (Go)],$B1048),"")</f>
        <v>512</v>
      </c>
      <c r="J1048" s="19">
        <f>IF($D1048=1,INDEX(TblClusters[Workers min],$B1048),"")</f>
        <v>3</v>
      </c>
      <c r="K1048" s="73">
        <f>IF($D1048=1,INDEX(TblClusters[Tarif par nœud],$B1048),"")</f>
        <v>2842</v>
      </c>
      <c r="L1048" s="19">
        <f>IF($D1048=1,INDEX(TblClusters[CPU initial (vCPU)],$B1048),"")</f>
        <v>384</v>
      </c>
      <c r="M1048" s="19">
        <f>IF($D1048=1,INDEX(TblClusters[RAM initiale (Go)],$B1048),"")</f>
        <v>3072</v>
      </c>
      <c r="N1048" s="19">
        <f>IF($D1048=1,INDEX(TblClusters[CPU min (vCPU)],$B1048),"")</f>
        <v>192</v>
      </c>
      <c r="O1048" s="19">
        <f>IF($D1048=1,INDEX(TblClusters[RAM min (Go)],$B1048),"")</f>
        <v>1536</v>
      </c>
      <c r="P1048" s="19">
        <f>IF($D1048&lt;&gt;1,"",IF($G1048="ROKS",SUMIFS(TblApplications[Besoin ROKS CPU (vCPU)],TblApplications[Cluster ROKS cible],$F1048,TblApplications[Action],"À migrer",TblApplications[Déjà incluse ROKS],"Non",TblApplications[Mois prov (calc)],"&lt;="&amp;$E1048),SUMIFS(TblApplications[CPU IKS libérable (vCPU)],TblApplications[Cluster IKS source],$F1048,TblApplications[Mois lib (calc)],"&lt;="&amp;$E1048)))</f>
        <v>0</v>
      </c>
      <c r="Q1048" s="19">
        <f>IF($D1048&lt;&gt;1,"",IF($G1048="ROKS",SUMIFS(TblApplications[Besoin ROKS RAM (Go)],TblApplications[Cluster ROKS cible],$F1048,TblApplications[Action],"À migrer",TblApplications[Déjà incluse ROKS],"Non",TblApplications[Mois prov (calc)],"&lt;="&amp;$E1048),SUMIFS(TblApplications[RAM IKS libérable (Go)],TblApplications[Cluster IKS source],$F1048,TblApplications[Mois lib (calc)],"&lt;="&amp;$E1048)))</f>
        <v>0</v>
      </c>
      <c r="R1048" s="19">
        <f t="shared" si="275"/>
        <v>384</v>
      </c>
      <c r="S1048" s="19">
        <f t="shared" si="276"/>
        <v>3072</v>
      </c>
      <c r="T1048" s="19">
        <f t="shared" si="277"/>
        <v>6</v>
      </c>
      <c r="U1048" s="19">
        <f t="shared" si="278"/>
        <v>384</v>
      </c>
      <c r="V1048" s="19">
        <f t="shared" si="279"/>
        <v>3072</v>
      </c>
      <c r="W1048" s="73">
        <f t="shared" si="280"/>
        <v>17052</v>
      </c>
      <c r="X1048" s="19">
        <f>IF($D1048&lt;&gt;1,"",IF($G1048="ROKS",$R1048,IF($AI1048=1,0,MAX($N1048,$L1048-SUMIFS(TblApplications[CPU IKS libérable (vCPU)],TblApplications[Cluster IKS source],$F1048,TblApplications[Action],"À migrer",TblApplications[Mois prov (calc)],"&lt;="&amp;$E1048)-SUMIFS(TblApplications[CPU IKS libérable (vCPU)],TblApplications[Cluster IKS source],$F1048,TblApplications[Action],"À décommissionner",TblApplications[Mois lib (calc)],"&lt;="&amp;$E1048)))))</f>
        <v>384</v>
      </c>
      <c r="Y1048" s="19">
        <f>IF($D1048&lt;&gt;1,"",IF($G1048="ROKS",$S1048,IF($AI1048=1,0,MAX($O1048,$M1048-SUMIFS(TblApplications[RAM IKS libérable (Go)],TblApplications[Cluster IKS source],$F1048,TblApplications[Action],"À migrer",TblApplications[Mois prov (calc)],"&lt;="&amp;$E1048)-SUMIFS(TblApplications[RAM IKS libérable (Go)],TblApplications[Cluster IKS source],$F1048,TblApplications[Action],"À décommissionner",TblApplications[Mois lib (calc)],"&lt;="&amp;$E1048)))))</f>
        <v>3072</v>
      </c>
      <c r="Z1048" s="19">
        <f t="shared" si="281"/>
        <v>6</v>
      </c>
      <c r="AA1048" s="73">
        <f t="shared" si="282"/>
        <v>17052</v>
      </c>
      <c r="AB1048" s="19">
        <f t="shared" si="283"/>
        <v>6</v>
      </c>
      <c r="AC1048" s="73">
        <f t="shared" si="284"/>
        <v>17052</v>
      </c>
      <c r="AD1048" s="19">
        <f t="shared" si="285"/>
        <v>0</v>
      </c>
      <c r="AE1048" s="19">
        <f t="shared" si="286"/>
        <v>0</v>
      </c>
      <c r="AF1048" s="19" t="str">
        <f>IF($D1048&lt;&gt;1,"",IF(INDEX(TblClusters[Environnement],$B1048)="","(vide)",INDEX(TblClusters[Environnement],$B1048)))</f>
        <v>PRD</v>
      </c>
      <c r="AG1048" s="19">
        <f t="shared" si="287"/>
        <v>691.2</v>
      </c>
      <c r="AH1048" s="19">
        <f t="shared" si="288"/>
        <v>24.670138888888886</v>
      </c>
      <c r="AI1048" s="19">
        <f>IF($D1048&lt;&gt;1,"",IF(AND($G1048="IKS",ISNUMBER(INDEX(TblClusters[Fermeture retenue],$B1048))),IF($E1048&gt;=INDEX(TblClusters[Fermeture retenue],$B1048),1,0),0))</f>
        <v>0</v>
      </c>
    </row>
    <row r="1049" spans="1:35" x14ac:dyDescent="0.2">
      <c r="A1049" s="19">
        <v>1044</v>
      </c>
      <c r="B1049" s="19">
        <f t="shared" si="272"/>
        <v>29</v>
      </c>
      <c r="C1049" s="19">
        <f t="shared" si="273"/>
        <v>36</v>
      </c>
      <c r="D1049" s="19">
        <f>IF($C1049&gt;p_horizon,0,IFERROR(IF(AND(INDEX(TblClusters[Cluster],$B1049)&lt;&gt;"",ISNUMBER(INDEX(TblClusters[CPU initial (vCPU)],$B1049)),ISNUMBER(INDEX(TblClusters[CPU min (vCPU)],$B1049)),OR(INDEX(TblClusters[Plateforme],$B1049)="IKS",INDEX(TblClusters[Plateforme],$B1049)="ROKS")),1,0),0))</f>
        <v>1</v>
      </c>
      <c r="E1049" s="72">
        <f t="shared" si="274"/>
        <v>47362</v>
      </c>
      <c r="F1049" s="19" t="str">
        <f>IF($D1049=1,INDEX(TblClusters[Cluster],$B1049),"")</f>
        <v>ku002i001071</v>
      </c>
      <c r="G1049" s="19" t="str">
        <f>IF($D1049=1,INDEX(TblClusters[Plateforme],$B1049),"")</f>
        <v>IKS</v>
      </c>
      <c r="H1049" s="19">
        <f>IF($D1049=1,INDEX(TblClusters[vCPU par nœud],$B1049),"")</f>
        <v>64</v>
      </c>
      <c r="I1049" s="19">
        <f>IF($D1049=1,INDEX(TblClusters[RAM par nœud (Go)],$B1049),"")</f>
        <v>512</v>
      </c>
      <c r="J1049" s="19">
        <f>IF($D1049=1,INDEX(TblClusters[Workers min],$B1049),"")</f>
        <v>3</v>
      </c>
      <c r="K1049" s="73">
        <f>IF($D1049=1,INDEX(TblClusters[Tarif par nœud],$B1049),"")</f>
        <v>2842</v>
      </c>
      <c r="L1049" s="19">
        <f>IF($D1049=1,INDEX(TblClusters[CPU initial (vCPU)],$B1049),"")</f>
        <v>384</v>
      </c>
      <c r="M1049" s="19">
        <f>IF($D1049=1,INDEX(TblClusters[RAM initiale (Go)],$B1049),"")</f>
        <v>3072</v>
      </c>
      <c r="N1049" s="19">
        <f>IF($D1049=1,INDEX(TblClusters[CPU min (vCPU)],$B1049),"")</f>
        <v>192</v>
      </c>
      <c r="O1049" s="19">
        <f>IF($D1049=1,INDEX(TblClusters[RAM min (Go)],$B1049),"")</f>
        <v>1536</v>
      </c>
      <c r="P1049" s="19">
        <f>IF($D1049&lt;&gt;1,"",IF($G1049="ROKS",SUMIFS(TblApplications[Besoin ROKS CPU (vCPU)],TblApplications[Cluster ROKS cible],$F1049,TblApplications[Action],"À migrer",TblApplications[Déjà incluse ROKS],"Non",TblApplications[Mois prov (calc)],"&lt;="&amp;$E1049),SUMIFS(TblApplications[CPU IKS libérable (vCPU)],TblApplications[Cluster IKS source],$F1049,TblApplications[Mois lib (calc)],"&lt;="&amp;$E1049)))</f>
        <v>0</v>
      </c>
      <c r="Q1049" s="19">
        <f>IF($D1049&lt;&gt;1,"",IF($G1049="ROKS",SUMIFS(TblApplications[Besoin ROKS RAM (Go)],TblApplications[Cluster ROKS cible],$F1049,TblApplications[Action],"À migrer",TblApplications[Déjà incluse ROKS],"Non",TblApplications[Mois prov (calc)],"&lt;="&amp;$E1049),SUMIFS(TblApplications[RAM IKS libérable (Go)],TblApplications[Cluster IKS source],$F1049,TblApplications[Mois lib (calc)],"&lt;="&amp;$E1049)))</f>
        <v>0</v>
      </c>
      <c r="R1049" s="19">
        <f t="shared" si="275"/>
        <v>384</v>
      </c>
      <c r="S1049" s="19">
        <f t="shared" si="276"/>
        <v>3072</v>
      </c>
      <c r="T1049" s="19">
        <f t="shared" si="277"/>
        <v>6</v>
      </c>
      <c r="U1049" s="19">
        <f t="shared" si="278"/>
        <v>384</v>
      </c>
      <c r="V1049" s="19">
        <f t="shared" si="279"/>
        <v>3072</v>
      </c>
      <c r="W1049" s="73">
        <f t="shared" si="280"/>
        <v>17052</v>
      </c>
      <c r="X1049" s="19">
        <f>IF($D1049&lt;&gt;1,"",IF($G1049="ROKS",$R1049,IF($AI1049=1,0,MAX($N1049,$L1049-SUMIFS(TblApplications[CPU IKS libérable (vCPU)],TblApplications[Cluster IKS source],$F1049,TblApplications[Action],"À migrer",TblApplications[Mois prov (calc)],"&lt;="&amp;$E1049)-SUMIFS(TblApplications[CPU IKS libérable (vCPU)],TblApplications[Cluster IKS source],$F1049,TblApplications[Action],"À décommissionner",TblApplications[Mois lib (calc)],"&lt;="&amp;$E1049)))))</f>
        <v>384</v>
      </c>
      <c r="Y1049" s="19">
        <f>IF($D1049&lt;&gt;1,"",IF($G1049="ROKS",$S1049,IF($AI1049=1,0,MAX($O1049,$M1049-SUMIFS(TblApplications[RAM IKS libérable (Go)],TblApplications[Cluster IKS source],$F1049,TblApplications[Action],"À migrer",TblApplications[Mois prov (calc)],"&lt;="&amp;$E1049)-SUMIFS(TblApplications[RAM IKS libérable (Go)],TblApplications[Cluster IKS source],$F1049,TblApplications[Action],"À décommissionner",TblApplications[Mois lib (calc)],"&lt;="&amp;$E1049)))))</f>
        <v>3072</v>
      </c>
      <c r="Z1049" s="19">
        <f t="shared" si="281"/>
        <v>6</v>
      </c>
      <c r="AA1049" s="73">
        <f t="shared" si="282"/>
        <v>17052</v>
      </c>
      <c r="AB1049" s="19">
        <f t="shared" si="283"/>
        <v>6</v>
      </c>
      <c r="AC1049" s="73">
        <f t="shared" si="284"/>
        <v>17052</v>
      </c>
      <c r="AD1049" s="19">
        <f t="shared" si="285"/>
        <v>0</v>
      </c>
      <c r="AE1049" s="19">
        <f t="shared" si="286"/>
        <v>0</v>
      </c>
      <c r="AF1049" s="19" t="str">
        <f>IF($D1049&lt;&gt;1,"",IF(INDEX(TblClusters[Environnement],$B1049)="","(vide)",INDEX(TblClusters[Environnement],$B1049)))</f>
        <v>PRD</v>
      </c>
      <c r="AG1049" s="19">
        <f t="shared" si="287"/>
        <v>691.2</v>
      </c>
      <c r="AH1049" s="19">
        <f t="shared" si="288"/>
        <v>24.670138888888886</v>
      </c>
      <c r="AI1049" s="19">
        <f>IF($D1049&lt;&gt;1,"",IF(AND($G1049="IKS",ISNUMBER(INDEX(TblClusters[Fermeture retenue],$B1049))),IF($E1049&gt;=INDEX(TblClusters[Fermeture retenue],$B1049),1,0),0))</f>
        <v>0</v>
      </c>
    </row>
    <row r="1050" spans="1:35" x14ac:dyDescent="0.2">
      <c r="A1050" s="19">
        <v>1045</v>
      </c>
      <c r="B1050" s="19">
        <f t="shared" si="272"/>
        <v>30</v>
      </c>
      <c r="C1050" s="19">
        <f t="shared" si="273"/>
        <v>1</v>
      </c>
      <c r="D1050" s="19">
        <f>IF($C1050&gt;p_horizon,0,IFERROR(IF(AND(INDEX(TblClusters[Cluster],$B1050)&lt;&gt;"",ISNUMBER(INDEX(TblClusters[CPU initial (vCPU)],$B1050)),ISNUMBER(INDEX(TblClusters[CPU min (vCPU)],$B1050)),OR(INDEX(TblClusters[Plateforme],$B1050)="IKS",INDEX(TblClusters[Plateforme],$B1050)="ROKS")),1,0),0))</f>
        <v>0</v>
      </c>
      <c r="E1050" s="72" t="str">
        <f t="shared" si="274"/>
        <v/>
      </c>
      <c r="F1050" s="19" t="str">
        <f>IF($D1050=1,INDEX(TblClusters[Cluster],$B1050),"")</f>
        <v/>
      </c>
      <c r="G1050" s="19" t="str">
        <f>IF($D1050=1,INDEX(TblClusters[Plateforme],$B1050),"")</f>
        <v/>
      </c>
      <c r="H1050" s="19" t="str">
        <f>IF($D1050=1,INDEX(TblClusters[vCPU par nœud],$B1050),"")</f>
        <v/>
      </c>
      <c r="I1050" s="19" t="str">
        <f>IF($D1050=1,INDEX(TblClusters[RAM par nœud (Go)],$B1050),"")</f>
        <v/>
      </c>
      <c r="J1050" s="19" t="str">
        <f>IF($D1050=1,INDEX(TblClusters[Workers min],$B1050),"")</f>
        <v/>
      </c>
      <c r="K1050" s="73" t="str">
        <f>IF($D1050=1,INDEX(TblClusters[Tarif par nœud],$B1050),"")</f>
        <v/>
      </c>
      <c r="L1050" s="19" t="str">
        <f>IF($D1050=1,INDEX(TblClusters[CPU initial (vCPU)],$B1050),"")</f>
        <v/>
      </c>
      <c r="M1050" s="19" t="str">
        <f>IF($D1050=1,INDEX(TblClusters[RAM initiale (Go)],$B1050),"")</f>
        <v/>
      </c>
      <c r="N1050" s="19" t="str">
        <f>IF($D1050=1,INDEX(TblClusters[CPU min (vCPU)],$B1050),"")</f>
        <v/>
      </c>
      <c r="O1050" s="19" t="str">
        <f>IF($D1050=1,INDEX(TblClusters[RAM min (Go)],$B1050),"")</f>
        <v/>
      </c>
      <c r="P1050" s="19" t="str">
        <f>IF($D1050&lt;&gt;1,"",IF($G1050="ROKS",SUMIFS(TblApplications[Besoin ROKS CPU (vCPU)],TblApplications[Cluster ROKS cible],$F1050,TblApplications[Action],"À migrer",TblApplications[Déjà incluse ROKS],"Non",TblApplications[Mois prov (calc)],"&lt;="&amp;$E1050),SUMIFS(TblApplications[CPU IKS libérable (vCPU)],TblApplications[Cluster IKS source],$F1050,TblApplications[Mois lib (calc)],"&lt;="&amp;$E1050)))</f>
        <v/>
      </c>
      <c r="Q1050" s="19" t="str">
        <f>IF($D1050&lt;&gt;1,"",IF($G1050="ROKS",SUMIFS(TblApplications[Besoin ROKS RAM (Go)],TblApplications[Cluster ROKS cible],$F1050,TblApplications[Action],"À migrer",TblApplications[Déjà incluse ROKS],"Non",TblApplications[Mois prov (calc)],"&lt;="&amp;$E1050),SUMIFS(TblApplications[RAM IKS libérable (Go)],TblApplications[Cluster IKS source],$F1050,TblApplications[Mois lib (calc)],"&lt;="&amp;$E1050)))</f>
        <v/>
      </c>
      <c r="R1050" s="19" t="str">
        <f t="shared" si="275"/>
        <v/>
      </c>
      <c r="S1050" s="19" t="str">
        <f t="shared" si="276"/>
        <v/>
      </c>
      <c r="T1050" s="19" t="str">
        <f t="shared" si="277"/>
        <v/>
      </c>
      <c r="U1050" s="19" t="str">
        <f t="shared" si="278"/>
        <v/>
      </c>
      <c r="V1050" s="19" t="str">
        <f t="shared" si="279"/>
        <v/>
      </c>
      <c r="W1050" s="73" t="str">
        <f t="shared" si="280"/>
        <v/>
      </c>
      <c r="X1050" s="19" t="str">
        <f>IF($D1050&lt;&gt;1,"",IF($G1050="ROKS",$R1050,IF($AI1050=1,0,MAX($N1050,$L1050-SUMIFS(TblApplications[CPU IKS libérable (vCPU)],TblApplications[Cluster IKS source],$F1050,TblApplications[Action],"À migrer",TblApplications[Mois prov (calc)],"&lt;="&amp;$E1050)-SUMIFS(TblApplications[CPU IKS libérable (vCPU)],TblApplications[Cluster IKS source],$F1050,TblApplications[Action],"À décommissionner",TblApplications[Mois lib (calc)],"&lt;="&amp;$E1050)))))</f>
        <v/>
      </c>
      <c r="Y1050" s="19" t="str">
        <f>IF($D1050&lt;&gt;1,"",IF($G1050="ROKS",$S1050,IF($AI1050=1,0,MAX($O1050,$M1050-SUMIFS(TblApplications[RAM IKS libérable (Go)],TblApplications[Cluster IKS source],$F1050,TblApplications[Action],"À migrer",TblApplications[Mois prov (calc)],"&lt;="&amp;$E1050)-SUMIFS(TblApplications[RAM IKS libérable (Go)],TblApplications[Cluster IKS source],$F1050,TblApplications[Action],"À décommissionner",TblApplications[Mois lib (calc)],"&lt;="&amp;$E1050)))))</f>
        <v/>
      </c>
      <c r="Z1050" s="19" t="str">
        <f t="shared" si="281"/>
        <v/>
      </c>
      <c r="AA1050" s="73" t="str">
        <f t="shared" si="282"/>
        <v/>
      </c>
      <c r="AB1050" s="19" t="str">
        <f t="shared" si="283"/>
        <v/>
      </c>
      <c r="AC1050" s="73" t="str">
        <f t="shared" si="284"/>
        <v/>
      </c>
      <c r="AD1050" s="19" t="str">
        <f t="shared" si="285"/>
        <v/>
      </c>
      <c r="AE1050" s="19" t="str">
        <f t="shared" si="286"/>
        <v/>
      </c>
      <c r="AF1050" s="19" t="str">
        <f>IF($D1050&lt;&gt;1,"",IF(INDEX(TblClusters[Environnement],$B1050)="","(vide)",INDEX(TblClusters[Environnement],$B1050)))</f>
        <v/>
      </c>
      <c r="AG1050" s="19" t="str">
        <f t="shared" si="287"/>
        <v/>
      </c>
      <c r="AH1050" s="19" t="str">
        <f t="shared" si="288"/>
        <v/>
      </c>
      <c r="AI1050" s="19" t="str">
        <f>IF($D1050&lt;&gt;1,"",IF(AND($G1050="IKS",ISNUMBER(INDEX(TblClusters[Fermeture retenue],$B1050))),IF($E1050&gt;=INDEX(TblClusters[Fermeture retenue],$B1050),1,0),0))</f>
        <v/>
      </c>
    </row>
    <row r="1051" spans="1:35" x14ac:dyDescent="0.2">
      <c r="A1051" s="19">
        <v>1046</v>
      </c>
      <c r="B1051" s="19">
        <f t="shared" si="272"/>
        <v>30</v>
      </c>
      <c r="C1051" s="19">
        <f t="shared" si="273"/>
        <v>2</v>
      </c>
      <c r="D1051" s="19">
        <f>IF($C1051&gt;p_horizon,0,IFERROR(IF(AND(INDEX(TblClusters[Cluster],$B1051)&lt;&gt;"",ISNUMBER(INDEX(TblClusters[CPU initial (vCPU)],$B1051)),ISNUMBER(INDEX(TblClusters[CPU min (vCPU)],$B1051)),OR(INDEX(TblClusters[Plateforme],$B1051)="IKS",INDEX(TblClusters[Plateforme],$B1051)="ROKS")),1,0),0))</f>
        <v>0</v>
      </c>
      <c r="E1051" s="72" t="str">
        <f t="shared" si="274"/>
        <v/>
      </c>
      <c r="F1051" s="19" t="str">
        <f>IF($D1051=1,INDEX(TblClusters[Cluster],$B1051),"")</f>
        <v/>
      </c>
      <c r="G1051" s="19" t="str">
        <f>IF($D1051=1,INDEX(TblClusters[Plateforme],$B1051),"")</f>
        <v/>
      </c>
      <c r="H1051" s="19" t="str">
        <f>IF($D1051=1,INDEX(TblClusters[vCPU par nœud],$B1051),"")</f>
        <v/>
      </c>
      <c r="I1051" s="19" t="str">
        <f>IF($D1051=1,INDEX(TblClusters[RAM par nœud (Go)],$B1051),"")</f>
        <v/>
      </c>
      <c r="J1051" s="19" t="str">
        <f>IF($D1051=1,INDEX(TblClusters[Workers min],$B1051),"")</f>
        <v/>
      </c>
      <c r="K1051" s="73" t="str">
        <f>IF($D1051=1,INDEX(TblClusters[Tarif par nœud],$B1051),"")</f>
        <v/>
      </c>
      <c r="L1051" s="19" t="str">
        <f>IF($D1051=1,INDEX(TblClusters[CPU initial (vCPU)],$B1051),"")</f>
        <v/>
      </c>
      <c r="M1051" s="19" t="str">
        <f>IF($D1051=1,INDEX(TblClusters[RAM initiale (Go)],$B1051),"")</f>
        <v/>
      </c>
      <c r="N1051" s="19" t="str">
        <f>IF($D1051=1,INDEX(TblClusters[CPU min (vCPU)],$B1051),"")</f>
        <v/>
      </c>
      <c r="O1051" s="19" t="str">
        <f>IF($D1051=1,INDEX(TblClusters[RAM min (Go)],$B1051),"")</f>
        <v/>
      </c>
      <c r="P1051" s="19" t="str">
        <f>IF($D1051&lt;&gt;1,"",IF($G1051="ROKS",SUMIFS(TblApplications[Besoin ROKS CPU (vCPU)],TblApplications[Cluster ROKS cible],$F1051,TblApplications[Action],"À migrer",TblApplications[Déjà incluse ROKS],"Non",TblApplications[Mois prov (calc)],"&lt;="&amp;$E1051),SUMIFS(TblApplications[CPU IKS libérable (vCPU)],TblApplications[Cluster IKS source],$F1051,TblApplications[Mois lib (calc)],"&lt;="&amp;$E1051)))</f>
        <v/>
      </c>
      <c r="Q1051" s="19" t="str">
        <f>IF($D1051&lt;&gt;1,"",IF($G1051="ROKS",SUMIFS(TblApplications[Besoin ROKS RAM (Go)],TblApplications[Cluster ROKS cible],$F1051,TblApplications[Action],"À migrer",TblApplications[Déjà incluse ROKS],"Non",TblApplications[Mois prov (calc)],"&lt;="&amp;$E1051),SUMIFS(TblApplications[RAM IKS libérable (Go)],TblApplications[Cluster IKS source],$F1051,TblApplications[Mois lib (calc)],"&lt;="&amp;$E1051)))</f>
        <v/>
      </c>
      <c r="R1051" s="19" t="str">
        <f t="shared" si="275"/>
        <v/>
      </c>
      <c r="S1051" s="19" t="str">
        <f t="shared" si="276"/>
        <v/>
      </c>
      <c r="T1051" s="19" t="str">
        <f t="shared" si="277"/>
        <v/>
      </c>
      <c r="U1051" s="19" t="str">
        <f t="shared" si="278"/>
        <v/>
      </c>
      <c r="V1051" s="19" t="str">
        <f t="shared" si="279"/>
        <v/>
      </c>
      <c r="W1051" s="73" t="str">
        <f t="shared" si="280"/>
        <v/>
      </c>
      <c r="X1051" s="19" t="str">
        <f>IF($D1051&lt;&gt;1,"",IF($G1051="ROKS",$R1051,IF($AI1051=1,0,MAX($N1051,$L1051-SUMIFS(TblApplications[CPU IKS libérable (vCPU)],TblApplications[Cluster IKS source],$F1051,TblApplications[Action],"À migrer",TblApplications[Mois prov (calc)],"&lt;="&amp;$E1051)-SUMIFS(TblApplications[CPU IKS libérable (vCPU)],TblApplications[Cluster IKS source],$F1051,TblApplications[Action],"À décommissionner",TblApplications[Mois lib (calc)],"&lt;="&amp;$E1051)))))</f>
        <v/>
      </c>
      <c r="Y1051" s="19" t="str">
        <f>IF($D1051&lt;&gt;1,"",IF($G1051="ROKS",$S1051,IF($AI1051=1,0,MAX($O1051,$M1051-SUMIFS(TblApplications[RAM IKS libérable (Go)],TblApplications[Cluster IKS source],$F1051,TblApplications[Action],"À migrer",TblApplications[Mois prov (calc)],"&lt;="&amp;$E1051)-SUMIFS(TblApplications[RAM IKS libérable (Go)],TblApplications[Cluster IKS source],$F1051,TblApplications[Action],"À décommissionner",TblApplications[Mois lib (calc)],"&lt;="&amp;$E1051)))))</f>
        <v/>
      </c>
      <c r="Z1051" s="19" t="str">
        <f t="shared" si="281"/>
        <v/>
      </c>
      <c r="AA1051" s="73" t="str">
        <f t="shared" si="282"/>
        <v/>
      </c>
      <c r="AB1051" s="19" t="str">
        <f t="shared" si="283"/>
        <v/>
      </c>
      <c r="AC1051" s="73" t="str">
        <f t="shared" si="284"/>
        <v/>
      </c>
      <c r="AD1051" s="19" t="str">
        <f t="shared" si="285"/>
        <v/>
      </c>
      <c r="AE1051" s="19" t="str">
        <f t="shared" si="286"/>
        <v/>
      </c>
      <c r="AF1051" s="19" t="str">
        <f>IF($D1051&lt;&gt;1,"",IF(INDEX(TblClusters[Environnement],$B1051)="","(vide)",INDEX(TblClusters[Environnement],$B1051)))</f>
        <v/>
      </c>
      <c r="AG1051" s="19" t="str">
        <f t="shared" si="287"/>
        <v/>
      </c>
      <c r="AH1051" s="19" t="str">
        <f t="shared" si="288"/>
        <v/>
      </c>
      <c r="AI1051" s="19" t="str">
        <f>IF($D1051&lt;&gt;1,"",IF(AND($G1051="IKS",ISNUMBER(INDEX(TblClusters[Fermeture retenue],$B1051))),IF($E1051&gt;=INDEX(TblClusters[Fermeture retenue],$B1051),1,0),0))</f>
        <v/>
      </c>
    </row>
    <row r="1052" spans="1:35" x14ac:dyDescent="0.2">
      <c r="A1052" s="19">
        <v>1047</v>
      </c>
      <c r="B1052" s="19">
        <f t="shared" si="272"/>
        <v>30</v>
      </c>
      <c r="C1052" s="19">
        <f t="shared" si="273"/>
        <v>3</v>
      </c>
      <c r="D1052" s="19">
        <f>IF($C1052&gt;p_horizon,0,IFERROR(IF(AND(INDEX(TblClusters[Cluster],$B1052)&lt;&gt;"",ISNUMBER(INDEX(TblClusters[CPU initial (vCPU)],$B1052)),ISNUMBER(INDEX(TblClusters[CPU min (vCPU)],$B1052)),OR(INDEX(TblClusters[Plateforme],$B1052)="IKS",INDEX(TblClusters[Plateforme],$B1052)="ROKS")),1,0),0))</f>
        <v>0</v>
      </c>
      <c r="E1052" s="72" t="str">
        <f t="shared" si="274"/>
        <v/>
      </c>
      <c r="F1052" s="19" t="str">
        <f>IF($D1052=1,INDEX(TblClusters[Cluster],$B1052),"")</f>
        <v/>
      </c>
      <c r="G1052" s="19" t="str">
        <f>IF($D1052=1,INDEX(TblClusters[Plateforme],$B1052),"")</f>
        <v/>
      </c>
      <c r="H1052" s="19" t="str">
        <f>IF($D1052=1,INDEX(TblClusters[vCPU par nœud],$B1052),"")</f>
        <v/>
      </c>
      <c r="I1052" s="19" t="str">
        <f>IF($D1052=1,INDEX(TblClusters[RAM par nœud (Go)],$B1052),"")</f>
        <v/>
      </c>
      <c r="J1052" s="19" t="str">
        <f>IF($D1052=1,INDEX(TblClusters[Workers min],$B1052),"")</f>
        <v/>
      </c>
      <c r="K1052" s="73" t="str">
        <f>IF($D1052=1,INDEX(TblClusters[Tarif par nœud],$B1052),"")</f>
        <v/>
      </c>
      <c r="L1052" s="19" t="str">
        <f>IF($D1052=1,INDEX(TblClusters[CPU initial (vCPU)],$B1052),"")</f>
        <v/>
      </c>
      <c r="M1052" s="19" t="str">
        <f>IF($D1052=1,INDEX(TblClusters[RAM initiale (Go)],$B1052),"")</f>
        <v/>
      </c>
      <c r="N1052" s="19" t="str">
        <f>IF($D1052=1,INDEX(TblClusters[CPU min (vCPU)],$B1052),"")</f>
        <v/>
      </c>
      <c r="O1052" s="19" t="str">
        <f>IF($D1052=1,INDEX(TblClusters[RAM min (Go)],$B1052),"")</f>
        <v/>
      </c>
      <c r="P1052" s="19" t="str">
        <f>IF($D1052&lt;&gt;1,"",IF($G1052="ROKS",SUMIFS(TblApplications[Besoin ROKS CPU (vCPU)],TblApplications[Cluster ROKS cible],$F1052,TblApplications[Action],"À migrer",TblApplications[Déjà incluse ROKS],"Non",TblApplications[Mois prov (calc)],"&lt;="&amp;$E1052),SUMIFS(TblApplications[CPU IKS libérable (vCPU)],TblApplications[Cluster IKS source],$F1052,TblApplications[Mois lib (calc)],"&lt;="&amp;$E1052)))</f>
        <v/>
      </c>
      <c r="Q1052" s="19" t="str">
        <f>IF($D1052&lt;&gt;1,"",IF($G1052="ROKS",SUMIFS(TblApplications[Besoin ROKS RAM (Go)],TblApplications[Cluster ROKS cible],$F1052,TblApplications[Action],"À migrer",TblApplications[Déjà incluse ROKS],"Non",TblApplications[Mois prov (calc)],"&lt;="&amp;$E1052),SUMIFS(TblApplications[RAM IKS libérable (Go)],TblApplications[Cluster IKS source],$F1052,TblApplications[Mois lib (calc)],"&lt;="&amp;$E1052)))</f>
        <v/>
      </c>
      <c r="R1052" s="19" t="str">
        <f t="shared" si="275"/>
        <v/>
      </c>
      <c r="S1052" s="19" t="str">
        <f t="shared" si="276"/>
        <v/>
      </c>
      <c r="T1052" s="19" t="str">
        <f t="shared" si="277"/>
        <v/>
      </c>
      <c r="U1052" s="19" t="str">
        <f t="shared" si="278"/>
        <v/>
      </c>
      <c r="V1052" s="19" t="str">
        <f t="shared" si="279"/>
        <v/>
      </c>
      <c r="W1052" s="73" t="str">
        <f t="shared" si="280"/>
        <v/>
      </c>
      <c r="X1052" s="19" t="str">
        <f>IF($D1052&lt;&gt;1,"",IF($G1052="ROKS",$R1052,IF($AI1052=1,0,MAX($N1052,$L1052-SUMIFS(TblApplications[CPU IKS libérable (vCPU)],TblApplications[Cluster IKS source],$F1052,TblApplications[Action],"À migrer",TblApplications[Mois prov (calc)],"&lt;="&amp;$E1052)-SUMIFS(TblApplications[CPU IKS libérable (vCPU)],TblApplications[Cluster IKS source],$F1052,TblApplications[Action],"À décommissionner",TblApplications[Mois lib (calc)],"&lt;="&amp;$E1052)))))</f>
        <v/>
      </c>
      <c r="Y1052" s="19" t="str">
        <f>IF($D1052&lt;&gt;1,"",IF($G1052="ROKS",$S1052,IF($AI1052=1,0,MAX($O1052,$M1052-SUMIFS(TblApplications[RAM IKS libérable (Go)],TblApplications[Cluster IKS source],$F1052,TblApplications[Action],"À migrer",TblApplications[Mois prov (calc)],"&lt;="&amp;$E1052)-SUMIFS(TblApplications[RAM IKS libérable (Go)],TblApplications[Cluster IKS source],$F1052,TblApplications[Action],"À décommissionner",TblApplications[Mois lib (calc)],"&lt;="&amp;$E1052)))))</f>
        <v/>
      </c>
      <c r="Z1052" s="19" t="str">
        <f t="shared" si="281"/>
        <v/>
      </c>
      <c r="AA1052" s="73" t="str">
        <f t="shared" si="282"/>
        <v/>
      </c>
      <c r="AB1052" s="19" t="str">
        <f t="shared" si="283"/>
        <v/>
      </c>
      <c r="AC1052" s="73" t="str">
        <f t="shared" si="284"/>
        <v/>
      </c>
      <c r="AD1052" s="19" t="str">
        <f t="shared" si="285"/>
        <v/>
      </c>
      <c r="AE1052" s="19" t="str">
        <f t="shared" si="286"/>
        <v/>
      </c>
      <c r="AF1052" s="19" t="str">
        <f>IF($D1052&lt;&gt;1,"",IF(INDEX(TblClusters[Environnement],$B1052)="","(vide)",INDEX(TblClusters[Environnement],$B1052)))</f>
        <v/>
      </c>
      <c r="AG1052" s="19" t="str">
        <f t="shared" si="287"/>
        <v/>
      </c>
      <c r="AH1052" s="19" t="str">
        <f t="shared" si="288"/>
        <v/>
      </c>
      <c r="AI1052" s="19" t="str">
        <f>IF($D1052&lt;&gt;1,"",IF(AND($G1052="IKS",ISNUMBER(INDEX(TblClusters[Fermeture retenue],$B1052))),IF($E1052&gt;=INDEX(TblClusters[Fermeture retenue],$B1052),1,0),0))</f>
        <v/>
      </c>
    </row>
    <row r="1053" spans="1:35" x14ac:dyDescent="0.2">
      <c r="A1053" s="19">
        <v>1048</v>
      </c>
      <c r="B1053" s="19">
        <f t="shared" si="272"/>
        <v>30</v>
      </c>
      <c r="C1053" s="19">
        <f t="shared" si="273"/>
        <v>4</v>
      </c>
      <c r="D1053" s="19">
        <f>IF($C1053&gt;p_horizon,0,IFERROR(IF(AND(INDEX(TblClusters[Cluster],$B1053)&lt;&gt;"",ISNUMBER(INDEX(TblClusters[CPU initial (vCPU)],$B1053)),ISNUMBER(INDEX(TblClusters[CPU min (vCPU)],$B1053)),OR(INDEX(TblClusters[Plateforme],$B1053)="IKS",INDEX(TblClusters[Plateforme],$B1053)="ROKS")),1,0),0))</f>
        <v>0</v>
      </c>
      <c r="E1053" s="72" t="str">
        <f t="shared" si="274"/>
        <v/>
      </c>
      <c r="F1053" s="19" t="str">
        <f>IF($D1053=1,INDEX(TblClusters[Cluster],$B1053),"")</f>
        <v/>
      </c>
      <c r="G1053" s="19" t="str">
        <f>IF($D1053=1,INDEX(TblClusters[Plateforme],$B1053),"")</f>
        <v/>
      </c>
      <c r="H1053" s="19" t="str">
        <f>IF($D1053=1,INDEX(TblClusters[vCPU par nœud],$B1053),"")</f>
        <v/>
      </c>
      <c r="I1053" s="19" t="str">
        <f>IF($D1053=1,INDEX(TblClusters[RAM par nœud (Go)],$B1053),"")</f>
        <v/>
      </c>
      <c r="J1053" s="19" t="str">
        <f>IF($D1053=1,INDEX(TblClusters[Workers min],$B1053),"")</f>
        <v/>
      </c>
      <c r="K1053" s="73" t="str">
        <f>IF($D1053=1,INDEX(TblClusters[Tarif par nœud],$B1053),"")</f>
        <v/>
      </c>
      <c r="L1053" s="19" t="str">
        <f>IF($D1053=1,INDEX(TblClusters[CPU initial (vCPU)],$B1053),"")</f>
        <v/>
      </c>
      <c r="M1053" s="19" t="str">
        <f>IF($D1053=1,INDEX(TblClusters[RAM initiale (Go)],$B1053),"")</f>
        <v/>
      </c>
      <c r="N1053" s="19" t="str">
        <f>IF($D1053=1,INDEX(TblClusters[CPU min (vCPU)],$B1053),"")</f>
        <v/>
      </c>
      <c r="O1053" s="19" t="str">
        <f>IF($D1053=1,INDEX(TblClusters[RAM min (Go)],$B1053),"")</f>
        <v/>
      </c>
      <c r="P1053" s="19" t="str">
        <f>IF($D1053&lt;&gt;1,"",IF($G1053="ROKS",SUMIFS(TblApplications[Besoin ROKS CPU (vCPU)],TblApplications[Cluster ROKS cible],$F1053,TblApplications[Action],"À migrer",TblApplications[Déjà incluse ROKS],"Non",TblApplications[Mois prov (calc)],"&lt;="&amp;$E1053),SUMIFS(TblApplications[CPU IKS libérable (vCPU)],TblApplications[Cluster IKS source],$F1053,TblApplications[Mois lib (calc)],"&lt;="&amp;$E1053)))</f>
        <v/>
      </c>
      <c r="Q1053" s="19" t="str">
        <f>IF($D1053&lt;&gt;1,"",IF($G1053="ROKS",SUMIFS(TblApplications[Besoin ROKS RAM (Go)],TblApplications[Cluster ROKS cible],$F1053,TblApplications[Action],"À migrer",TblApplications[Déjà incluse ROKS],"Non",TblApplications[Mois prov (calc)],"&lt;="&amp;$E1053),SUMIFS(TblApplications[RAM IKS libérable (Go)],TblApplications[Cluster IKS source],$F1053,TblApplications[Mois lib (calc)],"&lt;="&amp;$E1053)))</f>
        <v/>
      </c>
      <c r="R1053" s="19" t="str">
        <f t="shared" si="275"/>
        <v/>
      </c>
      <c r="S1053" s="19" t="str">
        <f t="shared" si="276"/>
        <v/>
      </c>
      <c r="T1053" s="19" t="str">
        <f t="shared" si="277"/>
        <v/>
      </c>
      <c r="U1053" s="19" t="str">
        <f t="shared" si="278"/>
        <v/>
      </c>
      <c r="V1053" s="19" t="str">
        <f t="shared" si="279"/>
        <v/>
      </c>
      <c r="W1053" s="73" t="str">
        <f t="shared" si="280"/>
        <v/>
      </c>
      <c r="X1053" s="19" t="str">
        <f>IF($D1053&lt;&gt;1,"",IF($G1053="ROKS",$R1053,IF($AI1053=1,0,MAX($N1053,$L1053-SUMIFS(TblApplications[CPU IKS libérable (vCPU)],TblApplications[Cluster IKS source],$F1053,TblApplications[Action],"À migrer",TblApplications[Mois prov (calc)],"&lt;="&amp;$E1053)-SUMIFS(TblApplications[CPU IKS libérable (vCPU)],TblApplications[Cluster IKS source],$F1053,TblApplications[Action],"À décommissionner",TblApplications[Mois lib (calc)],"&lt;="&amp;$E1053)))))</f>
        <v/>
      </c>
      <c r="Y1053" s="19" t="str">
        <f>IF($D1053&lt;&gt;1,"",IF($G1053="ROKS",$S1053,IF($AI1053=1,0,MAX($O1053,$M1053-SUMIFS(TblApplications[RAM IKS libérable (Go)],TblApplications[Cluster IKS source],$F1053,TblApplications[Action],"À migrer",TblApplications[Mois prov (calc)],"&lt;="&amp;$E1053)-SUMIFS(TblApplications[RAM IKS libérable (Go)],TblApplications[Cluster IKS source],$F1053,TblApplications[Action],"À décommissionner",TblApplications[Mois lib (calc)],"&lt;="&amp;$E1053)))))</f>
        <v/>
      </c>
      <c r="Z1053" s="19" t="str">
        <f t="shared" si="281"/>
        <v/>
      </c>
      <c r="AA1053" s="73" t="str">
        <f t="shared" si="282"/>
        <v/>
      </c>
      <c r="AB1053" s="19" t="str">
        <f t="shared" si="283"/>
        <v/>
      </c>
      <c r="AC1053" s="73" t="str">
        <f t="shared" si="284"/>
        <v/>
      </c>
      <c r="AD1053" s="19" t="str">
        <f t="shared" si="285"/>
        <v/>
      </c>
      <c r="AE1053" s="19" t="str">
        <f t="shared" si="286"/>
        <v/>
      </c>
      <c r="AF1053" s="19" t="str">
        <f>IF($D1053&lt;&gt;1,"",IF(INDEX(TblClusters[Environnement],$B1053)="","(vide)",INDEX(TblClusters[Environnement],$B1053)))</f>
        <v/>
      </c>
      <c r="AG1053" s="19" t="str">
        <f t="shared" si="287"/>
        <v/>
      </c>
      <c r="AH1053" s="19" t="str">
        <f t="shared" si="288"/>
        <v/>
      </c>
      <c r="AI1053" s="19" t="str">
        <f>IF($D1053&lt;&gt;1,"",IF(AND($G1053="IKS",ISNUMBER(INDEX(TblClusters[Fermeture retenue],$B1053))),IF($E1053&gt;=INDEX(TblClusters[Fermeture retenue],$B1053),1,0),0))</f>
        <v/>
      </c>
    </row>
    <row r="1054" spans="1:35" x14ac:dyDescent="0.2">
      <c r="A1054" s="19">
        <v>1049</v>
      </c>
      <c r="B1054" s="19">
        <f t="shared" si="272"/>
        <v>30</v>
      </c>
      <c r="C1054" s="19">
        <f t="shared" si="273"/>
        <v>5</v>
      </c>
      <c r="D1054" s="19">
        <f>IF($C1054&gt;p_horizon,0,IFERROR(IF(AND(INDEX(TblClusters[Cluster],$B1054)&lt;&gt;"",ISNUMBER(INDEX(TblClusters[CPU initial (vCPU)],$B1054)),ISNUMBER(INDEX(TblClusters[CPU min (vCPU)],$B1054)),OR(INDEX(TblClusters[Plateforme],$B1054)="IKS",INDEX(TblClusters[Plateforme],$B1054)="ROKS")),1,0),0))</f>
        <v>0</v>
      </c>
      <c r="E1054" s="72" t="str">
        <f t="shared" si="274"/>
        <v/>
      </c>
      <c r="F1054" s="19" t="str">
        <f>IF($D1054=1,INDEX(TblClusters[Cluster],$B1054),"")</f>
        <v/>
      </c>
      <c r="G1054" s="19" t="str">
        <f>IF($D1054=1,INDEX(TblClusters[Plateforme],$B1054),"")</f>
        <v/>
      </c>
      <c r="H1054" s="19" t="str">
        <f>IF($D1054=1,INDEX(TblClusters[vCPU par nœud],$B1054),"")</f>
        <v/>
      </c>
      <c r="I1054" s="19" t="str">
        <f>IF($D1054=1,INDEX(TblClusters[RAM par nœud (Go)],$B1054),"")</f>
        <v/>
      </c>
      <c r="J1054" s="19" t="str">
        <f>IF($D1054=1,INDEX(TblClusters[Workers min],$B1054),"")</f>
        <v/>
      </c>
      <c r="K1054" s="73" t="str">
        <f>IF($D1054=1,INDEX(TblClusters[Tarif par nœud],$B1054),"")</f>
        <v/>
      </c>
      <c r="L1054" s="19" t="str">
        <f>IF($D1054=1,INDEX(TblClusters[CPU initial (vCPU)],$B1054),"")</f>
        <v/>
      </c>
      <c r="M1054" s="19" t="str">
        <f>IF($D1054=1,INDEX(TblClusters[RAM initiale (Go)],$B1054),"")</f>
        <v/>
      </c>
      <c r="N1054" s="19" t="str">
        <f>IF($D1054=1,INDEX(TblClusters[CPU min (vCPU)],$B1054),"")</f>
        <v/>
      </c>
      <c r="O1054" s="19" t="str">
        <f>IF($D1054=1,INDEX(TblClusters[RAM min (Go)],$B1054),"")</f>
        <v/>
      </c>
      <c r="P1054" s="19" t="str">
        <f>IF($D1054&lt;&gt;1,"",IF($G1054="ROKS",SUMIFS(TblApplications[Besoin ROKS CPU (vCPU)],TblApplications[Cluster ROKS cible],$F1054,TblApplications[Action],"À migrer",TblApplications[Déjà incluse ROKS],"Non",TblApplications[Mois prov (calc)],"&lt;="&amp;$E1054),SUMIFS(TblApplications[CPU IKS libérable (vCPU)],TblApplications[Cluster IKS source],$F1054,TblApplications[Mois lib (calc)],"&lt;="&amp;$E1054)))</f>
        <v/>
      </c>
      <c r="Q1054" s="19" t="str">
        <f>IF($D1054&lt;&gt;1,"",IF($G1054="ROKS",SUMIFS(TblApplications[Besoin ROKS RAM (Go)],TblApplications[Cluster ROKS cible],$F1054,TblApplications[Action],"À migrer",TblApplications[Déjà incluse ROKS],"Non",TblApplications[Mois prov (calc)],"&lt;="&amp;$E1054),SUMIFS(TblApplications[RAM IKS libérable (Go)],TblApplications[Cluster IKS source],$F1054,TblApplications[Mois lib (calc)],"&lt;="&amp;$E1054)))</f>
        <v/>
      </c>
      <c r="R1054" s="19" t="str">
        <f t="shared" si="275"/>
        <v/>
      </c>
      <c r="S1054" s="19" t="str">
        <f t="shared" si="276"/>
        <v/>
      </c>
      <c r="T1054" s="19" t="str">
        <f t="shared" si="277"/>
        <v/>
      </c>
      <c r="U1054" s="19" t="str">
        <f t="shared" si="278"/>
        <v/>
      </c>
      <c r="V1054" s="19" t="str">
        <f t="shared" si="279"/>
        <v/>
      </c>
      <c r="W1054" s="73" t="str">
        <f t="shared" si="280"/>
        <v/>
      </c>
      <c r="X1054" s="19" t="str">
        <f>IF($D1054&lt;&gt;1,"",IF($G1054="ROKS",$R1054,IF($AI1054=1,0,MAX($N1054,$L1054-SUMIFS(TblApplications[CPU IKS libérable (vCPU)],TblApplications[Cluster IKS source],$F1054,TblApplications[Action],"À migrer",TblApplications[Mois prov (calc)],"&lt;="&amp;$E1054)-SUMIFS(TblApplications[CPU IKS libérable (vCPU)],TblApplications[Cluster IKS source],$F1054,TblApplications[Action],"À décommissionner",TblApplications[Mois lib (calc)],"&lt;="&amp;$E1054)))))</f>
        <v/>
      </c>
      <c r="Y1054" s="19" t="str">
        <f>IF($D1054&lt;&gt;1,"",IF($G1054="ROKS",$S1054,IF($AI1054=1,0,MAX($O1054,$M1054-SUMIFS(TblApplications[RAM IKS libérable (Go)],TblApplications[Cluster IKS source],$F1054,TblApplications[Action],"À migrer",TblApplications[Mois prov (calc)],"&lt;="&amp;$E1054)-SUMIFS(TblApplications[RAM IKS libérable (Go)],TblApplications[Cluster IKS source],$F1054,TblApplications[Action],"À décommissionner",TblApplications[Mois lib (calc)],"&lt;="&amp;$E1054)))))</f>
        <v/>
      </c>
      <c r="Z1054" s="19" t="str">
        <f t="shared" si="281"/>
        <v/>
      </c>
      <c r="AA1054" s="73" t="str">
        <f t="shared" si="282"/>
        <v/>
      </c>
      <c r="AB1054" s="19" t="str">
        <f t="shared" si="283"/>
        <v/>
      </c>
      <c r="AC1054" s="73" t="str">
        <f t="shared" si="284"/>
        <v/>
      </c>
      <c r="AD1054" s="19" t="str">
        <f t="shared" si="285"/>
        <v/>
      </c>
      <c r="AE1054" s="19" t="str">
        <f t="shared" si="286"/>
        <v/>
      </c>
      <c r="AF1054" s="19" t="str">
        <f>IF($D1054&lt;&gt;1,"",IF(INDEX(TblClusters[Environnement],$B1054)="","(vide)",INDEX(TblClusters[Environnement],$B1054)))</f>
        <v/>
      </c>
      <c r="AG1054" s="19" t="str">
        <f t="shared" si="287"/>
        <v/>
      </c>
      <c r="AH1054" s="19" t="str">
        <f t="shared" si="288"/>
        <v/>
      </c>
      <c r="AI1054" s="19" t="str">
        <f>IF($D1054&lt;&gt;1,"",IF(AND($G1054="IKS",ISNUMBER(INDEX(TblClusters[Fermeture retenue],$B1054))),IF($E1054&gt;=INDEX(TblClusters[Fermeture retenue],$B1054),1,0),0))</f>
        <v/>
      </c>
    </row>
    <row r="1055" spans="1:35" x14ac:dyDescent="0.2">
      <c r="A1055" s="19">
        <v>1050</v>
      </c>
      <c r="B1055" s="19">
        <f t="shared" si="272"/>
        <v>30</v>
      </c>
      <c r="C1055" s="19">
        <f t="shared" si="273"/>
        <v>6</v>
      </c>
      <c r="D1055" s="19">
        <f>IF($C1055&gt;p_horizon,0,IFERROR(IF(AND(INDEX(TblClusters[Cluster],$B1055)&lt;&gt;"",ISNUMBER(INDEX(TblClusters[CPU initial (vCPU)],$B1055)),ISNUMBER(INDEX(TblClusters[CPU min (vCPU)],$B1055)),OR(INDEX(TblClusters[Plateforme],$B1055)="IKS",INDEX(TblClusters[Plateforme],$B1055)="ROKS")),1,0),0))</f>
        <v>0</v>
      </c>
      <c r="E1055" s="72" t="str">
        <f t="shared" si="274"/>
        <v/>
      </c>
      <c r="F1055" s="19" t="str">
        <f>IF($D1055=1,INDEX(TblClusters[Cluster],$B1055),"")</f>
        <v/>
      </c>
      <c r="G1055" s="19" t="str">
        <f>IF($D1055=1,INDEX(TblClusters[Plateforme],$B1055),"")</f>
        <v/>
      </c>
      <c r="H1055" s="19" t="str">
        <f>IF($D1055=1,INDEX(TblClusters[vCPU par nœud],$B1055),"")</f>
        <v/>
      </c>
      <c r="I1055" s="19" t="str">
        <f>IF($D1055=1,INDEX(TblClusters[RAM par nœud (Go)],$B1055),"")</f>
        <v/>
      </c>
      <c r="J1055" s="19" t="str">
        <f>IF($D1055=1,INDEX(TblClusters[Workers min],$B1055),"")</f>
        <v/>
      </c>
      <c r="K1055" s="73" t="str">
        <f>IF($D1055=1,INDEX(TblClusters[Tarif par nœud],$B1055),"")</f>
        <v/>
      </c>
      <c r="L1055" s="19" t="str">
        <f>IF($D1055=1,INDEX(TblClusters[CPU initial (vCPU)],$B1055),"")</f>
        <v/>
      </c>
      <c r="M1055" s="19" t="str">
        <f>IF($D1055=1,INDEX(TblClusters[RAM initiale (Go)],$B1055),"")</f>
        <v/>
      </c>
      <c r="N1055" s="19" t="str">
        <f>IF($D1055=1,INDEX(TblClusters[CPU min (vCPU)],$B1055),"")</f>
        <v/>
      </c>
      <c r="O1055" s="19" t="str">
        <f>IF($D1055=1,INDEX(TblClusters[RAM min (Go)],$B1055),"")</f>
        <v/>
      </c>
      <c r="P1055" s="19" t="str">
        <f>IF($D1055&lt;&gt;1,"",IF($G1055="ROKS",SUMIFS(TblApplications[Besoin ROKS CPU (vCPU)],TblApplications[Cluster ROKS cible],$F1055,TblApplications[Action],"À migrer",TblApplications[Déjà incluse ROKS],"Non",TblApplications[Mois prov (calc)],"&lt;="&amp;$E1055),SUMIFS(TblApplications[CPU IKS libérable (vCPU)],TblApplications[Cluster IKS source],$F1055,TblApplications[Mois lib (calc)],"&lt;="&amp;$E1055)))</f>
        <v/>
      </c>
      <c r="Q1055" s="19" t="str">
        <f>IF($D1055&lt;&gt;1,"",IF($G1055="ROKS",SUMIFS(TblApplications[Besoin ROKS RAM (Go)],TblApplications[Cluster ROKS cible],$F1055,TblApplications[Action],"À migrer",TblApplications[Déjà incluse ROKS],"Non",TblApplications[Mois prov (calc)],"&lt;="&amp;$E1055),SUMIFS(TblApplications[RAM IKS libérable (Go)],TblApplications[Cluster IKS source],$F1055,TblApplications[Mois lib (calc)],"&lt;="&amp;$E1055)))</f>
        <v/>
      </c>
      <c r="R1055" s="19" t="str">
        <f t="shared" si="275"/>
        <v/>
      </c>
      <c r="S1055" s="19" t="str">
        <f t="shared" si="276"/>
        <v/>
      </c>
      <c r="T1055" s="19" t="str">
        <f t="shared" si="277"/>
        <v/>
      </c>
      <c r="U1055" s="19" t="str">
        <f t="shared" si="278"/>
        <v/>
      </c>
      <c r="V1055" s="19" t="str">
        <f t="shared" si="279"/>
        <v/>
      </c>
      <c r="W1055" s="73" t="str">
        <f t="shared" si="280"/>
        <v/>
      </c>
      <c r="X1055" s="19" t="str">
        <f>IF($D1055&lt;&gt;1,"",IF($G1055="ROKS",$R1055,IF($AI1055=1,0,MAX($N1055,$L1055-SUMIFS(TblApplications[CPU IKS libérable (vCPU)],TblApplications[Cluster IKS source],$F1055,TblApplications[Action],"À migrer",TblApplications[Mois prov (calc)],"&lt;="&amp;$E1055)-SUMIFS(TblApplications[CPU IKS libérable (vCPU)],TblApplications[Cluster IKS source],$F1055,TblApplications[Action],"À décommissionner",TblApplications[Mois lib (calc)],"&lt;="&amp;$E1055)))))</f>
        <v/>
      </c>
      <c r="Y1055" s="19" t="str">
        <f>IF($D1055&lt;&gt;1,"",IF($G1055="ROKS",$S1055,IF($AI1055=1,0,MAX($O1055,$M1055-SUMIFS(TblApplications[RAM IKS libérable (Go)],TblApplications[Cluster IKS source],$F1055,TblApplications[Action],"À migrer",TblApplications[Mois prov (calc)],"&lt;="&amp;$E1055)-SUMIFS(TblApplications[RAM IKS libérable (Go)],TblApplications[Cluster IKS source],$F1055,TblApplications[Action],"À décommissionner",TblApplications[Mois lib (calc)],"&lt;="&amp;$E1055)))))</f>
        <v/>
      </c>
      <c r="Z1055" s="19" t="str">
        <f t="shared" si="281"/>
        <v/>
      </c>
      <c r="AA1055" s="73" t="str">
        <f t="shared" si="282"/>
        <v/>
      </c>
      <c r="AB1055" s="19" t="str">
        <f t="shared" si="283"/>
        <v/>
      </c>
      <c r="AC1055" s="73" t="str">
        <f t="shared" si="284"/>
        <v/>
      </c>
      <c r="AD1055" s="19" t="str">
        <f t="shared" si="285"/>
        <v/>
      </c>
      <c r="AE1055" s="19" t="str">
        <f t="shared" si="286"/>
        <v/>
      </c>
      <c r="AF1055" s="19" t="str">
        <f>IF($D1055&lt;&gt;1,"",IF(INDEX(TblClusters[Environnement],$B1055)="","(vide)",INDEX(TblClusters[Environnement],$B1055)))</f>
        <v/>
      </c>
      <c r="AG1055" s="19" t="str">
        <f t="shared" si="287"/>
        <v/>
      </c>
      <c r="AH1055" s="19" t="str">
        <f t="shared" si="288"/>
        <v/>
      </c>
      <c r="AI1055" s="19" t="str">
        <f>IF($D1055&lt;&gt;1,"",IF(AND($G1055="IKS",ISNUMBER(INDEX(TblClusters[Fermeture retenue],$B1055))),IF($E1055&gt;=INDEX(TblClusters[Fermeture retenue],$B1055),1,0),0))</f>
        <v/>
      </c>
    </row>
    <row r="1056" spans="1:35" x14ac:dyDescent="0.2">
      <c r="A1056" s="19">
        <v>1051</v>
      </c>
      <c r="B1056" s="19">
        <f t="shared" si="272"/>
        <v>30</v>
      </c>
      <c r="C1056" s="19">
        <f t="shared" si="273"/>
        <v>7</v>
      </c>
      <c r="D1056" s="19">
        <f>IF($C1056&gt;p_horizon,0,IFERROR(IF(AND(INDEX(TblClusters[Cluster],$B1056)&lt;&gt;"",ISNUMBER(INDEX(TblClusters[CPU initial (vCPU)],$B1056)),ISNUMBER(INDEX(TblClusters[CPU min (vCPU)],$B1056)),OR(INDEX(TblClusters[Plateforme],$B1056)="IKS",INDEX(TblClusters[Plateforme],$B1056)="ROKS")),1,0),0))</f>
        <v>0</v>
      </c>
      <c r="E1056" s="72" t="str">
        <f t="shared" si="274"/>
        <v/>
      </c>
      <c r="F1056" s="19" t="str">
        <f>IF($D1056=1,INDEX(TblClusters[Cluster],$B1056),"")</f>
        <v/>
      </c>
      <c r="G1056" s="19" t="str">
        <f>IF($D1056=1,INDEX(TblClusters[Plateforme],$B1056),"")</f>
        <v/>
      </c>
      <c r="H1056" s="19" t="str">
        <f>IF($D1056=1,INDEX(TblClusters[vCPU par nœud],$B1056),"")</f>
        <v/>
      </c>
      <c r="I1056" s="19" t="str">
        <f>IF($D1056=1,INDEX(TblClusters[RAM par nœud (Go)],$B1056),"")</f>
        <v/>
      </c>
      <c r="J1056" s="19" t="str">
        <f>IF($D1056=1,INDEX(TblClusters[Workers min],$B1056),"")</f>
        <v/>
      </c>
      <c r="K1056" s="73" t="str">
        <f>IF($D1056=1,INDEX(TblClusters[Tarif par nœud],$B1056),"")</f>
        <v/>
      </c>
      <c r="L1056" s="19" t="str">
        <f>IF($D1056=1,INDEX(TblClusters[CPU initial (vCPU)],$B1056),"")</f>
        <v/>
      </c>
      <c r="M1056" s="19" t="str">
        <f>IF($D1056=1,INDEX(TblClusters[RAM initiale (Go)],$B1056),"")</f>
        <v/>
      </c>
      <c r="N1056" s="19" t="str">
        <f>IF($D1056=1,INDEX(TblClusters[CPU min (vCPU)],$B1056),"")</f>
        <v/>
      </c>
      <c r="O1056" s="19" t="str">
        <f>IF($D1056=1,INDEX(TblClusters[RAM min (Go)],$B1056),"")</f>
        <v/>
      </c>
      <c r="P1056" s="19" t="str">
        <f>IF($D1056&lt;&gt;1,"",IF($G1056="ROKS",SUMIFS(TblApplications[Besoin ROKS CPU (vCPU)],TblApplications[Cluster ROKS cible],$F1056,TblApplications[Action],"À migrer",TblApplications[Déjà incluse ROKS],"Non",TblApplications[Mois prov (calc)],"&lt;="&amp;$E1056),SUMIFS(TblApplications[CPU IKS libérable (vCPU)],TblApplications[Cluster IKS source],$F1056,TblApplications[Mois lib (calc)],"&lt;="&amp;$E1056)))</f>
        <v/>
      </c>
      <c r="Q1056" s="19" t="str">
        <f>IF($D1056&lt;&gt;1,"",IF($G1056="ROKS",SUMIFS(TblApplications[Besoin ROKS RAM (Go)],TblApplications[Cluster ROKS cible],$F1056,TblApplications[Action],"À migrer",TblApplications[Déjà incluse ROKS],"Non",TblApplications[Mois prov (calc)],"&lt;="&amp;$E1056),SUMIFS(TblApplications[RAM IKS libérable (Go)],TblApplications[Cluster IKS source],$F1056,TblApplications[Mois lib (calc)],"&lt;="&amp;$E1056)))</f>
        <v/>
      </c>
      <c r="R1056" s="19" t="str">
        <f t="shared" si="275"/>
        <v/>
      </c>
      <c r="S1056" s="19" t="str">
        <f t="shared" si="276"/>
        <v/>
      </c>
      <c r="T1056" s="19" t="str">
        <f t="shared" si="277"/>
        <v/>
      </c>
      <c r="U1056" s="19" t="str">
        <f t="shared" si="278"/>
        <v/>
      </c>
      <c r="V1056" s="19" t="str">
        <f t="shared" si="279"/>
        <v/>
      </c>
      <c r="W1056" s="73" t="str">
        <f t="shared" si="280"/>
        <v/>
      </c>
      <c r="X1056" s="19" t="str">
        <f>IF($D1056&lt;&gt;1,"",IF($G1056="ROKS",$R1056,IF($AI1056=1,0,MAX($N1056,$L1056-SUMIFS(TblApplications[CPU IKS libérable (vCPU)],TblApplications[Cluster IKS source],$F1056,TblApplications[Action],"À migrer",TblApplications[Mois prov (calc)],"&lt;="&amp;$E1056)-SUMIFS(TblApplications[CPU IKS libérable (vCPU)],TblApplications[Cluster IKS source],$F1056,TblApplications[Action],"À décommissionner",TblApplications[Mois lib (calc)],"&lt;="&amp;$E1056)))))</f>
        <v/>
      </c>
      <c r="Y1056" s="19" t="str">
        <f>IF($D1056&lt;&gt;1,"",IF($G1056="ROKS",$S1056,IF($AI1056=1,0,MAX($O1056,$M1056-SUMIFS(TblApplications[RAM IKS libérable (Go)],TblApplications[Cluster IKS source],$F1056,TblApplications[Action],"À migrer",TblApplications[Mois prov (calc)],"&lt;="&amp;$E1056)-SUMIFS(TblApplications[RAM IKS libérable (Go)],TblApplications[Cluster IKS source],$F1056,TblApplications[Action],"À décommissionner",TblApplications[Mois lib (calc)],"&lt;="&amp;$E1056)))))</f>
        <v/>
      </c>
      <c r="Z1056" s="19" t="str">
        <f t="shared" si="281"/>
        <v/>
      </c>
      <c r="AA1056" s="73" t="str">
        <f t="shared" si="282"/>
        <v/>
      </c>
      <c r="AB1056" s="19" t="str">
        <f t="shared" si="283"/>
        <v/>
      </c>
      <c r="AC1056" s="73" t="str">
        <f t="shared" si="284"/>
        <v/>
      </c>
      <c r="AD1056" s="19" t="str">
        <f t="shared" si="285"/>
        <v/>
      </c>
      <c r="AE1056" s="19" t="str">
        <f t="shared" si="286"/>
        <v/>
      </c>
      <c r="AF1056" s="19" t="str">
        <f>IF($D1056&lt;&gt;1,"",IF(INDEX(TblClusters[Environnement],$B1056)="","(vide)",INDEX(TblClusters[Environnement],$B1056)))</f>
        <v/>
      </c>
      <c r="AG1056" s="19" t="str">
        <f t="shared" si="287"/>
        <v/>
      </c>
      <c r="AH1056" s="19" t="str">
        <f t="shared" si="288"/>
        <v/>
      </c>
      <c r="AI1056" s="19" t="str">
        <f>IF($D1056&lt;&gt;1,"",IF(AND($G1056="IKS",ISNUMBER(INDEX(TblClusters[Fermeture retenue],$B1056))),IF($E1056&gt;=INDEX(TblClusters[Fermeture retenue],$B1056),1,0),0))</f>
        <v/>
      </c>
    </row>
    <row r="1057" spans="1:35" x14ac:dyDescent="0.2">
      <c r="A1057" s="19">
        <v>1052</v>
      </c>
      <c r="B1057" s="19">
        <f t="shared" si="272"/>
        <v>30</v>
      </c>
      <c r="C1057" s="19">
        <f t="shared" si="273"/>
        <v>8</v>
      </c>
      <c r="D1057" s="19">
        <f>IF($C1057&gt;p_horizon,0,IFERROR(IF(AND(INDEX(TblClusters[Cluster],$B1057)&lt;&gt;"",ISNUMBER(INDEX(TblClusters[CPU initial (vCPU)],$B1057)),ISNUMBER(INDEX(TblClusters[CPU min (vCPU)],$B1057)),OR(INDEX(TblClusters[Plateforme],$B1057)="IKS",INDEX(TblClusters[Plateforme],$B1057)="ROKS")),1,0),0))</f>
        <v>0</v>
      </c>
      <c r="E1057" s="72" t="str">
        <f t="shared" si="274"/>
        <v/>
      </c>
      <c r="F1057" s="19" t="str">
        <f>IF($D1057=1,INDEX(TblClusters[Cluster],$B1057),"")</f>
        <v/>
      </c>
      <c r="G1057" s="19" t="str">
        <f>IF($D1057=1,INDEX(TblClusters[Plateforme],$B1057),"")</f>
        <v/>
      </c>
      <c r="H1057" s="19" t="str">
        <f>IF($D1057=1,INDEX(TblClusters[vCPU par nœud],$B1057),"")</f>
        <v/>
      </c>
      <c r="I1057" s="19" t="str">
        <f>IF($D1057=1,INDEX(TblClusters[RAM par nœud (Go)],$B1057),"")</f>
        <v/>
      </c>
      <c r="J1057" s="19" t="str">
        <f>IF($D1057=1,INDEX(TblClusters[Workers min],$B1057),"")</f>
        <v/>
      </c>
      <c r="K1057" s="73" t="str">
        <f>IF($D1057=1,INDEX(TblClusters[Tarif par nœud],$B1057),"")</f>
        <v/>
      </c>
      <c r="L1057" s="19" t="str">
        <f>IF($D1057=1,INDEX(TblClusters[CPU initial (vCPU)],$B1057),"")</f>
        <v/>
      </c>
      <c r="M1057" s="19" t="str">
        <f>IF($D1057=1,INDEX(TblClusters[RAM initiale (Go)],$B1057),"")</f>
        <v/>
      </c>
      <c r="N1057" s="19" t="str">
        <f>IF($D1057=1,INDEX(TblClusters[CPU min (vCPU)],$B1057),"")</f>
        <v/>
      </c>
      <c r="O1057" s="19" t="str">
        <f>IF($D1057=1,INDEX(TblClusters[RAM min (Go)],$B1057),"")</f>
        <v/>
      </c>
      <c r="P1057" s="19" t="str">
        <f>IF($D1057&lt;&gt;1,"",IF($G1057="ROKS",SUMIFS(TblApplications[Besoin ROKS CPU (vCPU)],TblApplications[Cluster ROKS cible],$F1057,TblApplications[Action],"À migrer",TblApplications[Déjà incluse ROKS],"Non",TblApplications[Mois prov (calc)],"&lt;="&amp;$E1057),SUMIFS(TblApplications[CPU IKS libérable (vCPU)],TblApplications[Cluster IKS source],$F1057,TblApplications[Mois lib (calc)],"&lt;="&amp;$E1057)))</f>
        <v/>
      </c>
      <c r="Q1057" s="19" t="str">
        <f>IF($D1057&lt;&gt;1,"",IF($G1057="ROKS",SUMIFS(TblApplications[Besoin ROKS RAM (Go)],TblApplications[Cluster ROKS cible],$F1057,TblApplications[Action],"À migrer",TblApplications[Déjà incluse ROKS],"Non",TblApplications[Mois prov (calc)],"&lt;="&amp;$E1057),SUMIFS(TblApplications[RAM IKS libérable (Go)],TblApplications[Cluster IKS source],$F1057,TblApplications[Mois lib (calc)],"&lt;="&amp;$E1057)))</f>
        <v/>
      </c>
      <c r="R1057" s="19" t="str">
        <f t="shared" si="275"/>
        <v/>
      </c>
      <c r="S1057" s="19" t="str">
        <f t="shared" si="276"/>
        <v/>
      </c>
      <c r="T1057" s="19" t="str">
        <f t="shared" si="277"/>
        <v/>
      </c>
      <c r="U1057" s="19" t="str">
        <f t="shared" si="278"/>
        <v/>
      </c>
      <c r="V1057" s="19" t="str">
        <f t="shared" si="279"/>
        <v/>
      </c>
      <c r="W1057" s="73" t="str">
        <f t="shared" si="280"/>
        <v/>
      </c>
      <c r="X1057" s="19" t="str">
        <f>IF($D1057&lt;&gt;1,"",IF($G1057="ROKS",$R1057,IF($AI1057=1,0,MAX($N1057,$L1057-SUMIFS(TblApplications[CPU IKS libérable (vCPU)],TblApplications[Cluster IKS source],$F1057,TblApplications[Action],"À migrer",TblApplications[Mois prov (calc)],"&lt;="&amp;$E1057)-SUMIFS(TblApplications[CPU IKS libérable (vCPU)],TblApplications[Cluster IKS source],$F1057,TblApplications[Action],"À décommissionner",TblApplications[Mois lib (calc)],"&lt;="&amp;$E1057)))))</f>
        <v/>
      </c>
      <c r="Y1057" s="19" t="str">
        <f>IF($D1057&lt;&gt;1,"",IF($G1057="ROKS",$S1057,IF($AI1057=1,0,MAX($O1057,$M1057-SUMIFS(TblApplications[RAM IKS libérable (Go)],TblApplications[Cluster IKS source],$F1057,TblApplications[Action],"À migrer",TblApplications[Mois prov (calc)],"&lt;="&amp;$E1057)-SUMIFS(TblApplications[RAM IKS libérable (Go)],TblApplications[Cluster IKS source],$F1057,TblApplications[Action],"À décommissionner",TblApplications[Mois lib (calc)],"&lt;="&amp;$E1057)))))</f>
        <v/>
      </c>
      <c r="Z1057" s="19" t="str">
        <f t="shared" si="281"/>
        <v/>
      </c>
      <c r="AA1057" s="73" t="str">
        <f t="shared" si="282"/>
        <v/>
      </c>
      <c r="AB1057" s="19" t="str">
        <f t="shared" si="283"/>
        <v/>
      </c>
      <c r="AC1057" s="73" t="str">
        <f t="shared" si="284"/>
        <v/>
      </c>
      <c r="AD1057" s="19" t="str">
        <f t="shared" si="285"/>
        <v/>
      </c>
      <c r="AE1057" s="19" t="str">
        <f t="shared" si="286"/>
        <v/>
      </c>
      <c r="AF1057" s="19" t="str">
        <f>IF($D1057&lt;&gt;1,"",IF(INDEX(TblClusters[Environnement],$B1057)="","(vide)",INDEX(TblClusters[Environnement],$B1057)))</f>
        <v/>
      </c>
      <c r="AG1057" s="19" t="str">
        <f t="shared" si="287"/>
        <v/>
      </c>
      <c r="AH1057" s="19" t="str">
        <f t="shared" si="288"/>
        <v/>
      </c>
      <c r="AI1057" s="19" t="str">
        <f>IF($D1057&lt;&gt;1,"",IF(AND($G1057="IKS",ISNUMBER(INDEX(TblClusters[Fermeture retenue],$B1057))),IF($E1057&gt;=INDEX(TblClusters[Fermeture retenue],$B1057),1,0),0))</f>
        <v/>
      </c>
    </row>
    <row r="1058" spans="1:35" x14ac:dyDescent="0.2">
      <c r="A1058" s="19">
        <v>1053</v>
      </c>
      <c r="B1058" s="19">
        <f t="shared" si="272"/>
        <v>30</v>
      </c>
      <c r="C1058" s="19">
        <f t="shared" si="273"/>
        <v>9</v>
      </c>
      <c r="D1058" s="19">
        <f>IF($C1058&gt;p_horizon,0,IFERROR(IF(AND(INDEX(TblClusters[Cluster],$B1058)&lt;&gt;"",ISNUMBER(INDEX(TblClusters[CPU initial (vCPU)],$B1058)),ISNUMBER(INDEX(TblClusters[CPU min (vCPU)],$B1058)),OR(INDEX(TblClusters[Plateforme],$B1058)="IKS",INDEX(TblClusters[Plateforme],$B1058)="ROKS")),1,0),0))</f>
        <v>0</v>
      </c>
      <c r="E1058" s="72" t="str">
        <f t="shared" si="274"/>
        <v/>
      </c>
      <c r="F1058" s="19" t="str">
        <f>IF($D1058=1,INDEX(TblClusters[Cluster],$B1058),"")</f>
        <v/>
      </c>
      <c r="G1058" s="19" t="str">
        <f>IF($D1058=1,INDEX(TblClusters[Plateforme],$B1058),"")</f>
        <v/>
      </c>
      <c r="H1058" s="19" t="str">
        <f>IF($D1058=1,INDEX(TblClusters[vCPU par nœud],$B1058),"")</f>
        <v/>
      </c>
      <c r="I1058" s="19" t="str">
        <f>IF($D1058=1,INDEX(TblClusters[RAM par nœud (Go)],$B1058),"")</f>
        <v/>
      </c>
      <c r="J1058" s="19" t="str">
        <f>IF($D1058=1,INDEX(TblClusters[Workers min],$B1058),"")</f>
        <v/>
      </c>
      <c r="K1058" s="73" t="str">
        <f>IF($D1058=1,INDEX(TblClusters[Tarif par nœud],$B1058),"")</f>
        <v/>
      </c>
      <c r="L1058" s="19" t="str">
        <f>IF($D1058=1,INDEX(TblClusters[CPU initial (vCPU)],$B1058),"")</f>
        <v/>
      </c>
      <c r="M1058" s="19" t="str">
        <f>IF($D1058=1,INDEX(TblClusters[RAM initiale (Go)],$B1058),"")</f>
        <v/>
      </c>
      <c r="N1058" s="19" t="str">
        <f>IF($D1058=1,INDEX(TblClusters[CPU min (vCPU)],$B1058),"")</f>
        <v/>
      </c>
      <c r="O1058" s="19" t="str">
        <f>IF($D1058=1,INDEX(TblClusters[RAM min (Go)],$B1058),"")</f>
        <v/>
      </c>
      <c r="P1058" s="19" t="str">
        <f>IF($D1058&lt;&gt;1,"",IF($G1058="ROKS",SUMIFS(TblApplications[Besoin ROKS CPU (vCPU)],TblApplications[Cluster ROKS cible],$F1058,TblApplications[Action],"À migrer",TblApplications[Déjà incluse ROKS],"Non",TblApplications[Mois prov (calc)],"&lt;="&amp;$E1058),SUMIFS(TblApplications[CPU IKS libérable (vCPU)],TblApplications[Cluster IKS source],$F1058,TblApplications[Mois lib (calc)],"&lt;="&amp;$E1058)))</f>
        <v/>
      </c>
      <c r="Q1058" s="19" t="str">
        <f>IF($D1058&lt;&gt;1,"",IF($G1058="ROKS",SUMIFS(TblApplications[Besoin ROKS RAM (Go)],TblApplications[Cluster ROKS cible],$F1058,TblApplications[Action],"À migrer",TblApplications[Déjà incluse ROKS],"Non",TblApplications[Mois prov (calc)],"&lt;="&amp;$E1058),SUMIFS(TblApplications[RAM IKS libérable (Go)],TblApplications[Cluster IKS source],$F1058,TblApplications[Mois lib (calc)],"&lt;="&amp;$E1058)))</f>
        <v/>
      </c>
      <c r="R1058" s="19" t="str">
        <f t="shared" si="275"/>
        <v/>
      </c>
      <c r="S1058" s="19" t="str">
        <f t="shared" si="276"/>
        <v/>
      </c>
      <c r="T1058" s="19" t="str">
        <f t="shared" si="277"/>
        <v/>
      </c>
      <c r="U1058" s="19" t="str">
        <f t="shared" si="278"/>
        <v/>
      </c>
      <c r="V1058" s="19" t="str">
        <f t="shared" si="279"/>
        <v/>
      </c>
      <c r="W1058" s="73" t="str">
        <f t="shared" si="280"/>
        <v/>
      </c>
      <c r="X1058" s="19" t="str">
        <f>IF($D1058&lt;&gt;1,"",IF($G1058="ROKS",$R1058,IF($AI1058=1,0,MAX($N1058,$L1058-SUMIFS(TblApplications[CPU IKS libérable (vCPU)],TblApplications[Cluster IKS source],$F1058,TblApplications[Action],"À migrer",TblApplications[Mois prov (calc)],"&lt;="&amp;$E1058)-SUMIFS(TblApplications[CPU IKS libérable (vCPU)],TblApplications[Cluster IKS source],$F1058,TblApplications[Action],"À décommissionner",TblApplications[Mois lib (calc)],"&lt;="&amp;$E1058)))))</f>
        <v/>
      </c>
      <c r="Y1058" s="19" t="str">
        <f>IF($D1058&lt;&gt;1,"",IF($G1058="ROKS",$S1058,IF($AI1058=1,0,MAX($O1058,$M1058-SUMIFS(TblApplications[RAM IKS libérable (Go)],TblApplications[Cluster IKS source],$F1058,TblApplications[Action],"À migrer",TblApplications[Mois prov (calc)],"&lt;="&amp;$E1058)-SUMIFS(TblApplications[RAM IKS libérable (Go)],TblApplications[Cluster IKS source],$F1058,TblApplications[Action],"À décommissionner",TblApplications[Mois lib (calc)],"&lt;="&amp;$E1058)))))</f>
        <v/>
      </c>
      <c r="Z1058" s="19" t="str">
        <f t="shared" si="281"/>
        <v/>
      </c>
      <c r="AA1058" s="73" t="str">
        <f t="shared" si="282"/>
        <v/>
      </c>
      <c r="AB1058" s="19" t="str">
        <f t="shared" si="283"/>
        <v/>
      </c>
      <c r="AC1058" s="73" t="str">
        <f t="shared" si="284"/>
        <v/>
      </c>
      <c r="AD1058" s="19" t="str">
        <f t="shared" si="285"/>
        <v/>
      </c>
      <c r="AE1058" s="19" t="str">
        <f t="shared" si="286"/>
        <v/>
      </c>
      <c r="AF1058" s="19" t="str">
        <f>IF($D1058&lt;&gt;1,"",IF(INDEX(TblClusters[Environnement],$B1058)="","(vide)",INDEX(TblClusters[Environnement],$B1058)))</f>
        <v/>
      </c>
      <c r="AG1058" s="19" t="str">
        <f t="shared" si="287"/>
        <v/>
      </c>
      <c r="AH1058" s="19" t="str">
        <f t="shared" si="288"/>
        <v/>
      </c>
      <c r="AI1058" s="19" t="str">
        <f>IF($D1058&lt;&gt;1,"",IF(AND($G1058="IKS",ISNUMBER(INDEX(TblClusters[Fermeture retenue],$B1058))),IF($E1058&gt;=INDEX(TblClusters[Fermeture retenue],$B1058),1,0),0))</f>
        <v/>
      </c>
    </row>
    <row r="1059" spans="1:35" x14ac:dyDescent="0.2">
      <c r="A1059" s="19">
        <v>1054</v>
      </c>
      <c r="B1059" s="19">
        <f t="shared" si="272"/>
        <v>30</v>
      </c>
      <c r="C1059" s="19">
        <f t="shared" si="273"/>
        <v>10</v>
      </c>
      <c r="D1059" s="19">
        <f>IF($C1059&gt;p_horizon,0,IFERROR(IF(AND(INDEX(TblClusters[Cluster],$B1059)&lt;&gt;"",ISNUMBER(INDEX(TblClusters[CPU initial (vCPU)],$B1059)),ISNUMBER(INDEX(TblClusters[CPU min (vCPU)],$B1059)),OR(INDEX(TblClusters[Plateforme],$B1059)="IKS",INDEX(TblClusters[Plateforme],$B1059)="ROKS")),1,0),0))</f>
        <v>0</v>
      </c>
      <c r="E1059" s="72" t="str">
        <f t="shared" si="274"/>
        <v/>
      </c>
      <c r="F1059" s="19" t="str">
        <f>IF($D1059=1,INDEX(TblClusters[Cluster],$B1059),"")</f>
        <v/>
      </c>
      <c r="G1059" s="19" t="str">
        <f>IF($D1059=1,INDEX(TblClusters[Plateforme],$B1059),"")</f>
        <v/>
      </c>
      <c r="H1059" s="19" t="str">
        <f>IF($D1059=1,INDEX(TblClusters[vCPU par nœud],$B1059),"")</f>
        <v/>
      </c>
      <c r="I1059" s="19" t="str">
        <f>IF($D1059=1,INDEX(TblClusters[RAM par nœud (Go)],$B1059),"")</f>
        <v/>
      </c>
      <c r="J1059" s="19" t="str">
        <f>IF($D1059=1,INDEX(TblClusters[Workers min],$B1059),"")</f>
        <v/>
      </c>
      <c r="K1059" s="73" t="str">
        <f>IF($D1059=1,INDEX(TblClusters[Tarif par nœud],$B1059),"")</f>
        <v/>
      </c>
      <c r="L1059" s="19" t="str">
        <f>IF($D1059=1,INDEX(TblClusters[CPU initial (vCPU)],$B1059),"")</f>
        <v/>
      </c>
      <c r="M1059" s="19" t="str">
        <f>IF($D1059=1,INDEX(TblClusters[RAM initiale (Go)],$B1059),"")</f>
        <v/>
      </c>
      <c r="N1059" s="19" t="str">
        <f>IF($D1059=1,INDEX(TblClusters[CPU min (vCPU)],$B1059),"")</f>
        <v/>
      </c>
      <c r="O1059" s="19" t="str">
        <f>IF($D1059=1,INDEX(TblClusters[RAM min (Go)],$B1059),"")</f>
        <v/>
      </c>
      <c r="P1059" s="19" t="str">
        <f>IF($D1059&lt;&gt;1,"",IF($G1059="ROKS",SUMIFS(TblApplications[Besoin ROKS CPU (vCPU)],TblApplications[Cluster ROKS cible],$F1059,TblApplications[Action],"À migrer",TblApplications[Déjà incluse ROKS],"Non",TblApplications[Mois prov (calc)],"&lt;="&amp;$E1059),SUMIFS(TblApplications[CPU IKS libérable (vCPU)],TblApplications[Cluster IKS source],$F1059,TblApplications[Mois lib (calc)],"&lt;="&amp;$E1059)))</f>
        <v/>
      </c>
      <c r="Q1059" s="19" t="str">
        <f>IF($D1059&lt;&gt;1,"",IF($G1059="ROKS",SUMIFS(TblApplications[Besoin ROKS RAM (Go)],TblApplications[Cluster ROKS cible],$F1059,TblApplications[Action],"À migrer",TblApplications[Déjà incluse ROKS],"Non",TblApplications[Mois prov (calc)],"&lt;="&amp;$E1059),SUMIFS(TblApplications[RAM IKS libérable (Go)],TblApplications[Cluster IKS source],$F1059,TblApplications[Mois lib (calc)],"&lt;="&amp;$E1059)))</f>
        <v/>
      </c>
      <c r="R1059" s="19" t="str">
        <f t="shared" si="275"/>
        <v/>
      </c>
      <c r="S1059" s="19" t="str">
        <f t="shared" si="276"/>
        <v/>
      </c>
      <c r="T1059" s="19" t="str">
        <f t="shared" si="277"/>
        <v/>
      </c>
      <c r="U1059" s="19" t="str">
        <f t="shared" si="278"/>
        <v/>
      </c>
      <c r="V1059" s="19" t="str">
        <f t="shared" si="279"/>
        <v/>
      </c>
      <c r="W1059" s="73" t="str">
        <f t="shared" si="280"/>
        <v/>
      </c>
      <c r="X1059" s="19" t="str">
        <f>IF($D1059&lt;&gt;1,"",IF($G1059="ROKS",$R1059,IF($AI1059=1,0,MAX($N1059,$L1059-SUMIFS(TblApplications[CPU IKS libérable (vCPU)],TblApplications[Cluster IKS source],$F1059,TblApplications[Action],"À migrer",TblApplications[Mois prov (calc)],"&lt;="&amp;$E1059)-SUMIFS(TblApplications[CPU IKS libérable (vCPU)],TblApplications[Cluster IKS source],$F1059,TblApplications[Action],"À décommissionner",TblApplications[Mois lib (calc)],"&lt;="&amp;$E1059)))))</f>
        <v/>
      </c>
      <c r="Y1059" s="19" t="str">
        <f>IF($D1059&lt;&gt;1,"",IF($G1059="ROKS",$S1059,IF($AI1059=1,0,MAX($O1059,$M1059-SUMIFS(TblApplications[RAM IKS libérable (Go)],TblApplications[Cluster IKS source],$F1059,TblApplications[Action],"À migrer",TblApplications[Mois prov (calc)],"&lt;="&amp;$E1059)-SUMIFS(TblApplications[RAM IKS libérable (Go)],TblApplications[Cluster IKS source],$F1059,TblApplications[Action],"À décommissionner",TblApplications[Mois lib (calc)],"&lt;="&amp;$E1059)))))</f>
        <v/>
      </c>
      <c r="Z1059" s="19" t="str">
        <f t="shared" si="281"/>
        <v/>
      </c>
      <c r="AA1059" s="73" t="str">
        <f t="shared" si="282"/>
        <v/>
      </c>
      <c r="AB1059" s="19" t="str">
        <f t="shared" si="283"/>
        <v/>
      </c>
      <c r="AC1059" s="73" t="str">
        <f t="shared" si="284"/>
        <v/>
      </c>
      <c r="AD1059" s="19" t="str">
        <f t="shared" si="285"/>
        <v/>
      </c>
      <c r="AE1059" s="19" t="str">
        <f t="shared" si="286"/>
        <v/>
      </c>
      <c r="AF1059" s="19" t="str">
        <f>IF($D1059&lt;&gt;1,"",IF(INDEX(TblClusters[Environnement],$B1059)="","(vide)",INDEX(TblClusters[Environnement],$B1059)))</f>
        <v/>
      </c>
      <c r="AG1059" s="19" t="str">
        <f t="shared" si="287"/>
        <v/>
      </c>
      <c r="AH1059" s="19" t="str">
        <f t="shared" si="288"/>
        <v/>
      </c>
      <c r="AI1059" s="19" t="str">
        <f>IF($D1059&lt;&gt;1,"",IF(AND($G1059="IKS",ISNUMBER(INDEX(TblClusters[Fermeture retenue],$B1059))),IF($E1059&gt;=INDEX(TblClusters[Fermeture retenue],$B1059),1,0),0))</f>
        <v/>
      </c>
    </row>
    <row r="1060" spans="1:35" x14ac:dyDescent="0.2">
      <c r="A1060" s="19">
        <v>1055</v>
      </c>
      <c r="B1060" s="19">
        <f t="shared" si="272"/>
        <v>30</v>
      </c>
      <c r="C1060" s="19">
        <f t="shared" si="273"/>
        <v>11</v>
      </c>
      <c r="D1060" s="19">
        <f>IF($C1060&gt;p_horizon,0,IFERROR(IF(AND(INDEX(TblClusters[Cluster],$B1060)&lt;&gt;"",ISNUMBER(INDEX(TblClusters[CPU initial (vCPU)],$B1060)),ISNUMBER(INDEX(TblClusters[CPU min (vCPU)],$B1060)),OR(INDEX(TblClusters[Plateforme],$B1060)="IKS",INDEX(TblClusters[Plateforme],$B1060)="ROKS")),1,0),0))</f>
        <v>0</v>
      </c>
      <c r="E1060" s="72" t="str">
        <f t="shared" si="274"/>
        <v/>
      </c>
      <c r="F1060" s="19" t="str">
        <f>IF($D1060=1,INDEX(TblClusters[Cluster],$B1060),"")</f>
        <v/>
      </c>
      <c r="G1060" s="19" t="str">
        <f>IF($D1060=1,INDEX(TblClusters[Plateforme],$B1060),"")</f>
        <v/>
      </c>
      <c r="H1060" s="19" t="str">
        <f>IF($D1060=1,INDEX(TblClusters[vCPU par nœud],$B1060),"")</f>
        <v/>
      </c>
      <c r="I1060" s="19" t="str">
        <f>IF($D1060=1,INDEX(TblClusters[RAM par nœud (Go)],$B1060),"")</f>
        <v/>
      </c>
      <c r="J1060" s="19" t="str">
        <f>IF($D1060=1,INDEX(TblClusters[Workers min],$B1060),"")</f>
        <v/>
      </c>
      <c r="K1060" s="73" t="str">
        <f>IF($D1060=1,INDEX(TblClusters[Tarif par nœud],$B1060),"")</f>
        <v/>
      </c>
      <c r="L1060" s="19" t="str">
        <f>IF($D1060=1,INDEX(TblClusters[CPU initial (vCPU)],$B1060),"")</f>
        <v/>
      </c>
      <c r="M1060" s="19" t="str">
        <f>IF($D1060=1,INDEX(TblClusters[RAM initiale (Go)],$B1060),"")</f>
        <v/>
      </c>
      <c r="N1060" s="19" t="str">
        <f>IF($D1060=1,INDEX(TblClusters[CPU min (vCPU)],$B1060),"")</f>
        <v/>
      </c>
      <c r="O1060" s="19" t="str">
        <f>IF($D1060=1,INDEX(TblClusters[RAM min (Go)],$B1060),"")</f>
        <v/>
      </c>
      <c r="P1060" s="19" t="str">
        <f>IF($D1060&lt;&gt;1,"",IF($G1060="ROKS",SUMIFS(TblApplications[Besoin ROKS CPU (vCPU)],TblApplications[Cluster ROKS cible],$F1060,TblApplications[Action],"À migrer",TblApplications[Déjà incluse ROKS],"Non",TblApplications[Mois prov (calc)],"&lt;="&amp;$E1060),SUMIFS(TblApplications[CPU IKS libérable (vCPU)],TblApplications[Cluster IKS source],$F1060,TblApplications[Mois lib (calc)],"&lt;="&amp;$E1060)))</f>
        <v/>
      </c>
      <c r="Q1060" s="19" t="str">
        <f>IF($D1060&lt;&gt;1,"",IF($G1060="ROKS",SUMIFS(TblApplications[Besoin ROKS RAM (Go)],TblApplications[Cluster ROKS cible],$F1060,TblApplications[Action],"À migrer",TblApplications[Déjà incluse ROKS],"Non",TblApplications[Mois prov (calc)],"&lt;="&amp;$E1060),SUMIFS(TblApplications[RAM IKS libérable (Go)],TblApplications[Cluster IKS source],$F1060,TblApplications[Mois lib (calc)],"&lt;="&amp;$E1060)))</f>
        <v/>
      </c>
      <c r="R1060" s="19" t="str">
        <f t="shared" si="275"/>
        <v/>
      </c>
      <c r="S1060" s="19" t="str">
        <f t="shared" si="276"/>
        <v/>
      </c>
      <c r="T1060" s="19" t="str">
        <f t="shared" si="277"/>
        <v/>
      </c>
      <c r="U1060" s="19" t="str">
        <f t="shared" si="278"/>
        <v/>
      </c>
      <c r="V1060" s="19" t="str">
        <f t="shared" si="279"/>
        <v/>
      </c>
      <c r="W1060" s="73" t="str">
        <f t="shared" si="280"/>
        <v/>
      </c>
      <c r="X1060" s="19" t="str">
        <f>IF($D1060&lt;&gt;1,"",IF($G1060="ROKS",$R1060,IF($AI1060=1,0,MAX($N1060,$L1060-SUMIFS(TblApplications[CPU IKS libérable (vCPU)],TblApplications[Cluster IKS source],$F1060,TblApplications[Action],"À migrer",TblApplications[Mois prov (calc)],"&lt;="&amp;$E1060)-SUMIFS(TblApplications[CPU IKS libérable (vCPU)],TblApplications[Cluster IKS source],$F1060,TblApplications[Action],"À décommissionner",TblApplications[Mois lib (calc)],"&lt;="&amp;$E1060)))))</f>
        <v/>
      </c>
      <c r="Y1060" s="19" t="str">
        <f>IF($D1060&lt;&gt;1,"",IF($G1060="ROKS",$S1060,IF($AI1060=1,0,MAX($O1060,$M1060-SUMIFS(TblApplications[RAM IKS libérable (Go)],TblApplications[Cluster IKS source],$F1060,TblApplications[Action],"À migrer",TblApplications[Mois prov (calc)],"&lt;="&amp;$E1060)-SUMIFS(TblApplications[RAM IKS libérable (Go)],TblApplications[Cluster IKS source],$F1060,TblApplications[Action],"À décommissionner",TblApplications[Mois lib (calc)],"&lt;="&amp;$E1060)))))</f>
        <v/>
      </c>
      <c r="Z1060" s="19" t="str">
        <f t="shared" si="281"/>
        <v/>
      </c>
      <c r="AA1060" s="73" t="str">
        <f t="shared" si="282"/>
        <v/>
      </c>
      <c r="AB1060" s="19" t="str">
        <f t="shared" si="283"/>
        <v/>
      </c>
      <c r="AC1060" s="73" t="str">
        <f t="shared" si="284"/>
        <v/>
      </c>
      <c r="AD1060" s="19" t="str">
        <f t="shared" si="285"/>
        <v/>
      </c>
      <c r="AE1060" s="19" t="str">
        <f t="shared" si="286"/>
        <v/>
      </c>
      <c r="AF1060" s="19" t="str">
        <f>IF($D1060&lt;&gt;1,"",IF(INDEX(TblClusters[Environnement],$B1060)="","(vide)",INDEX(TblClusters[Environnement],$B1060)))</f>
        <v/>
      </c>
      <c r="AG1060" s="19" t="str">
        <f t="shared" si="287"/>
        <v/>
      </c>
      <c r="AH1060" s="19" t="str">
        <f t="shared" si="288"/>
        <v/>
      </c>
      <c r="AI1060" s="19" t="str">
        <f>IF($D1060&lt;&gt;1,"",IF(AND($G1060="IKS",ISNUMBER(INDEX(TblClusters[Fermeture retenue],$B1060))),IF($E1060&gt;=INDEX(TblClusters[Fermeture retenue],$B1060),1,0),0))</f>
        <v/>
      </c>
    </row>
    <row r="1061" spans="1:35" x14ac:dyDescent="0.2">
      <c r="A1061" s="19">
        <v>1056</v>
      </c>
      <c r="B1061" s="19">
        <f t="shared" si="272"/>
        <v>30</v>
      </c>
      <c r="C1061" s="19">
        <f t="shared" si="273"/>
        <v>12</v>
      </c>
      <c r="D1061" s="19">
        <f>IF($C1061&gt;p_horizon,0,IFERROR(IF(AND(INDEX(TblClusters[Cluster],$B1061)&lt;&gt;"",ISNUMBER(INDEX(TblClusters[CPU initial (vCPU)],$B1061)),ISNUMBER(INDEX(TblClusters[CPU min (vCPU)],$B1061)),OR(INDEX(TblClusters[Plateforme],$B1061)="IKS",INDEX(TblClusters[Plateforme],$B1061)="ROKS")),1,0),0))</f>
        <v>0</v>
      </c>
      <c r="E1061" s="72" t="str">
        <f t="shared" si="274"/>
        <v/>
      </c>
      <c r="F1061" s="19" t="str">
        <f>IF($D1061=1,INDEX(TblClusters[Cluster],$B1061),"")</f>
        <v/>
      </c>
      <c r="G1061" s="19" t="str">
        <f>IF($D1061=1,INDEX(TblClusters[Plateforme],$B1061),"")</f>
        <v/>
      </c>
      <c r="H1061" s="19" t="str">
        <f>IF($D1061=1,INDEX(TblClusters[vCPU par nœud],$B1061),"")</f>
        <v/>
      </c>
      <c r="I1061" s="19" t="str">
        <f>IF($D1061=1,INDEX(TblClusters[RAM par nœud (Go)],$B1061),"")</f>
        <v/>
      </c>
      <c r="J1061" s="19" t="str">
        <f>IF($D1061=1,INDEX(TblClusters[Workers min],$B1061),"")</f>
        <v/>
      </c>
      <c r="K1061" s="73" t="str">
        <f>IF($D1061=1,INDEX(TblClusters[Tarif par nœud],$B1061),"")</f>
        <v/>
      </c>
      <c r="L1061" s="19" t="str">
        <f>IF($D1061=1,INDEX(TblClusters[CPU initial (vCPU)],$B1061),"")</f>
        <v/>
      </c>
      <c r="M1061" s="19" t="str">
        <f>IF($D1061=1,INDEX(TblClusters[RAM initiale (Go)],$B1061),"")</f>
        <v/>
      </c>
      <c r="N1061" s="19" t="str">
        <f>IF($D1061=1,INDEX(TblClusters[CPU min (vCPU)],$B1061),"")</f>
        <v/>
      </c>
      <c r="O1061" s="19" t="str">
        <f>IF($D1061=1,INDEX(TblClusters[RAM min (Go)],$B1061),"")</f>
        <v/>
      </c>
      <c r="P1061" s="19" t="str">
        <f>IF($D1061&lt;&gt;1,"",IF($G1061="ROKS",SUMIFS(TblApplications[Besoin ROKS CPU (vCPU)],TblApplications[Cluster ROKS cible],$F1061,TblApplications[Action],"À migrer",TblApplications[Déjà incluse ROKS],"Non",TblApplications[Mois prov (calc)],"&lt;="&amp;$E1061),SUMIFS(TblApplications[CPU IKS libérable (vCPU)],TblApplications[Cluster IKS source],$F1061,TblApplications[Mois lib (calc)],"&lt;="&amp;$E1061)))</f>
        <v/>
      </c>
      <c r="Q1061" s="19" t="str">
        <f>IF($D1061&lt;&gt;1,"",IF($G1061="ROKS",SUMIFS(TblApplications[Besoin ROKS RAM (Go)],TblApplications[Cluster ROKS cible],$F1061,TblApplications[Action],"À migrer",TblApplications[Déjà incluse ROKS],"Non",TblApplications[Mois prov (calc)],"&lt;="&amp;$E1061),SUMIFS(TblApplications[RAM IKS libérable (Go)],TblApplications[Cluster IKS source],$F1061,TblApplications[Mois lib (calc)],"&lt;="&amp;$E1061)))</f>
        <v/>
      </c>
      <c r="R1061" s="19" t="str">
        <f t="shared" si="275"/>
        <v/>
      </c>
      <c r="S1061" s="19" t="str">
        <f t="shared" si="276"/>
        <v/>
      </c>
      <c r="T1061" s="19" t="str">
        <f t="shared" si="277"/>
        <v/>
      </c>
      <c r="U1061" s="19" t="str">
        <f t="shared" si="278"/>
        <v/>
      </c>
      <c r="V1061" s="19" t="str">
        <f t="shared" si="279"/>
        <v/>
      </c>
      <c r="W1061" s="73" t="str">
        <f t="shared" si="280"/>
        <v/>
      </c>
      <c r="X1061" s="19" t="str">
        <f>IF($D1061&lt;&gt;1,"",IF($G1061="ROKS",$R1061,IF($AI1061=1,0,MAX($N1061,$L1061-SUMIFS(TblApplications[CPU IKS libérable (vCPU)],TblApplications[Cluster IKS source],$F1061,TblApplications[Action],"À migrer",TblApplications[Mois prov (calc)],"&lt;="&amp;$E1061)-SUMIFS(TblApplications[CPU IKS libérable (vCPU)],TblApplications[Cluster IKS source],$F1061,TblApplications[Action],"À décommissionner",TblApplications[Mois lib (calc)],"&lt;="&amp;$E1061)))))</f>
        <v/>
      </c>
      <c r="Y1061" s="19" t="str">
        <f>IF($D1061&lt;&gt;1,"",IF($G1061="ROKS",$S1061,IF($AI1061=1,0,MAX($O1061,$M1061-SUMIFS(TblApplications[RAM IKS libérable (Go)],TblApplications[Cluster IKS source],$F1061,TblApplications[Action],"À migrer",TblApplications[Mois prov (calc)],"&lt;="&amp;$E1061)-SUMIFS(TblApplications[RAM IKS libérable (Go)],TblApplications[Cluster IKS source],$F1061,TblApplications[Action],"À décommissionner",TblApplications[Mois lib (calc)],"&lt;="&amp;$E1061)))))</f>
        <v/>
      </c>
      <c r="Z1061" s="19" t="str">
        <f t="shared" si="281"/>
        <v/>
      </c>
      <c r="AA1061" s="73" t="str">
        <f t="shared" si="282"/>
        <v/>
      </c>
      <c r="AB1061" s="19" t="str">
        <f t="shared" si="283"/>
        <v/>
      </c>
      <c r="AC1061" s="73" t="str">
        <f t="shared" si="284"/>
        <v/>
      </c>
      <c r="AD1061" s="19" t="str">
        <f t="shared" si="285"/>
        <v/>
      </c>
      <c r="AE1061" s="19" t="str">
        <f t="shared" si="286"/>
        <v/>
      </c>
      <c r="AF1061" s="19" t="str">
        <f>IF($D1061&lt;&gt;1,"",IF(INDEX(TblClusters[Environnement],$B1061)="","(vide)",INDEX(TblClusters[Environnement],$B1061)))</f>
        <v/>
      </c>
      <c r="AG1061" s="19" t="str">
        <f t="shared" si="287"/>
        <v/>
      </c>
      <c r="AH1061" s="19" t="str">
        <f t="shared" si="288"/>
        <v/>
      </c>
      <c r="AI1061" s="19" t="str">
        <f>IF($D1061&lt;&gt;1,"",IF(AND($G1061="IKS",ISNUMBER(INDEX(TblClusters[Fermeture retenue],$B1061))),IF($E1061&gt;=INDEX(TblClusters[Fermeture retenue],$B1061),1,0),0))</f>
        <v/>
      </c>
    </row>
    <row r="1062" spans="1:35" x14ac:dyDescent="0.2">
      <c r="A1062" s="19">
        <v>1057</v>
      </c>
      <c r="B1062" s="19">
        <f t="shared" si="272"/>
        <v>30</v>
      </c>
      <c r="C1062" s="19">
        <f t="shared" si="273"/>
        <v>13</v>
      </c>
      <c r="D1062" s="19">
        <f>IF($C1062&gt;p_horizon,0,IFERROR(IF(AND(INDEX(TblClusters[Cluster],$B1062)&lt;&gt;"",ISNUMBER(INDEX(TblClusters[CPU initial (vCPU)],$B1062)),ISNUMBER(INDEX(TblClusters[CPU min (vCPU)],$B1062)),OR(INDEX(TblClusters[Plateforme],$B1062)="IKS",INDEX(TblClusters[Plateforme],$B1062)="ROKS")),1,0),0))</f>
        <v>0</v>
      </c>
      <c r="E1062" s="72" t="str">
        <f t="shared" si="274"/>
        <v/>
      </c>
      <c r="F1062" s="19" t="str">
        <f>IF($D1062=1,INDEX(TblClusters[Cluster],$B1062),"")</f>
        <v/>
      </c>
      <c r="G1062" s="19" t="str">
        <f>IF($D1062=1,INDEX(TblClusters[Plateforme],$B1062),"")</f>
        <v/>
      </c>
      <c r="H1062" s="19" t="str">
        <f>IF($D1062=1,INDEX(TblClusters[vCPU par nœud],$B1062),"")</f>
        <v/>
      </c>
      <c r="I1062" s="19" t="str">
        <f>IF($D1062=1,INDEX(TblClusters[RAM par nœud (Go)],$B1062),"")</f>
        <v/>
      </c>
      <c r="J1062" s="19" t="str">
        <f>IF($D1062=1,INDEX(TblClusters[Workers min],$B1062),"")</f>
        <v/>
      </c>
      <c r="K1062" s="73" t="str">
        <f>IF($D1062=1,INDEX(TblClusters[Tarif par nœud],$B1062),"")</f>
        <v/>
      </c>
      <c r="L1062" s="19" t="str">
        <f>IF($D1062=1,INDEX(TblClusters[CPU initial (vCPU)],$B1062),"")</f>
        <v/>
      </c>
      <c r="M1062" s="19" t="str">
        <f>IF($D1062=1,INDEX(TblClusters[RAM initiale (Go)],$B1062),"")</f>
        <v/>
      </c>
      <c r="N1062" s="19" t="str">
        <f>IF($D1062=1,INDEX(TblClusters[CPU min (vCPU)],$B1062),"")</f>
        <v/>
      </c>
      <c r="O1062" s="19" t="str">
        <f>IF($D1062=1,INDEX(TblClusters[RAM min (Go)],$B1062),"")</f>
        <v/>
      </c>
      <c r="P1062" s="19" t="str">
        <f>IF($D1062&lt;&gt;1,"",IF($G1062="ROKS",SUMIFS(TblApplications[Besoin ROKS CPU (vCPU)],TblApplications[Cluster ROKS cible],$F1062,TblApplications[Action],"À migrer",TblApplications[Déjà incluse ROKS],"Non",TblApplications[Mois prov (calc)],"&lt;="&amp;$E1062),SUMIFS(TblApplications[CPU IKS libérable (vCPU)],TblApplications[Cluster IKS source],$F1062,TblApplications[Mois lib (calc)],"&lt;="&amp;$E1062)))</f>
        <v/>
      </c>
      <c r="Q1062" s="19" t="str">
        <f>IF($D1062&lt;&gt;1,"",IF($G1062="ROKS",SUMIFS(TblApplications[Besoin ROKS RAM (Go)],TblApplications[Cluster ROKS cible],$F1062,TblApplications[Action],"À migrer",TblApplications[Déjà incluse ROKS],"Non",TblApplications[Mois prov (calc)],"&lt;="&amp;$E1062),SUMIFS(TblApplications[RAM IKS libérable (Go)],TblApplications[Cluster IKS source],$F1062,TblApplications[Mois lib (calc)],"&lt;="&amp;$E1062)))</f>
        <v/>
      </c>
      <c r="R1062" s="19" t="str">
        <f t="shared" si="275"/>
        <v/>
      </c>
      <c r="S1062" s="19" t="str">
        <f t="shared" si="276"/>
        <v/>
      </c>
      <c r="T1062" s="19" t="str">
        <f t="shared" si="277"/>
        <v/>
      </c>
      <c r="U1062" s="19" t="str">
        <f t="shared" si="278"/>
        <v/>
      </c>
      <c r="V1062" s="19" t="str">
        <f t="shared" si="279"/>
        <v/>
      </c>
      <c r="W1062" s="73" t="str">
        <f t="shared" si="280"/>
        <v/>
      </c>
      <c r="X1062" s="19" t="str">
        <f>IF($D1062&lt;&gt;1,"",IF($G1062="ROKS",$R1062,IF($AI1062=1,0,MAX($N1062,$L1062-SUMIFS(TblApplications[CPU IKS libérable (vCPU)],TblApplications[Cluster IKS source],$F1062,TblApplications[Action],"À migrer",TblApplications[Mois prov (calc)],"&lt;="&amp;$E1062)-SUMIFS(TblApplications[CPU IKS libérable (vCPU)],TblApplications[Cluster IKS source],$F1062,TblApplications[Action],"À décommissionner",TblApplications[Mois lib (calc)],"&lt;="&amp;$E1062)))))</f>
        <v/>
      </c>
      <c r="Y1062" s="19" t="str">
        <f>IF($D1062&lt;&gt;1,"",IF($G1062="ROKS",$S1062,IF($AI1062=1,0,MAX($O1062,$M1062-SUMIFS(TblApplications[RAM IKS libérable (Go)],TblApplications[Cluster IKS source],$F1062,TblApplications[Action],"À migrer",TblApplications[Mois prov (calc)],"&lt;="&amp;$E1062)-SUMIFS(TblApplications[RAM IKS libérable (Go)],TblApplications[Cluster IKS source],$F1062,TblApplications[Action],"À décommissionner",TblApplications[Mois lib (calc)],"&lt;="&amp;$E1062)))))</f>
        <v/>
      </c>
      <c r="Z1062" s="19" t="str">
        <f t="shared" si="281"/>
        <v/>
      </c>
      <c r="AA1062" s="73" t="str">
        <f t="shared" si="282"/>
        <v/>
      </c>
      <c r="AB1062" s="19" t="str">
        <f t="shared" si="283"/>
        <v/>
      </c>
      <c r="AC1062" s="73" t="str">
        <f t="shared" si="284"/>
        <v/>
      </c>
      <c r="AD1062" s="19" t="str">
        <f t="shared" si="285"/>
        <v/>
      </c>
      <c r="AE1062" s="19" t="str">
        <f t="shared" si="286"/>
        <v/>
      </c>
      <c r="AF1062" s="19" t="str">
        <f>IF($D1062&lt;&gt;1,"",IF(INDEX(TblClusters[Environnement],$B1062)="","(vide)",INDEX(TblClusters[Environnement],$B1062)))</f>
        <v/>
      </c>
      <c r="AG1062" s="19" t="str">
        <f t="shared" si="287"/>
        <v/>
      </c>
      <c r="AH1062" s="19" t="str">
        <f t="shared" si="288"/>
        <v/>
      </c>
      <c r="AI1062" s="19" t="str">
        <f>IF($D1062&lt;&gt;1,"",IF(AND($G1062="IKS",ISNUMBER(INDEX(TblClusters[Fermeture retenue],$B1062))),IF($E1062&gt;=INDEX(TblClusters[Fermeture retenue],$B1062),1,0),0))</f>
        <v/>
      </c>
    </row>
    <row r="1063" spans="1:35" x14ac:dyDescent="0.2">
      <c r="A1063" s="19">
        <v>1058</v>
      </c>
      <c r="B1063" s="19">
        <f t="shared" si="272"/>
        <v>30</v>
      </c>
      <c r="C1063" s="19">
        <f t="shared" si="273"/>
        <v>14</v>
      </c>
      <c r="D1063" s="19">
        <f>IF($C1063&gt;p_horizon,0,IFERROR(IF(AND(INDEX(TblClusters[Cluster],$B1063)&lt;&gt;"",ISNUMBER(INDEX(TblClusters[CPU initial (vCPU)],$B1063)),ISNUMBER(INDEX(TblClusters[CPU min (vCPU)],$B1063)),OR(INDEX(TblClusters[Plateforme],$B1063)="IKS",INDEX(TblClusters[Plateforme],$B1063)="ROKS")),1,0),0))</f>
        <v>0</v>
      </c>
      <c r="E1063" s="72" t="str">
        <f t="shared" si="274"/>
        <v/>
      </c>
      <c r="F1063" s="19" t="str">
        <f>IF($D1063=1,INDEX(TblClusters[Cluster],$B1063),"")</f>
        <v/>
      </c>
      <c r="G1063" s="19" t="str">
        <f>IF($D1063=1,INDEX(TblClusters[Plateforme],$B1063),"")</f>
        <v/>
      </c>
      <c r="H1063" s="19" t="str">
        <f>IF($D1063=1,INDEX(TblClusters[vCPU par nœud],$B1063),"")</f>
        <v/>
      </c>
      <c r="I1063" s="19" t="str">
        <f>IF($D1063=1,INDEX(TblClusters[RAM par nœud (Go)],$B1063),"")</f>
        <v/>
      </c>
      <c r="J1063" s="19" t="str">
        <f>IF($D1063=1,INDEX(TblClusters[Workers min],$B1063),"")</f>
        <v/>
      </c>
      <c r="K1063" s="73" t="str">
        <f>IF($D1063=1,INDEX(TblClusters[Tarif par nœud],$B1063),"")</f>
        <v/>
      </c>
      <c r="L1063" s="19" t="str">
        <f>IF($D1063=1,INDEX(TblClusters[CPU initial (vCPU)],$B1063),"")</f>
        <v/>
      </c>
      <c r="M1063" s="19" t="str">
        <f>IF($D1063=1,INDEX(TblClusters[RAM initiale (Go)],$B1063),"")</f>
        <v/>
      </c>
      <c r="N1063" s="19" t="str">
        <f>IF($D1063=1,INDEX(TblClusters[CPU min (vCPU)],$B1063),"")</f>
        <v/>
      </c>
      <c r="O1063" s="19" t="str">
        <f>IF($D1063=1,INDEX(TblClusters[RAM min (Go)],$B1063),"")</f>
        <v/>
      </c>
      <c r="P1063" s="19" t="str">
        <f>IF($D1063&lt;&gt;1,"",IF($G1063="ROKS",SUMIFS(TblApplications[Besoin ROKS CPU (vCPU)],TblApplications[Cluster ROKS cible],$F1063,TblApplications[Action],"À migrer",TblApplications[Déjà incluse ROKS],"Non",TblApplications[Mois prov (calc)],"&lt;="&amp;$E1063),SUMIFS(TblApplications[CPU IKS libérable (vCPU)],TblApplications[Cluster IKS source],$F1063,TblApplications[Mois lib (calc)],"&lt;="&amp;$E1063)))</f>
        <v/>
      </c>
      <c r="Q1063" s="19" t="str">
        <f>IF($D1063&lt;&gt;1,"",IF($G1063="ROKS",SUMIFS(TblApplications[Besoin ROKS RAM (Go)],TblApplications[Cluster ROKS cible],$F1063,TblApplications[Action],"À migrer",TblApplications[Déjà incluse ROKS],"Non",TblApplications[Mois prov (calc)],"&lt;="&amp;$E1063),SUMIFS(TblApplications[RAM IKS libérable (Go)],TblApplications[Cluster IKS source],$F1063,TblApplications[Mois lib (calc)],"&lt;="&amp;$E1063)))</f>
        <v/>
      </c>
      <c r="R1063" s="19" t="str">
        <f t="shared" si="275"/>
        <v/>
      </c>
      <c r="S1063" s="19" t="str">
        <f t="shared" si="276"/>
        <v/>
      </c>
      <c r="T1063" s="19" t="str">
        <f t="shared" si="277"/>
        <v/>
      </c>
      <c r="U1063" s="19" t="str">
        <f t="shared" si="278"/>
        <v/>
      </c>
      <c r="V1063" s="19" t="str">
        <f t="shared" si="279"/>
        <v/>
      </c>
      <c r="W1063" s="73" t="str">
        <f t="shared" si="280"/>
        <v/>
      </c>
      <c r="X1063" s="19" t="str">
        <f>IF($D1063&lt;&gt;1,"",IF($G1063="ROKS",$R1063,IF($AI1063=1,0,MAX($N1063,$L1063-SUMIFS(TblApplications[CPU IKS libérable (vCPU)],TblApplications[Cluster IKS source],$F1063,TblApplications[Action],"À migrer",TblApplications[Mois prov (calc)],"&lt;="&amp;$E1063)-SUMIFS(TblApplications[CPU IKS libérable (vCPU)],TblApplications[Cluster IKS source],$F1063,TblApplications[Action],"À décommissionner",TblApplications[Mois lib (calc)],"&lt;="&amp;$E1063)))))</f>
        <v/>
      </c>
      <c r="Y1063" s="19" t="str">
        <f>IF($D1063&lt;&gt;1,"",IF($G1063="ROKS",$S1063,IF($AI1063=1,0,MAX($O1063,$M1063-SUMIFS(TblApplications[RAM IKS libérable (Go)],TblApplications[Cluster IKS source],$F1063,TblApplications[Action],"À migrer",TblApplications[Mois prov (calc)],"&lt;="&amp;$E1063)-SUMIFS(TblApplications[RAM IKS libérable (Go)],TblApplications[Cluster IKS source],$F1063,TblApplications[Action],"À décommissionner",TblApplications[Mois lib (calc)],"&lt;="&amp;$E1063)))))</f>
        <v/>
      </c>
      <c r="Z1063" s="19" t="str">
        <f t="shared" si="281"/>
        <v/>
      </c>
      <c r="AA1063" s="73" t="str">
        <f t="shared" si="282"/>
        <v/>
      </c>
      <c r="AB1063" s="19" t="str">
        <f t="shared" si="283"/>
        <v/>
      </c>
      <c r="AC1063" s="73" t="str">
        <f t="shared" si="284"/>
        <v/>
      </c>
      <c r="AD1063" s="19" t="str">
        <f t="shared" si="285"/>
        <v/>
      </c>
      <c r="AE1063" s="19" t="str">
        <f t="shared" si="286"/>
        <v/>
      </c>
      <c r="AF1063" s="19" t="str">
        <f>IF($D1063&lt;&gt;1,"",IF(INDEX(TblClusters[Environnement],$B1063)="","(vide)",INDEX(TblClusters[Environnement],$B1063)))</f>
        <v/>
      </c>
      <c r="AG1063" s="19" t="str">
        <f t="shared" si="287"/>
        <v/>
      </c>
      <c r="AH1063" s="19" t="str">
        <f t="shared" si="288"/>
        <v/>
      </c>
      <c r="AI1063" s="19" t="str">
        <f>IF($D1063&lt;&gt;1,"",IF(AND($G1063="IKS",ISNUMBER(INDEX(TblClusters[Fermeture retenue],$B1063))),IF($E1063&gt;=INDEX(TblClusters[Fermeture retenue],$B1063),1,0),0))</f>
        <v/>
      </c>
    </row>
    <row r="1064" spans="1:35" x14ac:dyDescent="0.2">
      <c r="A1064" s="19">
        <v>1059</v>
      </c>
      <c r="B1064" s="19">
        <f t="shared" si="272"/>
        <v>30</v>
      </c>
      <c r="C1064" s="19">
        <f t="shared" si="273"/>
        <v>15</v>
      </c>
      <c r="D1064" s="19">
        <f>IF($C1064&gt;p_horizon,0,IFERROR(IF(AND(INDEX(TblClusters[Cluster],$B1064)&lt;&gt;"",ISNUMBER(INDEX(TblClusters[CPU initial (vCPU)],$B1064)),ISNUMBER(INDEX(TblClusters[CPU min (vCPU)],$B1064)),OR(INDEX(TblClusters[Plateforme],$B1064)="IKS",INDEX(TblClusters[Plateforme],$B1064)="ROKS")),1,0),0))</f>
        <v>0</v>
      </c>
      <c r="E1064" s="72" t="str">
        <f t="shared" si="274"/>
        <v/>
      </c>
      <c r="F1064" s="19" t="str">
        <f>IF($D1064=1,INDEX(TblClusters[Cluster],$B1064),"")</f>
        <v/>
      </c>
      <c r="G1064" s="19" t="str">
        <f>IF($D1064=1,INDEX(TblClusters[Plateforme],$B1064),"")</f>
        <v/>
      </c>
      <c r="H1064" s="19" t="str">
        <f>IF($D1064=1,INDEX(TblClusters[vCPU par nœud],$B1064),"")</f>
        <v/>
      </c>
      <c r="I1064" s="19" t="str">
        <f>IF($D1064=1,INDEX(TblClusters[RAM par nœud (Go)],$B1064),"")</f>
        <v/>
      </c>
      <c r="J1064" s="19" t="str">
        <f>IF($D1064=1,INDEX(TblClusters[Workers min],$B1064),"")</f>
        <v/>
      </c>
      <c r="K1064" s="73" t="str">
        <f>IF($D1064=1,INDEX(TblClusters[Tarif par nœud],$B1064),"")</f>
        <v/>
      </c>
      <c r="L1064" s="19" t="str">
        <f>IF($D1064=1,INDEX(TblClusters[CPU initial (vCPU)],$B1064),"")</f>
        <v/>
      </c>
      <c r="M1064" s="19" t="str">
        <f>IF($D1064=1,INDEX(TblClusters[RAM initiale (Go)],$B1064),"")</f>
        <v/>
      </c>
      <c r="N1064" s="19" t="str">
        <f>IF($D1064=1,INDEX(TblClusters[CPU min (vCPU)],$B1064),"")</f>
        <v/>
      </c>
      <c r="O1064" s="19" t="str">
        <f>IF($D1064=1,INDEX(TblClusters[RAM min (Go)],$B1064),"")</f>
        <v/>
      </c>
      <c r="P1064" s="19" t="str">
        <f>IF($D1064&lt;&gt;1,"",IF($G1064="ROKS",SUMIFS(TblApplications[Besoin ROKS CPU (vCPU)],TblApplications[Cluster ROKS cible],$F1064,TblApplications[Action],"À migrer",TblApplications[Déjà incluse ROKS],"Non",TblApplications[Mois prov (calc)],"&lt;="&amp;$E1064),SUMIFS(TblApplications[CPU IKS libérable (vCPU)],TblApplications[Cluster IKS source],$F1064,TblApplications[Mois lib (calc)],"&lt;="&amp;$E1064)))</f>
        <v/>
      </c>
      <c r="Q1064" s="19" t="str">
        <f>IF($D1064&lt;&gt;1,"",IF($G1064="ROKS",SUMIFS(TblApplications[Besoin ROKS RAM (Go)],TblApplications[Cluster ROKS cible],$F1064,TblApplications[Action],"À migrer",TblApplications[Déjà incluse ROKS],"Non",TblApplications[Mois prov (calc)],"&lt;="&amp;$E1064),SUMIFS(TblApplications[RAM IKS libérable (Go)],TblApplications[Cluster IKS source],$F1064,TblApplications[Mois lib (calc)],"&lt;="&amp;$E1064)))</f>
        <v/>
      </c>
      <c r="R1064" s="19" t="str">
        <f t="shared" si="275"/>
        <v/>
      </c>
      <c r="S1064" s="19" t="str">
        <f t="shared" si="276"/>
        <v/>
      </c>
      <c r="T1064" s="19" t="str">
        <f t="shared" si="277"/>
        <v/>
      </c>
      <c r="U1064" s="19" t="str">
        <f t="shared" si="278"/>
        <v/>
      </c>
      <c r="V1064" s="19" t="str">
        <f t="shared" si="279"/>
        <v/>
      </c>
      <c r="W1064" s="73" t="str">
        <f t="shared" si="280"/>
        <v/>
      </c>
      <c r="X1064" s="19" t="str">
        <f>IF($D1064&lt;&gt;1,"",IF($G1064="ROKS",$R1064,IF($AI1064=1,0,MAX($N1064,$L1064-SUMIFS(TblApplications[CPU IKS libérable (vCPU)],TblApplications[Cluster IKS source],$F1064,TblApplications[Action],"À migrer",TblApplications[Mois prov (calc)],"&lt;="&amp;$E1064)-SUMIFS(TblApplications[CPU IKS libérable (vCPU)],TblApplications[Cluster IKS source],$F1064,TblApplications[Action],"À décommissionner",TblApplications[Mois lib (calc)],"&lt;="&amp;$E1064)))))</f>
        <v/>
      </c>
      <c r="Y1064" s="19" t="str">
        <f>IF($D1064&lt;&gt;1,"",IF($G1064="ROKS",$S1064,IF($AI1064=1,0,MAX($O1064,$M1064-SUMIFS(TblApplications[RAM IKS libérable (Go)],TblApplications[Cluster IKS source],$F1064,TblApplications[Action],"À migrer",TblApplications[Mois prov (calc)],"&lt;="&amp;$E1064)-SUMIFS(TblApplications[RAM IKS libérable (Go)],TblApplications[Cluster IKS source],$F1064,TblApplications[Action],"À décommissionner",TblApplications[Mois lib (calc)],"&lt;="&amp;$E1064)))))</f>
        <v/>
      </c>
      <c r="Z1064" s="19" t="str">
        <f t="shared" si="281"/>
        <v/>
      </c>
      <c r="AA1064" s="73" t="str">
        <f t="shared" si="282"/>
        <v/>
      </c>
      <c r="AB1064" s="19" t="str">
        <f t="shared" si="283"/>
        <v/>
      </c>
      <c r="AC1064" s="73" t="str">
        <f t="shared" si="284"/>
        <v/>
      </c>
      <c r="AD1064" s="19" t="str">
        <f t="shared" si="285"/>
        <v/>
      </c>
      <c r="AE1064" s="19" t="str">
        <f t="shared" si="286"/>
        <v/>
      </c>
      <c r="AF1064" s="19" t="str">
        <f>IF($D1064&lt;&gt;1,"",IF(INDEX(TblClusters[Environnement],$B1064)="","(vide)",INDEX(TblClusters[Environnement],$B1064)))</f>
        <v/>
      </c>
      <c r="AG1064" s="19" t="str">
        <f t="shared" si="287"/>
        <v/>
      </c>
      <c r="AH1064" s="19" t="str">
        <f t="shared" si="288"/>
        <v/>
      </c>
      <c r="AI1064" s="19" t="str">
        <f>IF($D1064&lt;&gt;1,"",IF(AND($G1064="IKS",ISNUMBER(INDEX(TblClusters[Fermeture retenue],$B1064))),IF($E1064&gt;=INDEX(TblClusters[Fermeture retenue],$B1064),1,0),0))</f>
        <v/>
      </c>
    </row>
    <row r="1065" spans="1:35" x14ac:dyDescent="0.2">
      <c r="A1065" s="19">
        <v>1060</v>
      </c>
      <c r="B1065" s="19">
        <f t="shared" si="272"/>
        <v>30</v>
      </c>
      <c r="C1065" s="19">
        <f t="shared" si="273"/>
        <v>16</v>
      </c>
      <c r="D1065" s="19">
        <f>IF($C1065&gt;p_horizon,0,IFERROR(IF(AND(INDEX(TblClusters[Cluster],$B1065)&lt;&gt;"",ISNUMBER(INDEX(TblClusters[CPU initial (vCPU)],$B1065)),ISNUMBER(INDEX(TblClusters[CPU min (vCPU)],$B1065)),OR(INDEX(TblClusters[Plateforme],$B1065)="IKS",INDEX(TblClusters[Plateforme],$B1065)="ROKS")),1,0),0))</f>
        <v>0</v>
      </c>
      <c r="E1065" s="72" t="str">
        <f t="shared" si="274"/>
        <v/>
      </c>
      <c r="F1065" s="19" t="str">
        <f>IF($D1065=1,INDEX(TblClusters[Cluster],$B1065),"")</f>
        <v/>
      </c>
      <c r="G1065" s="19" t="str">
        <f>IF($D1065=1,INDEX(TblClusters[Plateforme],$B1065),"")</f>
        <v/>
      </c>
      <c r="H1065" s="19" t="str">
        <f>IF($D1065=1,INDEX(TblClusters[vCPU par nœud],$B1065),"")</f>
        <v/>
      </c>
      <c r="I1065" s="19" t="str">
        <f>IF($D1065=1,INDEX(TblClusters[RAM par nœud (Go)],$B1065),"")</f>
        <v/>
      </c>
      <c r="J1065" s="19" t="str">
        <f>IF($D1065=1,INDEX(TblClusters[Workers min],$B1065),"")</f>
        <v/>
      </c>
      <c r="K1065" s="73" t="str">
        <f>IF($D1065=1,INDEX(TblClusters[Tarif par nœud],$B1065),"")</f>
        <v/>
      </c>
      <c r="L1065" s="19" t="str">
        <f>IF($D1065=1,INDEX(TblClusters[CPU initial (vCPU)],$B1065),"")</f>
        <v/>
      </c>
      <c r="M1065" s="19" t="str">
        <f>IF($D1065=1,INDEX(TblClusters[RAM initiale (Go)],$B1065),"")</f>
        <v/>
      </c>
      <c r="N1065" s="19" t="str">
        <f>IF($D1065=1,INDEX(TblClusters[CPU min (vCPU)],$B1065),"")</f>
        <v/>
      </c>
      <c r="O1065" s="19" t="str">
        <f>IF($D1065=1,INDEX(TblClusters[RAM min (Go)],$B1065),"")</f>
        <v/>
      </c>
      <c r="P1065" s="19" t="str">
        <f>IF($D1065&lt;&gt;1,"",IF($G1065="ROKS",SUMIFS(TblApplications[Besoin ROKS CPU (vCPU)],TblApplications[Cluster ROKS cible],$F1065,TblApplications[Action],"À migrer",TblApplications[Déjà incluse ROKS],"Non",TblApplications[Mois prov (calc)],"&lt;="&amp;$E1065),SUMIFS(TblApplications[CPU IKS libérable (vCPU)],TblApplications[Cluster IKS source],$F1065,TblApplications[Mois lib (calc)],"&lt;="&amp;$E1065)))</f>
        <v/>
      </c>
      <c r="Q1065" s="19" t="str">
        <f>IF($D1065&lt;&gt;1,"",IF($G1065="ROKS",SUMIFS(TblApplications[Besoin ROKS RAM (Go)],TblApplications[Cluster ROKS cible],$F1065,TblApplications[Action],"À migrer",TblApplications[Déjà incluse ROKS],"Non",TblApplications[Mois prov (calc)],"&lt;="&amp;$E1065),SUMIFS(TblApplications[RAM IKS libérable (Go)],TblApplications[Cluster IKS source],$F1065,TblApplications[Mois lib (calc)],"&lt;="&amp;$E1065)))</f>
        <v/>
      </c>
      <c r="R1065" s="19" t="str">
        <f t="shared" si="275"/>
        <v/>
      </c>
      <c r="S1065" s="19" t="str">
        <f t="shared" si="276"/>
        <v/>
      </c>
      <c r="T1065" s="19" t="str">
        <f t="shared" si="277"/>
        <v/>
      </c>
      <c r="U1065" s="19" t="str">
        <f t="shared" si="278"/>
        <v/>
      </c>
      <c r="V1065" s="19" t="str">
        <f t="shared" si="279"/>
        <v/>
      </c>
      <c r="W1065" s="73" t="str">
        <f t="shared" si="280"/>
        <v/>
      </c>
      <c r="X1065" s="19" t="str">
        <f>IF($D1065&lt;&gt;1,"",IF($G1065="ROKS",$R1065,IF($AI1065=1,0,MAX($N1065,$L1065-SUMIFS(TblApplications[CPU IKS libérable (vCPU)],TblApplications[Cluster IKS source],$F1065,TblApplications[Action],"À migrer",TblApplications[Mois prov (calc)],"&lt;="&amp;$E1065)-SUMIFS(TblApplications[CPU IKS libérable (vCPU)],TblApplications[Cluster IKS source],$F1065,TblApplications[Action],"À décommissionner",TblApplications[Mois lib (calc)],"&lt;="&amp;$E1065)))))</f>
        <v/>
      </c>
      <c r="Y1065" s="19" t="str">
        <f>IF($D1065&lt;&gt;1,"",IF($G1065="ROKS",$S1065,IF($AI1065=1,0,MAX($O1065,$M1065-SUMIFS(TblApplications[RAM IKS libérable (Go)],TblApplications[Cluster IKS source],$F1065,TblApplications[Action],"À migrer",TblApplications[Mois prov (calc)],"&lt;="&amp;$E1065)-SUMIFS(TblApplications[RAM IKS libérable (Go)],TblApplications[Cluster IKS source],$F1065,TblApplications[Action],"À décommissionner",TblApplications[Mois lib (calc)],"&lt;="&amp;$E1065)))))</f>
        <v/>
      </c>
      <c r="Z1065" s="19" t="str">
        <f t="shared" si="281"/>
        <v/>
      </c>
      <c r="AA1065" s="73" t="str">
        <f t="shared" si="282"/>
        <v/>
      </c>
      <c r="AB1065" s="19" t="str">
        <f t="shared" si="283"/>
        <v/>
      </c>
      <c r="AC1065" s="73" t="str">
        <f t="shared" si="284"/>
        <v/>
      </c>
      <c r="AD1065" s="19" t="str">
        <f t="shared" si="285"/>
        <v/>
      </c>
      <c r="AE1065" s="19" t="str">
        <f t="shared" si="286"/>
        <v/>
      </c>
      <c r="AF1065" s="19" t="str">
        <f>IF($D1065&lt;&gt;1,"",IF(INDEX(TblClusters[Environnement],$B1065)="","(vide)",INDEX(TblClusters[Environnement],$B1065)))</f>
        <v/>
      </c>
      <c r="AG1065" s="19" t="str">
        <f t="shared" si="287"/>
        <v/>
      </c>
      <c r="AH1065" s="19" t="str">
        <f t="shared" si="288"/>
        <v/>
      </c>
      <c r="AI1065" s="19" t="str">
        <f>IF($D1065&lt;&gt;1,"",IF(AND($G1065="IKS",ISNUMBER(INDEX(TblClusters[Fermeture retenue],$B1065))),IF($E1065&gt;=INDEX(TblClusters[Fermeture retenue],$B1065),1,0),0))</f>
        <v/>
      </c>
    </row>
    <row r="1066" spans="1:35" x14ac:dyDescent="0.2">
      <c r="A1066" s="19">
        <v>1061</v>
      </c>
      <c r="B1066" s="19">
        <f t="shared" si="272"/>
        <v>30</v>
      </c>
      <c r="C1066" s="19">
        <f t="shared" si="273"/>
        <v>17</v>
      </c>
      <c r="D1066" s="19">
        <f>IF($C1066&gt;p_horizon,0,IFERROR(IF(AND(INDEX(TblClusters[Cluster],$B1066)&lt;&gt;"",ISNUMBER(INDEX(TblClusters[CPU initial (vCPU)],$B1066)),ISNUMBER(INDEX(TblClusters[CPU min (vCPU)],$B1066)),OR(INDEX(TblClusters[Plateforme],$B1066)="IKS",INDEX(TblClusters[Plateforme],$B1066)="ROKS")),1,0),0))</f>
        <v>0</v>
      </c>
      <c r="E1066" s="72" t="str">
        <f t="shared" si="274"/>
        <v/>
      </c>
      <c r="F1066" s="19" t="str">
        <f>IF($D1066=1,INDEX(TblClusters[Cluster],$B1066),"")</f>
        <v/>
      </c>
      <c r="G1066" s="19" t="str">
        <f>IF($D1066=1,INDEX(TblClusters[Plateforme],$B1066),"")</f>
        <v/>
      </c>
      <c r="H1066" s="19" t="str">
        <f>IF($D1066=1,INDEX(TblClusters[vCPU par nœud],$B1066),"")</f>
        <v/>
      </c>
      <c r="I1066" s="19" t="str">
        <f>IF($D1066=1,INDEX(TblClusters[RAM par nœud (Go)],$B1066),"")</f>
        <v/>
      </c>
      <c r="J1066" s="19" t="str">
        <f>IF($D1066=1,INDEX(TblClusters[Workers min],$B1066),"")</f>
        <v/>
      </c>
      <c r="K1066" s="73" t="str">
        <f>IF($D1066=1,INDEX(TblClusters[Tarif par nœud],$B1066),"")</f>
        <v/>
      </c>
      <c r="L1066" s="19" t="str">
        <f>IF($D1066=1,INDEX(TblClusters[CPU initial (vCPU)],$B1066),"")</f>
        <v/>
      </c>
      <c r="M1066" s="19" t="str">
        <f>IF($D1066=1,INDEX(TblClusters[RAM initiale (Go)],$B1066),"")</f>
        <v/>
      </c>
      <c r="N1066" s="19" t="str">
        <f>IF($D1066=1,INDEX(TblClusters[CPU min (vCPU)],$B1066),"")</f>
        <v/>
      </c>
      <c r="O1066" s="19" t="str">
        <f>IF($D1066=1,INDEX(TblClusters[RAM min (Go)],$B1066),"")</f>
        <v/>
      </c>
      <c r="P1066" s="19" t="str">
        <f>IF($D1066&lt;&gt;1,"",IF($G1066="ROKS",SUMIFS(TblApplications[Besoin ROKS CPU (vCPU)],TblApplications[Cluster ROKS cible],$F1066,TblApplications[Action],"À migrer",TblApplications[Déjà incluse ROKS],"Non",TblApplications[Mois prov (calc)],"&lt;="&amp;$E1066),SUMIFS(TblApplications[CPU IKS libérable (vCPU)],TblApplications[Cluster IKS source],$F1066,TblApplications[Mois lib (calc)],"&lt;="&amp;$E1066)))</f>
        <v/>
      </c>
      <c r="Q1066" s="19" t="str">
        <f>IF($D1066&lt;&gt;1,"",IF($G1066="ROKS",SUMIFS(TblApplications[Besoin ROKS RAM (Go)],TblApplications[Cluster ROKS cible],$F1066,TblApplications[Action],"À migrer",TblApplications[Déjà incluse ROKS],"Non",TblApplications[Mois prov (calc)],"&lt;="&amp;$E1066),SUMIFS(TblApplications[RAM IKS libérable (Go)],TblApplications[Cluster IKS source],$F1066,TblApplications[Mois lib (calc)],"&lt;="&amp;$E1066)))</f>
        <v/>
      </c>
      <c r="R1066" s="19" t="str">
        <f t="shared" si="275"/>
        <v/>
      </c>
      <c r="S1066" s="19" t="str">
        <f t="shared" si="276"/>
        <v/>
      </c>
      <c r="T1066" s="19" t="str">
        <f t="shared" si="277"/>
        <v/>
      </c>
      <c r="U1066" s="19" t="str">
        <f t="shared" si="278"/>
        <v/>
      </c>
      <c r="V1066" s="19" t="str">
        <f t="shared" si="279"/>
        <v/>
      </c>
      <c r="W1066" s="73" t="str">
        <f t="shared" si="280"/>
        <v/>
      </c>
      <c r="X1066" s="19" t="str">
        <f>IF($D1066&lt;&gt;1,"",IF($G1066="ROKS",$R1066,IF($AI1066=1,0,MAX($N1066,$L1066-SUMIFS(TblApplications[CPU IKS libérable (vCPU)],TblApplications[Cluster IKS source],$F1066,TblApplications[Action],"À migrer",TblApplications[Mois prov (calc)],"&lt;="&amp;$E1066)-SUMIFS(TblApplications[CPU IKS libérable (vCPU)],TblApplications[Cluster IKS source],$F1066,TblApplications[Action],"À décommissionner",TblApplications[Mois lib (calc)],"&lt;="&amp;$E1066)))))</f>
        <v/>
      </c>
      <c r="Y1066" s="19" t="str">
        <f>IF($D1066&lt;&gt;1,"",IF($G1066="ROKS",$S1066,IF($AI1066=1,0,MAX($O1066,$M1066-SUMIFS(TblApplications[RAM IKS libérable (Go)],TblApplications[Cluster IKS source],$F1066,TblApplications[Action],"À migrer",TblApplications[Mois prov (calc)],"&lt;="&amp;$E1066)-SUMIFS(TblApplications[RAM IKS libérable (Go)],TblApplications[Cluster IKS source],$F1066,TblApplications[Action],"À décommissionner",TblApplications[Mois lib (calc)],"&lt;="&amp;$E1066)))))</f>
        <v/>
      </c>
      <c r="Z1066" s="19" t="str">
        <f t="shared" si="281"/>
        <v/>
      </c>
      <c r="AA1066" s="73" t="str">
        <f t="shared" si="282"/>
        <v/>
      </c>
      <c r="AB1066" s="19" t="str">
        <f t="shared" si="283"/>
        <v/>
      </c>
      <c r="AC1066" s="73" t="str">
        <f t="shared" si="284"/>
        <v/>
      </c>
      <c r="AD1066" s="19" t="str">
        <f t="shared" si="285"/>
        <v/>
      </c>
      <c r="AE1066" s="19" t="str">
        <f t="shared" si="286"/>
        <v/>
      </c>
      <c r="AF1066" s="19" t="str">
        <f>IF($D1066&lt;&gt;1,"",IF(INDEX(TblClusters[Environnement],$B1066)="","(vide)",INDEX(TblClusters[Environnement],$B1066)))</f>
        <v/>
      </c>
      <c r="AG1066" s="19" t="str">
        <f t="shared" si="287"/>
        <v/>
      </c>
      <c r="AH1066" s="19" t="str">
        <f t="shared" si="288"/>
        <v/>
      </c>
      <c r="AI1066" s="19" t="str">
        <f>IF($D1066&lt;&gt;1,"",IF(AND($G1066="IKS",ISNUMBER(INDEX(TblClusters[Fermeture retenue],$B1066))),IF($E1066&gt;=INDEX(TblClusters[Fermeture retenue],$B1066),1,0),0))</f>
        <v/>
      </c>
    </row>
    <row r="1067" spans="1:35" x14ac:dyDescent="0.2">
      <c r="A1067" s="19">
        <v>1062</v>
      </c>
      <c r="B1067" s="19">
        <f t="shared" si="272"/>
        <v>30</v>
      </c>
      <c r="C1067" s="19">
        <f t="shared" si="273"/>
        <v>18</v>
      </c>
      <c r="D1067" s="19">
        <f>IF($C1067&gt;p_horizon,0,IFERROR(IF(AND(INDEX(TblClusters[Cluster],$B1067)&lt;&gt;"",ISNUMBER(INDEX(TblClusters[CPU initial (vCPU)],$B1067)),ISNUMBER(INDEX(TblClusters[CPU min (vCPU)],$B1067)),OR(INDEX(TblClusters[Plateforme],$B1067)="IKS",INDEX(TblClusters[Plateforme],$B1067)="ROKS")),1,0),0))</f>
        <v>0</v>
      </c>
      <c r="E1067" s="72" t="str">
        <f t="shared" si="274"/>
        <v/>
      </c>
      <c r="F1067" s="19" t="str">
        <f>IF($D1067=1,INDEX(TblClusters[Cluster],$B1067),"")</f>
        <v/>
      </c>
      <c r="G1067" s="19" t="str">
        <f>IF($D1067=1,INDEX(TblClusters[Plateforme],$B1067),"")</f>
        <v/>
      </c>
      <c r="H1067" s="19" t="str">
        <f>IF($D1067=1,INDEX(TblClusters[vCPU par nœud],$B1067),"")</f>
        <v/>
      </c>
      <c r="I1067" s="19" t="str">
        <f>IF($D1067=1,INDEX(TblClusters[RAM par nœud (Go)],$B1067),"")</f>
        <v/>
      </c>
      <c r="J1067" s="19" t="str">
        <f>IF($D1067=1,INDEX(TblClusters[Workers min],$B1067),"")</f>
        <v/>
      </c>
      <c r="K1067" s="73" t="str">
        <f>IF($D1067=1,INDEX(TblClusters[Tarif par nœud],$B1067),"")</f>
        <v/>
      </c>
      <c r="L1067" s="19" t="str">
        <f>IF($D1067=1,INDEX(TblClusters[CPU initial (vCPU)],$B1067),"")</f>
        <v/>
      </c>
      <c r="M1067" s="19" t="str">
        <f>IF($D1067=1,INDEX(TblClusters[RAM initiale (Go)],$B1067),"")</f>
        <v/>
      </c>
      <c r="N1067" s="19" t="str">
        <f>IF($D1067=1,INDEX(TblClusters[CPU min (vCPU)],$B1067),"")</f>
        <v/>
      </c>
      <c r="O1067" s="19" t="str">
        <f>IF($D1067=1,INDEX(TblClusters[RAM min (Go)],$B1067),"")</f>
        <v/>
      </c>
      <c r="P1067" s="19" t="str">
        <f>IF($D1067&lt;&gt;1,"",IF($G1067="ROKS",SUMIFS(TblApplications[Besoin ROKS CPU (vCPU)],TblApplications[Cluster ROKS cible],$F1067,TblApplications[Action],"À migrer",TblApplications[Déjà incluse ROKS],"Non",TblApplications[Mois prov (calc)],"&lt;="&amp;$E1067),SUMIFS(TblApplications[CPU IKS libérable (vCPU)],TblApplications[Cluster IKS source],$F1067,TblApplications[Mois lib (calc)],"&lt;="&amp;$E1067)))</f>
        <v/>
      </c>
      <c r="Q1067" s="19" t="str">
        <f>IF($D1067&lt;&gt;1,"",IF($G1067="ROKS",SUMIFS(TblApplications[Besoin ROKS RAM (Go)],TblApplications[Cluster ROKS cible],$F1067,TblApplications[Action],"À migrer",TblApplications[Déjà incluse ROKS],"Non",TblApplications[Mois prov (calc)],"&lt;="&amp;$E1067),SUMIFS(TblApplications[RAM IKS libérable (Go)],TblApplications[Cluster IKS source],$F1067,TblApplications[Mois lib (calc)],"&lt;="&amp;$E1067)))</f>
        <v/>
      </c>
      <c r="R1067" s="19" t="str">
        <f t="shared" si="275"/>
        <v/>
      </c>
      <c r="S1067" s="19" t="str">
        <f t="shared" si="276"/>
        <v/>
      </c>
      <c r="T1067" s="19" t="str">
        <f t="shared" si="277"/>
        <v/>
      </c>
      <c r="U1067" s="19" t="str">
        <f t="shared" si="278"/>
        <v/>
      </c>
      <c r="V1067" s="19" t="str">
        <f t="shared" si="279"/>
        <v/>
      </c>
      <c r="W1067" s="73" t="str">
        <f t="shared" si="280"/>
        <v/>
      </c>
      <c r="X1067" s="19" t="str">
        <f>IF($D1067&lt;&gt;1,"",IF($G1067="ROKS",$R1067,IF($AI1067=1,0,MAX($N1067,$L1067-SUMIFS(TblApplications[CPU IKS libérable (vCPU)],TblApplications[Cluster IKS source],$F1067,TblApplications[Action],"À migrer",TblApplications[Mois prov (calc)],"&lt;="&amp;$E1067)-SUMIFS(TblApplications[CPU IKS libérable (vCPU)],TblApplications[Cluster IKS source],$F1067,TblApplications[Action],"À décommissionner",TblApplications[Mois lib (calc)],"&lt;="&amp;$E1067)))))</f>
        <v/>
      </c>
      <c r="Y1067" s="19" t="str">
        <f>IF($D1067&lt;&gt;1,"",IF($G1067="ROKS",$S1067,IF($AI1067=1,0,MAX($O1067,$M1067-SUMIFS(TblApplications[RAM IKS libérable (Go)],TblApplications[Cluster IKS source],$F1067,TblApplications[Action],"À migrer",TblApplications[Mois prov (calc)],"&lt;="&amp;$E1067)-SUMIFS(TblApplications[RAM IKS libérable (Go)],TblApplications[Cluster IKS source],$F1067,TblApplications[Action],"À décommissionner",TblApplications[Mois lib (calc)],"&lt;="&amp;$E1067)))))</f>
        <v/>
      </c>
      <c r="Z1067" s="19" t="str">
        <f t="shared" si="281"/>
        <v/>
      </c>
      <c r="AA1067" s="73" t="str">
        <f t="shared" si="282"/>
        <v/>
      </c>
      <c r="AB1067" s="19" t="str">
        <f t="shared" si="283"/>
        <v/>
      </c>
      <c r="AC1067" s="73" t="str">
        <f t="shared" si="284"/>
        <v/>
      </c>
      <c r="AD1067" s="19" t="str">
        <f t="shared" si="285"/>
        <v/>
      </c>
      <c r="AE1067" s="19" t="str">
        <f t="shared" si="286"/>
        <v/>
      </c>
      <c r="AF1067" s="19" t="str">
        <f>IF($D1067&lt;&gt;1,"",IF(INDEX(TblClusters[Environnement],$B1067)="","(vide)",INDEX(TblClusters[Environnement],$B1067)))</f>
        <v/>
      </c>
      <c r="AG1067" s="19" t="str">
        <f t="shared" si="287"/>
        <v/>
      </c>
      <c r="AH1067" s="19" t="str">
        <f t="shared" si="288"/>
        <v/>
      </c>
      <c r="AI1067" s="19" t="str">
        <f>IF($D1067&lt;&gt;1,"",IF(AND($G1067="IKS",ISNUMBER(INDEX(TblClusters[Fermeture retenue],$B1067))),IF($E1067&gt;=INDEX(TblClusters[Fermeture retenue],$B1067),1,0),0))</f>
        <v/>
      </c>
    </row>
    <row r="1068" spans="1:35" x14ac:dyDescent="0.2">
      <c r="A1068" s="19">
        <v>1063</v>
      </c>
      <c r="B1068" s="19">
        <f t="shared" si="272"/>
        <v>30</v>
      </c>
      <c r="C1068" s="19">
        <f t="shared" si="273"/>
        <v>19</v>
      </c>
      <c r="D1068" s="19">
        <f>IF($C1068&gt;p_horizon,0,IFERROR(IF(AND(INDEX(TblClusters[Cluster],$B1068)&lt;&gt;"",ISNUMBER(INDEX(TblClusters[CPU initial (vCPU)],$B1068)),ISNUMBER(INDEX(TblClusters[CPU min (vCPU)],$B1068)),OR(INDEX(TblClusters[Plateforme],$B1068)="IKS",INDEX(TblClusters[Plateforme],$B1068)="ROKS")),1,0),0))</f>
        <v>0</v>
      </c>
      <c r="E1068" s="72" t="str">
        <f t="shared" si="274"/>
        <v/>
      </c>
      <c r="F1068" s="19" t="str">
        <f>IF($D1068=1,INDEX(TblClusters[Cluster],$B1068),"")</f>
        <v/>
      </c>
      <c r="G1068" s="19" t="str">
        <f>IF($D1068=1,INDEX(TblClusters[Plateforme],$B1068),"")</f>
        <v/>
      </c>
      <c r="H1068" s="19" t="str">
        <f>IF($D1068=1,INDEX(TblClusters[vCPU par nœud],$B1068),"")</f>
        <v/>
      </c>
      <c r="I1068" s="19" t="str">
        <f>IF($D1068=1,INDEX(TblClusters[RAM par nœud (Go)],$B1068),"")</f>
        <v/>
      </c>
      <c r="J1068" s="19" t="str">
        <f>IF($D1068=1,INDEX(TblClusters[Workers min],$B1068),"")</f>
        <v/>
      </c>
      <c r="K1068" s="73" t="str">
        <f>IF($D1068=1,INDEX(TblClusters[Tarif par nœud],$B1068),"")</f>
        <v/>
      </c>
      <c r="L1068" s="19" t="str">
        <f>IF($D1068=1,INDEX(TblClusters[CPU initial (vCPU)],$B1068),"")</f>
        <v/>
      </c>
      <c r="M1068" s="19" t="str">
        <f>IF($D1068=1,INDEX(TblClusters[RAM initiale (Go)],$B1068),"")</f>
        <v/>
      </c>
      <c r="N1068" s="19" t="str">
        <f>IF($D1068=1,INDEX(TblClusters[CPU min (vCPU)],$B1068),"")</f>
        <v/>
      </c>
      <c r="O1068" s="19" t="str">
        <f>IF($D1068=1,INDEX(TblClusters[RAM min (Go)],$B1068),"")</f>
        <v/>
      </c>
      <c r="P1068" s="19" t="str">
        <f>IF($D1068&lt;&gt;1,"",IF($G1068="ROKS",SUMIFS(TblApplications[Besoin ROKS CPU (vCPU)],TblApplications[Cluster ROKS cible],$F1068,TblApplications[Action],"À migrer",TblApplications[Déjà incluse ROKS],"Non",TblApplications[Mois prov (calc)],"&lt;="&amp;$E1068),SUMIFS(TblApplications[CPU IKS libérable (vCPU)],TblApplications[Cluster IKS source],$F1068,TblApplications[Mois lib (calc)],"&lt;="&amp;$E1068)))</f>
        <v/>
      </c>
      <c r="Q1068" s="19" t="str">
        <f>IF($D1068&lt;&gt;1,"",IF($G1068="ROKS",SUMIFS(TblApplications[Besoin ROKS RAM (Go)],TblApplications[Cluster ROKS cible],$F1068,TblApplications[Action],"À migrer",TblApplications[Déjà incluse ROKS],"Non",TblApplications[Mois prov (calc)],"&lt;="&amp;$E1068),SUMIFS(TblApplications[RAM IKS libérable (Go)],TblApplications[Cluster IKS source],$F1068,TblApplications[Mois lib (calc)],"&lt;="&amp;$E1068)))</f>
        <v/>
      </c>
      <c r="R1068" s="19" t="str">
        <f t="shared" si="275"/>
        <v/>
      </c>
      <c r="S1068" s="19" t="str">
        <f t="shared" si="276"/>
        <v/>
      </c>
      <c r="T1068" s="19" t="str">
        <f t="shared" si="277"/>
        <v/>
      </c>
      <c r="U1068" s="19" t="str">
        <f t="shared" si="278"/>
        <v/>
      </c>
      <c r="V1068" s="19" t="str">
        <f t="shared" si="279"/>
        <v/>
      </c>
      <c r="W1068" s="73" t="str">
        <f t="shared" si="280"/>
        <v/>
      </c>
      <c r="X1068" s="19" t="str">
        <f>IF($D1068&lt;&gt;1,"",IF($G1068="ROKS",$R1068,IF($AI1068=1,0,MAX($N1068,$L1068-SUMIFS(TblApplications[CPU IKS libérable (vCPU)],TblApplications[Cluster IKS source],$F1068,TblApplications[Action],"À migrer",TblApplications[Mois prov (calc)],"&lt;="&amp;$E1068)-SUMIFS(TblApplications[CPU IKS libérable (vCPU)],TblApplications[Cluster IKS source],$F1068,TblApplications[Action],"À décommissionner",TblApplications[Mois lib (calc)],"&lt;="&amp;$E1068)))))</f>
        <v/>
      </c>
      <c r="Y1068" s="19" t="str">
        <f>IF($D1068&lt;&gt;1,"",IF($G1068="ROKS",$S1068,IF($AI1068=1,0,MAX($O1068,$M1068-SUMIFS(TblApplications[RAM IKS libérable (Go)],TblApplications[Cluster IKS source],$F1068,TblApplications[Action],"À migrer",TblApplications[Mois prov (calc)],"&lt;="&amp;$E1068)-SUMIFS(TblApplications[RAM IKS libérable (Go)],TblApplications[Cluster IKS source],$F1068,TblApplications[Action],"À décommissionner",TblApplications[Mois lib (calc)],"&lt;="&amp;$E1068)))))</f>
        <v/>
      </c>
      <c r="Z1068" s="19" t="str">
        <f t="shared" si="281"/>
        <v/>
      </c>
      <c r="AA1068" s="73" t="str">
        <f t="shared" si="282"/>
        <v/>
      </c>
      <c r="AB1068" s="19" t="str">
        <f t="shared" si="283"/>
        <v/>
      </c>
      <c r="AC1068" s="73" t="str">
        <f t="shared" si="284"/>
        <v/>
      </c>
      <c r="AD1068" s="19" t="str">
        <f t="shared" si="285"/>
        <v/>
      </c>
      <c r="AE1068" s="19" t="str">
        <f t="shared" si="286"/>
        <v/>
      </c>
      <c r="AF1068" s="19" t="str">
        <f>IF($D1068&lt;&gt;1,"",IF(INDEX(TblClusters[Environnement],$B1068)="","(vide)",INDEX(TblClusters[Environnement],$B1068)))</f>
        <v/>
      </c>
      <c r="AG1068" s="19" t="str">
        <f t="shared" si="287"/>
        <v/>
      </c>
      <c r="AH1068" s="19" t="str">
        <f t="shared" si="288"/>
        <v/>
      </c>
      <c r="AI1068" s="19" t="str">
        <f>IF($D1068&lt;&gt;1,"",IF(AND($G1068="IKS",ISNUMBER(INDEX(TblClusters[Fermeture retenue],$B1068))),IF($E1068&gt;=INDEX(TblClusters[Fermeture retenue],$B1068),1,0),0))</f>
        <v/>
      </c>
    </row>
    <row r="1069" spans="1:35" x14ac:dyDescent="0.2">
      <c r="A1069" s="19">
        <v>1064</v>
      </c>
      <c r="B1069" s="19">
        <f t="shared" si="272"/>
        <v>30</v>
      </c>
      <c r="C1069" s="19">
        <f t="shared" si="273"/>
        <v>20</v>
      </c>
      <c r="D1069" s="19">
        <f>IF($C1069&gt;p_horizon,0,IFERROR(IF(AND(INDEX(TblClusters[Cluster],$B1069)&lt;&gt;"",ISNUMBER(INDEX(TblClusters[CPU initial (vCPU)],$B1069)),ISNUMBER(INDEX(TblClusters[CPU min (vCPU)],$B1069)),OR(INDEX(TblClusters[Plateforme],$B1069)="IKS",INDEX(TblClusters[Plateforme],$B1069)="ROKS")),1,0),0))</f>
        <v>0</v>
      </c>
      <c r="E1069" s="72" t="str">
        <f t="shared" si="274"/>
        <v/>
      </c>
      <c r="F1069" s="19" t="str">
        <f>IF($D1069=1,INDEX(TblClusters[Cluster],$B1069),"")</f>
        <v/>
      </c>
      <c r="G1069" s="19" t="str">
        <f>IF($D1069=1,INDEX(TblClusters[Plateforme],$B1069),"")</f>
        <v/>
      </c>
      <c r="H1069" s="19" t="str">
        <f>IF($D1069=1,INDEX(TblClusters[vCPU par nœud],$B1069),"")</f>
        <v/>
      </c>
      <c r="I1069" s="19" t="str">
        <f>IF($D1069=1,INDEX(TblClusters[RAM par nœud (Go)],$B1069),"")</f>
        <v/>
      </c>
      <c r="J1069" s="19" t="str">
        <f>IF($D1069=1,INDEX(TblClusters[Workers min],$B1069),"")</f>
        <v/>
      </c>
      <c r="K1069" s="73" t="str">
        <f>IF($D1069=1,INDEX(TblClusters[Tarif par nœud],$B1069),"")</f>
        <v/>
      </c>
      <c r="L1069" s="19" t="str">
        <f>IF($D1069=1,INDEX(TblClusters[CPU initial (vCPU)],$B1069),"")</f>
        <v/>
      </c>
      <c r="M1069" s="19" t="str">
        <f>IF($D1069=1,INDEX(TblClusters[RAM initiale (Go)],$B1069),"")</f>
        <v/>
      </c>
      <c r="N1069" s="19" t="str">
        <f>IF($D1069=1,INDEX(TblClusters[CPU min (vCPU)],$B1069),"")</f>
        <v/>
      </c>
      <c r="O1069" s="19" t="str">
        <f>IF($D1069=1,INDEX(TblClusters[RAM min (Go)],$B1069),"")</f>
        <v/>
      </c>
      <c r="P1069" s="19" t="str">
        <f>IF($D1069&lt;&gt;1,"",IF($G1069="ROKS",SUMIFS(TblApplications[Besoin ROKS CPU (vCPU)],TblApplications[Cluster ROKS cible],$F1069,TblApplications[Action],"À migrer",TblApplications[Déjà incluse ROKS],"Non",TblApplications[Mois prov (calc)],"&lt;="&amp;$E1069),SUMIFS(TblApplications[CPU IKS libérable (vCPU)],TblApplications[Cluster IKS source],$F1069,TblApplications[Mois lib (calc)],"&lt;="&amp;$E1069)))</f>
        <v/>
      </c>
      <c r="Q1069" s="19" t="str">
        <f>IF($D1069&lt;&gt;1,"",IF($G1069="ROKS",SUMIFS(TblApplications[Besoin ROKS RAM (Go)],TblApplications[Cluster ROKS cible],$F1069,TblApplications[Action],"À migrer",TblApplications[Déjà incluse ROKS],"Non",TblApplications[Mois prov (calc)],"&lt;="&amp;$E1069),SUMIFS(TblApplications[RAM IKS libérable (Go)],TblApplications[Cluster IKS source],$F1069,TblApplications[Mois lib (calc)],"&lt;="&amp;$E1069)))</f>
        <v/>
      </c>
      <c r="R1069" s="19" t="str">
        <f t="shared" si="275"/>
        <v/>
      </c>
      <c r="S1069" s="19" t="str">
        <f t="shared" si="276"/>
        <v/>
      </c>
      <c r="T1069" s="19" t="str">
        <f t="shared" si="277"/>
        <v/>
      </c>
      <c r="U1069" s="19" t="str">
        <f t="shared" si="278"/>
        <v/>
      </c>
      <c r="V1069" s="19" t="str">
        <f t="shared" si="279"/>
        <v/>
      </c>
      <c r="W1069" s="73" t="str">
        <f t="shared" si="280"/>
        <v/>
      </c>
      <c r="X1069" s="19" t="str">
        <f>IF($D1069&lt;&gt;1,"",IF($G1069="ROKS",$R1069,IF($AI1069=1,0,MAX($N1069,$L1069-SUMIFS(TblApplications[CPU IKS libérable (vCPU)],TblApplications[Cluster IKS source],$F1069,TblApplications[Action],"À migrer",TblApplications[Mois prov (calc)],"&lt;="&amp;$E1069)-SUMIFS(TblApplications[CPU IKS libérable (vCPU)],TblApplications[Cluster IKS source],$F1069,TblApplications[Action],"À décommissionner",TblApplications[Mois lib (calc)],"&lt;="&amp;$E1069)))))</f>
        <v/>
      </c>
      <c r="Y1069" s="19" t="str">
        <f>IF($D1069&lt;&gt;1,"",IF($G1069="ROKS",$S1069,IF($AI1069=1,0,MAX($O1069,$M1069-SUMIFS(TblApplications[RAM IKS libérable (Go)],TblApplications[Cluster IKS source],$F1069,TblApplications[Action],"À migrer",TblApplications[Mois prov (calc)],"&lt;="&amp;$E1069)-SUMIFS(TblApplications[RAM IKS libérable (Go)],TblApplications[Cluster IKS source],$F1069,TblApplications[Action],"À décommissionner",TblApplications[Mois lib (calc)],"&lt;="&amp;$E1069)))))</f>
        <v/>
      </c>
      <c r="Z1069" s="19" t="str">
        <f t="shared" si="281"/>
        <v/>
      </c>
      <c r="AA1069" s="73" t="str">
        <f t="shared" si="282"/>
        <v/>
      </c>
      <c r="AB1069" s="19" t="str">
        <f t="shared" si="283"/>
        <v/>
      </c>
      <c r="AC1069" s="73" t="str">
        <f t="shared" si="284"/>
        <v/>
      </c>
      <c r="AD1069" s="19" t="str">
        <f t="shared" si="285"/>
        <v/>
      </c>
      <c r="AE1069" s="19" t="str">
        <f t="shared" si="286"/>
        <v/>
      </c>
      <c r="AF1069" s="19" t="str">
        <f>IF($D1069&lt;&gt;1,"",IF(INDEX(TblClusters[Environnement],$B1069)="","(vide)",INDEX(TblClusters[Environnement],$B1069)))</f>
        <v/>
      </c>
      <c r="AG1069" s="19" t="str">
        <f t="shared" si="287"/>
        <v/>
      </c>
      <c r="AH1069" s="19" t="str">
        <f t="shared" si="288"/>
        <v/>
      </c>
      <c r="AI1069" s="19" t="str">
        <f>IF($D1069&lt;&gt;1,"",IF(AND($G1069="IKS",ISNUMBER(INDEX(TblClusters[Fermeture retenue],$B1069))),IF($E1069&gt;=INDEX(TblClusters[Fermeture retenue],$B1069),1,0),0))</f>
        <v/>
      </c>
    </row>
    <row r="1070" spans="1:35" x14ac:dyDescent="0.2">
      <c r="A1070" s="19">
        <v>1065</v>
      </c>
      <c r="B1070" s="19">
        <f t="shared" si="272"/>
        <v>30</v>
      </c>
      <c r="C1070" s="19">
        <f t="shared" si="273"/>
        <v>21</v>
      </c>
      <c r="D1070" s="19">
        <f>IF($C1070&gt;p_horizon,0,IFERROR(IF(AND(INDEX(TblClusters[Cluster],$B1070)&lt;&gt;"",ISNUMBER(INDEX(TblClusters[CPU initial (vCPU)],$B1070)),ISNUMBER(INDEX(TblClusters[CPU min (vCPU)],$B1070)),OR(INDEX(TblClusters[Plateforme],$B1070)="IKS",INDEX(TblClusters[Plateforme],$B1070)="ROKS")),1,0),0))</f>
        <v>0</v>
      </c>
      <c r="E1070" s="72" t="str">
        <f t="shared" si="274"/>
        <v/>
      </c>
      <c r="F1070" s="19" t="str">
        <f>IF($D1070=1,INDEX(TblClusters[Cluster],$B1070),"")</f>
        <v/>
      </c>
      <c r="G1070" s="19" t="str">
        <f>IF($D1070=1,INDEX(TblClusters[Plateforme],$B1070),"")</f>
        <v/>
      </c>
      <c r="H1070" s="19" t="str">
        <f>IF($D1070=1,INDEX(TblClusters[vCPU par nœud],$B1070),"")</f>
        <v/>
      </c>
      <c r="I1070" s="19" t="str">
        <f>IF($D1070=1,INDEX(TblClusters[RAM par nœud (Go)],$B1070),"")</f>
        <v/>
      </c>
      <c r="J1070" s="19" t="str">
        <f>IF($D1070=1,INDEX(TblClusters[Workers min],$B1070),"")</f>
        <v/>
      </c>
      <c r="K1070" s="73" t="str">
        <f>IF($D1070=1,INDEX(TblClusters[Tarif par nœud],$B1070),"")</f>
        <v/>
      </c>
      <c r="L1070" s="19" t="str">
        <f>IF($D1070=1,INDEX(TblClusters[CPU initial (vCPU)],$B1070),"")</f>
        <v/>
      </c>
      <c r="M1070" s="19" t="str">
        <f>IF($D1070=1,INDEX(TblClusters[RAM initiale (Go)],$B1070),"")</f>
        <v/>
      </c>
      <c r="N1070" s="19" t="str">
        <f>IF($D1070=1,INDEX(TblClusters[CPU min (vCPU)],$B1070),"")</f>
        <v/>
      </c>
      <c r="O1070" s="19" t="str">
        <f>IF($D1070=1,INDEX(TblClusters[RAM min (Go)],$B1070),"")</f>
        <v/>
      </c>
      <c r="P1070" s="19" t="str">
        <f>IF($D1070&lt;&gt;1,"",IF($G1070="ROKS",SUMIFS(TblApplications[Besoin ROKS CPU (vCPU)],TblApplications[Cluster ROKS cible],$F1070,TblApplications[Action],"À migrer",TblApplications[Déjà incluse ROKS],"Non",TblApplications[Mois prov (calc)],"&lt;="&amp;$E1070),SUMIFS(TblApplications[CPU IKS libérable (vCPU)],TblApplications[Cluster IKS source],$F1070,TblApplications[Mois lib (calc)],"&lt;="&amp;$E1070)))</f>
        <v/>
      </c>
      <c r="Q1070" s="19" t="str">
        <f>IF($D1070&lt;&gt;1,"",IF($G1070="ROKS",SUMIFS(TblApplications[Besoin ROKS RAM (Go)],TblApplications[Cluster ROKS cible],$F1070,TblApplications[Action],"À migrer",TblApplications[Déjà incluse ROKS],"Non",TblApplications[Mois prov (calc)],"&lt;="&amp;$E1070),SUMIFS(TblApplications[RAM IKS libérable (Go)],TblApplications[Cluster IKS source],$F1070,TblApplications[Mois lib (calc)],"&lt;="&amp;$E1070)))</f>
        <v/>
      </c>
      <c r="R1070" s="19" t="str">
        <f t="shared" si="275"/>
        <v/>
      </c>
      <c r="S1070" s="19" t="str">
        <f t="shared" si="276"/>
        <v/>
      </c>
      <c r="T1070" s="19" t="str">
        <f t="shared" si="277"/>
        <v/>
      </c>
      <c r="U1070" s="19" t="str">
        <f t="shared" si="278"/>
        <v/>
      </c>
      <c r="V1070" s="19" t="str">
        <f t="shared" si="279"/>
        <v/>
      </c>
      <c r="W1070" s="73" t="str">
        <f t="shared" si="280"/>
        <v/>
      </c>
      <c r="X1070" s="19" t="str">
        <f>IF($D1070&lt;&gt;1,"",IF($G1070="ROKS",$R1070,IF($AI1070=1,0,MAX($N1070,$L1070-SUMIFS(TblApplications[CPU IKS libérable (vCPU)],TblApplications[Cluster IKS source],$F1070,TblApplications[Action],"À migrer",TblApplications[Mois prov (calc)],"&lt;="&amp;$E1070)-SUMIFS(TblApplications[CPU IKS libérable (vCPU)],TblApplications[Cluster IKS source],$F1070,TblApplications[Action],"À décommissionner",TblApplications[Mois lib (calc)],"&lt;="&amp;$E1070)))))</f>
        <v/>
      </c>
      <c r="Y1070" s="19" t="str">
        <f>IF($D1070&lt;&gt;1,"",IF($G1070="ROKS",$S1070,IF($AI1070=1,0,MAX($O1070,$M1070-SUMIFS(TblApplications[RAM IKS libérable (Go)],TblApplications[Cluster IKS source],$F1070,TblApplications[Action],"À migrer",TblApplications[Mois prov (calc)],"&lt;="&amp;$E1070)-SUMIFS(TblApplications[RAM IKS libérable (Go)],TblApplications[Cluster IKS source],$F1070,TblApplications[Action],"À décommissionner",TblApplications[Mois lib (calc)],"&lt;="&amp;$E1070)))))</f>
        <v/>
      </c>
      <c r="Z1070" s="19" t="str">
        <f t="shared" si="281"/>
        <v/>
      </c>
      <c r="AA1070" s="73" t="str">
        <f t="shared" si="282"/>
        <v/>
      </c>
      <c r="AB1070" s="19" t="str">
        <f t="shared" si="283"/>
        <v/>
      </c>
      <c r="AC1070" s="73" t="str">
        <f t="shared" si="284"/>
        <v/>
      </c>
      <c r="AD1070" s="19" t="str">
        <f t="shared" si="285"/>
        <v/>
      </c>
      <c r="AE1070" s="19" t="str">
        <f t="shared" si="286"/>
        <v/>
      </c>
      <c r="AF1070" s="19" t="str">
        <f>IF($D1070&lt;&gt;1,"",IF(INDEX(TblClusters[Environnement],$B1070)="","(vide)",INDEX(TblClusters[Environnement],$B1070)))</f>
        <v/>
      </c>
      <c r="AG1070" s="19" t="str">
        <f t="shared" si="287"/>
        <v/>
      </c>
      <c r="AH1070" s="19" t="str">
        <f t="shared" si="288"/>
        <v/>
      </c>
      <c r="AI1070" s="19" t="str">
        <f>IF($D1070&lt;&gt;1,"",IF(AND($G1070="IKS",ISNUMBER(INDEX(TblClusters[Fermeture retenue],$B1070))),IF($E1070&gt;=INDEX(TblClusters[Fermeture retenue],$B1070),1,0),0))</f>
        <v/>
      </c>
    </row>
    <row r="1071" spans="1:35" x14ac:dyDescent="0.2">
      <c r="A1071" s="19">
        <v>1066</v>
      </c>
      <c r="B1071" s="19">
        <f t="shared" si="272"/>
        <v>30</v>
      </c>
      <c r="C1071" s="19">
        <f t="shared" si="273"/>
        <v>22</v>
      </c>
      <c r="D1071" s="19">
        <f>IF($C1071&gt;p_horizon,0,IFERROR(IF(AND(INDEX(TblClusters[Cluster],$B1071)&lt;&gt;"",ISNUMBER(INDEX(TblClusters[CPU initial (vCPU)],$B1071)),ISNUMBER(INDEX(TblClusters[CPU min (vCPU)],$B1071)),OR(INDEX(TblClusters[Plateforme],$B1071)="IKS",INDEX(TblClusters[Plateforme],$B1071)="ROKS")),1,0),0))</f>
        <v>0</v>
      </c>
      <c r="E1071" s="72" t="str">
        <f t="shared" si="274"/>
        <v/>
      </c>
      <c r="F1071" s="19" t="str">
        <f>IF($D1071=1,INDEX(TblClusters[Cluster],$B1071),"")</f>
        <v/>
      </c>
      <c r="G1071" s="19" t="str">
        <f>IF($D1071=1,INDEX(TblClusters[Plateforme],$B1071),"")</f>
        <v/>
      </c>
      <c r="H1071" s="19" t="str">
        <f>IF($D1071=1,INDEX(TblClusters[vCPU par nœud],$B1071),"")</f>
        <v/>
      </c>
      <c r="I1071" s="19" t="str">
        <f>IF($D1071=1,INDEX(TblClusters[RAM par nœud (Go)],$B1071),"")</f>
        <v/>
      </c>
      <c r="J1071" s="19" t="str">
        <f>IF($D1071=1,INDEX(TblClusters[Workers min],$B1071),"")</f>
        <v/>
      </c>
      <c r="K1071" s="73" t="str">
        <f>IF($D1071=1,INDEX(TblClusters[Tarif par nœud],$B1071),"")</f>
        <v/>
      </c>
      <c r="L1071" s="19" t="str">
        <f>IF($D1071=1,INDEX(TblClusters[CPU initial (vCPU)],$B1071),"")</f>
        <v/>
      </c>
      <c r="M1071" s="19" t="str">
        <f>IF($D1071=1,INDEX(TblClusters[RAM initiale (Go)],$B1071),"")</f>
        <v/>
      </c>
      <c r="N1071" s="19" t="str">
        <f>IF($D1071=1,INDEX(TblClusters[CPU min (vCPU)],$B1071),"")</f>
        <v/>
      </c>
      <c r="O1071" s="19" t="str">
        <f>IF($D1071=1,INDEX(TblClusters[RAM min (Go)],$B1071),"")</f>
        <v/>
      </c>
      <c r="P1071" s="19" t="str">
        <f>IF($D1071&lt;&gt;1,"",IF($G1071="ROKS",SUMIFS(TblApplications[Besoin ROKS CPU (vCPU)],TblApplications[Cluster ROKS cible],$F1071,TblApplications[Action],"À migrer",TblApplications[Déjà incluse ROKS],"Non",TblApplications[Mois prov (calc)],"&lt;="&amp;$E1071),SUMIFS(TblApplications[CPU IKS libérable (vCPU)],TblApplications[Cluster IKS source],$F1071,TblApplications[Mois lib (calc)],"&lt;="&amp;$E1071)))</f>
        <v/>
      </c>
      <c r="Q1071" s="19" t="str">
        <f>IF($D1071&lt;&gt;1,"",IF($G1071="ROKS",SUMIFS(TblApplications[Besoin ROKS RAM (Go)],TblApplications[Cluster ROKS cible],$F1071,TblApplications[Action],"À migrer",TblApplications[Déjà incluse ROKS],"Non",TblApplications[Mois prov (calc)],"&lt;="&amp;$E1071),SUMIFS(TblApplications[RAM IKS libérable (Go)],TblApplications[Cluster IKS source],$F1071,TblApplications[Mois lib (calc)],"&lt;="&amp;$E1071)))</f>
        <v/>
      </c>
      <c r="R1071" s="19" t="str">
        <f t="shared" si="275"/>
        <v/>
      </c>
      <c r="S1071" s="19" t="str">
        <f t="shared" si="276"/>
        <v/>
      </c>
      <c r="T1071" s="19" t="str">
        <f t="shared" si="277"/>
        <v/>
      </c>
      <c r="U1071" s="19" t="str">
        <f t="shared" si="278"/>
        <v/>
      </c>
      <c r="V1071" s="19" t="str">
        <f t="shared" si="279"/>
        <v/>
      </c>
      <c r="W1071" s="73" t="str">
        <f t="shared" si="280"/>
        <v/>
      </c>
      <c r="X1071" s="19" t="str">
        <f>IF($D1071&lt;&gt;1,"",IF($G1071="ROKS",$R1071,IF($AI1071=1,0,MAX($N1071,$L1071-SUMIFS(TblApplications[CPU IKS libérable (vCPU)],TblApplications[Cluster IKS source],$F1071,TblApplications[Action],"À migrer",TblApplications[Mois prov (calc)],"&lt;="&amp;$E1071)-SUMIFS(TblApplications[CPU IKS libérable (vCPU)],TblApplications[Cluster IKS source],$F1071,TblApplications[Action],"À décommissionner",TblApplications[Mois lib (calc)],"&lt;="&amp;$E1071)))))</f>
        <v/>
      </c>
      <c r="Y1071" s="19" t="str">
        <f>IF($D1071&lt;&gt;1,"",IF($G1071="ROKS",$S1071,IF($AI1071=1,0,MAX($O1071,$M1071-SUMIFS(TblApplications[RAM IKS libérable (Go)],TblApplications[Cluster IKS source],$F1071,TblApplications[Action],"À migrer",TblApplications[Mois prov (calc)],"&lt;="&amp;$E1071)-SUMIFS(TblApplications[RAM IKS libérable (Go)],TblApplications[Cluster IKS source],$F1071,TblApplications[Action],"À décommissionner",TblApplications[Mois lib (calc)],"&lt;="&amp;$E1071)))))</f>
        <v/>
      </c>
      <c r="Z1071" s="19" t="str">
        <f t="shared" si="281"/>
        <v/>
      </c>
      <c r="AA1071" s="73" t="str">
        <f t="shared" si="282"/>
        <v/>
      </c>
      <c r="AB1071" s="19" t="str">
        <f t="shared" si="283"/>
        <v/>
      </c>
      <c r="AC1071" s="73" t="str">
        <f t="shared" si="284"/>
        <v/>
      </c>
      <c r="AD1071" s="19" t="str">
        <f t="shared" si="285"/>
        <v/>
      </c>
      <c r="AE1071" s="19" t="str">
        <f t="shared" si="286"/>
        <v/>
      </c>
      <c r="AF1071" s="19" t="str">
        <f>IF($D1071&lt;&gt;1,"",IF(INDEX(TblClusters[Environnement],$B1071)="","(vide)",INDEX(TblClusters[Environnement],$B1071)))</f>
        <v/>
      </c>
      <c r="AG1071" s="19" t="str">
        <f t="shared" si="287"/>
        <v/>
      </c>
      <c r="AH1071" s="19" t="str">
        <f t="shared" si="288"/>
        <v/>
      </c>
      <c r="AI1071" s="19" t="str">
        <f>IF($D1071&lt;&gt;1,"",IF(AND($G1071="IKS",ISNUMBER(INDEX(TblClusters[Fermeture retenue],$B1071))),IF($E1071&gt;=INDEX(TblClusters[Fermeture retenue],$B1071),1,0),0))</f>
        <v/>
      </c>
    </row>
    <row r="1072" spans="1:35" x14ac:dyDescent="0.2">
      <c r="A1072" s="19">
        <v>1067</v>
      </c>
      <c r="B1072" s="19">
        <f t="shared" si="272"/>
        <v>30</v>
      </c>
      <c r="C1072" s="19">
        <f t="shared" si="273"/>
        <v>23</v>
      </c>
      <c r="D1072" s="19">
        <f>IF($C1072&gt;p_horizon,0,IFERROR(IF(AND(INDEX(TblClusters[Cluster],$B1072)&lt;&gt;"",ISNUMBER(INDEX(TblClusters[CPU initial (vCPU)],$B1072)),ISNUMBER(INDEX(TblClusters[CPU min (vCPU)],$B1072)),OR(INDEX(TblClusters[Plateforme],$B1072)="IKS",INDEX(TblClusters[Plateforme],$B1072)="ROKS")),1,0),0))</f>
        <v>0</v>
      </c>
      <c r="E1072" s="72" t="str">
        <f t="shared" si="274"/>
        <v/>
      </c>
      <c r="F1072" s="19" t="str">
        <f>IF($D1072=1,INDEX(TblClusters[Cluster],$B1072),"")</f>
        <v/>
      </c>
      <c r="G1072" s="19" t="str">
        <f>IF($D1072=1,INDEX(TblClusters[Plateforme],$B1072),"")</f>
        <v/>
      </c>
      <c r="H1072" s="19" t="str">
        <f>IF($D1072=1,INDEX(TblClusters[vCPU par nœud],$B1072),"")</f>
        <v/>
      </c>
      <c r="I1072" s="19" t="str">
        <f>IF($D1072=1,INDEX(TblClusters[RAM par nœud (Go)],$B1072),"")</f>
        <v/>
      </c>
      <c r="J1072" s="19" t="str">
        <f>IF($D1072=1,INDEX(TblClusters[Workers min],$B1072),"")</f>
        <v/>
      </c>
      <c r="K1072" s="73" t="str">
        <f>IF($D1072=1,INDEX(TblClusters[Tarif par nœud],$B1072),"")</f>
        <v/>
      </c>
      <c r="L1072" s="19" t="str">
        <f>IF($D1072=1,INDEX(TblClusters[CPU initial (vCPU)],$B1072),"")</f>
        <v/>
      </c>
      <c r="M1072" s="19" t="str">
        <f>IF($D1072=1,INDEX(TblClusters[RAM initiale (Go)],$B1072),"")</f>
        <v/>
      </c>
      <c r="N1072" s="19" t="str">
        <f>IF($D1072=1,INDEX(TblClusters[CPU min (vCPU)],$B1072),"")</f>
        <v/>
      </c>
      <c r="O1072" s="19" t="str">
        <f>IF($D1072=1,INDEX(TblClusters[RAM min (Go)],$B1072),"")</f>
        <v/>
      </c>
      <c r="P1072" s="19" t="str">
        <f>IF($D1072&lt;&gt;1,"",IF($G1072="ROKS",SUMIFS(TblApplications[Besoin ROKS CPU (vCPU)],TblApplications[Cluster ROKS cible],$F1072,TblApplications[Action],"À migrer",TblApplications[Déjà incluse ROKS],"Non",TblApplications[Mois prov (calc)],"&lt;="&amp;$E1072),SUMIFS(TblApplications[CPU IKS libérable (vCPU)],TblApplications[Cluster IKS source],$F1072,TblApplications[Mois lib (calc)],"&lt;="&amp;$E1072)))</f>
        <v/>
      </c>
      <c r="Q1072" s="19" t="str">
        <f>IF($D1072&lt;&gt;1,"",IF($G1072="ROKS",SUMIFS(TblApplications[Besoin ROKS RAM (Go)],TblApplications[Cluster ROKS cible],$F1072,TblApplications[Action],"À migrer",TblApplications[Déjà incluse ROKS],"Non",TblApplications[Mois prov (calc)],"&lt;="&amp;$E1072),SUMIFS(TblApplications[RAM IKS libérable (Go)],TblApplications[Cluster IKS source],$F1072,TblApplications[Mois lib (calc)],"&lt;="&amp;$E1072)))</f>
        <v/>
      </c>
      <c r="R1072" s="19" t="str">
        <f t="shared" si="275"/>
        <v/>
      </c>
      <c r="S1072" s="19" t="str">
        <f t="shared" si="276"/>
        <v/>
      </c>
      <c r="T1072" s="19" t="str">
        <f t="shared" si="277"/>
        <v/>
      </c>
      <c r="U1072" s="19" t="str">
        <f t="shared" si="278"/>
        <v/>
      </c>
      <c r="V1072" s="19" t="str">
        <f t="shared" si="279"/>
        <v/>
      </c>
      <c r="W1072" s="73" t="str">
        <f t="shared" si="280"/>
        <v/>
      </c>
      <c r="X1072" s="19" t="str">
        <f>IF($D1072&lt;&gt;1,"",IF($G1072="ROKS",$R1072,IF($AI1072=1,0,MAX($N1072,$L1072-SUMIFS(TblApplications[CPU IKS libérable (vCPU)],TblApplications[Cluster IKS source],$F1072,TblApplications[Action],"À migrer",TblApplications[Mois prov (calc)],"&lt;="&amp;$E1072)-SUMIFS(TblApplications[CPU IKS libérable (vCPU)],TblApplications[Cluster IKS source],$F1072,TblApplications[Action],"À décommissionner",TblApplications[Mois lib (calc)],"&lt;="&amp;$E1072)))))</f>
        <v/>
      </c>
      <c r="Y1072" s="19" t="str">
        <f>IF($D1072&lt;&gt;1,"",IF($G1072="ROKS",$S1072,IF($AI1072=1,0,MAX($O1072,$M1072-SUMIFS(TblApplications[RAM IKS libérable (Go)],TblApplications[Cluster IKS source],$F1072,TblApplications[Action],"À migrer",TblApplications[Mois prov (calc)],"&lt;="&amp;$E1072)-SUMIFS(TblApplications[RAM IKS libérable (Go)],TblApplications[Cluster IKS source],$F1072,TblApplications[Action],"À décommissionner",TblApplications[Mois lib (calc)],"&lt;="&amp;$E1072)))))</f>
        <v/>
      </c>
      <c r="Z1072" s="19" t="str">
        <f t="shared" si="281"/>
        <v/>
      </c>
      <c r="AA1072" s="73" t="str">
        <f t="shared" si="282"/>
        <v/>
      </c>
      <c r="AB1072" s="19" t="str">
        <f t="shared" si="283"/>
        <v/>
      </c>
      <c r="AC1072" s="73" t="str">
        <f t="shared" si="284"/>
        <v/>
      </c>
      <c r="AD1072" s="19" t="str">
        <f t="shared" si="285"/>
        <v/>
      </c>
      <c r="AE1072" s="19" t="str">
        <f t="shared" si="286"/>
        <v/>
      </c>
      <c r="AF1072" s="19" t="str">
        <f>IF($D1072&lt;&gt;1,"",IF(INDEX(TblClusters[Environnement],$B1072)="","(vide)",INDEX(TblClusters[Environnement],$B1072)))</f>
        <v/>
      </c>
      <c r="AG1072" s="19" t="str">
        <f t="shared" si="287"/>
        <v/>
      </c>
      <c r="AH1072" s="19" t="str">
        <f t="shared" si="288"/>
        <v/>
      </c>
      <c r="AI1072" s="19" t="str">
        <f>IF($D1072&lt;&gt;1,"",IF(AND($G1072="IKS",ISNUMBER(INDEX(TblClusters[Fermeture retenue],$B1072))),IF($E1072&gt;=INDEX(TblClusters[Fermeture retenue],$B1072),1,0),0))</f>
        <v/>
      </c>
    </row>
    <row r="1073" spans="1:35" x14ac:dyDescent="0.2">
      <c r="A1073" s="19">
        <v>1068</v>
      </c>
      <c r="B1073" s="19">
        <f t="shared" si="272"/>
        <v>30</v>
      </c>
      <c r="C1073" s="19">
        <f t="shared" si="273"/>
        <v>24</v>
      </c>
      <c r="D1073" s="19">
        <f>IF($C1073&gt;p_horizon,0,IFERROR(IF(AND(INDEX(TblClusters[Cluster],$B1073)&lt;&gt;"",ISNUMBER(INDEX(TblClusters[CPU initial (vCPU)],$B1073)),ISNUMBER(INDEX(TblClusters[CPU min (vCPU)],$B1073)),OR(INDEX(TblClusters[Plateforme],$B1073)="IKS",INDEX(TblClusters[Plateforme],$B1073)="ROKS")),1,0),0))</f>
        <v>0</v>
      </c>
      <c r="E1073" s="72" t="str">
        <f t="shared" si="274"/>
        <v/>
      </c>
      <c r="F1073" s="19" t="str">
        <f>IF($D1073=1,INDEX(TblClusters[Cluster],$B1073),"")</f>
        <v/>
      </c>
      <c r="G1073" s="19" t="str">
        <f>IF($D1073=1,INDEX(TblClusters[Plateforme],$B1073),"")</f>
        <v/>
      </c>
      <c r="H1073" s="19" t="str">
        <f>IF($D1073=1,INDEX(TblClusters[vCPU par nœud],$B1073),"")</f>
        <v/>
      </c>
      <c r="I1073" s="19" t="str">
        <f>IF($D1073=1,INDEX(TblClusters[RAM par nœud (Go)],$B1073),"")</f>
        <v/>
      </c>
      <c r="J1073" s="19" t="str">
        <f>IF($D1073=1,INDEX(TblClusters[Workers min],$B1073),"")</f>
        <v/>
      </c>
      <c r="K1073" s="73" t="str">
        <f>IF($D1073=1,INDEX(TblClusters[Tarif par nœud],$B1073),"")</f>
        <v/>
      </c>
      <c r="L1073" s="19" t="str">
        <f>IF($D1073=1,INDEX(TblClusters[CPU initial (vCPU)],$B1073),"")</f>
        <v/>
      </c>
      <c r="M1073" s="19" t="str">
        <f>IF($D1073=1,INDEX(TblClusters[RAM initiale (Go)],$B1073),"")</f>
        <v/>
      </c>
      <c r="N1073" s="19" t="str">
        <f>IF($D1073=1,INDEX(TblClusters[CPU min (vCPU)],$B1073),"")</f>
        <v/>
      </c>
      <c r="O1073" s="19" t="str">
        <f>IF($D1073=1,INDEX(TblClusters[RAM min (Go)],$B1073),"")</f>
        <v/>
      </c>
      <c r="P1073" s="19" t="str">
        <f>IF($D1073&lt;&gt;1,"",IF($G1073="ROKS",SUMIFS(TblApplications[Besoin ROKS CPU (vCPU)],TblApplications[Cluster ROKS cible],$F1073,TblApplications[Action],"À migrer",TblApplications[Déjà incluse ROKS],"Non",TblApplications[Mois prov (calc)],"&lt;="&amp;$E1073),SUMIFS(TblApplications[CPU IKS libérable (vCPU)],TblApplications[Cluster IKS source],$F1073,TblApplications[Mois lib (calc)],"&lt;="&amp;$E1073)))</f>
        <v/>
      </c>
      <c r="Q1073" s="19" t="str">
        <f>IF($D1073&lt;&gt;1,"",IF($G1073="ROKS",SUMIFS(TblApplications[Besoin ROKS RAM (Go)],TblApplications[Cluster ROKS cible],$F1073,TblApplications[Action],"À migrer",TblApplications[Déjà incluse ROKS],"Non",TblApplications[Mois prov (calc)],"&lt;="&amp;$E1073),SUMIFS(TblApplications[RAM IKS libérable (Go)],TblApplications[Cluster IKS source],$F1073,TblApplications[Mois lib (calc)],"&lt;="&amp;$E1073)))</f>
        <v/>
      </c>
      <c r="R1073" s="19" t="str">
        <f t="shared" si="275"/>
        <v/>
      </c>
      <c r="S1073" s="19" t="str">
        <f t="shared" si="276"/>
        <v/>
      </c>
      <c r="T1073" s="19" t="str">
        <f t="shared" si="277"/>
        <v/>
      </c>
      <c r="U1073" s="19" t="str">
        <f t="shared" si="278"/>
        <v/>
      </c>
      <c r="V1073" s="19" t="str">
        <f t="shared" si="279"/>
        <v/>
      </c>
      <c r="W1073" s="73" t="str">
        <f t="shared" si="280"/>
        <v/>
      </c>
      <c r="X1073" s="19" t="str">
        <f>IF($D1073&lt;&gt;1,"",IF($G1073="ROKS",$R1073,IF($AI1073=1,0,MAX($N1073,$L1073-SUMIFS(TblApplications[CPU IKS libérable (vCPU)],TblApplications[Cluster IKS source],$F1073,TblApplications[Action],"À migrer",TblApplications[Mois prov (calc)],"&lt;="&amp;$E1073)-SUMIFS(TblApplications[CPU IKS libérable (vCPU)],TblApplications[Cluster IKS source],$F1073,TblApplications[Action],"À décommissionner",TblApplications[Mois lib (calc)],"&lt;="&amp;$E1073)))))</f>
        <v/>
      </c>
      <c r="Y1073" s="19" t="str">
        <f>IF($D1073&lt;&gt;1,"",IF($G1073="ROKS",$S1073,IF($AI1073=1,0,MAX($O1073,$M1073-SUMIFS(TblApplications[RAM IKS libérable (Go)],TblApplications[Cluster IKS source],$F1073,TblApplications[Action],"À migrer",TblApplications[Mois prov (calc)],"&lt;="&amp;$E1073)-SUMIFS(TblApplications[RAM IKS libérable (Go)],TblApplications[Cluster IKS source],$F1073,TblApplications[Action],"À décommissionner",TblApplications[Mois lib (calc)],"&lt;="&amp;$E1073)))))</f>
        <v/>
      </c>
      <c r="Z1073" s="19" t="str">
        <f t="shared" si="281"/>
        <v/>
      </c>
      <c r="AA1073" s="73" t="str">
        <f t="shared" si="282"/>
        <v/>
      </c>
      <c r="AB1073" s="19" t="str">
        <f t="shared" si="283"/>
        <v/>
      </c>
      <c r="AC1073" s="73" t="str">
        <f t="shared" si="284"/>
        <v/>
      </c>
      <c r="AD1073" s="19" t="str">
        <f t="shared" si="285"/>
        <v/>
      </c>
      <c r="AE1073" s="19" t="str">
        <f t="shared" si="286"/>
        <v/>
      </c>
      <c r="AF1073" s="19" t="str">
        <f>IF($D1073&lt;&gt;1,"",IF(INDEX(TblClusters[Environnement],$B1073)="","(vide)",INDEX(TblClusters[Environnement],$B1073)))</f>
        <v/>
      </c>
      <c r="AG1073" s="19" t="str">
        <f t="shared" si="287"/>
        <v/>
      </c>
      <c r="AH1073" s="19" t="str">
        <f t="shared" si="288"/>
        <v/>
      </c>
      <c r="AI1073" s="19" t="str">
        <f>IF($D1073&lt;&gt;1,"",IF(AND($G1073="IKS",ISNUMBER(INDEX(TblClusters[Fermeture retenue],$B1073))),IF($E1073&gt;=INDEX(TblClusters[Fermeture retenue],$B1073),1,0),0))</f>
        <v/>
      </c>
    </row>
    <row r="1074" spans="1:35" x14ac:dyDescent="0.2">
      <c r="A1074" s="19">
        <v>1069</v>
      </c>
      <c r="B1074" s="19">
        <f t="shared" si="272"/>
        <v>30</v>
      </c>
      <c r="C1074" s="19">
        <f t="shared" si="273"/>
        <v>25</v>
      </c>
      <c r="D1074" s="19">
        <f>IF($C1074&gt;p_horizon,0,IFERROR(IF(AND(INDEX(TblClusters[Cluster],$B1074)&lt;&gt;"",ISNUMBER(INDEX(TblClusters[CPU initial (vCPU)],$B1074)),ISNUMBER(INDEX(TblClusters[CPU min (vCPU)],$B1074)),OR(INDEX(TblClusters[Plateforme],$B1074)="IKS",INDEX(TblClusters[Plateforme],$B1074)="ROKS")),1,0),0))</f>
        <v>0</v>
      </c>
      <c r="E1074" s="72" t="str">
        <f t="shared" si="274"/>
        <v/>
      </c>
      <c r="F1074" s="19" t="str">
        <f>IF($D1074=1,INDEX(TblClusters[Cluster],$B1074),"")</f>
        <v/>
      </c>
      <c r="G1074" s="19" t="str">
        <f>IF($D1074=1,INDEX(TblClusters[Plateforme],$B1074),"")</f>
        <v/>
      </c>
      <c r="H1074" s="19" t="str">
        <f>IF($D1074=1,INDEX(TblClusters[vCPU par nœud],$B1074),"")</f>
        <v/>
      </c>
      <c r="I1074" s="19" t="str">
        <f>IF($D1074=1,INDEX(TblClusters[RAM par nœud (Go)],$B1074),"")</f>
        <v/>
      </c>
      <c r="J1074" s="19" t="str">
        <f>IF($D1074=1,INDEX(TblClusters[Workers min],$B1074),"")</f>
        <v/>
      </c>
      <c r="K1074" s="73" t="str">
        <f>IF($D1074=1,INDEX(TblClusters[Tarif par nœud],$B1074),"")</f>
        <v/>
      </c>
      <c r="L1074" s="19" t="str">
        <f>IF($D1074=1,INDEX(TblClusters[CPU initial (vCPU)],$B1074),"")</f>
        <v/>
      </c>
      <c r="M1074" s="19" t="str">
        <f>IF($D1074=1,INDEX(TblClusters[RAM initiale (Go)],$B1074),"")</f>
        <v/>
      </c>
      <c r="N1074" s="19" t="str">
        <f>IF($D1074=1,INDEX(TblClusters[CPU min (vCPU)],$B1074),"")</f>
        <v/>
      </c>
      <c r="O1074" s="19" t="str">
        <f>IF($D1074=1,INDEX(TblClusters[RAM min (Go)],$B1074),"")</f>
        <v/>
      </c>
      <c r="P1074" s="19" t="str">
        <f>IF($D1074&lt;&gt;1,"",IF($G1074="ROKS",SUMIFS(TblApplications[Besoin ROKS CPU (vCPU)],TblApplications[Cluster ROKS cible],$F1074,TblApplications[Action],"À migrer",TblApplications[Déjà incluse ROKS],"Non",TblApplications[Mois prov (calc)],"&lt;="&amp;$E1074),SUMIFS(TblApplications[CPU IKS libérable (vCPU)],TblApplications[Cluster IKS source],$F1074,TblApplications[Mois lib (calc)],"&lt;="&amp;$E1074)))</f>
        <v/>
      </c>
      <c r="Q1074" s="19" t="str">
        <f>IF($D1074&lt;&gt;1,"",IF($G1074="ROKS",SUMIFS(TblApplications[Besoin ROKS RAM (Go)],TblApplications[Cluster ROKS cible],$F1074,TblApplications[Action],"À migrer",TblApplications[Déjà incluse ROKS],"Non",TblApplications[Mois prov (calc)],"&lt;="&amp;$E1074),SUMIFS(TblApplications[RAM IKS libérable (Go)],TblApplications[Cluster IKS source],$F1074,TblApplications[Mois lib (calc)],"&lt;="&amp;$E1074)))</f>
        <v/>
      </c>
      <c r="R1074" s="19" t="str">
        <f t="shared" si="275"/>
        <v/>
      </c>
      <c r="S1074" s="19" t="str">
        <f t="shared" si="276"/>
        <v/>
      </c>
      <c r="T1074" s="19" t="str">
        <f t="shared" si="277"/>
        <v/>
      </c>
      <c r="U1074" s="19" t="str">
        <f t="shared" si="278"/>
        <v/>
      </c>
      <c r="V1074" s="19" t="str">
        <f t="shared" si="279"/>
        <v/>
      </c>
      <c r="W1074" s="73" t="str">
        <f t="shared" si="280"/>
        <v/>
      </c>
      <c r="X1074" s="19" t="str">
        <f>IF($D1074&lt;&gt;1,"",IF($G1074="ROKS",$R1074,IF($AI1074=1,0,MAX($N1074,$L1074-SUMIFS(TblApplications[CPU IKS libérable (vCPU)],TblApplications[Cluster IKS source],$F1074,TblApplications[Action],"À migrer",TblApplications[Mois prov (calc)],"&lt;="&amp;$E1074)-SUMIFS(TblApplications[CPU IKS libérable (vCPU)],TblApplications[Cluster IKS source],$F1074,TblApplications[Action],"À décommissionner",TblApplications[Mois lib (calc)],"&lt;="&amp;$E1074)))))</f>
        <v/>
      </c>
      <c r="Y1074" s="19" t="str">
        <f>IF($D1074&lt;&gt;1,"",IF($G1074="ROKS",$S1074,IF($AI1074=1,0,MAX($O1074,$M1074-SUMIFS(TblApplications[RAM IKS libérable (Go)],TblApplications[Cluster IKS source],$F1074,TblApplications[Action],"À migrer",TblApplications[Mois prov (calc)],"&lt;="&amp;$E1074)-SUMIFS(TblApplications[RAM IKS libérable (Go)],TblApplications[Cluster IKS source],$F1074,TblApplications[Action],"À décommissionner",TblApplications[Mois lib (calc)],"&lt;="&amp;$E1074)))))</f>
        <v/>
      </c>
      <c r="Z1074" s="19" t="str">
        <f t="shared" si="281"/>
        <v/>
      </c>
      <c r="AA1074" s="73" t="str">
        <f t="shared" si="282"/>
        <v/>
      </c>
      <c r="AB1074" s="19" t="str">
        <f t="shared" si="283"/>
        <v/>
      </c>
      <c r="AC1074" s="73" t="str">
        <f t="shared" si="284"/>
        <v/>
      </c>
      <c r="AD1074" s="19" t="str">
        <f t="shared" si="285"/>
        <v/>
      </c>
      <c r="AE1074" s="19" t="str">
        <f t="shared" si="286"/>
        <v/>
      </c>
      <c r="AF1074" s="19" t="str">
        <f>IF($D1074&lt;&gt;1,"",IF(INDEX(TblClusters[Environnement],$B1074)="","(vide)",INDEX(TblClusters[Environnement],$B1074)))</f>
        <v/>
      </c>
      <c r="AG1074" s="19" t="str">
        <f t="shared" si="287"/>
        <v/>
      </c>
      <c r="AH1074" s="19" t="str">
        <f t="shared" si="288"/>
        <v/>
      </c>
      <c r="AI1074" s="19" t="str">
        <f>IF($D1074&lt;&gt;1,"",IF(AND($G1074="IKS",ISNUMBER(INDEX(TblClusters[Fermeture retenue],$B1074))),IF($E1074&gt;=INDEX(TblClusters[Fermeture retenue],$B1074),1,0),0))</f>
        <v/>
      </c>
    </row>
    <row r="1075" spans="1:35" x14ac:dyDescent="0.2">
      <c r="A1075" s="19">
        <v>1070</v>
      </c>
      <c r="B1075" s="19">
        <f t="shared" si="272"/>
        <v>30</v>
      </c>
      <c r="C1075" s="19">
        <f t="shared" si="273"/>
        <v>26</v>
      </c>
      <c r="D1075" s="19">
        <f>IF($C1075&gt;p_horizon,0,IFERROR(IF(AND(INDEX(TblClusters[Cluster],$B1075)&lt;&gt;"",ISNUMBER(INDEX(TblClusters[CPU initial (vCPU)],$B1075)),ISNUMBER(INDEX(TblClusters[CPU min (vCPU)],$B1075)),OR(INDEX(TblClusters[Plateforme],$B1075)="IKS",INDEX(TblClusters[Plateforme],$B1075)="ROKS")),1,0),0))</f>
        <v>0</v>
      </c>
      <c r="E1075" s="72" t="str">
        <f t="shared" si="274"/>
        <v/>
      </c>
      <c r="F1075" s="19" t="str">
        <f>IF($D1075=1,INDEX(TblClusters[Cluster],$B1075),"")</f>
        <v/>
      </c>
      <c r="G1075" s="19" t="str">
        <f>IF($D1075=1,INDEX(TblClusters[Plateforme],$B1075),"")</f>
        <v/>
      </c>
      <c r="H1075" s="19" t="str">
        <f>IF($D1075=1,INDEX(TblClusters[vCPU par nœud],$B1075),"")</f>
        <v/>
      </c>
      <c r="I1075" s="19" t="str">
        <f>IF($D1075=1,INDEX(TblClusters[RAM par nœud (Go)],$B1075),"")</f>
        <v/>
      </c>
      <c r="J1075" s="19" t="str">
        <f>IF($D1075=1,INDEX(TblClusters[Workers min],$B1075),"")</f>
        <v/>
      </c>
      <c r="K1075" s="73" t="str">
        <f>IF($D1075=1,INDEX(TblClusters[Tarif par nœud],$B1075),"")</f>
        <v/>
      </c>
      <c r="L1075" s="19" t="str">
        <f>IF($D1075=1,INDEX(TblClusters[CPU initial (vCPU)],$B1075),"")</f>
        <v/>
      </c>
      <c r="M1075" s="19" t="str">
        <f>IF($D1075=1,INDEX(TblClusters[RAM initiale (Go)],$B1075),"")</f>
        <v/>
      </c>
      <c r="N1075" s="19" t="str">
        <f>IF($D1075=1,INDEX(TblClusters[CPU min (vCPU)],$B1075),"")</f>
        <v/>
      </c>
      <c r="O1075" s="19" t="str">
        <f>IF($D1075=1,INDEX(TblClusters[RAM min (Go)],$B1075),"")</f>
        <v/>
      </c>
      <c r="P1075" s="19" t="str">
        <f>IF($D1075&lt;&gt;1,"",IF($G1075="ROKS",SUMIFS(TblApplications[Besoin ROKS CPU (vCPU)],TblApplications[Cluster ROKS cible],$F1075,TblApplications[Action],"À migrer",TblApplications[Déjà incluse ROKS],"Non",TblApplications[Mois prov (calc)],"&lt;="&amp;$E1075),SUMIFS(TblApplications[CPU IKS libérable (vCPU)],TblApplications[Cluster IKS source],$F1075,TblApplications[Mois lib (calc)],"&lt;="&amp;$E1075)))</f>
        <v/>
      </c>
      <c r="Q1075" s="19" t="str">
        <f>IF($D1075&lt;&gt;1,"",IF($G1075="ROKS",SUMIFS(TblApplications[Besoin ROKS RAM (Go)],TblApplications[Cluster ROKS cible],$F1075,TblApplications[Action],"À migrer",TblApplications[Déjà incluse ROKS],"Non",TblApplications[Mois prov (calc)],"&lt;="&amp;$E1075),SUMIFS(TblApplications[RAM IKS libérable (Go)],TblApplications[Cluster IKS source],$F1075,TblApplications[Mois lib (calc)],"&lt;="&amp;$E1075)))</f>
        <v/>
      </c>
      <c r="R1075" s="19" t="str">
        <f t="shared" si="275"/>
        <v/>
      </c>
      <c r="S1075" s="19" t="str">
        <f t="shared" si="276"/>
        <v/>
      </c>
      <c r="T1075" s="19" t="str">
        <f t="shared" si="277"/>
        <v/>
      </c>
      <c r="U1075" s="19" t="str">
        <f t="shared" si="278"/>
        <v/>
      </c>
      <c r="V1075" s="19" t="str">
        <f t="shared" si="279"/>
        <v/>
      </c>
      <c r="W1075" s="73" t="str">
        <f t="shared" si="280"/>
        <v/>
      </c>
      <c r="X1075" s="19" t="str">
        <f>IF($D1075&lt;&gt;1,"",IF($G1075="ROKS",$R1075,IF($AI1075=1,0,MAX($N1075,$L1075-SUMIFS(TblApplications[CPU IKS libérable (vCPU)],TblApplications[Cluster IKS source],$F1075,TblApplications[Action],"À migrer",TblApplications[Mois prov (calc)],"&lt;="&amp;$E1075)-SUMIFS(TblApplications[CPU IKS libérable (vCPU)],TblApplications[Cluster IKS source],$F1075,TblApplications[Action],"À décommissionner",TblApplications[Mois lib (calc)],"&lt;="&amp;$E1075)))))</f>
        <v/>
      </c>
      <c r="Y1075" s="19" t="str">
        <f>IF($D1075&lt;&gt;1,"",IF($G1075="ROKS",$S1075,IF($AI1075=1,0,MAX($O1075,$M1075-SUMIFS(TblApplications[RAM IKS libérable (Go)],TblApplications[Cluster IKS source],$F1075,TblApplications[Action],"À migrer",TblApplications[Mois prov (calc)],"&lt;="&amp;$E1075)-SUMIFS(TblApplications[RAM IKS libérable (Go)],TblApplications[Cluster IKS source],$F1075,TblApplications[Action],"À décommissionner",TblApplications[Mois lib (calc)],"&lt;="&amp;$E1075)))))</f>
        <v/>
      </c>
      <c r="Z1075" s="19" t="str">
        <f t="shared" si="281"/>
        <v/>
      </c>
      <c r="AA1075" s="73" t="str">
        <f t="shared" si="282"/>
        <v/>
      </c>
      <c r="AB1075" s="19" t="str">
        <f t="shared" si="283"/>
        <v/>
      </c>
      <c r="AC1075" s="73" t="str">
        <f t="shared" si="284"/>
        <v/>
      </c>
      <c r="AD1075" s="19" t="str">
        <f t="shared" si="285"/>
        <v/>
      </c>
      <c r="AE1075" s="19" t="str">
        <f t="shared" si="286"/>
        <v/>
      </c>
      <c r="AF1075" s="19" t="str">
        <f>IF($D1075&lt;&gt;1,"",IF(INDEX(TblClusters[Environnement],$B1075)="","(vide)",INDEX(TblClusters[Environnement],$B1075)))</f>
        <v/>
      </c>
      <c r="AG1075" s="19" t="str">
        <f t="shared" si="287"/>
        <v/>
      </c>
      <c r="AH1075" s="19" t="str">
        <f t="shared" si="288"/>
        <v/>
      </c>
      <c r="AI1075" s="19" t="str">
        <f>IF($D1075&lt;&gt;1,"",IF(AND($G1075="IKS",ISNUMBER(INDEX(TblClusters[Fermeture retenue],$B1075))),IF($E1075&gt;=INDEX(TblClusters[Fermeture retenue],$B1075),1,0),0))</f>
        <v/>
      </c>
    </row>
    <row r="1076" spans="1:35" x14ac:dyDescent="0.2">
      <c r="A1076" s="19">
        <v>1071</v>
      </c>
      <c r="B1076" s="19">
        <f t="shared" si="272"/>
        <v>30</v>
      </c>
      <c r="C1076" s="19">
        <f t="shared" si="273"/>
        <v>27</v>
      </c>
      <c r="D1076" s="19">
        <f>IF($C1076&gt;p_horizon,0,IFERROR(IF(AND(INDEX(TblClusters[Cluster],$B1076)&lt;&gt;"",ISNUMBER(INDEX(TblClusters[CPU initial (vCPU)],$B1076)),ISNUMBER(INDEX(TblClusters[CPU min (vCPU)],$B1076)),OR(INDEX(TblClusters[Plateforme],$B1076)="IKS",INDEX(TblClusters[Plateforme],$B1076)="ROKS")),1,0),0))</f>
        <v>0</v>
      </c>
      <c r="E1076" s="72" t="str">
        <f t="shared" si="274"/>
        <v/>
      </c>
      <c r="F1076" s="19" t="str">
        <f>IF($D1076=1,INDEX(TblClusters[Cluster],$B1076),"")</f>
        <v/>
      </c>
      <c r="G1076" s="19" t="str">
        <f>IF($D1076=1,INDEX(TblClusters[Plateforme],$B1076),"")</f>
        <v/>
      </c>
      <c r="H1076" s="19" t="str">
        <f>IF($D1076=1,INDEX(TblClusters[vCPU par nœud],$B1076),"")</f>
        <v/>
      </c>
      <c r="I1076" s="19" t="str">
        <f>IF($D1076=1,INDEX(TblClusters[RAM par nœud (Go)],$B1076),"")</f>
        <v/>
      </c>
      <c r="J1076" s="19" t="str">
        <f>IF($D1076=1,INDEX(TblClusters[Workers min],$B1076),"")</f>
        <v/>
      </c>
      <c r="K1076" s="73" t="str">
        <f>IF($D1076=1,INDEX(TblClusters[Tarif par nœud],$B1076),"")</f>
        <v/>
      </c>
      <c r="L1076" s="19" t="str">
        <f>IF($D1076=1,INDEX(TblClusters[CPU initial (vCPU)],$B1076),"")</f>
        <v/>
      </c>
      <c r="M1076" s="19" t="str">
        <f>IF($D1076=1,INDEX(TblClusters[RAM initiale (Go)],$B1076),"")</f>
        <v/>
      </c>
      <c r="N1076" s="19" t="str">
        <f>IF($D1076=1,INDEX(TblClusters[CPU min (vCPU)],$B1076),"")</f>
        <v/>
      </c>
      <c r="O1076" s="19" t="str">
        <f>IF($D1076=1,INDEX(TblClusters[RAM min (Go)],$B1076),"")</f>
        <v/>
      </c>
      <c r="P1076" s="19" t="str">
        <f>IF($D1076&lt;&gt;1,"",IF($G1076="ROKS",SUMIFS(TblApplications[Besoin ROKS CPU (vCPU)],TblApplications[Cluster ROKS cible],$F1076,TblApplications[Action],"À migrer",TblApplications[Déjà incluse ROKS],"Non",TblApplications[Mois prov (calc)],"&lt;="&amp;$E1076),SUMIFS(TblApplications[CPU IKS libérable (vCPU)],TblApplications[Cluster IKS source],$F1076,TblApplications[Mois lib (calc)],"&lt;="&amp;$E1076)))</f>
        <v/>
      </c>
      <c r="Q1076" s="19" t="str">
        <f>IF($D1076&lt;&gt;1,"",IF($G1076="ROKS",SUMIFS(TblApplications[Besoin ROKS RAM (Go)],TblApplications[Cluster ROKS cible],$F1076,TblApplications[Action],"À migrer",TblApplications[Déjà incluse ROKS],"Non",TblApplications[Mois prov (calc)],"&lt;="&amp;$E1076),SUMIFS(TblApplications[RAM IKS libérable (Go)],TblApplications[Cluster IKS source],$F1076,TblApplications[Mois lib (calc)],"&lt;="&amp;$E1076)))</f>
        <v/>
      </c>
      <c r="R1076" s="19" t="str">
        <f t="shared" si="275"/>
        <v/>
      </c>
      <c r="S1076" s="19" t="str">
        <f t="shared" si="276"/>
        <v/>
      </c>
      <c r="T1076" s="19" t="str">
        <f t="shared" si="277"/>
        <v/>
      </c>
      <c r="U1076" s="19" t="str">
        <f t="shared" si="278"/>
        <v/>
      </c>
      <c r="V1076" s="19" t="str">
        <f t="shared" si="279"/>
        <v/>
      </c>
      <c r="W1076" s="73" t="str">
        <f t="shared" si="280"/>
        <v/>
      </c>
      <c r="X1076" s="19" t="str">
        <f>IF($D1076&lt;&gt;1,"",IF($G1076="ROKS",$R1076,IF($AI1076=1,0,MAX($N1076,$L1076-SUMIFS(TblApplications[CPU IKS libérable (vCPU)],TblApplications[Cluster IKS source],$F1076,TblApplications[Action],"À migrer",TblApplications[Mois prov (calc)],"&lt;="&amp;$E1076)-SUMIFS(TblApplications[CPU IKS libérable (vCPU)],TblApplications[Cluster IKS source],$F1076,TblApplications[Action],"À décommissionner",TblApplications[Mois lib (calc)],"&lt;="&amp;$E1076)))))</f>
        <v/>
      </c>
      <c r="Y1076" s="19" t="str">
        <f>IF($D1076&lt;&gt;1,"",IF($G1076="ROKS",$S1076,IF($AI1076=1,0,MAX($O1076,$M1076-SUMIFS(TblApplications[RAM IKS libérable (Go)],TblApplications[Cluster IKS source],$F1076,TblApplications[Action],"À migrer",TblApplications[Mois prov (calc)],"&lt;="&amp;$E1076)-SUMIFS(TblApplications[RAM IKS libérable (Go)],TblApplications[Cluster IKS source],$F1076,TblApplications[Action],"À décommissionner",TblApplications[Mois lib (calc)],"&lt;="&amp;$E1076)))))</f>
        <v/>
      </c>
      <c r="Z1076" s="19" t="str">
        <f t="shared" si="281"/>
        <v/>
      </c>
      <c r="AA1076" s="73" t="str">
        <f t="shared" si="282"/>
        <v/>
      </c>
      <c r="AB1076" s="19" t="str">
        <f t="shared" si="283"/>
        <v/>
      </c>
      <c r="AC1076" s="73" t="str">
        <f t="shared" si="284"/>
        <v/>
      </c>
      <c r="AD1076" s="19" t="str">
        <f t="shared" si="285"/>
        <v/>
      </c>
      <c r="AE1076" s="19" t="str">
        <f t="shared" si="286"/>
        <v/>
      </c>
      <c r="AF1076" s="19" t="str">
        <f>IF($D1076&lt;&gt;1,"",IF(INDEX(TblClusters[Environnement],$B1076)="","(vide)",INDEX(TblClusters[Environnement],$B1076)))</f>
        <v/>
      </c>
      <c r="AG1076" s="19" t="str">
        <f t="shared" si="287"/>
        <v/>
      </c>
      <c r="AH1076" s="19" t="str">
        <f t="shared" si="288"/>
        <v/>
      </c>
      <c r="AI1076" s="19" t="str">
        <f>IF($D1076&lt;&gt;1,"",IF(AND($G1076="IKS",ISNUMBER(INDEX(TblClusters[Fermeture retenue],$B1076))),IF($E1076&gt;=INDEX(TblClusters[Fermeture retenue],$B1076),1,0),0))</f>
        <v/>
      </c>
    </row>
    <row r="1077" spans="1:35" x14ac:dyDescent="0.2">
      <c r="A1077" s="19">
        <v>1072</v>
      </c>
      <c r="B1077" s="19">
        <f t="shared" si="272"/>
        <v>30</v>
      </c>
      <c r="C1077" s="19">
        <f t="shared" si="273"/>
        <v>28</v>
      </c>
      <c r="D1077" s="19">
        <f>IF($C1077&gt;p_horizon,0,IFERROR(IF(AND(INDEX(TblClusters[Cluster],$B1077)&lt;&gt;"",ISNUMBER(INDEX(TblClusters[CPU initial (vCPU)],$B1077)),ISNUMBER(INDEX(TblClusters[CPU min (vCPU)],$B1077)),OR(INDEX(TblClusters[Plateforme],$B1077)="IKS",INDEX(TblClusters[Plateforme],$B1077)="ROKS")),1,0),0))</f>
        <v>0</v>
      </c>
      <c r="E1077" s="72" t="str">
        <f t="shared" si="274"/>
        <v/>
      </c>
      <c r="F1077" s="19" t="str">
        <f>IF($D1077=1,INDEX(TblClusters[Cluster],$B1077),"")</f>
        <v/>
      </c>
      <c r="G1077" s="19" t="str">
        <f>IF($D1077=1,INDEX(TblClusters[Plateforme],$B1077),"")</f>
        <v/>
      </c>
      <c r="H1077" s="19" t="str">
        <f>IF($D1077=1,INDEX(TblClusters[vCPU par nœud],$B1077),"")</f>
        <v/>
      </c>
      <c r="I1077" s="19" t="str">
        <f>IF($D1077=1,INDEX(TblClusters[RAM par nœud (Go)],$B1077),"")</f>
        <v/>
      </c>
      <c r="J1077" s="19" t="str">
        <f>IF($D1077=1,INDEX(TblClusters[Workers min],$B1077),"")</f>
        <v/>
      </c>
      <c r="K1077" s="73" t="str">
        <f>IF($D1077=1,INDEX(TblClusters[Tarif par nœud],$B1077),"")</f>
        <v/>
      </c>
      <c r="L1077" s="19" t="str">
        <f>IF($D1077=1,INDEX(TblClusters[CPU initial (vCPU)],$B1077),"")</f>
        <v/>
      </c>
      <c r="M1077" s="19" t="str">
        <f>IF($D1077=1,INDEX(TblClusters[RAM initiale (Go)],$B1077),"")</f>
        <v/>
      </c>
      <c r="N1077" s="19" t="str">
        <f>IF($D1077=1,INDEX(TblClusters[CPU min (vCPU)],$B1077),"")</f>
        <v/>
      </c>
      <c r="O1077" s="19" t="str">
        <f>IF($D1077=1,INDEX(TblClusters[RAM min (Go)],$B1077),"")</f>
        <v/>
      </c>
      <c r="P1077" s="19" t="str">
        <f>IF($D1077&lt;&gt;1,"",IF($G1077="ROKS",SUMIFS(TblApplications[Besoin ROKS CPU (vCPU)],TblApplications[Cluster ROKS cible],$F1077,TblApplications[Action],"À migrer",TblApplications[Déjà incluse ROKS],"Non",TblApplications[Mois prov (calc)],"&lt;="&amp;$E1077),SUMIFS(TblApplications[CPU IKS libérable (vCPU)],TblApplications[Cluster IKS source],$F1077,TblApplications[Mois lib (calc)],"&lt;="&amp;$E1077)))</f>
        <v/>
      </c>
      <c r="Q1077" s="19" t="str">
        <f>IF($D1077&lt;&gt;1,"",IF($G1077="ROKS",SUMIFS(TblApplications[Besoin ROKS RAM (Go)],TblApplications[Cluster ROKS cible],$F1077,TblApplications[Action],"À migrer",TblApplications[Déjà incluse ROKS],"Non",TblApplications[Mois prov (calc)],"&lt;="&amp;$E1077),SUMIFS(TblApplications[RAM IKS libérable (Go)],TblApplications[Cluster IKS source],$F1077,TblApplications[Mois lib (calc)],"&lt;="&amp;$E1077)))</f>
        <v/>
      </c>
      <c r="R1077" s="19" t="str">
        <f t="shared" si="275"/>
        <v/>
      </c>
      <c r="S1077" s="19" t="str">
        <f t="shared" si="276"/>
        <v/>
      </c>
      <c r="T1077" s="19" t="str">
        <f t="shared" si="277"/>
        <v/>
      </c>
      <c r="U1077" s="19" t="str">
        <f t="shared" si="278"/>
        <v/>
      </c>
      <c r="V1077" s="19" t="str">
        <f t="shared" si="279"/>
        <v/>
      </c>
      <c r="W1077" s="73" t="str">
        <f t="shared" si="280"/>
        <v/>
      </c>
      <c r="X1077" s="19" t="str">
        <f>IF($D1077&lt;&gt;1,"",IF($G1077="ROKS",$R1077,IF($AI1077=1,0,MAX($N1077,$L1077-SUMIFS(TblApplications[CPU IKS libérable (vCPU)],TblApplications[Cluster IKS source],$F1077,TblApplications[Action],"À migrer",TblApplications[Mois prov (calc)],"&lt;="&amp;$E1077)-SUMIFS(TblApplications[CPU IKS libérable (vCPU)],TblApplications[Cluster IKS source],$F1077,TblApplications[Action],"À décommissionner",TblApplications[Mois lib (calc)],"&lt;="&amp;$E1077)))))</f>
        <v/>
      </c>
      <c r="Y1077" s="19" t="str">
        <f>IF($D1077&lt;&gt;1,"",IF($G1077="ROKS",$S1077,IF($AI1077=1,0,MAX($O1077,$M1077-SUMIFS(TblApplications[RAM IKS libérable (Go)],TblApplications[Cluster IKS source],$F1077,TblApplications[Action],"À migrer",TblApplications[Mois prov (calc)],"&lt;="&amp;$E1077)-SUMIFS(TblApplications[RAM IKS libérable (Go)],TblApplications[Cluster IKS source],$F1077,TblApplications[Action],"À décommissionner",TblApplications[Mois lib (calc)],"&lt;="&amp;$E1077)))))</f>
        <v/>
      </c>
      <c r="Z1077" s="19" t="str">
        <f t="shared" si="281"/>
        <v/>
      </c>
      <c r="AA1077" s="73" t="str">
        <f t="shared" si="282"/>
        <v/>
      </c>
      <c r="AB1077" s="19" t="str">
        <f t="shared" si="283"/>
        <v/>
      </c>
      <c r="AC1077" s="73" t="str">
        <f t="shared" si="284"/>
        <v/>
      </c>
      <c r="AD1077" s="19" t="str">
        <f t="shared" si="285"/>
        <v/>
      </c>
      <c r="AE1077" s="19" t="str">
        <f t="shared" si="286"/>
        <v/>
      </c>
      <c r="AF1077" s="19" t="str">
        <f>IF($D1077&lt;&gt;1,"",IF(INDEX(TblClusters[Environnement],$B1077)="","(vide)",INDEX(TblClusters[Environnement],$B1077)))</f>
        <v/>
      </c>
      <c r="AG1077" s="19" t="str">
        <f t="shared" si="287"/>
        <v/>
      </c>
      <c r="AH1077" s="19" t="str">
        <f t="shared" si="288"/>
        <v/>
      </c>
      <c r="AI1077" s="19" t="str">
        <f>IF($D1077&lt;&gt;1,"",IF(AND($G1077="IKS",ISNUMBER(INDEX(TblClusters[Fermeture retenue],$B1077))),IF($E1077&gt;=INDEX(TblClusters[Fermeture retenue],$B1077),1,0),0))</f>
        <v/>
      </c>
    </row>
    <row r="1078" spans="1:35" x14ac:dyDescent="0.2">
      <c r="A1078" s="19">
        <v>1073</v>
      </c>
      <c r="B1078" s="19">
        <f t="shared" si="272"/>
        <v>30</v>
      </c>
      <c r="C1078" s="19">
        <f t="shared" si="273"/>
        <v>29</v>
      </c>
      <c r="D1078" s="19">
        <f>IF($C1078&gt;p_horizon,0,IFERROR(IF(AND(INDEX(TblClusters[Cluster],$B1078)&lt;&gt;"",ISNUMBER(INDEX(TblClusters[CPU initial (vCPU)],$B1078)),ISNUMBER(INDEX(TblClusters[CPU min (vCPU)],$B1078)),OR(INDEX(TblClusters[Plateforme],$B1078)="IKS",INDEX(TblClusters[Plateforme],$B1078)="ROKS")),1,0),0))</f>
        <v>0</v>
      </c>
      <c r="E1078" s="72" t="str">
        <f t="shared" si="274"/>
        <v/>
      </c>
      <c r="F1078" s="19" t="str">
        <f>IF($D1078=1,INDEX(TblClusters[Cluster],$B1078),"")</f>
        <v/>
      </c>
      <c r="G1078" s="19" t="str">
        <f>IF($D1078=1,INDEX(TblClusters[Plateforme],$B1078),"")</f>
        <v/>
      </c>
      <c r="H1078" s="19" t="str">
        <f>IF($D1078=1,INDEX(TblClusters[vCPU par nœud],$B1078),"")</f>
        <v/>
      </c>
      <c r="I1078" s="19" t="str">
        <f>IF($D1078=1,INDEX(TblClusters[RAM par nœud (Go)],$B1078),"")</f>
        <v/>
      </c>
      <c r="J1078" s="19" t="str">
        <f>IF($D1078=1,INDEX(TblClusters[Workers min],$B1078),"")</f>
        <v/>
      </c>
      <c r="K1078" s="73" t="str">
        <f>IF($D1078=1,INDEX(TblClusters[Tarif par nœud],$B1078),"")</f>
        <v/>
      </c>
      <c r="L1078" s="19" t="str">
        <f>IF($D1078=1,INDEX(TblClusters[CPU initial (vCPU)],$B1078),"")</f>
        <v/>
      </c>
      <c r="M1078" s="19" t="str">
        <f>IF($D1078=1,INDEX(TblClusters[RAM initiale (Go)],$B1078),"")</f>
        <v/>
      </c>
      <c r="N1078" s="19" t="str">
        <f>IF($D1078=1,INDEX(TblClusters[CPU min (vCPU)],$B1078),"")</f>
        <v/>
      </c>
      <c r="O1078" s="19" t="str">
        <f>IF($D1078=1,INDEX(TblClusters[RAM min (Go)],$B1078),"")</f>
        <v/>
      </c>
      <c r="P1078" s="19" t="str">
        <f>IF($D1078&lt;&gt;1,"",IF($G1078="ROKS",SUMIFS(TblApplications[Besoin ROKS CPU (vCPU)],TblApplications[Cluster ROKS cible],$F1078,TblApplications[Action],"À migrer",TblApplications[Déjà incluse ROKS],"Non",TblApplications[Mois prov (calc)],"&lt;="&amp;$E1078),SUMIFS(TblApplications[CPU IKS libérable (vCPU)],TblApplications[Cluster IKS source],$F1078,TblApplications[Mois lib (calc)],"&lt;="&amp;$E1078)))</f>
        <v/>
      </c>
      <c r="Q1078" s="19" t="str">
        <f>IF($D1078&lt;&gt;1,"",IF($G1078="ROKS",SUMIFS(TblApplications[Besoin ROKS RAM (Go)],TblApplications[Cluster ROKS cible],$F1078,TblApplications[Action],"À migrer",TblApplications[Déjà incluse ROKS],"Non",TblApplications[Mois prov (calc)],"&lt;="&amp;$E1078),SUMIFS(TblApplications[RAM IKS libérable (Go)],TblApplications[Cluster IKS source],$F1078,TblApplications[Mois lib (calc)],"&lt;="&amp;$E1078)))</f>
        <v/>
      </c>
      <c r="R1078" s="19" t="str">
        <f t="shared" si="275"/>
        <v/>
      </c>
      <c r="S1078" s="19" t="str">
        <f t="shared" si="276"/>
        <v/>
      </c>
      <c r="T1078" s="19" t="str">
        <f t="shared" si="277"/>
        <v/>
      </c>
      <c r="U1078" s="19" t="str">
        <f t="shared" si="278"/>
        <v/>
      </c>
      <c r="V1078" s="19" t="str">
        <f t="shared" si="279"/>
        <v/>
      </c>
      <c r="W1078" s="73" t="str">
        <f t="shared" si="280"/>
        <v/>
      </c>
      <c r="X1078" s="19" t="str">
        <f>IF($D1078&lt;&gt;1,"",IF($G1078="ROKS",$R1078,IF($AI1078=1,0,MAX($N1078,$L1078-SUMIFS(TblApplications[CPU IKS libérable (vCPU)],TblApplications[Cluster IKS source],$F1078,TblApplications[Action],"À migrer",TblApplications[Mois prov (calc)],"&lt;="&amp;$E1078)-SUMIFS(TblApplications[CPU IKS libérable (vCPU)],TblApplications[Cluster IKS source],$F1078,TblApplications[Action],"À décommissionner",TblApplications[Mois lib (calc)],"&lt;="&amp;$E1078)))))</f>
        <v/>
      </c>
      <c r="Y1078" s="19" t="str">
        <f>IF($D1078&lt;&gt;1,"",IF($G1078="ROKS",$S1078,IF($AI1078=1,0,MAX($O1078,$M1078-SUMIFS(TblApplications[RAM IKS libérable (Go)],TblApplications[Cluster IKS source],$F1078,TblApplications[Action],"À migrer",TblApplications[Mois prov (calc)],"&lt;="&amp;$E1078)-SUMIFS(TblApplications[RAM IKS libérable (Go)],TblApplications[Cluster IKS source],$F1078,TblApplications[Action],"À décommissionner",TblApplications[Mois lib (calc)],"&lt;="&amp;$E1078)))))</f>
        <v/>
      </c>
      <c r="Z1078" s="19" t="str">
        <f t="shared" si="281"/>
        <v/>
      </c>
      <c r="AA1078" s="73" t="str">
        <f t="shared" si="282"/>
        <v/>
      </c>
      <c r="AB1078" s="19" t="str">
        <f t="shared" si="283"/>
        <v/>
      </c>
      <c r="AC1078" s="73" t="str">
        <f t="shared" si="284"/>
        <v/>
      </c>
      <c r="AD1078" s="19" t="str">
        <f t="shared" si="285"/>
        <v/>
      </c>
      <c r="AE1078" s="19" t="str">
        <f t="shared" si="286"/>
        <v/>
      </c>
      <c r="AF1078" s="19" t="str">
        <f>IF($D1078&lt;&gt;1,"",IF(INDEX(TblClusters[Environnement],$B1078)="","(vide)",INDEX(TblClusters[Environnement],$B1078)))</f>
        <v/>
      </c>
      <c r="AG1078" s="19" t="str">
        <f t="shared" si="287"/>
        <v/>
      </c>
      <c r="AH1078" s="19" t="str">
        <f t="shared" si="288"/>
        <v/>
      </c>
      <c r="AI1078" s="19" t="str">
        <f>IF($D1078&lt;&gt;1,"",IF(AND($G1078="IKS",ISNUMBER(INDEX(TblClusters[Fermeture retenue],$B1078))),IF($E1078&gt;=INDEX(TblClusters[Fermeture retenue],$B1078),1,0),0))</f>
        <v/>
      </c>
    </row>
    <row r="1079" spans="1:35" x14ac:dyDescent="0.2">
      <c r="A1079" s="19">
        <v>1074</v>
      </c>
      <c r="B1079" s="19">
        <f t="shared" si="272"/>
        <v>30</v>
      </c>
      <c r="C1079" s="19">
        <f t="shared" si="273"/>
        <v>30</v>
      </c>
      <c r="D1079" s="19">
        <f>IF($C1079&gt;p_horizon,0,IFERROR(IF(AND(INDEX(TblClusters[Cluster],$B1079)&lt;&gt;"",ISNUMBER(INDEX(TblClusters[CPU initial (vCPU)],$B1079)),ISNUMBER(INDEX(TblClusters[CPU min (vCPU)],$B1079)),OR(INDEX(TblClusters[Plateforme],$B1079)="IKS",INDEX(TblClusters[Plateforme],$B1079)="ROKS")),1,0),0))</f>
        <v>0</v>
      </c>
      <c r="E1079" s="72" t="str">
        <f t="shared" si="274"/>
        <v/>
      </c>
      <c r="F1079" s="19" t="str">
        <f>IF($D1079=1,INDEX(TblClusters[Cluster],$B1079),"")</f>
        <v/>
      </c>
      <c r="G1079" s="19" t="str">
        <f>IF($D1079=1,INDEX(TblClusters[Plateforme],$B1079),"")</f>
        <v/>
      </c>
      <c r="H1079" s="19" t="str">
        <f>IF($D1079=1,INDEX(TblClusters[vCPU par nœud],$B1079),"")</f>
        <v/>
      </c>
      <c r="I1079" s="19" t="str">
        <f>IF($D1079=1,INDEX(TblClusters[RAM par nœud (Go)],$B1079),"")</f>
        <v/>
      </c>
      <c r="J1079" s="19" t="str">
        <f>IF($D1079=1,INDEX(TblClusters[Workers min],$B1079),"")</f>
        <v/>
      </c>
      <c r="K1079" s="73" t="str">
        <f>IF($D1079=1,INDEX(TblClusters[Tarif par nœud],$B1079),"")</f>
        <v/>
      </c>
      <c r="L1079" s="19" t="str">
        <f>IF($D1079=1,INDEX(TblClusters[CPU initial (vCPU)],$B1079),"")</f>
        <v/>
      </c>
      <c r="M1079" s="19" t="str">
        <f>IF($D1079=1,INDEX(TblClusters[RAM initiale (Go)],$B1079),"")</f>
        <v/>
      </c>
      <c r="N1079" s="19" t="str">
        <f>IF($D1079=1,INDEX(TblClusters[CPU min (vCPU)],$B1079),"")</f>
        <v/>
      </c>
      <c r="O1079" s="19" t="str">
        <f>IF($D1079=1,INDEX(TblClusters[RAM min (Go)],$B1079),"")</f>
        <v/>
      </c>
      <c r="P1079" s="19" t="str">
        <f>IF($D1079&lt;&gt;1,"",IF($G1079="ROKS",SUMIFS(TblApplications[Besoin ROKS CPU (vCPU)],TblApplications[Cluster ROKS cible],$F1079,TblApplications[Action],"À migrer",TblApplications[Déjà incluse ROKS],"Non",TblApplications[Mois prov (calc)],"&lt;="&amp;$E1079),SUMIFS(TblApplications[CPU IKS libérable (vCPU)],TblApplications[Cluster IKS source],$F1079,TblApplications[Mois lib (calc)],"&lt;="&amp;$E1079)))</f>
        <v/>
      </c>
      <c r="Q1079" s="19" t="str">
        <f>IF($D1079&lt;&gt;1,"",IF($G1079="ROKS",SUMIFS(TblApplications[Besoin ROKS RAM (Go)],TblApplications[Cluster ROKS cible],$F1079,TblApplications[Action],"À migrer",TblApplications[Déjà incluse ROKS],"Non",TblApplications[Mois prov (calc)],"&lt;="&amp;$E1079),SUMIFS(TblApplications[RAM IKS libérable (Go)],TblApplications[Cluster IKS source],$F1079,TblApplications[Mois lib (calc)],"&lt;="&amp;$E1079)))</f>
        <v/>
      </c>
      <c r="R1079" s="19" t="str">
        <f t="shared" si="275"/>
        <v/>
      </c>
      <c r="S1079" s="19" t="str">
        <f t="shared" si="276"/>
        <v/>
      </c>
      <c r="T1079" s="19" t="str">
        <f t="shared" si="277"/>
        <v/>
      </c>
      <c r="U1079" s="19" t="str">
        <f t="shared" si="278"/>
        <v/>
      </c>
      <c r="V1079" s="19" t="str">
        <f t="shared" si="279"/>
        <v/>
      </c>
      <c r="W1079" s="73" t="str">
        <f t="shared" si="280"/>
        <v/>
      </c>
      <c r="X1079" s="19" t="str">
        <f>IF($D1079&lt;&gt;1,"",IF($G1079="ROKS",$R1079,IF($AI1079=1,0,MAX($N1079,$L1079-SUMIFS(TblApplications[CPU IKS libérable (vCPU)],TblApplications[Cluster IKS source],$F1079,TblApplications[Action],"À migrer",TblApplications[Mois prov (calc)],"&lt;="&amp;$E1079)-SUMIFS(TblApplications[CPU IKS libérable (vCPU)],TblApplications[Cluster IKS source],$F1079,TblApplications[Action],"À décommissionner",TblApplications[Mois lib (calc)],"&lt;="&amp;$E1079)))))</f>
        <v/>
      </c>
      <c r="Y1079" s="19" t="str">
        <f>IF($D1079&lt;&gt;1,"",IF($G1079="ROKS",$S1079,IF($AI1079=1,0,MAX($O1079,$M1079-SUMIFS(TblApplications[RAM IKS libérable (Go)],TblApplications[Cluster IKS source],$F1079,TblApplications[Action],"À migrer",TblApplications[Mois prov (calc)],"&lt;="&amp;$E1079)-SUMIFS(TblApplications[RAM IKS libérable (Go)],TblApplications[Cluster IKS source],$F1079,TblApplications[Action],"À décommissionner",TblApplications[Mois lib (calc)],"&lt;="&amp;$E1079)))))</f>
        <v/>
      </c>
      <c r="Z1079" s="19" t="str">
        <f t="shared" si="281"/>
        <v/>
      </c>
      <c r="AA1079" s="73" t="str">
        <f t="shared" si="282"/>
        <v/>
      </c>
      <c r="AB1079" s="19" t="str">
        <f t="shared" si="283"/>
        <v/>
      </c>
      <c r="AC1079" s="73" t="str">
        <f t="shared" si="284"/>
        <v/>
      </c>
      <c r="AD1079" s="19" t="str">
        <f t="shared" si="285"/>
        <v/>
      </c>
      <c r="AE1079" s="19" t="str">
        <f t="shared" si="286"/>
        <v/>
      </c>
      <c r="AF1079" s="19" t="str">
        <f>IF($D1079&lt;&gt;1,"",IF(INDEX(TblClusters[Environnement],$B1079)="","(vide)",INDEX(TblClusters[Environnement],$B1079)))</f>
        <v/>
      </c>
      <c r="AG1079" s="19" t="str">
        <f t="shared" si="287"/>
        <v/>
      </c>
      <c r="AH1079" s="19" t="str">
        <f t="shared" si="288"/>
        <v/>
      </c>
      <c r="AI1079" s="19" t="str">
        <f>IF($D1079&lt;&gt;1,"",IF(AND($G1079="IKS",ISNUMBER(INDEX(TblClusters[Fermeture retenue],$B1079))),IF($E1079&gt;=INDEX(TblClusters[Fermeture retenue],$B1079),1,0),0))</f>
        <v/>
      </c>
    </row>
    <row r="1080" spans="1:35" x14ac:dyDescent="0.2">
      <c r="A1080" s="19">
        <v>1075</v>
      </c>
      <c r="B1080" s="19">
        <f t="shared" si="272"/>
        <v>30</v>
      </c>
      <c r="C1080" s="19">
        <f t="shared" si="273"/>
        <v>31</v>
      </c>
      <c r="D1080" s="19">
        <f>IF($C1080&gt;p_horizon,0,IFERROR(IF(AND(INDEX(TblClusters[Cluster],$B1080)&lt;&gt;"",ISNUMBER(INDEX(TblClusters[CPU initial (vCPU)],$B1080)),ISNUMBER(INDEX(TblClusters[CPU min (vCPU)],$B1080)),OR(INDEX(TblClusters[Plateforme],$B1080)="IKS",INDEX(TblClusters[Plateforme],$B1080)="ROKS")),1,0),0))</f>
        <v>0</v>
      </c>
      <c r="E1080" s="72" t="str">
        <f t="shared" si="274"/>
        <v/>
      </c>
      <c r="F1080" s="19" t="str">
        <f>IF($D1080=1,INDEX(TblClusters[Cluster],$B1080),"")</f>
        <v/>
      </c>
      <c r="G1080" s="19" t="str">
        <f>IF($D1080=1,INDEX(TblClusters[Plateforme],$B1080),"")</f>
        <v/>
      </c>
      <c r="H1080" s="19" t="str">
        <f>IF($D1080=1,INDEX(TblClusters[vCPU par nœud],$B1080),"")</f>
        <v/>
      </c>
      <c r="I1080" s="19" t="str">
        <f>IF($D1080=1,INDEX(TblClusters[RAM par nœud (Go)],$B1080),"")</f>
        <v/>
      </c>
      <c r="J1080" s="19" t="str">
        <f>IF($D1080=1,INDEX(TblClusters[Workers min],$B1080),"")</f>
        <v/>
      </c>
      <c r="K1080" s="73" t="str">
        <f>IF($D1080=1,INDEX(TblClusters[Tarif par nœud],$B1080),"")</f>
        <v/>
      </c>
      <c r="L1080" s="19" t="str">
        <f>IF($D1080=1,INDEX(TblClusters[CPU initial (vCPU)],$B1080),"")</f>
        <v/>
      </c>
      <c r="M1080" s="19" t="str">
        <f>IF($D1080=1,INDEX(TblClusters[RAM initiale (Go)],$B1080),"")</f>
        <v/>
      </c>
      <c r="N1080" s="19" t="str">
        <f>IF($D1080=1,INDEX(TblClusters[CPU min (vCPU)],$B1080),"")</f>
        <v/>
      </c>
      <c r="O1080" s="19" t="str">
        <f>IF($D1080=1,INDEX(TblClusters[RAM min (Go)],$B1080),"")</f>
        <v/>
      </c>
      <c r="P1080" s="19" t="str">
        <f>IF($D1080&lt;&gt;1,"",IF($G1080="ROKS",SUMIFS(TblApplications[Besoin ROKS CPU (vCPU)],TblApplications[Cluster ROKS cible],$F1080,TblApplications[Action],"À migrer",TblApplications[Déjà incluse ROKS],"Non",TblApplications[Mois prov (calc)],"&lt;="&amp;$E1080),SUMIFS(TblApplications[CPU IKS libérable (vCPU)],TblApplications[Cluster IKS source],$F1080,TblApplications[Mois lib (calc)],"&lt;="&amp;$E1080)))</f>
        <v/>
      </c>
      <c r="Q1080" s="19" t="str">
        <f>IF($D1080&lt;&gt;1,"",IF($G1080="ROKS",SUMIFS(TblApplications[Besoin ROKS RAM (Go)],TblApplications[Cluster ROKS cible],$F1080,TblApplications[Action],"À migrer",TblApplications[Déjà incluse ROKS],"Non",TblApplications[Mois prov (calc)],"&lt;="&amp;$E1080),SUMIFS(TblApplications[RAM IKS libérable (Go)],TblApplications[Cluster IKS source],$F1080,TblApplications[Mois lib (calc)],"&lt;="&amp;$E1080)))</f>
        <v/>
      </c>
      <c r="R1080" s="19" t="str">
        <f t="shared" si="275"/>
        <v/>
      </c>
      <c r="S1080" s="19" t="str">
        <f t="shared" si="276"/>
        <v/>
      </c>
      <c r="T1080" s="19" t="str">
        <f t="shared" si="277"/>
        <v/>
      </c>
      <c r="U1080" s="19" t="str">
        <f t="shared" si="278"/>
        <v/>
      </c>
      <c r="V1080" s="19" t="str">
        <f t="shared" si="279"/>
        <v/>
      </c>
      <c r="W1080" s="73" t="str">
        <f t="shared" si="280"/>
        <v/>
      </c>
      <c r="X1080" s="19" t="str">
        <f>IF($D1080&lt;&gt;1,"",IF($G1080="ROKS",$R1080,IF($AI1080=1,0,MAX($N1080,$L1080-SUMIFS(TblApplications[CPU IKS libérable (vCPU)],TblApplications[Cluster IKS source],$F1080,TblApplications[Action],"À migrer",TblApplications[Mois prov (calc)],"&lt;="&amp;$E1080)-SUMIFS(TblApplications[CPU IKS libérable (vCPU)],TblApplications[Cluster IKS source],$F1080,TblApplications[Action],"À décommissionner",TblApplications[Mois lib (calc)],"&lt;="&amp;$E1080)))))</f>
        <v/>
      </c>
      <c r="Y1080" s="19" t="str">
        <f>IF($D1080&lt;&gt;1,"",IF($G1080="ROKS",$S1080,IF($AI1080=1,0,MAX($O1080,$M1080-SUMIFS(TblApplications[RAM IKS libérable (Go)],TblApplications[Cluster IKS source],$F1080,TblApplications[Action],"À migrer",TblApplications[Mois prov (calc)],"&lt;="&amp;$E1080)-SUMIFS(TblApplications[RAM IKS libérable (Go)],TblApplications[Cluster IKS source],$F1080,TblApplications[Action],"À décommissionner",TblApplications[Mois lib (calc)],"&lt;="&amp;$E1080)))))</f>
        <v/>
      </c>
      <c r="Z1080" s="19" t="str">
        <f t="shared" si="281"/>
        <v/>
      </c>
      <c r="AA1080" s="73" t="str">
        <f t="shared" si="282"/>
        <v/>
      </c>
      <c r="AB1080" s="19" t="str">
        <f t="shared" si="283"/>
        <v/>
      </c>
      <c r="AC1080" s="73" t="str">
        <f t="shared" si="284"/>
        <v/>
      </c>
      <c r="AD1080" s="19" t="str">
        <f t="shared" si="285"/>
        <v/>
      </c>
      <c r="AE1080" s="19" t="str">
        <f t="shared" si="286"/>
        <v/>
      </c>
      <c r="AF1080" s="19" t="str">
        <f>IF($D1080&lt;&gt;1,"",IF(INDEX(TblClusters[Environnement],$B1080)="","(vide)",INDEX(TblClusters[Environnement],$B1080)))</f>
        <v/>
      </c>
      <c r="AG1080" s="19" t="str">
        <f t="shared" si="287"/>
        <v/>
      </c>
      <c r="AH1080" s="19" t="str">
        <f t="shared" si="288"/>
        <v/>
      </c>
      <c r="AI1080" s="19" t="str">
        <f>IF($D1080&lt;&gt;1,"",IF(AND($G1080="IKS",ISNUMBER(INDEX(TblClusters[Fermeture retenue],$B1080))),IF($E1080&gt;=INDEX(TblClusters[Fermeture retenue],$B1080),1,0),0))</f>
        <v/>
      </c>
    </row>
    <row r="1081" spans="1:35" x14ac:dyDescent="0.2">
      <c r="A1081" s="19">
        <v>1076</v>
      </c>
      <c r="B1081" s="19">
        <f t="shared" si="272"/>
        <v>30</v>
      </c>
      <c r="C1081" s="19">
        <f t="shared" si="273"/>
        <v>32</v>
      </c>
      <c r="D1081" s="19">
        <f>IF($C1081&gt;p_horizon,0,IFERROR(IF(AND(INDEX(TblClusters[Cluster],$B1081)&lt;&gt;"",ISNUMBER(INDEX(TblClusters[CPU initial (vCPU)],$B1081)),ISNUMBER(INDEX(TblClusters[CPU min (vCPU)],$B1081)),OR(INDEX(TblClusters[Plateforme],$B1081)="IKS",INDEX(TblClusters[Plateforme],$B1081)="ROKS")),1,0),0))</f>
        <v>0</v>
      </c>
      <c r="E1081" s="72" t="str">
        <f t="shared" si="274"/>
        <v/>
      </c>
      <c r="F1081" s="19" t="str">
        <f>IF($D1081=1,INDEX(TblClusters[Cluster],$B1081),"")</f>
        <v/>
      </c>
      <c r="G1081" s="19" t="str">
        <f>IF($D1081=1,INDEX(TblClusters[Plateforme],$B1081),"")</f>
        <v/>
      </c>
      <c r="H1081" s="19" t="str">
        <f>IF($D1081=1,INDEX(TblClusters[vCPU par nœud],$B1081),"")</f>
        <v/>
      </c>
      <c r="I1081" s="19" t="str">
        <f>IF($D1081=1,INDEX(TblClusters[RAM par nœud (Go)],$B1081),"")</f>
        <v/>
      </c>
      <c r="J1081" s="19" t="str">
        <f>IF($D1081=1,INDEX(TblClusters[Workers min],$B1081),"")</f>
        <v/>
      </c>
      <c r="K1081" s="73" t="str">
        <f>IF($D1081=1,INDEX(TblClusters[Tarif par nœud],$B1081),"")</f>
        <v/>
      </c>
      <c r="L1081" s="19" t="str">
        <f>IF($D1081=1,INDEX(TblClusters[CPU initial (vCPU)],$B1081),"")</f>
        <v/>
      </c>
      <c r="M1081" s="19" t="str">
        <f>IF($D1081=1,INDEX(TblClusters[RAM initiale (Go)],$B1081),"")</f>
        <v/>
      </c>
      <c r="N1081" s="19" t="str">
        <f>IF($D1081=1,INDEX(TblClusters[CPU min (vCPU)],$B1081),"")</f>
        <v/>
      </c>
      <c r="O1081" s="19" t="str">
        <f>IF($D1081=1,INDEX(TblClusters[RAM min (Go)],$B1081),"")</f>
        <v/>
      </c>
      <c r="P1081" s="19" t="str">
        <f>IF($D1081&lt;&gt;1,"",IF($G1081="ROKS",SUMIFS(TblApplications[Besoin ROKS CPU (vCPU)],TblApplications[Cluster ROKS cible],$F1081,TblApplications[Action],"À migrer",TblApplications[Déjà incluse ROKS],"Non",TblApplications[Mois prov (calc)],"&lt;="&amp;$E1081),SUMIFS(TblApplications[CPU IKS libérable (vCPU)],TblApplications[Cluster IKS source],$F1081,TblApplications[Mois lib (calc)],"&lt;="&amp;$E1081)))</f>
        <v/>
      </c>
      <c r="Q1081" s="19" t="str">
        <f>IF($D1081&lt;&gt;1,"",IF($G1081="ROKS",SUMIFS(TblApplications[Besoin ROKS RAM (Go)],TblApplications[Cluster ROKS cible],$F1081,TblApplications[Action],"À migrer",TblApplications[Déjà incluse ROKS],"Non",TblApplications[Mois prov (calc)],"&lt;="&amp;$E1081),SUMIFS(TblApplications[RAM IKS libérable (Go)],TblApplications[Cluster IKS source],$F1081,TblApplications[Mois lib (calc)],"&lt;="&amp;$E1081)))</f>
        <v/>
      </c>
      <c r="R1081" s="19" t="str">
        <f t="shared" si="275"/>
        <v/>
      </c>
      <c r="S1081" s="19" t="str">
        <f t="shared" si="276"/>
        <v/>
      </c>
      <c r="T1081" s="19" t="str">
        <f t="shared" si="277"/>
        <v/>
      </c>
      <c r="U1081" s="19" t="str">
        <f t="shared" si="278"/>
        <v/>
      </c>
      <c r="V1081" s="19" t="str">
        <f t="shared" si="279"/>
        <v/>
      </c>
      <c r="W1081" s="73" t="str">
        <f t="shared" si="280"/>
        <v/>
      </c>
      <c r="X1081" s="19" t="str">
        <f>IF($D1081&lt;&gt;1,"",IF($G1081="ROKS",$R1081,IF($AI1081=1,0,MAX($N1081,$L1081-SUMIFS(TblApplications[CPU IKS libérable (vCPU)],TblApplications[Cluster IKS source],$F1081,TblApplications[Action],"À migrer",TblApplications[Mois prov (calc)],"&lt;="&amp;$E1081)-SUMIFS(TblApplications[CPU IKS libérable (vCPU)],TblApplications[Cluster IKS source],$F1081,TblApplications[Action],"À décommissionner",TblApplications[Mois lib (calc)],"&lt;="&amp;$E1081)))))</f>
        <v/>
      </c>
      <c r="Y1081" s="19" t="str">
        <f>IF($D1081&lt;&gt;1,"",IF($G1081="ROKS",$S1081,IF($AI1081=1,0,MAX($O1081,$M1081-SUMIFS(TblApplications[RAM IKS libérable (Go)],TblApplications[Cluster IKS source],$F1081,TblApplications[Action],"À migrer",TblApplications[Mois prov (calc)],"&lt;="&amp;$E1081)-SUMIFS(TblApplications[RAM IKS libérable (Go)],TblApplications[Cluster IKS source],$F1081,TblApplications[Action],"À décommissionner",TblApplications[Mois lib (calc)],"&lt;="&amp;$E1081)))))</f>
        <v/>
      </c>
      <c r="Z1081" s="19" t="str">
        <f t="shared" si="281"/>
        <v/>
      </c>
      <c r="AA1081" s="73" t="str">
        <f t="shared" si="282"/>
        <v/>
      </c>
      <c r="AB1081" s="19" t="str">
        <f t="shared" si="283"/>
        <v/>
      </c>
      <c r="AC1081" s="73" t="str">
        <f t="shared" si="284"/>
        <v/>
      </c>
      <c r="AD1081" s="19" t="str">
        <f t="shared" si="285"/>
        <v/>
      </c>
      <c r="AE1081" s="19" t="str">
        <f t="shared" si="286"/>
        <v/>
      </c>
      <c r="AF1081" s="19" t="str">
        <f>IF($D1081&lt;&gt;1,"",IF(INDEX(TblClusters[Environnement],$B1081)="","(vide)",INDEX(TblClusters[Environnement],$B1081)))</f>
        <v/>
      </c>
      <c r="AG1081" s="19" t="str">
        <f t="shared" si="287"/>
        <v/>
      </c>
      <c r="AH1081" s="19" t="str">
        <f t="shared" si="288"/>
        <v/>
      </c>
      <c r="AI1081" s="19" t="str">
        <f>IF($D1081&lt;&gt;1,"",IF(AND($G1081="IKS",ISNUMBER(INDEX(TblClusters[Fermeture retenue],$B1081))),IF($E1081&gt;=INDEX(TblClusters[Fermeture retenue],$B1081),1,0),0))</f>
        <v/>
      </c>
    </row>
    <row r="1082" spans="1:35" x14ac:dyDescent="0.2">
      <c r="A1082" s="19">
        <v>1077</v>
      </c>
      <c r="B1082" s="19">
        <f t="shared" si="272"/>
        <v>30</v>
      </c>
      <c r="C1082" s="19">
        <f t="shared" si="273"/>
        <v>33</v>
      </c>
      <c r="D1082" s="19">
        <f>IF($C1082&gt;p_horizon,0,IFERROR(IF(AND(INDEX(TblClusters[Cluster],$B1082)&lt;&gt;"",ISNUMBER(INDEX(TblClusters[CPU initial (vCPU)],$B1082)),ISNUMBER(INDEX(TblClusters[CPU min (vCPU)],$B1082)),OR(INDEX(TblClusters[Plateforme],$B1082)="IKS",INDEX(TblClusters[Plateforme],$B1082)="ROKS")),1,0),0))</f>
        <v>0</v>
      </c>
      <c r="E1082" s="72" t="str">
        <f t="shared" si="274"/>
        <v/>
      </c>
      <c r="F1082" s="19" t="str">
        <f>IF($D1082=1,INDEX(TblClusters[Cluster],$B1082),"")</f>
        <v/>
      </c>
      <c r="G1082" s="19" t="str">
        <f>IF($D1082=1,INDEX(TblClusters[Plateforme],$B1082),"")</f>
        <v/>
      </c>
      <c r="H1082" s="19" t="str">
        <f>IF($D1082=1,INDEX(TblClusters[vCPU par nœud],$B1082),"")</f>
        <v/>
      </c>
      <c r="I1082" s="19" t="str">
        <f>IF($D1082=1,INDEX(TblClusters[RAM par nœud (Go)],$B1082),"")</f>
        <v/>
      </c>
      <c r="J1082" s="19" t="str">
        <f>IF($D1082=1,INDEX(TblClusters[Workers min],$B1082),"")</f>
        <v/>
      </c>
      <c r="K1082" s="73" t="str">
        <f>IF($D1082=1,INDEX(TblClusters[Tarif par nœud],$B1082),"")</f>
        <v/>
      </c>
      <c r="L1082" s="19" t="str">
        <f>IF($D1082=1,INDEX(TblClusters[CPU initial (vCPU)],$B1082),"")</f>
        <v/>
      </c>
      <c r="M1082" s="19" t="str">
        <f>IF($D1082=1,INDEX(TblClusters[RAM initiale (Go)],$B1082),"")</f>
        <v/>
      </c>
      <c r="N1082" s="19" t="str">
        <f>IF($D1082=1,INDEX(TblClusters[CPU min (vCPU)],$B1082),"")</f>
        <v/>
      </c>
      <c r="O1082" s="19" t="str">
        <f>IF($D1082=1,INDEX(TblClusters[RAM min (Go)],$B1082),"")</f>
        <v/>
      </c>
      <c r="P1082" s="19" t="str">
        <f>IF($D1082&lt;&gt;1,"",IF($G1082="ROKS",SUMIFS(TblApplications[Besoin ROKS CPU (vCPU)],TblApplications[Cluster ROKS cible],$F1082,TblApplications[Action],"À migrer",TblApplications[Déjà incluse ROKS],"Non",TblApplications[Mois prov (calc)],"&lt;="&amp;$E1082),SUMIFS(TblApplications[CPU IKS libérable (vCPU)],TblApplications[Cluster IKS source],$F1082,TblApplications[Mois lib (calc)],"&lt;="&amp;$E1082)))</f>
        <v/>
      </c>
      <c r="Q1082" s="19" t="str">
        <f>IF($D1082&lt;&gt;1,"",IF($G1082="ROKS",SUMIFS(TblApplications[Besoin ROKS RAM (Go)],TblApplications[Cluster ROKS cible],$F1082,TblApplications[Action],"À migrer",TblApplications[Déjà incluse ROKS],"Non",TblApplications[Mois prov (calc)],"&lt;="&amp;$E1082),SUMIFS(TblApplications[RAM IKS libérable (Go)],TblApplications[Cluster IKS source],$F1082,TblApplications[Mois lib (calc)],"&lt;="&amp;$E1082)))</f>
        <v/>
      </c>
      <c r="R1082" s="19" t="str">
        <f t="shared" si="275"/>
        <v/>
      </c>
      <c r="S1082" s="19" t="str">
        <f t="shared" si="276"/>
        <v/>
      </c>
      <c r="T1082" s="19" t="str">
        <f t="shared" si="277"/>
        <v/>
      </c>
      <c r="U1082" s="19" t="str">
        <f t="shared" si="278"/>
        <v/>
      </c>
      <c r="V1082" s="19" t="str">
        <f t="shared" si="279"/>
        <v/>
      </c>
      <c r="W1082" s="73" t="str">
        <f t="shared" si="280"/>
        <v/>
      </c>
      <c r="X1082" s="19" t="str">
        <f>IF($D1082&lt;&gt;1,"",IF($G1082="ROKS",$R1082,IF($AI1082=1,0,MAX($N1082,$L1082-SUMIFS(TblApplications[CPU IKS libérable (vCPU)],TblApplications[Cluster IKS source],$F1082,TblApplications[Action],"À migrer",TblApplications[Mois prov (calc)],"&lt;="&amp;$E1082)-SUMIFS(TblApplications[CPU IKS libérable (vCPU)],TblApplications[Cluster IKS source],$F1082,TblApplications[Action],"À décommissionner",TblApplications[Mois lib (calc)],"&lt;="&amp;$E1082)))))</f>
        <v/>
      </c>
      <c r="Y1082" s="19" t="str">
        <f>IF($D1082&lt;&gt;1,"",IF($G1082="ROKS",$S1082,IF($AI1082=1,0,MAX($O1082,$M1082-SUMIFS(TblApplications[RAM IKS libérable (Go)],TblApplications[Cluster IKS source],$F1082,TblApplications[Action],"À migrer",TblApplications[Mois prov (calc)],"&lt;="&amp;$E1082)-SUMIFS(TblApplications[RAM IKS libérable (Go)],TblApplications[Cluster IKS source],$F1082,TblApplications[Action],"À décommissionner",TblApplications[Mois lib (calc)],"&lt;="&amp;$E1082)))))</f>
        <v/>
      </c>
      <c r="Z1082" s="19" t="str">
        <f t="shared" si="281"/>
        <v/>
      </c>
      <c r="AA1082" s="73" t="str">
        <f t="shared" si="282"/>
        <v/>
      </c>
      <c r="AB1082" s="19" t="str">
        <f t="shared" si="283"/>
        <v/>
      </c>
      <c r="AC1082" s="73" t="str">
        <f t="shared" si="284"/>
        <v/>
      </c>
      <c r="AD1082" s="19" t="str">
        <f t="shared" si="285"/>
        <v/>
      </c>
      <c r="AE1082" s="19" t="str">
        <f t="shared" si="286"/>
        <v/>
      </c>
      <c r="AF1082" s="19" t="str">
        <f>IF($D1082&lt;&gt;1,"",IF(INDEX(TblClusters[Environnement],$B1082)="","(vide)",INDEX(TblClusters[Environnement],$B1082)))</f>
        <v/>
      </c>
      <c r="AG1082" s="19" t="str">
        <f t="shared" si="287"/>
        <v/>
      </c>
      <c r="AH1082" s="19" t="str">
        <f t="shared" si="288"/>
        <v/>
      </c>
      <c r="AI1082" s="19" t="str">
        <f>IF($D1082&lt;&gt;1,"",IF(AND($G1082="IKS",ISNUMBER(INDEX(TblClusters[Fermeture retenue],$B1082))),IF($E1082&gt;=INDEX(TblClusters[Fermeture retenue],$B1082),1,0),0))</f>
        <v/>
      </c>
    </row>
    <row r="1083" spans="1:35" x14ac:dyDescent="0.2">
      <c r="A1083" s="19">
        <v>1078</v>
      </c>
      <c r="B1083" s="19">
        <f t="shared" si="272"/>
        <v>30</v>
      </c>
      <c r="C1083" s="19">
        <f t="shared" si="273"/>
        <v>34</v>
      </c>
      <c r="D1083" s="19">
        <f>IF($C1083&gt;p_horizon,0,IFERROR(IF(AND(INDEX(TblClusters[Cluster],$B1083)&lt;&gt;"",ISNUMBER(INDEX(TblClusters[CPU initial (vCPU)],$B1083)),ISNUMBER(INDEX(TblClusters[CPU min (vCPU)],$B1083)),OR(INDEX(TblClusters[Plateforme],$B1083)="IKS",INDEX(TblClusters[Plateforme],$B1083)="ROKS")),1,0),0))</f>
        <v>0</v>
      </c>
      <c r="E1083" s="72" t="str">
        <f t="shared" si="274"/>
        <v/>
      </c>
      <c r="F1083" s="19" t="str">
        <f>IF($D1083=1,INDEX(TblClusters[Cluster],$B1083),"")</f>
        <v/>
      </c>
      <c r="G1083" s="19" t="str">
        <f>IF($D1083=1,INDEX(TblClusters[Plateforme],$B1083),"")</f>
        <v/>
      </c>
      <c r="H1083" s="19" t="str">
        <f>IF($D1083=1,INDEX(TblClusters[vCPU par nœud],$B1083),"")</f>
        <v/>
      </c>
      <c r="I1083" s="19" t="str">
        <f>IF($D1083=1,INDEX(TblClusters[RAM par nœud (Go)],$B1083),"")</f>
        <v/>
      </c>
      <c r="J1083" s="19" t="str">
        <f>IF($D1083=1,INDEX(TblClusters[Workers min],$B1083),"")</f>
        <v/>
      </c>
      <c r="K1083" s="73" t="str">
        <f>IF($D1083=1,INDEX(TblClusters[Tarif par nœud],$B1083),"")</f>
        <v/>
      </c>
      <c r="L1083" s="19" t="str">
        <f>IF($D1083=1,INDEX(TblClusters[CPU initial (vCPU)],$B1083),"")</f>
        <v/>
      </c>
      <c r="M1083" s="19" t="str">
        <f>IF($D1083=1,INDEX(TblClusters[RAM initiale (Go)],$B1083),"")</f>
        <v/>
      </c>
      <c r="N1083" s="19" t="str">
        <f>IF($D1083=1,INDEX(TblClusters[CPU min (vCPU)],$B1083),"")</f>
        <v/>
      </c>
      <c r="O1083" s="19" t="str">
        <f>IF($D1083=1,INDEX(TblClusters[RAM min (Go)],$B1083),"")</f>
        <v/>
      </c>
      <c r="P1083" s="19" t="str">
        <f>IF($D1083&lt;&gt;1,"",IF($G1083="ROKS",SUMIFS(TblApplications[Besoin ROKS CPU (vCPU)],TblApplications[Cluster ROKS cible],$F1083,TblApplications[Action],"À migrer",TblApplications[Déjà incluse ROKS],"Non",TblApplications[Mois prov (calc)],"&lt;="&amp;$E1083),SUMIFS(TblApplications[CPU IKS libérable (vCPU)],TblApplications[Cluster IKS source],$F1083,TblApplications[Mois lib (calc)],"&lt;="&amp;$E1083)))</f>
        <v/>
      </c>
      <c r="Q1083" s="19" t="str">
        <f>IF($D1083&lt;&gt;1,"",IF($G1083="ROKS",SUMIFS(TblApplications[Besoin ROKS RAM (Go)],TblApplications[Cluster ROKS cible],$F1083,TblApplications[Action],"À migrer",TblApplications[Déjà incluse ROKS],"Non",TblApplications[Mois prov (calc)],"&lt;="&amp;$E1083),SUMIFS(TblApplications[RAM IKS libérable (Go)],TblApplications[Cluster IKS source],$F1083,TblApplications[Mois lib (calc)],"&lt;="&amp;$E1083)))</f>
        <v/>
      </c>
      <c r="R1083" s="19" t="str">
        <f t="shared" si="275"/>
        <v/>
      </c>
      <c r="S1083" s="19" t="str">
        <f t="shared" si="276"/>
        <v/>
      </c>
      <c r="T1083" s="19" t="str">
        <f t="shared" si="277"/>
        <v/>
      </c>
      <c r="U1083" s="19" t="str">
        <f t="shared" si="278"/>
        <v/>
      </c>
      <c r="V1083" s="19" t="str">
        <f t="shared" si="279"/>
        <v/>
      </c>
      <c r="W1083" s="73" t="str">
        <f t="shared" si="280"/>
        <v/>
      </c>
      <c r="X1083" s="19" t="str">
        <f>IF($D1083&lt;&gt;1,"",IF($G1083="ROKS",$R1083,IF($AI1083=1,0,MAX($N1083,$L1083-SUMIFS(TblApplications[CPU IKS libérable (vCPU)],TblApplications[Cluster IKS source],$F1083,TblApplications[Action],"À migrer",TblApplications[Mois prov (calc)],"&lt;="&amp;$E1083)-SUMIFS(TblApplications[CPU IKS libérable (vCPU)],TblApplications[Cluster IKS source],$F1083,TblApplications[Action],"À décommissionner",TblApplications[Mois lib (calc)],"&lt;="&amp;$E1083)))))</f>
        <v/>
      </c>
      <c r="Y1083" s="19" t="str">
        <f>IF($D1083&lt;&gt;1,"",IF($G1083="ROKS",$S1083,IF($AI1083=1,0,MAX($O1083,$M1083-SUMIFS(TblApplications[RAM IKS libérable (Go)],TblApplications[Cluster IKS source],$F1083,TblApplications[Action],"À migrer",TblApplications[Mois prov (calc)],"&lt;="&amp;$E1083)-SUMIFS(TblApplications[RAM IKS libérable (Go)],TblApplications[Cluster IKS source],$F1083,TblApplications[Action],"À décommissionner",TblApplications[Mois lib (calc)],"&lt;="&amp;$E1083)))))</f>
        <v/>
      </c>
      <c r="Z1083" s="19" t="str">
        <f t="shared" si="281"/>
        <v/>
      </c>
      <c r="AA1083" s="73" t="str">
        <f t="shared" si="282"/>
        <v/>
      </c>
      <c r="AB1083" s="19" t="str">
        <f t="shared" si="283"/>
        <v/>
      </c>
      <c r="AC1083" s="73" t="str">
        <f t="shared" si="284"/>
        <v/>
      </c>
      <c r="AD1083" s="19" t="str">
        <f t="shared" si="285"/>
        <v/>
      </c>
      <c r="AE1083" s="19" t="str">
        <f t="shared" si="286"/>
        <v/>
      </c>
      <c r="AF1083" s="19" t="str">
        <f>IF($D1083&lt;&gt;1,"",IF(INDEX(TblClusters[Environnement],$B1083)="","(vide)",INDEX(TblClusters[Environnement],$B1083)))</f>
        <v/>
      </c>
      <c r="AG1083" s="19" t="str">
        <f t="shared" si="287"/>
        <v/>
      </c>
      <c r="AH1083" s="19" t="str">
        <f t="shared" si="288"/>
        <v/>
      </c>
      <c r="AI1083" s="19" t="str">
        <f>IF($D1083&lt;&gt;1,"",IF(AND($G1083="IKS",ISNUMBER(INDEX(TblClusters[Fermeture retenue],$B1083))),IF($E1083&gt;=INDEX(TblClusters[Fermeture retenue],$B1083),1,0),0))</f>
        <v/>
      </c>
    </row>
    <row r="1084" spans="1:35" x14ac:dyDescent="0.2">
      <c r="A1084" s="19">
        <v>1079</v>
      </c>
      <c r="B1084" s="19">
        <f t="shared" si="272"/>
        <v>30</v>
      </c>
      <c r="C1084" s="19">
        <f t="shared" si="273"/>
        <v>35</v>
      </c>
      <c r="D1084" s="19">
        <f>IF($C1084&gt;p_horizon,0,IFERROR(IF(AND(INDEX(TblClusters[Cluster],$B1084)&lt;&gt;"",ISNUMBER(INDEX(TblClusters[CPU initial (vCPU)],$B1084)),ISNUMBER(INDEX(TblClusters[CPU min (vCPU)],$B1084)),OR(INDEX(TblClusters[Plateforme],$B1084)="IKS",INDEX(TblClusters[Plateforme],$B1084)="ROKS")),1,0),0))</f>
        <v>0</v>
      </c>
      <c r="E1084" s="72" t="str">
        <f t="shared" si="274"/>
        <v/>
      </c>
      <c r="F1084" s="19" t="str">
        <f>IF($D1084=1,INDEX(TblClusters[Cluster],$B1084),"")</f>
        <v/>
      </c>
      <c r="G1084" s="19" t="str">
        <f>IF($D1084=1,INDEX(TblClusters[Plateforme],$B1084),"")</f>
        <v/>
      </c>
      <c r="H1084" s="19" t="str">
        <f>IF($D1084=1,INDEX(TblClusters[vCPU par nœud],$B1084),"")</f>
        <v/>
      </c>
      <c r="I1084" s="19" t="str">
        <f>IF($D1084=1,INDEX(TblClusters[RAM par nœud (Go)],$B1084),"")</f>
        <v/>
      </c>
      <c r="J1084" s="19" t="str">
        <f>IF($D1084=1,INDEX(TblClusters[Workers min],$B1084),"")</f>
        <v/>
      </c>
      <c r="K1084" s="73" t="str">
        <f>IF($D1084=1,INDEX(TblClusters[Tarif par nœud],$B1084),"")</f>
        <v/>
      </c>
      <c r="L1084" s="19" t="str">
        <f>IF($D1084=1,INDEX(TblClusters[CPU initial (vCPU)],$B1084),"")</f>
        <v/>
      </c>
      <c r="M1084" s="19" t="str">
        <f>IF($D1084=1,INDEX(TblClusters[RAM initiale (Go)],$B1084),"")</f>
        <v/>
      </c>
      <c r="N1084" s="19" t="str">
        <f>IF($D1084=1,INDEX(TblClusters[CPU min (vCPU)],$B1084),"")</f>
        <v/>
      </c>
      <c r="O1084" s="19" t="str">
        <f>IF($D1084=1,INDEX(TblClusters[RAM min (Go)],$B1084),"")</f>
        <v/>
      </c>
      <c r="P1084" s="19" t="str">
        <f>IF($D1084&lt;&gt;1,"",IF($G1084="ROKS",SUMIFS(TblApplications[Besoin ROKS CPU (vCPU)],TblApplications[Cluster ROKS cible],$F1084,TblApplications[Action],"À migrer",TblApplications[Déjà incluse ROKS],"Non",TblApplications[Mois prov (calc)],"&lt;="&amp;$E1084),SUMIFS(TblApplications[CPU IKS libérable (vCPU)],TblApplications[Cluster IKS source],$F1084,TblApplications[Mois lib (calc)],"&lt;="&amp;$E1084)))</f>
        <v/>
      </c>
      <c r="Q1084" s="19" t="str">
        <f>IF($D1084&lt;&gt;1,"",IF($G1084="ROKS",SUMIFS(TblApplications[Besoin ROKS RAM (Go)],TblApplications[Cluster ROKS cible],$F1084,TblApplications[Action],"À migrer",TblApplications[Déjà incluse ROKS],"Non",TblApplications[Mois prov (calc)],"&lt;="&amp;$E1084),SUMIFS(TblApplications[RAM IKS libérable (Go)],TblApplications[Cluster IKS source],$F1084,TblApplications[Mois lib (calc)],"&lt;="&amp;$E1084)))</f>
        <v/>
      </c>
      <c r="R1084" s="19" t="str">
        <f t="shared" si="275"/>
        <v/>
      </c>
      <c r="S1084" s="19" t="str">
        <f t="shared" si="276"/>
        <v/>
      </c>
      <c r="T1084" s="19" t="str">
        <f t="shared" si="277"/>
        <v/>
      </c>
      <c r="U1084" s="19" t="str">
        <f t="shared" si="278"/>
        <v/>
      </c>
      <c r="V1084" s="19" t="str">
        <f t="shared" si="279"/>
        <v/>
      </c>
      <c r="W1084" s="73" t="str">
        <f t="shared" si="280"/>
        <v/>
      </c>
      <c r="X1084" s="19" t="str">
        <f>IF($D1084&lt;&gt;1,"",IF($G1084="ROKS",$R1084,IF($AI1084=1,0,MAX($N1084,$L1084-SUMIFS(TblApplications[CPU IKS libérable (vCPU)],TblApplications[Cluster IKS source],$F1084,TblApplications[Action],"À migrer",TblApplications[Mois prov (calc)],"&lt;="&amp;$E1084)-SUMIFS(TblApplications[CPU IKS libérable (vCPU)],TblApplications[Cluster IKS source],$F1084,TblApplications[Action],"À décommissionner",TblApplications[Mois lib (calc)],"&lt;="&amp;$E1084)))))</f>
        <v/>
      </c>
      <c r="Y1084" s="19" t="str">
        <f>IF($D1084&lt;&gt;1,"",IF($G1084="ROKS",$S1084,IF($AI1084=1,0,MAX($O1084,$M1084-SUMIFS(TblApplications[RAM IKS libérable (Go)],TblApplications[Cluster IKS source],$F1084,TblApplications[Action],"À migrer",TblApplications[Mois prov (calc)],"&lt;="&amp;$E1084)-SUMIFS(TblApplications[RAM IKS libérable (Go)],TblApplications[Cluster IKS source],$F1084,TblApplications[Action],"À décommissionner",TblApplications[Mois lib (calc)],"&lt;="&amp;$E1084)))))</f>
        <v/>
      </c>
      <c r="Z1084" s="19" t="str">
        <f t="shared" si="281"/>
        <v/>
      </c>
      <c r="AA1084" s="73" t="str">
        <f t="shared" si="282"/>
        <v/>
      </c>
      <c r="AB1084" s="19" t="str">
        <f t="shared" si="283"/>
        <v/>
      </c>
      <c r="AC1084" s="73" t="str">
        <f t="shared" si="284"/>
        <v/>
      </c>
      <c r="AD1084" s="19" t="str">
        <f t="shared" si="285"/>
        <v/>
      </c>
      <c r="AE1084" s="19" t="str">
        <f t="shared" si="286"/>
        <v/>
      </c>
      <c r="AF1084" s="19" t="str">
        <f>IF($D1084&lt;&gt;1,"",IF(INDEX(TblClusters[Environnement],$B1084)="","(vide)",INDEX(TblClusters[Environnement],$B1084)))</f>
        <v/>
      </c>
      <c r="AG1084" s="19" t="str">
        <f t="shared" si="287"/>
        <v/>
      </c>
      <c r="AH1084" s="19" t="str">
        <f t="shared" si="288"/>
        <v/>
      </c>
      <c r="AI1084" s="19" t="str">
        <f>IF($D1084&lt;&gt;1,"",IF(AND($G1084="IKS",ISNUMBER(INDEX(TblClusters[Fermeture retenue],$B1084))),IF($E1084&gt;=INDEX(TblClusters[Fermeture retenue],$B1084),1,0),0))</f>
        <v/>
      </c>
    </row>
    <row r="1085" spans="1:35" x14ac:dyDescent="0.2">
      <c r="A1085" s="19">
        <v>1080</v>
      </c>
      <c r="B1085" s="19">
        <f t="shared" si="272"/>
        <v>30</v>
      </c>
      <c r="C1085" s="19">
        <f t="shared" si="273"/>
        <v>36</v>
      </c>
      <c r="D1085" s="19">
        <f>IF($C1085&gt;p_horizon,0,IFERROR(IF(AND(INDEX(TblClusters[Cluster],$B1085)&lt;&gt;"",ISNUMBER(INDEX(TblClusters[CPU initial (vCPU)],$B1085)),ISNUMBER(INDEX(TblClusters[CPU min (vCPU)],$B1085)),OR(INDEX(TblClusters[Plateforme],$B1085)="IKS",INDEX(TblClusters[Plateforme],$B1085)="ROKS")),1,0),0))</f>
        <v>0</v>
      </c>
      <c r="E1085" s="72" t="str">
        <f t="shared" si="274"/>
        <v/>
      </c>
      <c r="F1085" s="19" t="str">
        <f>IF($D1085=1,INDEX(TblClusters[Cluster],$B1085),"")</f>
        <v/>
      </c>
      <c r="G1085" s="19" t="str">
        <f>IF($D1085=1,INDEX(TblClusters[Plateforme],$B1085),"")</f>
        <v/>
      </c>
      <c r="H1085" s="19" t="str">
        <f>IF($D1085=1,INDEX(TblClusters[vCPU par nœud],$B1085),"")</f>
        <v/>
      </c>
      <c r="I1085" s="19" t="str">
        <f>IF($D1085=1,INDEX(TblClusters[RAM par nœud (Go)],$B1085),"")</f>
        <v/>
      </c>
      <c r="J1085" s="19" t="str">
        <f>IF($D1085=1,INDEX(TblClusters[Workers min],$B1085),"")</f>
        <v/>
      </c>
      <c r="K1085" s="73" t="str">
        <f>IF($D1085=1,INDEX(TblClusters[Tarif par nœud],$B1085),"")</f>
        <v/>
      </c>
      <c r="L1085" s="19" t="str">
        <f>IF($D1085=1,INDEX(TblClusters[CPU initial (vCPU)],$B1085),"")</f>
        <v/>
      </c>
      <c r="M1085" s="19" t="str">
        <f>IF($D1085=1,INDEX(TblClusters[RAM initiale (Go)],$B1085),"")</f>
        <v/>
      </c>
      <c r="N1085" s="19" t="str">
        <f>IF($D1085=1,INDEX(TblClusters[CPU min (vCPU)],$B1085),"")</f>
        <v/>
      </c>
      <c r="O1085" s="19" t="str">
        <f>IF($D1085=1,INDEX(TblClusters[RAM min (Go)],$B1085),"")</f>
        <v/>
      </c>
      <c r="P1085" s="19" t="str">
        <f>IF($D1085&lt;&gt;1,"",IF($G1085="ROKS",SUMIFS(TblApplications[Besoin ROKS CPU (vCPU)],TblApplications[Cluster ROKS cible],$F1085,TblApplications[Action],"À migrer",TblApplications[Déjà incluse ROKS],"Non",TblApplications[Mois prov (calc)],"&lt;="&amp;$E1085),SUMIFS(TblApplications[CPU IKS libérable (vCPU)],TblApplications[Cluster IKS source],$F1085,TblApplications[Mois lib (calc)],"&lt;="&amp;$E1085)))</f>
        <v/>
      </c>
      <c r="Q1085" s="19" t="str">
        <f>IF($D1085&lt;&gt;1,"",IF($G1085="ROKS",SUMIFS(TblApplications[Besoin ROKS RAM (Go)],TblApplications[Cluster ROKS cible],$F1085,TblApplications[Action],"À migrer",TblApplications[Déjà incluse ROKS],"Non",TblApplications[Mois prov (calc)],"&lt;="&amp;$E1085),SUMIFS(TblApplications[RAM IKS libérable (Go)],TblApplications[Cluster IKS source],$F1085,TblApplications[Mois lib (calc)],"&lt;="&amp;$E1085)))</f>
        <v/>
      </c>
      <c r="R1085" s="19" t="str">
        <f t="shared" si="275"/>
        <v/>
      </c>
      <c r="S1085" s="19" t="str">
        <f t="shared" si="276"/>
        <v/>
      </c>
      <c r="T1085" s="19" t="str">
        <f t="shared" si="277"/>
        <v/>
      </c>
      <c r="U1085" s="19" t="str">
        <f t="shared" si="278"/>
        <v/>
      </c>
      <c r="V1085" s="19" t="str">
        <f t="shared" si="279"/>
        <v/>
      </c>
      <c r="W1085" s="73" t="str">
        <f t="shared" si="280"/>
        <v/>
      </c>
      <c r="X1085" s="19" t="str">
        <f>IF($D1085&lt;&gt;1,"",IF($G1085="ROKS",$R1085,IF($AI1085=1,0,MAX($N1085,$L1085-SUMIFS(TblApplications[CPU IKS libérable (vCPU)],TblApplications[Cluster IKS source],$F1085,TblApplications[Action],"À migrer",TblApplications[Mois prov (calc)],"&lt;="&amp;$E1085)-SUMIFS(TblApplications[CPU IKS libérable (vCPU)],TblApplications[Cluster IKS source],$F1085,TblApplications[Action],"À décommissionner",TblApplications[Mois lib (calc)],"&lt;="&amp;$E1085)))))</f>
        <v/>
      </c>
      <c r="Y1085" s="19" t="str">
        <f>IF($D1085&lt;&gt;1,"",IF($G1085="ROKS",$S1085,IF($AI1085=1,0,MAX($O1085,$M1085-SUMIFS(TblApplications[RAM IKS libérable (Go)],TblApplications[Cluster IKS source],$F1085,TblApplications[Action],"À migrer",TblApplications[Mois prov (calc)],"&lt;="&amp;$E1085)-SUMIFS(TblApplications[RAM IKS libérable (Go)],TblApplications[Cluster IKS source],$F1085,TblApplications[Action],"À décommissionner",TblApplications[Mois lib (calc)],"&lt;="&amp;$E1085)))))</f>
        <v/>
      </c>
      <c r="Z1085" s="19" t="str">
        <f t="shared" si="281"/>
        <v/>
      </c>
      <c r="AA1085" s="73" t="str">
        <f t="shared" si="282"/>
        <v/>
      </c>
      <c r="AB1085" s="19" t="str">
        <f t="shared" si="283"/>
        <v/>
      </c>
      <c r="AC1085" s="73" t="str">
        <f t="shared" si="284"/>
        <v/>
      </c>
      <c r="AD1085" s="19" t="str">
        <f t="shared" si="285"/>
        <v/>
      </c>
      <c r="AE1085" s="19" t="str">
        <f t="shared" si="286"/>
        <v/>
      </c>
      <c r="AF1085" s="19" t="str">
        <f>IF($D1085&lt;&gt;1,"",IF(INDEX(TblClusters[Environnement],$B1085)="","(vide)",INDEX(TblClusters[Environnement],$B1085)))</f>
        <v/>
      </c>
      <c r="AG1085" s="19" t="str">
        <f t="shared" si="287"/>
        <v/>
      </c>
      <c r="AH1085" s="19" t="str">
        <f t="shared" si="288"/>
        <v/>
      </c>
      <c r="AI1085" s="19" t="str">
        <f>IF($D1085&lt;&gt;1,"",IF(AND($G1085="IKS",ISNUMBER(INDEX(TblClusters[Fermeture retenue],$B1085))),IF($E1085&gt;=INDEX(TblClusters[Fermeture retenue],$B1085),1,0),0))</f>
        <v/>
      </c>
    </row>
    <row r="1086" spans="1:35" x14ac:dyDescent="0.2">
      <c r="A1086" s="19">
        <v>1081</v>
      </c>
      <c r="B1086" s="19">
        <f t="shared" si="272"/>
        <v>31</v>
      </c>
      <c r="C1086" s="19">
        <f t="shared" si="273"/>
        <v>1</v>
      </c>
      <c r="D1086" s="19">
        <f>IF($C1086&gt;p_horizon,0,IFERROR(IF(AND(INDEX(TblClusters[Cluster],$B1086)&lt;&gt;"",ISNUMBER(INDEX(TblClusters[CPU initial (vCPU)],$B1086)),ISNUMBER(INDEX(TblClusters[CPU min (vCPU)],$B1086)),OR(INDEX(TblClusters[Plateforme],$B1086)="IKS",INDEX(TblClusters[Plateforme],$B1086)="ROKS")),1,0),0))</f>
        <v>0</v>
      </c>
      <c r="E1086" s="72" t="str">
        <f t="shared" si="274"/>
        <v/>
      </c>
      <c r="F1086" s="19" t="str">
        <f>IF($D1086=1,INDEX(TblClusters[Cluster],$B1086),"")</f>
        <v/>
      </c>
      <c r="G1086" s="19" t="str">
        <f>IF($D1086=1,INDEX(TblClusters[Plateforme],$B1086),"")</f>
        <v/>
      </c>
      <c r="H1086" s="19" t="str">
        <f>IF($D1086=1,INDEX(TblClusters[vCPU par nœud],$B1086),"")</f>
        <v/>
      </c>
      <c r="I1086" s="19" t="str">
        <f>IF($D1086=1,INDEX(TblClusters[RAM par nœud (Go)],$B1086),"")</f>
        <v/>
      </c>
      <c r="J1086" s="19" t="str">
        <f>IF($D1086=1,INDEX(TblClusters[Workers min],$B1086),"")</f>
        <v/>
      </c>
      <c r="K1086" s="73" t="str">
        <f>IF($D1086=1,INDEX(TblClusters[Tarif par nœud],$B1086),"")</f>
        <v/>
      </c>
      <c r="L1086" s="19" t="str">
        <f>IF($D1086=1,INDEX(TblClusters[CPU initial (vCPU)],$B1086),"")</f>
        <v/>
      </c>
      <c r="M1086" s="19" t="str">
        <f>IF($D1086=1,INDEX(TblClusters[RAM initiale (Go)],$B1086),"")</f>
        <v/>
      </c>
      <c r="N1086" s="19" t="str">
        <f>IF($D1086=1,INDEX(TblClusters[CPU min (vCPU)],$B1086),"")</f>
        <v/>
      </c>
      <c r="O1086" s="19" t="str">
        <f>IF($D1086=1,INDEX(TblClusters[RAM min (Go)],$B1086),"")</f>
        <v/>
      </c>
      <c r="P1086" s="19" t="str">
        <f>IF($D1086&lt;&gt;1,"",IF($G1086="ROKS",SUMIFS(TblApplications[Besoin ROKS CPU (vCPU)],TblApplications[Cluster ROKS cible],$F1086,TblApplications[Action],"À migrer",TblApplications[Déjà incluse ROKS],"Non",TblApplications[Mois prov (calc)],"&lt;="&amp;$E1086),SUMIFS(TblApplications[CPU IKS libérable (vCPU)],TblApplications[Cluster IKS source],$F1086,TblApplications[Mois lib (calc)],"&lt;="&amp;$E1086)))</f>
        <v/>
      </c>
      <c r="Q1086" s="19" t="str">
        <f>IF($D1086&lt;&gt;1,"",IF($G1086="ROKS",SUMIFS(TblApplications[Besoin ROKS RAM (Go)],TblApplications[Cluster ROKS cible],$F1086,TblApplications[Action],"À migrer",TblApplications[Déjà incluse ROKS],"Non",TblApplications[Mois prov (calc)],"&lt;="&amp;$E1086),SUMIFS(TblApplications[RAM IKS libérable (Go)],TblApplications[Cluster IKS source],$F1086,TblApplications[Mois lib (calc)],"&lt;="&amp;$E1086)))</f>
        <v/>
      </c>
      <c r="R1086" s="19" t="str">
        <f t="shared" si="275"/>
        <v/>
      </c>
      <c r="S1086" s="19" t="str">
        <f t="shared" si="276"/>
        <v/>
      </c>
      <c r="T1086" s="19" t="str">
        <f t="shared" si="277"/>
        <v/>
      </c>
      <c r="U1086" s="19" t="str">
        <f t="shared" si="278"/>
        <v/>
      </c>
      <c r="V1086" s="19" t="str">
        <f t="shared" si="279"/>
        <v/>
      </c>
      <c r="W1086" s="73" t="str">
        <f t="shared" si="280"/>
        <v/>
      </c>
      <c r="X1086" s="19" t="str">
        <f>IF($D1086&lt;&gt;1,"",IF($G1086="ROKS",$R1086,IF($AI1086=1,0,MAX($N1086,$L1086-SUMIFS(TblApplications[CPU IKS libérable (vCPU)],TblApplications[Cluster IKS source],$F1086,TblApplications[Action],"À migrer",TblApplications[Mois prov (calc)],"&lt;="&amp;$E1086)-SUMIFS(TblApplications[CPU IKS libérable (vCPU)],TblApplications[Cluster IKS source],$F1086,TblApplications[Action],"À décommissionner",TblApplications[Mois lib (calc)],"&lt;="&amp;$E1086)))))</f>
        <v/>
      </c>
      <c r="Y1086" s="19" t="str">
        <f>IF($D1086&lt;&gt;1,"",IF($G1086="ROKS",$S1086,IF($AI1086=1,0,MAX($O1086,$M1086-SUMIFS(TblApplications[RAM IKS libérable (Go)],TblApplications[Cluster IKS source],$F1086,TblApplications[Action],"À migrer",TblApplications[Mois prov (calc)],"&lt;="&amp;$E1086)-SUMIFS(TblApplications[RAM IKS libérable (Go)],TblApplications[Cluster IKS source],$F1086,TblApplications[Action],"À décommissionner",TblApplications[Mois lib (calc)],"&lt;="&amp;$E1086)))))</f>
        <v/>
      </c>
      <c r="Z1086" s="19" t="str">
        <f t="shared" si="281"/>
        <v/>
      </c>
      <c r="AA1086" s="73" t="str">
        <f t="shared" si="282"/>
        <v/>
      </c>
      <c r="AB1086" s="19" t="str">
        <f t="shared" si="283"/>
        <v/>
      </c>
      <c r="AC1086" s="73" t="str">
        <f t="shared" si="284"/>
        <v/>
      </c>
      <c r="AD1086" s="19" t="str">
        <f t="shared" si="285"/>
        <v/>
      </c>
      <c r="AE1086" s="19" t="str">
        <f t="shared" si="286"/>
        <v/>
      </c>
      <c r="AF1086" s="19" t="str">
        <f>IF($D1086&lt;&gt;1,"",IF(INDEX(TblClusters[Environnement],$B1086)="","(vide)",INDEX(TblClusters[Environnement],$B1086)))</f>
        <v/>
      </c>
      <c r="AG1086" s="19" t="str">
        <f t="shared" si="287"/>
        <v/>
      </c>
      <c r="AH1086" s="19" t="str">
        <f t="shared" si="288"/>
        <v/>
      </c>
      <c r="AI1086" s="19" t="str">
        <f>IF($D1086&lt;&gt;1,"",IF(AND($G1086="IKS",ISNUMBER(INDEX(TblClusters[Fermeture retenue],$B1086))),IF($E1086&gt;=INDEX(TblClusters[Fermeture retenue],$B1086),1,0),0))</f>
        <v/>
      </c>
    </row>
    <row r="1087" spans="1:35" x14ac:dyDescent="0.2">
      <c r="A1087" s="19">
        <v>1082</v>
      </c>
      <c r="B1087" s="19">
        <f t="shared" si="272"/>
        <v>31</v>
      </c>
      <c r="C1087" s="19">
        <f t="shared" si="273"/>
        <v>2</v>
      </c>
      <c r="D1087" s="19">
        <f>IF($C1087&gt;p_horizon,0,IFERROR(IF(AND(INDEX(TblClusters[Cluster],$B1087)&lt;&gt;"",ISNUMBER(INDEX(TblClusters[CPU initial (vCPU)],$B1087)),ISNUMBER(INDEX(TblClusters[CPU min (vCPU)],$B1087)),OR(INDEX(TblClusters[Plateforme],$B1087)="IKS",INDEX(TblClusters[Plateforme],$B1087)="ROKS")),1,0),0))</f>
        <v>0</v>
      </c>
      <c r="E1087" s="72" t="str">
        <f t="shared" si="274"/>
        <v/>
      </c>
      <c r="F1087" s="19" t="str">
        <f>IF($D1087=1,INDEX(TblClusters[Cluster],$B1087),"")</f>
        <v/>
      </c>
      <c r="G1087" s="19" t="str">
        <f>IF($D1087=1,INDEX(TblClusters[Plateforme],$B1087),"")</f>
        <v/>
      </c>
      <c r="H1087" s="19" t="str">
        <f>IF($D1087=1,INDEX(TblClusters[vCPU par nœud],$B1087),"")</f>
        <v/>
      </c>
      <c r="I1087" s="19" t="str">
        <f>IF($D1087=1,INDEX(TblClusters[RAM par nœud (Go)],$B1087),"")</f>
        <v/>
      </c>
      <c r="J1087" s="19" t="str">
        <f>IF($D1087=1,INDEX(TblClusters[Workers min],$B1087),"")</f>
        <v/>
      </c>
      <c r="K1087" s="73" t="str">
        <f>IF($D1087=1,INDEX(TblClusters[Tarif par nœud],$B1087),"")</f>
        <v/>
      </c>
      <c r="L1087" s="19" t="str">
        <f>IF($D1087=1,INDEX(TblClusters[CPU initial (vCPU)],$B1087),"")</f>
        <v/>
      </c>
      <c r="M1087" s="19" t="str">
        <f>IF($D1087=1,INDEX(TblClusters[RAM initiale (Go)],$B1087),"")</f>
        <v/>
      </c>
      <c r="N1087" s="19" t="str">
        <f>IF($D1087=1,INDEX(TblClusters[CPU min (vCPU)],$B1087),"")</f>
        <v/>
      </c>
      <c r="O1087" s="19" t="str">
        <f>IF($D1087=1,INDEX(TblClusters[RAM min (Go)],$B1087),"")</f>
        <v/>
      </c>
      <c r="P1087" s="19" t="str">
        <f>IF($D1087&lt;&gt;1,"",IF($G1087="ROKS",SUMIFS(TblApplications[Besoin ROKS CPU (vCPU)],TblApplications[Cluster ROKS cible],$F1087,TblApplications[Action],"À migrer",TblApplications[Déjà incluse ROKS],"Non",TblApplications[Mois prov (calc)],"&lt;="&amp;$E1087),SUMIFS(TblApplications[CPU IKS libérable (vCPU)],TblApplications[Cluster IKS source],$F1087,TblApplications[Mois lib (calc)],"&lt;="&amp;$E1087)))</f>
        <v/>
      </c>
      <c r="Q1087" s="19" t="str">
        <f>IF($D1087&lt;&gt;1,"",IF($G1087="ROKS",SUMIFS(TblApplications[Besoin ROKS RAM (Go)],TblApplications[Cluster ROKS cible],$F1087,TblApplications[Action],"À migrer",TblApplications[Déjà incluse ROKS],"Non",TblApplications[Mois prov (calc)],"&lt;="&amp;$E1087),SUMIFS(TblApplications[RAM IKS libérable (Go)],TblApplications[Cluster IKS source],$F1087,TblApplications[Mois lib (calc)],"&lt;="&amp;$E1087)))</f>
        <v/>
      </c>
      <c r="R1087" s="19" t="str">
        <f t="shared" si="275"/>
        <v/>
      </c>
      <c r="S1087" s="19" t="str">
        <f t="shared" si="276"/>
        <v/>
      </c>
      <c r="T1087" s="19" t="str">
        <f t="shared" si="277"/>
        <v/>
      </c>
      <c r="U1087" s="19" t="str">
        <f t="shared" si="278"/>
        <v/>
      </c>
      <c r="V1087" s="19" t="str">
        <f t="shared" si="279"/>
        <v/>
      </c>
      <c r="W1087" s="73" t="str">
        <f t="shared" si="280"/>
        <v/>
      </c>
      <c r="X1087" s="19" t="str">
        <f>IF($D1087&lt;&gt;1,"",IF($G1087="ROKS",$R1087,IF($AI1087=1,0,MAX($N1087,$L1087-SUMIFS(TblApplications[CPU IKS libérable (vCPU)],TblApplications[Cluster IKS source],$F1087,TblApplications[Action],"À migrer",TblApplications[Mois prov (calc)],"&lt;="&amp;$E1087)-SUMIFS(TblApplications[CPU IKS libérable (vCPU)],TblApplications[Cluster IKS source],$F1087,TblApplications[Action],"À décommissionner",TblApplications[Mois lib (calc)],"&lt;="&amp;$E1087)))))</f>
        <v/>
      </c>
      <c r="Y1087" s="19" t="str">
        <f>IF($D1087&lt;&gt;1,"",IF($G1087="ROKS",$S1087,IF($AI1087=1,0,MAX($O1087,$M1087-SUMIFS(TblApplications[RAM IKS libérable (Go)],TblApplications[Cluster IKS source],$F1087,TblApplications[Action],"À migrer",TblApplications[Mois prov (calc)],"&lt;="&amp;$E1087)-SUMIFS(TblApplications[RAM IKS libérable (Go)],TblApplications[Cluster IKS source],$F1087,TblApplications[Action],"À décommissionner",TblApplications[Mois lib (calc)],"&lt;="&amp;$E1087)))))</f>
        <v/>
      </c>
      <c r="Z1087" s="19" t="str">
        <f t="shared" si="281"/>
        <v/>
      </c>
      <c r="AA1087" s="73" t="str">
        <f t="shared" si="282"/>
        <v/>
      </c>
      <c r="AB1087" s="19" t="str">
        <f t="shared" si="283"/>
        <v/>
      </c>
      <c r="AC1087" s="73" t="str">
        <f t="shared" si="284"/>
        <v/>
      </c>
      <c r="AD1087" s="19" t="str">
        <f t="shared" si="285"/>
        <v/>
      </c>
      <c r="AE1087" s="19" t="str">
        <f t="shared" si="286"/>
        <v/>
      </c>
      <c r="AF1087" s="19" t="str">
        <f>IF($D1087&lt;&gt;1,"",IF(INDEX(TblClusters[Environnement],$B1087)="","(vide)",INDEX(TblClusters[Environnement],$B1087)))</f>
        <v/>
      </c>
      <c r="AG1087" s="19" t="str">
        <f t="shared" si="287"/>
        <v/>
      </c>
      <c r="AH1087" s="19" t="str">
        <f t="shared" si="288"/>
        <v/>
      </c>
      <c r="AI1087" s="19" t="str">
        <f>IF($D1087&lt;&gt;1,"",IF(AND($G1087="IKS",ISNUMBER(INDEX(TblClusters[Fermeture retenue],$B1087))),IF($E1087&gt;=INDEX(TblClusters[Fermeture retenue],$B1087),1,0),0))</f>
        <v/>
      </c>
    </row>
    <row r="1088" spans="1:35" x14ac:dyDescent="0.2">
      <c r="A1088" s="19">
        <v>1083</v>
      </c>
      <c r="B1088" s="19">
        <f t="shared" si="272"/>
        <v>31</v>
      </c>
      <c r="C1088" s="19">
        <f t="shared" si="273"/>
        <v>3</v>
      </c>
      <c r="D1088" s="19">
        <f>IF($C1088&gt;p_horizon,0,IFERROR(IF(AND(INDEX(TblClusters[Cluster],$B1088)&lt;&gt;"",ISNUMBER(INDEX(TblClusters[CPU initial (vCPU)],$B1088)),ISNUMBER(INDEX(TblClusters[CPU min (vCPU)],$B1088)),OR(INDEX(TblClusters[Plateforme],$B1088)="IKS",INDEX(TblClusters[Plateforme],$B1088)="ROKS")),1,0),0))</f>
        <v>0</v>
      </c>
      <c r="E1088" s="72" t="str">
        <f t="shared" si="274"/>
        <v/>
      </c>
      <c r="F1088" s="19" t="str">
        <f>IF($D1088=1,INDEX(TblClusters[Cluster],$B1088),"")</f>
        <v/>
      </c>
      <c r="G1088" s="19" t="str">
        <f>IF($D1088=1,INDEX(TblClusters[Plateforme],$B1088),"")</f>
        <v/>
      </c>
      <c r="H1088" s="19" t="str">
        <f>IF($D1088=1,INDEX(TblClusters[vCPU par nœud],$B1088),"")</f>
        <v/>
      </c>
      <c r="I1088" s="19" t="str">
        <f>IF($D1088=1,INDEX(TblClusters[RAM par nœud (Go)],$B1088),"")</f>
        <v/>
      </c>
      <c r="J1088" s="19" t="str">
        <f>IF($D1088=1,INDEX(TblClusters[Workers min],$B1088),"")</f>
        <v/>
      </c>
      <c r="K1088" s="73" t="str">
        <f>IF($D1088=1,INDEX(TblClusters[Tarif par nœud],$B1088),"")</f>
        <v/>
      </c>
      <c r="L1088" s="19" t="str">
        <f>IF($D1088=1,INDEX(TblClusters[CPU initial (vCPU)],$B1088),"")</f>
        <v/>
      </c>
      <c r="M1088" s="19" t="str">
        <f>IF($D1088=1,INDEX(TblClusters[RAM initiale (Go)],$B1088),"")</f>
        <v/>
      </c>
      <c r="N1088" s="19" t="str">
        <f>IF($D1088=1,INDEX(TblClusters[CPU min (vCPU)],$B1088),"")</f>
        <v/>
      </c>
      <c r="O1088" s="19" t="str">
        <f>IF($D1088=1,INDEX(TblClusters[RAM min (Go)],$B1088),"")</f>
        <v/>
      </c>
      <c r="P1088" s="19" t="str">
        <f>IF($D1088&lt;&gt;1,"",IF($G1088="ROKS",SUMIFS(TblApplications[Besoin ROKS CPU (vCPU)],TblApplications[Cluster ROKS cible],$F1088,TblApplications[Action],"À migrer",TblApplications[Déjà incluse ROKS],"Non",TblApplications[Mois prov (calc)],"&lt;="&amp;$E1088),SUMIFS(TblApplications[CPU IKS libérable (vCPU)],TblApplications[Cluster IKS source],$F1088,TblApplications[Mois lib (calc)],"&lt;="&amp;$E1088)))</f>
        <v/>
      </c>
      <c r="Q1088" s="19" t="str">
        <f>IF($D1088&lt;&gt;1,"",IF($G1088="ROKS",SUMIFS(TblApplications[Besoin ROKS RAM (Go)],TblApplications[Cluster ROKS cible],$F1088,TblApplications[Action],"À migrer",TblApplications[Déjà incluse ROKS],"Non",TblApplications[Mois prov (calc)],"&lt;="&amp;$E1088),SUMIFS(TblApplications[RAM IKS libérable (Go)],TblApplications[Cluster IKS source],$F1088,TblApplications[Mois lib (calc)],"&lt;="&amp;$E1088)))</f>
        <v/>
      </c>
      <c r="R1088" s="19" t="str">
        <f t="shared" si="275"/>
        <v/>
      </c>
      <c r="S1088" s="19" t="str">
        <f t="shared" si="276"/>
        <v/>
      </c>
      <c r="T1088" s="19" t="str">
        <f t="shared" si="277"/>
        <v/>
      </c>
      <c r="U1088" s="19" t="str">
        <f t="shared" si="278"/>
        <v/>
      </c>
      <c r="V1088" s="19" t="str">
        <f t="shared" si="279"/>
        <v/>
      </c>
      <c r="W1088" s="73" t="str">
        <f t="shared" si="280"/>
        <v/>
      </c>
      <c r="X1088" s="19" t="str">
        <f>IF($D1088&lt;&gt;1,"",IF($G1088="ROKS",$R1088,IF($AI1088=1,0,MAX($N1088,$L1088-SUMIFS(TblApplications[CPU IKS libérable (vCPU)],TblApplications[Cluster IKS source],$F1088,TblApplications[Action],"À migrer",TblApplications[Mois prov (calc)],"&lt;="&amp;$E1088)-SUMIFS(TblApplications[CPU IKS libérable (vCPU)],TblApplications[Cluster IKS source],$F1088,TblApplications[Action],"À décommissionner",TblApplications[Mois lib (calc)],"&lt;="&amp;$E1088)))))</f>
        <v/>
      </c>
      <c r="Y1088" s="19" t="str">
        <f>IF($D1088&lt;&gt;1,"",IF($G1088="ROKS",$S1088,IF($AI1088=1,0,MAX($O1088,$M1088-SUMIFS(TblApplications[RAM IKS libérable (Go)],TblApplications[Cluster IKS source],$F1088,TblApplications[Action],"À migrer",TblApplications[Mois prov (calc)],"&lt;="&amp;$E1088)-SUMIFS(TblApplications[RAM IKS libérable (Go)],TblApplications[Cluster IKS source],$F1088,TblApplications[Action],"À décommissionner",TblApplications[Mois lib (calc)],"&lt;="&amp;$E1088)))))</f>
        <v/>
      </c>
      <c r="Z1088" s="19" t="str">
        <f t="shared" si="281"/>
        <v/>
      </c>
      <c r="AA1088" s="73" t="str">
        <f t="shared" si="282"/>
        <v/>
      </c>
      <c r="AB1088" s="19" t="str">
        <f t="shared" si="283"/>
        <v/>
      </c>
      <c r="AC1088" s="73" t="str">
        <f t="shared" si="284"/>
        <v/>
      </c>
      <c r="AD1088" s="19" t="str">
        <f t="shared" si="285"/>
        <v/>
      </c>
      <c r="AE1088" s="19" t="str">
        <f t="shared" si="286"/>
        <v/>
      </c>
      <c r="AF1088" s="19" t="str">
        <f>IF($D1088&lt;&gt;1,"",IF(INDEX(TblClusters[Environnement],$B1088)="","(vide)",INDEX(TblClusters[Environnement],$B1088)))</f>
        <v/>
      </c>
      <c r="AG1088" s="19" t="str">
        <f t="shared" si="287"/>
        <v/>
      </c>
      <c r="AH1088" s="19" t="str">
        <f t="shared" si="288"/>
        <v/>
      </c>
      <c r="AI1088" s="19" t="str">
        <f>IF($D1088&lt;&gt;1,"",IF(AND($G1088="IKS",ISNUMBER(INDEX(TblClusters[Fermeture retenue],$B1088))),IF($E1088&gt;=INDEX(TblClusters[Fermeture retenue],$B1088),1,0),0))</f>
        <v/>
      </c>
    </row>
    <row r="1089" spans="1:35" x14ac:dyDescent="0.2">
      <c r="A1089" s="19">
        <v>1084</v>
      </c>
      <c r="B1089" s="19">
        <f t="shared" si="272"/>
        <v>31</v>
      </c>
      <c r="C1089" s="19">
        <f t="shared" si="273"/>
        <v>4</v>
      </c>
      <c r="D1089" s="19">
        <f>IF($C1089&gt;p_horizon,0,IFERROR(IF(AND(INDEX(TblClusters[Cluster],$B1089)&lt;&gt;"",ISNUMBER(INDEX(TblClusters[CPU initial (vCPU)],$B1089)),ISNUMBER(INDEX(TblClusters[CPU min (vCPU)],$B1089)),OR(INDEX(TblClusters[Plateforme],$B1089)="IKS",INDEX(TblClusters[Plateforme],$B1089)="ROKS")),1,0),0))</f>
        <v>0</v>
      </c>
      <c r="E1089" s="72" t="str">
        <f t="shared" si="274"/>
        <v/>
      </c>
      <c r="F1089" s="19" t="str">
        <f>IF($D1089=1,INDEX(TblClusters[Cluster],$B1089),"")</f>
        <v/>
      </c>
      <c r="G1089" s="19" t="str">
        <f>IF($D1089=1,INDEX(TblClusters[Plateforme],$B1089),"")</f>
        <v/>
      </c>
      <c r="H1089" s="19" t="str">
        <f>IF($D1089=1,INDEX(TblClusters[vCPU par nœud],$B1089),"")</f>
        <v/>
      </c>
      <c r="I1089" s="19" t="str">
        <f>IF($D1089=1,INDEX(TblClusters[RAM par nœud (Go)],$B1089),"")</f>
        <v/>
      </c>
      <c r="J1089" s="19" t="str">
        <f>IF($D1089=1,INDEX(TblClusters[Workers min],$B1089),"")</f>
        <v/>
      </c>
      <c r="K1089" s="73" t="str">
        <f>IF($D1089=1,INDEX(TblClusters[Tarif par nœud],$B1089),"")</f>
        <v/>
      </c>
      <c r="L1089" s="19" t="str">
        <f>IF($D1089=1,INDEX(TblClusters[CPU initial (vCPU)],$B1089),"")</f>
        <v/>
      </c>
      <c r="M1089" s="19" t="str">
        <f>IF($D1089=1,INDEX(TblClusters[RAM initiale (Go)],$B1089),"")</f>
        <v/>
      </c>
      <c r="N1089" s="19" t="str">
        <f>IF($D1089=1,INDEX(TblClusters[CPU min (vCPU)],$B1089),"")</f>
        <v/>
      </c>
      <c r="O1089" s="19" t="str">
        <f>IF($D1089=1,INDEX(TblClusters[RAM min (Go)],$B1089),"")</f>
        <v/>
      </c>
      <c r="P1089" s="19" t="str">
        <f>IF($D1089&lt;&gt;1,"",IF($G1089="ROKS",SUMIFS(TblApplications[Besoin ROKS CPU (vCPU)],TblApplications[Cluster ROKS cible],$F1089,TblApplications[Action],"À migrer",TblApplications[Déjà incluse ROKS],"Non",TblApplications[Mois prov (calc)],"&lt;="&amp;$E1089),SUMIFS(TblApplications[CPU IKS libérable (vCPU)],TblApplications[Cluster IKS source],$F1089,TblApplications[Mois lib (calc)],"&lt;="&amp;$E1089)))</f>
        <v/>
      </c>
      <c r="Q1089" s="19" t="str">
        <f>IF($D1089&lt;&gt;1,"",IF($G1089="ROKS",SUMIFS(TblApplications[Besoin ROKS RAM (Go)],TblApplications[Cluster ROKS cible],$F1089,TblApplications[Action],"À migrer",TblApplications[Déjà incluse ROKS],"Non",TblApplications[Mois prov (calc)],"&lt;="&amp;$E1089),SUMIFS(TblApplications[RAM IKS libérable (Go)],TblApplications[Cluster IKS source],$F1089,TblApplications[Mois lib (calc)],"&lt;="&amp;$E1089)))</f>
        <v/>
      </c>
      <c r="R1089" s="19" t="str">
        <f t="shared" si="275"/>
        <v/>
      </c>
      <c r="S1089" s="19" t="str">
        <f t="shared" si="276"/>
        <v/>
      </c>
      <c r="T1089" s="19" t="str">
        <f t="shared" si="277"/>
        <v/>
      </c>
      <c r="U1089" s="19" t="str">
        <f t="shared" si="278"/>
        <v/>
      </c>
      <c r="V1089" s="19" t="str">
        <f t="shared" si="279"/>
        <v/>
      </c>
      <c r="W1089" s="73" t="str">
        <f t="shared" si="280"/>
        <v/>
      </c>
      <c r="X1089" s="19" t="str">
        <f>IF($D1089&lt;&gt;1,"",IF($G1089="ROKS",$R1089,IF($AI1089=1,0,MAX($N1089,$L1089-SUMIFS(TblApplications[CPU IKS libérable (vCPU)],TblApplications[Cluster IKS source],$F1089,TblApplications[Action],"À migrer",TblApplications[Mois prov (calc)],"&lt;="&amp;$E1089)-SUMIFS(TblApplications[CPU IKS libérable (vCPU)],TblApplications[Cluster IKS source],$F1089,TblApplications[Action],"À décommissionner",TblApplications[Mois lib (calc)],"&lt;="&amp;$E1089)))))</f>
        <v/>
      </c>
      <c r="Y1089" s="19" t="str">
        <f>IF($D1089&lt;&gt;1,"",IF($G1089="ROKS",$S1089,IF($AI1089=1,0,MAX($O1089,$M1089-SUMIFS(TblApplications[RAM IKS libérable (Go)],TblApplications[Cluster IKS source],$F1089,TblApplications[Action],"À migrer",TblApplications[Mois prov (calc)],"&lt;="&amp;$E1089)-SUMIFS(TblApplications[RAM IKS libérable (Go)],TblApplications[Cluster IKS source],$F1089,TblApplications[Action],"À décommissionner",TblApplications[Mois lib (calc)],"&lt;="&amp;$E1089)))))</f>
        <v/>
      </c>
      <c r="Z1089" s="19" t="str">
        <f t="shared" si="281"/>
        <v/>
      </c>
      <c r="AA1089" s="73" t="str">
        <f t="shared" si="282"/>
        <v/>
      </c>
      <c r="AB1089" s="19" t="str">
        <f t="shared" si="283"/>
        <v/>
      </c>
      <c r="AC1089" s="73" t="str">
        <f t="shared" si="284"/>
        <v/>
      </c>
      <c r="AD1089" s="19" t="str">
        <f t="shared" si="285"/>
        <v/>
      </c>
      <c r="AE1089" s="19" t="str">
        <f t="shared" si="286"/>
        <v/>
      </c>
      <c r="AF1089" s="19" t="str">
        <f>IF($D1089&lt;&gt;1,"",IF(INDEX(TblClusters[Environnement],$B1089)="","(vide)",INDEX(TblClusters[Environnement],$B1089)))</f>
        <v/>
      </c>
      <c r="AG1089" s="19" t="str">
        <f t="shared" si="287"/>
        <v/>
      </c>
      <c r="AH1089" s="19" t="str">
        <f t="shared" si="288"/>
        <v/>
      </c>
      <c r="AI1089" s="19" t="str">
        <f>IF($D1089&lt;&gt;1,"",IF(AND($G1089="IKS",ISNUMBER(INDEX(TblClusters[Fermeture retenue],$B1089))),IF($E1089&gt;=INDEX(TblClusters[Fermeture retenue],$B1089),1,0),0))</f>
        <v/>
      </c>
    </row>
    <row r="1090" spans="1:35" x14ac:dyDescent="0.2">
      <c r="A1090" s="19">
        <v>1085</v>
      </c>
      <c r="B1090" s="19">
        <f t="shared" si="272"/>
        <v>31</v>
      </c>
      <c r="C1090" s="19">
        <f t="shared" si="273"/>
        <v>5</v>
      </c>
      <c r="D1090" s="19">
        <f>IF($C1090&gt;p_horizon,0,IFERROR(IF(AND(INDEX(TblClusters[Cluster],$B1090)&lt;&gt;"",ISNUMBER(INDEX(TblClusters[CPU initial (vCPU)],$B1090)),ISNUMBER(INDEX(TblClusters[CPU min (vCPU)],$B1090)),OR(INDEX(TblClusters[Plateforme],$B1090)="IKS",INDEX(TblClusters[Plateforme],$B1090)="ROKS")),1,0),0))</f>
        <v>0</v>
      </c>
      <c r="E1090" s="72" t="str">
        <f t="shared" si="274"/>
        <v/>
      </c>
      <c r="F1090" s="19" t="str">
        <f>IF($D1090=1,INDEX(TblClusters[Cluster],$B1090),"")</f>
        <v/>
      </c>
      <c r="G1090" s="19" t="str">
        <f>IF($D1090=1,INDEX(TblClusters[Plateforme],$B1090),"")</f>
        <v/>
      </c>
      <c r="H1090" s="19" t="str">
        <f>IF($D1090=1,INDEX(TblClusters[vCPU par nœud],$B1090),"")</f>
        <v/>
      </c>
      <c r="I1090" s="19" t="str">
        <f>IF($D1090=1,INDEX(TblClusters[RAM par nœud (Go)],$B1090),"")</f>
        <v/>
      </c>
      <c r="J1090" s="19" t="str">
        <f>IF($D1090=1,INDEX(TblClusters[Workers min],$B1090),"")</f>
        <v/>
      </c>
      <c r="K1090" s="73" t="str">
        <f>IF($D1090=1,INDEX(TblClusters[Tarif par nœud],$B1090),"")</f>
        <v/>
      </c>
      <c r="L1090" s="19" t="str">
        <f>IF($D1090=1,INDEX(TblClusters[CPU initial (vCPU)],$B1090),"")</f>
        <v/>
      </c>
      <c r="M1090" s="19" t="str">
        <f>IF($D1090=1,INDEX(TblClusters[RAM initiale (Go)],$B1090),"")</f>
        <v/>
      </c>
      <c r="N1090" s="19" t="str">
        <f>IF($D1090=1,INDEX(TblClusters[CPU min (vCPU)],$B1090),"")</f>
        <v/>
      </c>
      <c r="O1090" s="19" t="str">
        <f>IF($D1090=1,INDEX(TblClusters[RAM min (Go)],$B1090),"")</f>
        <v/>
      </c>
      <c r="P1090" s="19" t="str">
        <f>IF($D1090&lt;&gt;1,"",IF($G1090="ROKS",SUMIFS(TblApplications[Besoin ROKS CPU (vCPU)],TblApplications[Cluster ROKS cible],$F1090,TblApplications[Action],"À migrer",TblApplications[Déjà incluse ROKS],"Non",TblApplications[Mois prov (calc)],"&lt;="&amp;$E1090),SUMIFS(TblApplications[CPU IKS libérable (vCPU)],TblApplications[Cluster IKS source],$F1090,TblApplications[Mois lib (calc)],"&lt;="&amp;$E1090)))</f>
        <v/>
      </c>
      <c r="Q1090" s="19" t="str">
        <f>IF($D1090&lt;&gt;1,"",IF($G1090="ROKS",SUMIFS(TblApplications[Besoin ROKS RAM (Go)],TblApplications[Cluster ROKS cible],$F1090,TblApplications[Action],"À migrer",TblApplications[Déjà incluse ROKS],"Non",TblApplications[Mois prov (calc)],"&lt;="&amp;$E1090),SUMIFS(TblApplications[RAM IKS libérable (Go)],TblApplications[Cluster IKS source],$F1090,TblApplications[Mois lib (calc)],"&lt;="&amp;$E1090)))</f>
        <v/>
      </c>
      <c r="R1090" s="19" t="str">
        <f t="shared" si="275"/>
        <v/>
      </c>
      <c r="S1090" s="19" t="str">
        <f t="shared" si="276"/>
        <v/>
      </c>
      <c r="T1090" s="19" t="str">
        <f t="shared" si="277"/>
        <v/>
      </c>
      <c r="U1090" s="19" t="str">
        <f t="shared" si="278"/>
        <v/>
      </c>
      <c r="V1090" s="19" t="str">
        <f t="shared" si="279"/>
        <v/>
      </c>
      <c r="W1090" s="73" t="str">
        <f t="shared" si="280"/>
        <v/>
      </c>
      <c r="X1090" s="19" t="str">
        <f>IF($D1090&lt;&gt;1,"",IF($G1090="ROKS",$R1090,IF($AI1090=1,0,MAX($N1090,$L1090-SUMIFS(TblApplications[CPU IKS libérable (vCPU)],TblApplications[Cluster IKS source],$F1090,TblApplications[Action],"À migrer",TblApplications[Mois prov (calc)],"&lt;="&amp;$E1090)-SUMIFS(TblApplications[CPU IKS libérable (vCPU)],TblApplications[Cluster IKS source],$F1090,TblApplications[Action],"À décommissionner",TblApplications[Mois lib (calc)],"&lt;="&amp;$E1090)))))</f>
        <v/>
      </c>
      <c r="Y1090" s="19" t="str">
        <f>IF($D1090&lt;&gt;1,"",IF($G1090="ROKS",$S1090,IF($AI1090=1,0,MAX($O1090,$M1090-SUMIFS(TblApplications[RAM IKS libérable (Go)],TblApplications[Cluster IKS source],$F1090,TblApplications[Action],"À migrer",TblApplications[Mois prov (calc)],"&lt;="&amp;$E1090)-SUMIFS(TblApplications[RAM IKS libérable (Go)],TblApplications[Cluster IKS source],$F1090,TblApplications[Action],"À décommissionner",TblApplications[Mois lib (calc)],"&lt;="&amp;$E1090)))))</f>
        <v/>
      </c>
      <c r="Z1090" s="19" t="str">
        <f t="shared" si="281"/>
        <v/>
      </c>
      <c r="AA1090" s="73" t="str">
        <f t="shared" si="282"/>
        <v/>
      </c>
      <c r="AB1090" s="19" t="str">
        <f t="shared" si="283"/>
        <v/>
      </c>
      <c r="AC1090" s="73" t="str">
        <f t="shared" si="284"/>
        <v/>
      </c>
      <c r="AD1090" s="19" t="str">
        <f t="shared" si="285"/>
        <v/>
      </c>
      <c r="AE1090" s="19" t="str">
        <f t="shared" si="286"/>
        <v/>
      </c>
      <c r="AF1090" s="19" t="str">
        <f>IF($D1090&lt;&gt;1,"",IF(INDEX(TblClusters[Environnement],$B1090)="","(vide)",INDEX(TblClusters[Environnement],$B1090)))</f>
        <v/>
      </c>
      <c r="AG1090" s="19" t="str">
        <f t="shared" si="287"/>
        <v/>
      </c>
      <c r="AH1090" s="19" t="str">
        <f t="shared" si="288"/>
        <v/>
      </c>
      <c r="AI1090" s="19" t="str">
        <f>IF($D1090&lt;&gt;1,"",IF(AND($G1090="IKS",ISNUMBER(INDEX(TblClusters[Fermeture retenue],$B1090))),IF($E1090&gt;=INDEX(TblClusters[Fermeture retenue],$B1090),1,0),0))</f>
        <v/>
      </c>
    </row>
    <row r="1091" spans="1:35" x14ac:dyDescent="0.2">
      <c r="A1091" s="19">
        <v>1086</v>
      </c>
      <c r="B1091" s="19">
        <f t="shared" si="272"/>
        <v>31</v>
      </c>
      <c r="C1091" s="19">
        <f t="shared" si="273"/>
        <v>6</v>
      </c>
      <c r="D1091" s="19">
        <f>IF($C1091&gt;p_horizon,0,IFERROR(IF(AND(INDEX(TblClusters[Cluster],$B1091)&lt;&gt;"",ISNUMBER(INDEX(TblClusters[CPU initial (vCPU)],$B1091)),ISNUMBER(INDEX(TblClusters[CPU min (vCPU)],$B1091)),OR(INDEX(TblClusters[Plateforme],$B1091)="IKS",INDEX(TblClusters[Plateforme],$B1091)="ROKS")),1,0),0))</f>
        <v>0</v>
      </c>
      <c r="E1091" s="72" t="str">
        <f t="shared" si="274"/>
        <v/>
      </c>
      <c r="F1091" s="19" t="str">
        <f>IF($D1091=1,INDEX(TblClusters[Cluster],$B1091),"")</f>
        <v/>
      </c>
      <c r="G1091" s="19" t="str">
        <f>IF($D1091=1,INDEX(TblClusters[Plateforme],$B1091),"")</f>
        <v/>
      </c>
      <c r="H1091" s="19" t="str">
        <f>IF($D1091=1,INDEX(TblClusters[vCPU par nœud],$B1091),"")</f>
        <v/>
      </c>
      <c r="I1091" s="19" t="str">
        <f>IF($D1091=1,INDEX(TblClusters[RAM par nœud (Go)],$B1091),"")</f>
        <v/>
      </c>
      <c r="J1091" s="19" t="str">
        <f>IF($D1091=1,INDEX(TblClusters[Workers min],$B1091),"")</f>
        <v/>
      </c>
      <c r="K1091" s="73" t="str">
        <f>IF($D1091=1,INDEX(TblClusters[Tarif par nœud],$B1091),"")</f>
        <v/>
      </c>
      <c r="L1091" s="19" t="str">
        <f>IF($D1091=1,INDEX(TblClusters[CPU initial (vCPU)],$B1091),"")</f>
        <v/>
      </c>
      <c r="M1091" s="19" t="str">
        <f>IF($D1091=1,INDEX(TblClusters[RAM initiale (Go)],$B1091),"")</f>
        <v/>
      </c>
      <c r="N1091" s="19" t="str">
        <f>IF($D1091=1,INDEX(TblClusters[CPU min (vCPU)],$B1091),"")</f>
        <v/>
      </c>
      <c r="O1091" s="19" t="str">
        <f>IF($D1091=1,INDEX(TblClusters[RAM min (Go)],$B1091),"")</f>
        <v/>
      </c>
      <c r="P1091" s="19" t="str">
        <f>IF($D1091&lt;&gt;1,"",IF($G1091="ROKS",SUMIFS(TblApplications[Besoin ROKS CPU (vCPU)],TblApplications[Cluster ROKS cible],$F1091,TblApplications[Action],"À migrer",TblApplications[Déjà incluse ROKS],"Non",TblApplications[Mois prov (calc)],"&lt;="&amp;$E1091),SUMIFS(TblApplications[CPU IKS libérable (vCPU)],TblApplications[Cluster IKS source],$F1091,TblApplications[Mois lib (calc)],"&lt;="&amp;$E1091)))</f>
        <v/>
      </c>
      <c r="Q1091" s="19" t="str">
        <f>IF($D1091&lt;&gt;1,"",IF($G1091="ROKS",SUMIFS(TblApplications[Besoin ROKS RAM (Go)],TblApplications[Cluster ROKS cible],$F1091,TblApplications[Action],"À migrer",TblApplications[Déjà incluse ROKS],"Non",TblApplications[Mois prov (calc)],"&lt;="&amp;$E1091),SUMIFS(TblApplications[RAM IKS libérable (Go)],TblApplications[Cluster IKS source],$F1091,TblApplications[Mois lib (calc)],"&lt;="&amp;$E1091)))</f>
        <v/>
      </c>
      <c r="R1091" s="19" t="str">
        <f t="shared" si="275"/>
        <v/>
      </c>
      <c r="S1091" s="19" t="str">
        <f t="shared" si="276"/>
        <v/>
      </c>
      <c r="T1091" s="19" t="str">
        <f t="shared" si="277"/>
        <v/>
      </c>
      <c r="U1091" s="19" t="str">
        <f t="shared" si="278"/>
        <v/>
      </c>
      <c r="V1091" s="19" t="str">
        <f t="shared" si="279"/>
        <v/>
      </c>
      <c r="W1091" s="73" t="str">
        <f t="shared" si="280"/>
        <v/>
      </c>
      <c r="X1091" s="19" t="str">
        <f>IF($D1091&lt;&gt;1,"",IF($G1091="ROKS",$R1091,IF($AI1091=1,0,MAX($N1091,$L1091-SUMIFS(TblApplications[CPU IKS libérable (vCPU)],TblApplications[Cluster IKS source],$F1091,TblApplications[Action],"À migrer",TblApplications[Mois prov (calc)],"&lt;="&amp;$E1091)-SUMIFS(TblApplications[CPU IKS libérable (vCPU)],TblApplications[Cluster IKS source],$F1091,TblApplications[Action],"À décommissionner",TblApplications[Mois lib (calc)],"&lt;="&amp;$E1091)))))</f>
        <v/>
      </c>
      <c r="Y1091" s="19" t="str">
        <f>IF($D1091&lt;&gt;1,"",IF($G1091="ROKS",$S1091,IF($AI1091=1,0,MAX($O1091,$M1091-SUMIFS(TblApplications[RAM IKS libérable (Go)],TblApplications[Cluster IKS source],$F1091,TblApplications[Action],"À migrer",TblApplications[Mois prov (calc)],"&lt;="&amp;$E1091)-SUMIFS(TblApplications[RAM IKS libérable (Go)],TblApplications[Cluster IKS source],$F1091,TblApplications[Action],"À décommissionner",TblApplications[Mois lib (calc)],"&lt;="&amp;$E1091)))))</f>
        <v/>
      </c>
      <c r="Z1091" s="19" t="str">
        <f t="shared" si="281"/>
        <v/>
      </c>
      <c r="AA1091" s="73" t="str">
        <f t="shared" si="282"/>
        <v/>
      </c>
      <c r="AB1091" s="19" t="str">
        <f t="shared" si="283"/>
        <v/>
      </c>
      <c r="AC1091" s="73" t="str">
        <f t="shared" si="284"/>
        <v/>
      </c>
      <c r="AD1091" s="19" t="str">
        <f t="shared" si="285"/>
        <v/>
      </c>
      <c r="AE1091" s="19" t="str">
        <f t="shared" si="286"/>
        <v/>
      </c>
      <c r="AF1091" s="19" t="str">
        <f>IF($D1091&lt;&gt;1,"",IF(INDEX(TblClusters[Environnement],$B1091)="","(vide)",INDEX(TblClusters[Environnement],$B1091)))</f>
        <v/>
      </c>
      <c r="AG1091" s="19" t="str">
        <f t="shared" si="287"/>
        <v/>
      </c>
      <c r="AH1091" s="19" t="str">
        <f t="shared" si="288"/>
        <v/>
      </c>
      <c r="AI1091" s="19" t="str">
        <f>IF($D1091&lt;&gt;1,"",IF(AND($G1091="IKS",ISNUMBER(INDEX(TblClusters[Fermeture retenue],$B1091))),IF($E1091&gt;=INDEX(TblClusters[Fermeture retenue],$B1091),1,0),0))</f>
        <v/>
      </c>
    </row>
    <row r="1092" spans="1:35" x14ac:dyDescent="0.2">
      <c r="A1092" s="19">
        <v>1087</v>
      </c>
      <c r="B1092" s="19">
        <f t="shared" si="272"/>
        <v>31</v>
      </c>
      <c r="C1092" s="19">
        <f t="shared" si="273"/>
        <v>7</v>
      </c>
      <c r="D1092" s="19">
        <f>IF($C1092&gt;p_horizon,0,IFERROR(IF(AND(INDEX(TblClusters[Cluster],$B1092)&lt;&gt;"",ISNUMBER(INDEX(TblClusters[CPU initial (vCPU)],$B1092)),ISNUMBER(INDEX(TblClusters[CPU min (vCPU)],$B1092)),OR(INDEX(TblClusters[Plateforme],$B1092)="IKS",INDEX(TblClusters[Plateforme],$B1092)="ROKS")),1,0),0))</f>
        <v>0</v>
      </c>
      <c r="E1092" s="72" t="str">
        <f t="shared" si="274"/>
        <v/>
      </c>
      <c r="F1092" s="19" t="str">
        <f>IF($D1092=1,INDEX(TblClusters[Cluster],$B1092),"")</f>
        <v/>
      </c>
      <c r="G1092" s="19" t="str">
        <f>IF($D1092=1,INDEX(TblClusters[Plateforme],$B1092),"")</f>
        <v/>
      </c>
      <c r="H1092" s="19" t="str">
        <f>IF($D1092=1,INDEX(TblClusters[vCPU par nœud],$B1092),"")</f>
        <v/>
      </c>
      <c r="I1092" s="19" t="str">
        <f>IF($D1092=1,INDEX(TblClusters[RAM par nœud (Go)],$B1092),"")</f>
        <v/>
      </c>
      <c r="J1092" s="19" t="str">
        <f>IF($D1092=1,INDEX(TblClusters[Workers min],$B1092),"")</f>
        <v/>
      </c>
      <c r="K1092" s="73" t="str">
        <f>IF($D1092=1,INDEX(TblClusters[Tarif par nœud],$B1092),"")</f>
        <v/>
      </c>
      <c r="L1092" s="19" t="str">
        <f>IF($D1092=1,INDEX(TblClusters[CPU initial (vCPU)],$B1092),"")</f>
        <v/>
      </c>
      <c r="M1092" s="19" t="str">
        <f>IF($D1092=1,INDEX(TblClusters[RAM initiale (Go)],$B1092),"")</f>
        <v/>
      </c>
      <c r="N1092" s="19" t="str">
        <f>IF($D1092=1,INDEX(TblClusters[CPU min (vCPU)],$B1092),"")</f>
        <v/>
      </c>
      <c r="O1092" s="19" t="str">
        <f>IF($D1092=1,INDEX(TblClusters[RAM min (Go)],$B1092),"")</f>
        <v/>
      </c>
      <c r="P1092" s="19" t="str">
        <f>IF($D1092&lt;&gt;1,"",IF($G1092="ROKS",SUMIFS(TblApplications[Besoin ROKS CPU (vCPU)],TblApplications[Cluster ROKS cible],$F1092,TblApplications[Action],"À migrer",TblApplications[Déjà incluse ROKS],"Non",TblApplications[Mois prov (calc)],"&lt;="&amp;$E1092),SUMIFS(TblApplications[CPU IKS libérable (vCPU)],TblApplications[Cluster IKS source],$F1092,TblApplications[Mois lib (calc)],"&lt;="&amp;$E1092)))</f>
        <v/>
      </c>
      <c r="Q1092" s="19" t="str">
        <f>IF($D1092&lt;&gt;1,"",IF($G1092="ROKS",SUMIFS(TblApplications[Besoin ROKS RAM (Go)],TblApplications[Cluster ROKS cible],$F1092,TblApplications[Action],"À migrer",TblApplications[Déjà incluse ROKS],"Non",TblApplications[Mois prov (calc)],"&lt;="&amp;$E1092),SUMIFS(TblApplications[RAM IKS libérable (Go)],TblApplications[Cluster IKS source],$F1092,TblApplications[Mois lib (calc)],"&lt;="&amp;$E1092)))</f>
        <v/>
      </c>
      <c r="R1092" s="19" t="str">
        <f t="shared" si="275"/>
        <v/>
      </c>
      <c r="S1092" s="19" t="str">
        <f t="shared" si="276"/>
        <v/>
      </c>
      <c r="T1092" s="19" t="str">
        <f t="shared" si="277"/>
        <v/>
      </c>
      <c r="U1092" s="19" t="str">
        <f t="shared" si="278"/>
        <v/>
      </c>
      <c r="V1092" s="19" t="str">
        <f t="shared" si="279"/>
        <v/>
      </c>
      <c r="W1092" s="73" t="str">
        <f t="shared" si="280"/>
        <v/>
      </c>
      <c r="X1092" s="19" t="str">
        <f>IF($D1092&lt;&gt;1,"",IF($G1092="ROKS",$R1092,IF($AI1092=1,0,MAX($N1092,$L1092-SUMIFS(TblApplications[CPU IKS libérable (vCPU)],TblApplications[Cluster IKS source],$F1092,TblApplications[Action],"À migrer",TblApplications[Mois prov (calc)],"&lt;="&amp;$E1092)-SUMIFS(TblApplications[CPU IKS libérable (vCPU)],TblApplications[Cluster IKS source],$F1092,TblApplications[Action],"À décommissionner",TblApplications[Mois lib (calc)],"&lt;="&amp;$E1092)))))</f>
        <v/>
      </c>
      <c r="Y1092" s="19" t="str">
        <f>IF($D1092&lt;&gt;1,"",IF($G1092="ROKS",$S1092,IF($AI1092=1,0,MAX($O1092,$M1092-SUMIFS(TblApplications[RAM IKS libérable (Go)],TblApplications[Cluster IKS source],$F1092,TblApplications[Action],"À migrer",TblApplications[Mois prov (calc)],"&lt;="&amp;$E1092)-SUMIFS(TblApplications[RAM IKS libérable (Go)],TblApplications[Cluster IKS source],$F1092,TblApplications[Action],"À décommissionner",TblApplications[Mois lib (calc)],"&lt;="&amp;$E1092)))))</f>
        <v/>
      </c>
      <c r="Z1092" s="19" t="str">
        <f t="shared" si="281"/>
        <v/>
      </c>
      <c r="AA1092" s="73" t="str">
        <f t="shared" si="282"/>
        <v/>
      </c>
      <c r="AB1092" s="19" t="str">
        <f t="shared" si="283"/>
        <v/>
      </c>
      <c r="AC1092" s="73" t="str">
        <f t="shared" si="284"/>
        <v/>
      </c>
      <c r="AD1092" s="19" t="str">
        <f t="shared" si="285"/>
        <v/>
      </c>
      <c r="AE1092" s="19" t="str">
        <f t="shared" si="286"/>
        <v/>
      </c>
      <c r="AF1092" s="19" t="str">
        <f>IF($D1092&lt;&gt;1,"",IF(INDEX(TblClusters[Environnement],$B1092)="","(vide)",INDEX(TblClusters[Environnement],$B1092)))</f>
        <v/>
      </c>
      <c r="AG1092" s="19" t="str">
        <f t="shared" si="287"/>
        <v/>
      </c>
      <c r="AH1092" s="19" t="str">
        <f t="shared" si="288"/>
        <v/>
      </c>
      <c r="AI1092" s="19" t="str">
        <f>IF($D1092&lt;&gt;1,"",IF(AND($G1092="IKS",ISNUMBER(INDEX(TblClusters[Fermeture retenue],$B1092))),IF($E1092&gt;=INDEX(TblClusters[Fermeture retenue],$B1092),1,0),0))</f>
        <v/>
      </c>
    </row>
    <row r="1093" spans="1:35" x14ac:dyDescent="0.2">
      <c r="A1093" s="19">
        <v>1088</v>
      </c>
      <c r="B1093" s="19">
        <f t="shared" si="272"/>
        <v>31</v>
      </c>
      <c r="C1093" s="19">
        <f t="shared" si="273"/>
        <v>8</v>
      </c>
      <c r="D1093" s="19">
        <f>IF($C1093&gt;p_horizon,0,IFERROR(IF(AND(INDEX(TblClusters[Cluster],$B1093)&lt;&gt;"",ISNUMBER(INDEX(TblClusters[CPU initial (vCPU)],$B1093)),ISNUMBER(INDEX(TblClusters[CPU min (vCPU)],$B1093)),OR(INDEX(TblClusters[Plateforme],$B1093)="IKS",INDEX(TblClusters[Plateforme],$B1093)="ROKS")),1,0),0))</f>
        <v>0</v>
      </c>
      <c r="E1093" s="72" t="str">
        <f t="shared" si="274"/>
        <v/>
      </c>
      <c r="F1093" s="19" t="str">
        <f>IF($D1093=1,INDEX(TblClusters[Cluster],$B1093),"")</f>
        <v/>
      </c>
      <c r="G1093" s="19" t="str">
        <f>IF($D1093=1,INDEX(TblClusters[Plateforme],$B1093),"")</f>
        <v/>
      </c>
      <c r="H1093" s="19" t="str">
        <f>IF($D1093=1,INDEX(TblClusters[vCPU par nœud],$B1093),"")</f>
        <v/>
      </c>
      <c r="I1093" s="19" t="str">
        <f>IF($D1093=1,INDEX(TblClusters[RAM par nœud (Go)],$B1093),"")</f>
        <v/>
      </c>
      <c r="J1093" s="19" t="str">
        <f>IF($D1093=1,INDEX(TblClusters[Workers min],$B1093),"")</f>
        <v/>
      </c>
      <c r="K1093" s="73" t="str">
        <f>IF($D1093=1,INDEX(TblClusters[Tarif par nœud],$B1093),"")</f>
        <v/>
      </c>
      <c r="L1093" s="19" t="str">
        <f>IF($D1093=1,INDEX(TblClusters[CPU initial (vCPU)],$B1093),"")</f>
        <v/>
      </c>
      <c r="M1093" s="19" t="str">
        <f>IF($D1093=1,INDEX(TblClusters[RAM initiale (Go)],$B1093),"")</f>
        <v/>
      </c>
      <c r="N1093" s="19" t="str">
        <f>IF($D1093=1,INDEX(TblClusters[CPU min (vCPU)],$B1093),"")</f>
        <v/>
      </c>
      <c r="O1093" s="19" t="str">
        <f>IF($D1093=1,INDEX(TblClusters[RAM min (Go)],$B1093),"")</f>
        <v/>
      </c>
      <c r="P1093" s="19" t="str">
        <f>IF($D1093&lt;&gt;1,"",IF($G1093="ROKS",SUMIFS(TblApplications[Besoin ROKS CPU (vCPU)],TblApplications[Cluster ROKS cible],$F1093,TblApplications[Action],"À migrer",TblApplications[Déjà incluse ROKS],"Non",TblApplications[Mois prov (calc)],"&lt;="&amp;$E1093),SUMIFS(TblApplications[CPU IKS libérable (vCPU)],TblApplications[Cluster IKS source],$F1093,TblApplications[Mois lib (calc)],"&lt;="&amp;$E1093)))</f>
        <v/>
      </c>
      <c r="Q1093" s="19" t="str">
        <f>IF($D1093&lt;&gt;1,"",IF($G1093="ROKS",SUMIFS(TblApplications[Besoin ROKS RAM (Go)],TblApplications[Cluster ROKS cible],$F1093,TblApplications[Action],"À migrer",TblApplications[Déjà incluse ROKS],"Non",TblApplications[Mois prov (calc)],"&lt;="&amp;$E1093),SUMIFS(TblApplications[RAM IKS libérable (Go)],TblApplications[Cluster IKS source],$F1093,TblApplications[Mois lib (calc)],"&lt;="&amp;$E1093)))</f>
        <v/>
      </c>
      <c r="R1093" s="19" t="str">
        <f t="shared" si="275"/>
        <v/>
      </c>
      <c r="S1093" s="19" t="str">
        <f t="shared" si="276"/>
        <v/>
      </c>
      <c r="T1093" s="19" t="str">
        <f t="shared" si="277"/>
        <v/>
      </c>
      <c r="U1093" s="19" t="str">
        <f t="shared" si="278"/>
        <v/>
      </c>
      <c r="V1093" s="19" t="str">
        <f t="shared" si="279"/>
        <v/>
      </c>
      <c r="W1093" s="73" t="str">
        <f t="shared" si="280"/>
        <v/>
      </c>
      <c r="X1093" s="19" t="str">
        <f>IF($D1093&lt;&gt;1,"",IF($G1093="ROKS",$R1093,IF($AI1093=1,0,MAX($N1093,$L1093-SUMIFS(TblApplications[CPU IKS libérable (vCPU)],TblApplications[Cluster IKS source],$F1093,TblApplications[Action],"À migrer",TblApplications[Mois prov (calc)],"&lt;="&amp;$E1093)-SUMIFS(TblApplications[CPU IKS libérable (vCPU)],TblApplications[Cluster IKS source],$F1093,TblApplications[Action],"À décommissionner",TblApplications[Mois lib (calc)],"&lt;="&amp;$E1093)))))</f>
        <v/>
      </c>
      <c r="Y1093" s="19" t="str">
        <f>IF($D1093&lt;&gt;1,"",IF($G1093="ROKS",$S1093,IF($AI1093=1,0,MAX($O1093,$M1093-SUMIFS(TblApplications[RAM IKS libérable (Go)],TblApplications[Cluster IKS source],$F1093,TblApplications[Action],"À migrer",TblApplications[Mois prov (calc)],"&lt;="&amp;$E1093)-SUMIFS(TblApplications[RAM IKS libérable (Go)],TblApplications[Cluster IKS source],$F1093,TblApplications[Action],"À décommissionner",TblApplications[Mois lib (calc)],"&lt;="&amp;$E1093)))))</f>
        <v/>
      </c>
      <c r="Z1093" s="19" t="str">
        <f t="shared" si="281"/>
        <v/>
      </c>
      <c r="AA1093" s="73" t="str">
        <f t="shared" si="282"/>
        <v/>
      </c>
      <c r="AB1093" s="19" t="str">
        <f t="shared" si="283"/>
        <v/>
      </c>
      <c r="AC1093" s="73" t="str">
        <f t="shared" si="284"/>
        <v/>
      </c>
      <c r="AD1093" s="19" t="str">
        <f t="shared" si="285"/>
        <v/>
      </c>
      <c r="AE1093" s="19" t="str">
        <f t="shared" si="286"/>
        <v/>
      </c>
      <c r="AF1093" s="19" t="str">
        <f>IF($D1093&lt;&gt;1,"",IF(INDEX(TblClusters[Environnement],$B1093)="","(vide)",INDEX(TblClusters[Environnement],$B1093)))</f>
        <v/>
      </c>
      <c r="AG1093" s="19" t="str">
        <f t="shared" si="287"/>
        <v/>
      </c>
      <c r="AH1093" s="19" t="str">
        <f t="shared" si="288"/>
        <v/>
      </c>
      <c r="AI1093" s="19" t="str">
        <f>IF($D1093&lt;&gt;1,"",IF(AND($G1093="IKS",ISNUMBER(INDEX(TblClusters[Fermeture retenue],$B1093))),IF($E1093&gt;=INDEX(TblClusters[Fermeture retenue],$B1093),1,0),0))</f>
        <v/>
      </c>
    </row>
    <row r="1094" spans="1:35" x14ac:dyDescent="0.2">
      <c r="A1094" s="19">
        <v>1089</v>
      </c>
      <c r="B1094" s="19">
        <f t="shared" ref="B1094:B1157" si="289">INT(($A1094-1)/36)+1</f>
        <v>31</v>
      </c>
      <c r="C1094" s="19">
        <f t="shared" ref="C1094:C1157" si="290">MOD($A1094-1,36)+1</f>
        <v>9</v>
      </c>
      <c r="D1094" s="19">
        <f>IF($C1094&gt;p_horizon,0,IFERROR(IF(AND(INDEX(TblClusters[Cluster],$B1094)&lt;&gt;"",ISNUMBER(INDEX(TblClusters[CPU initial (vCPU)],$B1094)),ISNUMBER(INDEX(TblClusters[CPU min (vCPU)],$B1094)),OR(INDEX(TblClusters[Plateforme],$B1094)="IKS",INDEX(TblClusters[Plateforme],$B1094)="ROKS")),1,0),0))</f>
        <v>0</v>
      </c>
      <c r="E1094" s="72" t="str">
        <f t="shared" ref="E1094:E1157" si="291">IF($D1094=1,EDATE(p_debut,$C1094-1),"")</f>
        <v/>
      </c>
      <c r="F1094" s="19" t="str">
        <f>IF($D1094=1,INDEX(TblClusters[Cluster],$B1094),"")</f>
        <v/>
      </c>
      <c r="G1094" s="19" t="str">
        <f>IF($D1094=1,INDEX(TblClusters[Plateforme],$B1094),"")</f>
        <v/>
      </c>
      <c r="H1094" s="19" t="str">
        <f>IF($D1094=1,INDEX(TblClusters[vCPU par nœud],$B1094),"")</f>
        <v/>
      </c>
      <c r="I1094" s="19" t="str">
        <f>IF($D1094=1,INDEX(TblClusters[RAM par nœud (Go)],$B1094),"")</f>
        <v/>
      </c>
      <c r="J1094" s="19" t="str">
        <f>IF($D1094=1,INDEX(TblClusters[Workers min],$B1094),"")</f>
        <v/>
      </c>
      <c r="K1094" s="73" t="str">
        <f>IF($D1094=1,INDEX(TblClusters[Tarif par nœud],$B1094),"")</f>
        <v/>
      </c>
      <c r="L1094" s="19" t="str">
        <f>IF($D1094=1,INDEX(TblClusters[CPU initial (vCPU)],$B1094),"")</f>
        <v/>
      </c>
      <c r="M1094" s="19" t="str">
        <f>IF($D1094=1,INDEX(TblClusters[RAM initiale (Go)],$B1094),"")</f>
        <v/>
      </c>
      <c r="N1094" s="19" t="str">
        <f>IF($D1094=1,INDEX(TblClusters[CPU min (vCPU)],$B1094),"")</f>
        <v/>
      </c>
      <c r="O1094" s="19" t="str">
        <f>IF($D1094=1,INDEX(TblClusters[RAM min (Go)],$B1094),"")</f>
        <v/>
      </c>
      <c r="P1094" s="19" t="str">
        <f>IF($D1094&lt;&gt;1,"",IF($G1094="ROKS",SUMIFS(TblApplications[Besoin ROKS CPU (vCPU)],TblApplications[Cluster ROKS cible],$F1094,TblApplications[Action],"À migrer",TblApplications[Déjà incluse ROKS],"Non",TblApplications[Mois prov (calc)],"&lt;="&amp;$E1094),SUMIFS(TblApplications[CPU IKS libérable (vCPU)],TblApplications[Cluster IKS source],$F1094,TblApplications[Mois lib (calc)],"&lt;="&amp;$E1094)))</f>
        <v/>
      </c>
      <c r="Q1094" s="19" t="str">
        <f>IF($D1094&lt;&gt;1,"",IF($G1094="ROKS",SUMIFS(TblApplications[Besoin ROKS RAM (Go)],TblApplications[Cluster ROKS cible],$F1094,TblApplications[Action],"À migrer",TblApplications[Déjà incluse ROKS],"Non",TblApplications[Mois prov (calc)],"&lt;="&amp;$E1094),SUMIFS(TblApplications[RAM IKS libérable (Go)],TblApplications[Cluster IKS source],$F1094,TblApplications[Mois lib (calc)],"&lt;="&amp;$E1094)))</f>
        <v/>
      </c>
      <c r="R1094" s="19" t="str">
        <f t="shared" ref="R1094:R1157" si="292">IF($D1094&lt;&gt;1,"",IF($G1094="ROKS",$L1094+$P1094,IF($AI1094=1,0,MAX($N1094,$L1094-$P1094))))</f>
        <v/>
      </c>
      <c r="S1094" s="19" t="str">
        <f t="shared" ref="S1094:S1157" si="293">IF($D1094&lt;&gt;1,"",IF($G1094="ROKS",$M1094+$Q1094,IF($AI1094=1,0,MAX($O1094,$M1094-$Q1094))))</f>
        <v/>
      </c>
      <c r="T1094" s="19" t="str">
        <f t="shared" ref="T1094:T1157" si="294">IF($D1094&lt;&gt;1,"",IF($AI1094=1,0,MAX($J1094,ROUNDUP(MAX($R1094/$H1094,$S1094/$I1094),0))))</f>
        <v/>
      </c>
      <c r="U1094" s="19" t="str">
        <f t="shared" ref="U1094:U1157" si="295">IF($D1094&lt;&gt;1,"",IF(p_mode="Nœud",$T1094*$H1094,$R1094))</f>
        <v/>
      </c>
      <c r="V1094" s="19" t="str">
        <f t="shared" ref="V1094:V1157" si="296">IF($D1094&lt;&gt;1,"",IF(p_mode="Nœud",$T1094*$I1094,$S1094))</f>
        <v/>
      </c>
      <c r="W1094" s="73" t="str">
        <f t="shared" ref="W1094:W1157" si="297">IF($D1094&lt;&gt;1,"",IF(p_mode="Nœud",$T1094*$K1094,$R1094*IF($G1094="IKS",p_iks_cpu,p_roks_cpu)+$S1094*IF($G1094="IKS",p_iks_ram,p_roks_ram))*p_facteur)</f>
        <v/>
      </c>
      <c r="X1094" s="19" t="str">
        <f>IF($D1094&lt;&gt;1,"",IF($G1094="ROKS",$R1094,IF($AI1094=1,0,MAX($N1094,$L1094-SUMIFS(TblApplications[CPU IKS libérable (vCPU)],TblApplications[Cluster IKS source],$F1094,TblApplications[Action],"À migrer",TblApplications[Mois prov (calc)],"&lt;="&amp;$E1094)-SUMIFS(TblApplications[CPU IKS libérable (vCPU)],TblApplications[Cluster IKS source],$F1094,TblApplications[Action],"À décommissionner",TblApplications[Mois lib (calc)],"&lt;="&amp;$E1094)))))</f>
        <v/>
      </c>
      <c r="Y1094" s="19" t="str">
        <f>IF($D1094&lt;&gt;1,"",IF($G1094="ROKS",$S1094,IF($AI1094=1,0,MAX($O1094,$M1094-SUMIFS(TblApplications[RAM IKS libérable (Go)],TblApplications[Cluster IKS source],$F1094,TblApplications[Action],"À migrer",TblApplications[Mois prov (calc)],"&lt;="&amp;$E1094)-SUMIFS(TblApplications[RAM IKS libérable (Go)],TblApplications[Cluster IKS source],$F1094,TblApplications[Action],"À décommissionner",TblApplications[Mois lib (calc)],"&lt;="&amp;$E1094)))))</f>
        <v/>
      </c>
      <c r="Z1094" s="19" t="str">
        <f t="shared" ref="Z1094:Z1157" si="298">IF($D1094&lt;&gt;1,"",IF($AI1094=1,0,MAX($J1094,ROUNDUP(MAX($X1094/$H1094,$Y1094/$I1094),0))))</f>
        <v/>
      </c>
      <c r="AA1094" s="73" t="str">
        <f t="shared" ref="AA1094:AA1157" si="299">IF($D1094&lt;&gt;1,"",IF(p_mode="Nœud",$Z1094*$K1094,$X1094*IF($G1094="IKS",p_iks_cpu,p_roks_cpu)+$Y1094*IF($G1094="IKS",p_iks_ram,p_roks_ram))*p_facteur)</f>
        <v/>
      </c>
      <c r="AB1094" s="19" t="str">
        <f t="shared" ref="AB1094:AB1157" si="300">IF($D1094&lt;&gt;1,"",MAX($J1094,ROUNDUP(MAX($L1094/$H1094,$M1094/$I1094),0)))</f>
        <v/>
      </c>
      <c r="AC1094" s="73" t="str">
        <f t="shared" ref="AC1094:AC1157" si="301">IF($D1094&lt;&gt;1,"",IF(p_mode="Nœud",$AB1094*$K1094,$L1094*IF($G1094="IKS",p_iks_cpu,p_roks_cpu)+$M1094*IF($G1094="IKS",p_iks_ram,p_roks_ram))*p_facteur)</f>
        <v/>
      </c>
      <c r="AD1094" s="19" t="str">
        <f t="shared" ref="AD1094:AD1157" si="302">IF($D1094&lt;&gt;1,"",IF(AND($G1094="IKS",$AI1094&lt;&gt;1,OR($L1094-$P1094&lt;$N1094,$M1094-$Q1094&lt;$O1094)),1,0))</f>
        <v/>
      </c>
      <c r="AE1094" s="19" t="str">
        <f t="shared" ref="AE1094:AE1157" si="303">IF($D1094&lt;&gt;1,"",IF(AND($G1094="ROKS",$T1094&gt;p_maxworkers),1,0))</f>
        <v/>
      </c>
      <c r="AF1094" s="19" t="str">
        <f>IF($D1094&lt;&gt;1,"",IF(INDEX(TblClusters[Environnement],$B1094)="","(vide)",INDEX(TblClusters[Environnement],$B1094)))</f>
        <v/>
      </c>
      <c r="AG1094" s="19" t="str">
        <f t="shared" ref="AG1094:AG1157" si="304">IF($D1094&lt;&gt;1,"",$R1094+p_poidsram*$S1094)</f>
        <v/>
      </c>
      <c r="AH1094" s="19" t="str">
        <f t="shared" ref="AH1094:AH1157" si="305">IF($D1094&lt;&gt;1,"",IFERROR($W1094/$AG1094,0))</f>
        <v/>
      </c>
      <c r="AI1094" s="19" t="str">
        <f>IF($D1094&lt;&gt;1,"",IF(AND($G1094="IKS",ISNUMBER(INDEX(TblClusters[Fermeture retenue],$B1094))),IF($E1094&gt;=INDEX(TblClusters[Fermeture retenue],$B1094),1,0),0))</f>
        <v/>
      </c>
    </row>
    <row r="1095" spans="1:35" x14ac:dyDescent="0.2">
      <c r="A1095" s="19">
        <v>1090</v>
      </c>
      <c r="B1095" s="19">
        <f t="shared" si="289"/>
        <v>31</v>
      </c>
      <c r="C1095" s="19">
        <f t="shared" si="290"/>
        <v>10</v>
      </c>
      <c r="D1095" s="19">
        <f>IF($C1095&gt;p_horizon,0,IFERROR(IF(AND(INDEX(TblClusters[Cluster],$B1095)&lt;&gt;"",ISNUMBER(INDEX(TblClusters[CPU initial (vCPU)],$B1095)),ISNUMBER(INDEX(TblClusters[CPU min (vCPU)],$B1095)),OR(INDEX(TblClusters[Plateforme],$B1095)="IKS",INDEX(TblClusters[Plateforme],$B1095)="ROKS")),1,0),0))</f>
        <v>0</v>
      </c>
      <c r="E1095" s="72" t="str">
        <f t="shared" si="291"/>
        <v/>
      </c>
      <c r="F1095" s="19" t="str">
        <f>IF($D1095=1,INDEX(TblClusters[Cluster],$B1095),"")</f>
        <v/>
      </c>
      <c r="G1095" s="19" t="str">
        <f>IF($D1095=1,INDEX(TblClusters[Plateforme],$B1095),"")</f>
        <v/>
      </c>
      <c r="H1095" s="19" t="str">
        <f>IF($D1095=1,INDEX(TblClusters[vCPU par nœud],$B1095),"")</f>
        <v/>
      </c>
      <c r="I1095" s="19" t="str">
        <f>IF($D1095=1,INDEX(TblClusters[RAM par nœud (Go)],$B1095),"")</f>
        <v/>
      </c>
      <c r="J1095" s="19" t="str">
        <f>IF($D1095=1,INDEX(TblClusters[Workers min],$B1095),"")</f>
        <v/>
      </c>
      <c r="K1095" s="73" t="str">
        <f>IF($D1095=1,INDEX(TblClusters[Tarif par nœud],$B1095),"")</f>
        <v/>
      </c>
      <c r="L1095" s="19" t="str">
        <f>IF($D1095=1,INDEX(TblClusters[CPU initial (vCPU)],$B1095),"")</f>
        <v/>
      </c>
      <c r="M1095" s="19" t="str">
        <f>IF($D1095=1,INDEX(TblClusters[RAM initiale (Go)],$B1095),"")</f>
        <v/>
      </c>
      <c r="N1095" s="19" t="str">
        <f>IF($D1095=1,INDEX(TblClusters[CPU min (vCPU)],$B1095),"")</f>
        <v/>
      </c>
      <c r="O1095" s="19" t="str">
        <f>IF($D1095=1,INDEX(TblClusters[RAM min (Go)],$B1095),"")</f>
        <v/>
      </c>
      <c r="P1095" s="19" t="str">
        <f>IF($D1095&lt;&gt;1,"",IF($G1095="ROKS",SUMIFS(TblApplications[Besoin ROKS CPU (vCPU)],TblApplications[Cluster ROKS cible],$F1095,TblApplications[Action],"À migrer",TblApplications[Déjà incluse ROKS],"Non",TblApplications[Mois prov (calc)],"&lt;="&amp;$E1095),SUMIFS(TblApplications[CPU IKS libérable (vCPU)],TblApplications[Cluster IKS source],$F1095,TblApplications[Mois lib (calc)],"&lt;="&amp;$E1095)))</f>
        <v/>
      </c>
      <c r="Q1095" s="19" t="str">
        <f>IF($D1095&lt;&gt;1,"",IF($G1095="ROKS",SUMIFS(TblApplications[Besoin ROKS RAM (Go)],TblApplications[Cluster ROKS cible],$F1095,TblApplications[Action],"À migrer",TblApplications[Déjà incluse ROKS],"Non",TblApplications[Mois prov (calc)],"&lt;="&amp;$E1095),SUMIFS(TblApplications[RAM IKS libérable (Go)],TblApplications[Cluster IKS source],$F1095,TblApplications[Mois lib (calc)],"&lt;="&amp;$E1095)))</f>
        <v/>
      </c>
      <c r="R1095" s="19" t="str">
        <f t="shared" si="292"/>
        <v/>
      </c>
      <c r="S1095" s="19" t="str">
        <f t="shared" si="293"/>
        <v/>
      </c>
      <c r="T1095" s="19" t="str">
        <f t="shared" si="294"/>
        <v/>
      </c>
      <c r="U1095" s="19" t="str">
        <f t="shared" si="295"/>
        <v/>
      </c>
      <c r="V1095" s="19" t="str">
        <f t="shared" si="296"/>
        <v/>
      </c>
      <c r="W1095" s="73" t="str">
        <f t="shared" si="297"/>
        <v/>
      </c>
      <c r="X1095" s="19" t="str">
        <f>IF($D1095&lt;&gt;1,"",IF($G1095="ROKS",$R1095,IF($AI1095=1,0,MAX($N1095,$L1095-SUMIFS(TblApplications[CPU IKS libérable (vCPU)],TblApplications[Cluster IKS source],$F1095,TblApplications[Action],"À migrer",TblApplications[Mois prov (calc)],"&lt;="&amp;$E1095)-SUMIFS(TblApplications[CPU IKS libérable (vCPU)],TblApplications[Cluster IKS source],$F1095,TblApplications[Action],"À décommissionner",TblApplications[Mois lib (calc)],"&lt;="&amp;$E1095)))))</f>
        <v/>
      </c>
      <c r="Y1095" s="19" t="str">
        <f>IF($D1095&lt;&gt;1,"",IF($G1095="ROKS",$S1095,IF($AI1095=1,0,MAX($O1095,$M1095-SUMIFS(TblApplications[RAM IKS libérable (Go)],TblApplications[Cluster IKS source],$F1095,TblApplications[Action],"À migrer",TblApplications[Mois prov (calc)],"&lt;="&amp;$E1095)-SUMIFS(TblApplications[RAM IKS libérable (Go)],TblApplications[Cluster IKS source],$F1095,TblApplications[Action],"À décommissionner",TblApplications[Mois lib (calc)],"&lt;="&amp;$E1095)))))</f>
        <v/>
      </c>
      <c r="Z1095" s="19" t="str">
        <f t="shared" si="298"/>
        <v/>
      </c>
      <c r="AA1095" s="73" t="str">
        <f t="shared" si="299"/>
        <v/>
      </c>
      <c r="AB1095" s="19" t="str">
        <f t="shared" si="300"/>
        <v/>
      </c>
      <c r="AC1095" s="73" t="str">
        <f t="shared" si="301"/>
        <v/>
      </c>
      <c r="AD1095" s="19" t="str">
        <f t="shared" si="302"/>
        <v/>
      </c>
      <c r="AE1095" s="19" t="str">
        <f t="shared" si="303"/>
        <v/>
      </c>
      <c r="AF1095" s="19" t="str">
        <f>IF($D1095&lt;&gt;1,"",IF(INDEX(TblClusters[Environnement],$B1095)="","(vide)",INDEX(TblClusters[Environnement],$B1095)))</f>
        <v/>
      </c>
      <c r="AG1095" s="19" t="str">
        <f t="shared" si="304"/>
        <v/>
      </c>
      <c r="AH1095" s="19" t="str">
        <f t="shared" si="305"/>
        <v/>
      </c>
      <c r="AI1095" s="19" t="str">
        <f>IF($D1095&lt;&gt;1,"",IF(AND($G1095="IKS",ISNUMBER(INDEX(TblClusters[Fermeture retenue],$B1095))),IF($E1095&gt;=INDEX(TblClusters[Fermeture retenue],$B1095),1,0),0))</f>
        <v/>
      </c>
    </row>
    <row r="1096" spans="1:35" x14ac:dyDescent="0.2">
      <c r="A1096" s="19">
        <v>1091</v>
      </c>
      <c r="B1096" s="19">
        <f t="shared" si="289"/>
        <v>31</v>
      </c>
      <c r="C1096" s="19">
        <f t="shared" si="290"/>
        <v>11</v>
      </c>
      <c r="D1096" s="19">
        <f>IF($C1096&gt;p_horizon,0,IFERROR(IF(AND(INDEX(TblClusters[Cluster],$B1096)&lt;&gt;"",ISNUMBER(INDEX(TblClusters[CPU initial (vCPU)],$B1096)),ISNUMBER(INDEX(TblClusters[CPU min (vCPU)],$B1096)),OR(INDEX(TblClusters[Plateforme],$B1096)="IKS",INDEX(TblClusters[Plateforme],$B1096)="ROKS")),1,0),0))</f>
        <v>0</v>
      </c>
      <c r="E1096" s="72" t="str">
        <f t="shared" si="291"/>
        <v/>
      </c>
      <c r="F1096" s="19" t="str">
        <f>IF($D1096=1,INDEX(TblClusters[Cluster],$B1096),"")</f>
        <v/>
      </c>
      <c r="G1096" s="19" t="str">
        <f>IF($D1096=1,INDEX(TblClusters[Plateforme],$B1096),"")</f>
        <v/>
      </c>
      <c r="H1096" s="19" t="str">
        <f>IF($D1096=1,INDEX(TblClusters[vCPU par nœud],$B1096),"")</f>
        <v/>
      </c>
      <c r="I1096" s="19" t="str">
        <f>IF($D1096=1,INDEX(TblClusters[RAM par nœud (Go)],$B1096),"")</f>
        <v/>
      </c>
      <c r="J1096" s="19" t="str">
        <f>IF($D1096=1,INDEX(TblClusters[Workers min],$B1096),"")</f>
        <v/>
      </c>
      <c r="K1096" s="73" t="str">
        <f>IF($D1096=1,INDEX(TblClusters[Tarif par nœud],$B1096),"")</f>
        <v/>
      </c>
      <c r="L1096" s="19" t="str">
        <f>IF($D1096=1,INDEX(TblClusters[CPU initial (vCPU)],$B1096),"")</f>
        <v/>
      </c>
      <c r="M1096" s="19" t="str">
        <f>IF($D1096=1,INDEX(TblClusters[RAM initiale (Go)],$B1096),"")</f>
        <v/>
      </c>
      <c r="N1096" s="19" t="str">
        <f>IF($D1096=1,INDEX(TblClusters[CPU min (vCPU)],$B1096),"")</f>
        <v/>
      </c>
      <c r="O1096" s="19" t="str">
        <f>IF($D1096=1,INDEX(TblClusters[RAM min (Go)],$B1096),"")</f>
        <v/>
      </c>
      <c r="P1096" s="19" t="str">
        <f>IF($D1096&lt;&gt;1,"",IF($G1096="ROKS",SUMIFS(TblApplications[Besoin ROKS CPU (vCPU)],TblApplications[Cluster ROKS cible],$F1096,TblApplications[Action],"À migrer",TblApplications[Déjà incluse ROKS],"Non",TblApplications[Mois prov (calc)],"&lt;="&amp;$E1096),SUMIFS(TblApplications[CPU IKS libérable (vCPU)],TblApplications[Cluster IKS source],$F1096,TblApplications[Mois lib (calc)],"&lt;="&amp;$E1096)))</f>
        <v/>
      </c>
      <c r="Q1096" s="19" t="str">
        <f>IF($D1096&lt;&gt;1,"",IF($G1096="ROKS",SUMIFS(TblApplications[Besoin ROKS RAM (Go)],TblApplications[Cluster ROKS cible],$F1096,TblApplications[Action],"À migrer",TblApplications[Déjà incluse ROKS],"Non",TblApplications[Mois prov (calc)],"&lt;="&amp;$E1096),SUMIFS(TblApplications[RAM IKS libérable (Go)],TblApplications[Cluster IKS source],$F1096,TblApplications[Mois lib (calc)],"&lt;="&amp;$E1096)))</f>
        <v/>
      </c>
      <c r="R1096" s="19" t="str">
        <f t="shared" si="292"/>
        <v/>
      </c>
      <c r="S1096" s="19" t="str">
        <f t="shared" si="293"/>
        <v/>
      </c>
      <c r="T1096" s="19" t="str">
        <f t="shared" si="294"/>
        <v/>
      </c>
      <c r="U1096" s="19" t="str">
        <f t="shared" si="295"/>
        <v/>
      </c>
      <c r="V1096" s="19" t="str">
        <f t="shared" si="296"/>
        <v/>
      </c>
      <c r="W1096" s="73" t="str">
        <f t="shared" si="297"/>
        <v/>
      </c>
      <c r="X1096" s="19" t="str">
        <f>IF($D1096&lt;&gt;1,"",IF($G1096="ROKS",$R1096,IF($AI1096=1,0,MAX($N1096,$L1096-SUMIFS(TblApplications[CPU IKS libérable (vCPU)],TblApplications[Cluster IKS source],$F1096,TblApplications[Action],"À migrer",TblApplications[Mois prov (calc)],"&lt;="&amp;$E1096)-SUMIFS(TblApplications[CPU IKS libérable (vCPU)],TblApplications[Cluster IKS source],$F1096,TblApplications[Action],"À décommissionner",TblApplications[Mois lib (calc)],"&lt;="&amp;$E1096)))))</f>
        <v/>
      </c>
      <c r="Y1096" s="19" t="str">
        <f>IF($D1096&lt;&gt;1,"",IF($G1096="ROKS",$S1096,IF($AI1096=1,0,MAX($O1096,$M1096-SUMIFS(TblApplications[RAM IKS libérable (Go)],TblApplications[Cluster IKS source],$F1096,TblApplications[Action],"À migrer",TblApplications[Mois prov (calc)],"&lt;="&amp;$E1096)-SUMIFS(TblApplications[RAM IKS libérable (Go)],TblApplications[Cluster IKS source],$F1096,TblApplications[Action],"À décommissionner",TblApplications[Mois lib (calc)],"&lt;="&amp;$E1096)))))</f>
        <v/>
      </c>
      <c r="Z1096" s="19" t="str">
        <f t="shared" si="298"/>
        <v/>
      </c>
      <c r="AA1096" s="73" t="str">
        <f t="shared" si="299"/>
        <v/>
      </c>
      <c r="AB1096" s="19" t="str">
        <f t="shared" si="300"/>
        <v/>
      </c>
      <c r="AC1096" s="73" t="str">
        <f t="shared" si="301"/>
        <v/>
      </c>
      <c r="AD1096" s="19" t="str">
        <f t="shared" si="302"/>
        <v/>
      </c>
      <c r="AE1096" s="19" t="str">
        <f t="shared" si="303"/>
        <v/>
      </c>
      <c r="AF1096" s="19" t="str">
        <f>IF($D1096&lt;&gt;1,"",IF(INDEX(TblClusters[Environnement],$B1096)="","(vide)",INDEX(TblClusters[Environnement],$B1096)))</f>
        <v/>
      </c>
      <c r="AG1096" s="19" t="str">
        <f t="shared" si="304"/>
        <v/>
      </c>
      <c r="AH1096" s="19" t="str">
        <f t="shared" si="305"/>
        <v/>
      </c>
      <c r="AI1096" s="19" t="str">
        <f>IF($D1096&lt;&gt;1,"",IF(AND($G1096="IKS",ISNUMBER(INDEX(TblClusters[Fermeture retenue],$B1096))),IF($E1096&gt;=INDEX(TblClusters[Fermeture retenue],$B1096),1,0),0))</f>
        <v/>
      </c>
    </row>
    <row r="1097" spans="1:35" x14ac:dyDescent="0.2">
      <c r="A1097" s="19">
        <v>1092</v>
      </c>
      <c r="B1097" s="19">
        <f t="shared" si="289"/>
        <v>31</v>
      </c>
      <c r="C1097" s="19">
        <f t="shared" si="290"/>
        <v>12</v>
      </c>
      <c r="D1097" s="19">
        <f>IF($C1097&gt;p_horizon,0,IFERROR(IF(AND(INDEX(TblClusters[Cluster],$B1097)&lt;&gt;"",ISNUMBER(INDEX(TblClusters[CPU initial (vCPU)],$B1097)),ISNUMBER(INDEX(TblClusters[CPU min (vCPU)],$B1097)),OR(INDEX(TblClusters[Plateforme],$B1097)="IKS",INDEX(TblClusters[Plateforme],$B1097)="ROKS")),1,0),0))</f>
        <v>0</v>
      </c>
      <c r="E1097" s="72" t="str">
        <f t="shared" si="291"/>
        <v/>
      </c>
      <c r="F1097" s="19" t="str">
        <f>IF($D1097=1,INDEX(TblClusters[Cluster],$B1097),"")</f>
        <v/>
      </c>
      <c r="G1097" s="19" t="str">
        <f>IF($D1097=1,INDEX(TblClusters[Plateforme],$B1097),"")</f>
        <v/>
      </c>
      <c r="H1097" s="19" t="str">
        <f>IF($D1097=1,INDEX(TblClusters[vCPU par nœud],$B1097),"")</f>
        <v/>
      </c>
      <c r="I1097" s="19" t="str">
        <f>IF($D1097=1,INDEX(TblClusters[RAM par nœud (Go)],$B1097),"")</f>
        <v/>
      </c>
      <c r="J1097" s="19" t="str">
        <f>IF($D1097=1,INDEX(TblClusters[Workers min],$B1097),"")</f>
        <v/>
      </c>
      <c r="K1097" s="73" t="str">
        <f>IF($D1097=1,INDEX(TblClusters[Tarif par nœud],$B1097),"")</f>
        <v/>
      </c>
      <c r="L1097" s="19" t="str">
        <f>IF($D1097=1,INDEX(TblClusters[CPU initial (vCPU)],$B1097),"")</f>
        <v/>
      </c>
      <c r="M1097" s="19" t="str">
        <f>IF($D1097=1,INDEX(TblClusters[RAM initiale (Go)],$B1097),"")</f>
        <v/>
      </c>
      <c r="N1097" s="19" t="str">
        <f>IF($D1097=1,INDEX(TblClusters[CPU min (vCPU)],$B1097),"")</f>
        <v/>
      </c>
      <c r="O1097" s="19" t="str">
        <f>IF($D1097=1,INDEX(TblClusters[RAM min (Go)],$B1097),"")</f>
        <v/>
      </c>
      <c r="P1097" s="19" t="str">
        <f>IF($D1097&lt;&gt;1,"",IF($G1097="ROKS",SUMIFS(TblApplications[Besoin ROKS CPU (vCPU)],TblApplications[Cluster ROKS cible],$F1097,TblApplications[Action],"À migrer",TblApplications[Déjà incluse ROKS],"Non",TblApplications[Mois prov (calc)],"&lt;="&amp;$E1097),SUMIFS(TblApplications[CPU IKS libérable (vCPU)],TblApplications[Cluster IKS source],$F1097,TblApplications[Mois lib (calc)],"&lt;="&amp;$E1097)))</f>
        <v/>
      </c>
      <c r="Q1097" s="19" t="str">
        <f>IF($D1097&lt;&gt;1,"",IF($G1097="ROKS",SUMIFS(TblApplications[Besoin ROKS RAM (Go)],TblApplications[Cluster ROKS cible],$F1097,TblApplications[Action],"À migrer",TblApplications[Déjà incluse ROKS],"Non",TblApplications[Mois prov (calc)],"&lt;="&amp;$E1097),SUMIFS(TblApplications[RAM IKS libérable (Go)],TblApplications[Cluster IKS source],$F1097,TblApplications[Mois lib (calc)],"&lt;="&amp;$E1097)))</f>
        <v/>
      </c>
      <c r="R1097" s="19" t="str">
        <f t="shared" si="292"/>
        <v/>
      </c>
      <c r="S1097" s="19" t="str">
        <f t="shared" si="293"/>
        <v/>
      </c>
      <c r="T1097" s="19" t="str">
        <f t="shared" si="294"/>
        <v/>
      </c>
      <c r="U1097" s="19" t="str">
        <f t="shared" si="295"/>
        <v/>
      </c>
      <c r="V1097" s="19" t="str">
        <f t="shared" si="296"/>
        <v/>
      </c>
      <c r="W1097" s="73" t="str">
        <f t="shared" si="297"/>
        <v/>
      </c>
      <c r="X1097" s="19" t="str">
        <f>IF($D1097&lt;&gt;1,"",IF($G1097="ROKS",$R1097,IF($AI1097=1,0,MAX($N1097,$L1097-SUMIFS(TblApplications[CPU IKS libérable (vCPU)],TblApplications[Cluster IKS source],$F1097,TblApplications[Action],"À migrer",TblApplications[Mois prov (calc)],"&lt;="&amp;$E1097)-SUMIFS(TblApplications[CPU IKS libérable (vCPU)],TblApplications[Cluster IKS source],$F1097,TblApplications[Action],"À décommissionner",TblApplications[Mois lib (calc)],"&lt;="&amp;$E1097)))))</f>
        <v/>
      </c>
      <c r="Y1097" s="19" t="str">
        <f>IF($D1097&lt;&gt;1,"",IF($G1097="ROKS",$S1097,IF($AI1097=1,0,MAX($O1097,$M1097-SUMIFS(TblApplications[RAM IKS libérable (Go)],TblApplications[Cluster IKS source],$F1097,TblApplications[Action],"À migrer",TblApplications[Mois prov (calc)],"&lt;="&amp;$E1097)-SUMIFS(TblApplications[RAM IKS libérable (Go)],TblApplications[Cluster IKS source],$F1097,TblApplications[Action],"À décommissionner",TblApplications[Mois lib (calc)],"&lt;="&amp;$E1097)))))</f>
        <v/>
      </c>
      <c r="Z1097" s="19" t="str">
        <f t="shared" si="298"/>
        <v/>
      </c>
      <c r="AA1097" s="73" t="str">
        <f t="shared" si="299"/>
        <v/>
      </c>
      <c r="AB1097" s="19" t="str">
        <f t="shared" si="300"/>
        <v/>
      </c>
      <c r="AC1097" s="73" t="str">
        <f t="shared" si="301"/>
        <v/>
      </c>
      <c r="AD1097" s="19" t="str">
        <f t="shared" si="302"/>
        <v/>
      </c>
      <c r="AE1097" s="19" t="str">
        <f t="shared" si="303"/>
        <v/>
      </c>
      <c r="AF1097" s="19" t="str">
        <f>IF($D1097&lt;&gt;1,"",IF(INDEX(TblClusters[Environnement],$B1097)="","(vide)",INDEX(TblClusters[Environnement],$B1097)))</f>
        <v/>
      </c>
      <c r="AG1097" s="19" t="str">
        <f t="shared" si="304"/>
        <v/>
      </c>
      <c r="AH1097" s="19" t="str">
        <f t="shared" si="305"/>
        <v/>
      </c>
      <c r="AI1097" s="19" t="str">
        <f>IF($D1097&lt;&gt;1,"",IF(AND($G1097="IKS",ISNUMBER(INDEX(TblClusters[Fermeture retenue],$B1097))),IF($E1097&gt;=INDEX(TblClusters[Fermeture retenue],$B1097),1,0),0))</f>
        <v/>
      </c>
    </row>
    <row r="1098" spans="1:35" x14ac:dyDescent="0.2">
      <c r="A1098" s="19">
        <v>1093</v>
      </c>
      <c r="B1098" s="19">
        <f t="shared" si="289"/>
        <v>31</v>
      </c>
      <c r="C1098" s="19">
        <f t="shared" si="290"/>
        <v>13</v>
      </c>
      <c r="D1098" s="19">
        <f>IF($C1098&gt;p_horizon,0,IFERROR(IF(AND(INDEX(TblClusters[Cluster],$B1098)&lt;&gt;"",ISNUMBER(INDEX(TblClusters[CPU initial (vCPU)],$B1098)),ISNUMBER(INDEX(TblClusters[CPU min (vCPU)],$B1098)),OR(INDEX(TblClusters[Plateforme],$B1098)="IKS",INDEX(TblClusters[Plateforme],$B1098)="ROKS")),1,0),0))</f>
        <v>0</v>
      </c>
      <c r="E1098" s="72" t="str">
        <f t="shared" si="291"/>
        <v/>
      </c>
      <c r="F1098" s="19" t="str">
        <f>IF($D1098=1,INDEX(TblClusters[Cluster],$B1098),"")</f>
        <v/>
      </c>
      <c r="G1098" s="19" t="str">
        <f>IF($D1098=1,INDEX(TblClusters[Plateforme],$B1098),"")</f>
        <v/>
      </c>
      <c r="H1098" s="19" t="str">
        <f>IF($D1098=1,INDEX(TblClusters[vCPU par nœud],$B1098),"")</f>
        <v/>
      </c>
      <c r="I1098" s="19" t="str">
        <f>IF($D1098=1,INDEX(TblClusters[RAM par nœud (Go)],$B1098),"")</f>
        <v/>
      </c>
      <c r="J1098" s="19" t="str">
        <f>IF($D1098=1,INDEX(TblClusters[Workers min],$B1098),"")</f>
        <v/>
      </c>
      <c r="K1098" s="73" t="str">
        <f>IF($D1098=1,INDEX(TblClusters[Tarif par nœud],$B1098),"")</f>
        <v/>
      </c>
      <c r="L1098" s="19" t="str">
        <f>IF($D1098=1,INDEX(TblClusters[CPU initial (vCPU)],$B1098),"")</f>
        <v/>
      </c>
      <c r="M1098" s="19" t="str">
        <f>IF($D1098=1,INDEX(TblClusters[RAM initiale (Go)],$B1098),"")</f>
        <v/>
      </c>
      <c r="N1098" s="19" t="str">
        <f>IF($D1098=1,INDEX(TblClusters[CPU min (vCPU)],$B1098),"")</f>
        <v/>
      </c>
      <c r="O1098" s="19" t="str">
        <f>IF($D1098=1,INDEX(TblClusters[RAM min (Go)],$B1098),"")</f>
        <v/>
      </c>
      <c r="P1098" s="19" t="str">
        <f>IF($D1098&lt;&gt;1,"",IF($G1098="ROKS",SUMIFS(TblApplications[Besoin ROKS CPU (vCPU)],TblApplications[Cluster ROKS cible],$F1098,TblApplications[Action],"À migrer",TblApplications[Déjà incluse ROKS],"Non",TblApplications[Mois prov (calc)],"&lt;="&amp;$E1098),SUMIFS(TblApplications[CPU IKS libérable (vCPU)],TblApplications[Cluster IKS source],$F1098,TblApplications[Mois lib (calc)],"&lt;="&amp;$E1098)))</f>
        <v/>
      </c>
      <c r="Q1098" s="19" t="str">
        <f>IF($D1098&lt;&gt;1,"",IF($G1098="ROKS",SUMIFS(TblApplications[Besoin ROKS RAM (Go)],TblApplications[Cluster ROKS cible],$F1098,TblApplications[Action],"À migrer",TblApplications[Déjà incluse ROKS],"Non",TblApplications[Mois prov (calc)],"&lt;="&amp;$E1098),SUMIFS(TblApplications[RAM IKS libérable (Go)],TblApplications[Cluster IKS source],$F1098,TblApplications[Mois lib (calc)],"&lt;="&amp;$E1098)))</f>
        <v/>
      </c>
      <c r="R1098" s="19" t="str">
        <f t="shared" si="292"/>
        <v/>
      </c>
      <c r="S1098" s="19" t="str">
        <f t="shared" si="293"/>
        <v/>
      </c>
      <c r="T1098" s="19" t="str">
        <f t="shared" si="294"/>
        <v/>
      </c>
      <c r="U1098" s="19" t="str">
        <f t="shared" si="295"/>
        <v/>
      </c>
      <c r="V1098" s="19" t="str">
        <f t="shared" si="296"/>
        <v/>
      </c>
      <c r="W1098" s="73" t="str">
        <f t="shared" si="297"/>
        <v/>
      </c>
      <c r="X1098" s="19" t="str">
        <f>IF($D1098&lt;&gt;1,"",IF($G1098="ROKS",$R1098,IF($AI1098=1,0,MAX($N1098,$L1098-SUMIFS(TblApplications[CPU IKS libérable (vCPU)],TblApplications[Cluster IKS source],$F1098,TblApplications[Action],"À migrer",TblApplications[Mois prov (calc)],"&lt;="&amp;$E1098)-SUMIFS(TblApplications[CPU IKS libérable (vCPU)],TblApplications[Cluster IKS source],$F1098,TblApplications[Action],"À décommissionner",TblApplications[Mois lib (calc)],"&lt;="&amp;$E1098)))))</f>
        <v/>
      </c>
      <c r="Y1098" s="19" t="str">
        <f>IF($D1098&lt;&gt;1,"",IF($G1098="ROKS",$S1098,IF($AI1098=1,0,MAX($O1098,$M1098-SUMIFS(TblApplications[RAM IKS libérable (Go)],TblApplications[Cluster IKS source],$F1098,TblApplications[Action],"À migrer",TblApplications[Mois prov (calc)],"&lt;="&amp;$E1098)-SUMIFS(TblApplications[RAM IKS libérable (Go)],TblApplications[Cluster IKS source],$F1098,TblApplications[Action],"À décommissionner",TblApplications[Mois lib (calc)],"&lt;="&amp;$E1098)))))</f>
        <v/>
      </c>
      <c r="Z1098" s="19" t="str">
        <f t="shared" si="298"/>
        <v/>
      </c>
      <c r="AA1098" s="73" t="str">
        <f t="shared" si="299"/>
        <v/>
      </c>
      <c r="AB1098" s="19" t="str">
        <f t="shared" si="300"/>
        <v/>
      </c>
      <c r="AC1098" s="73" t="str">
        <f t="shared" si="301"/>
        <v/>
      </c>
      <c r="AD1098" s="19" t="str">
        <f t="shared" si="302"/>
        <v/>
      </c>
      <c r="AE1098" s="19" t="str">
        <f t="shared" si="303"/>
        <v/>
      </c>
      <c r="AF1098" s="19" t="str">
        <f>IF($D1098&lt;&gt;1,"",IF(INDEX(TblClusters[Environnement],$B1098)="","(vide)",INDEX(TblClusters[Environnement],$B1098)))</f>
        <v/>
      </c>
      <c r="AG1098" s="19" t="str">
        <f t="shared" si="304"/>
        <v/>
      </c>
      <c r="AH1098" s="19" t="str">
        <f t="shared" si="305"/>
        <v/>
      </c>
      <c r="AI1098" s="19" t="str">
        <f>IF($D1098&lt;&gt;1,"",IF(AND($G1098="IKS",ISNUMBER(INDEX(TblClusters[Fermeture retenue],$B1098))),IF($E1098&gt;=INDEX(TblClusters[Fermeture retenue],$B1098),1,0),0))</f>
        <v/>
      </c>
    </row>
    <row r="1099" spans="1:35" x14ac:dyDescent="0.2">
      <c r="A1099" s="19">
        <v>1094</v>
      </c>
      <c r="B1099" s="19">
        <f t="shared" si="289"/>
        <v>31</v>
      </c>
      <c r="C1099" s="19">
        <f t="shared" si="290"/>
        <v>14</v>
      </c>
      <c r="D1099" s="19">
        <f>IF($C1099&gt;p_horizon,0,IFERROR(IF(AND(INDEX(TblClusters[Cluster],$B1099)&lt;&gt;"",ISNUMBER(INDEX(TblClusters[CPU initial (vCPU)],$B1099)),ISNUMBER(INDEX(TblClusters[CPU min (vCPU)],$B1099)),OR(INDEX(TblClusters[Plateforme],$B1099)="IKS",INDEX(TblClusters[Plateforme],$B1099)="ROKS")),1,0),0))</f>
        <v>0</v>
      </c>
      <c r="E1099" s="72" t="str">
        <f t="shared" si="291"/>
        <v/>
      </c>
      <c r="F1099" s="19" t="str">
        <f>IF($D1099=1,INDEX(TblClusters[Cluster],$B1099),"")</f>
        <v/>
      </c>
      <c r="G1099" s="19" t="str">
        <f>IF($D1099=1,INDEX(TblClusters[Plateforme],$B1099),"")</f>
        <v/>
      </c>
      <c r="H1099" s="19" t="str">
        <f>IF($D1099=1,INDEX(TblClusters[vCPU par nœud],$B1099),"")</f>
        <v/>
      </c>
      <c r="I1099" s="19" t="str">
        <f>IF($D1099=1,INDEX(TblClusters[RAM par nœud (Go)],$B1099),"")</f>
        <v/>
      </c>
      <c r="J1099" s="19" t="str">
        <f>IF($D1099=1,INDEX(TblClusters[Workers min],$B1099),"")</f>
        <v/>
      </c>
      <c r="K1099" s="73" t="str">
        <f>IF($D1099=1,INDEX(TblClusters[Tarif par nœud],$B1099),"")</f>
        <v/>
      </c>
      <c r="L1099" s="19" t="str">
        <f>IF($D1099=1,INDEX(TblClusters[CPU initial (vCPU)],$B1099),"")</f>
        <v/>
      </c>
      <c r="M1099" s="19" t="str">
        <f>IF($D1099=1,INDEX(TblClusters[RAM initiale (Go)],$B1099),"")</f>
        <v/>
      </c>
      <c r="N1099" s="19" t="str">
        <f>IF($D1099=1,INDEX(TblClusters[CPU min (vCPU)],$B1099),"")</f>
        <v/>
      </c>
      <c r="O1099" s="19" t="str">
        <f>IF($D1099=1,INDEX(TblClusters[RAM min (Go)],$B1099),"")</f>
        <v/>
      </c>
      <c r="P1099" s="19" t="str">
        <f>IF($D1099&lt;&gt;1,"",IF($G1099="ROKS",SUMIFS(TblApplications[Besoin ROKS CPU (vCPU)],TblApplications[Cluster ROKS cible],$F1099,TblApplications[Action],"À migrer",TblApplications[Déjà incluse ROKS],"Non",TblApplications[Mois prov (calc)],"&lt;="&amp;$E1099),SUMIFS(TblApplications[CPU IKS libérable (vCPU)],TblApplications[Cluster IKS source],$F1099,TblApplications[Mois lib (calc)],"&lt;="&amp;$E1099)))</f>
        <v/>
      </c>
      <c r="Q1099" s="19" t="str">
        <f>IF($D1099&lt;&gt;1,"",IF($G1099="ROKS",SUMIFS(TblApplications[Besoin ROKS RAM (Go)],TblApplications[Cluster ROKS cible],$F1099,TblApplications[Action],"À migrer",TblApplications[Déjà incluse ROKS],"Non",TblApplications[Mois prov (calc)],"&lt;="&amp;$E1099),SUMIFS(TblApplications[RAM IKS libérable (Go)],TblApplications[Cluster IKS source],$F1099,TblApplications[Mois lib (calc)],"&lt;="&amp;$E1099)))</f>
        <v/>
      </c>
      <c r="R1099" s="19" t="str">
        <f t="shared" si="292"/>
        <v/>
      </c>
      <c r="S1099" s="19" t="str">
        <f t="shared" si="293"/>
        <v/>
      </c>
      <c r="T1099" s="19" t="str">
        <f t="shared" si="294"/>
        <v/>
      </c>
      <c r="U1099" s="19" t="str">
        <f t="shared" si="295"/>
        <v/>
      </c>
      <c r="V1099" s="19" t="str">
        <f t="shared" si="296"/>
        <v/>
      </c>
      <c r="W1099" s="73" t="str">
        <f t="shared" si="297"/>
        <v/>
      </c>
      <c r="X1099" s="19" t="str">
        <f>IF($D1099&lt;&gt;1,"",IF($G1099="ROKS",$R1099,IF($AI1099=1,0,MAX($N1099,$L1099-SUMIFS(TblApplications[CPU IKS libérable (vCPU)],TblApplications[Cluster IKS source],$F1099,TblApplications[Action],"À migrer",TblApplications[Mois prov (calc)],"&lt;="&amp;$E1099)-SUMIFS(TblApplications[CPU IKS libérable (vCPU)],TblApplications[Cluster IKS source],$F1099,TblApplications[Action],"À décommissionner",TblApplications[Mois lib (calc)],"&lt;="&amp;$E1099)))))</f>
        <v/>
      </c>
      <c r="Y1099" s="19" t="str">
        <f>IF($D1099&lt;&gt;1,"",IF($G1099="ROKS",$S1099,IF($AI1099=1,0,MAX($O1099,$M1099-SUMIFS(TblApplications[RAM IKS libérable (Go)],TblApplications[Cluster IKS source],$F1099,TblApplications[Action],"À migrer",TblApplications[Mois prov (calc)],"&lt;="&amp;$E1099)-SUMIFS(TblApplications[RAM IKS libérable (Go)],TblApplications[Cluster IKS source],$F1099,TblApplications[Action],"À décommissionner",TblApplications[Mois lib (calc)],"&lt;="&amp;$E1099)))))</f>
        <v/>
      </c>
      <c r="Z1099" s="19" t="str">
        <f t="shared" si="298"/>
        <v/>
      </c>
      <c r="AA1099" s="73" t="str">
        <f t="shared" si="299"/>
        <v/>
      </c>
      <c r="AB1099" s="19" t="str">
        <f t="shared" si="300"/>
        <v/>
      </c>
      <c r="AC1099" s="73" t="str">
        <f t="shared" si="301"/>
        <v/>
      </c>
      <c r="AD1099" s="19" t="str">
        <f t="shared" si="302"/>
        <v/>
      </c>
      <c r="AE1099" s="19" t="str">
        <f t="shared" si="303"/>
        <v/>
      </c>
      <c r="AF1099" s="19" t="str">
        <f>IF($D1099&lt;&gt;1,"",IF(INDEX(TblClusters[Environnement],$B1099)="","(vide)",INDEX(TblClusters[Environnement],$B1099)))</f>
        <v/>
      </c>
      <c r="AG1099" s="19" t="str">
        <f t="shared" si="304"/>
        <v/>
      </c>
      <c r="AH1099" s="19" t="str">
        <f t="shared" si="305"/>
        <v/>
      </c>
      <c r="AI1099" s="19" t="str">
        <f>IF($D1099&lt;&gt;1,"",IF(AND($G1099="IKS",ISNUMBER(INDEX(TblClusters[Fermeture retenue],$B1099))),IF($E1099&gt;=INDEX(TblClusters[Fermeture retenue],$B1099),1,0),0))</f>
        <v/>
      </c>
    </row>
    <row r="1100" spans="1:35" x14ac:dyDescent="0.2">
      <c r="A1100" s="19">
        <v>1095</v>
      </c>
      <c r="B1100" s="19">
        <f t="shared" si="289"/>
        <v>31</v>
      </c>
      <c r="C1100" s="19">
        <f t="shared" si="290"/>
        <v>15</v>
      </c>
      <c r="D1100" s="19">
        <f>IF($C1100&gt;p_horizon,0,IFERROR(IF(AND(INDEX(TblClusters[Cluster],$B1100)&lt;&gt;"",ISNUMBER(INDEX(TblClusters[CPU initial (vCPU)],$B1100)),ISNUMBER(INDEX(TblClusters[CPU min (vCPU)],$B1100)),OR(INDEX(TblClusters[Plateforme],$B1100)="IKS",INDEX(TblClusters[Plateforme],$B1100)="ROKS")),1,0),0))</f>
        <v>0</v>
      </c>
      <c r="E1100" s="72" t="str">
        <f t="shared" si="291"/>
        <v/>
      </c>
      <c r="F1100" s="19" t="str">
        <f>IF($D1100=1,INDEX(TblClusters[Cluster],$B1100),"")</f>
        <v/>
      </c>
      <c r="G1100" s="19" t="str">
        <f>IF($D1100=1,INDEX(TblClusters[Plateforme],$B1100),"")</f>
        <v/>
      </c>
      <c r="H1100" s="19" t="str">
        <f>IF($D1100=1,INDEX(TblClusters[vCPU par nœud],$B1100),"")</f>
        <v/>
      </c>
      <c r="I1100" s="19" t="str">
        <f>IF($D1100=1,INDEX(TblClusters[RAM par nœud (Go)],$B1100),"")</f>
        <v/>
      </c>
      <c r="J1100" s="19" t="str">
        <f>IF($D1100=1,INDEX(TblClusters[Workers min],$B1100),"")</f>
        <v/>
      </c>
      <c r="K1100" s="73" t="str">
        <f>IF($D1100=1,INDEX(TblClusters[Tarif par nœud],$B1100),"")</f>
        <v/>
      </c>
      <c r="L1100" s="19" t="str">
        <f>IF($D1100=1,INDEX(TblClusters[CPU initial (vCPU)],$B1100),"")</f>
        <v/>
      </c>
      <c r="M1100" s="19" t="str">
        <f>IF($D1100=1,INDEX(TblClusters[RAM initiale (Go)],$B1100),"")</f>
        <v/>
      </c>
      <c r="N1100" s="19" t="str">
        <f>IF($D1100=1,INDEX(TblClusters[CPU min (vCPU)],$B1100),"")</f>
        <v/>
      </c>
      <c r="O1100" s="19" t="str">
        <f>IF($D1100=1,INDEX(TblClusters[RAM min (Go)],$B1100),"")</f>
        <v/>
      </c>
      <c r="P1100" s="19" t="str">
        <f>IF($D1100&lt;&gt;1,"",IF($G1100="ROKS",SUMIFS(TblApplications[Besoin ROKS CPU (vCPU)],TblApplications[Cluster ROKS cible],$F1100,TblApplications[Action],"À migrer",TblApplications[Déjà incluse ROKS],"Non",TblApplications[Mois prov (calc)],"&lt;="&amp;$E1100),SUMIFS(TblApplications[CPU IKS libérable (vCPU)],TblApplications[Cluster IKS source],$F1100,TblApplications[Mois lib (calc)],"&lt;="&amp;$E1100)))</f>
        <v/>
      </c>
      <c r="Q1100" s="19" t="str">
        <f>IF($D1100&lt;&gt;1,"",IF($G1100="ROKS",SUMIFS(TblApplications[Besoin ROKS RAM (Go)],TblApplications[Cluster ROKS cible],$F1100,TblApplications[Action],"À migrer",TblApplications[Déjà incluse ROKS],"Non",TblApplications[Mois prov (calc)],"&lt;="&amp;$E1100),SUMIFS(TblApplications[RAM IKS libérable (Go)],TblApplications[Cluster IKS source],$F1100,TblApplications[Mois lib (calc)],"&lt;="&amp;$E1100)))</f>
        <v/>
      </c>
      <c r="R1100" s="19" t="str">
        <f t="shared" si="292"/>
        <v/>
      </c>
      <c r="S1100" s="19" t="str">
        <f t="shared" si="293"/>
        <v/>
      </c>
      <c r="T1100" s="19" t="str">
        <f t="shared" si="294"/>
        <v/>
      </c>
      <c r="U1100" s="19" t="str">
        <f t="shared" si="295"/>
        <v/>
      </c>
      <c r="V1100" s="19" t="str">
        <f t="shared" si="296"/>
        <v/>
      </c>
      <c r="W1100" s="73" t="str">
        <f t="shared" si="297"/>
        <v/>
      </c>
      <c r="X1100" s="19" t="str">
        <f>IF($D1100&lt;&gt;1,"",IF($G1100="ROKS",$R1100,IF($AI1100=1,0,MAX($N1100,$L1100-SUMIFS(TblApplications[CPU IKS libérable (vCPU)],TblApplications[Cluster IKS source],$F1100,TblApplications[Action],"À migrer",TblApplications[Mois prov (calc)],"&lt;="&amp;$E1100)-SUMIFS(TblApplications[CPU IKS libérable (vCPU)],TblApplications[Cluster IKS source],$F1100,TblApplications[Action],"À décommissionner",TblApplications[Mois lib (calc)],"&lt;="&amp;$E1100)))))</f>
        <v/>
      </c>
      <c r="Y1100" s="19" t="str">
        <f>IF($D1100&lt;&gt;1,"",IF($G1100="ROKS",$S1100,IF($AI1100=1,0,MAX($O1100,$M1100-SUMIFS(TblApplications[RAM IKS libérable (Go)],TblApplications[Cluster IKS source],$F1100,TblApplications[Action],"À migrer",TblApplications[Mois prov (calc)],"&lt;="&amp;$E1100)-SUMIFS(TblApplications[RAM IKS libérable (Go)],TblApplications[Cluster IKS source],$F1100,TblApplications[Action],"À décommissionner",TblApplications[Mois lib (calc)],"&lt;="&amp;$E1100)))))</f>
        <v/>
      </c>
      <c r="Z1100" s="19" t="str">
        <f t="shared" si="298"/>
        <v/>
      </c>
      <c r="AA1100" s="73" t="str">
        <f t="shared" si="299"/>
        <v/>
      </c>
      <c r="AB1100" s="19" t="str">
        <f t="shared" si="300"/>
        <v/>
      </c>
      <c r="AC1100" s="73" t="str">
        <f t="shared" si="301"/>
        <v/>
      </c>
      <c r="AD1100" s="19" t="str">
        <f t="shared" si="302"/>
        <v/>
      </c>
      <c r="AE1100" s="19" t="str">
        <f t="shared" si="303"/>
        <v/>
      </c>
      <c r="AF1100" s="19" t="str">
        <f>IF($D1100&lt;&gt;1,"",IF(INDEX(TblClusters[Environnement],$B1100)="","(vide)",INDEX(TblClusters[Environnement],$B1100)))</f>
        <v/>
      </c>
      <c r="AG1100" s="19" t="str">
        <f t="shared" si="304"/>
        <v/>
      </c>
      <c r="AH1100" s="19" t="str">
        <f t="shared" si="305"/>
        <v/>
      </c>
      <c r="AI1100" s="19" t="str">
        <f>IF($D1100&lt;&gt;1,"",IF(AND($G1100="IKS",ISNUMBER(INDEX(TblClusters[Fermeture retenue],$B1100))),IF($E1100&gt;=INDEX(TblClusters[Fermeture retenue],$B1100),1,0),0))</f>
        <v/>
      </c>
    </row>
    <row r="1101" spans="1:35" x14ac:dyDescent="0.2">
      <c r="A1101" s="19">
        <v>1096</v>
      </c>
      <c r="B1101" s="19">
        <f t="shared" si="289"/>
        <v>31</v>
      </c>
      <c r="C1101" s="19">
        <f t="shared" si="290"/>
        <v>16</v>
      </c>
      <c r="D1101" s="19">
        <f>IF($C1101&gt;p_horizon,0,IFERROR(IF(AND(INDEX(TblClusters[Cluster],$B1101)&lt;&gt;"",ISNUMBER(INDEX(TblClusters[CPU initial (vCPU)],$B1101)),ISNUMBER(INDEX(TblClusters[CPU min (vCPU)],$B1101)),OR(INDEX(TblClusters[Plateforme],$B1101)="IKS",INDEX(TblClusters[Plateforme],$B1101)="ROKS")),1,0),0))</f>
        <v>0</v>
      </c>
      <c r="E1101" s="72" t="str">
        <f t="shared" si="291"/>
        <v/>
      </c>
      <c r="F1101" s="19" t="str">
        <f>IF($D1101=1,INDEX(TblClusters[Cluster],$B1101),"")</f>
        <v/>
      </c>
      <c r="G1101" s="19" t="str">
        <f>IF($D1101=1,INDEX(TblClusters[Plateforme],$B1101),"")</f>
        <v/>
      </c>
      <c r="H1101" s="19" t="str">
        <f>IF($D1101=1,INDEX(TblClusters[vCPU par nœud],$B1101),"")</f>
        <v/>
      </c>
      <c r="I1101" s="19" t="str">
        <f>IF($D1101=1,INDEX(TblClusters[RAM par nœud (Go)],$B1101),"")</f>
        <v/>
      </c>
      <c r="J1101" s="19" t="str">
        <f>IF($D1101=1,INDEX(TblClusters[Workers min],$B1101),"")</f>
        <v/>
      </c>
      <c r="K1101" s="73" t="str">
        <f>IF($D1101=1,INDEX(TblClusters[Tarif par nœud],$B1101),"")</f>
        <v/>
      </c>
      <c r="L1101" s="19" t="str">
        <f>IF($D1101=1,INDEX(TblClusters[CPU initial (vCPU)],$B1101),"")</f>
        <v/>
      </c>
      <c r="M1101" s="19" t="str">
        <f>IF($D1101=1,INDEX(TblClusters[RAM initiale (Go)],$B1101),"")</f>
        <v/>
      </c>
      <c r="N1101" s="19" t="str">
        <f>IF($D1101=1,INDEX(TblClusters[CPU min (vCPU)],$B1101),"")</f>
        <v/>
      </c>
      <c r="O1101" s="19" t="str">
        <f>IF($D1101=1,INDEX(TblClusters[RAM min (Go)],$B1101),"")</f>
        <v/>
      </c>
      <c r="P1101" s="19" t="str">
        <f>IF($D1101&lt;&gt;1,"",IF($G1101="ROKS",SUMIFS(TblApplications[Besoin ROKS CPU (vCPU)],TblApplications[Cluster ROKS cible],$F1101,TblApplications[Action],"À migrer",TblApplications[Déjà incluse ROKS],"Non",TblApplications[Mois prov (calc)],"&lt;="&amp;$E1101),SUMIFS(TblApplications[CPU IKS libérable (vCPU)],TblApplications[Cluster IKS source],$F1101,TblApplications[Mois lib (calc)],"&lt;="&amp;$E1101)))</f>
        <v/>
      </c>
      <c r="Q1101" s="19" t="str">
        <f>IF($D1101&lt;&gt;1,"",IF($G1101="ROKS",SUMIFS(TblApplications[Besoin ROKS RAM (Go)],TblApplications[Cluster ROKS cible],$F1101,TblApplications[Action],"À migrer",TblApplications[Déjà incluse ROKS],"Non",TblApplications[Mois prov (calc)],"&lt;="&amp;$E1101),SUMIFS(TblApplications[RAM IKS libérable (Go)],TblApplications[Cluster IKS source],$F1101,TblApplications[Mois lib (calc)],"&lt;="&amp;$E1101)))</f>
        <v/>
      </c>
      <c r="R1101" s="19" t="str">
        <f t="shared" si="292"/>
        <v/>
      </c>
      <c r="S1101" s="19" t="str">
        <f t="shared" si="293"/>
        <v/>
      </c>
      <c r="T1101" s="19" t="str">
        <f t="shared" si="294"/>
        <v/>
      </c>
      <c r="U1101" s="19" t="str">
        <f t="shared" si="295"/>
        <v/>
      </c>
      <c r="V1101" s="19" t="str">
        <f t="shared" si="296"/>
        <v/>
      </c>
      <c r="W1101" s="73" t="str">
        <f t="shared" si="297"/>
        <v/>
      </c>
      <c r="X1101" s="19" t="str">
        <f>IF($D1101&lt;&gt;1,"",IF($G1101="ROKS",$R1101,IF($AI1101=1,0,MAX($N1101,$L1101-SUMIFS(TblApplications[CPU IKS libérable (vCPU)],TblApplications[Cluster IKS source],$F1101,TblApplications[Action],"À migrer",TblApplications[Mois prov (calc)],"&lt;="&amp;$E1101)-SUMIFS(TblApplications[CPU IKS libérable (vCPU)],TblApplications[Cluster IKS source],$F1101,TblApplications[Action],"À décommissionner",TblApplications[Mois lib (calc)],"&lt;="&amp;$E1101)))))</f>
        <v/>
      </c>
      <c r="Y1101" s="19" t="str">
        <f>IF($D1101&lt;&gt;1,"",IF($G1101="ROKS",$S1101,IF($AI1101=1,0,MAX($O1101,$M1101-SUMIFS(TblApplications[RAM IKS libérable (Go)],TblApplications[Cluster IKS source],$F1101,TblApplications[Action],"À migrer",TblApplications[Mois prov (calc)],"&lt;="&amp;$E1101)-SUMIFS(TblApplications[RAM IKS libérable (Go)],TblApplications[Cluster IKS source],$F1101,TblApplications[Action],"À décommissionner",TblApplications[Mois lib (calc)],"&lt;="&amp;$E1101)))))</f>
        <v/>
      </c>
      <c r="Z1101" s="19" t="str">
        <f t="shared" si="298"/>
        <v/>
      </c>
      <c r="AA1101" s="73" t="str">
        <f t="shared" si="299"/>
        <v/>
      </c>
      <c r="AB1101" s="19" t="str">
        <f t="shared" si="300"/>
        <v/>
      </c>
      <c r="AC1101" s="73" t="str">
        <f t="shared" si="301"/>
        <v/>
      </c>
      <c r="AD1101" s="19" t="str">
        <f t="shared" si="302"/>
        <v/>
      </c>
      <c r="AE1101" s="19" t="str">
        <f t="shared" si="303"/>
        <v/>
      </c>
      <c r="AF1101" s="19" t="str">
        <f>IF($D1101&lt;&gt;1,"",IF(INDEX(TblClusters[Environnement],$B1101)="","(vide)",INDEX(TblClusters[Environnement],$B1101)))</f>
        <v/>
      </c>
      <c r="AG1101" s="19" t="str">
        <f t="shared" si="304"/>
        <v/>
      </c>
      <c r="AH1101" s="19" t="str">
        <f t="shared" si="305"/>
        <v/>
      </c>
      <c r="AI1101" s="19" t="str">
        <f>IF($D1101&lt;&gt;1,"",IF(AND($G1101="IKS",ISNUMBER(INDEX(TblClusters[Fermeture retenue],$B1101))),IF($E1101&gt;=INDEX(TblClusters[Fermeture retenue],$B1101),1,0),0))</f>
        <v/>
      </c>
    </row>
    <row r="1102" spans="1:35" x14ac:dyDescent="0.2">
      <c r="A1102" s="19">
        <v>1097</v>
      </c>
      <c r="B1102" s="19">
        <f t="shared" si="289"/>
        <v>31</v>
      </c>
      <c r="C1102" s="19">
        <f t="shared" si="290"/>
        <v>17</v>
      </c>
      <c r="D1102" s="19">
        <f>IF($C1102&gt;p_horizon,0,IFERROR(IF(AND(INDEX(TblClusters[Cluster],$B1102)&lt;&gt;"",ISNUMBER(INDEX(TblClusters[CPU initial (vCPU)],$B1102)),ISNUMBER(INDEX(TblClusters[CPU min (vCPU)],$B1102)),OR(INDEX(TblClusters[Plateforme],$B1102)="IKS",INDEX(TblClusters[Plateforme],$B1102)="ROKS")),1,0),0))</f>
        <v>0</v>
      </c>
      <c r="E1102" s="72" t="str">
        <f t="shared" si="291"/>
        <v/>
      </c>
      <c r="F1102" s="19" t="str">
        <f>IF($D1102=1,INDEX(TblClusters[Cluster],$B1102),"")</f>
        <v/>
      </c>
      <c r="G1102" s="19" t="str">
        <f>IF($D1102=1,INDEX(TblClusters[Plateforme],$B1102),"")</f>
        <v/>
      </c>
      <c r="H1102" s="19" t="str">
        <f>IF($D1102=1,INDEX(TblClusters[vCPU par nœud],$B1102),"")</f>
        <v/>
      </c>
      <c r="I1102" s="19" t="str">
        <f>IF($D1102=1,INDEX(TblClusters[RAM par nœud (Go)],$B1102),"")</f>
        <v/>
      </c>
      <c r="J1102" s="19" t="str">
        <f>IF($D1102=1,INDEX(TblClusters[Workers min],$B1102),"")</f>
        <v/>
      </c>
      <c r="K1102" s="73" t="str">
        <f>IF($D1102=1,INDEX(TblClusters[Tarif par nœud],$B1102),"")</f>
        <v/>
      </c>
      <c r="L1102" s="19" t="str">
        <f>IF($D1102=1,INDEX(TblClusters[CPU initial (vCPU)],$B1102),"")</f>
        <v/>
      </c>
      <c r="M1102" s="19" t="str">
        <f>IF($D1102=1,INDEX(TblClusters[RAM initiale (Go)],$B1102),"")</f>
        <v/>
      </c>
      <c r="N1102" s="19" t="str">
        <f>IF($D1102=1,INDEX(TblClusters[CPU min (vCPU)],$B1102),"")</f>
        <v/>
      </c>
      <c r="O1102" s="19" t="str">
        <f>IF($D1102=1,INDEX(TblClusters[RAM min (Go)],$B1102),"")</f>
        <v/>
      </c>
      <c r="P1102" s="19" t="str">
        <f>IF($D1102&lt;&gt;1,"",IF($G1102="ROKS",SUMIFS(TblApplications[Besoin ROKS CPU (vCPU)],TblApplications[Cluster ROKS cible],$F1102,TblApplications[Action],"À migrer",TblApplications[Déjà incluse ROKS],"Non",TblApplications[Mois prov (calc)],"&lt;="&amp;$E1102),SUMIFS(TblApplications[CPU IKS libérable (vCPU)],TblApplications[Cluster IKS source],$F1102,TblApplications[Mois lib (calc)],"&lt;="&amp;$E1102)))</f>
        <v/>
      </c>
      <c r="Q1102" s="19" t="str">
        <f>IF($D1102&lt;&gt;1,"",IF($G1102="ROKS",SUMIFS(TblApplications[Besoin ROKS RAM (Go)],TblApplications[Cluster ROKS cible],$F1102,TblApplications[Action],"À migrer",TblApplications[Déjà incluse ROKS],"Non",TblApplications[Mois prov (calc)],"&lt;="&amp;$E1102),SUMIFS(TblApplications[RAM IKS libérable (Go)],TblApplications[Cluster IKS source],$F1102,TblApplications[Mois lib (calc)],"&lt;="&amp;$E1102)))</f>
        <v/>
      </c>
      <c r="R1102" s="19" t="str">
        <f t="shared" si="292"/>
        <v/>
      </c>
      <c r="S1102" s="19" t="str">
        <f t="shared" si="293"/>
        <v/>
      </c>
      <c r="T1102" s="19" t="str">
        <f t="shared" si="294"/>
        <v/>
      </c>
      <c r="U1102" s="19" t="str">
        <f t="shared" si="295"/>
        <v/>
      </c>
      <c r="V1102" s="19" t="str">
        <f t="shared" si="296"/>
        <v/>
      </c>
      <c r="W1102" s="73" t="str">
        <f t="shared" si="297"/>
        <v/>
      </c>
      <c r="X1102" s="19" t="str">
        <f>IF($D1102&lt;&gt;1,"",IF($G1102="ROKS",$R1102,IF($AI1102=1,0,MAX($N1102,$L1102-SUMIFS(TblApplications[CPU IKS libérable (vCPU)],TblApplications[Cluster IKS source],$F1102,TblApplications[Action],"À migrer",TblApplications[Mois prov (calc)],"&lt;="&amp;$E1102)-SUMIFS(TblApplications[CPU IKS libérable (vCPU)],TblApplications[Cluster IKS source],$F1102,TblApplications[Action],"À décommissionner",TblApplications[Mois lib (calc)],"&lt;="&amp;$E1102)))))</f>
        <v/>
      </c>
      <c r="Y1102" s="19" t="str">
        <f>IF($D1102&lt;&gt;1,"",IF($G1102="ROKS",$S1102,IF($AI1102=1,0,MAX($O1102,$M1102-SUMIFS(TblApplications[RAM IKS libérable (Go)],TblApplications[Cluster IKS source],$F1102,TblApplications[Action],"À migrer",TblApplications[Mois prov (calc)],"&lt;="&amp;$E1102)-SUMIFS(TblApplications[RAM IKS libérable (Go)],TblApplications[Cluster IKS source],$F1102,TblApplications[Action],"À décommissionner",TblApplications[Mois lib (calc)],"&lt;="&amp;$E1102)))))</f>
        <v/>
      </c>
      <c r="Z1102" s="19" t="str">
        <f t="shared" si="298"/>
        <v/>
      </c>
      <c r="AA1102" s="73" t="str">
        <f t="shared" si="299"/>
        <v/>
      </c>
      <c r="AB1102" s="19" t="str">
        <f t="shared" si="300"/>
        <v/>
      </c>
      <c r="AC1102" s="73" t="str">
        <f t="shared" si="301"/>
        <v/>
      </c>
      <c r="AD1102" s="19" t="str">
        <f t="shared" si="302"/>
        <v/>
      </c>
      <c r="AE1102" s="19" t="str">
        <f t="shared" si="303"/>
        <v/>
      </c>
      <c r="AF1102" s="19" t="str">
        <f>IF($D1102&lt;&gt;1,"",IF(INDEX(TblClusters[Environnement],$B1102)="","(vide)",INDEX(TblClusters[Environnement],$B1102)))</f>
        <v/>
      </c>
      <c r="AG1102" s="19" t="str">
        <f t="shared" si="304"/>
        <v/>
      </c>
      <c r="AH1102" s="19" t="str">
        <f t="shared" si="305"/>
        <v/>
      </c>
      <c r="AI1102" s="19" t="str">
        <f>IF($D1102&lt;&gt;1,"",IF(AND($G1102="IKS",ISNUMBER(INDEX(TblClusters[Fermeture retenue],$B1102))),IF($E1102&gt;=INDEX(TblClusters[Fermeture retenue],$B1102),1,0),0))</f>
        <v/>
      </c>
    </row>
    <row r="1103" spans="1:35" x14ac:dyDescent="0.2">
      <c r="A1103" s="19">
        <v>1098</v>
      </c>
      <c r="B1103" s="19">
        <f t="shared" si="289"/>
        <v>31</v>
      </c>
      <c r="C1103" s="19">
        <f t="shared" si="290"/>
        <v>18</v>
      </c>
      <c r="D1103" s="19">
        <f>IF($C1103&gt;p_horizon,0,IFERROR(IF(AND(INDEX(TblClusters[Cluster],$B1103)&lt;&gt;"",ISNUMBER(INDEX(TblClusters[CPU initial (vCPU)],$B1103)),ISNUMBER(INDEX(TblClusters[CPU min (vCPU)],$B1103)),OR(INDEX(TblClusters[Plateforme],$B1103)="IKS",INDEX(TblClusters[Plateforme],$B1103)="ROKS")),1,0),0))</f>
        <v>0</v>
      </c>
      <c r="E1103" s="72" t="str">
        <f t="shared" si="291"/>
        <v/>
      </c>
      <c r="F1103" s="19" t="str">
        <f>IF($D1103=1,INDEX(TblClusters[Cluster],$B1103),"")</f>
        <v/>
      </c>
      <c r="G1103" s="19" t="str">
        <f>IF($D1103=1,INDEX(TblClusters[Plateforme],$B1103),"")</f>
        <v/>
      </c>
      <c r="H1103" s="19" t="str">
        <f>IF($D1103=1,INDEX(TblClusters[vCPU par nœud],$B1103),"")</f>
        <v/>
      </c>
      <c r="I1103" s="19" t="str">
        <f>IF($D1103=1,INDEX(TblClusters[RAM par nœud (Go)],$B1103),"")</f>
        <v/>
      </c>
      <c r="J1103" s="19" t="str">
        <f>IF($D1103=1,INDEX(TblClusters[Workers min],$B1103),"")</f>
        <v/>
      </c>
      <c r="K1103" s="73" t="str">
        <f>IF($D1103=1,INDEX(TblClusters[Tarif par nœud],$B1103),"")</f>
        <v/>
      </c>
      <c r="L1103" s="19" t="str">
        <f>IF($D1103=1,INDEX(TblClusters[CPU initial (vCPU)],$B1103),"")</f>
        <v/>
      </c>
      <c r="M1103" s="19" t="str">
        <f>IF($D1103=1,INDEX(TblClusters[RAM initiale (Go)],$B1103),"")</f>
        <v/>
      </c>
      <c r="N1103" s="19" t="str">
        <f>IF($D1103=1,INDEX(TblClusters[CPU min (vCPU)],$B1103),"")</f>
        <v/>
      </c>
      <c r="O1103" s="19" t="str">
        <f>IF($D1103=1,INDEX(TblClusters[RAM min (Go)],$B1103),"")</f>
        <v/>
      </c>
      <c r="P1103" s="19" t="str">
        <f>IF($D1103&lt;&gt;1,"",IF($G1103="ROKS",SUMIFS(TblApplications[Besoin ROKS CPU (vCPU)],TblApplications[Cluster ROKS cible],$F1103,TblApplications[Action],"À migrer",TblApplications[Déjà incluse ROKS],"Non",TblApplications[Mois prov (calc)],"&lt;="&amp;$E1103),SUMIFS(TblApplications[CPU IKS libérable (vCPU)],TblApplications[Cluster IKS source],$F1103,TblApplications[Mois lib (calc)],"&lt;="&amp;$E1103)))</f>
        <v/>
      </c>
      <c r="Q1103" s="19" t="str">
        <f>IF($D1103&lt;&gt;1,"",IF($G1103="ROKS",SUMIFS(TblApplications[Besoin ROKS RAM (Go)],TblApplications[Cluster ROKS cible],$F1103,TblApplications[Action],"À migrer",TblApplications[Déjà incluse ROKS],"Non",TblApplications[Mois prov (calc)],"&lt;="&amp;$E1103),SUMIFS(TblApplications[RAM IKS libérable (Go)],TblApplications[Cluster IKS source],$F1103,TblApplications[Mois lib (calc)],"&lt;="&amp;$E1103)))</f>
        <v/>
      </c>
      <c r="R1103" s="19" t="str">
        <f t="shared" si="292"/>
        <v/>
      </c>
      <c r="S1103" s="19" t="str">
        <f t="shared" si="293"/>
        <v/>
      </c>
      <c r="T1103" s="19" t="str">
        <f t="shared" si="294"/>
        <v/>
      </c>
      <c r="U1103" s="19" t="str">
        <f t="shared" si="295"/>
        <v/>
      </c>
      <c r="V1103" s="19" t="str">
        <f t="shared" si="296"/>
        <v/>
      </c>
      <c r="W1103" s="73" t="str">
        <f t="shared" si="297"/>
        <v/>
      </c>
      <c r="X1103" s="19" t="str">
        <f>IF($D1103&lt;&gt;1,"",IF($G1103="ROKS",$R1103,IF($AI1103=1,0,MAX($N1103,$L1103-SUMIFS(TblApplications[CPU IKS libérable (vCPU)],TblApplications[Cluster IKS source],$F1103,TblApplications[Action],"À migrer",TblApplications[Mois prov (calc)],"&lt;="&amp;$E1103)-SUMIFS(TblApplications[CPU IKS libérable (vCPU)],TblApplications[Cluster IKS source],$F1103,TblApplications[Action],"À décommissionner",TblApplications[Mois lib (calc)],"&lt;="&amp;$E1103)))))</f>
        <v/>
      </c>
      <c r="Y1103" s="19" t="str">
        <f>IF($D1103&lt;&gt;1,"",IF($G1103="ROKS",$S1103,IF($AI1103=1,0,MAX($O1103,$M1103-SUMIFS(TblApplications[RAM IKS libérable (Go)],TblApplications[Cluster IKS source],$F1103,TblApplications[Action],"À migrer",TblApplications[Mois prov (calc)],"&lt;="&amp;$E1103)-SUMIFS(TblApplications[RAM IKS libérable (Go)],TblApplications[Cluster IKS source],$F1103,TblApplications[Action],"À décommissionner",TblApplications[Mois lib (calc)],"&lt;="&amp;$E1103)))))</f>
        <v/>
      </c>
      <c r="Z1103" s="19" t="str">
        <f t="shared" si="298"/>
        <v/>
      </c>
      <c r="AA1103" s="73" t="str">
        <f t="shared" si="299"/>
        <v/>
      </c>
      <c r="AB1103" s="19" t="str">
        <f t="shared" si="300"/>
        <v/>
      </c>
      <c r="AC1103" s="73" t="str">
        <f t="shared" si="301"/>
        <v/>
      </c>
      <c r="AD1103" s="19" t="str">
        <f t="shared" si="302"/>
        <v/>
      </c>
      <c r="AE1103" s="19" t="str">
        <f t="shared" si="303"/>
        <v/>
      </c>
      <c r="AF1103" s="19" t="str">
        <f>IF($D1103&lt;&gt;1,"",IF(INDEX(TblClusters[Environnement],$B1103)="","(vide)",INDEX(TblClusters[Environnement],$B1103)))</f>
        <v/>
      </c>
      <c r="AG1103" s="19" t="str">
        <f t="shared" si="304"/>
        <v/>
      </c>
      <c r="AH1103" s="19" t="str">
        <f t="shared" si="305"/>
        <v/>
      </c>
      <c r="AI1103" s="19" t="str">
        <f>IF($D1103&lt;&gt;1,"",IF(AND($G1103="IKS",ISNUMBER(INDEX(TblClusters[Fermeture retenue],$B1103))),IF($E1103&gt;=INDEX(TblClusters[Fermeture retenue],$B1103),1,0),0))</f>
        <v/>
      </c>
    </row>
    <row r="1104" spans="1:35" x14ac:dyDescent="0.2">
      <c r="A1104" s="19">
        <v>1099</v>
      </c>
      <c r="B1104" s="19">
        <f t="shared" si="289"/>
        <v>31</v>
      </c>
      <c r="C1104" s="19">
        <f t="shared" si="290"/>
        <v>19</v>
      </c>
      <c r="D1104" s="19">
        <f>IF($C1104&gt;p_horizon,0,IFERROR(IF(AND(INDEX(TblClusters[Cluster],$B1104)&lt;&gt;"",ISNUMBER(INDEX(TblClusters[CPU initial (vCPU)],$B1104)),ISNUMBER(INDEX(TblClusters[CPU min (vCPU)],$B1104)),OR(INDEX(TblClusters[Plateforme],$B1104)="IKS",INDEX(TblClusters[Plateforme],$B1104)="ROKS")),1,0),0))</f>
        <v>0</v>
      </c>
      <c r="E1104" s="72" t="str">
        <f t="shared" si="291"/>
        <v/>
      </c>
      <c r="F1104" s="19" t="str">
        <f>IF($D1104=1,INDEX(TblClusters[Cluster],$B1104),"")</f>
        <v/>
      </c>
      <c r="G1104" s="19" t="str">
        <f>IF($D1104=1,INDEX(TblClusters[Plateforme],$B1104),"")</f>
        <v/>
      </c>
      <c r="H1104" s="19" t="str">
        <f>IF($D1104=1,INDEX(TblClusters[vCPU par nœud],$B1104),"")</f>
        <v/>
      </c>
      <c r="I1104" s="19" t="str">
        <f>IF($D1104=1,INDEX(TblClusters[RAM par nœud (Go)],$B1104),"")</f>
        <v/>
      </c>
      <c r="J1104" s="19" t="str">
        <f>IF($D1104=1,INDEX(TblClusters[Workers min],$B1104),"")</f>
        <v/>
      </c>
      <c r="K1104" s="73" t="str">
        <f>IF($D1104=1,INDEX(TblClusters[Tarif par nœud],$B1104),"")</f>
        <v/>
      </c>
      <c r="L1104" s="19" t="str">
        <f>IF($D1104=1,INDEX(TblClusters[CPU initial (vCPU)],$B1104),"")</f>
        <v/>
      </c>
      <c r="M1104" s="19" t="str">
        <f>IF($D1104=1,INDEX(TblClusters[RAM initiale (Go)],$B1104),"")</f>
        <v/>
      </c>
      <c r="N1104" s="19" t="str">
        <f>IF($D1104=1,INDEX(TblClusters[CPU min (vCPU)],$B1104),"")</f>
        <v/>
      </c>
      <c r="O1104" s="19" t="str">
        <f>IF($D1104=1,INDEX(TblClusters[RAM min (Go)],$B1104),"")</f>
        <v/>
      </c>
      <c r="P1104" s="19" t="str">
        <f>IF($D1104&lt;&gt;1,"",IF($G1104="ROKS",SUMIFS(TblApplications[Besoin ROKS CPU (vCPU)],TblApplications[Cluster ROKS cible],$F1104,TblApplications[Action],"À migrer",TblApplications[Déjà incluse ROKS],"Non",TblApplications[Mois prov (calc)],"&lt;="&amp;$E1104),SUMIFS(TblApplications[CPU IKS libérable (vCPU)],TblApplications[Cluster IKS source],$F1104,TblApplications[Mois lib (calc)],"&lt;="&amp;$E1104)))</f>
        <v/>
      </c>
      <c r="Q1104" s="19" t="str">
        <f>IF($D1104&lt;&gt;1,"",IF($G1104="ROKS",SUMIFS(TblApplications[Besoin ROKS RAM (Go)],TblApplications[Cluster ROKS cible],$F1104,TblApplications[Action],"À migrer",TblApplications[Déjà incluse ROKS],"Non",TblApplications[Mois prov (calc)],"&lt;="&amp;$E1104),SUMIFS(TblApplications[RAM IKS libérable (Go)],TblApplications[Cluster IKS source],$F1104,TblApplications[Mois lib (calc)],"&lt;="&amp;$E1104)))</f>
        <v/>
      </c>
      <c r="R1104" s="19" t="str">
        <f t="shared" si="292"/>
        <v/>
      </c>
      <c r="S1104" s="19" t="str">
        <f t="shared" si="293"/>
        <v/>
      </c>
      <c r="T1104" s="19" t="str">
        <f t="shared" si="294"/>
        <v/>
      </c>
      <c r="U1104" s="19" t="str">
        <f t="shared" si="295"/>
        <v/>
      </c>
      <c r="V1104" s="19" t="str">
        <f t="shared" si="296"/>
        <v/>
      </c>
      <c r="W1104" s="73" t="str">
        <f t="shared" si="297"/>
        <v/>
      </c>
      <c r="X1104" s="19" t="str">
        <f>IF($D1104&lt;&gt;1,"",IF($G1104="ROKS",$R1104,IF($AI1104=1,0,MAX($N1104,$L1104-SUMIFS(TblApplications[CPU IKS libérable (vCPU)],TblApplications[Cluster IKS source],$F1104,TblApplications[Action],"À migrer",TblApplications[Mois prov (calc)],"&lt;="&amp;$E1104)-SUMIFS(TblApplications[CPU IKS libérable (vCPU)],TblApplications[Cluster IKS source],$F1104,TblApplications[Action],"À décommissionner",TblApplications[Mois lib (calc)],"&lt;="&amp;$E1104)))))</f>
        <v/>
      </c>
      <c r="Y1104" s="19" t="str">
        <f>IF($D1104&lt;&gt;1,"",IF($G1104="ROKS",$S1104,IF($AI1104=1,0,MAX($O1104,$M1104-SUMIFS(TblApplications[RAM IKS libérable (Go)],TblApplications[Cluster IKS source],$F1104,TblApplications[Action],"À migrer",TblApplications[Mois prov (calc)],"&lt;="&amp;$E1104)-SUMIFS(TblApplications[RAM IKS libérable (Go)],TblApplications[Cluster IKS source],$F1104,TblApplications[Action],"À décommissionner",TblApplications[Mois lib (calc)],"&lt;="&amp;$E1104)))))</f>
        <v/>
      </c>
      <c r="Z1104" s="19" t="str">
        <f t="shared" si="298"/>
        <v/>
      </c>
      <c r="AA1104" s="73" t="str">
        <f t="shared" si="299"/>
        <v/>
      </c>
      <c r="AB1104" s="19" t="str">
        <f t="shared" si="300"/>
        <v/>
      </c>
      <c r="AC1104" s="73" t="str">
        <f t="shared" si="301"/>
        <v/>
      </c>
      <c r="AD1104" s="19" t="str">
        <f t="shared" si="302"/>
        <v/>
      </c>
      <c r="AE1104" s="19" t="str">
        <f t="shared" si="303"/>
        <v/>
      </c>
      <c r="AF1104" s="19" t="str">
        <f>IF($D1104&lt;&gt;1,"",IF(INDEX(TblClusters[Environnement],$B1104)="","(vide)",INDEX(TblClusters[Environnement],$B1104)))</f>
        <v/>
      </c>
      <c r="AG1104" s="19" t="str">
        <f t="shared" si="304"/>
        <v/>
      </c>
      <c r="AH1104" s="19" t="str">
        <f t="shared" si="305"/>
        <v/>
      </c>
      <c r="AI1104" s="19" t="str">
        <f>IF($D1104&lt;&gt;1,"",IF(AND($G1104="IKS",ISNUMBER(INDEX(TblClusters[Fermeture retenue],$B1104))),IF($E1104&gt;=INDEX(TblClusters[Fermeture retenue],$B1104),1,0),0))</f>
        <v/>
      </c>
    </row>
    <row r="1105" spans="1:35" x14ac:dyDescent="0.2">
      <c r="A1105" s="19">
        <v>1100</v>
      </c>
      <c r="B1105" s="19">
        <f t="shared" si="289"/>
        <v>31</v>
      </c>
      <c r="C1105" s="19">
        <f t="shared" si="290"/>
        <v>20</v>
      </c>
      <c r="D1105" s="19">
        <f>IF($C1105&gt;p_horizon,0,IFERROR(IF(AND(INDEX(TblClusters[Cluster],$B1105)&lt;&gt;"",ISNUMBER(INDEX(TblClusters[CPU initial (vCPU)],$B1105)),ISNUMBER(INDEX(TblClusters[CPU min (vCPU)],$B1105)),OR(INDEX(TblClusters[Plateforme],$B1105)="IKS",INDEX(TblClusters[Plateforme],$B1105)="ROKS")),1,0),0))</f>
        <v>0</v>
      </c>
      <c r="E1105" s="72" t="str">
        <f t="shared" si="291"/>
        <v/>
      </c>
      <c r="F1105" s="19" t="str">
        <f>IF($D1105=1,INDEX(TblClusters[Cluster],$B1105),"")</f>
        <v/>
      </c>
      <c r="G1105" s="19" t="str">
        <f>IF($D1105=1,INDEX(TblClusters[Plateforme],$B1105),"")</f>
        <v/>
      </c>
      <c r="H1105" s="19" t="str">
        <f>IF($D1105=1,INDEX(TblClusters[vCPU par nœud],$B1105),"")</f>
        <v/>
      </c>
      <c r="I1105" s="19" t="str">
        <f>IF($D1105=1,INDEX(TblClusters[RAM par nœud (Go)],$B1105),"")</f>
        <v/>
      </c>
      <c r="J1105" s="19" t="str">
        <f>IF($D1105=1,INDEX(TblClusters[Workers min],$B1105),"")</f>
        <v/>
      </c>
      <c r="K1105" s="73" t="str">
        <f>IF($D1105=1,INDEX(TblClusters[Tarif par nœud],$B1105),"")</f>
        <v/>
      </c>
      <c r="L1105" s="19" t="str">
        <f>IF($D1105=1,INDEX(TblClusters[CPU initial (vCPU)],$B1105),"")</f>
        <v/>
      </c>
      <c r="M1105" s="19" t="str">
        <f>IF($D1105=1,INDEX(TblClusters[RAM initiale (Go)],$B1105),"")</f>
        <v/>
      </c>
      <c r="N1105" s="19" t="str">
        <f>IF($D1105=1,INDEX(TblClusters[CPU min (vCPU)],$B1105),"")</f>
        <v/>
      </c>
      <c r="O1105" s="19" t="str">
        <f>IF($D1105=1,INDEX(TblClusters[RAM min (Go)],$B1105),"")</f>
        <v/>
      </c>
      <c r="P1105" s="19" t="str">
        <f>IF($D1105&lt;&gt;1,"",IF($G1105="ROKS",SUMIFS(TblApplications[Besoin ROKS CPU (vCPU)],TblApplications[Cluster ROKS cible],$F1105,TblApplications[Action],"À migrer",TblApplications[Déjà incluse ROKS],"Non",TblApplications[Mois prov (calc)],"&lt;="&amp;$E1105),SUMIFS(TblApplications[CPU IKS libérable (vCPU)],TblApplications[Cluster IKS source],$F1105,TblApplications[Mois lib (calc)],"&lt;="&amp;$E1105)))</f>
        <v/>
      </c>
      <c r="Q1105" s="19" t="str">
        <f>IF($D1105&lt;&gt;1,"",IF($G1105="ROKS",SUMIFS(TblApplications[Besoin ROKS RAM (Go)],TblApplications[Cluster ROKS cible],$F1105,TblApplications[Action],"À migrer",TblApplications[Déjà incluse ROKS],"Non",TblApplications[Mois prov (calc)],"&lt;="&amp;$E1105),SUMIFS(TblApplications[RAM IKS libérable (Go)],TblApplications[Cluster IKS source],$F1105,TblApplications[Mois lib (calc)],"&lt;="&amp;$E1105)))</f>
        <v/>
      </c>
      <c r="R1105" s="19" t="str">
        <f t="shared" si="292"/>
        <v/>
      </c>
      <c r="S1105" s="19" t="str">
        <f t="shared" si="293"/>
        <v/>
      </c>
      <c r="T1105" s="19" t="str">
        <f t="shared" si="294"/>
        <v/>
      </c>
      <c r="U1105" s="19" t="str">
        <f t="shared" si="295"/>
        <v/>
      </c>
      <c r="V1105" s="19" t="str">
        <f t="shared" si="296"/>
        <v/>
      </c>
      <c r="W1105" s="73" t="str">
        <f t="shared" si="297"/>
        <v/>
      </c>
      <c r="X1105" s="19" t="str">
        <f>IF($D1105&lt;&gt;1,"",IF($G1105="ROKS",$R1105,IF($AI1105=1,0,MAX($N1105,$L1105-SUMIFS(TblApplications[CPU IKS libérable (vCPU)],TblApplications[Cluster IKS source],$F1105,TblApplications[Action],"À migrer",TblApplications[Mois prov (calc)],"&lt;="&amp;$E1105)-SUMIFS(TblApplications[CPU IKS libérable (vCPU)],TblApplications[Cluster IKS source],$F1105,TblApplications[Action],"À décommissionner",TblApplications[Mois lib (calc)],"&lt;="&amp;$E1105)))))</f>
        <v/>
      </c>
      <c r="Y1105" s="19" t="str">
        <f>IF($D1105&lt;&gt;1,"",IF($G1105="ROKS",$S1105,IF($AI1105=1,0,MAX($O1105,$M1105-SUMIFS(TblApplications[RAM IKS libérable (Go)],TblApplications[Cluster IKS source],$F1105,TblApplications[Action],"À migrer",TblApplications[Mois prov (calc)],"&lt;="&amp;$E1105)-SUMIFS(TblApplications[RAM IKS libérable (Go)],TblApplications[Cluster IKS source],$F1105,TblApplications[Action],"À décommissionner",TblApplications[Mois lib (calc)],"&lt;="&amp;$E1105)))))</f>
        <v/>
      </c>
      <c r="Z1105" s="19" t="str">
        <f t="shared" si="298"/>
        <v/>
      </c>
      <c r="AA1105" s="73" t="str">
        <f t="shared" si="299"/>
        <v/>
      </c>
      <c r="AB1105" s="19" t="str">
        <f t="shared" si="300"/>
        <v/>
      </c>
      <c r="AC1105" s="73" t="str">
        <f t="shared" si="301"/>
        <v/>
      </c>
      <c r="AD1105" s="19" t="str">
        <f t="shared" si="302"/>
        <v/>
      </c>
      <c r="AE1105" s="19" t="str">
        <f t="shared" si="303"/>
        <v/>
      </c>
      <c r="AF1105" s="19" t="str">
        <f>IF($D1105&lt;&gt;1,"",IF(INDEX(TblClusters[Environnement],$B1105)="","(vide)",INDEX(TblClusters[Environnement],$B1105)))</f>
        <v/>
      </c>
      <c r="AG1105" s="19" t="str">
        <f t="shared" si="304"/>
        <v/>
      </c>
      <c r="AH1105" s="19" t="str">
        <f t="shared" si="305"/>
        <v/>
      </c>
      <c r="AI1105" s="19" t="str">
        <f>IF($D1105&lt;&gt;1,"",IF(AND($G1105="IKS",ISNUMBER(INDEX(TblClusters[Fermeture retenue],$B1105))),IF($E1105&gt;=INDEX(TblClusters[Fermeture retenue],$B1105),1,0),0))</f>
        <v/>
      </c>
    </row>
    <row r="1106" spans="1:35" x14ac:dyDescent="0.2">
      <c r="A1106" s="19">
        <v>1101</v>
      </c>
      <c r="B1106" s="19">
        <f t="shared" si="289"/>
        <v>31</v>
      </c>
      <c r="C1106" s="19">
        <f t="shared" si="290"/>
        <v>21</v>
      </c>
      <c r="D1106" s="19">
        <f>IF($C1106&gt;p_horizon,0,IFERROR(IF(AND(INDEX(TblClusters[Cluster],$B1106)&lt;&gt;"",ISNUMBER(INDEX(TblClusters[CPU initial (vCPU)],$B1106)),ISNUMBER(INDEX(TblClusters[CPU min (vCPU)],$B1106)),OR(INDEX(TblClusters[Plateforme],$B1106)="IKS",INDEX(TblClusters[Plateforme],$B1106)="ROKS")),1,0),0))</f>
        <v>0</v>
      </c>
      <c r="E1106" s="72" t="str">
        <f t="shared" si="291"/>
        <v/>
      </c>
      <c r="F1106" s="19" t="str">
        <f>IF($D1106=1,INDEX(TblClusters[Cluster],$B1106),"")</f>
        <v/>
      </c>
      <c r="G1106" s="19" t="str">
        <f>IF($D1106=1,INDEX(TblClusters[Plateforme],$B1106),"")</f>
        <v/>
      </c>
      <c r="H1106" s="19" t="str">
        <f>IF($D1106=1,INDEX(TblClusters[vCPU par nœud],$B1106),"")</f>
        <v/>
      </c>
      <c r="I1106" s="19" t="str">
        <f>IF($D1106=1,INDEX(TblClusters[RAM par nœud (Go)],$B1106),"")</f>
        <v/>
      </c>
      <c r="J1106" s="19" t="str">
        <f>IF($D1106=1,INDEX(TblClusters[Workers min],$B1106),"")</f>
        <v/>
      </c>
      <c r="K1106" s="73" t="str">
        <f>IF($D1106=1,INDEX(TblClusters[Tarif par nœud],$B1106),"")</f>
        <v/>
      </c>
      <c r="L1106" s="19" t="str">
        <f>IF($D1106=1,INDEX(TblClusters[CPU initial (vCPU)],$B1106),"")</f>
        <v/>
      </c>
      <c r="M1106" s="19" t="str">
        <f>IF($D1106=1,INDEX(TblClusters[RAM initiale (Go)],$B1106),"")</f>
        <v/>
      </c>
      <c r="N1106" s="19" t="str">
        <f>IF($D1106=1,INDEX(TblClusters[CPU min (vCPU)],$B1106),"")</f>
        <v/>
      </c>
      <c r="O1106" s="19" t="str">
        <f>IF($D1106=1,INDEX(TblClusters[RAM min (Go)],$B1106),"")</f>
        <v/>
      </c>
      <c r="P1106" s="19" t="str">
        <f>IF($D1106&lt;&gt;1,"",IF($G1106="ROKS",SUMIFS(TblApplications[Besoin ROKS CPU (vCPU)],TblApplications[Cluster ROKS cible],$F1106,TblApplications[Action],"À migrer",TblApplications[Déjà incluse ROKS],"Non",TblApplications[Mois prov (calc)],"&lt;="&amp;$E1106),SUMIFS(TblApplications[CPU IKS libérable (vCPU)],TblApplications[Cluster IKS source],$F1106,TblApplications[Mois lib (calc)],"&lt;="&amp;$E1106)))</f>
        <v/>
      </c>
      <c r="Q1106" s="19" t="str">
        <f>IF($D1106&lt;&gt;1,"",IF($G1106="ROKS",SUMIFS(TblApplications[Besoin ROKS RAM (Go)],TblApplications[Cluster ROKS cible],$F1106,TblApplications[Action],"À migrer",TblApplications[Déjà incluse ROKS],"Non",TblApplications[Mois prov (calc)],"&lt;="&amp;$E1106),SUMIFS(TblApplications[RAM IKS libérable (Go)],TblApplications[Cluster IKS source],$F1106,TblApplications[Mois lib (calc)],"&lt;="&amp;$E1106)))</f>
        <v/>
      </c>
      <c r="R1106" s="19" t="str">
        <f t="shared" si="292"/>
        <v/>
      </c>
      <c r="S1106" s="19" t="str">
        <f t="shared" si="293"/>
        <v/>
      </c>
      <c r="T1106" s="19" t="str">
        <f t="shared" si="294"/>
        <v/>
      </c>
      <c r="U1106" s="19" t="str">
        <f t="shared" si="295"/>
        <v/>
      </c>
      <c r="V1106" s="19" t="str">
        <f t="shared" si="296"/>
        <v/>
      </c>
      <c r="W1106" s="73" t="str">
        <f t="shared" si="297"/>
        <v/>
      </c>
      <c r="X1106" s="19" t="str">
        <f>IF($D1106&lt;&gt;1,"",IF($G1106="ROKS",$R1106,IF($AI1106=1,0,MAX($N1106,$L1106-SUMIFS(TblApplications[CPU IKS libérable (vCPU)],TblApplications[Cluster IKS source],$F1106,TblApplications[Action],"À migrer",TblApplications[Mois prov (calc)],"&lt;="&amp;$E1106)-SUMIFS(TblApplications[CPU IKS libérable (vCPU)],TblApplications[Cluster IKS source],$F1106,TblApplications[Action],"À décommissionner",TblApplications[Mois lib (calc)],"&lt;="&amp;$E1106)))))</f>
        <v/>
      </c>
      <c r="Y1106" s="19" t="str">
        <f>IF($D1106&lt;&gt;1,"",IF($G1106="ROKS",$S1106,IF($AI1106=1,0,MAX($O1106,$M1106-SUMIFS(TblApplications[RAM IKS libérable (Go)],TblApplications[Cluster IKS source],$F1106,TblApplications[Action],"À migrer",TblApplications[Mois prov (calc)],"&lt;="&amp;$E1106)-SUMIFS(TblApplications[RAM IKS libérable (Go)],TblApplications[Cluster IKS source],$F1106,TblApplications[Action],"À décommissionner",TblApplications[Mois lib (calc)],"&lt;="&amp;$E1106)))))</f>
        <v/>
      </c>
      <c r="Z1106" s="19" t="str">
        <f t="shared" si="298"/>
        <v/>
      </c>
      <c r="AA1106" s="73" t="str">
        <f t="shared" si="299"/>
        <v/>
      </c>
      <c r="AB1106" s="19" t="str">
        <f t="shared" si="300"/>
        <v/>
      </c>
      <c r="AC1106" s="73" t="str">
        <f t="shared" si="301"/>
        <v/>
      </c>
      <c r="AD1106" s="19" t="str">
        <f t="shared" si="302"/>
        <v/>
      </c>
      <c r="AE1106" s="19" t="str">
        <f t="shared" si="303"/>
        <v/>
      </c>
      <c r="AF1106" s="19" t="str">
        <f>IF($D1106&lt;&gt;1,"",IF(INDEX(TblClusters[Environnement],$B1106)="","(vide)",INDEX(TblClusters[Environnement],$B1106)))</f>
        <v/>
      </c>
      <c r="AG1106" s="19" t="str">
        <f t="shared" si="304"/>
        <v/>
      </c>
      <c r="AH1106" s="19" t="str">
        <f t="shared" si="305"/>
        <v/>
      </c>
      <c r="AI1106" s="19" t="str">
        <f>IF($D1106&lt;&gt;1,"",IF(AND($G1106="IKS",ISNUMBER(INDEX(TblClusters[Fermeture retenue],$B1106))),IF($E1106&gt;=INDEX(TblClusters[Fermeture retenue],$B1106),1,0),0))</f>
        <v/>
      </c>
    </row>
    <row r="1107" spans="1:35" x14ac:dyDescent="0.2">
      <c r="A1107" s="19">
        <v>1102</v>
      </c>
      <c r="B1107" s="19">
        <f t="shared" si="289"/>
        <v>31</v>
      </c>
      <c r="C1107" s="19">
        <f t="shared" si="290"/>
        <v>22</v>
      </c>
      <c r="D1107" s="19">
        <f>IF($C1107&gt;p_horizon,0,IFERROR(IF(AND(INDEX(TblClusters[Cluster],$B1107)&lt;&gt;"",ISNUMBER(INDEX(TblClusters[CPU initial (vCPU)],$B1107)),ISNUMBER(INDEX(TblClusters[CPU min (vCPU)],$B1107)),OR(INDEX(TblClusters[Plateforme],$B1107)="IKS",INDEX(TblClusters[Plateforme],$B1107)="ROKS")),1,0),0))</f>
        <v>0</v>
      </c>
      <c r="E1107" s="72" t="str">
        <f t="shared" si="291"/>
        <v/>
      </c>
      <c r="F1107" s="19" t="str">
        <f>IF($D1107=1,INDEX(TblClusters[Cluster],$B1107),"")</f>
        <v/>
      </c>
      <c r="G1107" s="19" t="str">
        <f>IF($D1107=1,INDEX(TblClusters[Plateforme],$B1107),"")</f>
        <v/>
      </c>
      <c r="H1107" s="19" t="str">
        <f>IF($D1107=1,INDEX(TblClusters[vCPU par nœud],$B1107),"")</f>
        <v/>
      </c>
      <c r="I1107" s="19" t="str">
        <f>IF($D1107=1,INDEX(TblClusters[RAM par nœud (Go)],$B1107),"")</f>
        <v/>
      </c>
      <c r="J1107" s="19" t="str">
        <f>IF($D1107=1,INDEX(TblClusters[Workers min],$B1107),"")</f>
        <v/>
      </c>
      <c r="K1107" s="73" t="str">
        <f>IF($D1107=1,INDEX(TblClusters[Tarif par nœud],$B1107),"")</f>
        <v/>
      </c>
      <c r="L1107" s="19" t="str">
        <f>IF($D1107=1,INDEX(TblClusters[CPU initial (vCPU)],$B1107),"")</f>
        <v/>
      </c>
      <c r="M1107" s="19" t="str">
        <f>IF($D1107=1,INDEX(TblClusters[RAM initiale (Go)],$B1107),"")</f>
        <v/>
      </c>
      <c r="N1107" s="19" t="str">
        <f>IF($D1107=1,INDEX(TblClusters[CPU min (vCPU)],$B1107),"")</f>
        <v/>
      </c>
      <c r="O1107" s="19" t="str">
        <f>IF($D1107=1,INDEX(TblClusters[RAM min (Go)],$B1107),"")</f>
        <v/>
      </c>
      <c r="P1107" s="19" t="str">
        <f>IF($D1107&lt;&gt;1,"",IF($G1107="ROKS",SUMIFS(TblApplications[Besoin ROKS CPU (vCPU)],TblApplications[Cluster ROKS cible],$F1107,TblApplications[Action],"À migrer",TblApplications[Déjà incluse ROKS],"Non",TblApplications[Mois prov (calc)],"&lt;="&amp;$E1107),SUMIFS(TblApplications[CPU IKS libérable (vCPU)],TblApplications[Cluster IKS source],$F1107,TblApplications[Mois lib (calc)],"&lt;="&amp;$E1107)))</f>
        <v/>
      </c>
      <c r="Q1107" s="19" t="str">
        <f>IF($D1107&lt;&gt;1,"",IF($G1107="ROKS",SUMIFS(TblApplications[Besoin ROKS RAM (Go)],TblApplications[Cluster ROKS cible],$F1107,TblApplications[Action],"À migrer",TblApplications[Déjà incluse ROKS],"Non",TblApplications[Mois prov (calc)],"&lt;="&amp;$E1107),SUMIFS(TblApplications[RAM IKS libérable (Go)],TblApplications[Cluster IKS source],$F1107,TblApplications[Mois lib (calc)],"&lt;="&amp;$E1107)))</f>
        <v/>
      </c>
      <c r="R1107" s="19" t="str">
        <f t="shared" si="292"/>
        <v/>
      </c>
      <c r="S1107" s="19" t="str">
        <f t="shared" si="293"/>
        <v/>
      </c>
      <c r="T1107" s="19" t="str">
        <f t="shared" si="294"/>
        <v/>
      </c>
      <c r="U1107" s="19" t="str">
        <f t="shared" si="295"/>
        <v/>
      </c>
      <c r="V1107" s="19" t="str">
        <f t="shared" si="296"/>
        <v/>
      </c>
      <c r="W1107" s="73" t="str">
        <f t="shared" si="297"/>
        <v/>
      </c>
      <c r="X1107" s="19" t="str">
        <f>IF($D1107&lt;&gt;1,"",IF($G1107="ROKS",$R1107,IF($AI1107=1,0,MAX($N1107,$L1107-SUMIFS(TblApplications[CPU IKS libérable (vCPU)],TblApplications[Cluster IKS source],$F1107,TblApplications[Action],"À migrer",TblApplications[Mois prov (calc)],"&lt;="&amp;$E1107)-SUMIFS(TblApplications[CPU IKS libérable (vCPU)],TblApplications[Cluster IKS source],$F1107,TblApplications[Action],"À décommissionner",TblApplications[Mois lib (calc)],"&lt;="&amp;$E1107)))))</f>
        <v/>
      </c>
      <c r="Y1107" s="19" t="str">
        <f>IF($D1107&lt;&gt;1,"",IF($G1107="ROKS",$S1107,IF($AI1107=1,0,MAX($O1107,$M1107-SUMIFS(TblApplications[RAM IKS libérable (Go)],TblApplications[Cluster IKS source],$F1107,TblApplications[Action],"À migrer",TblApplications[Mois prov (calc)],"&lt;="&amp;$E1107)-SUMIFS(TblApplications[RAM IKS libérable (Go)],TblApplications[Cluster IKS source],$F1107,TblApplications[Action],"À décommissionner",TblApplications[Mois lib (calc)],"&lt;="&amp;$E1107)))))</f>
        <v/>
      </c>
      <c r="Z1107" s="19" t="str">
        <f t="shared" si="298"/>
        <v/>
      </c>
      <c r="AA1107" s="73" t="str">
        <f t="shared" si="299"/>
        <v/>
      </c>
      <c r="AB1107" s="19" t="str">
        <f t="shared" si="300"/>
        <v/>
      </c>
      <c r="AC1107" s="73" t="str">
        <f t="shared" si="301"/>
        <v/>
      </c>
      <c r="AD1107" s="19" t="str">
        <f t="shared" si="302"/>
        <v/>
      </c>
      <c r="AE1107" s="19" t="str">
        <f t="shared" si="303"/>
        <v/>
      </c>
      <c r="AF1107" s="19" t="str">
        <f>IF($D1107&lt;&gt;1,"",IF(INDEX(TblClusters[Environnement],$B1107)="","(vide)",INDEX(TblClusters[Environnement],$B1107)))</f>
        <v/>
      </c>
      <c r="AG1107" s="19" t="str">
        <f t="shared" si="304"/>
        <v/>
      </c>
      <c r="AH1107" s="19" t="str">
        <f t="shared" si="305"/>
        <v/>
      </c>
      <c r="AI1107" s="19" t="str">
        <f>IF($D1107&lt;&gt;1,"",IF(AND($G1107="IKS",ISNUMBER(INDEX(TblClusters[Fermeture retenue],$B1107))),IF($E1107&gt;=INDEX(TblClusters[Fermeture retenue],$B1107),1,0),0))</f>
        <v/>
      </c>
    </row>
    <row r="1108" spans="1:35" x14ac:dyDescent="0.2">
      <c r="A1108" s="19">
        <v>1103</v>
      </c>
      <c r="B1108" s="19">
        <f t="shared" si="289"/>
        <v>31</v>
      </c>
      <c r="C1108" s="19">
        <f t="shared" si="290"/>
        <v>23</v>
      </c>
      <c r="D1108" s="19">
        <f>IF($C1108&gt;p_horizon,0,IFERROR(IF(AND(INDEX(TblClusters[Cluster],$B1108)&lt;&gt;"",ISNUMBER(INDEX(TblClusters[CPU initial (vCPU)],$B1108)),ISNUMBER(INDEX(TblClusters[CPU min (vCPU)],$B1108)),OR(INDEX(TblClusters[Plateforme],$B1108)="IKS",INDEX(TblClusters[Plateforme],$B1108)="ROKS")),1,0),0))</f>
        <v>0</v>
      </c>
      <c r="E1108" s="72" t="str">
        <f t="shared" si="291"/>
        <v/>
      </c>
      <c r="F1108" s="19" t="str">
        <f>IF($D1108=1,INDEX(TblClusters[Cluster],$B1108),"")</f>
        <v/>
      </c>
      <c r="G1108" s="19" t="str">
        <f>IF($D1108=1,INDEX(TblClusters[Plateforme],$B1108),"")</f>
        <v/>
      </c>
      <c r="H1108" s="19" t="str">
        <f>IF($D1108=1,INDEX(TblClusters[vCPU par nœud],$B1108),"")</f>
        <v/>
      </c>
      <c r="I1108" s="19" t="str">
        <f>IF($D1108=1,INDEX(TblClusters[RAM par nœud (Go)],$B1108),"")</f>
        <v/>
      </c>
      <c r="J1108" s="19" t="str">
        <f>IF($D1108=1,INDEX(TblClusters[Workers min],$B1108),"")</f>
        <v/>
      </c>
      <c r="K1108" s="73" t="str">
        <f>IF($D1108=1,INDEX(TblClusters[Tarif par nœud],$B1108),"")</f>
        <v/>
      </c>
      <c r="L1108" s="19" t="str">
        <f>IF($D1108=1,INDEX(TblClusters[CPU initial (vCPU)],$B1108),"")</f>
        <v/>
      </c>
      <c r="M1108" s="19" t="str">
        <f>IF($D1108=1,INDEX(TblClusters[RAM initiale (Go)],$B1108),"")</f>
        <v/>
      </c>
      <c r="N1108" s="19" t="str">
        <f>IF($D1108=1,INDEX(TblClusters[CPU min (vCPU)],$B1108),"")</f>
        <v/>
      </c>
      <c r="O1108" s="19" t="str">
        <f>IF($D1108=1,INDEX(TblClusters[RAM min (Go)],$B1108),"")</f>
        <v/>
      </c>
      <c r="P1108" s="19" t="str">
        <f>IF($D1108&lt;&gt;1,"",IF($G1108="ROKS",SUMIFS(TblApplications[Besoin ROKS CPU (vCPU)],TblApplications[Cluster ROKS cible],$F1108,TblApplications[Action],"À migrer",TblApplications[Déjà incluse ROKS],"Non",TblApplications[Mois prov (calc)],"&lt;="&amp;$E1108),SUMIFS(TblApplications[CPU IKS libérable (vCPU)],TblApplications[Cluster IKS source],$F1108,TblApplications[Mois lib (calc)],"&lt;="&amp;$E1108)))</f>
        <v/>
      </c>
      <c r="Q1108" s="19" t="str">
        <f>IF($D1108&lt;&gt;1,"",IF($G1108="ROKS",SUMIFS(TblApplications[Besoin ROKS RAM (Go)],TblApplications[Cluster ROKS cible],$F1108,TblApplications[Action],"À migrer",TblApplications[Déjà incluse ROKS],"Non",TblApplications[Mois prov (calc)],"&lt;="&amp;$E1108),SUMIFS(TblApplications[RAM IKS libérable (Go)],TblApplications[Cluster IKS source],$F1108,TblApplications[Mois lib (calc)],"&lt;="&amp;$E1108)))</f>
        <v/>
      </c>
      <c r="R1108" s="19" t="str">
        <f t="shared" si="292"/>
        <v/>
      </c>
      <c r="S1108" s="19" t="str">
        <f t="shared" si="293"/>
        <v/>
      </c>
      <c r="T1108" s="19" t="str">
        <f t="shared" si="294"/>
        <v/>
      </c>
      <c r="U1108" s="19" t="str">
        <f t="shared" si="295"/>
        <v/>
      </c>
      <c r="V1108" s="19" t="str">
        <f t="shared" si="296"/>
        <v/>
      </c>
      <c r="W1108" s="73" t="str">
        <f t="shared" si="297"/>
        <v/>
      </c>
      <c r="X1108" s="19" t="str">
        <f>IF($D1108&lt;&gt;1,"",IF($G1108="ROKS",$R1108,IF($AI1108=1,0,MAX($N1108,$L1108-SUMIFS(TblApplications[CPU IKS libérable (vCPU)],TblApplications[Cluster IKS source],$F1108,TblApplications[Action],"À migrer",TblApplications[Mois prov (calc)],"&lt;="&amp;$E1108)-SUMIFS(TblApplications[CPU IKS libérable (vCPU)],TblApplications[Cluster IKS source],$F1108,TblApplications[Action],"À décommissionner",TblApplications[Mois lib (calc)],"&lt;="&amp;$E1108)))))</f>
        <v/>
      </c>
      <c r="Y1108" s="19" t="str">
        <f>IF($D1108&lt;&gt;1,"",IF($G1108="ROKS",$S1108,IF($AI1108=1,0,MAX($O1108,$M1108-SUMIFS(TblApplications[RAM IKS libérable (Go)],TblApplications[Cluster IKS source],$F1108,TblApplications[Action],"À migrer",TblApplications[Mois prov (calc)],"&lt;="&amp;$E1108)-SUMIFS(TblApplications[RAM IKS libérable (Go)],TblApplications[Cluster IKS source],$F1108,TblApplications[Action],"À décommissionner",TblApplications[Mois lib (calc)],"&lt;="&amp;$E1108)))))</f>
        <v/>
      </c>
      <c r="Z1108" s="19" t="str">
        <f t="shared" si="298"/>
        <v/>
      </c>
      <c r="AA1108" s="73" t="str">
        <f t="shared" si="299"/>
        <v/>
      </c>
      <c r="AB1108" s="19" t="str">
        <f t="shared" si="300"/>
        <v/>
      </c>
      <c r="AC1108" s="73" t="str">
        <f t="shared" si="301"/>
        <v/>
      </c>
      <c r="AD1108" s="19" t="str">
        <f t="shared" si="302"/>
        <v/>
      </c>
      <c r="AE1108" s="19" t="str">
        <f t="shared" si="303"/>
        <v/>
      </c>
      <c r="AF1108" s="19" t="str">
        <f>IF($D1108&lt;&gt;1,"",IF(INDEX(TblClusters[Environnement],$B1108)="","(vide)",INDEX(TblClusters[Environnement],$B1108)))</f>
        <v/>
      </c>
      <c r="AG1108" s="19" t="str">
        <f t="shared" si="304"/>
        <v/>
      </c>
      <c r="AH1108" s="19" t="str">
        <f t="shared" si="305"/>
        <v/>
      </c>
      <c r="AI1108" s="19" t="str">
        <f>IF($D1108&lt;&gt;1,"",IF(AND($G1108="IKS",ISNUMBER(INDEX(TblClusters[Fermeture retenue],$B1108))),IF($E1108&gt;=INDEX(TblClusters[Fermeture retenue],$B1108),1,0),0))</f>
        <v/>
      </c>
    </row>
    <row r="1109" spans="1:35" x14ac:dyDescent="0.2">
      <c r="A1109" s="19">
        <v>1104</v>
      </c>
      <c r="B1109" s="19">
        <f t="shared" si="289"/>
        <v>31</v>
      </c>
      <c r="C1109" s="19">
        <f t="shared" si="290"/>
        <v>24</v>
      </c>
      <c r="D1109" s="19">
        <f>IF($C1109&gt;p_horizon,0,IFERROR(IF(AND(INDEX(TblClusters[Cluster],$B1109)&lt;&gt;"",ISNUMBER(INDEX(TblClusters[CPU initial (vCPU)],$B1109)),ISNUMBER(INDEX(TblClusters[CPU min (vCPU)],$B1109)),OR(INDEX(TblClusters[Plateforme],$B1109)="IKS",INDEX(TblClusters[Plateforme],$B1109)="ROKS")),1,0),0))</f>
        <v>0</v>
      </c>
      <c r="E1109" s="72" t="str">
        <f t="shared" si="291"/>
        <v/>
      </c>
      <c r="F1109" s="19" t="str">
        <f>IF($D1109=1,INDEX(TblClusters[Cluster],$B1109),"")</f>
        <v/>
      </c>
      <c r="G1109" s="19" t="str">
        <f>IF($D1109=1,INDEX(TblClusters[Plateforme],$B1109),"")</f>
        <v/>
      </c>
      <c r="H1109" s="19" t="str">
        <f>IF($D1109=1,INDEX(TblClusters[vCPU par nœud],$B1109),"")</f>
        <v/>
      </c>
      <c r="I1109" s="19" t="str">
        <f>IF($D1109=1,INDEX(TblClusters[RAM par nœud (Go)],$B1109),"")</f>
        <v/>
      </c>
      <c r="J1109" s="19" t="str">
        <f>IF($D1109=1,INDEX(TblClusters[Workers min],$B1109),"")</f>
        <v/>
      </c>
      <c r="K1109" s="73" t="str">
        <f>IF($D1109=1,INDEX(TblClusters[Tarif par nœud],$B1109),"")</f>
        <v/>
      </c>
      <c r="L1109" s="19" t="str">
        <f>IF($D1109=1,INDEX(TblClusters[CPU initial (vCPU)],$B1109),"")</f>
        <v/>
      </c>
      <c r="M1109" s="19" t="str">
        <f>IF($D1109=1,INDEX(TblClusters[RAM initiale (Go)],$B1109),"")</f>
        <v/>
      </c>
      <c r="N1109" s="19" t="str">
        <f>IF($D1109=1,INDEX(TblClusters[CPU min (vCPU)],$B1109),"")</f>
        <v/>
      </c>
      <c r="O1109" s="19" t="str">
        <f>IF($D1109=1,INDEX(TblClusters[RAM min (Go)],$B1109),"")</f>
        <v/>
      </c>
      <c r="P1109" s="19" t="str">
        <f>IF($D1109&lt;&gt;1,"",IF($G1109="ROKS",SUMIFS(TblApplications[Besoin ROKS CPU (vCPU)],TblApplications[Cluster ROKS cible],$F1109,TblApplications[Action],"À migrer",TblApplications[Déjà incluse ROKS],"Non",TblApplications[Mois prov (calc)],"&lt;="&amp;$E1109),SUMIFS(TblApplications[CPU IKS libérable (vCPU)],TblApplications[Cluster IKS source],$F1109,TblApplications[Mois lib (calc)],"&lt;="&amp;$E1109)))</f>
        <v/>
      </c>
      <c r="Q1109" s="19" t="str">
        <f>IF($D1109&lt;&gt;1,"",IF($G1109="ROKS",SUMIFS(TblApplications[Besoin ROKS RAM (Go)],TblApplications[Cluster ROKS cible],$F1109,TblApplications[Action],"À migrer",TblApplications[Déjà incluse ROKS],"Non",TblApplications[Mois prov (calc)],"&lt;="&amp;$E1109),SUMIFS(TblApplications[RAM IKS libérable (Go)],TblApplications[Cluster IKS source],$F1109,TblApplications[Mois lib (calc)],"&lt;="&amp;$E1109)))</f>
        <v/>
      </c>
      <c r="R1109" s="19" t="str">
        <f t="shared" si="292"/>
        <v/>
      </c>
      <c r="S1109" s="19" t="str">
        <f t="shared" si="293"/>
        <v/>
      </c>
      <c r="T1109" s="19" t="str">
        <f t="shared" si="294"/>
        <v/>
      </c>
      <c r="U1109" s="19" t="str">
        <f t="shared" si="295"/>
        <v/>
      </c>
      <c r="V1109" s="19" t="str">
        <f t="shared" si="296"/>
        <v/>
      </c>
      <c r="W1109" s="73" t="str">
        <f t="shared" si="297"/>
        <v/>
      </c>
      <c r="X1109" s="19" t="str">
        <f>IF($D1109&lt;&gt;1,"",IF($G1109="ROKS",$R1109,IF($AI1109=1,0,MAX($N1109,$L1109-SUMIFS(TblApplications[CPU IKS libérable (vCPU)],TblApplications[Cluster IKS source],$F1109,TblApplications[Action],"À migrer",TblApplications[Mois prov (calc)],"&lt;="&amp;$E1109)-SUMIFS(TblApplications[CPU IKS libérable (vCPU)],TblApplications[Cluster IKS source],$F1109,TblApplications[Action],"À décommissionner",TblApplications[Mois lib (calc)],"&lt;="&amp;$E1109)))))</f>
        <v/>
      </c>
      <c r="Y1109" s="19" t="str">
        <f>IF($D1109&lt;&gt;1,"",IF($G1109="ROKS",$S1109,IF($AI1109=1,0,MAX($O1109,$M1109-SUMIFS(TblApplications[RAM IKS libérable (Go)],TblApplications[Cluster IKS source],$F1109,TblApplications[Action],"À migrer",TblApplications[Mois prov (calc)],"&lt;="&amp;$E1109)-SUMIFS(TblApplications[RAM IKS libérable (Go)],TblApplications[Cluster IKS source],$F1109,TblApplications[Action],"À décommissionner",TblApplications[Mois lib (calc)],"&lt;="&amp;$E1109)))))</f>
        <v/>
      </c>
      <c r="Z1109" s="19" t="str">
        <f t="shared" si="298"/>
        <v/>
      </c>
      <c r="AA1109" s="73" t="str">
        <f t="shared" si="299"/>
        <v/>
      </c>
      <c r="AB1109" s="19" t="str">
        <f t="shared" si="300"/>
        <v/>
      </c>
      <c r="AC1109" s="73" t="str">
        <f t="shared" si="301"/>
        <v/>
      </c>
      <c r="AD1109" s="19" t="str">
        <f t="shared" si="302"/>
        <v/>
      </c>
      <c r="AE1109" s="19" t="str">
        <f t="shared" si="303"/>
        <v/>
      </c>
      <c r="AF1109" s="19" t="str">
        <f>IF($D1109&lt;&gt;1,"",IF(INDEX(TblClusters[Environnement],$B1109)="","(vide)",INDEX(TblClusters[Environnement],$B1109)))</f>
        <v/>
      </c>
      <c r="AG1109" s="19" t="str">
        <f t="shared" si="304"/>
        <v/>
      </c>
      <c r="AH1109" s="19" t="str">
        <f t="shared" si="305"/>
        <v/>
      </c>
      <c r="AI1109" s="19" t="str">
        <f>IF($D1109&lt;&gt;1,"",IF(AND($G1109="IKS",ISNUMBER(INDEX(TblClusters[Fermeture retenue],$B1109))),IF($E1109&gt;=INDEX(TblClusters[Fermeture retenue],$B1109),1,0),0))</f>
        <v/>
      </c>
    </row>
    <row r="1110" spans="1:35" x14ac:dyDescent="0.2">
      <c r="A1110" s="19">
        <v>1105</v>
      </c>
      <c r="B1110" s="19">
        <f t="shared" si="289"/>
        <v>31</v>
      </c>
      <c r="C1110" s="19">
        <f t="shared" si="290"/>
        <v>25</v>
      </c>
      <c r="D1110" s="19">
        <f>IF($C1110&gt;p_horizon,0,IFERROR(IF(AND(INDEX(TblClusters[Cluster],$B1110)&lt;&gt;"",ISNUMBER(INDEX(TblClusters[CPU initial (vCPU)],$B1110)),ISNUMBER(INDEX(TblClusters[CPU min (vCPU)],$B1110)),OR(INDEX(TblClusters[Plateforme],$B1110)="IKS",INDEX(TblClusters[Plateforme],$B1110)="ROKS")),1,0),0))</f>
        <v>0</v>
      </c>
      <c r="E1110" s="72" t="str">
        <f t="shared" si="291"/>
        <v/>
      </c>
      <c r="F1110" s="19" t="str">
        <f>IF($D1110=1,INDEX(TblClusters[Cluster],$B1110),"")</f>
        <v/>
      </c>
      <c r="G1110" s="19" t="str">
        <f>IF($D1110=1,INDEX(TblClusters[Plateforme],$B1110),"")</f>
        <v/>
      </c>
      <c r="H1110" s="19" t="str">
        <f>IF($D1110=1,INDEX(TblClusters[vCPU par nœud],$B1110),"")</f>
        <v/>
      </c>
      <c r="I1110" s="19" t="str">
        <f>IF($D1110=1,INDEX(TblClusters[RAM par nœud (Go)],$B1110),"")</f>
        <v/>
      </c>
      <c r="J1110" s="19" t="str">
        <f>IF($D1110=1,INDEX(TblClusters[Workers min],$B1110),"")</f>
        <v/>
      </c>
      <c r="K1110" s="73" t="str">
        <f>IF($D1110=1,INDEX(TblClusters[Tarif par nœud],$B1110),"")</f>
        <v/>
      </c>
      <c r="L1110" s="19" t="str">
        <f>IF($D1110=1,INDEX(TblClusters[CPU initial (vCPU)],$B1110),"")</f>
        <v/>
      </c>
      <c r="M1110" s="19" t="str">
        <f>IF($D1110=1,INDEX(TblClusters[RAM initiale (Go)],$B1110),"")</f>
        <v/>
      </c>
      <c r="N1110" s="19" t="str">
        <f>IF($D1110=1,INDEX(TblClusters[CPU min (vCPU)],$B1110),"")</f>
        <v/>
      </c>
      <c r="O1110" s="19" t="str">
        <f>IF($D1110=1,INDEX(TblClusters[RAM min (Go)],$B1110),"")</f>
        <v/>
      </c>
      <c r="P1110" s="19" t="str">
        <f>IF($D1110&lt;&gt;1,"",IF($G1110="ROKS",SUMIFS(TblApplications[Besoin ROKS CPU (vCPU)],TblApplications[Cluster ROKS cible],$F1110,TblApplications[Action],"À migrer",TblApplications[Déjà incluse ROKS],"Non",TblApplications[Mois prov (calc)],"&lt;="&amp;$E1110),SUMIFS(TblApplications[CPU IKS libérable (vCPU)],TblApplications[Cluster IKS source],$F1110,TblApplications[Mois lib (calc)],"&lt;="&amp;$E1110)))</f>
        <v/>
      </c>
      <c r="Q1110" s="19" t="str">
        <f>IF($D1110&lt;&gt;1,"",IF($G1110="ROKS",SUMIFS(TblApplications[Besoin ROKS RAM (Go)],TblApplications[Cluster ROKS cible],$F1110,TblApplications[Action],"À migrer",TblApplications[Déjà incluse ROKS],"Non",TblApplications[Mois prov (calc)],"&lt;="&amp;$E1110),SUMIFS(TblApplications[RAM IKS libérable (Go)],TblApplications[Cluster IKS source],$F1110,TblApplications[Mois lib (calc)],"&lt;="&amp;$E1110)))</f>
        <v/>
      </c>
      <c r="R1110" s="19" t="str">
        <f t="shared" si="292"/>
        <v/>
      </c>
      <c r="S1110" s="19" t="str">
        <f t="shared" si="293"/>
        <v/>
      </c>
      <c r="T1110" s="19" t="str">
        <f t="shared" si="294"/>
        <v/>
      </c>
      <c r="U1110" s="19" t="str">
        <f t="shared" si="295"/>
        <v/>
      </c>
      <c r="V1110" s="19" t="str">
        <f t="shared" si="296"/>
        <v/>
      </c>
      <c r="W1110" s="73" t="str">
        <f t="shared" si="297"/>
        <v/>
      </c>
      <c r="X1110" s="19" t="str">
        <f>IF($D1110&lt;&gt;1,"",IF($G1110="ROKS",$R1110,IF($AI1110=1,0,MAX($N1110,$L1110-SUMIFS(TblApplications[CPU IKS libérable (vCPU)],TblApplications[Cluster IKS source],$F1110,TblApplications[Action],"À migrer",TblApplications[Mois prov (calc)],"&lt;="&amp;$E1110)-SUMIFS(TblApplications[CPU IKS libérable (vCPU)],TblApplications[Cluster IKS source],$F1110,TblApplications[Action],"À décommissionner",TblApplications[Mois lib (calc)],"&lt;="&amp;$E1110)))))</f>
        <v/>
      </c>
      <c r="Y1110" s="19" t="str">
        <f>IF($D1110&lt;&gt;1,"",IF($G1110="ROKS",$S1110,IF($AI1110=1,0,MAX($O1110,$M1110-SUMIFS(TblApplications[RAM IKS libérable (Go)],TblApplications[Cluster IKS source],$F1110,TblApplications[Action],"À migrer",TblApplications[Mois prov (calc)],"&lt;="&amp;$E1110)-SUMIFS(TblApplications[RAM IKS libérable (Go)],TblApplications[Cluster IKS source],$F1110,TblApplications[Action],"À décommissionner",TblApplications[Mois lib (calc)],"&lt;="&amp;$E1110)))))</f>
        <v/>
      </c>
      <c r="Z1110" s="19" t="str">
        <f t="shared" si="298"/>
        <v/>
      </c>
      <c r="AA1110" s="73" t="str">
        <f t="shared" si="299"/>
        <v/>
      </c>
      <c r="AB1110" s="19" t="str">
        <f t="shared" si="300"/>
        <v/>
      </c>
      <c r="AC1110" s="73" t="str">
        <f t="shared" si="301"/>
        <v/>
      </c>
      <c r="AD1110" s="19" t="str">
        <f t="shared" si="302"/>
        <v/>
      </c>
      <c r="AE1110" s="19" t="str">
        <f t="shared" si="303"/>
        <v/>
      </c>
      <c r="AF1110" s="19" t="str">
        <f>IF($D1110&lt;&gt;1,"",IF(INDEX(TblClusters[Environnement],$B1110)="","(vide)",INDEX(TblClusters[Environnement],$B1110)))</f>
        <v/>
      </c>
      <c r="AG1110" s="19" t="str">
        <f t="shared" si="304"/>
        <v/>
      </c>
      <c r="AH1110" s="19" t="str">
        <f t="shared" si="305"/>
        <v/>
      </c>
      <c r="AI1110" s="19" t="str">
        <f>IF($D1110&lt;&gt;1,"",IF(AND($G1110="IKS",ISNUMBER(INDEX(TblClusters[Fermeture retenue],$B1110))),IF($E1110&gt;=INDEX(TblClusters[Fermeture retenue],$B1110),1,0),0))</f>
        <v/>
      </c>
    </row>
    <row r="1111" spans="1:35" x14ac:dyDescent="0.2">
      <c r="A1111" s="19">
        <v>1106</v>
      </c>
      <c r="B1111" s="19">
        <f t="shared" si="289"/>
        <v>31</v>
      </c>
      <c r="C1111" s="19">
        <f t="shared" si="290"/>
        <v>26</v>
      </c>
      <c r="D1111" s="19">
        <f>IF($C1111&gt;p_horizon,0,IFERROR(IF(AND(INDEX(TblClusters[Cluster],$B1111)&lt;&gt;"",ISNUMBER(INDEX(TblClusters[CPU initial (vCPU)],$B1111)),ISNUMBER(INDEX(TblClusters[CPU min (vCPU)],$B1111)),OR(INDEX(TblClusters[Plateforme],$B1111)="IKS",INDEX(TblClusters[Plateforme],$B1111)="ROKS")),1,0),0))</f>
        <v>0</v>
      </c>
      <c r="E1111" s="72" t="str">
        <f t="shared" si="291"/>
        <v/>
      </c>
      <c r="F1111" s="19" t="str">
        <f>IF($D1111=1,INDEX(TblClusters[Cluster],$B1111),"")</f>
        <v/>
      </c>
      <c r="G1111" s="19" t="str">
        <f>IF($D1111=1,INDEX(TblClusters[Plateforme],$B1111),"")</f>
        <v/>
      </c>
      <c r="H1111" s="19" t="str">
        <f>IF($D1111=1,INDEX(TblClusters[vCPU par nœud],$B1111),"")</f>
        <v/>
      </c>
      <c r="I1111" s="19" t="str">
        <f>IF($D1111=1,INDEX(TblClusters[RAM par nœud (Go)],$B1111),"")</f>
        <v/>
      </c>
      <c r="J1111" s="19" t="str">
        <f>IF($D1111=1,INDEX(TblClusters[Workers min],$B1111),"")</f>
        <v/>
      </c>
      <c r="K1111" s="73" t="str">
        <f>IF($D1111=1,INDEX(TblClusters[Tarif par nœud],$B1111),"")</f>
        <v/>
      </c>
      <c r="L1111" s="19" t="str">
        <f>IF($D1111=1,INDEX(TblClusters[CPU initial (vCPU)],$B1111),"")</f>
        <v/>
      </c>
      <c r="M1111" s="19" t="str">
        <f>IF($D1111=1,INDEX(TblClusters[RAM initiale (Go)],$B1111),"")</f>
        <v/>
      </c>
      <c r="N1111" s="19" t="str">
        <f>IF($D1111=1,INDEX(TblClusters[CPU min (vCPU)],$B1111),"")</f>
        <v/>
      </c>
      <c r="O1111" s="19" t="str">
        <f>IF($D1111=1,INDEX(TblClusters[RAM min (Go)],$B1111),"")</f>
        <v/>
      </c>
      <c r="P1111" s="19" t="str">
        <f>IF($D1111&lt;&gt;1,"",IF($G1111="ROKS",SUMIFS(TblApplications[Besoin ROKS CPU (vCPU)],TblApplications[Cluster ROKS cible],$F1111,TblApplications[Action],"À migrer",TblApplications[Déjà incluse ROKS],"Non",TblApplications[Mois prov (calc)],"&lt;="&amp;$E1111),SUMIFS(TblApplications[CPU IKS libérable (vCPU)],TblApplications[Cluster IKS source],$F1111,TblApplications[Mois lib (calc)],"&lt;="&amp;$E1111)))</f>
        <v/>
      </c>
      <c r="Q1111" s="19" t="str">
        <f>IF($D1111&lt;&gt;1,"",IF($G1111="ROKS",SUMIFS(TblApplications[Besoin ROKS RAM (Go)],TblApplications[Cluster ROKS cible],$F1111,TblApplications[Action],"À migrer",TblApplications[Déjà incluse ROKS],"Non",TblApplications[Mois prov (calc)],"&lt;="&amp;$E1111),SUMIFS(TblApplications[RAM IKS libérable (Go)],TblApplications[Cluster IKS source],$F1111,TblApplications[Mois lib (calc)],"&lt;="&amp;$E1111)))</f>
        <v/>
      </c>
      <c r="R1111" s="19" t="str">
        <f t="shared" si="292"/>
        <v/>
      </c>
      <c r="S1111" s="19" t="str">
        <f t="shared" si="293"/>
        <v/>
      </c>
      <c r="T1111" s="19" t="str">
        <f t="shared" si="294"/>
        <v/>
      </c>
      <c r="U1111" s="19" t="str">
        <f t="shared" si="295"/>
        <v/>
      </c>
      <c r="V1111" s="19" t="str">
        <f t="shared" si="296"/>
        <v/>
      </c>
      <c r="W1111" s="73" t="str">
        <f t="shared" si="297"/>
        <v/>
      </c>
      <c r="X1111" s="19" t="str">
        <f>IF($D1111&lt;&gt;1,"",IF($G1111="ROKS",$R1111,IF($AI1111=1,0,MAX($N1111,$L1111-SUMIFS(TblApplications[CPU IKS libérable (vCPU)],TblApplications[Cluster IKS source],$F1111,TblApplications[Action],"À migrer",TblApplications[Mois prov (calc)],"&lt;="&amp;$E1111)-SUMIFS(TblApplications[CPU IKS libérable (vCPU)],TblApplications[Cluster IKS source],$F1111,TblApplications[Action],"À décommissionner",TblApplications[Mois lib (calc)],"&lt;="&amp;$E1111)))))</f>
        <v/>
      </c>
      <c r="Y1111" s="19" t="str">
        <f>IF($D1111&lt;&gt;1,"",IF($G1111="ROKS",$S1111,IF($AI1111=1,0,MAX($O1111,$M1111-SUMIFS(TblApplications[RAM IKS libérable (Go)],TblApplications[Cluster IKS source],$F1111,TblApplications[Action],"À migrer",TblApplications[Mois prov (calc)],"&lt;="&amp;$E1111)-SUMIFS(TblApplications[RAM IKS libérable (Go)],TblApplications[Cluster IKS source],$F1111,TblApplications[Action],"À décommissionner",TblApplications[Mois lib (calc)],"&lt;="&amp;$E1111)))))</f>
        <v/>
      </c>
      <c r="Z1111" s="19" t="str">
        <f t="shared" si="298"/>
        <v/>
      </c>
      <c r="AA1111" s="73" t="str">
        <f t="shared" si="299"/>
        <v/>
      </c>
      <c r="AB1111" s="19" t="str">
        <f t="shared" si="300"/>
        <v/>
      </c>
      <c r="AC1111" s="73" t="str">
        <f t="shared" si="301"/>
        <v/>
      </c>
      <c r="AD1111" s="19" t="str">
        <f t="shared" si="302"/>
        <v/>
      </c>
      <c r="AE1111" s="19" t="str">
        <f t="shared" si="303"/>
        <v/>
      </c>
      <c r="AF1111" s="19" t="str">
        <f>IF($D1111&lt;&gt;1,"",IF(INDEX(TblClusters[Environnement],$B1111)="","(vide)",INDEX(TblClusters[Environnement],$B1111)))</f>
        <v/>
      </c>
      <c r="AG1111" s="19" t="str">
        <f t="shared" si="304"/>
        <v/>
      </c>
      <c r="AH1111" s="19" t="str">
        <f t="shared" si="305"/>
        <v/>
      </c>
      <c r="AI1111" s="19" t="str">
        <f>IF($D1111&lt;&gt;1,"",IF(AND($G1111="IKS",ISNUMBER(INDEX(TblClusters[Fermeture retenue],$B1111))),IF($E1111&gt;=INDEX(TblClusters[Fermeture retenue],$B1111),1,0),0))</f>
        <v/>
      </c>
    </row>
    <row r="1112" spans="1:35" x14ac:dyDescent="0.2">
      <c r="A1112" s="19">
        <v>1107</v>
      </c>
      <c r="B1112" s="19">
        <f t="shared" si="289"/>
        <v>31</v>
      </c>
      <c r="C1112" s="19">
        <f t="shared" si="290"/>
        <v>27</v>
      </c>
      <c r="D1112" s="19">
        <f>IF($C1112&gt;p_horizon,0,IFERROR(IF(AND(INDEX(TblClusters[Cluster],$B1112)&lt;&gt;"",ISNUMBER(INDEX(TblClusters[CPU initial (vCPU)],$B1112)),ISNUMBER(INDEX(TblClusters[CPU min (vCPU)],$B1112)),OR(INDEX(TblClusters[Plateforme],$B1112)="IKS",INDEX(TblClusters[Plateforme],$B1112)="ROKS")),1,0),0))</f>
        <v>0</v>
      </c>
      <c r="E1112" s="72" t="str">
        <f t="shared" si="291"/>
        <v/>
      </c>
      <c r="F1112" s="19" t="str">
        <f>IF($D1112=1,INDEX(TblClusters[Cluster],$B1112),"")</f>
        <v/>
      </c>
      <c r="G1112" s="19" t="str">
        <f>IF($D1112=1,INDEX(TblClusters[Plateforme],$B1112),"")</f>
        <v/>
      </c>
      <c r="H1112" s="19" t="str">
        <f>IF($D1112=1,INDEX(TblClusters[vCPU par nœud],$B1112),"")</f>
        <v/>
      </c>
      <c r="I1112" s="19" t="str">
        <f>IF($D1112=1,INDEX(TblClusters[RAM par nœud (Go)],$B1112),"")</f>
        <v/>
      </c>
      <c r="J1112" s="19" t="str">
        <f>IF($D1112=1,INDEX(TblClusters[Workers min],$B1112),"")</f>
        <v/>
      </c>
      <c r="K1112" s="73" t="str">
        <f>IF($D1112=1,INDEX(TblClusters[Tarif par nœud],$B1112),"")</f>
        <v/>
      </c>
      <c r="L1112" s="19" t="str">
        <f>IF($D1112=1,INDEX(TblClusters[CPU initial (vCPU)],$B1112),"")</f>
        <v/>
      </c>
      <c r="M1112" s="19" t="str">
        <f>IF($D1112=1,INDEX(TblClusters[RAM initiale (Go)],$B1112),"")</f>
        <v/>
      </c>
      <c r="N1112" s="19" t="str">
        <f>IF($D1112=1,INDEX(TblClusters[CPU min (vCPU)],$B1112),"")</f>
        <v/>
      </c>
      <c r="O1112" s="19" t="str">
        <f>IF($D1112=1,INDEX(TblClusters[RAM min (Go)],$B1112),"")</f>
        <v/>
      </c>
      <c r="P1112" s="19" t="str">
        <f>IF($D1112&lt;&gt;1,"",IF($G1112="ROKS",SUMIFS(TblApplications[Besoin ROKS CPU (vCPU)],TblApplications[Cluster ROKS cible],$F1112,TblApplications[Action],"À migrer",TblApplications[Déjà incluse ROKS],"Non",TblApplications[Mois prov (calc)],"&lt;="&amp;$E1112),SUMIFS(TblApplications[CPU IKS libérable (vCPU)],TblApplications[Cluster IKS source],$F1112,TblApplications[Mois lib (calc)],"&lt;="&amp;$E1112)))</f>
        <v/>
      </c>
      <c r="Q1112" s="19" t="str">
        <f>IF($D1112&lt;&gt;1,"",IF($G1112="ROKS",SUMIFS(TblApplications[Besoin ROKS RAM (Go)],TblApplications[Cluster ROKS cible],$F1112,TblApplications[Action],"À migrer",TblApplications[Déjà incluse ROKS],"Non",TblApplications[Mois prov (calc)],"&lt;="&amp;$E1112),SUMIFS(TblApplications[RAM IKS libérable (Go)],TblApplications[Cluster IKS source],$F1112,TblApplications[Mois lib (calc)],"&lt;="&amp;$E1112)))</f>
        <v/>
      </c>
      <c r="R1112" s="19" t="str">
        <f t="shared" si="292"/>
        <v/>
      </c>
      <c r="S1112" s="19" t="str">
        <f t="shared" si="293"/>
        <v/>
      </c>
      <c r="T1112" s="19" t="str">
        <f t="shared" si="294"/>
        <v/>
      </c>
      <c r="U1112" s="19" t="str">
        <f t="shared" si="295"/>
        <v/>
      </c>
      <c r="V1112" s="19" t="str">
        <f t="shared" si="296"/>
        <v/>
      </c>
      <c r="W1112" s="73" t="str">
        <f t="shared" si="297"/>
        <v/>
      </c>
      <c r="X1112" s="19" t="str">
        <f>IF($D1112&lt;&gt;1,"",IF($G1112="ROKS",$R1112,IF($AI1112=1,0,MAX($N1112,$L1112-SUMIFS(TblApplications[CPU IKS libérable (vCPU)],TblApplications[Cluster IKS source],$F1112,TblApplications[Action],"À migrer",TblApplications[Mois prov (calc)],"&lt;="&amp;$E1112)-SUMIFS(TblApplications[CPU IKS libérable (vCPU)],TblApplications[Cluster IKS source],$F1112,TblApplications[Action],"À décommissionner",TblApplications[Mois lib (calc)],"&lt;="&amp;$E1112)))))</f>
        <v/>
      </c>
      <c r="Y1112" s="19" t="str">
        <f>IF($D1112&lt;&gt;1,"",IF($G1112="ROKS",$S1112,IF($AI1112=1,0,MAX($O1112,$M1112-SUMIFS(TblApplications[RAM IKS libérable (Go)],TblApplications[Cluster IKS source],$F1112,TblApplications[Action],"À migrer",TblApplications[Mois prov (calc)],"&lt;="&amp;$E1112)-SUMIFS(TblApplications[RAM IKS libérable (Go)],TblApplications[Cluster IKS source],$F1112,TblApplications[Action],"À décommissionner",TblApplications[Mois lib (calc)],"&lt;="&amp;$E1112)))))</f>
        <v/>
      </c>
      <c r="Z1112" s="19" t="str">
        <f t="shared" si="298"/>
        <v/>
      </c>
      <c r="AA1112" s="73" t="str">
        <f t="shared" si="299"/>
        <v/>
      </c>
      <c r="AB1112" s="19" t="str">
        <f t="shared" si="300"/>
        <v/>
      </c>
      <c r="AC1112" s="73" t="str">
        <f t="shared" si="301"/>
        <v/>
      </c>
      <c r="AD1112" s="19" t="str">
        <f t="shared" si="302"/>
        <v/>
      </c>
      <c r="AE1112" s="19" t="str">
        <f t="shared" si="303"/>
        <v/>
      </c>
      <c r="AF1112" s="19" t="str">
        <f>IF($D1112&lt;&gt;1,"",IF(INDEX(TblClusters[Environnement],$B1112)="","(vide)",INDEX(TblClusters[Environnement],$B1112)))</f>
        <v/>
      </c>
      <c r="AG1112" s="19" t="str">
        <f t="shared" si="304"/>
        <v/>
      </c>
      <c r="AH1112" s="19" t="str">
        <f t="shared" si="305"/>
        <v/>
      </c>
      <c r="AI1112" s="19" t="str">
        <f>IF($D1112&lt;&gt;1,"",IF(AND($G1112="IKS",ISNUMBER(INDEX(TblClusters[Fermeture retenue],$B1112))),IF($E1112&gt;=INDEX(TblClusters[Fermeture retenue],$B1112),1,0),0))</f>
        <v/>
      </c>
    </row>
    <row r="1113" spans="1:35" x14ac:dyDescent="0.2">
      <c r="A1113" s="19">
        <v>1108</v>
      </c>
      <c r="B1113" s="19">
        <f t="shared" si="289"/>
        <v>31</v>
      </c>
      <c r="C1113" s="19">
        <f t="shared" si="290"/>
        <v>28</v>
      </c>
      <c r="D1113" s="19">
        <f>IF($C1113&gt;p_horizon,0,IFERROR(IF(AND(INDEX(TblClusters[Cluster],$B1113)&lt;&gt;"",ISNUMBER(INDEX(TblClusters[CPU initial (vCPU)],$B1113)),ISNUMBER(INDEX(TblClusters[CPU min (vCPU)],$B1113)),OR(INDEX(TblClusters[Plateforme],$B1113)="IKS",INDEX(TblClusters[Plateforme],$B1113)="ROKS")),1,0),0))</f>
        <v>0</v>
      </c>
      <c r="E1113" s="72" t="str">
        <f t="shared" si="291"/>
        <v/>
      </c>
      <c r="F1113" s="19" t="str">
        <f>IF($D1113=1,INDEX(TblClusters[Cluster],$B1113),"")</f>
        <v/>
      </c>
      <c r="G1113" s="19" t="str">
        <f>IF($D1113=1,INDEX(TblClusters[Plateforme],$B1113),"")</f>
        <v/>
      </c>
      <c r="H1113" s="19" t="str">
        <f>IF($D1113=1,INDEX(TblClusters[vCPU par nœud],$B1113),"")</f>
        <v/>
      </c>
      <c r="I1113" s="19" t="str">
        <f>IF($D1113=1,INDEX(TblClusters[RAM par nœud (Go)],$B1113),"")</f>
        <v/>
      </c>
      <c r="J1113" s="19" t="str">
        <f>IF($D1113=1,INDEX(TblClusters[Workers min],$B1113),"")</f>
        <v/>
      </c>
      <c r="K1113" s="73" t="str">
        <f>IF($D1113=1,INDEX(TblClusters[Tarif par nœud],$B1113),"")</f>
        <v/>
      </c>
      <c r="L1113" s="19" t="str">
        <f>IF($D1113=1,INDEX(TblClusters[CPU initial (vCPU)],$B1113),"")</f>
        <v/>
      </c>
      <c r="M1113" s="19" t="str">
        <f>IF($D1113=1,INDEX(TblClusters[RAM initiale (Go)],$B1113),"")</f>
        <v/>
      </c>
      <c r="N1113" s="19" t="str">
        <f>IF($D1113=1,INDEX(TblClusters[CPU min (vCPU)],$B1113),"")</f>
        <v/>
      </c>
      <c r="O1113" s="19" t="str">
        <f>IF($D1113=1,INDEX(TblClusters[RAM min (Go)],$B1113),"")</f>
        <v/>
      </c>
      <c r="P1113" s="19" t="str">
        <f>IF($D1113&lt;&gt;1,"",IF($G1113="ROKS",SUMIFS(TblApplications[Besoin ROKS CPU (vCPU)],TblApplications[Cluster ROKS cible],$F1113,TblApplications[Action],"À migrer",TblApplications[Déjà incluse ROKS],"Non",TblApplications[Mois prov (calc)],"&lt;="&amp;$E1113),SUMIFS(TblApplications[CPU IKS libérable (vCPU)],TblApplications[Cluster IKS source],$F1113,TblApplications[Mois lib (calc)],"&lt;="&amp;$E1113)))</f>
        <v/>
      </c>
      <c r="Q1113" s="19" t="str">
        <f>IF($D1113&lt;&gt;1,"",IF($G1113="ROKS",SUMIFS(TblApplications[Besoin ROKS RAM (Go)],TblApplications[Cluster ROKS cible],$F1113,TblApplications[Action],"À migrer",TblApplications[Déjà incluse ROKS],"Non",TblApplications[Mois prov (calc)],"&lt;="&amp;$E1113),SUMIFS(TblApplications[RAM IKS libérable (Go)],TblApplications[Cluster IKS source],$F1113,TblApplications[Mois lib (calc)],"&lt;="&amp;$E1113)))</f>
        <v/>
      </c>
      <c r="R1113" s="19" t="str">
        <f t="shared" si="292"/>
        <v/>
      </c>
      <c r="S1113" s="19" t="str">
        <f t="shared" si="293"/>
        <v/>
      </c>
      <c r="T1113" s="19" t="str">
        <f t="shared" si="294"/>
        <v/>
      </c>
      <c r="U1113" s="19" t="str">
        <f t="shared" si="295"/>
        <v/>
      </c>
      <c r="V1113" s="19" t="str">
        <f t="shared" si="296"/>
        <v/>
      </c>
      <c r="W1113" s="73" t="str">
        <f t="shared" si="297"/>
        <v/>
      </c>
      <c r="X1113" s="19" t="str">
        <f>IF($D1113&lt;&gt;1,"",IF($G1113="ROKS",$R1113,IF($AI1113=1,0,MAX($N1113,$L1113-SUMIFS(TblApplications[CPU IKS libérable (vCPU)],TblApplications[Cluster IKS source],$F1113,TblApplications[Action],"À migrer",TblApplications[Mois prov (calc)],"&lt;="&amp;$E1113)-SUMIFS(TblApplications[CPU IKS libérable (vCPU)],TblApplications[Cluster IKS source],$F1113,TblApplications[Action],"À décommissionner",TblApplications[Mois lib (calc)],"&lt;="&amp;$E1113)))))</f>
        <v/>
      </c>
      <c r="Y1113" s="19" t="str">
        <f>IF($D1113&lt;&gt;1,"",IF($G1113="ROKS",$S1113,IF($AI1113=1,0,MAX($O1113,$M1113-SUMIFS(TblApplications[RAM IKS libérable (Go)],TblApplications[Cluster IKS source],$F1113,TblApplications[Action],"À migrer",TblApplications[Mois prov (calc)],"&lt;="&amp;$E1113)-SUMIFS(TblApplications[RAM IKS libérable (Go)],TblApplications[Cluster IKS source],$F1113,TblApplications[Action],"À décommissionner",TblApplications[Mois lib (calc)],"&lt;="&amp;$E1113)))))</f>
        <v/>
      </c>
      <c r="Z1113" s="19" t="str">
        <f t="shared" si="298"/>
        <v/>
      </c>
      <c r="AA1113" s="73" t="str">
        <f t="shared" si="299"/>
        <v/>
      </c>
      <c r="AB1113" s="19" t="str">
        <f t="shared" si="300"/>
        <v/>
      </c>
      <c r="AC1113" s="73" t="str">
        <f t="shared" si="301"/>
        <v/>
      </c>
      <c r="AD1113" s="19" t="str">
        <f t="shared" si="302"/>
        <v/>
      </c>
      <c r="AE1113" s="19" t="str">
        <f t="shared" si="303"/>
        <v/>
      </c>
      <c r="AF1113" s="19" t="str">
        <f>IF($D1113&lt;&gt;1,"",IF(INDEX(TblClusters[Environnement],$B1113)="","(vide)",INDEX(TblClusters[Environnement],$B1113)))</f>
        <v/>
      </c>
      <c r="AG1113" s="19" t="str">
        <f t="shared" si="304"/>
        <v/>
      </c>
      <c r="AH1113" s="19" t="str">
        <f t="shared" si="305"/>
        <v/>
      </c>
      <c r="AI1113" s="19" t="str">
        <f>IF($D1113&lt;&gt;1,"",IF(AND($G1113="IKS",ISNUMBER(INDEX(TblClusters[Fermeture retenue],$B1113))),IF($E1113&gt;=INDEX(TblClusters[Fermeture retenue],$B1113),1,0),0))</f>
        <v/>
      </c>
    </row>
    <row r="1114" spans="1:35" x14ac:dyDescent="0.2">
      <c r="A1114" s="19">
        <v>1109</v>
      </c>
      <c r="B1114" s="19">
        <f t="shared" si="289"/>
        <v>31</v>
      </c>
      <c r="C1114" s="19">
        <f t="shared" si="290"/>
        <v>29</v>
      </c>
      <c r="D1114" s="19">
        <f>IF($C1114&gt;p_horizon,0,IFERROR(IF(AND(INDEX(TblClusters[Cluster],$B1114)&lt;&gt;"",ISNUMBER(INDEX(TblClusters[CPU initial (vCPU)],$B1114)),ISNUMBER(INDEX(TblClusters[CPU min (vCPU)],$B1114)),OR(INDEX(TblClusters[Plateforme],$B1114)="IKS",INDEX(TblClusters[Plateforme],$B1114)="ROKS")),1,0),0))</f>
        <v>0</v>
      </c>
      <c r="E1114" s="72" t="str">
        <f t="shared" si="291"/>
        <v/>
      </c>
      <c r="F1114" s="19" t="str">
        <f>IF($D1114=1,INDEX(TblClusters[Cluster],$B1114),"")</f>
        <v/>
      </c>
      <c r="G1114" s="19" t="str">
        <f>IF($D1114=1,INDEX(TblClusters[Plateforme],$B1114),"")</f>
        <v/>
      </c>
      <c r="H1114" s="19" t="str">
        <f>IF($D1114=1,INDEX(TblClusters[vCPU par nœud],$B1114),"")</f>
        <v/>
      </c>
      <c r="I1114" s="19" t="str">
        <f>IF($D1114=1,INDEX(TblClusters[RAM par nœud (Go)],$B1114),"")</f>
        <v/>
      </c>
      <c r="J1114" s="19" t="str">
        <f>IF($D1114=1,INDEX(TblClusters[Workers min],$B1114),"")</f>
        <v/>
      </c>
      <c r="K1114" s="73" t="str">
        <f>IF($D1114=1,INDEX(TblClusters[Tarif par nœud],$B1114),"")</f>
        <v/>
      </c>
      <c r="L1114" s="19" t="str">
        <f>IF($D1114=1,INDEX(TblClusters[CPU initial (vCPU)],$B1114),"")</f>
        <v/>
      </c>
      <c r="M1114" s="19" t="str">
        <f>IF($D1114=1,INDEX(TblClusters[RAM initiale (Go)],$B1114),"")</f>
        <v/>
      </c>
      <c r="N1114" s="19" t="str">
        <f>IF($D1114=1,INDEX(TblClusters[CPU min (vCPU)],$B1114),"")</f>
        <v/>
      </c>
      <c r="O1114" s="19" t="str">
        <f>IF($D1114=1,INDEX(TblClusters[RAM min (Go)],$B1114),"")</f>
        <v/>
      </c>
      <c r="P1114" s="19" t="str">
        <f>IF($D1114&lt;&gt;1,"",IF($G1114="ROKS",SUMIFS(TblApplications[Besoin ROKS CPU (vCPU)],TblApplications[Cluster ROKS cible],$F1114,TblApplications[Action],"À migrer",TblApplications[Déjà incluse ROKS],"Non",TblApplications[Mois prov (calc)],"&lt;="&amp;$E1114),SUMIFS(TblApplications[CPU IKS libérable (vCPU)],TblApplications[Cluster IKS source],$F1114,TblApplications[Mois lib (calc)],"&lt;="&amp;$E1114)))</f>
        <v/>
      </c>
      <c r="Q1114" s="19" t="str">
        <f>IF($D1114&lt;&gt;1,"",IF($G1114="ROKS",SUMIFS(TblApplications[Besoin ROKS RAM (Go)],TblApplications[Cluster ROKS cible],$F1114,TblApplications[Action],"À migrer",TblApplications[Déjà incluse ROKS],"Non",TblApplications[Mois prov (calc)],"&lt;="&amp;$E1114),SUMIFS(TblApplications[RAM IKS libérable (Go)],TblApplications[Cluster IKS source],$F1114,TblApplications[Mois lib (calc)],"&lt;="&amp;$E1114)))</f>
        <v/>
      </c>
      <c r="R1114" s="19" t="str">
        <f t="shared" si="292"/>
        <v/>
      </c>
      <c r="S1114" s="19" t="str">
        <f t="shared" si="293"/>
        <v/>
      </c>
      <c r="T1114" s="19" t="str">
        <f t="shared" si="294"/>
        <v/>
      </c>
      <c r="U1114" s="19" t="str">
        <f t="shared" si="295"/>
        <v/>
      </c>
      <c r="V1114" s="19" t="str">
        <f t="shared" si="296"/>
        <v/>
      </c>
      <c r="W1114" s="73" t="str">
        <f t="shared" si="297"/>
        <v/>
      </c>
      <c r="X1114" s="19" t="str">
        <f>IF($D1114&lt;&gt;1,"",IF($G1114="ROKS",$R1114,IF($AI1114=1,0,MAX($N1114,$L1114-SUMIFS(TblApplications[CPU IKS libérable (vCPU)],TblApplications[Cluster IKS source],$F1114,TblApplications[Action],"À migrer",TblApplications[Mois prov (calc)],"&lt;="&amp;$E1114)-SUMIFS(TblApplications[CPU IKS libérable (vCPU)],TblApplications[Cluster IKS source],$F1114,TblApplications[Action],"À décommissionner",TblApplications[Mois lib (calc)],"&lt;="&amp;$E1114)))))</f>
        <v/>
      </c>
      <c r="Y1114" s="19" t="str">
        <f>IF($D1114&lt;&gt;1,"",IF($G1114="ROKS",$S1114,IF($AI1114=1,0,MAX($O1114,$M1114-SUMIFS(TblApplications[RAM IKS libérable (Go)],TblApplications[Cluster IKS source],$F1114,TblApplications[Action],"À migrer",TblApplications[Mois prov (calc)],"&lt;="&amp;$E1114)-SUMIFS(TblApplications[RAM IKS libérable (Go)],TblApplications[Cluster IKS source],$F1114,TblApplications[Action],"À décommissionner",TblApplications[Mois lib (calc)],"&lt;="&amp;$E1114)))))</f>
        <v/>
      </c>
      <c r="Z1114" s="19" t="str">
        <f t="shared" si="298"/>
        <v/>
      </c>
      <c r="AA1114" s="73" t="str">
        <f t="shared" si="299"/>
        <v/>
      </c>
      <c r="AB1114" s="19" t="str">
        <f t="shared" si="300"/>
        <v/>
      </c>
      <c r="AC1114" s="73" t="str">
        <f t="shared" si="301"/>
        <v/>
      </c>
      <c r="AD1114" s="19" t="str">
        <f t="shared" si="302"/>
        <v/>
      </c>
      <c r="AE1114" s="19" t="str">
        <f t="shared" si="303"/>
        <v/>
      </c>
      <c r="AF1114" s="19" t="str">
        <f>IF($D1114&lt;&gt;1,"",IF(INDEX(TblClusters[Environnement],$B1114)="","(vide)",INDEX(TblClusters[Environnement],$B1114)))</f>
        <v/>
      </c>
      <c r="AG1114" s="19" t="str">
        <f t="shared" si="304"/>
        <v/>
      </c>
      <c r="AH1114" s="19" t="str">
        <f t="shared" si="305"/>
        <v/>
      </c>
      <c r="AI1114" s="19" t="str">
        <f>IF($D1114&lt;&gt;1,"",IF(AND($G1114="IKS",ISNUMBER(INDEX(TblClusters[Fermeture retenue],$B1114))),IF($E1114&gt;=INDEX(TblClusters[Fermeture retenue],$B1114),1,0),0))</f>
        <v/>
      </c>
    </row>
    <row r="1115" spans="1:35" x14ac:dyDescent="0.2">
      <c r="A1115" s="19">
        <v>1110</v>
      </c>
      <c r="B1115" s="19">
        <f t="shared" si="289"/>
        <v>31</v>
      </c>
      <c r="C1115" s="19">
        <f t="shared" si="290"/>
        <v>30</v>
      </c>
      <c r="D1115" s="19">
        <f>IF($C1115&gt;p_horizon,0,IFERROR(IF(AND(INDEX(TblClusters[Cluster],$B1115)&lt;&gt;"",ISNUMBER(INDEX(TblClusters[CPU initial (vCPU)],$B1115)),ISNUMBER(INDEX(TblClusters[CPU min (vCPU)],$B1115)),OR(INDEX(TblClusters[Plateforme],$B1115)="IKS",INDEX(TblClusters[Plateforme],$B1115)="ROKS")),1,0),0))</f>
        <v>0</v>
      </c>
      <c r="E1115" s="72" t="str">
        <f t="shared" si="291"/>
        <v/>
      </c>
      <c r="F1115" s="19" t="str">
        <f>IF($D1115=1,INDEX(TblClusters[Cluster],$B1115),"")</f>
        <v/>
      </c>
      <c r="G1115" s="19" t="str">
        <f>IF($D1115=1,INDEX(TblClusters[Plateforme],$B1115),"")</f>
        <v/>
      </c>
      <c r="H1115" s="19" t="str">
        <f>IF($D1115=1,INDEX(TblClusters[vCPU par nœud],$B1115),"")</f>
        <v/>
      </c>
      <c r="I1115" s="19" t="str">
        <f>IF($D1115=1,INDEX(TblClusters[RAM par nœud (Go)],$B1115),"")</f>
        <v/>
      </c>
      <c r="J1115" s="19" t="str">
        <f>IF($D1115=1,INDEX(TblClusters[Workers min],$B1115),"")</f>
        <v/>
      </c>
      <c r="K1115" s="73" t="str">
        <f>IF($D1115=1,INDEX(TblClusters[Tarif par nœud],$B1115),"")</f>
        <v/>
      </c>
      <c r="L1115" s="19" t="str">
        <f>IF($D1115=1,INDEX(TblClusters[CPU initial (vCPU)],$B1115),"")</f>
        <v/>
      </c>
      <c r="M1115" s="19" t="str">
        <f>IF($D1115=1,INDEX(TblClusters[RAM initiale (Go)],$B1115),"")</f>
        <v/>
      </c>
      <c r="N1115" s="19" t="str">
        <f>IF($D1115=1,INDEX(TblClusters[CPU min (vCPU)],$B1115),"")</f>
        <v/>
      </c>
      <c r="O1115" s="19" t="str">
        <f>IF($D1115=1,INDEX(TblClusters[RAM min (Go)],$B1115),"")</f>
        <v/>
      </c>
      <c r="P1115" s="19" t="str">
        <f>IF($D1115&lt;&gt;1,"",IF($G1115="ROKS",SUMIFS(TblApplications[Besoin ROKS CPU (vCPU)],TblApplications[Cluster ROKS cible],$F1115,TblApplications[Action],"À migrer",TblApplications[Déjà incluse ROKS],"Non",TblApplications[Mois prov (calc)],"&lt;="&amp;$E1115),SUMIFS(TblApplications[CPU IKS libérable (vCPU)],TblApplications[Cluster IKS source],$F1115,TblApplications[Mois lib (calc)],"&lt;="&amp;$E1115)))</f>
        <v/>
      </c>
      <c r="Q1115" s="19" t="str">
        <f>IF($D1115&lt;&gt;1,"",IF($G1115="ROKS",SUMIFS(TblApplications[Besoin ROKS RAM (Go)],TblApplications[Cluster ROKS cible],$F1115,TblApplications[Action],"À migrer",TblApplications[Déjà incluse ROKS],"Non",TblApplications[Mois prov (calc)],"&lt;="&amp;$E1115),SUMIFS(TblApplications[RAM IKS libérable (Go)],TblApplications[Cluster IKS source],$F1115,TblApplications[Mois lib (calc)],"&lt;="&amp;$E1115)))</f>
        <v/>
      </c>
      <c r="R1115" s="19" t="str">
        <f t="shared" si="292"/>
        <v/>
      </c>
      <c r="S1115" s="19" t="str">
        <f t="shared" si="293"/>
        <v/>
      </c>
      <c r="T1115" s="19" t="str">
        <f t="shared" si="294"/>
        <v/>
      </c>
      <c r="U1115" s="19" t="str">
        <f t="shared" si="295"/>
        <v/>
      </c>
      <c r="V1115" s="19" t="str">
        <f t="shared" si="296"/>
        <v/>
      </c>
      <c r="W1115" s="73" t="str">
        <f t="shared" si="297"/>
        <v/>
      </c>
      <c r="X1115" s="19" t="str">
        <f>IF($D1115&lt;&gt;1,"",IF($G1115="ROKS",$R1115,IF($AI1115=1,0,MAX($N1115,$L1115-SUMIFS(TblApplications[CPU IKS libérable (vCPU)],TblApplications[Cluster IKS source],$F1115,TblApplications[Action],"À migrer",TblApplications[Mois prov (calc)],"&lt;="&amp;$E1115)-SUMIFS(TblApplications[CPU IKS libérable (vCPU)],TblApplications[Cluster IKS source],$F1115,TblApplications[Action],"À décommissionner",TblApplications[Mois lib (calc)],"&lt;="&amp;$E1115)))))</f>
        <v/>
      </c>
      <c r="Y1115" s="19" t="str">
        <f>IF($D1115&lt;&gt;1,"",IF($G1115="ROKS",$S1115,IF($AI1115=1,0,MAX($O1115,$M1115-SUMIFS(TblApplications[RAM IKS libérable (Go)],TblApplications[Cluster IKS source],$F1115,TblApplications[Action],"À migrer",TblApplications[Mois prov (calc)],"&lt;="&amp;$E1115)-SUMIFS(TblApplications[RAM IKS libérable (Go)],TblApplications[Cluster IKS source],$F1115,TblApplications[Action],"À décommissionner",TblApplications[Mois lib (calc)],"&lt;="&amp;$E1115)))))</f>
        <v/>
      </c>
      <c r="Z1115" s="19" t="str">
        <f t="shared" si="298"/>
        <v/>
      </c>
      <c r="AA1115" s="73" t="str">
        <f t="shared" si="299"/>
        <v/>
      </c>
      <c r="AB1115" s="19" t="str">
        <f t="shared" si="300"/>
        <v/>
      </c>
      <c r="AC1115" s="73" t="str">
        <f t="shared" si="301"/>
        <v/>
      </c>
      <c r="AD1115" s="19" t="str">
        <f t="shared" si="302"/>
        <v/>
      </c>
      <c r="AE1115" s="19" t="str">
        <f t="shared" si="303"/>
        <v/>
      </c>
      <c r="AF1115" s="19" t="str">
        <f>IF($D1115&lt;&gt;1,"",IF(INDEX(TblClusters[Environnement],$B1115)="","(vide)",INDEX(TblClusters[Environnement],$B1115)))</f>
        <v/>
      </c>
      <c r="AG1115" s="19" t="str">
        <f t="shared" si="304"/>
        <v/>
      </c>
      <c r="AH1115" s="19" t="str">
        <f t="shared" si="305"/>
        <v/>
      </c>
      <c r="AI1115" s="19" t="str">
        <f>IF($D1115&lt;&gt;1,"",IF(AND($G1115="IKS",ISNUMBER(INDEX(TblClusters[Fermeture retenue],$B1115))),IF($E1115&gt;=INDEX(TblClusters[Fermeture retenue],$B1115),1,0),0))</f>
        <v/>
      </c>
    </row>
    <row r="1116" spans="1:35" x14ac:dyDescent="0.2">
      <c r="A1116" s="19">
        <v>1111</v>
      </c>
      <c r="B1116" s="19">
        <f t="shared" si="289"/>
        <v>31</v>
      </c>
      <c r="C1116" s="19">
        <f t="shared" si="290"/>
        <v>31</v>
      </c>
      <c r="D1116" s="19">
        <f>IF($C1116&gt;p_horizon,0,IFERROR(IF(AND(INDEX(TblClusters[Cluster],$B1116)&lt;&gt;"",ISNUMBER(INDEX(TblClusters[CPU initial (vCPU)],$B1116)),ISNUMBER(INDEX(TblClusters[CPU min (vCPU)],$B1116)),OR(INDEX(TblClusters[Plateforme],$B1116)="IKS",INDEX(TblClusters[Plateforme],$B1116)="ROKS")),1,0),0))</f>
        <v>0</v>
      </c>
      <c r="E1116" s="72" t="str">
        <f t="shared" si="291"/>
        <v/>
      </c>
      <c r="F1116" s="19" t="str">
        <f>IF($D1116=1,INDEX(TblClusters[Cluster],$B1116),"")</f>
        <v/>
      </c>
      <c r="G1116" s="19" t="str">
        <f>IF($D1116=1,INDEX(TblClusters[Plateforme],$B1116),"")</f>
        <v/>
      </c>
      <c r="H1116" s="19" t="str">
        <f>IF($D1116=1,INDEX(TblClusters[vCPU par nœud],$B1116),"")</f>
        <v/>
      </c>
      <c r="I1116" s="19" t="str">
        <f>IF($D1116=1,INDEX(TblClusters[RAM par nœud (Go)],$B1116),"")</f>
        <v/>
      </c>
      <c r="J1116" s="19" t="str">
        <f>IF($D1116=1,INDEX(TblClusters[Workers min],$B1116),"")</f>
        <v/>
      </c>
      <c r="K1116" s="73" t="str">
        <f>IF($D1116=1,INDEX(TblClusters[Tarif par nœud],$B1116),"")</f>
        <v/>
      </c>
      <c r="L1116" s="19" t="str">
        <f>IF($D1116=1,INDEX(TblClusters[CPU initial (vCPU)],$B1116),"")</f>
        <v/>
      </c>
      <c r="M1116" s="19" t="str">
        <f>IF($D1116=1,INDEX(TblClusters[RAM initiale (Go)],$B1116),"")</f>
        <v/>
      </c>
      <c r="N1116" s="19" t="str">
        <f>IF($D1116=1,INDEX(TblClusters[CPU min (vCPU)],$B1116),"")</f>
        <v/>
      </c>
      <c r="O1116" s="19" t="str">
        <f>IF($D1116=1,INDEX(TblClusters[RAM min (Go)],$B1116),"")</f>
        <v/>
      </c>
      <c r="P1116" s="19" t="str">
        <f>IF($D1116&lt;&gt;1,"",IF($G1116="ROKS",SUMIFS(TblApplications[Besoin ROKS CPU (vCPU)],TblApplications[Cluster ROKS cible],$F1116,TblApplications[Action],"À migrer",TblApplications[Déjà incluse ROKS],"Non",TblApplications[Mois prov (calc)],"&lt;="&amp;$E1116),SUMIFS(TblApplications[CPU IKS libérable (vCPU)],TblApplications[Cluster IKS source],$F1116,TblApplications[Mois lib (calc)],"&lt;="&amp;$E1116)))</f>
        <v/>
      </c>
      <c r="Q1116" s="19" t="str">
        <f>IF($D1116&lt;&gt;1,"",IF($G1116="ROKS",SUMIFS(TblApplications[Besoin ROKS RAM (Go)],TblApplications[Cluster ROKS cible],$F1116,TblApplications[Action],"À migrer",TblApplications[Déjà incluse ROKS],"Non",TblApplications[Mois prov (calc)],"&lt;="&amp;$E1116),SUMIFS(TblApplications[RAM IKS libérable (Go)],TblApplications[Cluster IKS source],$F1116,TblApplications[Mois lib (calc)],"&lt;="&amp;$E1116)))</f>
        <v/>
      </c>
      <c r="R1116" s="19" t="str">
        <f t="shared" si="292"/>
        <v/>
      </c>
      <c r="S1116" s="19" t="str">
        <f t="shared" si="293"/>
        <v/>
      </c>
      <c r="T1116" s="19" t="str">
        <f t="shared" si="294"/>
        <v/>
      </c>
      <c r="U1116" s="19" t="str">
        <f t="shared" si="295"/>
        <v/>
      </c>
      <c r="V1116" s="19" t="str">
        <f t="shared" si="296"/>
        <v/>
      </c>
      <c r="W1116" s="73" t="str">
        <f t="shared" si="297"/>
        <v/>
      </c>
      <c r="X1116" s="19" t="str">
        <f>IF($D1116&lt;&gt;1,"",IF($G1116="ROKS",$R1116,IF($AI1116=1,0,MAX($N1116,$L1116-SUMIFS(TblApplications[CPU IKS libérable (vCPU)],TblApplications[Cluster IKS source],$F1116,TblApplications[Action],"À migrer",TblApplications[Mois prov (calc)],"&lt;="&amp;$E1116)-SUMIFS(TblApplications[CPU IKS libérable (vCPU)],TblApplications[Cluster IKS source],$F1116,TblApplications[Action],"À décommissionner",TblApplications[Mois lib (calc)],"&lt;="&amp;$E1116)))))</f>
        <v/>
      </c>
      <c r="Y1116" s="19" t="str">
        <f>IF($D1116&lt;&gt;1,"",IF($G1116="ROKS",$S1116,IF($AI1116=1,0,MAX($O1116,$M1116-SUMIFS(TblApplications[RAM IKS libérable (Go)],TblApplications[Cluster IKS source],$F1116,TblApplications[Action],"À migrer",TblApplications[Mois prov (calc)],"&lt;="&amp;$E1116)-SUMIFS(TblApplications[RAM IKS libérable (Go)],TblApplications[Cluster IKS source],$F1116,TblApplications[Action],"À décommissionner",TblApplications[Mois lib (calc)],"&lt;="&amp;$E1116)))))</f>
        <v/>
      </c>
      <c r="Z1116" s="19" t="str">
        <f t="shared" si="298"/>
        <v/>
      </c>
      <c r="AA1116" s="73" t="str">
        <f t="shared" si="299"/>
        <v/>
      </c>
      <c r="AB1116" s="19" t="str">
        <f t="shared" si="300"/>
        <v/>
      </c>
      <c r="AC1116" s="73" t="str">
        <f t="shared" si="301"/>
        <v/>
      </c>
      <c r="AD1116" s="19" t="str">
        <f t="shared" si="302"/>
        <v/>
      </c>
      <c r="AE1116" s="19" t="str">
        <f t="shared" si="303"/>
        <v/>
      </c>
      <c r="AF1116" s="19" t="str">
        <f>IF($D1116&lt;&gt;1,"",IF(INDEX(TblClusters[Environnement],$B1116)="","(vide)",INDEX(TblClusters[Environnement],$B1116)))</f>
        <v/>
      </c>
      <c r="AG1116" s="19" t="str">
        <f t="shared" si="304"/>
        <v/>
      </c>
      <c r="AH1116" s="19" t="str">
        <f t="shared" si="305"/>
        <v/>
      </c>
      <c r="AI1116" s="19" t="str">
        <f>IF($D1116&lt;&gt;1,"",IF(AND($G1116="IKS",ISNUMBER(INDEX(TblClusters[Fermeture retenue],$B1116))),IF($E1116&gt;=INDEX(TblClusters[Fermeture retenue],$B1116),1,0),0))</f>
        <v/>
      </c>
    </row>
    <row r="1117" spans="1:35" x14ac:dyDescent="0.2">
      <c r="A1117" s="19">
        <v>1112</v>
      </c>
      <c r="B1117" s="19">
        <f t="shared" si="289"/>
        <v>31</v>
      </c>
      <c r="C1117" s="19">
        <f t="shared" si="290"/>
        <v>32</v>
      </c>
      <c r="D1117" s="19">
        <f>IF($C1117&gt;p_horizon,0,IFERROR(IF(AND(INDEX(TblClusters[Cluster],$B1117)&lt;&gt;"",ISNUMBER(INDEX(TblClusters[CPU initial (vCPU)],$B1117)),ISNUMBER(INDEX(TblClusters[CPU min (vCPU)],$B1117)),OR(INDEX(TblClusters[Plateforme],$B1117)="IKS",INDEX(TblClusters[Plateforme],$B1117)="ROKS")),1,0),0))</f>
        <v>0</v>
      </c>
      <c r="E1117" s="72" t="str">
        <f t="shared" si="291"/>
        <v/>
      </c>
      <c r="F1117" s="19" t="str">
        <f>IF($D1117=1,INDEX(TblClusters[Cluster],$B1117),"")</f>
        <v/>
      </c>
      <c r="G1117" s="19" t="str">
        <f>IF($D1117=1,INDEX(TblClusters[Plateforme],$B1117),"")</f>
        <v/>
      </c>
      <c r="H1117" s="19" t="str">
        <f>IF($D1117=1,INDEX(TblClusters[vCPU par nœud],$B1117),"")</f>
        <v/>
      </c>
      <c r="I1117" s="19" t="str">
        <f>IF($D1117=1,INDEX(TblClusters[RAM par nœud (Go)],$B1117),"")</f>
        <v/>
      </c>
      <c r="J1117" s="19" t="str">
        <f>IF($D1117=1,INDEX(TblClusters[Workers min],$B1117),"")</f>
        <v/>
      </c>
      <c r="K1117" s="73" t="str">
        <f>IF($D1117=1,INDEX(TblClusters[Tarif par nœud],$B1117),"")</f>
        <v/>
      </c>
      <c r="L1117" s="19" t="str">
        <f>IF($D1117=1,INDEX(TblClusters[CPU initial (vCPU)],$B1117),"")</f>
        <v/>
      </c>
      <c r="M1117" s="19" t="str">
        <f>IF($D1117=1,INDEX(TblClusters[RAM initiale (Go)],$B1117),"")</f>
        <v/>
      </c>
      <c r="N1117" s="19" t="str">
        <f>IF($D1117=1,INDEX(TblClusters[CPU min (vCPU)],$B1117),"")</f>
        <v/>
      </c>
      <c r="O1117" s="19" t="str">
        <f>IF($D1117=1,INDEX(TblClusters[RAM min (Go)],$B1117),"")</f>
        <v/>
      </c>
      <c r="P1117" s="19" t="str">
        <f>IF($D1117&lt;&gt;1,"",IF($G1117="ROKS",SUMIFS(TblApplications[Besoin ROKS CPU (vCPU)],TblApplications[Cluster ROKS cible],$F1117,TblApplications[Action],"À migrer",TblApplications[Déjà incluse ROKS],"Non",TblApplications[Mois prov (calc)],"&lt;="&amp;$E1117),SUMIFS(TblApplications[CPU IKS libérable (vCPU)],TblApplications[Cluster IKS source],$F1117,TblApplications[Mois lib (calc)],"&lt;="&amp;$E1117)))</f>
        <v/>
      </c>
      <c r="Q1117" s="19" t="str">
        <f>IF($D1117&lt;&gt;1,"",IF($G1117="ROKS",SUMIFS(TblApplications[Besoin ROKS RAM (Go)],TblApplications[Cluster ROKS cible],$F1117,TblApplications[Action],"À migrer",TblApplications[Déjà incluse ROKS],"Non",TblApplications[Mois prov (calc)],"&lt;="&amp;$E1117),SUMIFS(TblApplications[RAM IKS libérable (Go)],TblApplications[Cluster IKS source],$F1117,TblApplications[Mois lib (calc)],"&lt;="&amp;$E1117)))</f>
        <v/>
      </c>
      <c r="R1117" s="19" t="str">
        <f t="shared" si="292"/>
        <v/>
      </c>
      <c r="S1117" s="19" t="str">
        <f t="shared" si="293"/>
        <v/>
      </c>
      <c r="T1117" s="19" t="str">
        <f t="shared" si="294"/>
        <v/>
      </c>
      <c r="U1117" s="19" t="str">
        <f t="shared" si="295"/>
        <v/>
      </c>
      <c r="V1117" s="19" t="str">
        <f t="shared" si="296"/>
        <v/>
      </c>
      <c r="W1117" s="73" t="str">
        <f t="shared" si="297"/>
        <v/>
      </c>
      <c r="X1117" s="19" t="str">
        <f>IF($D1117&lt;&gt;1,"",IF($G1117="ROKS",$R1117,IF($AI1117=1,0,MAX($N1117,$L1117-SUMIFS(TblApplications[CPU IKS libérable (vCPU)],TblApplications[Cluster IKS source],$F1117,TblApplications[Action],"À migrer",TblApplications[Mois prov (calc)],"&lt;="&amp;$E1117)-SUMIFS(TblApplications[CPU IKS libérable (vCPU)],TblApplications[Cluster IKS source],$F1117,TblApplications[Action],"À décommissionner",TblApplications[Mois lib (calc)],"&lt;="&amp;$E1117)))))</f>
        <v/>
      </c>
      <c r="Y1117" s="19" t="str">
        <f>IF($D1117&lt;&gt;1,"",IF($G1117="ROKS",$S1117,IF($AI1117=1,0,MAX($O1117,$M1117-SUMIFS(TblApplications[RAM IKS libérable (Go)],TblApplications[Cluster IKS source],$F1117,TblApplications[Action],"À migrer",TblApplications[Mois prov (calc)],"&lt;="&amp;$E1117)-SUMIFS(TblApplications[RAM IKS libérable (Go)],TblApplications[Cluster IKS source],$F1117,TblApplications[Action],"À décommissionner",TblApplications[Mois lib (calc)],"&lt;="&amp;$E1117)))))</f>
        <v/>
      </c>
      <c r="Z1117" s="19" t="str">
        <f t="shared" si="298"/>
        <v/>
      </c>
      <c r="AA1117" s="73" t="str">
        <f t="shared" si="299"/>
        <v/>
      </c>
      <c r="AB1117" s="19" t="str">
        <f t="shared" si="300"/>
        <v/>
      </c>
      <c r="AC1117" s="73" t="str">
        <f t="shared" si="301"/>
        <v/>
      </c>
      <c r="AD1117" s="19" t="str">
        <f t="shared" si="302"/>
        <v/>
      </c>
      <c r="AE1117" s="19" t="str">
        <f t="shared" si="303"/>
        <v/>
      </c>
      <c r="AF1117" s="19" t="str">
        <f>IF($D1117&lt;&gt;1,"",IF(INDEX(TblClusters[Environnement],$B1117)="","(vide)",INDEX(TblClusters[Environnement],$B1117)))</f>
        <v/>
      </c>
      <c r="AG1117" s="19" t="str">
        <f t="shared" si="304"/>
        <v/>
      </c>
      <c r="AH1117" s="19" t="str">
        <f t="shared" si="305"/>
        <v/>
      </c>
      <c r="AI1117" s="19" t="str">
        <f>IF($D1117&lt;&gt;1,"",IF(AND($G1117="IKS",ISNUMBER(INDEX(TblClusters[Fermeture retenue],$B1117))),IF($E1117&gt;=INDEX(TblClusters[Fermeture retenue],$B1117),1,0),0))</f>
        <v/>
      </c>
    </row>
    <row r="1118" spans="1:35" x14ac:dyDescent="0.2">
      <c r="A1118" s="19">
        <v>1113</v>
      </c>
      <c r="B1118" s="19">
        <f t="shared" si="289"/>
        <v>31</v>
      </c>
      <c r="C1118" s="19">
        <f t="shared" si="290"/>
        <v>33</v>
      </c>
      <c r="D1118" s="19">
        <f>IF($C1118&gt;p_horizon,0,IFERROR(IF(AND(INDEX(TblClusters[Cluster],$B1118)&lt;&gt;"",ISNUMBER(INDEX(TblClusters[CPU initial (vCPU)],$B1118)),ISNUMBER(INDEX(TblClusters[CPU min (vCPU)],$B1118)),OR(INDEX(TblClusters[Plateforme],$B1118)="IKS",INDEX(TblClusters[Plateforme],$B1118)="ROKS")),1,0),0))</f>
        <v>0</v>
      </c>
      <c r="E1118" s="72" t="str">
        <f t="shared" si="291"/>
        <v/>
      </c>
      <c r="F1118" s="19" t="str">
        <f>IF($D1118=1,INDEX(TblClusters[Cluster],$B1118),"")</f>
        <v/>
      </c>
      <c r="G1118" s="19" t="str">
        <f>IF($D1118=1,INDEX(TblClusters[Plateforme],$B1118),"")</f>
        <v/>
      </c>
      <c r="H1118" s="19" t="str">
        <f>IF($D1118=1,INDEX(TblClusters[vCPU par nœud],$B1118),"")</f>
        <v/>
      </c>
      <c r="I1118" s="19" t="str">
        <f>IF($D1118=1,INDEX(TblClusters[RAM par nœud (Go)],$B1118),"")</f>
        <v/>
      </c>
      <c r="J1118" s="19" t="str">
        <f>IF($D1118=1,INDEX(TblClusters[Workers min],$B1118),"")</f>
        <v/>
      </c>
      <c r="K1118" s="73" t="str">
        <f>IF($D1118=1,INDEX(TblClusters[Tarif par nœud],$B1118),"")</f>
        <v/>
      </c>
      <c r="L1118" s="19" t="str">
        <f>IF($D1118=1,INDEX(TblClusters[CPU initial (vCPU)],$B1118),"")</f>
        <v/>
      </c>
      <c r="M1118" s="19" t="str">
        <f>IF($D1118=1,INDEX(TblClusters[RAM initiale (Go)],$B1118),"")</f>
        <v/>
      </c>
      <c r="N1118" s="19" t="str">
        <f>IF($D1118=1,INDEX(TblClusters[CPU min (vCPU)],$B1118),"")</f>
        <v/>
      </c>
      <c r="O1118" s="19" t="str">
        <f>IF($D1118=1,INDEX(TblClusters[RAM min (Go)],$B1118),"")</f>
        <v/>
      </c>
      <c r="P1118" s="19" t="str">
        <f>IF($D1118&lt;&gt;1,"",IF($G1118="ROKS",SUMIFS(TblApplications[Besoin ROKS CPU (vCPU)],TblApplications[Cluster ROKS cible],$F1118,TblApplications[Action],"À migrer",TblApplications[Déjà incluse ROKS],"Non",TblApplications[Mois prov (calc)],"&lt;="&amp;$E1118),SUMIFS(TblApplications[CPU IKS libérable (vCPU)],TblApplications[Cluster IKS source],$F1118,TblApplications[Mois lib (calc)],"&lt;="&amp;$E1118)))</f>
        <v/>
      </c>
      <c r="Q1118" s="19" t="str">
        <f>IF($D1118&lt;&gt;1,"",IF($G1118="ROKS",SUMIFS(TblApplications[Besoin ROKS RAM (Go)],TblApplications[Cluster ROKS cible],$F1118,TblApplications[Action],"À migrer",TblApplications[Déjà incluse ROKS],"Non",TblApplications[Mois prov (calc)],"&lt;="&amp;$E1118),SUMIFS(TblApplications[RAM IKS libérable (Go)],TblApplications[Cluster IKS source],$F1118,TblApplications[Mois lib (calc)],"&lt;="&amp;$E1118)))</f>
        <v/>
      </c>
      <c r="R1118" s="19" t="str">
        <f t="shared" si="292"/>
        <v/>
      </c>
      <c r="S1118" s="19" t="str">
        <f t="shared" si="293"/>
        <v/>
      </c>
      <c r="T1118" s="19" t="str">
        <f t="shared" si="294"/>
        <v/>
      </c>
      <c r="U1118" s="19" t="str">
        <f t="shared" si="295"/>
        <v/>
      </c>
      <c r="V1118" s="19" t="str">
        <f t="shared" si="296"/>
        <v/>
      </c>
      <c r="W1118" s="73" t="str">
        <f t="shared" si="297"/>
        <v/>
      </c>
      <c r="X1118" s="19" t="str">
        <f>IF($D1118&lt;&gt;1,"",IF($G1118="ROKS",$R1118,IF($AI1118=1,0,MAX($N1118,$L1118-SUMIFS(TblApplications[CPU IKS libérable (vCPU)],TblApplications[Cluster IKS source],$F1118,TblApplications[Action],"À migrer",TblApplications[Mois prov (calc)],"&lt;="&amp;$E1118)-SUMIFS(TblApplications[CPU IKS libérable (vCPU)],TblApplications[Cluster IKS source],$F1118,TblApplications[Action],"À décommissionner",TblApplications[Mois lib (calc)],"&lt;="&amp;$E1118)))))</f>
        <v/>
      </c>
      <c r="Y1118" s="19" t="str">
        <f>IF($D1118&lt;&gt;1,"",IF($G1118="ROKS",$S1118,IF($AI1118=1,0,MAX($O1118,$M1118-SUMIFS(TblApplications[RAM IKS libérable (Go)],TblApplications[Cluster IKS source],$F1118,TblApplications[Action],"À migrer",TblApplications[Mois prov (calc)],"&lt;="&amp;$E1118)-SUMIFS(TblApplications[RAM IKS libérable (Go)],TblApplications[Cluster IKS source],$F1118,TblApplications[Action],"À décommissionner",TblApplications[Mois lib (calc)],"&lt;="&amp;$E1118)))))</f>
        <v/>
      </c>
      <c r="Z1118" s="19" t="str">
        <f t="shared" si="298"/>
        <v/>
      </c>
      <c r="AA1118" s="73" t="str">
        <f t="shared" si="299"/>
        <v/>
      </c>
      <c r="AB1118" s="19" t="str">
        <f t="shared" si="300"/>
        <v/>
      </c>
      <c r="AC1118" s="73" t="str">
        <f t="shared" si="301"/>
        <v/>
      </c>
      <c r="AD1118" s="19" t="str">
        <f t="shared" si="302"/>
        <v/>
      </c>
      <c r="AE1118" s="19" t="str">
        <f t="shared" si="303"/>
        <v/>
      </c>
      <c r="AF1118" s="19" t="str">
        <f>IF($D1118&lt;&gt;1,"",IF(INDEX(TblClusters[Environnement],$B1118)="","(vide)",INDEX(TblClusters[Environnement],$B1118)))</f>
        <v/>
      </c>
      <c r="AG1118" s="19" t="str">
        <f t="shared" si="304"/>
        <v/>
      </c>
      <c r="AH1118" s="19" t="str">
        <f t="shared" si="305"/>
        <v/>
      </c>
      <c r="AI1118" s="19" t="str">
        <f>IF($D1118&lt;&gt;1,"",IF(AND($G1118="IKS",ISNUMBER(INDEX(TblClusters[Fermeture retenue],$B1118))),IF($E1118&gt;=INDEX(TblClusters[Fermeture retenue],$B1118),1,0),0))</f>
        <v/>
      </c>
    </row>
    <row r="1119" spans="1:35" x14ac:dyDescent="0.2">
      <c r="A1119" s="19">
        <v>1114</v>
      </c>
      <c r="B1119" s="19">
        <f t="shared" si="289"/>
        <v>31</v>
      </c>
      <c r="C1119" s="19">
        <f t="shared" si="290"/>
        <v>34</v>
      </c>
      <c r="D1119" s="19">
        <f>IF($C1119&gt;p_horizon,0,IFERROR(IF(AND(INDEX(TblClusters[Cluster],$B1119)&lt;&gt;"",ISNUMBER(INDEX(TblClusters[CPU initial (vCPU)],$B1119)),ISNUMBER(INDEX(TblClusters[CPU min (vCPU)],$B1119)),OR(INDEX(TblClusters[Plateforme],$B1119)="IKS",INDEX(TblClusters[Plateforme],$B1119)="ROKS")),1,0),0))</f>
        <v>0</v>
      </c>
      <c r="E1119" s="72" t="str">
        <f t="shared" si="291"/>
        <v/>
      </c>
      <c r="F1119" s="19" t="str">
        <f>IF($D1119=1,INDEX(TblClusters[Cluster],$B1119),"")</f>
        <v/>
      </c>
      <c r="G1119" s="19" t="str">
        <f>IF($D1119=1,INDEX(TblClusters[Plateforme],$B1119),"")</f>
        <v/>
      </c>
      <c r="H1119" s="19" t="str">
        <f>IF($D1119=1,INDEX(TblClusters[vCPU par nœud],$B1119),"")</f>
        <v/>
      </c>
      <c r="I1119" s="19" t="str">
        <f>IF($D1119=1,INDEX(TblClusters[RAM par nœud (Go)],$B1119),"")</f>
        <v/>
      </c>
      <c r="J1119" s="19" t="str">
        <f>IF($D1119=1,INDEX(TblClusters[Workers min],$B1119),"")</f>
        <v/>
      </c>
      <c r="K1119" s="73" t="str">
        <f>IF($D1119=1,INDEX(TblClusters[Tarif par nœud],$B1119),"")</f>
        <v/>
      </c>
      <c r="L1119" s="19" t="str">
        <f>IF($D1119=1,INDEX(TblClusters[CPU initial (vCPU)],$B1119),"")</f>
        <v/>
      </c>
      <c r="M1119" s="19" t="str">
        <f>IF($D1119=1,INDEX(TblClusters[RAM initiale (Go)],$B1119),"")</f>
        <v/>
      </c>
      <c r="N1119" s="19" t="str">
        <f>IF($D1119=1,INDEX(TblClusters[CPU min (vCPU)],$B1119),"")</f>
        <v/>
      </c>
      <c r="O1119" s="19" t="str">
        <f>IF($D1119=1,INDEX(TblClusters[RAM min (Go)],$B1119),"")</f>
        <v/>
      </c>
      <c r="P1119" s="19" t="str">
        <f>IF($D1119&lt;&gt;1,"",IF($G1119="ROKS",SUMIFS(TblApplications[Besoin ROKS CPU (vCPU)],TblApplications[Cluster ROKS cible],$F1119,TblApplications[Action],"À migrer",TblApplications[Déjà incluse ROKS],"Non",TblApplications[Mois prov (calc)],"&lt;="&amp;$E1119),SUMIFS(TblApplications[CPU IKS libérable (vCPU)],TblApplications[Cluster IKS source],$F1119,TblApplications[Mois lib (calc)],"&lt;="&amp;$E1119)))</f>
        <v/>
      </c>
      <c r="Q1119" s="19" t="str">
        <f>IF($D1119&lt;&gt;1,"",IF($G1119="ROKS",SUMIFS(TblApplications[Besoin ROKS RAM (Go)],TblApplications[Cluster ROKS cible],$F1119,TblApplications[Action],"À migrer",TblApplications[Déjà incluse ROKS],"Non",TblApplications[Mois prov (calc)],"&lt;="&amp;$E1119),SUMIFS(TblApplications[RAM IKS libérable (Go)],TblApplications[Cluster IKS source],$F1119,TblApplications[Mois lib (calc)],"&lt;="&amp;$E1119)))</f>
        <v/>
      </c>
      <c r="R1119" s="19" t="str">
        <f t="shared" si="292"/>
        <v/>
      </c>
      <c r="S1119" s="19" t="str">
        <f t="shared" si="293"/>
        <v/>
      </c>
      <c r="T1119" s="19" t="str">
        <f t="shared" si="294"/>
        <v/>
      </c>
      <c r="U1119" s="19" t="str">
        <f t="shared" si="295"/>
        <v/>
      </c>
      <c r="V1119" s="19" t="str">
        <f t="shared" si="296"/>
        <v/>
      </c>
      <c r="W1119" s="73" t="str">
        <f t="shared" si="297"/>
        <v/>
      </c>
      <c r="X1119" s="19" t="str">
        <f>IF($D1119&lt;&gt;1,"",IF($G1119="ROKS",$R1119,IF($AI1119=1,0,MAX($N1119,$L1119-SUMIFS(TblApplications[CPU IKS libérable (vCPU)],TblApplications[Cluster IKS source],$F1119,TblApplications[Action],"À migrer",TblApplications[Mois prov (calc)],"&lt;="&amp;$E1119)-SUMIFS(TblApplications[CPU IKS libérable (vCPU)],TblApplications[Cluster IKS source],$F1119,TblApplications[Action],"À décommissionner",TblApplications[Mois lib (calc)],"&lt;="&amp;$E1119)))))</f>
        <v/>
      </c>
      <c r="Y1119" s="19" t="str">
        <f>IF($D1119&lt;&gt;1,"",IF($G1119="ROKS",$S1119,IF($AI1119=1,0,MAX($O1119,$M1119-SUMIFS(TblApplications[RAM IKS libérable (Go)],TblApplications[Cluster IKS source],$F1119,TblApplications[Action],"À migrer",TblApplications[Mois prov (calc)],"&lt;="&amp;$E1119)-SUMIFS(TblApplications[RAM IKS libérable (Go)],TblApplications[Cluster IKS source],$F1119,TblApplications[Action],"À décommissionner",TblApplications[Mois lib (calc)],"&lt;="&amp;$E1119)))))</f>
        <v/>
      </c>
      <c r="Z1119" s="19" t="str">
        <f t="shared" si="298"/>
        <v/>
      </c>
      <c r="AA1119" s="73" t="str">
        <f t="shared" si="299"/>
        <v/>
      </c>
      <c r="AB1119" s="19" t="str">
        <f t="shared" si="300"/>
        <v/>
      </c>
      <c r="AC1119" s="73" t="str">
        <f t="shared" si="301"/>
        <v/>
      </c>
      <c r="AD1119" s="19" t="str">
        <f t="shared" si="302"/>
        <v/>
      </c>
      <c r="AE1119" s="19" t="str">
        <f t="shared" si="303"/>
        <v/>
      </c>
      <c r="AF1119" s="19" t="str">
        <f>IF($D1119&lt;&gt;1,"",IF(INDEX(TblClusters[Environnement],$B1119)="","(vide)",INDEX(TblClusters[Environnement],$B1119)))</f>
        <v/>
      </c>
      <c r="AG1119" s="19" t="str">
        <f t="shared" si="304"/>
        <v/>
      </c>
      <c r="AH1119" s="19" t="str">
        <f t="shared" si="305"/>
        <v/>
      </c>
      <c r="AI1119" s="19" t="str">
        <f>IF($D1119&lt;&gt;1,"",IF(AND($G1119="IKS",ISNUMBER(INDEX(TblClusters[Fermeture retenue],$B1119))),IF($E1119&gt;=INDEX(TblClusters[Fermeture retenue],$B1119),1,0),0))</f>
        <v/>
      </c>
    </row>
    <row r="1120" spans="1:35" x14ac:dyDescent="0.2">
      <c r="A1120" s="19">
        <v>1115</v>
      </c>
      <c r="B1120" s="19">
        <f t="shared" si="289"/>
        <v>31</v>
      </c>
      <c r="C1120" s="19">
        <f t="shared" si="290"/>
        <v>35</v>
      </c>
      <c r="D1120" s="19">
        <f>IF($C1120&gt;p_horizon,0,IFERROR(IF(AND(INDEX(TblClusters[Cluster],$B1120)&lt;&gt;"",ISNUMBER(INDEX(TblClusters[CPU initial (vCPU)],$B1120)),ISNUMBER(INDEX(TblClusters[CPU min (vCPU)],$B1120)),OR(INDEX(TblClusters[Plateforme],$B1120)="IKS",INDEX(TblClusters[Plateforme],$B1120)="ROKS")),1,0),0))</f>
        <v>0</v>
      </c>
      <c r="E1120" s="72" t="str">
        <f t="shared" si="291"/>
        <v/>
      </c>
      <c r="F1120" s="19" t="str">
        <f>IF($D1120=1,INDEX(TblClusters[Cluster],$B1120),"")</f>
        <v/>
      </c>
      <c r="G1120" s="19" t="str">
        <f>IF($D1120=1,INDEX(TblClusters[Plateforme],$B1120),"")</f>
        <v/>
      </c>
      <c r="H1120" s="19" t="str">
        <f>IF($D1120=1,INDEX(TblClusters[vCPU par nœud],$B1120),"")</f>
        <v/>
      </c>
      <c r="I1120" s="19" t="str">
        <f>IF($D1120=1,INDEX(TblClusters[RAM par nœud (Go)],$B1120),"")</f>
        <v/>
      </c>
      <c r="J1120" s="19" t="str">
        <f>IF($D1120=1,INDEX(TblClusters[Workers min],$B1120),"")</f>
        <v/>
      </c>
      <c r="K1120" s="73" t="str">
        <f>IF($D1120=1,INDEX(TblClusters[Tarif par nœud],$B1120),"")</f>
        <v/>
      </c>
      <c r="L1120" s="19" t="str">
        <f>IF($D1120=1,INDEX(TblClusters[CPU initial (vCPU)],$B1120),"")</f>
        <v/>
      </c>
      <c r="M1120" s="19" t="str">
        <f>IF($D1120=1,INDEX(TblClusters[RAM initiale (Go)],$B1120),"")</f>
        <v/>
      </c>
      <c r="N1120" s="19" t="str">
        <f>IF($D1120=1,INDEX(TblClusters[CPU min (vCPU)],$B1120),"")</f>
        <v/>
      </c>
      <c r="O1120" s="19" t="str">
        <f>IF($D1120=1,INDEX(TblClusters[RAM min (Go)],$B1120),"")</f>
        <v/>
      </c>
      <c r="P1120" s="19" t="str">
        <f>IF($D1120&lt;&gt;1,"",IF($G1120="ROKS",SUMIFS(TblApplications[Besoin ROKS CPU (vCPU)],TblApplications[Cluster ROKS cible],$F1120,TblApplications[Action],"À migrer",TblApplications[Déjà incluse ROKS],"Non",TblApplications[Mois prov (calc)],"&lt;="&amp;$E1120),SUMIFS(TblApplications[CPU IKS libérable (vCPU)],TblApplications[Cluster IKS source],$F1120,TblApplications[Mois lib (calc)],"&lt;="&amp;$E1120)))</f>
        <v/>
      </c>
      <c r="Q1120" s="19" t="str">
        <f>IF($D1120&lt;&gt;1,"",IF($G1120="ROKS",SUMIFS(TblApplications[Besoin ROKS RAM (Go)],TblApplications[Cluster ROKS cible],$F1120,TblApplications[Action],"À migrer",TblApplications[Déjà incluse ROKS],"Non",TblApplications[Mois prov (calc)],"&lt;="&amp;$E1120),SUMIFS(TblApplications[RAM IKS libérable (Go)],TblApplications[Cluster IKS source],$F1120,TblApplications[Mois lib (calc)],"&lt;="&amp;$E1120)))</f>
        <v/>
      </c>
      <c r="R1120" s="19" t="str">
        <f t="shared" si="292"/>
        <v/>
      </c>
      <c r="S1120" s="19" t="str">
        <f t="shared" si="293"/>
        <v/>
      </c>
      <c r="T1120" s="19" t="str">
        <f t="shared" si="294"/>
        <v/>
      </c>
      <c r="U1120" s="19" t="str">
        <f t="shared" si="295"/>
        <v/>
      </c>
      <c r="V1120" s="19" t="str">
        <f t="shared" si="296"/>
        <v/>
      </c>
      <c r="W1120" s="73" t="str">
        <f t="shared" si="297"/>
        <v/>
      </c>
      <c r="X1120" s="19" t="str">
        <f>IF($D1120&lt;&gt;1,"",IF($G1120="ROKS",$R1120,IF($AI1120=1,0,MAX($N1120,$L1120-SUMIFS(TblApplications[CPU IKS libérable (vCPU)],TblApplications[Cluster IKS source],$F1120,TblApplications[Action],"À migrer",TblApplications[Mois prov (calc)],"&lt;="&amp;$E1120)-SUMIFS(TblApplications[CPU IKS libérable (vCPU)],TblApplications[Cluster IKS source],$F1120,TblApplications[Action],"À décommissionner",TblApplications[Mois lib (calc)],"&lt;="&amp;$E1120)))))</f>
        <v/>
      </c>
      <c r="Y1120" s="19" t="str">
        <f>IF($D1120&lt;&gt;1,"",IF($G1120="ROKS",$S1120,IF($AI1120=1,0,MAX($O1120,$M1120-SUMIFS(TblApplications[RAM IKS libérable (Go)],TblApplications[Cluster IKS source],$F1120,TblApplications[Action],"À migrer",TblApplications[Mois prov (calc)],"&lt;="&amp;$E1120)-SUMIFS(TblApplications[RAM IKS libérable (Go)],TblApplications[Cluster IKS source],$F1120,TblApplications[Action],"À décommissionner",TblApplications[Mois lib (calc)],"&lt;="&amp;$E1120)))))</f>
        <v/>
      </c>
      <c r="Z1120" s="19" t="str">
        <f t="shared" si="298"/>
        <v/>
      </c>
      <c r="AA1120" s="73" t="str">
        <f t="shared" si="299"/>
        <v/>
      </c>
      <c r="AB1120" s="19" t="str">
        <f t="shared" si="300"/>
        <v/>
      </c>
      <c r="AC1120" s="73" t="str">
        <f t="shared" si="301"/>
        <v/>
      </c>
      <c r="AD1120" s="19" t="str">
        <f t="shared" si="302"/>
        <v/>
      </c>
      <c r="AE1120" s="19" t="str">
        <f t="shared" si="303"/>
        <v/>
      </c>
      <c r="AF1120" s="19" t="str">
        <f>IF($D1120&lt;&gt;1,"",IF(INDEX(TblClusters[Environnement],$B1120)="","(vide)",INDEX(TblClusters[Environnement],$B1120)))</f>
        <v/>
      </c>
      <c r="AG1120" s="19" t="str">
        <f t="shared" si="304"/>
        <v/>
      </c>
      <c r="AH1120" s="19" t="str">
        <f t="shared" si="305"/>
        <v/>
      </c>
      <c r="AI1120" s="19" t="str">
        <f>IF($D1120&lt;&gt;1,"",IF(AND($G1120="IKS",ISNUMBER(INDEX(TblClusters[Fermeture retenue],$B1120))),IF($E1120&gt;=INDEX(TblClusters[Fermeture retenue],$B1120),1,0),0))</f>
        <v/>
      </c>
    </row>
    <row r="1121" spans="1:35" x14ac:dyDescent="0.2">
      <c r="A1121" s="19">
        <v>1116</v>
      </c>
      <c r="B1121" s="19">
        <f t="shared" si="289"/>
        <v>31</v>
      </c>
      <c r="C1121" s="19">
        <f t="shared" si="290"/>
        <v>36</v>
      </c>
      <c r="D1121" s="19">
        <f>IF($C1121&gt;p_horizon,0,IFERROR(IF(AND(INDEX(TblClusters[Cluster],$B1121)&lt;&gt;"",ISNUMBER(INDEX(TblClusters[CPU initial (vCPU)],$B1121)),ISNUMBER(INDEX(TblClusters[CPU min (vCPU)],$B1121)),OR(INDEX(TblClusters[Plateforme],$B1121)="IKS",INDEX(TblClusters[Plateforme],$B1121)="ROKS")),1,0),0))</f>
        <v>0</v>
      </c>
      <c r="E1121" s="72" t="str">
        <f t="shared" si="291"/>
        <v/>
      </c>
      <c r="F1121" s="19" t="str">
        <f>IF($D1121=1,INDEX(TblClusters[Cluster],$B1121),"")</f>
        <v/>
      </c>
      <c r="G1121" s="19" t="str">
        <f>IF($D1121=1,INDEX(TblClusters[Plateforme],$B1121),"")</f>
        <v/>
      </c>
      <c r="H1121" s="19" t="str">
        <f>IF($D1121=1,INDEX(TblClusters[vCPU par nœud],$B1121),"")</f>
        <v/>
      </c>
      <c r="I1121" s="19" t="str">
        <f>IF($D1121=1,INDEX(TblClusters[RAM par nœud (Go)],$B1121),"")</f>
        <v/>
      </c>
      <c r="J1121" s="19" t="str">
        <f>IF($D1121=1,INDEX(TblClusters[Workers min],$B1121),"")</f>
        <v/>
      </c>
      <c r="K1121" s="73" t="str">
        <f>IF($D1121=1,INDEX(TblClusters[Tarif par nœud],$B1121),"")</f>
        <v/>
      </c>
      <c r="L1121" s="19" t="str">
        <f>IF($D1121=1,INDEX(TblClusters[CPU initial (vCPU)],$B1121),"")</f>
        <v/>
      </c>
      <c r="M1121" s="19" t="str">
        <f>IF($D1121=1,INDEX(TblClusters[RAM initiale (Go)],$B1121),"")</f>
        <v/>
      </c>
      <c r="N1121" s="19" t="str">
        <f>IF($D1121=1,INDEX(TblClusters[CPU min (vCPU)],$B1121),"")</f>
        <v/>
      </c>
      <c r="O1121" s="19" t="str">
        <f>IF($D1121=1,INDEX(TblClusters[RAM min (Go)],$B1121),"")</f>
        <v/>
      </c>
      <c r="P1121" s="19" t="str">
        <f>IF($D1121&lt;&gt;1,"",IF($G1121="ROKS",SUMIFS(TblApplications[Besoin ROKS CPU (vCPU)],TblApplications[Cluster ROKS cible],$F1121,TblApplications[Action],"À migrer",TblApplications[Déjà incluse ROKS],"Non",TblApplications[Mois prov (calc)],"&lt;="&amp;$E1121),SUMIFS(TblApplications[CPU IKS libérable (vCPU)],TblApplications[Cluster IKS source],$F1121,TblApplications[Mois lib (calc)],"&lt;="&amp;$E1121)))</f>
        <v/>
      </c>
      <c r="Q1121" s="19" t="str">
        <f>IF($D1121&lt;&gt;1,"",IF($G1121="ROKS",SUMIFS(TblApplications[Besoin ROKS RAM (Go)],TblApplications[Cluster ROKS cible],$F1121,TblApplications[Action],"À migrer",TblApplications[Déjà incluse ROKS],"Non",TblApplications[Mois prov (calc)],"&lt;="&amp;$E1121),SUMIFS(TblApplications[RAM IKS libérable (Go)],TblApplications[Cluster IKS source],$F1121,TblApplications[Mois lib (calc)],"&lt;="&amp;$E1121)))</f>
        <v/>
      </c>
      <c r="R1121" s="19" t="str">
        <f t="shared" si="292"/>
        <v/>
      </c>
      <c r="S1121" s="19" t="str">
        <f t="shared" si="293"/>
        <v/>
      </c>
      <c r="T1121" s="19" t="str">
        <f t="shared" si="294"/>
        <v/>
      </c>
      <c r="U1121" s="19" t="str">
        <f t="shared" si="295"/>
        <v/>
      </c>
      <c r="V1121" s="19" t="str">
        <f t="shared" si="296"/>
        <v/>
      </c>
      <c r="W1121" s="73" t="str">
        <f t="shared" si="297"/>
        <v/>
      </c>
      <c r="X1121" s="19" t="str">
        <f>IF($D1121&lt;&gt;1,"",IF($G1121="ROKS",$R1121,IF($AI1121=1,0,MAX($N1121,$L1121-SUMIFS(TblApplications[CPU IKS libérable (vCPU)],TblApplications[Cluster IKS source],$F1121,TblApplications[Action],"À migrer",TblApplications[Mois prov (calc)],"&lt;="&amp;$E1121)-SUMIFS(TblApplications[CPU IKS libérable (vCPU)],TblApplications[Cluster IKS source],$F1121,TblApplications[Action],"À décommissionner",TblApplications[Mois lib (calc)],"&lt;="&amp;$E1121)))))</f>
        <v/>
      </c>
      <c r="Y1121" s="19" t="str">
        <f>IF($D1121&lt;&gt;1,"",IF($G1121="ROKS",$S1121,IF($AI1121=1,0,MAX($O1121,$M1121-SUMIFS(TblApplications[RAM IKS libérable (Go)],TblApplications[Cluster IKS source],$F1121,TblApplications[Action],"À migrer",TblApplications[Mois prov (calc)],"&lt;="&amp;$E1121)-SUMIFS(TblApplications[RAM IKS libérable (Go)],TblApplications[Cluster IKS source],$F1121,TblApplications[Action],"À décommissionner",TblApplications[Mois lib (calc)],"&lt;="&amp;$E1121)))))</f>
        <v/>
      </c>
      <c r="Z1121" s="19" t="str">
        <f t="shared" si="298"/>
        <v/>
      </c>
      <c r="AA1121" s="73" t="str">
        <f t="shared" si="299"/>
        <v/>
      </c>
      <c r="AB1121" s="19" t="str">
        <f t="shared" si="300"/>
        <v/>
      </c>
      <c r="AC1121" s="73" t="str">
        <f t="shared" si="301"/>
        <v/>
      </c>
      <c r="AD1121" s="19" t="str">
        <f t="shared" si="302"/>
        <v/>
      </c>
      <c r="AE1121" s="19" t="str">
        <f t="shared" si="303"/>
        <v/>
      </c>
      <c r="AF1121" s="19" t="str">
        <f>IF($D1121&lt;&gt;1,"",IF(INDEX(TblClusters[Environnement],$B1121)="","(vide)",INDEX(TblClusters[Environnement],$B1121)))</f>
        <v/>
      </c>
      <c r="AG1121" s="19" t="str">
        <f t="shared" si="304"/>
        <v/>
      </c>
      <c r="AH1121" s="19" t="str">
        <f t="shared" si="305"/>
        <v/>
      </c>
      <c r="AI1121" s="19" t="str">
        <f>IF($D1121&lt;&gt;1,"",IF(AND($G1121="IKS",ISNUMBER(INDEX(TblClusters[Fermeture retenue],$B1121))),IF($E1121&gt;=INDEX(TblClusters[Fermeture retenue],$B1121),1,0),0))</f>
        <v/>
      </c>
    </row>
    <row r="1122" spans="1:35" x14ac:dyDescent="0.2">
      <c r="A1122" s="19">
        <v>1117</v>
      </c>
      <c r="B1122" s="19">
        <f t="shared" si="289"/>
        <v>32</v>
      </c>
      <c r="C1122" s="19">
        <f t="shared" si="290"/>
        <v>1</v>
      </c>
      <c r="D1122" s="19">
        <f>IF($C1122&gt;p_horizon,0,IFERROR(IF(AND(INDEX(TblClusters[Cluster],$B1122)&lt;&gt;"",ISNUMBER(INDEX(TblClusters[CPU initial (vCPU)],$B1122)),ISNUMBER(INDEX(TblClusters[CPU min (vCPU)],$B1122)),OR(INDEX(TblClusters[Plateforme],$B1122)="IKS",INDEX(TblClusters[Plateforme],$B1122)="ROKS")),1,0),0))</f>
        <v>0</v>
      </c>
      <c r="E1122" s="72" t="str">
        <f t="shared" si="291"/>
        <v/>
      </c>
      <c r="F1122" s="19" t="str">
        <f>IF($D1122=1,INDEX(TblClusters[Cluster],$B1122),"")</f>
        <v/>
      </c>
      <c r="G1122" s="19" t="str">
        <f>IF($D1122=1,INDEX(TblClusters[Plateforme],$B1122),"")</f>
        <v/>
      </c>
      <c r="H1122" s="19" t="str">
        <f>IF($D1122=1,INDEX(TblClusters[vCPU par nœud],$B1122),"")</f>
        <v/>
      </c>
      <c r="I1122" s="19" t="str">
        <f>IF($D1122=1,INDEX(TblClusters[RAM par nœud (Go)],$B1122),"")</f>
        <v/>
      </c>
      <c r="J1122" s="19" t="str">
        <f>IF($D1122=1,INDEX(TblClusters[Workers min],$B1122),"")</f>
        <v/>
      </c>
      <c r="K1122" s="73" t="str">
        <f>IF($D1122=1,INDEX(TblClusters[Tarif par nœud],$B1122),"")</f>
        <v/>
      </c>
      <c r="L1122" s="19" t="str">
        <f>IF($D1122=1,INDEX(TblClusters[CPU initial (vCPU)],$B1122),"")</f>
        <v/>
      </c>
      <c r="M1122" s="19" t="str">
        <f>IF($D1122=1,INDEX(TblClusters[RAM initiale (Go)],$B1122),"")</f>
        <v/>
      </c>
      <c r="N1122" s="19" t="str">
        <f>IF($D1122=1,INDEX(TblClusters[CPU min (vCPU)],$B1122),"")</f>
        <v/>
      </c>
      <c r="O1122" s="19" t="str">
        <f>IF($D1122=1,INDEX(TblClusters[RAM min (Go)],$B1122),"")</f>
        <v/>
      </c>
      <c r="P1122" s="19" t="str">
        <f>IF($D1122&lt;&gt;1,"",IF($G1122="ROKS",SUMIFS(TblApplications[Besoin ROKS CPU (vCPU)],TblApplications[Cluster ROKS cible],$F1122,TblApplications[Action],"À migrer",TblApplications[Déjà incluse ROKS],"Non",TblApplications[Mois prov (calc)],"&lt;="&amp;$E1122),SUMIFS(TblApplications[CPU IKS libérable (vCPU)],TblApplications[Cluster IKS source],$F1122,TblApplications[Mois lib (calc)],"&lt;="&amp;$E1122)))</f>
        <v/>
      </c>
      <c r="Q1122" s="19" t="str">
        <f>IF($D1122&lt;&gt;1,"",IF($G1122="ROKS",SUMIFS(TblApplications[Besoin ROKS RAM (Go)],TblApplications[Cluster ROKS cible],$F1122,TblApplications[Action],"À migrer",TblApplications[Déjà incluse ROKS],"Non",TblApplications[Mois prov (calc)],"&lt;="&amp;$E1122),SUMIFS(TblApplications[RAM IKS libérable (Go)],TblApplications[Cluster IKS source],$F1122,TblApplications[Mois lib (calc)],"&lt;="&amp;$E1122)))</f>
        <v/>
      </c>
      <c r="R1122" s="19" t="str">
        <f t="shared" si="292"/>
        <v/>
      </c>
      <c r="S1122" s="19" t="str">
        <f t="shared" si="293"/>
        <v/>
      </c>
      <c r="T1122" s="19" t="str">
        <f t="shared" si="294"/>
        <v/>
      </c>
      <c r="U1122" s="19" t="str">
        <f t="shared" si="295"/>
        <v/>
      </c>
      <c r="V1122" s="19" t="str">
        <f t="shared" si="296"/>
        <v/>
      </c>
      <c r="W1122" s="73" t="str">
        <f t="shared" si="297"/>
        <v/>
      </c>
      <c r="X1122" s="19" t="str">
        <f>IF($D1122&lt;&gt;1,"",IF($G1122="ROKS",$R1122,IF($AI1122=1,0,MAX($N1122,$L1122-SUMIFS(TblApplications[CPU IKS libérable (vCPU)],TblApplications[Cluster IKS source],$F1122,TblApplications[Action],"À migrer",TblApplications[Mois prov (calc)],"&lt;="&amp;$E1122)-SUMIFS(TblApplications[CPU IKS libérable (vCPU)],TblApplications[Cluster IKS source],$F1122,TblApplications[Action],"À décommissionner",TblApplications[Mois lib (calc)],"&lt;="&amp;$E1122)))))</f>
        <v/>
      </c>
      <c r="Y1122" s="19" t="str">
        <f>IF($D1122&lt;&gt;1,"",IF($G1122="ROKS",$S1122,IF($AI1122=1,0,MAX($O1122,$M1122-SUMIFS(TblApplications[RAM IKS libérable (Go)],TblApplications[Cluster IKS source],$F1122,TblApplications[Action],"À migrer",TblApplications[Mois prov (calc)],"&lt;="&amp;$E1122)-SUMIFS(TblApplications[RAM IKS libérable (Go)],TblApplications[Cluster IKS source],$F1122,TblApplications[Action],"À décommissionner",TblApplications[Mois lib (calc)],"&lt;="&amp;$E1122)))))</f>
        <v/>
      </c>
      <c r="Z1122" s="19" t="str">
        <f t="shared" si="298"/>
        <v/>
      </c>
      <c r="AA1122" s="73" t="str">
        <f t="shared" si="299"/>
        <v/>
      </c>
      <c r="AB1122" s="19" t="str">
        <f t="shared" si="300"/>
        <v/>
      </c>
      <c r="AC1122" s="73" t="str">
        <f t="shared" si="301"/>
        <v/>
      </c>
      <c r="AD1122" s="19" t="str">
        <f t="shared" si="302"/>
        <v/>
      </c>
      <c r="AE1122" s="19" t="str">
        <f t="shared" si="303"/>
        <v/>
      </c>
      <c r="AF1122" s="19" t="str">
        <f>IF($D1122&lt;&gt;1,"",IF(INDEX(TblClusters[Environnement],$B1122)="","(vide)",INDEX(TblClusters[Environnement],$B1122)))</f>
        <v/>
      </c>
      <c r="AG1122" s="19" t="str">
        <f t="shared" si="304"/>
        <v/>
      </c>
      <c r="AH1122" s="19" t="str">
        <f t="shared" si="305"/>
        <v/>
      </c>
      <c r="AI1122" s="19" t="str">
        <f>IF($D1122&lt;&gt;1,"",IF(AND($G1122="IKS",ISNUMBER(INDEX(TblClusters[Fermeture retenue],$B1122))),IF($E1122&gt;=INDEX(TblClusters[Fermeture retenue],$B1122),1,0),0))</f>
        <v/>
      </c>
    </row>
    <row r="1123" spans="1:35" x14ac:dyDescent="0.2">
      <c r="A1123" s="19">
        <v>1118</v>
      </c>
      <c r="B1123" s="19">
        <f t="shared" si="289"/>
        <v>32</v>
      </c>
      <c r="C1123" s="19">
        <f t="shared" si="290"/>
        <v>2</v>
      </c>
      <c r="D1123" s="19">
        <f>IF($C1123&gt;p_horizon,0,IFERROR(IF(AND(INDEX(TblClusters[Cluster],$B1123)&lt;&gt;"",ISNUMBER(INDEX(TblClusters[CPU initial (vCPU)],$B1123)),ISNUMBER(INDEX(TblClusters[CPU min (vCPU)],$B1123)),OR(INDEX(TblClusters[Plateforme],$B1123)="IKS",INDEX(TblClusters[Plateforme],$B1123)="ROKS")),1,0),0))</f>
        <v>0</v>
      </c>
      <c r="E1123" s="72" t="str">
        <f t="shared" si="291"/>
        <v/>
      </c>
      <c r="F1123" s="19" t="str">
        <f>IF($D1123=1,INDEX(TblClusters[Cluster],$B1123),"")</f>
        <v/>
      </c>
      <c r="G1123" s="19" t="str">
        <f>IF($D1123=1,INDEX(TblClusters[Plateforme],$B1123),"")</f>
        <v/>
      </c>
      <c r="H1123" s="19" t="str">
        <f>IF($D1123=1,INDEX(TblClusters[vCPU par nœud],$B1123),"")</f>
        <v/>
      </c>
      <c r="I1123" s="19" t="str">
        <f>IF($D1123=1,INDEX(TblClusters[RAM par nœud (Go)],$B1123),"")</f>
        <v/>
      </c>
      <c r="J1123" s="19" t="str">
        <f>IF($D1123=1,INDEX(TblClusters[Workers min],$B1123),"")</f>
        <v/>
      </c>
      <c r="K1123" s="73" t="str">
        <f>IF($D1123=1,INDEX(TblClusters[Tarif par nœud],$B1123),"")</f>
        <v/>
      </c>
      <c r="L1123" s="19" t="str">
        <f>IF($D1123=1,INDEX(TblClusters[CPU initial (vCPU)],$B1123),"")</f>
        <v/>
      </c>
      <c r="M1123" s="19" t="str">
        <f>IF($D1123=1,INDEX(TblClusters[RAM initiale (Go)],$B1123),"")</f>
        <v/>
      </c>
      <c r="N1123" s="19" t="str">
        <f>IF($D1123=1,INDEX(TblClusters[CPU min (vCPU)],$B1123),"")</f>
        <v/>
      </c>
      <c r="O1123" s="19" t="str">
        <f>IF($D1123=1,INDEX(TblClusters[RAM min (Go)],$B1123),"")</f>
        <v/>
      </c>
      <c r="P1123" s="19" t="str">
        <f>IF($D1123&lt;&gt;1,"",IF($G1123="ROKS",SUMIFS(TblApplications[Besoin ROKS CPU (vCPU)],TblApplications[Cluster ROKS cible],$F1123,TblApplications[Action],"À migrer",TblApplications[Déjà incluse ROKS],"Non",TblApplications[Mois prov (calc)],"&lt;="&amp;$E1123),SUMIFS(TblApplications[CPU IKS libérable (vCPU)],TblApplications[Cluster IKS source],$F1123,TblApplications[Mois lib (calc)],"&lt;="&amp;$E1123)))</f>
        <v/>
      </c>
      <c r="Q1123" s="19" t="str">
        <f>IF($D1123&lt;&gt;1,"",IF($G1123="ROKS",SUMIFS(TblApplications[Besoin ROKS RAM (Go)],TblApplications[Cluster ROKS cible],$F1123,TblApplications[Action],"À migrer",TblApplications[Déjà incluse ROKS],"Non",TblApplications[Mois prov (calc)],"&lt;="&amp;$E1123),SUMIFS(TblApplications[RAM IKS libérable (Go)],TblApplications[Cluster IKS source],$F1123,TblApplications[Mois lib (calc)],"&lt;="&amp;$E1123)))</f>
        <v/>
      </c>
      <c r="R1123" s="19" t="str">
        <f t="shared" si="292"/>
        <v/>
      </c>
      <c r="S1123" s="19" t="str">
        <f t="shared" si="293"/>
        <v/>
      </c>
      <c r="T1123" s="19" t="str">
        <f t="shared" si="294"/>
        <v/>
      </c>
      <c r="U1123" s="19" t="str">
        <f t="shared" si="295"/>
        <v/>
      </c>
      <c r="V1123" s="19" t="str">
        <f t="shared" si="296"/>
        <v/>
      </c>
      <c r="W1123" s="73" t="str">
        <f t="shared" si="297"/>
        <v/>
      </c>
      <c r="X1123" s="19" t="str">
        <f>IF($D1123&lt;&gt;1,"",IF($G1123="ROKS",$R1123,IF($AI1123=1,0,MAX($N1123,$L1123-SUMIFS(TblApplications[CPU IKS libérable (vCPU)],TblApplications[Cluster IKS source],$F1123,TblApplications[Action],"À migrer",TblApplications[Mois prov (calc)],"&lt;="&amp;$E1123)-SUMIFS(TblApplications[CPU IKS libérable (vCPU)],TblApplications[Cluster IKS source],$F1123,TblApplications[Action],"À décommissionner",TblApplications[Mois lib (calc)],"&lt;="&amp;$E1123)))))</f>
        <v/>
      </c>
      <c r="Y1123" s="19" t="str">
        <f>IF($D1123&lt;&gt;1,"",IF($G1123="ROKS",$S1123,IF($AI1123=1,0,MAX($O1123,$M1123-SUMIFS(TblApplications[RAM IKS libérable (Go)],TblApplications[Cluster IKS source],$F1123,TblApplications[Action],"À migrer",TblApplications[Mois prov (calc)],"&lt;="&amp;$E1123)-SUMIFS(TblApplications[RAM IKS libérable (Go)],TblApplications[Cluster IKS source],$F1123,TblApplications[Action],"À décommissionner",TblApplications[Mois lib (calc)],"&lt;="&amp;$E1123)))))</f>
        <v/>
      </c>
      <c r="Z1123" s="19" t="str">
        <f t="shared" si="298"/>
        <v/>
      </c>
      <c r="AA1123" s="73" t="str">
        <f t="shared" si="299"/>
        <v/>
      </c>
      <c r="AB1123" s="19" t="str">
        <f t="shared" si="300"/>
        <v/>
      </c>
      <c r="AC1123" s="73" t="str">
        <f t="shared" si="301"/>
        <v/>
      </c>
      <c r="AD1123" s="19" t="str">
        <f t="shared" si="302"/>
        <v/>
      </c>
      <c r="AE1123" s="19" t="str">
        <f t="shared" si="303"/>
        <v/>
      </c>
      <c r="AF1123" s="19" t="str">
        <f>IF($D1123&lt;&gt;1,"",IF(INDEX(TblClusters[Environnement],$B1123)="","(vide)",INDEX(TblClusters[Environnement],$B1123)))</f>
        <v/>
      </c>
      <c r="AG1123" s="19" t="str">
        <f t="shared" si="304"/>
        <v/>
      </c>
      <c r="AH1123" s="19" t="str">
        <f t="shared" si="305"/>
        <v/>
      </c>
      <c r="AI1123" s="19" t="str">
        <f>IF($D1123&lt;&gt;1,"",IF(AND($G1123="IKS",ISNUMBER(INDEX(TblClusters[Fermeture retenue],$B1123))),IF($E1123&gt;=INDEX(TblClusters[Fermeture retenue],$B1123),1,0),0))</f>
        <v/>
      </c>
    </row>
    <row r="1124" spans="1:35" x14ac:dyDescent="0.2">
      <c r="A1124" s="19">
        <v>1119</v>
      </c>
      <c r="B1124" s="19">
        <f t="shared" si="289"/>
        <v>32</v>
      </c>
      <c r="C1124" s="19">
        <f t="shared" si="290"/>
        <v>3</v>
      </c>
      <c r="D1124" s="19">
        <f>IF($C1124&gt;p_horizon,0,IFERROR(IF(AND(INDEX(TblClusters[Cluster],$B1124)&lt;&gt;"",ISNUMBER(INDEX(TblClusters[CPU initial (vCPU)],$B1124)),ISNUMBER(INDEX(TblClusters[CPU min (vCPU)],$B1124)),OR(INDEX(TblClusters[Plateforme],$B1124)="IKS",INDEX(TblClusters[Plateforme],$B1124)="ROKS")),1,0),0))</f>
        <v>0</v>
      </c>
      <c r="E1124" s="72" t="str">
        <f t="shared" si="291"/>
        <v/>
      </c>
      <c r="F1124" s="19" t="str">
        <f>IF($D1124=1,INDEX(TblClusters[Cluster],$B1124),"")</f>
        <v/>
      </c>
      <c r="G1124" s="19" t="str">
        <f>IF($D1124=1,INDEX(TblClusters[Plateforme],$B1124),"")</f>
        <v/>
      </c>
      <c r="H1124" s="19" t="str">
        <f>IF($D1124=1,INDEX(TblClusters[vCPU par nœud],$B1124),"")</f>
        <v/>
      </c>
      <c r="I1124" s="19" t="str">
        <f>IF($D1124=1,INDEX(TblClusters[RAM par nœud (Go)],$B1124),"")</f>
        <v/>
      </c>
      <c r="J1124" s="19" t="str">
        <f>IF($D1124=1,INDEX(TblClusters[Workers min],$B1124),"")</f>
        <v/>
      </c>
      <c r="K1124" s="73" t="str">
        <f>IF($D1124=1,INDEX(TblClusters[Tarif par nœud],$B1124),"")</f>
        <v/>
      </c>
      <c r="L1124" s="19" t="str">
        <f>IF($D1124=1,INDEX(TblClusters[CPU initial (vCPU)],$B1124),"")</f>
        <v/>
      </c>
      <c r="M1124" s="19" t="str">
        <f>IF($D1124=1,INDEX(TblClusters[RAM initiale (Go)],$B1124),"")</f>
        <v/>
      </c>
      <c r="N1124" s="19" t="str">
        <f>IF($D1124=1,INDEX(TblClusters[CPU min (vCPU)],$B1124),"")</f>
        <v/>
      </c>
      <c r="O1124" s="19" t="str">
        <f>IF($D1124=1,INDEX(TblClusters[RAM min (Go)],$B1124),"")</f>
        <v/>
      </c>
      <c r="P1124" s="19" t="str">
        <f>IF($D1124&lt;&gt;1,"",IF($G1124="ROKS",SUMIFS(TblApplications[Besoin ROKS CPU (vCPU)],TblApplications[Cluster ROKS cible],$F1124,TblApplications[Action],"À migrer",TblApplications[Déjà incluse ROKS],"Non",TblApplications[Mois prov (calc)],"&lt;="&amp;$E1124),SUMIFS(TblApplications[CPU IKS libérable (vCPU)],TblApplications[Cluster IKS source],$F1124,TblApplications[Mois lib (calc)],"&lt;="&amp;$E1124)))</f>
        <v/>
      </c>
      <c r="Q1124" s="19" t="str">
        <f>IF($D1124&lt;&gt;1,"",IF($G1124="ROKS",SUMIFS(TblApplications[Besoin ROKS RAM (Go)],TblApplications[Cluster ROKS cible],$F1124,TblApplications[Action],"À migrer",TblApplications[Déjà incluse ROKS],"Non",TblApplications[Mois prov (calc)],"&lt;="&amp;$E1124),SUMIFS(TblApplications[RAM IKS libérable (Go)],TblApplications[Cluster IKS source],$F1124,TblApplications[Mois lib (calc)],"&lt;="&amp;$E1124)))</f>
        <v/>
      </c>
      <c r="R1124" s="19" t="str">
        <f t="shared" si="292"/>
        <v/>
      </c>
      <c r="S1124" s="19" t="str">
        <f t="shared" si="293"/>
        <v/>
      </c>
      <c r="T1124" s="19" t="str">
        <f t="shared" si="294"/>
        <v/>
      </c>
      <c r="U1124" s="19" t="str">
        <f t="shared" si="295"/>
        <v/>
      </c>
      <c r="V1124" s="19" t="str">
        <f t="shared" si="296"/>
        <v/>
      </c>
      <c r="W1124" s="73" t="str">
        <f t="shared" si="297"/>
        <v/>
      </c>
      <c r="X1124" s="19" t="str">
        <f>IF($D1124&lt;&gt;1,"",IF($G1124="ROKS",$R1124,IF($AI1124=1,0,MAX($N1124,$L1124-SUMIFS(TblApplications[CPU IKS libérable (vCPU)],TblApplications[Cluster IKS source],$F1124,TblApplications[Action],"À migrer",TblApplications[Mois prov (calc)],"&lt;="&amp;$E1124)-SUMIFS(TblApplications[CPU IKS libérable (vCPU)],TblApplications[Cluster IKS source],$F1124,TblApplications[Action],"À décommissionner",TblApplications[Mois lib (calc)],"&lt;="&amp;$E1124)))))</f>
        <v/>
      </c>
      <c r="Y1124" s="19" t="str">
        <f>IF($D1124&lt;&gt;1,"",IF($G1124="ROKS",$S1124,IF($AI1124=1,0,MAX($O1124,$M1124-SUMIFS(TblApplications[RAM IKS libérable (Go)],TblApplications[Cluster IKS source],$F1124,TblApplications[Action],"À migrer",TblApplications[Mois prov (calc)],"&lt;="&amp;$E1124)-SUMIFS(TblApplications[RAM IKS libérable (Go)],TblApplications[Cluster IKS source],$F1124,TblApplications[Action],"À décommissionner",TblApplications[Mois lib (calc)],"&lt;="&amp;$E1124)))))</f>
        <v/>
      </c>
      <c r="Z1124" s="19" t="str">
        <f t="shared" si="298"/>
        <v/>
      </c>
      <c r="AA1124" s="73" t="str">
        <f t="shared" si="299"/>
        <v/>
      </c>
      <c r="AB1124" s="19" t="str">
        <f t="shared" si="300"/>
        <v/>
      </c>
      <c r="AC1124" s="73" t="str">
        <f t="shared" si="301"/>
        <v/>
      </c>
      <c r="AD1124" s="19" t="str">
        <f t="shared" si="302"/>
        <v/>
      </c>
      <c r="AE1124" s="19" t="str">
        <f t="shared" si="303"/>
        <v/>
      </c>
      <c r="AF1124" s="19" t="str">
        <f>IF($D1124&lt;&gt;1,"",IF(INDEX(TblClusters[Environnement],$B1124)="","(vide)",INDEX(TblClusters[Environnement],$B1124)))</f>
        <v/>
      </c>
      <c r="AG1124" s="19" t="str">
        <f t="shared" si="304"/>
        <v/>
      </c>
      <c r="AH1124" s="19" t="str">
        <f t="shared" si="305"/>
        <v/>
      </c>
      <c r="AI1124" s="19" t="str">
        <f>IF($D1124&lt;&gt;1,"",IF(AND($G1124="IKS",ISNUMBER(INDEX(TblClusters[Fermeture retenue],$B1124))),IF($E1124&gt;=INDEX(TblClusters[Fermeture retenue],$B1124),1,0),0))</f>
        <v/>
      </c>
    </row>
    <row r="1125" spans="1:35" x14ac:dyDescent="0.2">
      <c r="A1125" s="19">
        <v>1120</v>
      </c>
      <c r="B1125" s="19">
        <f t="shared" si="289"/>
        <v>32</v>
      </c>
      <c r="C1125" s="19">
        <f t="shared" si="290"/>
        <v>4</v>
      </c>
      <c r="D1125" s="19">
        <f>IF($C1125&gt;p_horizon,0,IFERROR(IF(AND(INDEX(TblClusters[Cluster],$B1125)&lt;&gt;"",ISNUMBER(INDEX(TblClusters[CPU initial (vCPU)],$B1125)),ISNUMBER(INDEX(TblClusters[CPU min (vCPU)],$B1125)),OR(INDEX(TblClusters[Plateforme],$B1125)="IKS",INDEX(TblClusters[Plateforme],$B1125)="ROKS")),1,0),0))</f>
        <v>0</v>
      </c>
      <c r="E1125" s="72" t="str">
        <f t="shared" si="291"/>
        <v/>
      </c>
      <c r="F1125" s="19" t="str">
        <f>IF($D1125=1,INDEX(TblClusters[Cluster],$B1125),"")</f>
        <v/>
      </c>
      <c r="G1125" s="19" t="str">
        <f>IF($D1125=1,INDEX(TblClusters[Plateforme],$B1125),"")</f>
        <v/>
      </c>
      <c r="H1125" s="19" t="str">
        <f>IF($D1125=1,INDEX(TblClusters[vCPU par nœud],$B1125),"")</f>
        <v/>
      </c>
      <c r="I1125" s="19" t="str">
        <f>IF($D1125=1,INDEX(TblClusters[RAM par nœud (Go)],$B1125),"")</f>
        <v/>
      </c>
      <c r="J1125" s="19" t="str">
        <f>IF($D1125=1,INDEX(TblClusters[Workers min],$B1125),"")</f>
        <v/>
      </c>
      <c r="K1125" s="73" t="str">
        <f>IF($D1125=1,INDEX(TblClusters[Tarif par nœud],$B1125),"")</f>
        <v/>
      </c>
      <c r="L1125" s="19" t="str">
        <f>IF($D1125=1,INDEX(TblClusters[CPU initial (vCPU)],$B1125),"")</f>
        <v/>
      </c>
      <c r="M1125" s="19" t="str">
        <f>IF($D1125=1,INDEX(TblClusters[RAM initiale (Go)],$B1125),"")</f>
        <v/>
      </c>
      <c r="N1125" s="19" t="str">
        <f>IF($D1125=1,INDEX(TblClusters[CPU min (vCPU)],$B1125),"")</f>
        <v/>
      </c>
      <c r="O1125" s="19" t="str">
        <f>IF($D1125=1,INDEX(TblClusters[RAM min (Go)],$B1125),"")</f>
        <v/>
      </c>
      <c r="P1125" s="19" t="str">
        <f>IF($D1125&lt;&gt;1,"",IF($G1125="ROKS",SUMIFS(TblApplications[Besoin ROKS CPU (vCPU)],TblApplications[Cluster ROKS cible],$F1125,TblApplications[Action],"À migrer",TblApplications[Déjà incluse ROKS],"Non",TblApplications[Mois prov (calc)],"&lt;="&amp;$E1125),SUMIFS(TblApplications[CPU IKS libérable (vCPU)],TblApplications[Cluster IKS source],$F1125,TblApplications[Mois lib (calc)],"&lt;="&amp;$E1125)))</f>
        <v/>
      </c>
      <c r="Q1125" s="19" t="str">
        <f>IF($D1125&lt;&gt;1,"",IF($G1125="ROKS",SUMIFS(TblApplications[Besoin ROKS RAM (Go)],TblApplications[Cluster ROKS cible],$F1125,TblApplications[Action],"À migrer",TblApplications[Déjà incluse ROKS],"Non",TblApplications[Mois prov (calc)],"&lt;="&amp;$E1125),SUMIFS(TblApplications[RAM IKS libérable (Go)],TblApplications[Cluster IKS source],$F1125,TblApplications[Mois lib (calc)],"&lt;="&amp;$E1125)))</f>
        <v/>
      </c>
      <c r="R1125" s="19" t="str">
        <f t="shared" si="292"/>
        <v/>
      </c>
      <c r="S1125" s="19" t="str">
        <f t="shared" si="293"/>
        <v/>
      </c>
      <c r="T1125" s="19" t="str">
        <f t="shared" si="294"/>
        <v/>
      </c>
      <c r="U1125" s="19" t="str">
        <f t="shared" si="295"/>
        <v/>
      </c>
      <c r="V1125" s="19" t="str">
        <f t="shared" si="296"/>
        <v/>
      </c>
      <c r="W1125" s="73" t="str">
        <f t="shared" si="297"/>
        <v/>
      </c>
      <c r="X1125" s="19" t="str">
        <f>IF($D1125&lt;&gt;1,"",IF($G1125="ROKS",$R1125,IF($AI1125=1,0,MAX($N1125,$L1125-SUMIFS(TblApplications[CPU IKS libérable (vCPU)],TblApplications[Cluster IKS source],$F1125,TblApplications[Action],"À migrer",TblApplications[Mois prov (calc)],"&lt;="&amp;$E1125)-SUMIFS(TblApplications[CPU IKS libérable (vCPU)],TblApplications[Cluster IKS source],$F1125,TblApplications[Action],"À décommissionner",TblApplications[Mois lib (calc)],"&lt;="&amp;$E1125)))))</f>
        <v/>
      </c>
      <c r="Y1125" s="19" t="str">
        <f>IF($D1125&lt;&gt;1,"",IF($G1125="ROKS",$S1125,IF($AI1125=1,0,MAX($O1125,$M1125-SUMIFS(TblApplications[RAM IKS libérable (Go)],TblApplications[Cluster IKS source],$F1125,TblApplications[Action],"À migrer",TblApplications[Mois prov (calc)],"&lt;="&amp;$E1125)-SUMIFS(TblApplications[RAM IKS libérable (Go)],TblApplications[Cluster IKS source],$F1125,TblApplications[Action],"À décommissionner",TblApplications[Mois lib (calc)],"&lt;="&amp;$E1125)))))</f>
        <v/>
      </c>
      <c r="Z1125" s="19" t="str">
        <f t="shared" si="298"/>
        <v/>
      </c>
      <c r="AA1125" s="73" t="str">
        <f t="shared" si="299"/>
        <v/>
      </c>
      <c r="AB1125" s="19" t="str">
        <f t="shared" si="300"/>
        <v/>
      </c>
      <c r="AC1125" s="73" t="str">
        <f t="shared" si="301"/>
        <v/>
      </c>
      <c r="AD1125" s="19" t="str">
        <f t="shared" si="302"/>
        <v/>
      </c>
      <c r="AE1125" s="19" t="str">
        <f t="shared" si="303"/>
        <v/>
      </c>
      <c r="AF1125" s="19" t="str">
        <f>IF($D1125&lt;&gt;1,"",IF(INDEX(TblClusters[Environnement],$B1125)="","(vide)",INDEX(TblClusters[Environnement],$B1125)))</f>
        <v/>
      </c>
      <c r="AG1125" s="19" t="str">
        <f t="shared" si="304"/>
        <v/>
      </c>
      <c r="AH1125" s="19" t="str">
        <f t="shared" si="305"/>
        <v/>
      </c>
      <c r="AI1125" s="19" t="str">
        <f>IF($D1125&lt;&gt;1,"",IF(AND($G1125="IKS",ISNUMBER(INDEX(TblClusters[Fermeture retenue],$B1125))),IF($E1125&gt;=INDEX(TblClusters[Fermeture retenue],$B1125),1,0),0))</f>
        <v/>
      </c>
    </row>
    <row r="1126" spans="1:35" x14ac:dyDescent="0.2">
      <c r="A1126" s="19">
        <v>1121</v>
      </c>
      <c r="B1126" s="19">
        <f t="shared" si="289"/>
        <v>32</v>
      </c>
      <c r="C1126" s="19">
        <f t="shared" si="290"/>
        <v>5</v>
      </c>
      <c r="D1126" s="19">
        <f>IF($C1126&gt;p_horizon,0,IFERROR(IF(AND(INDEX(TblClusters[Cluster],$B1126)&lt;&gt;"",ISNUMBER(INDEX(TblClusters[CPU initial (vCPU)],$B1126)),ISNUMBER(INDEX(TblClusters[CPU min (vCPU)],$B1126)),OR(INDEX(TblClusters[Plateforme],$B1126)="IKS",INDEX(TblClusters[Plateforme],$B1126)="ROKS")),1,0),0))</f>
        <v>0</v>
      </c>
      <c r="E1126" s="72" t="str">
        <f t="shared" si="291"/>
        <v/>
      </c>
      <c r="F1126" s="19" t="str">
        <f>IF($D1126=1,INDEX(TblClusters[Cluster],$B1126),"")</f>
        <v/>
      </c>
      <c r="G1126" s="19" t="str">
        <f>IF($D1126=1,INDEX(TblClusters[Plateforme],$B1126),"")</f>
        <v/>
      </c>
      <c r="H1126" s="19" t="str">
        <f>IF($D1126=1,INDEX(TblClusters[vCPU par nœud],$B1126),"")</f>
        <v/>
      </c>
      <c r="I1126" s="19" t="str">
        <f>IF($D1126=1,INDEX(TblClusters[RAM par nœud (Go)],$B1126),"")</f>
        <v/>
      </c>
      <c r="J1126" s="19" t="str">
        <f>IF($D1126=1,INDEX(TblClusters[Workers min],$B1126),"")</f>
        <v/>
      </c>
      <c r="K1126" s="73" t="str">
        <f>IF($D1126=1,INDEX(TblClusters[Tarif par nœud],$B1126),"")</f>
        <v/>
      </c>
      <c r="L1126" s="19" t="str">
        <f>IF($D1126=1,INDEX(TblClusters[CPU initial (vCPU)],$B1126),"")</f>
        <v/>
      </c>
      <c r="M1126" s="19" t="str">
        <f>IF($D1126=1,INDEX(TblClusters[RAM initiale (Go)],$B1126),"")</f>
        <v/>
      </c>
      <c r="N1126" s="19" t="str">
        <f>IF($D1126=1,INDEX(TblClusters[CPU min (vCPU)],$B1126),"")</f>
        <v/>
      </c>
      <c r="O1126" s="19" t="str">
        <f>IF($D1126=1,INDEX(TblClusters[RAM min (Go)],$B1126),"")</f>
        <v/>
      </c>
      <c r="P1126" s="19" t="str">
        <f>IF($D1126&lt;&gt;1,"",IF($G1126="ROKS",SUMIFS(TblApplications[Besoin ROKS CPU (vCPU)],TblApplications[Cluster ROKS cible],$F1126,TblApplications[Action],"À migrer",TblApplications[Déjà incluse ROKS],"Non",TblApplications[Mois prov (calc)],"&lt;="&amp;$E1126),SUMIFS(TblApplications[CPU IKS libérable (vCPU)],TblApplications[Cluster IKS source],$F1126,TblApplications[Mois lib (calc)],"&lt;="&amp;$E1126)))</f>
        <v/>
      </c>
      <c r="Q1126" s="19" t="str">
        <f>IF($D1126&lt;&gt;1,"",IF($G1126="ROKS",SUMIFS(TblApplications[Besoin ROKS RAM (Go)],TblApplications[Cluster ROKS cible],$F1126,TblApplications[Action],"À migrer",TblApplications[Déjà incluse ROKS],"Non",TblApplications[Mois prov (calc)],"&lt;="&amp;$E1126),SUMIFS(TblApplications[RAM IKS libérable (Go)],TblApplications[Cluster IKS source],$F1126,TblApplications[Mois lib (calc)],"&lt;="&amp;$E1126)))</f>
        <v/>
      </c>
      <c r="R1126" s="19" t="str">
        <f t="shared" si="292"/>
        <v/>
      </c>
      <c r="S1126" s="19" t="str">
        <f t="shared" si="293"/>
        <v/>
      </c>
      <c r="T1126" s="19" t="str">
        <f t="shared" si="294"/>
        <v/>
      </c>
      <c r="U1126" s="19" t="str">
        <f t="shared" si="295"/>
        <v/>
      </c>
      <c r="V1126" s="19" t="str">
        <f t="shared" si="296"/>
        <v/>
      </c>
      <c r="W1126" s="73" t="str">
        <f t="shared" si="297"/>
        <v/>
      </c>
      <c r="X1126" s="19" t="str">
        <f>IF($D1126&lt;&gt;1,"",IF($G1126="ROKS",$R1126,IF($AI1126=1,0,MAX($N1126,$L1126-SUMIFS(TblApplications[CPU IKS libérable (vCPU)],TblApplications[Cluster IKS source],$F1126,TblApplications[Action],"À migrer",TblApplications[Mois prov (calc)],"&lt;="&amp;$E1126)-SUMIFS(TblApplications[CPU IKS libérable (vCPU)],TblApplications[Cluster IKS source],$F1126,TblApplications[Action],"À décommissionner",TblApplications[Mois lib (calc)],"&lt;="&amp;$E1126)))))</f>
        <v/>
      </c>
      <c r="Y1126" s="19" t="str">
        <f>IF($D1126&lt;&gt;1,"",IF($G1126="ROKS",$S1126,IF($AI1126=1,0,MAX($O1126,$M1126-SUMIFS(TblApplications[RAM IKS libérable (Go)],TblApplications[Cluster IKS source],$F1126,TblApplications[Action],"À migrer",TblApplications[Mois prov (calc)],"&lt;="&amp;$E1126)-SUMIFS(TblApplications[RAM IKS libérable (Go)],TblApplications[Cluster IKS source],$F1126,TblApplications[Action],"À décommissionner",TblApplications[Mois lib (calc)],"&lt;="&amp;$E1126)))))</f>
        <v/>
      </c>
      <c r="Z1126" s="19" t="str">
        <f t="shared" si="298"/>
        <v/>
      </c>
      <c r="AA1126" s="73" t="str">
        <f t="shared" si="299"/>
        <v/>
      </c>
      <c r="AB1126" s="19" t="str">
        <f t="shared" si="300"/>
        <v/>
      </c>
      <c r="AC1126" s="73" t="str">
        <f t="shared" si="301"/>
        <v/>
      </c>
      <c r="AD1126" s="19" t="str">
        <f t="shared" si="302"/>
        <v/>
      </c>
      <c r="AE1126" s="19" t="str">
        <f t="shared" si="303"/>
        <v/>
      </c>
      <c r="AF1126" s="19" t="str">
        <f>IF($D1126&lt;&gt;1,"",IF(INDEX(TblClusters[Environnement],$B1126)="","(vide)",INDEX(TblClusters[Environnement],$B1126)))</f>
        <v/>
      </c>
      <c r="AG1126" s="19" t="str">
        <f t="shared" si="304"/>
        <v/>
      </c>
      <c r="AH1126" s="19" t="str">
        <f t="shared" si="305"/>
        <v/>
      </c>
      <c r="AI1126" s="19" t="str">
        <f>IF($D1126&lt;&gt;1,"",IF(AND($G1126="IKS",ISNUMBER(INDEX(TblClusters[Fermeture retenue],$B1126))),IF($E1126&gt;=INDEX(TblClusters[Fermeture retenue],$B1126),1,0),0))</f>
        <v/>
      </c>
    </row>
    <row r="1127" spans="1:35" x14ac:dyDescent="0.2">
      <c r="A1127" s="19">
        <v>1122</v>
      </c>
      <c r="B1127" s="19">
        <f t="shared" si="289"/>
        <v>32</v>
      </c>
      <c r="C1127" s="19">
        <f t="shared" si="290"/>
        <v>6</v>
      </c>
      <c r="D1127" s="19">
        <f>IF($C1127&gt;p_horizon,0,IFERROR(IF(AND(INDEX(TblClusters[Cluster],$B1127)&lt;&gt;"",ISNUMBER(INDEX(TblClusters[CPU initial (vCPU)],$B1127)),ISNUMBER(INDEX(TblClusters[CPU min (vCPU)],$B1127)),OR(INDEX(TblClusters[Plateforme],$B1127)="IKS",INDEX(TblClusters[Plateforme],$B1127)="ROKS")),1,0),0))</f>
        <v>0</v>
      </c>
      <c r="E1127" s="72" t="str">
        <f t="shared" si="291"/>
        <v/>
      </c>
      <c r="F1127" s="19" t="str">
        <f>IF($D1127=1,INDEX(TblClusters[Cluster],$B1127),"")</f>
        <v/>
      </c>
      <c r="G1127" s="19" t="str">
        <f>IF($D1127=1,INDEX(TblClusters[Plateforme],$B1127),"")</f>
        <v/>
      </c>
      <c r="H1127" s="19" t="str">
        <f>IF($D1127=1,INDEX(TblClusters[vCPU par nœud],$B1127),"")</f>
        <v/>
      </c>
      <c r="I1127" s="19" t="str">
        <f>IF($D1127=1,INDEX(TblClusters[RAM par nœud (Go)],$B1127),"")</f>
        <v/>
      </c>
      <c r="J1127" s="19" t="str">
        <f>IF($D1127=1,INDEX(TblClusters[Workers min],$B1127),"")</f>
        <v/>
      </c>
      <c r="K1127" s="73" t="str">
        <f>IF($D1127=1,INDEX(TblClusters[Tarif par nœud],$B1127),"")</f>
        <v/>
      </c>
      <c r="L1127" s="19" t="str">
        <f>IF($D1127=1,INDEX(TblClusters[CPU initial (vCPU)],$B1127),"")</f>
        <v/>
      </c>
      <c r="M1127" s="19" t="str">
        <f>IF($D1127=1,INDEX(TblClusters[RAM initiale (Go)],$B1127),"")</f>
        <v/>
      </c>
      <c r="N1127" s="19" t="str">
        <f>IF($D1127=1,INDEX(TblClusters[CPU min (vCPU)],$B1127),"")</f>
        <v/>
      </c>
      <c r="O1127" s="19" t="str">
        <f>IF($D1127=1,INDEX(TblClusters[RAM min (Go)],$B1127),"")</f>
        <v/>
      </c>
      <c r="P1127" s="19" t="str">
        <f>IF($D1127&lt;&gt;1,"",IF($G1127="ROKS",SUMIFS(TblApplications[Besoin ROKS CPU (vCPU)],TblApplications[Cluster ROKS cible],$F1127,TblApplications[Action],"À migrer",TblApplications[Déjà incluse ROKS],"Non",TblApplications[Mois prov (calc)],"&lt;="&amp;$E1127),SUMIFS(TblApplications[CPU IKS libérable (vCPU)],TblApplications[Cluster IKS source],$F1127,TblApplications[Mois lib (calc)],"&lt;="&amp;$E1127)))</f>
        <v/>
      </c>
      <c r="Q1127" s="19" t="str">
        <f>IF($D1127&lt;&gt;1,"",IF($G1127="ROKS",SUMIFS(TblApplications[Besoin ROKS RAM (Go)],TblApplications[Cluster ROKS cible],$F1127,TblApplications[Action],"À migrer",TblApplications[Déjà incluse ROKS],"Non",TblApplications[Mois prov (calc)],"&lt;="&amp;$E1127),SUMIFS(TblApplications[RAM IKS libérable (Go)],TblApplications[Cluster IKS source],$F1127,TblApplications[Mois lib (calc)],"&lt;="&amp;$E1127)))</f>
        <v/>
      </c>
      <c r="R1127" s="19" t="str">
        <f t="shared" si="292"/>
        <v/>
      </c>
      <c r="S1127" s="19" t="str">
        <f t="shared" si="293"/>
        <v/>
      </c>
      <c r="T1127" s="19" t="str">
        <f t="shared" si="294"/>
        <v/>
      </c>
      <c r="U1127" s="19" t="str">
        <f t="shared" si="295"/>
        <v/>
      </c>
      <c r="V1127" s="19" t="str">
        <f t="shared" si="296"/>
        <v/>
      </c>
      <c r="W1127" s="73" t="str">
        <f t="shared" si="297"/>
        <v/>
      </c>
      <c r="X1127" s="19" t="str">
        <f>IF($D1127&lt;&gt;1,"",IF($G1127="ROKS",$R1127,IF($AI1127=1,0,MAX($N1127,$L1127-SUMIFS(TblApplications[CPU IKS libérable (vCPU)],TblApplications[Cluster IKS source],$F1127,TblApplications[Action],"À migrer",TblApplications[Mois prov (calc)],"&lt;="&amp;$E1127)-SUMIFS(TblApplications[CPU IKS libérable (vCPU)],TblApplications[Cluster IKS source],$F1127,TblApplications[Action],"À décommissionner",TblApplications[Mois lib (calc)],"&lt;="&amp;$E1127)))))</f>
        <v/>
      </c>
      <c r="Y1127" s="19" t="str">
        <f>IF($D1127&lt;&gt;1,"",IF($G1127="ROKS",$S1127,IF($AI1127=1,0,MAX($O1127,$M1127-SUMIFS(TblApplications[RAM IKS libérable (Go)],TblApplications[Cluster IKS source],$F1127,TblApplications[Action],"À migrer",TblApplications[Mois prov (calc)],"&lt;="&amp;$E1127)-SUMIFS(TblApplications[RAM IKS libérable (Go)],TblApplications[Cluster IKS source],$F1127,TblApplications[Action],"À décommissionner",TblApplications[Mois lib (calc)],"&lt;="&amp;$E1127)))))</f>
        <v/>
      </c>
      <c r="Z1127" s="19" t="str">
        <f t="shared" si="298"/>
        <v/>
      </c>
      <c r="AA1127" s="73" t="str">
        <f t="shared" si="299"/>
        <v/>
      </c>
      <c r="AB1127" s="19" t="str">
        <f t="shared" si="300"/>
        <v/>
      </c>
      <c r="AC1127" s="73" t="str">
        <f t="shared" si="301"/>
        <v/>
      </c>
      <c r="AD1127" s="19" t="str">
        <f t="shared" si="302"/>
        <v/>
      </c>
      <c r="AE1127" s="19" t="str">
        <f t="shared" si="303"/>
        <v/>
      </c>
      <c r="AF1127" s="19" t="str">
        <f>IF($D1127&lt;&gt;1,"",IF(INDEX(TblClusters[Environnement],$B1127)="","(vide)",INDEX(TblClusters[Environnement],$B1127)))</f>
        <v/>
      </c>
      <c r="AG1127" s="19" t="str">
        <f t="shared" si="304"/>
        <v/>
      </c>
      <c r="AH1127" s="19" t="str">
        <f t="shared" si="305"/>
        <v/>
      </c>
      <c r="AI1127" s="19" t="str">
        <f>IF($D1127&lt;&gt;1,"",IF(AND($G1127="IKS",ISNUMBER(INDEX(TblClusters[Fermeture retenue],$B1127))),IF($E1127&gt;=INDEX(TblClusters[Fermeture retenue],$B1127),1,0),0))</f>
        <v/>
      </c>
    </row>
    <row r="1128" spans="1:35" x14ac:dyDescent="0.2">
      <c r="A1128" s="19">
        <v>1123</v>
      </c>
      <c r="B1128" s="19">
        <f t="shared" si="289"/>
        <v>32</v>
      </c>
      <c r="C1128" s="19">
        <f t="shared" si="290"/>
        <v>7</v>
      </c>
      <c r="D1128" s="19">
        <f>IF($C1128&gt;p_horizon,0,IFERROR(IF(AND(INDEX(TblClusters[Cluster],$B1128)&lt;&gt;"",ISNUMBER(INDEX(TblClusters[CPU initial (vCPU)],$B1128)),ISNUMBER(INDEX(TblClusters[CPU min (vCPU)],$B1128)),OR(INDEX(TblClusters[Plateforme],$B1128)="IKS",INDEX(TblClusters[Plateforme],$B1128)="ROKS")),1,0),0))</f>
        <v>0</v>
      </c>
      <c r="E1128" s="72" t="str">
        <f t="shared" si="291"/>
        <v/>
      </c>
      <c r="F1128" s="19" t="str">
        <f>IF($D1128=1,INDEX(TblClusters[Cluster],$B1128),"")</f>
        <v/>
      </c>
      <c r="G1128" s="19" t="str">
        <f>IF($D1128=1,INDEX(TblClusters[Plateforme],$B1128),"")</f>
        <v/>
      </c>
      <c r="H1128" s="19" t="str">
        <f>IF($D1128=1,INDEX(TblClusters[vCPU par nœud],$B1128),"")</f>
        <v/>
      </c>
      <c r="I1128" s="19" t="str">
        <f>IF($D1128=1,INDEX(TblClusters[RAM par nœud (Go)],$B1128),"")</f>
        <v/>
      </c>
      <c r="J1128" s="19" t="str">
        <f>IF($D1128=1,INDEX(TblClusters[Workers min],$B1128),"")</f>
        <v/>
      </c>
      <c r="K1128" s="73" t="str">
        <f>IF($D1128=1,INDEX(TblClusters[Tarif par nœud],$B1128),"")</f>
        <v/>
      </c>
      <c r="L1128" s="19" t="str">
        <f>IF($D1128=1,INDEX(TblClusters[CPU initial (vCPU)],$B1128),"")</f>
        <v/>
      </c>
      <c r="M1128" s="19" t="str">
        <f>IF($D1128=1,INDEX(TblClusters[RAM initiale (Go)],$B1128),"")</f>
        <v/>
      </c>
      <c r="N1128" s="19" t="str">
        <f>IF($D1128=1,INDEX(TblClusters[CPU min (vCPU)],$B1128),"")</f>
        <v/>
      </c>
      <c r="O1128" s="19" t="str">
        <f>IF($D1128=1,INDEX(TblClusters[RAM min (Go)],$B1128),"")</f>
        <v/>
      </c>
      <c r="P1128" s="19" t="str">
        <f>IF($D1128&lt;&gt;1,"",IF($G1128="ROKS",SUMIFS(TblApplications[Besoin ROKS CPU (vCPU)],TblApplications[Cluster ROKS cible],$F1128,TblApplications[Action],"À migrer",TblApplications[Déjà incluse ROKS],"Non",TblApplications[Mois prov (calc)],"&lt;="&amp;$E1128),SUMIFS(TblApplications[CPU IKS libérable (vCPU)],TblApplications[Cluster IKS source],$F1128,TblApplications[Mois lib (calc)],"&lt;="&amp;$E1128)))</f>
        <v/>
      </c>
      <c r="Q1128" s="19" t="str">
        <f>IF($D1128&lt;&gt;1,"",IF($G1128="ROKS",SUMIFS(TblApplications[Besoin ROKS RAM (Go)],TblApplications[Cluster ROKS cible],$F1128,TblApplications[Action],"À migrer",TblApplications[Déjà incluse ROKS],"Non",TblApplications[Mois prov (calc)],"&lt;="&amp;$E1128),SUMIFS(TblApplications[RAM IKS libérable (Go)],TblApplications[Cluster IKS source],$F1128,TblApplications[Mois lib (calc)],"&lt;="&amp;$E1128)))</f>
        <v/>
      </c>
      <c r="R1128" s="19" t="str">
        <f t="shared" si="292"/>
        <v/>
      </c>
      <c r="S1128" s="19" t="str">
        <f t="shared" si="293"/>
        <v/>
      </c>
      <c r="T1128" s="19" t="str">
        <f t="shared" si="294"/>
        <v/>
      </c>
      <c r="U1128" s="19" t="str">
        <f t="shared" si="295"/>
        <v/>
      </c>
      <c r="V1128" s="19" t="str">
        <f t="shared" si="296"/>
        <v/>
      </c>
      <c r="W1128" s="73" t="str">
        <f t="shared" si="297"/>
        <v/>
      </c>
      <c r="X1128" s="19" t="str">
        <f>IF($D1128&lt;&gt;1,"",IF($G1128="ROKS",$R1128,IF($AI1128=1,0,MAX($N1128,$L1128-SUMIFS(TblApplications[CPU IKS libérable (vCPU)],TblApplications[Cluster IKS source],$F1128,TblApplications[Action],"À migrer",TblApplications[Mois prov (calc)],"&lt;="&amp;$E1128)-SUMIFS(TblApplications[CPU IKS libérable (vCPU)],TblApplications[Cluster IKS source],$F1128,TblApplications[Action],"À décommissionner",TblApplications[Mois lib (calc)],"&lt;="&amp;$E1128)))))</f>
        <v/>
      </c>
      <c r="Y1128" s="19" t="str">
        <f>IF($D1128&lt;&gt;1,"",IF($G1128="ROKS",$S1128,IF($AI1128=1,0,MAX($O1128,$M1128-SUMIFS(TblApplications[RAM IKS libérable (Go)],TblApplications[Cluster IKS source],$F1128,TblApplications[Action],"À migrer",TblApplications[Mois prov (calc)],"&lt;="&amp;$E1128)-SUMIFS(TblApplications[RAM IKS libérable (Go)],TblApplications[Cluster IKS source],$F1128,TblApplications[Action],"À décommissionner",TblApplications[Mois lib (calc)],"&lt;="&amp;$E1128)))))</f>
        <v/>
      </c>
      <c r="Z1128" s="19" t="str">
        <f t="shared" si="298"/>
        <v/>
      </c>
      <c r="AA1128" s="73" t="str">
        <f t="shared" si="299"/>
        <v/>
      </c>
      <c r="AB1128" s="19" t="str">
        <f t="shared" si="300"/>
        <v/>
      </c>
      <c r="AC1128" s="73" t="str">
        <f t="shared" si="301"/>
        <v/>
      </c>
      <c r="AD1128" s="19" t="str">
        <f t="shared" si="302"/>
        <v/>
      </c>
      <c r="AE1128" s="19" t="str">
        <f t="shared" si="303"/>
        <v/>
      </c>
      <c r="AF1128" s="19" t="str">
        <f>IF($D1128&lt;&gt;1,"",IF(INDEX(TblClusters[Environnement],$B1128)="","(vide)",INDEX(TblClusters[Environnement],$B1128)))</f>
        <v/>
      </c>
      <c r="AG1128" s="19" t="str">
        <f t="shared" si="304"/>
        <v/>
      </c>
      <c r="AH1128" s="19" t="str">
        <f t="shared" si="305"/>
        <v/>
      </c>
      <c r="AI1128" s="19" t="str">
        <f>IF($D1128&lt;&gt;1,"",IF(AND($G1128="IKS",ISNUMBER(INDEX(TblClusters[Fermeture retenue],$B1128))),IF($E1128&gt;=INDEX(TblClusters[Fermeture retenue],$B1128),1,0),0))</f>
        <v/>
      </c>
    </row>
    <row r="1129" spans="1:35" x14ac:dyDescent="0.2">
      <c r="A1129" s="19">
        <v>1124</v>
      </c>
      <c r="B1129" s="19">
        <f t="shared" si="289"/>
        <v>32</v>
      </c>
      <c r="C1129" s="19">
        <f t="shared" si="290"/>
        <v>8</v>
      </c>
      <c r="D1129" s="19">
        <f>IF($C1129&gt;p_horizon,0,IFERROR(IF(AND(INDEX(TblClusters[Cluster],$B1129)&lt;&gt;"",ISNUMBER(INDEX(TblClusters[CPU initial (vCPU)],$B1129)),ISNUMBER(INDEX(TblClusters[CPU min (vCPU)],$B1129)),OR(INDEX(TblClusters[Plateforme],$B1129)="IKS",INDEX(TblClusters[Plateforme],$B1129)="ROKS")),1,0),0))</f>
        <v>0</v>
      </c>
      <c r="E1129" s="72" t="str">
        <f t="shared" si="291"/>
        <v/>
      </c>
      <c r="F1129" s="19" t="str">
        <f>IF($D1129=1,INDEX(TblClusters[Cluster],$B1129),"")</f>
        <v/>
      </c>
      <c r="G1129" s="19" t="str">
        <f>IF($D1129=1,INDEX(TblClusters[Plateforme],$B1129),"")</f>
        <v/>
      </c>
      <c r="H1129" s="19" t="str">
        <f>IF($D1129=1,INDEX(TblClusters[vCPU par nœud],$B1129),"")</f>
        <v/>
      </c>
      <c r="I1129" s="19" t="str">
        <f>IF($D1129=1,INDEX(TblClusters[RAM par nœud (Go)],$B1129),"")</f>
        <v/>
      </c>
      <c r="J1129" s="19" t="str">
        <f>IF($D1129=1,INDEX(TblClusters[Workers min],$B1129),"")</f>
        <v/>
      </c>
      <c r="K1129" s="73" t="str">
        <f>IF($D1129=1,INDEX(TblClusters[Tarif par nœud],$B1129),"")</f>
        <v/>
      </c>
      <c r="L1129" s="19" t="str">
        <f>IF($D1129=1,INDEX(TblClusters[CPU initial (vCPU)],$B1129),"")</f>
        <v/>
      </c>
      <c r="M1129" s="19" t="str">
        <f>IF($D1129=1,INDEX(TblClusters[RAM initiale (Go)],$B1129),"")</f>
        <v/>
      </c>
      <c r="N1129" s="19" t="str">
        <f>IF($D1129=1,INDEX(TblClusters[CPU min (vCPU)],$B1129),"")</f>
        <v/>
      </c>
      <c r="O1129" s="19" t="str">
        <f>IF($D1129=1,INDEX(TblClusters[RAM min (Go)],$B1129),"")</f>
        <v/>
      </c>
      <c r="P1129" s="19" t="str">
        <f>IF($D1129&lt;&gt;1,"",IF($G1129="ROKS",SUMIFS(TblApplications[Besoin ROKS CPU (vCPU)],TblApplications[Cluster ROKS cible],$F1129,TblApplications[Action],"À migrer",TblApplications[Déjà incluse ROKS],"Non",TblApplications[Mois prov (calc)],"&lt;="&amp;$E1129),SUMIFS(TblApplications[CPU IKS libérable (vCPU)],TblApplications[Cluster IKS source],$F1129,TblApplications[Mois lib (calc)],"&lt;="&amp;$E1129)))</f>
        <v/>
      </c>
      <c r="Q1129" s="19" t="str">
        <f>IF($D1129&lt;&gt;1,"",IF($G1129="ROKS",SUMIFS(TblApplications[Besoin ROKS RAM (Go)],TblApplications[Cluster ROKS cible],$F1129,TblApplications[Action],"À migrer",TblApplications[Déjà incluse ROKS],"Non",TblApplications[Mois prov (calc)],"&lt;="&amp;$E1129),SUMIFS(TblApplications[RAM IKS libérable (Go)],TblApplications[Cluster IKS source],$F1129,TblApplications[Mois lib (calc)],"&lt;="&amp;$E1129)))</f>
        <v/>
      </c>
      <c r="R1129" s="19" t="str">
        <f t="shared" si="292"/>
        <v/>
      </c>
      <c r="S1129" s="19" t="str">
        <f t="shared" si="293"/>
        <v/>
      </c>
      <c r="T1129" s="19" t="str">
        <f t="shared" si="294"/>
        <v/>
      </c>
      <c r="U1129" s="19" t="str">
        <f t="shared" si="295"/>
        <v/>
      </c>
      <c r="V1129" s="19" t="str">
        <f t="shared" si="296"/>
        <v/>
      </c>
      <c r="W1129" s="73" t="str">
        <f t="shared" si="297"/>
        <v/>
      </c>
      <c r="X1129" s="19" t="str">
        <f>IF($D1129&lt;&gt;1,"",IF($G1129="ROKS",$R1129,IF($AI1129=1,0,MAX($N1129,$L1129-SUMIFS(TblApplications[CPU IKS libérable (vCPU)],TblApplications[Cluster IKS source],$F1129,TblApplications[Action],"À migrer",TblApplications[Mois prov (calc)],"&lt;="&amp;$E1129)-SUMIFS(TblApplications[CPU IKS libérable (vCPU)],TblApplications[Cluster IKS source],$F1129,TblApplications[Action],"À décommissionner",TblApplications[Mois lib (calc)],"&lt;="&amp;$E1129)))))</f>
        <v/>
      </c>
      <c r="Y1129" s="19" t="str">
        <f>IF($D1129&lt;&gt;1,"",IF($G1129="ROKS",$S1129,IF($AI1129=1,0,MAX($O1129,$M1129-SUMIFS(TblApplications[RAM IKS libérable (Go)],TblApplications[Cluster IKS source],$F1129,TblApplications[Action],"À migrer",TblApplications[Mois prov (calc)],"&lt;="&amp;$E1129)-SUMIFS(TblApplications[RAM IKS libérable (Go)],TblApplications[Cluster IKS source],$F1129,TblApplications[Action],"À décommissionner",TblApplications[Mois lib (calc)],"&lt;="&amp;$E1129)))))</f>
        <v/>
      </c>
      <c r="Z1129" s="19" t="str">
        <f t="shared" si="298"/>
        <v/>
      </c>
      <c r="AA1129" s="73" t="str">
        <f t="shared" si="299"/>
        <v/>
      </c>
      <c r="AB1129" s="19" t="str">
        <f t="shared" si="300"/>
        <v/>
      </c>
      <c r="AC1129" s="73" t="str">
        <f t="shared" si="301"/>
        <v/>
      </c>
      <c r="AD1129" s="19" t="str">
        <f t="shared" si="302"/>
        <v/>
      </c>
      <c r="AE1129" s="19" t="str">
        <f t="shared" si="303"/>
        <v/>
      </c>
      <c r="AF1129" s="19" t="str">
        <f>IF($D1129&lt;&gt;1,"",IF(INDEX(TblClusters[Environnement],$B1129)="","(vide)",INDEX(TblClusters[Environnement],$B1129)))</f>
        <v/>
      </c>
      <c r="AG1129" s="19" t="str">
        <f t="shared" si="304"/>
        <v/>
      </c>
      <c r="AH1129" s="19" t="str">
        <f t="shared" si="305"/>
        <v/>
      </c>
      <c r="AI1129" s="19" t="str">
        <f>IF($D1129&lt;&gt;1,"",IF(AND($G1129="IKS",ISNUMBER(INDEX(TblClusters[Fermeture retenue],$B1129))),IF($E1129&gt;=INDEX(TblClusters[Fermeture retenue],$B1129),1,0),0))</f>
        <v/>
      </c>
    </row>
    <row r="1130" spans="1:35" x14ac:dyDescent="0.2">
      <c r="A1130" s="19">
        <v>1125</v>
      </c>
      <c r="B1130" s="19">
        <f t="shared" si="289"/>
        <v>32</v>
      </c>
      <c r="C1130" s="19">
        <f t="shared" si="290"/>
        <v>9</v>
      </c>
      <c r="D1130" s="19">
        <f>IF($C1130&gt;p_horizon,0,IFERROR(IF(AND(INDEX(TblClusters[Cluster],$B1130)&lt;&gt;"",ISNUMBER(INDEX(TblClusters[CPU initial (vCPU)],$B1130)),ISNUMBER(INDEX(TblClusters[CPU min (vCPU)],$B1130)),OR(INDEX(TblClusters[Plateforme],$B1130)="IKS",INDEX(TblClusters[Plateforme],$B1130)="ROKS")),1,0),0))</f>
        <v>0</v>
      </c>
      <c r="E1130" s="72" t="str">
        <f t="shared" si="291"/>
        <v/>
      </c>
      <c r="F1130" s="19" t="str">
        <f>IF($D1130=1,INDEX(TblClusters[Cluster],$B1130),"")</f>
        <v/>
      </c>
      <c r="G1130" s="19" t="str">
        <f>IF($D1130=1,INDEX(TblClusters[Plateforme],$B1130),"")</f>
        <v/>
      </c>
      <c r="H1130" s="19" t="str">
        <f>IF($D1130=1,INDEX(TblClusters[vCPU par nœud],$B1130),"")</f>
        <v/>
      </c>
      <c r="I1130" s="19" t="str">
        <f>IF($D1130=1,INDEX(TblClusters[RAM par nœud (Go)],$B1130),"")</f>
        <v/>
      </c>
      <c r="J1130" s="19" t="str">
        <f>IF($D1130=1,INDEX(TblClusters[Workers min],$B1130),"")</f>
        <v/>
      </c>
      <c r="K1130" s="73" t="str">
        <f>IF($D1130=1,INDEX(TblClusters[Tarif par nœud],$B1130),"")</f>
        <v/>
      </c>
      <c r="L1130" s="19" t="str">
        <f>IF($D1130=1,INDEX(TblClusters[CPU initial (vCPU)],$B1130),"")</f>
        <v/>
      </c>
      <c r="M1130" s="19" t="str">
        <f>IF($D1130=1,INDEX(TblClusters[RAM initiale (Go)],$B1130),"")</f>
        <v/>
      </c>
      <c r="N1130" s="19" t="str">
        <f>IF($D1130=1,INDEX(TblClusters[CPU min (vCPU)],$B1130),"")</f>
        <v/>
      </c>
      <c r="O1130" s="19" t="str">
        <f>IF($D1130=1,INDEX(TblClusters[RAM min (Go)],$B1130),"")</f>
        <v/>
      </c>
      <c r="P1130" s="19" t="str">
        <f>IF($D1130&lt;&gt;1,"",IF($G1130="ROKS",SUMIFS(TblApplications[Besoin ROKS CPU (vCPU)],TblApplications[Cluster ROKS cible],$F1130,TblApplications[Action],"À migrer",TblApplications[Déjà incluse ROKS],"Non",TblApplications[Mois prov (calc)],"&lt;="&amp;$E1130),SUMIFS(TblApplications[CPU IKS libérable (vCPU)],TblApplications[Cluster IKS source],$F1130,TblApplications[Mois lib (calc)],"&lt;="&amp;$E1130)))</f>
        <v/>
      </c>
      <c r="Q1130" s="19" t="str">
        <f>IF($D1130&lt;&gt;1,"",IF($G1130="ROKS",SUMIFS(TblApplications[Besoin ROKS RAM (Go)],TblApplications[Cluster ROKS cible],$F1130,TblApplications[Action],"À migrer",TblApplications[Déjà incluse ROKS],"Non",TblApplications[Mois prov (calc)],"&lt;="&amp;$E1130),SUMIFS(TblApplications[RAM IKS libérable (Go)],TblApplications[Cluster IKS source],$F1130,TblApplications[Mois lib (calc)],"&lt;="&amp;$E1130)))</f>
        <v/>
      </c>
      <c r="R1130" s="19" t="str">
        <f t="shared" si="292"/>
        <v/>
      </c>
      <c r="S1130" s="19" t="str">
        <f t="shared" si="293"/>
        <v/>
      </c>
      <c r="T1130" s="19" t="str">
        <f t="shared" si="294"/>
        <v/>
      </c>
      <c r="U1130" s="19" t="str">
        <f t="shared" si="295"/>
        <v/>
      </c>
      <c r="V1130" s="19" t="str">
        <f t="shared" si="296"/>
        <v/>
      </c>
      <c r="W1130" s="73" t="str">
        <f t="shared" si="297"/>
        <v/>
      </c>
      <c r="X1130" s="19" t="str">
        <f>IF($D1130&lt;&gt;1,"",IF($G1130="ROKS",$R1130,IF($AI1130=1,0,MAX($N1130,$L1130-SUMIFS(TblApplications[CPU IKS libérable (vCPU)],TblApplications[Cluster IKS source],$F1130,TblApplications[Action],"À migrer",TblApplications[Mois prov (calc)],"&lt;="&amp;$E1130)-SUMIFS(TblApplications[CPU IKS libérable (vCPU)],TblApplications[Cluster IKS source],$F1130,TblApplications[Action],"À décommissionner",TblApplications[Mois lib (calc)],"&lt;="&amp;$E1130)))))</f>
        <v/>
      </c>
      <c r="Y1130" s="19" t="str">
        <f>IF($D1130&lt;&gt;1,"",IF($G1130="ROKS",$S1130,IF($AI1130=1,0,MAX($O1130,$M1130-SUMIFS(TblApplications[RAM IKS libérable (Go)],TblApplications[Cluster IKS source],$F1130,TblApplications[Action],"À migrer",TblApplications[Mois prov (calc)],"&lt;="&amp;$E1130)-SUMIFS(TblApplications[RAM IKS libérable (Go)],TblApplications[Cluster IKS source],$F1130,TblApplications[Action],"À décommissionner",TblApplications[Mois lib (calc)],"&lt;="&amp;$E1130)))))</f>
        <v/>
      </c>
      <c r="Z1130" s="19" t="str">
        <f t="shared" si="298"/>
        <v/>
      </c>
      <c r="AA1130" s="73" t="str">
        <f t="shared" si="299"/>
        <v/>
      </c>
      <c r="AB1130" s="19" t="str">
        <f t="shared" si="300"/>
        <v/>
      </c>
      <c r="AC1130" s="73" t="str">
        <f t="shared" si="301"/>
        <v/>
      </c>
      <c r="AD1130" s="19" t="str">
        <f t="shared" si="302"/>
        <v/>
      </c>
      <c r="AE1130" s="19" t="str">
        <f t="shared" si="303"/>
        <v/>
      </c>
      <c r="AF1130" s="19" t="str">
        <f>IF($D1130&lt;&gt;1,"",IF(INDEX(TblClusters[Environnement],$B1130)="","(vide)",INDEX(TblClusters[Environnement],$B1130)))</f>
        <v/>
      </c>
      <c r="AG1130" s="19" t="str">
        <f t="shared" si="304"/>
        <v/>
      </c>
      <c r="AH1130" s="19" t="str">
        <f t="shared" si="305"/>
        <v/>
      </c>
      <c r="AI1130" s="19" t="str">
        <f>IF($D1130&lt;&gt;1,"",IF(AND($G1130="IKS",ISNUMBER(INDEX(TblClusters[Fermeture retenue],$B1130))),IF($E1130&gt;=INDEX(TblClusters[Fermeture retenue],$B1130),1,0),0))</f>
        <v/>
      </c>
    </row>
    <row r="1131" spans="1:35" x14ac:dyDescent="0.2">
      <c r="A1131" s="19">
        <v>1126</v>
      </c>
      <c r="B1131" s="19">
        <f t="shared" si="289"/>
        <v>32</v>
      </c>
      <c r="C1131" s="19">
        <f t="shared" si="290"/>
        <v>10</v>
      </c>
      <c r="D1131" s="19">
        <f>IF($C1131&gt;p_horizon,0,IFERROR(IF(AND(INDEX(TblClusters[Cluster],$B1131)&lt;&gt;"",ISNUMBER(INDEX(TblClusters[CPU initial (vCPU)],$B1131)),ISNUMBER(INDEX(TblClusters[CPU min (vCPU)],$B1131)),OR(INDEX(TblClusters[Plateforme],$B1131)="IKS",INDEX(TblClusters[Plateforme],$B1131)="ROKS")),1,0),0))</f>
        <v>0</v>
      </c>
      <c r="E1131" s="72" t="str">
        <f t="shared" si="291"/>
        <v/>
      </c>
      <c r="F1131" s="19" t="str">
        <f>IF($D1131=1,INDEX(TblClusters[Cluster],$B1131),"")</f>
        <v/>
      </c>
      <c r="G1131" s="19" t="str">
        <f>IF($D1131=1,INDEX(TblClusters[Plateforme],$B1131),"")</f>
        <v/>
      </c>
      <c r="H1131" s="19" t="str">
        <f>IF($D1131=1,INDEX(TblClusters[vCPU par nœud],$B1131),"")</f>
        <v/>
      </c>
      <c r="I1131" s="19" t="str">
        <f>IF($D1131=1,INDEX(TblClusters[RAM par nœud (Go)],$B1131),"")</f>
        <v/>
      </c>
      <c r="J1131" s="19" t="str">
        <f>IF($D1131=1,INDEX(TblClusters[Workers min],$B1131),"")</f>
        <v/>
      </c>
      <c r="K1131" s="73" t="str">
        <f>IF($D1131=1,INDEX(TblClusters[Tarif par nœud],$B1131),"")</f>
        <v/>
      </c>
      <c r="L1131" s="19" t="str">
        <f>IF($D1131=1,INDEX(TblClusters[CPU initial (vCPU)],$B1131),"")</f>
        <v/>
      </c>
      <c r="M1131" s="19" t="str">
        <f>IF($D1131=1,INDEX(TblClusters[RAM initiale (Go)],$B1131),"")</f>
        <v/>
      </c>
      <c r="N1131" s="19" t="str">
        <f>IF($D1131=1,INDEX(TblClusters[CPU min (vCPU)],$B1131),"")</f>
        <v/>
      </c>
      <c r="O1131" s="19" t="str">
        <f>IF($D1131=1,INDEX(TblClusters[RAM min (Go)],$B1131),"")</f>
        <v/>
      </c>
      <c r="P1131" s="19" t="str">
        <f>IF($D1131&lt;&gt;1,"",IF($G1131="ROKS",SUMIFS(TblApplications[Besoin ROKS CPU (vCPU)],TblApplications[Cluster ROKS cible],$F1131,TblApplications[Action],"À migrer",TblApplications[Déjà incluse ROKS],"Non",TblApplications[Mois prov (calc)],"&lt;="&amp;$E1131),SUMIFS(TblApplications[CPU IKS libérable (vCPU)],TblApplications[Cluster IKS source],$F1131,TblApplications[Mois lib (calc)],"&lt;="&amp;$E1131)))</f>
        <v/>
      </c>
      <c r="Q1131" s="19" t="str">
        <f>IF($D1131&lt;&gt;1,"",IF($G1131="ROKS",SUMIFS(TblApplications[Besoin ROKS RAM (Go)],TblApplications[Cluster ROKS cible],$F1131,TblApplications[Action],"À migrer",TblApplications[Déjà incluse ROKS],"Non",TblApplications[Mois prov (calc)],"&lt;="&amp;$E1131),SUMIFS(TblApplications[RAM IKS libérable (Go)],TblApplications[Cluster IKS source],$F1131,TblApplications[Mois lib (calc)],"&lt;="&amp;$E1131)))</f>
        <v/>
      </c>
      <c r="R1131" s="19" t="str">
        <f t="shared" si="292"/>
        <v/>
      </c>
      <c r="S1131" s="19" t="str">
        <f t="shared" si="293"/>
        <v/>
      </c>
      <c r="T1131" s="19" t="str">
        <f t="shared" si="294"/>
        <v/>
      </c>
      <c r="U1131" s="19" t="str">
        <f t="shared" si="295"/>
        <v/>
      </c>
      <c r="V1131" s="19" t="str">
        <f t="shared" si="296"/>
        <v/>
      </c>
      <c r="W1131" s="73" t="str">
        <f t="shared" si="297"/>
        <v/>
      </c>
      <c r="X1131" s="19" t="str">
        <f>IF($D1131&lt;&gt;1,"",IF($G1131="ROKS",$R1131,IF($AI1131=1,0,MAX($N1131,$L1131-SUMIFS(TblApplications[CPU IKS libérable (vCPU)],TblApplications[Cluster IKS source],$F1131,TblApplications[Action],"À migrer",TblApplications[Mois prov (calc)],"&lt;="&amp;$E1131)-SUMIFS(TblApplications[CPU IKS libérable (vCPU)],TblApplications[Cluster IKS source],$F1131,TblApplications[Action],"À décommissionner",TblApplications[Mois lib (calc)],"&lt;="&amp;$E1131)))))</f>
        <v/>
      </c>
      <c r="Y1131" s="19" t="str">
        <f>IF($D1131&lt;&gt;1,"",IF($G1131="ROKS",$S1131,IF($AI1131=1,0,MAX($O1131,$M1131-SUMIFS(TblApplications[RAM IKS libérable (Go)],TblApplications[Cluster IKS source],$F1131,TblApplications[Action],"À migrer",TblApplications[Mois prov (calc)],"&lt;="&amp;$E1131)-SUMIFS(TblApplications[RAM IKS libérable (Go)],TblApplications[Cluster IKS source],$F1131,TblApplications[Action],"À décommissionner",TblApplications[Mois lib (calc)],"&lt;="&amp;$E1131)))))</f>
        <v/>
      </c>
      <c r="Z1131" s="19" t="str">
        <f t="shared" si="298"/>
        <v/>
      </c>
      <c r="AA1131" s="73" t="str">
        <f t="shared" si="299"/>
        <v/>
      </c>
      <c r="AB1131" s="19" t="str">
        <f t="shared" si="300"/>
        <v/>
      </c>
      <c r="AC1131" s="73" t="str">
        <f t="shared" si="301"/>
        <v/>
      </c>
      <c r="AD1131" s="19" t="str">
        <f t="shared" si="302"/>
        <v/>
      </c>
      <c r="AE1131" s="19" t="str">
        <f t="shared" si="303"/>
        <v/>
      </c>
      <c r="AF1131" s="19" t="str">
        <f>IF($D1131&lt;&gt;1,"",IF(INDEX(TblClusters[Environnement],$B1131)="","(vide)",INDEX(TblClusters[Environnement],$B1131)))</f>
        <v/>
      </c>
      <c r="AG1131" s="19" t="str">
        <f t="shared" si="304"/>
        <v/>
      </c>
      <c r="AH1131" s="19" t="str">
        <f t="shared" si="305"/>
        <v/>
      </c>
      <c r="AI1131" s="19" t="str">
        <f>IF($D1131&lt;&gt;1,"",IF(AND($G1131="IKS",ISNUMBER(INDEX(TblClusters[Fermeture retenue],$B1131))),IF($E1131&gt;=INDEX(TblClusters[Fermeture retenue],$B1131),1,0),0))</f>
        <v/>
      </c>
    </row>
    <row r="1132" spans="1:35" x14ac:dyDescent="0.2">
      <c r="A1132" s="19">
        <v>1127</v>
      </c>
      <c r="B1132" s="19">
        <f t="shared" si="289"/>
        <v>32</v>
      </c>
      <c r="C1132" s="19">
        <f t="shared" si="290"/>
        <v>11</v>
      </c>
      <c r="D1132" s="19">
        <f>IF($C1132&gt;p_horizon,0,IFERROR(IF(AND(INDEX(TblClusters[Cluster],$B1132)&lt;&gt;"",ISNUMBER(INDEX(TblClusters[CPU initial (vCPU)],$B1132)),ISNUMBER(INDEX(TblClusters[CPU min (vCPU)],$B1132)),OR(INDEX(TblClusters[Plateforme],$B1132)="IKS",INDEX(TblClusters[Plateforme],$B1132)="ROKS")),1,0),0))</f>
        <v>0</v>
      </c>
      <c r="E1132" s="72" t="str">
        <f t="shared" si="291"/>
        <v/>
      </c>
      <c r="F1132" s="19" t="str">
        <f>IF($D1132=1,INDEX(TblClusters[Cluster],$B1132),"")</f>
        <v/>
      </c>
      <c r="G1132" s="19" t="str">
        <f>IF($D1132=1,INDEX(TblClusters[Plateforme],$B1132),"")</f>
        <v/>
      </c>
      <c r="H1132" s="19" t="str">
        <f>IF($D1132=1,INDEX(TblClusters[vCPU par nœud],$B1132),"")</f>
        <v/>
      </c>
      <c r="I1132" s="19" t="str">
        <f>IF($D1132=1,INDEX(TblClusters[RAM par nœud (Go)],$B1132),"")</f>
        <v/>
      </c>
      <c r="J1132" s="19" t="str">
        <f>IF($D1132=1,INDEX(TblClusters[Workers min],$B1132),"")</f>
        <v/>
      </c>
      <c r="K1132" s="73" t="str">
        <f>IF($D1132=1,INDEX(TblClusters[Tarif par nœud],$B1132),"")</f>
        <v/>
      </c>
      <c r="L1132" s="19" t="str">
        <f>IF($D1132=1,INDEX(TblClusters[CPU initial (vCPU)],$B1132),"")</f>
        <v/>
      </c>
      <c r="M1132" s="19" t="str">
        <f>IF($D1132=1,INDEX(TblClusters[RAM initiale (Go)],$B1132),"")</f>
        <v/>
      </c>
      <c r="N1132" s="19" t="str">
        <f>IF($D1132=1,INDEX(TblClusters[CPU min (vCPU)],$B1132),"")</f>
        <v/>
      </c>
      <c r="O1132" s="19" t="str">
        <f>IF($D1132=1,INDEX(TblClusters[RAM min (Go)],$B1132),"")</f>
        <v/>
      </c>
      <c r="P1132" s="19" t="str">
        <f>IF($D1132&lt;&gt;1,"",IF($G1132="ROKS",SUMIFS(TblApplications[Besoin ROKS CPU (vCPU)],TblApplications[Cluster ROKS cible],$F1132,TblApplications[Action],"À migrer",TblApplications[Déjà incluse ROKS],"Non",TblApplications[Mois prov (calc)],"&lt;="&amp;$E1132),SUMIFS(TblApplications[CPU IKS libérable (vCPU)],TblApplications[Cluster IKS source],$F1132,TblApplications[Mois lib (calc)],"&lt;="&amp;$E1132)))</f>
        <v/>
      </c>
      <c r="Q1132" s="19" t="str">
        <f>IF($D1132&lt;&gt;1,"",IF($G1132="ROKS",SUMIFS(TblApplications[Besoin ROKS RAM (Go)],TblApplications[Cluster ROKS cible],$F1132,TblApplications[Action],"À migrer",TblApplications[Déjà incluse ROKS],"Non",TblApplications[Mois prov (calc)],"&lt;="&amp;$E1132),SUMIFS(TblApplications[RAM IKS libérable (Go)],TblApplications[Cluster IKS source],$F1132,TblApplications[Mois lib (calc)],"&lt;="&amp;$E1132)))</f>
        <v/>
      </c>
      <c r="R1132" s="19" t="str">
        <f t="shared" si="292"/>
        <v/>
      </c>
      <c r="S1132" s="19" t="str">
        <f t="shared" si="293"/>
        <v/>
      </c>
      <c r="T1132" s="19" t="str">
        <f t="shared" si="294"/>
        <v/>
      </c>
      <c r="U1132" s="19" t="str">
        <f t="shared" si="295"/>
        <v/>
      </c>
      <c r="V1132" s="19" t="str">
        <f t="shared" si="296"/>
        <v/>
      </c>
      <c r="W1132" s="73" t="str">
        <f t="shared" si="297"/>
        <v/>
      </c>
      <c r="X1132" s="19" t="str">
        <f>IF($D1132&lt;&gt;1,"",IF($G1132="ROKS",$R1132,IF($AI1132=1,0,MAX($N1132,$L1132-SUMIFS(TblApplications[CPU IKS libérable (vCPU)],TblApplications[Cluster IKS source],$F1132,TblApplications[Action],"À migrer",TblApplications[Mois prov (calc)],"&lt;="&amp;$E1132)-SUMIFS(TblApplications[CPU IKS libérable (vCPU)],TblApplications[Cluster IKS source],$F1132,TblApplications[Action],"À décommissionner",TblApplications[Mois lib (calc)],"&lt;="&amp;$E1132)))))</f>
        <v/>
      </c>
      <c r="Y1132" s="19" t="str">
        <f>IF($D1132&lt;&gt;1,"",IF($G1132="ROKS",$S1132,IF($AI1132=1,0,MAX($O1132,$M1132-SUMIFS(TblApplications[RAM IKS libérable (Go)],TblApplications[Cluster IKS source],$F1132,TblApplications[Action],"À migrer",TblApplications[Mois prov (calc)],"&lt;="&amp;$E1132)-SUMIFS(TblApplications[RAM IKS libérable (Go)],TblApplications[Cluster IKS source],$F1132,TblApplications[Action],"À décommissionner",TblApplications[Mois lib (calc)],"&lt;="&amp;$E1132)))))</f>
        <v/>
      </c>
      <c r="Z1132" s="19" t="str">
        <f t="shared" si="298"/>
        <v/>
      </c>
      <c r="AA1132" s="73" t="str">
        <f t="shared" si="299"/>
        <v/>
      </c>
      <c r="AB1132" s="19" t="str">
        <f t="shared" si="300"/>
        <v/>
      </c>
      <c r="AC1132" s="73" t="str">
        <f t="shared" si="301"/>
        <v/>
      </c>
      <c r="AD1132" s="19" t="str">
        <f t="shared" si="302"/>
        <v/>
      </c>
      <c r="AE1132" s="19" t="str">
        <f t="shared" si="303"/>
        <v/>
      </c>
      <c r="AF1132" s="19" t="str">
        <f>IF($D1132&lt;&gt;1,"",IF(INDEX(TblClusters[Environnement],$B1132)="","(vide)",INDEX(TblClusters[Environnement],$B1132)))</f>
        <v/>
      </c>
      <c r="AG1132" s="19" t="str">
        <f t="shared" si="304"/>
        <v/>
      </c>
      <c r="AH1132" s="19" t="str">
        <f t="shared" si="305"/>
        <v/>
      </c>
      <c r="AI1132" s="19" t="str">
        <f>IF($D1132&lt;&gt;1,"",IF(AND($G1132="IKS",ISNUMBER(INDEX(TblClusters[Fermeture retenue],$B1132))),IF($E1132&gt;=INDEX(TblClusters[Fermeture retenue],$B1132),1,0),0))</f>
        <v/>
      </c>
    </row>
    <row r="1133" spans="1:35" x14ac:dyDescent="0.2">
      <c r="A1133" s="19">
        <v>1128</v>
      </c>
      <c r="B1133" s="19">
        <f t="shared" si="289"/>
        <v>32</v>
      </c>
      <c r="C1133" s="19">
        <f t="shared" si="290"/>
        <v>12</v>
      </c>
      <c r="D1133" s="19">
        <f>IF($C1133&gt;p_horizon,0,IFERROR(IF(AND(INDEX(TblClusters[Cluster],$B1133)&lt;&gt;"",ISNUMBER(INDEX(TblClusters[CPU initial (vCPU)],$B1133)),ISNUMBER(INDEX(TblClusters[CPU min (vCPU)],$B1133)),OR(INDEX(TblClusters[Plateforme],$B1133)="IKS",INDEX(TblClusters[Plateforme],$B1133)="ROKS")),1,0),0))</f>
        <v>0</v>
      </c>
      <c r="E1133" s="72" t="str">
        <f t="shared" si="291"/>
        <v/>
      </c>
      <c r="F1133" s="19" t="str">
        <f>IF($D1133=1,INDEX(TblClusters[Cluster],$B1133),"")</f>
        <v/>
      </c>
      <c r="G1133" s="19" t="str">
        <f>IF($D1133=1,INDEX(TblClusters[Plateforme],$B1133),"")</f>
        <v/>
      </c>
      <c r="H1133" s="19" t="str">
        <f>IF($D1133=1,INDEX(TblClusters[vCPU par nœud],$B1133),"")</f>
        <v/>
      </c>
      <c r="I1133" s="19" t="str">
        <f>IF($D1133=1,INDEX(TblClusters[RAM par nœud (Go)],$B1133),"")</f>
        <v/>
      </c>
      <c r="J1133" s="19" t="str">
        <f>IF($D1133=1,INDEX(TblClusters[Workers min],$B1133),"")</f>
        <v/>
      </c>
      <c r="K1133" s="73" t="str">
        <f>IF($D1133=1,INDEX(TblClusters[Tarif par nœud],$B1133),"")</f>
        <v/>
      </c>
      <c r="L1133" s="19" t="str">
        <f>IF($D1133=1,INDEX(TblClusters[CPU initial (vCPU)],$B1133),"")</f>
        <v/>
      </c>
      <c r="M1133" s="19" t="str">
        <f>IF($D1133=1,INDEX(TblClusters[RAM initiale (Go)],$B1133),"")</f>
        <v/>
      </c>
      <c r="N1133" s="19" t="str">
        <f>IF($D1133=1,INDEX(TblClusters[CPU min (vCPU)],$B1133),"")</f>
        <v/>
      </c>
      <c r="O1133" s="19" t="str">
        <f>IF($D1133=1,INDEX(TblClusters[RAM min (Go)],$B1133),"")</f>
        <v/>
      </c>
      <c r="P1133" s="19" t="str">
        <f>IF($D1133&lt;&gt;1,"",IF($G1133="ROKS",SUMIFS(TblApplications[Besoin ROKS CPU (vCPU)],TblApplications[Cluster ROKS cible],$F1133,TblApplications[Action],"À migrer",TblApplications[Déjà incluse ROKS],"Non",TblApplications[Mois prov (calc)],"&lt;="&amp;$E1133),SUMIFS(TblApplications[CPU IKS libérable (vCPU)],TblApplications[Cluster IKS source],$F1133,TblApplications[Mois lib (calc)],"&lt;="&amp;$E1133)))</f>
        <v/>
      </c>
      <c r="Q1133" s="19" t="str">
        <f>IF($D1133&lt;&gt;1,"",IF($G1133="ROKS",SUMIFS(TblApplications[Besoin ROKS RAM (Go)],TblApplications[Cluster ROKS cible],$F1133,TblApplications[Action],"À migrer",TblApplications[Déjà incluse ROKS],"Non",TblApplications[Mois prov (calc)],"&lt;="&amp;$E1133),SUMIFS(TblApplications[RAM IKS libérable (Go)],TblApplications[Cluster IKS source],$F1133,TblApplications[Mois lib (calc)],"&lt;="&amp;$E1133)))</f>
        <v/>
      </c>
      <c r="R1133" s="19" t="str">
        <f t="shared" si="292"/>
        <v/>
      </c>
      <c r="S1133" s="19" t="str">
        <f t="shared" si="293"/>
        <v/>
      </c>
      <c r="T1133" s="19" t="str">
        <f t="shared" si="294"/>
        <v/>
      </c>
      <c r="U1133" s="19" t="str">
        <f t="shared" si="295"/>
        <v/>
      </c>
      <c r="V1133" s="19" t="str">
        <f t="shared" si="296"/>
        <v/>
      </c>
      <c r="W1133" s="73" t="str">
        <f t="shared" si="297"/>
        <v/>
      </c>
      <c r="X1133" s="19" t="str">
        <f>IF($D1133&lt;&gt;1,"",IF($G1133="ROKS",$R1133,IF($AI1133=1,0,MAX($N1133,$L1133-SUMIFS(TblApplications[CPU IKS libérable (vCPU)],TblApplications[Cluster IKS source],$F1133,TblApplications[Action],"À migrer",TblApplications[Mois prov (calc)],"&lt;="&amp;$E1133)-SUMIFS(TblApplications[CPU IKS libérable (vCPU)],TblApplications[Cluster IKS source],$F1133,TblApplications[Action],"À décommissionner",TblApplications[Mois lib (calc)],"&lt;="&amp;$E1133)))))</f>
        <v/>
      </c>
      <c r="Y1133" s="19" t="str">
        <f>IF($D1133&lt;&gt;1,"",IF($G1133="ROKS",$S1133,IF($AI1133=1,0,MAX($O1133,$M1133-SUMIFS(TblApplications[RAM IKS libérable (Go)],TblApplications[Cluster IKS source],$F1133,TblApplications[Action],"À migrer",TblApplications[Mois prov (calc)],"&lt;="&amp;$E1133)-SUMIFS(TblApplications[RAM IKS libérable (Go)],TblApplications[Cluster IKS source],$F1133,TblApplications[Action],"À décommissionner",TblApplications[Mois lib (calc)],"&lt;="&amp;$E1133)))))</f>
        <v/>
      </c>
      <c r="Z1133" s="19" t="str">
        <f t="shared" si="298"/>
        <v/>
      </c>
      <c r="AA1133" s="73" t="str">
        <f t="shared" si="299"/>
        <v/>
      </c>
      <c r="AB1133" s="19" t="str">
        <f t="shared" si="300"/>
        <v/>
      </c>
      <c r="AC1133" s="73" t="str">
        <f t="shared" si="301"/>
        <v/>
      </c>
      <c r="AD1133" s="19" t="str">
        <f t="shared" si="302"/>
        <v/>
      </c>
      <c r="AE1133" s="19" t="str">
        <f t="shared" si="303"/>
        <v/>
      </c>
      <c r="AF1133" s="19" t="str">
        <f>IF($D1133&lt;&gt;1,"",IF(INDEX(TblClusters[Environnement],$B1133)="","(vide)",INDEX(TblClusters[Environnement],$B1133)))</f>
        <v/>
      </c>
      <c r="AG1133" s="19" t="str">
        <f t="shared" si="304"/>
        <v/>
      </c>
      <c r="AH1133" s="19" t="str">
        <f t="shared" si="305"/>
        <v/>
      </c>
      <c r="AI1133" s="19" t="str">
        <f>IF($D1133&lt;&gt;1,"",IF(AND($G1133="IKS",ISNUMBER(INDEX(TblClusters[Fermeture retenue],$B1133))),IF($E1133&gt;=INDEX(TblClusters[Fermeture retenue],$B1133),1,0),0))</f>
        <v/>
      </c>
    </row>
    <row r="1134" spans="1:35" x14ac:dyDescent="0.2">
      <c r="A1134" s="19">
        <v>1129</v>
      </c>
      <c r="B1134" s="19">
        <f t="shared" si="289"/>
        <v>32</v>
      </c>
      <c r="C1134" s="19">
        <f t="shared" si="290"/>
        <v>13</v>
      </c>
      <c r="D1134" s="19">
        <f>IF($C1134&gt;p_horizon,0,IFERROR(IF(AND(INDEX(TblClusters[Cluster],$B1134)&lt;&gt;"",ISNUMBER(INDEX(TblClusters[CPU initial (vCPU)],$B1134)),ISNUMBER(INDEX(TblClusters[CPU min (vCPU)],$B1134)),OR(INDEX(TblClusters[Plateforme],$B1134)="IKS",INDEX(TblClusters[Plateforme],$B1134)="ROKS")),1,0),0))</f>
        <v>0</v>
      </c>
      <c r="E1134" s="72" t="str">
        <f t="shared" si="291"/>
        <v/>
      </c>
      <c r="F1134" s="19" t="str">
        <f>IF($D1134=1,INDEX(TblClusters[Cluster],$B1134),"")</f>
        <v/>
      </c>
      <c r="G1134" s="19" t="str">
        <f>IF($D1134=1,INDEX(TblClusters[Plateforme],$B1134),"")</f>
        <v/>
      </c>
      <c r="H1134" s="19" t="str">
        <f>IF($D1134=1,INDEX(TblClusters[vCPU par nœud],$B1134),"")</f>
        <v/>
      </c>
      <c r="I1134" s="19" t="str">
        <f>IF($D1134=1,INDEX(TblClusters[RAM par nœud (Go)],$B1134),"")</f>
        <v/>
      </c>
      <c r="J1134" s="19" t="str">
        <f>IF($D1134=1,INDEX(TblClusters[Workers min],$B1134),"")</f>
        <v/>
      </c>
      <c r="K1134" s="73" t="str">
        <f>IF($D1134=1,INDEX(TblClusters[Tarif par nœud],$B1134),"")</f>
        <v/>
      </c>
      <c r="L1134" s="19" t="str">
        <f>IF($D1134=1,INDEX(TblClusters[CPU initial (vCPU)],$B1134),"")</f>
        <v/>
      </c>
      <c r="M1134" s="19" t="str">
        <f>IF($D1134=1,INDEX(TblClusters[RAM initiale (Go)],$B1134),"")</f>
        <v/>
      </c>
      <c r="N1134" s="19" t="str">
        <f>IF($D1134=1,INDEX(TblClusters[CPU min (vCPU)],$B1134),"")</f>
        <v/>
      </c>
      <c r="O1134" s="19" t="str">
        <f>IF($D1134=1,INDEX(TblClusters[RAM min (Go)],$B1134),"")</f>
        <v/>
      </c>
      <c r="P1134" s="19" t="str">
        <f>IF($D1134&lt;&gt;1,"",IF($G1134="ROKS",SUMIFS(TblApplications[Besoin ROKS CPU (vCPU)],TblApplications[Cluster ROKS cible],$F1134,TblApplications[Action],"À migrer",TblApplications[Déjà incluse ROKS],"Non",TblApplications[Mois prov (calc)],"&lt;="&amp;$E1134),SUMIFS(TblApplications[CPU IKS libérable (vCPU)],TblApplications[Cluster IKS source],$F1134,TblApplications[Mois lib (calc)],"&lt;="&amp;$E1134)))</f>
        <v/>
      </c>
      <c r="Q1134" s="19" t="str">
        <f>IF($D1134&lt;&gt;1,"",IF($G1134="ROKS",SUMIFS(TblApplications[Besoin ROKS RAM (Go)],TblApplications[Cluster ROKS cible],$F1134,TblApplications[Action],"À migrer",TblApplications[Déjà incluse ROKS],"Non",TblApplications[Mois prov (calc)],"&lt;="&amp;$E1134),SUMIFS(TblApplications[RAM IKS libérable (Go)],TblApplications[Cluster IKS source],$F1134,TblApplications[Mois lib (calc)],"&lt;="&amp;$E1134)))</f>
        <v/>
      </c>
      <c r="R1134" s="19" t="str">
        <f t="shared" si="292"/>
        <v/>
      </c>
      <c r="S1134" s="19" t="str">
        <f t="shared" si="293"/>
        <v/>
      </c>
      <c r="T1134" s="19" t="str">
        <f t="shared" si="294"/>
        <v/>
      </c>
      <c r="U1134" s="19" t="str">
        <f t="shared" si="295"/>
        <v/>
      </c>
      <c r="V1134" s="19" t="str">
        <f t="shared" si="296"/>
        <v/>
      </c>
      <c r="W1134" s="73" t="str">
        <f t="shared" si="297"/>
        <v/>
      </c>
      <c r="X1134" s="19" t="str">
        <f>IF($D1134&lt;&gt;1,"",IF($G1134="ROKS",$R1134,IF($AI1134=1,0,MAX($N1134,$L1134-SUMIFS(TblApplications[CPU IKS libérable (vCPU)],TblApplications[Cluster IKS source],$F1134,TblApplications[Action],"À migrer",TblApplications[Mois prov (calc)],"&lt;="&amp;$E1134)-SUMIFS(TblApplications[CPU IKS libérable (vCPU)],TblApplications[Cluster IKS source],$F1134,TblApplications[Action],"À décommissionner",TblApplications[Mois lib (calc)],"&lt;="&amp;$E1134)))))</f>
        <v/>
      </c>
      <c r="Y1134" s="19" t="str">
        <f>IF($D1134&lt;&gt;1,"",IF($G1134="ROKS",$S1134,IF($AI1134=1,0,MAX($O1134,$M1134-SUMIFS(TblApplications[RAM IKS libérable (Go)],TblApplications[Cluster IKS source],$F1134,TblApplications[Action],"À migrer",TblApplications[Mois prov (calc)],"&lt;="&amp;$E1134)-SUMIFS(TblApplications[RAM IKS libérable (Go)],TblApplications[Cluster IKS source],$F1134,TblApplications[Action],"À décommissionner",TblApplications[Mois lib (calc)],"&lt;="&amp;$E1134)))))</f>
        <v/>
      </c>
      <c r="Z1134" s="19" t="str">
        <f t="shared" si="298"/>
        <v/>
      </c>
      <c r="AA1134" s="73" t="str">
        <f t="shared" si="299"/>
        <v/>
      </c>
      <c r="AB1134" s="19" t="str">
        <f t="shared" si="300"/>
        <v/>
      </c>
      <c r="AC1134" s="73" t="str">
        <f t="shared" si="301"/>
        <v/>
      </c>
      <c r="AD1134" s="19" t="str">
        <f t="shared" si="302"/>
        <v/>
      </c>
      <c r="AE1134" s="19" t="str">
        <f t="shared" si="303"/>
        <v/>
      </c>
      <c r="AF1134" s="19" t="str">
        <f>IF($D1134&lt;&gt;1,"",IF(INDEX(TblClusters[Environnement],$B1134)="","(vide)",INDEX(TblClusters[Environnement],$B1134)))</f>
        <v/>
      </c>
      <c r="AG1134" s="19" t="str">
        <f t="shared" si="304"/>
        <v/>
      </c>
      <c r="AH1134" s="19" t="str">
        <f t="shared" si="305"/>
        <v/>
      </c>
      <c r="AI1134" s="19" t="str">
        <f>IF($D1134&lt;&gt;1,"",IF(AND($G1134="IKS",ISNUMBER(INDEX(TblClusters[Fermeture retenue],$B1134))),IF($E1134&gt;=INDEX(TblClusters[Fermeture retenue],$B1134),1,0),0))</f>
        <v/>
      </c>
    </row>
    <row r="1135" spans="1:35" x14ac:dyDescent="0.2">
      <c r="A1135" s="19">
        <v>1130</v>
      </c>
      <c r="B1135" s="19">
        <f t="shared" si="289"/>
        <v>32</v>
      </c>
      <c r="C1135" s="19">
        <f t="shared" si="290"/>
        <v>14</v>
      </c>
      <c r="D1135" s="19">
        <f>IF($C1135&gt;p_horizon,0,IFERROR(IF(AND(INDEX(TblClusters[Cluster],$B1135)&lt;&gt;"",ISNUMBER(INDEX(TblClusters[CPU initial (vCPU)],$B1135)),ISNUMBER(INDEX(TblClusters[CPU min (vCPU)],$B1135)),OR(INDEX(TblClusters[Plateforme],$B1135)="IKS",INDEX(TblClusters[Plateforme],$B1135)="ROKS")),1,0),0))</f>
        <v>0</v>
      </c>
      <c r="E1135" s="72" t="str">
        <f t="shared" si="291"/>
        <v/>
      </c>
      <c r="F1135" s="19" t="str">
        <f>IF($D1135=1,INDEX(TblClusters[Cluster],$B1135),"")</f>
        <v/>
      </c>
      <c r="G1135" s="19" t="str">
        <f>IF($D1135=1,INDEX(TblClusters[Plateforme],$B1135),"")</f>
        <v/>
      </c>
      <c r="H1135" s="19" t="str">
        <f>IF($D1135=1,INDEX(TblClusters[vCPU par nœud],$B1135),"")</f>
        <v/>
      </c>
      <c r="I1135" s="19" t="str">
        <f>IF($D1135=1,INDEX(TblClusters[RAM par nœud (Go)],$B1135),"")</f>
        <v/>
      </c>
      <c r="J1135" s="19" t="str">
        <f>IF($D1135=1,INDEX(TblClusters[Workers min],$B1135),"")</f>
        <v/>
      </c>
      <c r="K1135" s="73" t="str">
        <f>IF($D1135=1,INDEX(TblClusters[Tarif par nœud],$B1135),"")</f>
        <v/>
      </c>
      <c r="L1135" s="19" t="str">
        <f>IF($D1135=1,INDEX(TblClusters[CPU initial (vCPU)],$B1135),"")</f>
        <v/>
      </c>
      <c r="M1135" s="19" t="str">
        <f>IF($D1135=1,INDEX(TblClusters[RAM initiale (Go)],$B1135),"")</f>
        <v/>
      </c>
      <c r="N1135" s="19" t="str">
        <f>IF($D1135=1,INDEX(TblClusters[CPU min (vCPU)],$B1135),"")</f>
        <v/>
      </c>
      <c r="O1135" s="19" t="str">
        <f>IF($D1135=1,INDEX(TblClusters[RAM min (Go)],$B1135),"")</f>
        <v/>
      </c>
      <c r="P1135" s="19" t="str">
        <f>IF($D1135&lt;&gt;1,"",IF($G1135="ROKS",SUMIFS(TblApplications[Besoin ROKS CPU (vCPU)],TblApplications[Cluster ROKS cible],$F1135,TblApplications[Action],"À migrer",TblApplications[Déjà incluse ROKS],"Non",TblApplications[Mois prov (calc)],"&lt;="&amp;$E1135),SUMIFS(TblApplications[CPU IKS libérable (vCPU)],TblApplications[Cluster IKS source],$F1135,TblApplications[Mois lib (calc)],"&lt;="&amp;$E1135)))</f>
        <v/>
      </c>
      <c r="Q1135" s="19" t="str">
        <f>IF($D1135&lt;&gt;1,"",IF($G1135="ROKS",SUMIFS(TblApplications[Besoin ROKS RAM (Go)],TblApplications[Cluster ROKS cible],$F1135,TblApplications[Action],"À migrer",TblApplications[Déjà incluse ROKS],"Non",TblApplications[Mois prov (calc)],"&lt;="&amp;$E1135),SUMIFS(TblApplications[RAM IKS libérable (Go)],TblApplications[Cluster IKS source],$F1135,TblApplications[Mois lib (calc)],"&lt;="&amp;$E1135)))</f>
        <v/>
      </c>
      <c r="R1135" s="19" t="str">
        <f t="shared" si="292"/>
        <v/>
      </c>
      <c r="S1135" s="19" t="str">
        <f t="shared" si="293"/>
        <v/>
      </c>
      <c r="T1135" s="19" t="str">
        <f t="shared" si="294"/>
        <v/>
      </c>
      <c r="U1135" s="19" t="str">
        <f t="shared" si="295"/>
        <v/>
      </c>
      <c r="V1135" s="19" t="str">
        <f t="shared" si="296"/>
        <v/>
      </c>
      <c r="W1135" s="73" t="str">
        <f t="shared" si="297"/>
        <v/>
      </c>
      <c r="X1135" s="19" t="str">
        <f>IF($D1135&lt;&gt;1,"",IF($G1135="ROKS",$R1135,IF($AI1135=1,0,MAX($N1135,$L1135-SUMIFS(TblApplications[CPU IKS libérable (vCPU)],TblApplications[Cluster IKS source],$F1135,TblApplications[Action],"À migrer",TblApplications[Mois prov (calc)],"&lt;="&amp;$E1135)-SUMIFS(TblApplications[CPU IKS libérable (vCPU)],TblApplications[Cluster IKS source],$F1135,TblApplications[Action],"À décommissionner",TblApplications[Mois lib (calc)],"&lt;="&amp;$E1135)))))</f>
        <v/>
      </c>
      <c r="Y1135" s="19" t="str">
        <f>IF($D1135&lt;&gt;1,"",IF($G1135="ROKS",$S1135,IF($AI1135=1,0,MAX($O1135,$M1135-SUMIFS(TblApplications[RAM IKS libérable (Go)],TblApplications[Cluster IKS source],$F1135,TblApplications[Action],"À migrer",TblApplications[Mois prov (calc)],"&lt;="&amp;$E1135)-SUMIFS(TblApplications[RAM IKS libérable (Go)],TblApplications[Cluster IKS source],$F1135,TblApplications[Action],"À décommissionner",TblApplications[Mois lib (calc)],"&lt;="&amp;$E1135)))))</f>
        <v/>
      </c>
      <c r="Z1135" s="19" t="str">
        <f t="shared" si="298"/>
        <v/>
      </c>
      <c r="AA1135" s="73" t="str">
        <f t="shared" si="299"/>
        <v/>
      </c>
      <c r="AB1135" s="19" t="str">
        <f t="shared" si="300"/>
        <v/>
      </c>
      <c r="AC1135" s="73" t="str">
        <f t="shared" si="301"/>
        <v/>
      </c>
      <c r="AD1135" s="19" t="str">
        <f t="shared" si="302"/>
        <v/>
      </c>
      <c r="AE1135" s="19" t="str">
        <f t="shared" si="303"/>
        <v/>
      </c>
      <c r="AF1135" s="19" t="str">
        <f>IF($D1135&lt;&gt;1,"",IF(INDEX(TblClusters[Environnement],$B1135)="","(vide)",INDEX(TblClusters[Environnement],$B1135)))</f>
        <v/>
      </c>
      <c r="AG1135" s="19" t="str">
        <f t="shared" si="304"/>
        <v/>
      </c>
      <c r="AH1135" s="19" t="str">
        <f t="shared" si="305"/>
        <v/>
      </c>
      <c r="AI1135" s="19" t="str">
        <f>IF($D1135&lt;&gt;1,"",IF(AND($G1135="IKS",ISNUMBER(INDEX(TblClusters[Fermeture retenue],$B1135))),IF($E1135&gt;=INDEX(TblClusters[Fermeture retenue],$B1135),1,0),0))</f>
        <v/>
      </c>
    </row>
    <row r="1136" spans="1:35" x14ac:dyDescent="0.2">
      <c r="A1136" s="19">
        <v>1131</v>
      </c>
      <c r="B1136" s="19">
        <f t="shared" si="289"/>
        <v>32</v>
      </c>
      <c r="C1136" s="19">
        <f t="shared" si="290"/>
        <v>15</v>
      </c>
      <c r="D1136" s="19">
        <f>IF($C1136&gt;p_horizon,0,IFERROR(IF(AND(INDEX(TblClusters[Cluster],$B1136)&lt;&gt;"",ISNUMBER(INDEX(TblClusters[CPU initial (vCPU)],$B1136)),ISNUMBER(INDEX(TblClusters[CPU min (vCPU)],$B1136)),OR(INDEX(TblClusters[Plateforme],$B1136)="IKS",INDEX(TblClusters[Plateforme],$B1136)="ROKS")),1,0),0))</f>
        <v>0</v>
      </c>
      <c r="E1136" s="72" t="str">
        <f t="shared" si="291"/>
        <v/>
      </c>
      <c r="F1136" s="19" t="str">
        <f>IF($D1136=1,INDEX(TblClusters[Cluster],$B1136),"")</f>
        <v/>
      </c>
      <c r="G1136" s="19" t="str">
        <f>IF($D1136=1,INDEX(TblClusters[Plateforme],$B1136),"")</f>
        <v/>
      </c>
      <c r="H1136" s="19" t="str">
        <f>IF($D1136=1,INDEX(TblClusters[vCPU par nœud],$B1136),"")</f>
        <v/>
      </c>
      <c r="I1136" s="19" t="str">
        <f>IF($D1136=1,INDEX(TblClusters[RAM par nœud (Go)],$B1136),"")</f>
        <v/>
      </c>
      <c r="J1136" s="19" t="str">
        <f>IF($D1136=1,INDEX(TblClusters[Workers min],$B1136),"")</f>
        <v/>
      </c>
      <c r="K1136" s="73" t="str">
        <f>IF($D1136=1,INDEX(TblClusters[Tarif par nœud],$B1136),"")</f>
        <v/>
      </c>
      <c r="L1136" s="19" t="str">
        <f>IF($D1136=1,INDEX(TblClusters[CPU initial (vCPU)],$B1136),"")</f>
        <v/>
      </c>
      <c r="M1136" s="19" t="str">
        <f>IF($D1136=1,INDEX(TblClusters[RAM initiale (Go)],$B1136),"")</f>
        <v/>
      </c>
      <c r="N1136" s="19" t="str">
        <f>IF($D1136=1,INDEX(TblClusters[CPU min (vCPU)],$B1136),"")</f>
        <v/>
      </c>
      <c r="O1136" s="19" t="str">
        <f>IF($D1136=1,INDEX(TblClusters[RAM min (Go)],$B1136),"")</f>
        <v/>
      </c>
      <c r="P1136" s="19" t="str">
        <f>IF($D1136&lt;&gt;1,"",IF($G1136="ROKS",SUMIFS(TblApplications[Besoin ROKS CPU (vCPU)],TblApplications[Cluster ROKS cible],$F1136,TblApplications[Action],"À migrer",TblApplications[Déjà incluse ROKS],"Non",TblApplications[Mois prov (calc)],"&lt;="&amp;$E1136),SUMIFS(TblApplications[CPU IKS libérable (vCPU)],TblApplications[Cluster IKS source],$F1136,TblApplications[Mois lib (calc)],"&lt;="&amp;$E1136)))</f>
        <v/>
      </c>
      <c r="Q1136" s="19" t="str">
        <f>IF($D1136&lt;&gt;1,"",IF($G1136="ROKS",SUMIFS(TblApplications[Besoin ROKS RAM (Go)],TblApplications[Cluster ROKS cible],$F1136,TblApplications[Action],"À migrer",TblApplications[Déjà incluse ROKS],"Non",TblApplications[Mois prov (calc)],"&lt;="&amp;$E1136),SUMIFS(TblApplications[RAM IKS libérable (Go)],TblApplications[Cluster IKS source],$F1136,TblApplications[Mois lib (calc)],"&lt;="&amp;$E1136)))</f>
        <v/>
      </c>
      <c r="R1136" s="19" t="str">
        <f t="shared" si="292"/>
        <v/>
      </c>
      <c r="S1136" s="19" t="str">
        <f t="shared" si="293"/>
        <v/>
      </c>
      <c r="T1136" s="19" t="str">
        <f t="shared" si="294"/>
        <v/>
      </c>
      <c r="U1136" s="19" t="str">
        <f t="shared" si="295"/>
        <v/>
      </c>
      <c r="V1136" s="19" t="str">
        <f t="shared" si="296"/>
        <v/>
      </c>
      <c r="W1136" s="73" t="str">
        <f t="shared" si="297"/>
        <v/>
      </c>
      <c r="X1136" s="19" t="str">
        <f>IF($D1136&lt;&gt;1,"",IF($G1136="ROKS",$R1136,IF($AI1136=1,0,MAX($N1136,$L1136-SUMIFS(TblApplications[CPU IKS libérable (vCPU)],TblApplications[Cluster IKS source],$F1136,TblApplications[Action],"À migrer",TblApplications[Mois prov (calc)],"&lt;="&amp;$E1136)-SUMIFS(TblApplications[CPU IKS libérable (vCPU)],TblApplications[Cluster IKS source],$F1136,TblApplications[Action],"À décommissionner",TblApplications[Mois lib (calc)],"&lt;="&amp;$E1136)))))</f>
        <v/>
      </c>
      <c r="Y1136" s="19" t="str">
        <f>IF($D1136&lt;&gt;1,"",IF($G1136="ROKS",$S1136,IF($AI1136=1,0,MAX($O1136,$M1136-SUMIFS(TblApplications[RAM IKS libérable (Go)],TblApplications[Cluster IKS source],$F1136,TblApplications[Action],"À migrer",TblApplications[Mois prov (calc)],"&lt;="&amp;$E1136)-SUMIFS(TblApplications[RAM IKS libérable (Go)],TblApplications[Cluster IKS source],$F1136,TblApplications[Action],"À décommissionner",TblApplications[Mois lib (calc)],"&lt;="&amp;$E1136)))))</f>
        <v/>
      </c>
      <c r="Z1136" s="19" t="str">
        <f t="shared" si="298"/>
        <v/>
      </c>
      <c r="AA1136" s="73" t="str">
        <f t="shared" si="299"/>
        <v/>
      </c>
      <c r="AB1136" s="19" t="str">
        <f t="shared" si="300"/>
        <v/>
      </c>
      <c r="AC1136" s="73" t="str">
        <f t="shared" si="301"/>
        <v/>
      </c>
      <c r="AD1136" s="19" t="str">
        <f t="shared" si="302"/>
        <v/>
      </c>
      <c r="AE1136" s="19" t="str">
        <f t="shared" si="303"/>
        <v/>
      </c>
      <c r="AF1136" s="19" t="str">
        <f>IF($D1136&lt;&gt;1,"",IF(INDEX(TblClusters[Environnement],$B1136)="","(vide)",INDEX(TblClusters[Environnement],$B1136)))</f>
        <v/>
      </c>
      <c r="AG1136" s="19" t="str">
        <f t="shared" si="304"/>
        <v/>
      </c>
      <c r="AH1136" s="19" t="str">
        <f t="shared" si="305"/>
        <v/>
      </c>
      <c r="AI1136" s="19" t="str">
        <f>IF($D1136&lt;&gt;1,"",IF(AND($G1136="IKS",ISNUMBER(INDEX(TblClusters[Fermeture retenue],$B1136))),IF($E1136&gt;=INDEX(TblClusters[Fermeture retenue],$B1136),1,0),0))</f>
        <v/>
      </c>
    </row>
    <row r="1137" spans="1:35" x14ac:dyDescent="0.2">
      <c r="A1137" s="19">
        <v>1132</v>
      </c>
      <c r="B1137" s="19">
        <f t="shared" si="289"/>
        <v>32</v>
      </c>
      <c r="C1137" s="19">
        <f t="shared" si="290"/>
        <v>16</v>
      </c>
      <c r="D1137" s="19">
        <f>IF($C1137&gt;p_horizon,0,IFERROR(IF(AND(INDEX(TblClusters[Cluster],$B1137)&lt;&gt;"",ISNUMBER(INDEX(TblClusters[CPU initial (vCPU)],$B1137)),ISNUMBER(INDEX(TblClusters[CPU min (vCPU)],$B1137)),OR(INDEX(TblClusters[Plateforme],$B1137)="IKS",INDEX(TblClusters[Plateforme],$B1137)="ROKS")),1,0),0))</f>
        <v>0</v>
      </c>
      <c r="E1137" s="72" t="str">
        <f t="shared" si="291"/>
        <v/>
      </c>
      <c r="F1137" s="19" t="str">
        <f>IF($D1137=1,INDEX(TblClusters[Cluster],$B1137),"")</f>
        <v/>
      </c>
      <c r="G1137" s="19" t="str">
        <f>IF($D1137=1,INDEX(TblClusters[Plateforme],$B1137),"")</f>
        <v/>
      </c>
      <c r="H1137" s="19" t="str">
        <f>IF($D1137=1,INDEX(TblClusters[vCPU par nœud],$B1137),"")</f>
        <v/>
      </c>
      <c r="I1137" s="19" t="str">
        <f>IF($D1137=1,INDEX(TblClusters[RAM par nœud (Go)],$B1137),"")</f>
        <v/>
      </c>
      <c r="J1137" s="19" t="str">
        <f>IF($D1137=1,INDEX(TblClusters[Workers min],$B1137),"")</f>
        <v/>
      </c>
      <c r="K1137" s="73" t="str">
        <f>IF($D1137=1,INDEX(TblClusters[Tarif par nœud],$B1137),"")</f>
        <v/>
      </c>
      <c r="L1137" s="19" t="str">
        <f>IF($D1137=1,INDEX(TblClusters[CPU initial (vCPU)],$B1137),"")</f>
        <v/>
      </c>
      <c r="M1137" s="19" t="str">
        <f>IF($D1137=1,INDEX(TblClusters[RAM initiale (Go)],$B1137),"")</f>
        <v/>
      </c>
      <c r="N1137" s="19" t="str">
        <f>IF($D1137=1,INDEX(TblClusters[CPU min (vCPU)],$B1137),"")</f>
        <v/>
      </c>
      <c r="O1137" s="19" t="str">
        <f>IF($D1137=1,INDEX(TblClusters[RAM min (Go)],$B1137),"")</f>
        <v/>
      </c>
      <c r="P1137" s="19" t="str">
        <f>IF($D1137&lt;&gt;1,"",IF($G1137="ROKS",SUMIFS(TblApplications[Besoin ROKS CPU (vCPU)],TblApplications[Cluster ROKS cible],$F1137,TblApplications[Action],"À migrer",TblApplications[Déjà incluse ROKS],"Non",TblApplications[Mois prov (calc)],"&lt;="&amp;$E1137),SUMIFS(TblApplications[CPU IKS libérable (vCPU)],TblApplications[Cluster IKS source],$F1137,TblApplications[Mois lib (calc)],"&lt;="&amp;$E1137)))</f>
        <v/>
      </c>
      <c r="Q1137" s="19" t="str">
        <f>IF($D1137&lt;&gt;1,"",IF($G1137="ROKS",SUMIFS(TblApplications[Besoin ROKS RAM (Go)],TblApplications[Cluster ROKS cible],$F1137,TblApplications[Action],"À migrer",TblApplications[Déjà incluse ROKS],"Non",TblApplications[Mois prov (calc)],"&lt;="&amp;$E1137),SUMIFS(TblApplications[RAM IKS libérable (Go)],TblApplications[Cluster IKS source],$F1137,TblApplications[Mois lib (calc)],"&lt;="&amp;$E1137)))</f>
        <v/>
      </c>
      <c r="R1137" s="19" t="str">
        <f t="shared" si="292"/>
        <v/>
      </c>
      <c r="S1137" s="19" t="str">
        <f t="shared" si="293"/>
        <v/>
      </c>
      <c r="T1137" s="19" t="str">
        <f t="shared" si="294"/>
        <v/>
      </c>
      <c r="U1137" s="19" t="str">
        <f t="shared" si="295"/>
        <v/>
      </c>
      <c r="V1137" s="19" t="str">
        <f t="shared" si="296"/>
        <v/>
      </c>
      <c r="W1137" s="73" t="str">
        <f t="shared" si="297"/>
        <v/>
      </c>
      <c r="X1137" s="19" t="str">
        <f>IF($D1137&lt;&gt;1,"",IF($G1137="ROKS",$R1137,IF($AI1137=1,0,MAX($N1137,$L1137-SUMIFS(TblApplications[CPU IKS libérable (vCPU)],TblApplications[Cluster IKS source],$F1137,TblApplications[Action],"À migrer",TblApplications[Mois prov (calc)],"&lt;="&amp;$E1137)-SUMIFS(TblApplications[CPU IKS libérable (vCPU)],TblApplications[Cluster IKS source],$F1137,TblApplications[Action],"À décommissionner",TblApplications[Mois lib (calc)],"&lt;="&amp;$E1137)))))</f>
        <v/>
      </c>
      <c r="Y1137" s="19" t="str">
        <f>IF($D1137&lt;&gt;1,"",IF($G1137="ROKS",$S1137,IF($AI1137=1,0,MAX($O1137,$M1137-SUMIFS(TblApplications[RAM IKS libérable (Go)],TblApplications[Cluster IKS source],$F1137,TblApplications[Action],"À migrer",TblApplications[Mois prov (calc)],"&lt;="&amp;$E1137)-SUMIFS(TblApplications[RAM IKS libérable (Go)],TblApplications[Cluster IKS source],$F1137,TblApplications[Action],"À décommissionner",TblApplications[Mois lib (calc)],"&lt;="&amp;$E1137)))))</f>
        <v/>
      </c>
      <c r="Z1137" s="19" t="str">
        <f t="shared" si="298"/>
        <v/>
      </c>
      <c r="AA1137" s="73" t="str">
        <f t="shared" si="299"/>
        <v/>
      </c>
      <c r="AB1137" s="19" t="str">
        <f t="shared" si="300"/>
        <v/>
      </c>
      <c r="AC1137" s="73" t="str">
        <f t="shared" si="301"/>
        <v/>
      </c>
      <c r="AD1137" s="19" t="str">
        <f t="shared" si="302"/>
        <v/>
      </c>
      <c r="AE1137" s="19" t="str">
        <f t="shared" si="303"/>
        <v/>
      </c>
      <c r="AF1137" s="19" t="str">
        <f>IF($D1137&lt;&gt;1,"",IF(INDEX(TblClusters[Environnement],$B1137)="","(vide)",INDEX(TblClusters[Environnement],$B1137)))</f>
        <v/>
      </c>
      <c r="AG1137" s="19" t="str">
        <f t="shared" si="304"/>
        <v/>
      </c>
      <c r="AH1137" s="19" t="str">
        <f t="shared" si="305"/>
        <v/>
      </c>
      <c r="AI1137" s="19" t="str">
        <f>IF($D1137&lt;&gt;1,"",IF(AND($G1137="IKS",ISNUMBER(INDEX(TblClusters[Fermeture retenue],$B1137))),IF($E1137&gt;=INDEX(TblClusters[Fermeture retenue],$B1137),1,0),0))</f>
        <v/>
      </c>
    </row>
    <row r="1138" spans="1:35" x14ac:dyDescent="0.2">
      <c r="A1138" s="19">
        <v>1133</v>
      </c>
      <c r="B1138" s="19">
        <f t="shared" si="289"/>
        <v>32</v>
      </c>
      <c r="C1138" s="19">
        <f t="shared" si="290"/>
        <v>17</v>
      </c>
      <c r="D1138" s="19">
        <f>IF($C1138&gt;p_horizon,0,IFERROR(IF(AND(INDEX(TblClusters[Cluster],$B1138)&lt;&gt;"",ISNUMBER(INDEX(TblClusters[CPU initial (vCPU)],$B1138)),ISNUMBER(INDEX(TblClusters[CPU min (vCPU)],$B1138)),OR(INDEX(TblClusters[Plateforme],$B1138)="IKS",INDEX(TblClusters[Plateforme],$B1138)="ROKS")),1,0),0))</f>
        <v>0</v>
      </c>
      <c r="E1138" s="72" t="str">
        <f t="shared" si="291"/>
        <v/>
      </c>
      <c r="F1138" s="19" t="str">
        <f>IF($D1138=1,INDEX(TblClusters[Cluster],$B1138),"")</f>
        <v/>
      </c>
      <c r="G1138" s="19" t="str">
        <f>IF($D1138=1,INDEX(TblClusters[Plateforme],$B1138),"")</f>
        <v/>
      </c>
      <c r="H1138" s="19" t="str">
        <f>IF($D1138=1,INDEX(TblClusters[vCPU par nœud],$B1138),"")</f>
        <v/>
      </c>
      <c r="I1138" s="19" t="str">
        <f>IF($D1138=1,INDEX(TblClusters[RAM par nœud (Go)],$B1138),"")</f>
        <v/>
      </c>
      <c r="J1138" s="19" t="str">
        <f>IF($D1138=1,INDEX(TblClusters[Workers min],$B1138),"")</f>
        <v/>
      </c>
      <c r="K1138" s="73" t="str">
        <f>IF($D1138=1,INDEX(TblClusters[Tarif par nœud],$B1138),"")</f>
        <v/>
      </c>
      <c r="L1138" s="19" t="str">
        <f>IF($D1138=1,INDEX(TblClusters[CPU initial (vCPU)],$B1138),"")</f>
        <v/>
      </c>
      <c r="M1138" s="19" t="str">
        <f>IF($D1138=1,INDEX(TblClusters[RAM initiale (Go)],$B1138),"")</f>
        <v/>
      </c>
      <c r="N1138" s="19" t="str">
        <f>IF($D1138=1,INDEX(TblClusters[CPU min (vCPU)],$B1138),"")</f>
        <v/>
      </c>
      <c r="O1138" s="19" t="str">
        <f>IF($D1138=1,INDEX(TblClusters[RAM min (Go)],$B1138),"")</f>
        <v/>
      </c>
      <c r="P1138" s="19" t="str">
        <f>IF($D1138&lt;&gt;1,"",IF($G1138="ROKS",SUMIFS(TblApplications[Besoin ROKS CPU (vCPU)],TblApplications[Cluster ROKS cible],$F1138,TblApplications[Action],"À migrer",TblApplications[Déjà incluse ROKS],"Non",TblApplications[Mois prov (calc)],"&lt;="&amp;$E1138),SUMIFS(TblApplications[CPU IKS libérable (vCPU)],TblApplications[Cluster IKS source],$F1138,TblApplications[Mois lib (calc)],"&lt;="&amp;$E1138)))</f>
        <v/>
      </c>
      <c r="Q1138" s="19" t="str">
        <f>IF($D1138&lt;&gt;1,"",IF($G1138="ROKS",SUMIFS(TblApplications[Besoin ROKS RAM (Go)],TblApplications[Cluster ROKS cible],$F1138,TblApplications[Action],"À migrer",TblApplications[Déjà incluse ROKS],"Non",TblApplications[Mois prov (calc)],"&lt;="&amp;$E1138),SUMIFS(TblApplications[RAM IKS libérable (Go)],TblApplications[Cluster IKS source],$F1138,TblApplications[Mois lib (calc)],"&lt;="&amp;$E1138)))</f>
        <v/>
      </c>
      <c r="R1138" s="19" t="str">
        <f t="shared" si="292"/>
        <v/>
      </c>
      <c r="S1138" s="19" t="str">
        <f t="shared" si="293"/>
        <v/>
      </c>
      <c r="T1138" s="19" t="str">
        <f t="shared" si="294"/>
        <v/>
      </c>
      <c r="U1138" s="19" t="str">
        <f t="shared" si="295"/>
        <v/>
      </c>
      <c r="V1138" s="19" t="str">
        <f t="shared" si="296"/>
        <v/>
      </c>
      <c r="W1138" s="73" t="str">
        <f t="shared" si="297"/>
        <v/>
      </c>
      <c r="X1138" s="19" t="str">
        <f>IF($D1138&lt;&gt;1,"",IF($G1138="ROKS",$R1138,IF($AI1138=1,0,MAX($N1138,$L1138-SUMIFS(TblApplications[CPU IKS libérable (vCPU)],TblApplications[Cluster IKS source],$F1138,TblApplications[Action],"À migrer",TblApplications[Mois prov (calc)],"&lt;="&amp;$E1138)-SUMIFS(TblApplications[CPU IKS libérable (vCPU)],TblApplications[Cluster IKS source],$F1138,TblApplications[Action],"À décommissionner",TblApplications[Mois lib (calc)],"&lt;="&amp;$E1138)))))</f>
        <v/>
      </c>
      <c r="Y1138" s="19" t="str">
        <f>IF($D1138&lt;&gt;1,"",IF($G1138="ROKS",$S1138,IF($AI1138=1,0,MAX($O1138,$M1138-SUMIFS(TblApplications[RAM IKS libérable (Go)],TblApplications[Cluster IKS source],$F1138,TblApplications[Action],"À migrer",TblApplications[Mois prov (calc)],"&lt;="&amp;$E1138)-SUMIFS(TblApplications[RAM IKS libérable (Go)],TblApplications[Cluster IKS source],$F1138,TblApplications[Action],"À décommissionner",TblApplications[Mois lib (calc)],"&lt;="&amp;$E1138)))))</f>
        <v/>
      </c>
      <c r="Z1138" s="19" t="str">
        <f t="shared" si="298"/>
        <v/>
      </c>
      <c r="AA1138" s="73" t="str">
        <f t="shared" si="299"/>
        <v/>
      </c>
      <c r="AB1138" s="19" t="str">
        <f t="shared" si="300"/>
        <v/>
      </c>
      <c r="AC1138" s="73" t="str">
        <f t="shared" si="301"/>
        <v/>
      </c>
      <c r="AD1138" s="19" t="str">
        <f t="shared" si="302"/>
        <v/>
      </c>
      <c r="AE1138" s="19" t="str">
        <f t="shared" si="303"/>
        <v/>
      </c>
      <c r="AF1138" s="19" t="str">
        <f>IF($D1138&lt;&gt;1,"",IF(INDEX(TblClusters[Environnement],$B1138)="","(vide)",INDEX(TblClusters[Environnement],$B1138)))</f>
        <v/>
      </c>
      <c r="AG1138" s="19" t="str">
        <f t="shared" si="304"/>
        <v/>
      </c>
      <c r="AH1138" s="19" t="str">
        <f t="shared" si="305"/>
        <v/>
      </c>
      <c r="AI1138" s="19" t="str">
        <f>IF($D1138&lt;&gt;1,"",IF(AND($G1138="IKS",ISNUMBER(INDEX(TblClusters[Fermeture retenue],$B1138))),IF($E1138&gt;=INDEX(TblClusters[Fermeture retenue],$B1138),1,0),0))</f>
        <v/>
      </c>
    </row>
    <row r="1139" spans="1:35" x14ac:dyDescent="0.2">
      <c r="A1139" s="19">
        <v>1134</v>
      </c>
      <c r="B1139" s="19">
        <f t="shared" si="289"/>
        <v>32</v>
      </c>
      <c r="C1139" s="19">
        <f t="shared" si="290"/>
        <v>18</v>
      </c>
      <c r="D1139" s="19">
        <f>IF($C1139&gt;p_horizon,0,IFERROR(IF(AND(INDEX(TblClusters[Cluster],$B1139)&lt;&gt;"",ISNUMBER(INDEX(TblClusters[CPU initial (vCPU)],$B1139)),ISNUMBER(INDEX(TblClusters[CPU min (vCPU)],$B1139)),OR(INDEX(TblClusters[Plateforme],$B1139)="IKS",INDEX(TblClusters[Plateforme],$B1139)="ROKS")),1,0),0))</f>
        <v>0</v>
      </c>
      <c r="E1139" s="72" t="str">
        <f t="shared" si="291"/>
        <v/>
      </c>
      <c r="F1139" s="19" t="str">
        <f>IF($D1139=1,INDEX(TblClusters[Cluster],$B1139),"")</f>
        <v/>
      </c>
      <c r="G1139" s="19" t="str">
        <f>IF($D1139=1,INDEX(TblClusters[Plateforme],$B1139),"")</f>
        <v/>
      </c>
      <c r="H1139" s="19" t="str">
        <f>IF($D1139=1,INDEX(TblClusters[vCPU par nœud],$B1139),"")</f>
        <v/>
      </c>
      <c r="I1139" s="19" t="str">
        <f>IF($D1139=1,INDEX(TblClusters[RAM par nœud (Go)],$B1139),"")</f>
        <v/>
      </c>
      <c r="J1139" s="19" t="str">
        <f>IF($D1139=1,INDEX(TblClusters[Workers min],$B1139),"")</f>
        <v/>
      </c>
      <c r="K1139" s="73" t="str">
        <f>IF($D1139=1,INDEX(TblClusters[Tarif par nœud],$B1139),"")</f>
        <v/>
      </c>
      <c r="L1139" s="19" t="str">
        <f>IF($D1139=1,INDEX(TblClusters[CPU initial (vCPU)],$B1139),"")</f>
        <v/>
      </c>
      <c r="M1139" s="19" t="str">
        <f>IF($D1139=1,INDEX(TblClusters[RAM initiale (Go)],$B1139),"")</f>
        <v/>
      </c>
      <c r="N1139" s="19" t="str">
        <f>IF($D1139=1,INDEX(TblClusters[CPU min (vCPU)],$B1139),"")</f>
        <v/>
      </c>
      <c r="O1139" s="19" t="str">
        <f>IF($D1139=1,INDEX(TblClusters[RAM min (Go)],$B1139),"")</f>
        <v/>
      </c>
      <c r="P1139" s="19" t="str">
        <f>IF($D1139&lt;&gt;1,"",IF($G1139="ROKS",SUMIFS(TblApplications[Besoin ROKS CPU (vCPU)],TblApplications[Cluster ROKS cible],$F1139,TblApplications[Action],"À migrer",TblApplications[Déjà incluse ROKS],"Non",TblApplications[Mois prov (calc)],"&lt;="&amp;$E1139),SUMIFS(TblApplications[CPU IKS libérable (vCPU)],TblApplications[Cluster IKS source],$F1139,TblApplications[Mois lib (calc)],"&lt;="&amp;$E1139)))</f>
        <v/>
      </c>
      <c r="Q1139" s="19" t="str">
        <f>IF($D1139&lt;&gt;1,"",IF($G1139="ROKS",SUMIFS(TblApplications[Besoin ROKS RAM (Go)],TblApplications[Cluster ROKS cible],$F1139,TblApplications[Action],"À migrer",TblApplications[Déjà incluse ROKS],"Non",TblApplications[Mois prov (calc)],"&lt;="&amp;$E1139),SUMIFS(TblApplications[RAM IKS libérable (Go)],TblApplications[Cluster IKS source],$F1139,TblApplications[Mois lib (calc)],"&lt;="&amp;$E1139)))</f>
        <v/>
      </c>
      <c r="R1139" s="19" t="str">
        <f t="shared" si="292"/>
        <v/>
      </c>
      <c r="S1139" s="19" t="str">
        <f t="shared" si="293"/>
        <v/>
      </c>
      <c r="T1139" s="19" t="str">
        <f t="shared" si="294"/>
        <v/>
      </c>
      <c r="U1139" s="19" t="str">
        <f t="shared" si="295"/>
        <v/>
      </c>
      <c r="V1139" s="19" t="str">
        <f t="shared" si="296"/>
        <v/>
      </c>
      <c r="W1139" s="73" t="str">
        <f t="shared" si="297"/>
        <v/>
      </c>
      <c r="X1139" s="19" t="str">
        <f>IF($D1139&lt;&gt;1,"",IF($G1139="ROKS",$R1139,IF($AI1139=1,0,MAX($N1139,$L1139-SUMIFS(TblApplications[CPU IKS libérable (vCPU)],TblApplications[Cluster IKS source],$F1139,TblApplications[Action],"À migrer",TblApplications[Mois prov (calc)],"&lt;="&amp;$E1139)-SUMIFS(TblApplications[CPU IKS libérable (vCPU)],TblApplications[Cluster IKS source],$F1139,TblApplications[Action],"À décommissionner",TblApplications[Mois lib (calc)],"&lt;="&amp;$E1139)))))</f>
        <v/>
      </c>
      <c r="Y1139" s="19" t="str">
        <f>IF($D1139&lt;&gt;1,"",IF($G1139="ROKS",$S1139,IF($AI1139=1,0,MAX($O1139,$M1139-SUMIFS(TblApplications[RAM IKS libérable (Go)],TblApplications[Cluster IKS source],$F1139,TblApplications[Action],"À migrer",TblApplications[Mois prov (calc)],"&lt;="&amp;$E1139)-SUMIFS(TblApplications[RAM IKS libérable (Go)],TblApplications[Cluster IKS source],$F1139,TblApplications[Action],"À décommissionner",TblApplications[Mois lib (calc)],"&lt;="&amp;$E1139)))))</f>
        <v/>
      </c>
      <c r="Z1139" s="19" t="str">
        <f t="shared" si="298"/>
        <v/>
      </c>
      <c r="AA1139" s="73" t="str">
        <f t="shared" si="299"/>
        <v/>
      </c>
      <c r="AB1139" s="19" t="str">
        <f t="shared" si="300"/>
        <v/>
      </c>
      <c r="AC1139" s="73" t="str">
        <f t="shared" si="301"/>
        <v/>
      </c>
      <c r="AD1139" s="19" t="str">
        <f t="shared" si="302"/>
        <v/>
      </c>
      <c r="AE1139" s="19" t="str">
        <f t="shared" si="303"/>
        <v/>
      </c>
      <c r="AF1139" s="19" t="str">
        <f>IF($D1139&lt;&gt;1,"",IF(INDEX(TblClusters[Environnement],$B1139)="","(vide)",INDEX(TblClusters[Environnement],$B1139)))</f>
        <v/>
      </c>
      <c r="AG1139" s="19" t="str">
        <f t="shared" si="304"/>
        <v/>
      </c>
      <c r="AH1139" s="19" t="str">
        <f t="shared" si="305"/>
        <v/>
      </c>
      <c r="AI1139" s="19" t="str">
        <f>IF($D1139&lt;&gt;1,"",IF(AND($G1139="IKS",ISNUMBER(INDEX(TblClusters[Fermeture retenue],$B1139))),IF($E1139&gt;=INDEX(TblClusters[Fermeture retenue],$B1139),1,0),0))</f>
        <v/>
      </c>
    </row>
    <row r="1140" spans="1:35" x14ac:dyDescent="0.2">
      <c r="A1140" s="19">
        <v>1135</v>
      </c>
      <c r="B1140" s="19">
        <f t="shared" si="289"/>
        <v>32</v>
      </c>
      <c r="C1140" s="19">
        <f t="shared" si="290"/>
        <v>19</v>
      </c>
      <c r="D1140" s="19">
        <f>IF($C1140&gt;p_horizon,0,IFERROR(IF(AND(INDEX(TblClusters[Cluster],$B1140)&lt;&gt;"",ISNUMBER(INDEX(TblClusters[CPU initial (vCPU)],$B1140)),ISNUMBER(INDEX(TblClusters[CPU min (vCPU)],$B1140)),OR(INDEX(TblClusters[Plateforme],$B1140)="IKS",INDEX(TblClusters[Plateforme],$B1140)="ROKS")),1,0),0))</f>
        <v>0</v>
      </c>
      <c r="E1140" s="72" t="str">
        <f t="shared" si="291"/>
        <v/>
      </c>
      <c r="F1140" s="19" t="str">
        <f>IF($D1140=1,INDEX(TblClusters[Cluster],$B1140),"")</f>
        <v/>
      </c>
      <c r="G1140" s="19" t="str">
        <f>IF($D1140=1,INDEX(TblClusters[Plateforme],$B1140),"")</f>
        <v/>
      </c>
      <c r="H1140" s="19" t="str">
        <f>IF($D1140=1,INDEX(TblClusters[vCPU par nœud],$B1140),"")</f>
        <v/>
      </c>
      <c r="I1140" s="19" t="str">
        <f>IF($D1140=1,INDEX(TblClusters[RAM par nœud (Go)],$B1140),"")</f>
        <v/>
      </c>
      <c r="J1140" s="19" t="str">
        <f>IF($D1140=1,INDEX(TblClusters[Workers min],$B1140),"")</f>
        <v/>
      </c>
      <c r="K1140" s="73" t="str">
        <f>IF($D1140=1,INDEX(TblClusters[Tarif par nœud],$B1140),"")</f>
        <v/>
      </c>
      <c r="L1140" s="19" t="str">
        <f>IF($D1140=1,INDEX(TblClusters[CPU initial (vCPU)],$B1140),"")</f>
        <v/>
      </c>
      <c r="M1140" s="19" t="str">
        <f>IF($D1140=1,INDEX(TblClusters[RAM initiale (Go)],$B1140),"")</f>
        <v/>
      </c>
      <c r="N1140" s="19" t="str">
        <f>IF($D1140=1,INDEX(TblClusters[CPU min (vCPU)],$B1140),"")</f>
        <v/>
      </c>
      <c r="O1140" s="19" t="str">
        <f>IF($D1140=1,INDEX(TblClusters[RAM min (Go)],$B1140),"")</f>
        <v/>
      </c>
      <c r="P1140" s="19" t="str">
        <f>IF($D1140&lt;&gt;1,"",IF($G1140="ROKS",SUMIFS(TblApplications[Besoin ROKS CPU (vCPU)],TblApplications[Cluster ROKS cible],$F1140,TblApplications[Action],"À migrer",TblApplications[Déjà incluse ROKS],"Non",TblApplications[Mois prov (calc)],"&lt;="&amp;$E1140),SUMIFS(TblApplications[CPU IKS libérable (vCPU)],TblApplications[Cluster IKS source],$F1140,TblApplications[Mois lib (calc)],"&lt;="&amp;$E1140)))</f>
        <v/>
      </c>
      <c r="Q1140" s="19" t="str">
        <f>IF($D1140&lt;&gt;1,"",IF($G1140="ROKS",SUMIFS(TblApplications[Besoin ROKS RAM (Go)],TblApplications[Cluster ROKS cible],$F1140,TblApplications[Action],"À migrer",TblApplications[Déjà incluse ROKS],"Non",TblApplications[Mois prov (calc)],"&lt;="&amp;$E1140),SUMIFS(TblApplications[RAM IKS libérable (Go)],TblApplications[Cluster IKS source],$F1140,TblApplications[Mois lib (calc)],"&lt;="&amp;$E1140)))</f>
        <v/>
      </c>
      <c r="R1140" s="19" t="str">
        <f t="shared" si="292"/>
        <v/>
      </c>
      <c r="S1140" s="19" t="str">
        <f t="shared" si="293"/>
        <v/>
      </c>
      <c r="T1140" s="19" t="str">
        <f t="shared" si="294"/>
        <v/>
      </c>
      <c r="U1140" s="19" t="str">
        <f t="shared" si="295"/>
        <v/>
      </c>
      <c r="V1140" s="19" t="str">
        <f t="shared" si="296"/>
        <v/>
      </c>
      <c r="W1140" s="73" t="str">
        <f t="shared" si="297"/>
        <v/>
      </c>
      <c r="X1140" s="19" t="str">
        <f>IF($D1140&lt;&gt;1,"",IF($G1140="ROKS",$R1140,IF($AI1140=1,0,MAX($N1140,$L1140-SUMIFS(TblApplications[CPU IKS libérable (vCPU)],TblApplications[Cluster IKS source],$F1140,TblApplications[Action],"À migrer",TblApplications[Mois prov (calc)],"&lt;="&amp;$E1140)-SUMIFS(TblApplications[CPU IKS libérable (vCPU)],TblApplications[Cluster IKS source],$F1140,TblApplications[Action],"À décommissionner",TblApplications[Mois lib (calc)],"&lt;="&amp;$E1140)))))</f>
        <v/>
      </c>
      <c r="Y1140" s="19" t="str">
        <f>IF($D1140&lt;&gt;1,"",IF($G1140="ROKS",$S1140,IF($AI1140=1,0,MAX($O1140,$M1140-SUMIFS(TblApplications[RAM IKS libérable (Go)],TblApplications[Cluster IKS source],$F1140,TblApplications[Action],"À migrer",TblApplications[Mois prov (calc)],"&lt;="&amp;$E1140)-SUMIFS(TblApplications[RAM IKS libérable (Go)],TblApplications[Cluster IKS source],$F1140,TblApplications[Action],"À décommissionner",TblApplications[Mois lib (calc)],"&lt;="&amp;$E1140)))))</f>
        <v/>
      </c>
      <c r="Z1140" s="19" t="str">
        <f t="shared" si="298"/>
        <v/>
      </c>
      <c r="AA1140" s="73" t="str">
        <f t="shared" si="299"/>
        <v/>
      </c>
      <c r="AB1140" s="19" t="str">
        <f t="shared" si="300"/>
        <v/>
      </c>
      <c r="AC1140" s="73" t="str">
        <f t="shared" si="301"/>
        <v/>
      </c>
      <c r="AD1140" s="19" t="str">
        <f t="shared" si="302"/>
        <v/>
      </c>
      <c r="AE1140" s="19" t="str">
        <f t="shared" si="303"/>
        <v/>
      </c>
      <c r="AF1140" s="19" t="str">
        <f>IF($D1140&lt;&gt;1,"",IF(INDEX(TblClusters[Environnement],$B1140)="","(vide)",INDEX(TblClusters[Environnement],$B1140)))</f>
        <v/>
      </c>
      <c r="AG1140" s="19" t="str">
        <f t="shared" si="304"/>
        <v/>
      </c>
      <c r="AH1140" s="19" t="str">
        <f t="shared" si="305"/>
        <v/>
      </c>
      <c r="AI1140" s="19" t="str">
        <f>IF($D1140&lt;&gt;1,"",IF(AND($G1140="IKS",ISNUMBER(INDEX(TblClusters[Fermeture retenue],$B1140))),IF($E1140&gt;=INDEX(TblClusters[Fermeture retenue],$B1140),1,0),0))</f>
        <v/>
      </c>
    </row>
    <row r="1141" spans="1:35" x14ac:dyDescent="0.2">
      <c r="A1141" s="19">
        <v>1136</v>
      </c>
      <c r="B1141" s="19">
        <f t="shared" si="289"/>
        <v>32</v>
      </c>
      <c r="C1141" s="19">
        <f t="shared" si="290"/>
        <v>20</v>
      </c>
      <c r="D1141" s="19">
        <f>IF($C1141&gt;p_horizon,0,IFERROR(IF(AND(INDEX(TblClusters[Cluster],$B1141)&lt;&gt;"",ISNUMBER(INDEX(TblClusters[CPU initial (vCPU)],$B1141)),ISNUMBER(INDEX(TblClusters[CPU min (vCPU)],$B1141)),OR(INDEX(TblClusters[Plateforme],$B1141)="IKS",INDEX(TblClusters[Plateforme],$B1141)="ROKS")),1,0),0))</f>
        <v>0</v>
      </c>
      <c r="E1141" s="72" t="str">
        <f t="shared" si="291"/>
        <v/>
      </c>
      <c r="F1141" s="19" t="str">
        <f>IF($D1141=1,INDEX(TblClusters[Cluster],$B1141),"")</f>
        <v/>
      </c>
      <c r="G1141" s="19" t="str">
        <f>IF($D1141=1,INDEX(TblClusters[Plateforme],$B1141),"")</f>
        <v/>
      </c>
      <c r="H1141" s="19" t="str">
        <f>IF($D1141=1,INDEX(TblClusters[vCPU par nœud],$B1141),"")</f>
        <v/>
      </c>
      <c r="I1141" s="19" t="str">
        <f>IF($D1141=1,INDEX(TblClusters[RAM par nœud (Go)],$B1141),"")</f>
        <v/>
      </c>
      <c r="J1141" s="19" t="str">
        <f>IF($D1141=1,INDEX(TblClusters[Workers min],$B1141),"")</f>
        <v/>
      </c>
      <c r="K1141" s="73" t="str">
        <f>IF($D1141=1,INDEX(TblClusters[Tarif par nœud],$B1141),"")</f>
        <v/>
      </c>
      <c r="L1141" s="19" t="str">
        <f>IF($D1141=1,INDEX(TblClusters[CPU initial (vCPU)],$B1141),"")</f>
        <v/>
      </c>
      <c r="M1141" s="19" t="str">
        <f>IF($D1141=1,INDEX(TblClusters[RAM initiale (Go)],$B1141),"")</f>
        <v/>
      </c>
      <c r="N1141" s="19" t="str">
        <f>IF($D1141=1,INDEX(TblClusters[CPU min (vCPU)],$B1141),"")</f>
        <v/>
      </c>
      <c r="O1141" s="19" t="str">
        <f>IF($D1141=1,INDEX(TblClusters[RAM min (Go)],$B1141),"")</f>
        <v/>
      </c>
      <c r="P1141" s="19" t="str">
        <f>IF($D1141&lt;&gt;1,"",IF($G1141="ROKS",SUMIFS(TblApplications[Besoin ROKS CPU (vCPU)],TblApplications[Cluster ROKS cible],$F1141,TblApplications[Action],"À migrer",TblApplications[Déjà incluse ROKS],"Non",TblApplications[Mois prov (calc)],"&lt;="&amp;$E1141),SUMIFS(TblApplications[CPU IKS libérable (vCPU)],TblApplications[Cluster IKS source],$F1141,TblApplications[Mois lib (calc)],"&lt;="&amp;$E1141)))</f>
        <v/>
      </c>
      <c r="Q1141" s="19" t="str">
        <f>IF($D1141&lt;&gt;1,"",IF($G1141="ROKS",SUMIFS(TblApplications[Besoin ROKS RAM (Go)],TblApplications[Cluster ROKS cible],$F1141,TblApplications[Action],"À migrer",TblApplications[Déjà incluse ROKS],"Non",TblApplications[Mois prov (calc)],"&lt;="&amp;$E1141),SUMIFS(TblApplications[RAM IKS libérable (Go)],TblApplications[Cluster IKS source],$F1141,TblApplications[Mois lib (calc)],"&lt;="&amp;$E1141)))</f>
        <v/>
      </c>
      <c r="R1141" s="19" t="str">
        <f t="shared" si="292"/>
        <v/>
      </c>
      <c r="S1141" s="19" t="str">
        <f t="shared" si="293"/>
        <v/>
      </c>
      <c r="T1141" s="19" t="str">
        <f t="shared" si="294"/>
        <v/>
      </c>
      <c r="U1141" s="19" t="str">
        <f t="shared" si="295"/>
        <v/>
      </c>
      <c r="V1141" s="19" t="str">
        <f t="shared" si="296"/>
        <v/>
      </c>
      <c r="W1141" s="73" t="str">
        <f t="shared" si="297"/>
        <v/>
      </c>
      <c r="X1141" s="19" t="str">
        <f>IF($D1141&lt;&gt;1,"",IF($G1141="ROKS",$R1141,IF($AI1141=1,0,MAX($N1141,$L1141-SUMIFS(TblApplications[CPU IKS libérable (vCPU)],TblApplications[Cluster IKS source],$F1141,TblApplications[Action],"À migrer",TblApplications[Mois prov (calc)],"&lt;="&amp;$E1141)-SUMIFS(TblApplications[CPU IKS libérable (vCPU)],TblApplications[Cluster IKS source],$F1141,TblApplications[Action],"À décommissionner",TblApplications[Mois lib (calc)],"&lt;="&amp;$E1141)))))</f>
        <v/>
      </c>
      <c r="Y1141" s="19" t="str">
        <f>IF($D1141&lt;&gt;1,"",IF($G1141="ROKS",$S1141,IF($AI1141=1,0,MAX($O1141,$M1141-SUMIFS(TblApplications[RAM IKS libérable (Go)],TblApplications[Cluster IKS source],$F1141,TblApplications[Action],"À migrer",TblApplications[Mois prov (calc)],"&lt;="&amp;$E1141)-SUMIFS(TblApplications[RAM IKS libérable (Go)],TblApplications[Cluster IKS source],$F1141,TblApplications[Action],"À décommissionner",TblApplications[Mois lib (calc)],"&lt;="&amp;$E1141)))))</f>
        <v/>
      </c>
      <c r="Z1141" s="19" t="str">
        <f t="shared" si="298"/>
        <v/>
      </c>
      <c r="AA1141" s="73" t="str">
        <f t="shared" si="299"/>
        <v/>
      </c>
      <c r="AB1141" s="19" t="str">
        <f t="shared" si="300"/>
        <v/>
      </c>
      <c r="AC1141" s="73" t="str">
        <f t="shared" si="301"/>
        <v/>
      </c>
      <c r="AD1141" s="19" t="str">
        <f t="shared" si="302"/>
        <v/>
      </c>
      <c r="AE1141" s="19" t="str">
        <f t="shared" si="303"/>
        <v/>
      </c>
      <c r="AF1141" s="19" t="str">
        <f>IF($D1141&lt;&gt;1,"",IF(INDEX(TblClusters[Environnement],$B1141)="","(vide)",INDEX(TblClusters[Environnement],$B1141)))</f>
        <v/>
      </c>
      <c r="AG1141" s="19" t="str">
        <f t="shared" si="304"/>
        <v/>
      </c>
      <c r="AH1141" s="19" t="str">
        <f t="shared" si="305"/>
        <v/>
      </c>
      <c r="AI1141" s="19" t="str">
        <f>IF($D1141&lt;&gt;1,"",IF(AND($G1141="IKS",ISNUMBER(INDEX(TblClusters[Fermeture retenue],$B1141))),IF($E1141&gt;=INDEX(TblClusters[Fermeture retenue],$B1141),1,0),0))</f>
        <v/>
      </c>
    </row>
    <row r="1142" spans="1:35" x14ac:dyDescent="0.2">
      <c r="A1142" s="19">
        <v>1137</v>
      </c>
      <c r="B1142" s="19">
        <f t="shared" si="289"/>
        <v>32</v>
      </c>
      <c r="C1142" s="19">
        <f t="shared" si="290"/>
        <v>21</v>
      </c>
      <c r="D1142" s="19">
        <f>IF($C1142&gt;p_horizon,0,IFERROR(IF(AND(INDEX(TblClusters[Cluster],$B1142)&lt;&gt;"",ISNUMBER(INDEX(TblClusters[CPU initial (vCPU)],$B1142)),ISNUMBER(INDEX(TblClusters[CPU min (vCPU)],$B1142)),OR(INDEX(TblClusters[Plateforme],$B1142)="IKS",INDEX(TblClusters[Plateforme],$B1142)="ROKS")),1,0),0))</f>
        <v>0</v>
      </c>
      <c r="E1142" s="72" t="str">
        <f t="shared" si="291"/>
        <v/>
      </c>
      <c r="F1142" s="19" t="str">
        <f>IF($D1142=1,INDEX(TblClusters[Cluster],$B1142),"")</f>
        <v/>
      </c>
      <c r="G1142" s="19" t="str">
        <f>IF($D1142=1,INDEX(TblClusters[Plateforme],$B1142),"")</f>
        <v/>
      </c>
      <c r="H1142" s="19" t="str">
        <f>IF($D1142=1,INDEX(TblClusters[vCPU par nœud],$B1142),"")</f>
        <v/>
      </c>
      <c r="I1142" s="19" t="str">
        <f>IF($D1142=1,INDEX(TblClusters[RAM par nœud (Go)],$B1142),"")</f>
        <v/>
      </c>
      <c r="J1142" s="19" t="str">
        <f>IF($D1142=1,INDEX(TblClusters[Workers min],$B1142),"")</f>
        <v/>
      </c>
      <c r="K1142" s="73" t="str">
        <f>IF($D1142=1,INDEX(TblClusters[Tarif par nœud],$B1142),"")</f>
        <v/>
      </c>
      <c r="L1142" s="19" t="str">
        <f>IF($D1142=1,INDEX(TblClusters[CPU initial (vCPU)],$B1142),"")</f>
        <v/>
      </c>
      <c r="M1142" s="19" t="str">
        <f>IF($D1142=1,INDEX(TblClusters[RAM initiale (Go)],$B1142),"")</f>
        <v/>
      </c>
      <c r="N1142" s="19" t="str">
        <f>IF($D1142=1,INDEX(TblClusters[CPU min (vCPU)],$B1142),"")</f>
        <v/>
      </c>
      <c r="O1142" s="19" t="str">
        <f>IF($D1142=1,INDEX(TblClusters[RAM min (Go)],$B1142),"")</f>
        <v/>
      </c>
      <c r="P1142" s="19" t="str">
        <f>IF($D1142&lt;&gt;1,"",IF($G1142="ROKS",SUMIFS(TblApplications[Besoin ROKS CPU (vCPU)],TblApplications[Cluster ROKS cible],$F1142,TblApplications[Action],"À migrer",TblApplications[Déjà incluse ROKS],"Non",TblApplications[Mois prov (calc)],"&lt;="&amp;$E1142),SUMIFS(TblApplications[CPU IKS libérable (vCPU)],TblApplications[Cluster IKS source],$F1142,TblApplications[Mois lib (calc)],"&lt;="&amp;$E1142)))</f>
        <v/>
      </c>
      <c r="Q1142" s="19" t="str">
        <f>IF($D1142&lt;&gt;1,"",IF($G1142="ROKS",SUMIFS(TblApplications[Besoin ROKS RAM (Go)],TblApplications[Cluster ROKS cible],$F1142,TblApplications[Action],"À migrer",TblApplications[Déjà incluse ROKS],"Non",TblApplications[Mois prov (calc)],"&lt;="&amp;$E1142),SUMIFS(TblApplications[RAM IKS libérable (Go)],TblApplications[Cluster IKS source],$F1142,TblApplications[Mois lib (calc)],"&lt;="&amp;$E1142)))</f>
        <v/>
      </c>
      <c r="R1142" s="19" t="str">
        <f t="shared" si="292"/>
        <v/>
      </c>
      <c r="S1142" s="19" t="str">
        <f t="shared" si="293"/>
        <v/>
      </c>
      <c r="T1142" s="19" t="str">
        <f t="shared" si="294"/>
        <v/>
      </c>
      <c r="U1142" s="19" t="str">
        <f t="shared" si="295"/>
        <v/>
      </c>
      <c r="V1142" s="19" t="str">
        <f t="shared" si="296"/>
        <v/>
      </c>
      <c r="W1142" s="73" t="str">
        <f t="shared" si="297"/>
        <v/>
      </c>
      <c r="X1142" s="19" t="str">
        <f>IF($D1142&lt;&gt;1,"",IF($G1142="ROKS",$R1142,IF($AI1142=1,0,MAX($N1142,$L1142-SUMIFS(TblApplications[CPU IKS libérable (vCPU)],TblApplications[Cluster IKS source],$F1142,TblApplications[Action],"À migrer",TblApplications[Mois prov (calc)],"&lt;="&amp;$E1142)-SUMIFS(TblApplications[CPU IKS libérable (vCPU)],TblApplications[Cluster IKS source],$F1142,TblApplications[Action],"À décommissionner",TblApplications[Mois lib (calc)],"&lt;="&amp;$E1142)))))</f>
        <v/>
      </c>
      <c r="Y1142" s="19" t="str">
        <f>IF($D1142&lt;&gt;1,"",IF($G1142="ROKS",$S1142,IF($AI1142=1,0,MAX($O1142,$M1142-SUMIFS(TblApplications[RAM IKS libérable (Go)],TblApplications[Cluster IKS source],$F1142,TblApplications[Action],"À migrer",TblApplications[Mois prov (calc)],"&lt;="&amp;$E1142)-SUMIFS(TblApplications[RAM IKS libérable (Go)],TblApplications[Cluster IKS source],$F1142,TblApplications[Action],"À décommissionner",TblApplications[Mois lib (calc)],"&lt;="&amp;$E1142)))))</f>
        <v/>
      </c>
      <c r="Z1142" s="19" t="str">
        <f t="shared" si="298"/>
        <v/>
      </c>
      <c r="AA1142" s="73" t="str">
        <f t="shared" si="299"/>
        <v/>
      </c>
      <c r="AB1142" s="19" t="str">
        <f t="shared" si="300"/>
        <v/>
      </c>
      <c r="AC1142" s="73" t="str">
        <f t="shared" si="301"/>
        <v/>
      </c>
      <c r="AD1142" s="19" t="str">
        <f t="shared" si="302"/>
        <v/>
      </c>
      <c r="AE1142" s="19" t="str">
        <f t="shared" si="303"/>
        <v/>
      </c>
      <c r="AF1142" s="19" t="str">
        <f>IF($D1142&lt;&gt;1,"",IF(INDEX(TblClusters[Environnement],$B1142)="","(vide)",INDEX(TblClusters[Environnement],$B1142)))</f>
        <v/>
      </c>
      <c r="AG1142" s="19" t="str">
        <f t="shared" si="304"/>
        <v/>
      </c>
      <c r="AH1142" s="19" t="str">
        <f t="shared" si="305"/>
        <v/>
      </c>
      <c r="AI1142" s="19" t="str">
        <f>IF($D1142&lt;&gt;1,"",IF(AND($G1142="IKS",ISNUMBER(INDEX(TblClusters[Fermeture retenue],$B1142))),IF($E1142&gt;=INDEX(TblClusters[Fermeture retenue],$B1142),1,0),0))</f>
        <v/>
      </c>
    </row>
    <row r="1143" spans="1:35" x14ac:dyDescent="0.2">
      <c r="A1143" s="19">
        <v>1138</v>
      </c>
      <c r="B1143" s="19">
        <f t="shared" si="289"/>
        <v>32</v>
      </c>
      <c r="C1143" s="19">
        <f t="shared" si="290"/>
        <v>22</v>
      </c>
      <c r="D1143" s="19">
        <f>IF($C1143&gt;p_horizon,0,IFERROR(IF(AND(INDEX(TblClusters[Cluster],$B1143)&lt;&gt;"",ISNUMBER(INDEX(TblClusters[CPU initial (vCPU)],$B1143)),ISNUMBER(INDEX(TblClusters[CPU min (vCPU)],$B1143)),OR(INDEX(TblClusters[Plateforme],$B1143)="IKS",INDEX(TblClusters[Plateforme],$B1143)="ROKS")),1,0),0))</f>
        <v>0</v>
      </c>
      <c r="E1143" s="72" t="str">
        <f t="shared" si="291"/>
        <v/>
      </c>
      <c r="F1143" s="19" t="str">
        <f>IF($D1143=1,INDEX(TblClusters[Cluster],$B1143),"")</f>
        <v/>
      </c>
      <c r="G1143" s="19" t="str">
        <f>IF($D1143=1,INDEX(TblClusters[Plateforme],$B1143),"")</f>
        <v/>
      </c>
      <c r="H1143" s="19" t="str">
        <f>IF($D1143=1,INDEX(TblClusters[vCPU par nœud],$B1143),"")</f>
        <v/>
      </c>
      <c r="I1143" s="19" t="str">
        <f>IF($D1143=1,INDEX(TblClusters[RAM par nœud (Go)],$B1143),"")</f>
        <v/>
      </c>
      <c r="J1143" s="19" t="str">
        <f>IF($D1143=1,INDEX(TblClusters[Workers min],$B1143),"")</f>
        <v/>
      </c>
      <c r="K1143" s="73" t="str">
        <f>IF($D1143=1,INDEX(TblClusters[Tarif par nœud],$B1143),"")</f>
        <v/>
      </c>
      <c r="L1143" s="19" t="str">
        <f>IF($D1143=1,INDEX(TblClusters[CPU initial (vCPU)],$B1143),"")</f>
        <v/>
      </c>
      <c r="M1143" s="19" t="str">
        <f>IF($D1143=1,INDEX(TblClusters[RAM initiale (Go)],$B1143),"")</f>
        <v/>
      </c>
      <c r="N1143" s="19" t="str">
        <f>IF($D1143=1,INDEX(TblClusters[CPU min (vCPU)],$B1143),"")</f>
        <v/>
      </c>
      <c r="O1143" s="19" t="str">
        <f>IF($D1143=1,INDEX(TblClusters[RAM min (Go)],$B1143),"")</f>
        <v/>
      </c>
      <c r="P1143" s="19" t="str">
        <f>IF($D1143&lt;&gt;1,"",IF($G1143="ROKS",SUMIFS(TblApplications[Besoin ROKS CPU (vCPU)],TblApplications[Cluster ROKS cible],$F1143,TblApplications[Action],"À migrer",TblApplications[Déjà incluse ROKS],"Non",TblApplications[Mois prov (calc)],"&lt;="&amp;$E1143),SUMIFS(TblApplications[CPU IKS libérable (vCPU)],TblApplications[Cluster IKS source],$F1143,TblApplications[Mois lib (calc)],"&lt;="&amp;$E1143)))</f>
        <v/>
      </c>
      <c r="Q1143" s="19" t="str">
        <f>IF($D1143&lt;&gt;1,"",IF($G1143="ROKS",SUMIFS(TblApplications[Besoin ROKS RAM (Go)],TblApplications[Cluster ROKS cible],$F1143,TblApplications[Action],"À migrer",TblApplications[Déjà incluse ROKS],"Non",TblApplications[Mois prov (calc)],"&lt;="&amp;$E1143),SUMIFS(TblApplications[RAM IKS libérable (Go)],TblApplications[Cluster IKS source],$F1143,TblApplications[Mois lib (calc)],"&lt;="&amp;$E1143)))</f>
        <v/>
      </c>
      <c r="R1143" s="19" t="str">
        <f t="shared" si="292"/>
        <v/>
      </c>
      <c r="S1143" s="19" t="str">
        <f t="shared" si="293"/>
        <v/>
      </c>
      <c r="T1143" s="19" t="str">
        <f t="shared" si="294"/>
        <v/>
      </c>
      <c r="U1143" s="19" t="str">
        <f t="shared" si="295"/>
        <v/>
      </c>
      <c r="V1143" s="19" t="str">
        <f t="shared" si="296"/>
        <v/>
      </c>
      <c r="W1143" s="73" t="str">
        <f t="shared" si="297"/>
        <v/>
      </c>
      <c r="X1143" s="19" t="str">
        <f>IF($D1143&lt;&gt;1,"",IF($G1143="ROKS",$R1143,IF($AI1143=1,0,MAX($N1143,$L1143-SUMIFS(TblApplications[CPU IKS libérable (vCPU)],TblApplications[Cluster IKS source],$F1143,TblApplications[Action],"À migrer",TblApplications[Mois prov (calc)],"&lt;="&amp;$E1143)-SUMIFS(TblApplications[CPU IKS libérable (vCPU)],TblApplications[Cluster IKS source],$F1143,TblApplications[Action],"À décommissionner",TblApplications[Mois lib (calc)],"&lt;="&amp;$E1143)))))</f>
        <v/>
      </c>
      <c r="Y1143" s="19" t="str">
        <f>IF($D1143&lt;&gt;1,"",IF($G1143="ROKS",$S1143,IF($AI1143=1,0,MAX($O1143,$M1143-SUMIFS(TblApplications[RAM IKS libérable (Go)],TblApplications[Cluster IKS source],$F1143,TblApplications[Action],"À migrer",TblApplications[Mois prov (calc)],"&lt;="&amp;$E1143)-SUMIFS(TblApplications[RAM IKS libérable (Go)],TblApplications[Cluster IKS source],$F1143,TblApplications[Action],"À décommissionner",TblApplications[Mois lib (calc)],"&lt;="&amp;$E1143)))))</f>
        <v/>
      </c>
      <c r="Z1143" s="19" t="str">
        <f t="shared" si="298"/>
        <v/>
      </c>
      <c r="AA1143" s="73" t="str">
        <f t="shared" si="299"/>
        <v/>
      </c>
      <c r="AB1143" s="19" t="str">
        <f t="shared" si="300"/>
        <v/>
      </c>
      <c r="AC1143" s="73" t="str">
        <f t="shared" si="301"/>
        <v/>
      </c>
      <c r="AD1143" s="19" t="str">
        <f t="shared" si="302"/>
        <v/>
      </c>
      <c r="AE1143" s="19" t="str">
        <f t="shared" si="303"/>
        <v/>
      </c>
      <c r="AF1143" s="19" t="str">
        <f>IF($D1143&lt;&gt;1,"",IF(INDEX(TblClusters[Environnement],$B1143)="","(vide)",INDEX(TblClusters[Environnement],$B1143)))</f>
        <v/>
      </c>
      <c r="AG1143" s="19" t="str">
        <f t="shared" si="304"/>
        <v/>
      </c>
      <c r="AH1143" s="19" t="str">
        <f t="shared" si="305"/>
        <v/>
      </c>
      <c r="AI1143" s="19" t="str">
        <f>IF($D1143&lt;&gt;1,"",IF(AND($G1143="IKS",ISNUMBER(INDEX(TblClusters[Fermeture retenue],$B1143))),IF($E1143&gt;=INDEX(TblClusters[Fermeture retenue],$B1143),1,0),0))</f>
        <v/>
      </c>
    </row>
    <row r="1144" spans="1:35" x14ac:dyDescent="0.2">
      <c r="A1144" s="19">
        <v>1139</v>
      </c>
      <c r="B1144" s="19">
        <f t="shared" si="289"/>
        <v>32</v>
      </c>
      <c r="C1144" s="19">
        <f t="shared" si="290"/>
        <v>23</v>
      </c>
      <c r="D1144" s="19">
        <f>IF($C1144&gt;p_horizon,0,IFERROR(IF(AND(INDEX(TblClusters[Cluster],$B1144)&lt;&gt;"",ISNUMBER(INDEX(TblClusters[CPU initial (vCPU)],$B1144)),ISNUMBER(INDEX(TblClusters[CPU min (vCPU)],$B1144)),OR(INDEX(TblClusters[Plateforme],$B1144)="IKS",INDEX(TblClusters[Plateforme],$B1144)="ROKS")),1,0),0))</f>
        <v>0</v>
      </c>
      <c r="E1144" s="72" t="str">
        <f t="shared" si="291"/>
        <v/>
      </c>
      <c r="F1144" s="19" t="str">
        <f>IF($D1144=1,INDEX(TblClusters[Cluster],$B1144),"")</f>
        <v/>
      </c>
      <c r="G1144" s="19" t="str">
        <f>IF($D1144=1,INDEX(TblClusters[Plateforme],$B1144),"")</f>
        <v/>
      </c>
      <c r="H1144" s="19" t="str">
        <f>IF($D1144=1,INDEX(TblClusters[vCPU par nœud],$B1144),"")</f>
        <v/>
      </c>
      <c r="I1144" s="19" t="str">
        <f>IF($D1144=1,INDEX(TblClusters[RAM par nœud (Go)],$B1144),"")</f>
        <v/>
      </c>
      <c r="J1144" s="19" t="str">
        <f>IF($D1144=1,INDEX(TblClusters[Workers min],$B1144),"")</f>
        <v/>
      </c>
      <c r="K1144" s="73" t="str">
        <f>IF($D1144=1,INDEX(TblClusters[Tarif par nœud],$B1144),"")</f>
        <v/>
      </c>
      <c r="L1144" s="19" t="str">
        <f>IF($D1144=1,INDEX(TblClusters[CPU initial (vCPU)],$B1144),"")</f>
        <v/>
      </c>
      <c r="M1144" s="19" t="str">
        <f>IF($D1144=1,INDEX(TblClusters[RAM initiale (Go)],$B1144),"")</f>
        <v/>
      </c>
      <c r="N1144" s="19" t="str">
        <f>IF($D1144=1,INDEX(TblClusters[CPU min (vCPU)],$B1144),"")</f>
        <v/>
      </c>
      <c r="O1144" s="19" t="str">
        <f>IF($D1144=1,INDEX(TblClusters[RAM min (Go)],$B1144),"")</f>
        <v/>
      </c>
      <c r="P1144" s="19" t="str">
        <f>IF($D1144&lt;&gt;1,"",IF($G1144="ROKS",SUMIFS(TblApplications[Besoin ROKS CPU (vCPU)],TblApplications[Cluster ROKS cible],$F1144,TblApplications[Action],"À migrer",TblApplications[Déjà incluse ROKS],"Non",TblApplications[Mois prov (calc)],"&lt;="&amp;$E1144),SUMIFS(TblApplications[CPU IKS libérable (vCPU)],TblApplications[Cluster IKS source],$F1144,TblApplications[Mois lib (calc)],"&lt;="&amp;$E1144)))</f>
        <v/>
      </c>
      <c r="Q1144" s="19" t="str">
        <f>IF($D1144&lt;&gt;1,"",IF($G1144="ROKS",SUMIFS(TblApplications[Besoin ROKS RAM (Go)],TblApplications[Cluster ROKS cible],$F1144,TblApplications[Action],"À migrer",TblApplications[Déjà incluse ROKS],"Non",TblApplications[Mois prov (calc)],"&lt;="&amp;$E1144),SUMIFS(TblApplications[RAM IKS libérable (Go)],TblApplications[Cluster IKS source],$F1144,TblApplications[Mois lib (calc)],"&lt;="&amp;$E1144)))</f>
        <v/>
      </c>
      <c r="R1144" s="19" t="str">
        <f t="shared" si="292"/>
        <v/>
      </c>
      <c r="S1144" s="19" t="str">
        <f t="shared" si="293"/>
        <v/>
      </c>
      <c r="T1144" s="19" t="str">
        <f t="shared" si="294"/>
        <v/>
      </c>
      <c r="U1144" s="19" t="str">
        <f t="shared" si="295"/>
        <v/>
      </c>
      <c r="V1144" s="19" t="str">
        <f t="shared" si="296"/>
        <v/>
      </c>
      <c r="W1144" s="73" t="str">
        <f t="shared" si="297"/>
        <v/>
      </c>
      <c r="X1144" s="19" t="str">
        <f>IF($D1144&lt;&gt;1,"",IF($G1144="ROKS",$R1144,IF($AI1144=1,0,MAX($N1144,$L1144-SUMIFS(TblApplications[CPU IKS libérable (vCPU)],TblApplications[Cluster IKS source],$F1144,TblApplications[Action],"À migrer",TblApplications[Mois prov (calc)],"&lt;="&amp;$E1144)-SUMIFS(TblApplications[CPU IKS libérable (vCPU)],TblApplications[Cluster IKS source],$F1144,TblApplications[Action],"À décommissionner",TblApplications[Mois lib (calc)],"&lt;="&amp;$E1144)))))</f>
        <v/>
      </c>
      <c r="Y1144" s="19" t="str">
        <f>IF($D1144&lt;&gt;1,"",IF($G1144="ROKS",$S1144,IF($AI1144=1,0,MAX($O1144,$M1144-SUMIFS(TblApplications[RAM IKS libérable (Go)],TblApplications[Cluster IKS source],$F1144,TblApplications[Action],"À migrer",TblApplications[Mois prov (calc)],"&lt;="&amp;$E1144)-SUMIFS(TblApplications[RAM IKS libérable (Go)],TblApplications[Cluster IKS source],$F1144,TblApplications[Action],"À décommissionner",TblApplications[Mois lib (calc)],"&lt;="&amp;$E1144)))))</f>
        <v/>
      </c>
      <c r="Z1144" s="19" t="str">
        <f t="shared" si="298"/>
        <v/>
      </c>
      <c r="AA1144" s="73" t="str">
        <f t="shared" si="299"/>
        <v/>
      </c>
      <c r="AB1144" s="19" t="str">
        <f t="shared" si="300"/>
        <v/>
      </c>
      <c r="AC1144" s="73" t="str">
        <f t="shared" si="301"/>
        <v/>
      </c>
      <c r="AD1144" s="19" t="str">
        <f t="shared" si="302"/>
        <v/>
      </c>
      <c r="AE1144" s="19" t="str">
        <f t="shared" si="303"/>
        <v/>
      </c>
      <c r="AF1144" s="19" t="str">
        <f>IF($D1144&lt;&gt;1,"",IF(INDEX(TblClusters[Environnement],$B1144)="","(vide)",INDEX(TblClusters[Environnement],$B1144)))</f>
        <v/>
      </c>
      <c r="AG1144" s="19" t="str">
        <f t="shared" si="304"/>
        <v/>
      </c>
      <c r="AH1144" s="19" t="str">
        <f t="shared" si="305"/>
        <v/>
      </c>
      <c r="AI1144" s="19" t="str">
        <f>IF($D1144&lt;&gt;1,"",IF(AND($G1144="IKS",ISNUMBER(INDEX(TblClusters[Fermeture retenue],$B1144))),IF($E1144&gt;=INDEX(TblClusters[Fermeture retenue],$B1144),1,0),0))</f>
        <v/>
      </c>
    </row>
    <row r="1145" spans="1:35" x14ac:dyDescent="0.2">
      <c r="A1145" s="19">
        <v>1140</v>
      </c>
      <c r="B1145" s="19">
        <f t="shared" si="289"/>
        <v>32</v>
      </c>
      <c r="C1145" s="19">
        <f t="shared" si="290"/>
        <v>24</v>
      </c>
      <c r="D1145" s="19">
        <f>IF($C1145&gt;p_horizon,0,IFERROR(IF(AND(INDEX(TblClusters[Cluster],$B1145)&lt;&gt;"",ISNUMBER(INDEX(TblClusters[CPU initial (vCPU)],$B1145)),ISNUMBER(INDEX(TblClusters[CPU min (vCPU)],$B1145)),OR(INDEX(TblClusters[Plateforme],$B1145)="IKS",INDEX(TblClusters[Plateforme],$B1145)="ROKS")),1,0),0))</f>
        <v>0</v>
      </c>
      <c r="E1145" s="72" t="str">
        <f t="shared" si="291"/>
        <v/>
      </c>
      <c r="F1145" s="19" t="str">
        <f>IF($D1145=1,INDEX(TblClusters[Cluster],$B1145),"")</f>
        <v/>
      </c>
      <c r="G1145" s="19" t="str">
        <f>IF($D1145=1,INDEX(TblClusters[Plateforme],$B1145),"")</f>
        <v/>
      </c>
      <c r="H1145" s="19" t="str">
        <f>IF($D1145=1,INDEX(TblClusters[vCPU par nœud],$B1145),"")</f>
        <v/>
      </c>
      <c r="I1145" s="19" t="str">
        <f>IF($D1145=1,INDEX(TblClusters[RAM par nœud (Go)],$B1145),"")</f>
        <v/>
      </c>
      <c r="J1145" s="19" t="str">
        <f>IF($D1145=1,INDEX(TblClusters[Workers min],$B1145),"")</f>
        <v/>
      </c>
      <c r="K1145" s="73" t="str">
        <f>IF($D1145=1,INDEX(TblClusters[Tarif par nœud],$B1145),"")</f>
        <v/>
      </c>
      <c r="L1145" s="19" t="str">
        <f>IF($D1145=1,INDEX(TblClusters[CPU initial (vCPU)],$B1145),"")</f>
        <v/>
      </c>
      <c r="M1145" s="19" t="str">
        <f>IF($D1145=1,INDEX(TblClusters[RAM initiale (Go)],$B1145),"")</f>
        <v/>
      </c>
      <c r="N1145" s="19" t="str">
        <f>IF($D1145=1,INDEX(TblClusters[CPU min (vCPU)],$B1145),"")</f>
        <v/>
      </c>
      <c r="O1145" s="19" t="str">
        <f>IF($D1145=1,INDEX(TblClusters[RAM min (Go)],$B1145),"")</f>
        <v/>
      </c>
      <c r="P1145" s="19" t="str">
        <f>IF($D1145&lt;&gt;1,"",IF($G1145="ROKS",SUMIFS(TblApplications[Besoin ROKS CPU (vCPU)],TblApplications[Cluster ROKS cible],$F1145,TblApplications[Action],"À migrer",TblApplications[Déjà incluse ROKS],"Non",TblApplications[Mois prov (calc)],"&lt;="&amp;$E1145),SUMIFS(TblApplications[CPU IKS libérable (vCPU)],TblApplications[Cluster IKS source],$F1145,TblApplications[Mois lib (calc)],"&lt;="&amp;$E1145)))</f>
        <v/>
      </c>
      <c r="Q1145" s="19" t="str">
        <f>IF($D1145&lt;&gt;1,"",IF($G1145="ROKS",SUMIFS(TblApplications[Besoin ROKS RAM (Go)],TblApplications[Cluster ROKS cible],$F1145,TblApplications[Action],"À migrer",TblApplications[Déjà incluse ROKS],"Non",TblApplications[Mois prov (calc)],"&lt;="&amp;$E1145),SUMIFS(TblApplications[RAM IKS libérable (Go)],TblApplications[Cluster IKS source],$F1145,TblApplications[Mois lib (calc)],"&lt;="&amp;$E1145)))</f>
        <v/>
      </c>
      <c r="R1145" s="19" t="str">
        <f t="shared" si="292"/>
        <v/>
      </c>
      <c r="S1145" s="19" t="str">
        <f t="shared" si="293"/>
        <v/>
      </c>
      <c r="T1145" s="19" t="str">
        <f t="shared" si="294"/>
        <v/>
      </c>
      <c r="U1145" s="19" t="str">
        <f t="shared" si="295"/>
        <v/>
      </c>
      <c r="V1145" s="19" t="str">
        <f t="shared" si="296"/>
        <v/>
      </c>
      <c r="W1145" s="73" t="str">
        <f t="shared" si="297"/>
        <v/>
      </c>
      <c r="X1145" s="19" t="str">
        <f>IF($D1145&lt;&gt;1,"",IF($G1145="ROKS",$R1145,IF($AI1145=1,0,MAX($N1145,$L1145-SUMIFS(TblApplications[CPU IKS libérable (vCPU)],TblApplications[Cluster IKS source],$F1145,TblApplications[Action],"À migrer",TblApplications[Mois prov (calc)],"&lt;="&amp;$E1145)-SUMIFS(TblApplications[CPU IKS libérable (vCPU)],TblApplications[Cluster IKS source],$F1145,TblApplications[Action],"À décommissionner",TblApplications[Mois lib (calc)],"&lt;="&amp;$E1145)))))</f>
        <v/>
      </c>
      <c r="Y1145" s="19" t="str">
        <f>IF($D1145&lt;&gt;1,"",IF($G1145="ROKS",$S1145,IF($AI1145=1,0,MAX($O1145,$M1145-SUMIFS(TblApplications[RAM IKS libérable (Go)],TblApplications[Cluster IKS source],$F1145,TblApplications[Action],"À migrer",TblApplications[Mois prov (calc)],"&lt;="&amp;$E1145)-SUMIFS(TblApplications[RAM IKS libérable (Go)],TblApplications[Cluster IKS source],$F1145,TblApplications[Action],"À décommissionner",TblApplications[Mois lib (calc)],"&lt;="&amp;$E1145)))))</f>
        <v/>
      </c>
      <c r="Z1145" s="19" t="str">
        <f t="shared" si="298"/>
        <v/>
      </c>
      <c r="AA1145" s="73" t="str">
        <f t="shared" si="299"/>
        <v/>
      </c>
      <c r="AB1145" s="19" t="str">
        <f t="shared" si="300"/>
        <v/>
      </c>
      <c r="AC1145" s="73" t="str">
        <f t="shared" si="301"/>
        <v/>
      </c>
      <c r="AD1145" s="19" t="str">
        <f t="shared" si="302"/>
        <v/>
      </c>
      <c r="AE1145" s="19" t="str">
        <f t="shared" si="303"/>
        <v/>
      </c>
      <c r="AF1145" s="19" t="str">
        <f>IF($D1145&lt;&gt;1,"",IF(INDEX(TblClusters[Environnement],$B1145)="","(vide)",INDEX(TblClusters[Environnement],$B1145)))</f>
        <v/>
      </c>
      <c r="AG1145" s="19" t="str">
        <f t="shared" si="304"/>
        <v/>
      </c>
      <c r="AH1145" s="19" t="str">
        <f t="shared" si="305"/>
        <v/>
      </c>
      <c r="AI1145" s="19" t="str">
        <f>IF($D1145&lt;&gt;1,"",IF(AND($G1145="IKS",ISNUMBER(INDEX(TblClusters[Fermeture retenue],$B1145))),IF($E1145&gt;=INDEX(TblClusters[Fermeture retenue],$B1145),1,0),0))</f>
        <v/>
      </c>
    </row>
    <row r="1146" spans="1:35" x14ac:dyDescent="0.2">
      <c r="A1146" s="19">
        <v>1141</v>
      </c>
      <c r="B1146" s="19">
        <f t="shared" si="289"/>
        <v>32</v>
      </c>
      <c r="C1146" s="19">
        <f t="shared" si="290"/>
        <v>25</v>
      </c>
      <c r="D1146" s="19">
        <f>IF($C1146&gt;p_horizon,0,IFERROR(IF(AND(INDEX(TblClusters[Cluster],$B1146)&lt;&gt;"",ISNUMBER(INDEX(TblClusters[CPU initial (vCPU)],$B1146)),ISNUMBER(INDEX(TblClusters[CPU min (vCPU)],$B1146)),OR(INDEX(TblClusters[Plateforme],$B1146)="IKS",INDEX(TblClusters[Plateforme],$B1146)="ROKS")),1,0),0))</f>
        <v>0</v>
      </c>
      <c r="E1146" s="72" t="str">
        <f t="shared" si="291"/>
        <v/>
      </c>
      <c r="F1146" s="19" t="str">
        <f>IF($D1146=1,INDEX(TblClusters[Cluster],$B1146),"")</f>
        <v/>
      </c>
      <c r="G1146" s="19" t="str">
        <f>IF($D1146=1,INDEX(TblClusters[Plateforme],$B1146),"")</f>
        <v/>
      </c>
      <c r="H1146" s="19" t="str">
        <f>IF($D1146=1,INDEX(TblClusters[vCPU par nœud],$B1146),"")</f>
        <v/>
      </c>
      <c r="I1146" s="19" t="str">
        <f>IF($D1146=1,INDEX(TblClusters[RAM par nœud (Go)],$B1146),"")</f>
        <v/>
      </c>
      <c r="J1146" s="19" t="str">
        <f>IF($D1146=1,INDEX(TblClusters[Workers min],$B1146),"")</f>
        <v/>
      </c>
      <c r="K1146" s="73" t="str">
        <f>IF($D1146=1,INDEX(TblClusters[Tarif par nœud],$B1146),"")</f>
        <v/>
      </c>
      <c r="L1146" s="19" t="str">
        <f>IF($D1146=1,INDEX(TblClusters[CPU initial (vCPU)],$B1146),"")</f>
        <v/>
      </c>
      <c r="M1146" s="19" t="str">
        <f>IF($D1146=1,INDEX(TblClusters[RAM initiale (Go)],$B1146),"")</f>
        <v/>
      </c>
      <c r="N1146" s="19" t="str">
        <f>IF($D1146=1,INDEX(TblClusters[CPU min (vCPU)],$B1146),"")</f>
        <v/>
      </c>
      <c r="O1146" s="19" t="str">
        <f>IF($D1146=1,INDEX(TblClusters[RAM min (Go)],$B1146),"")</f>
        <v/>
      </c>
      <c r="P1146" s="19" t="str">
        <f>IF($D1146&lt;&gt;1,"",IF($G1146="ROKS",SUMIFS(TblApplications[Besoin ROKS CPU (vCPU)],TblApplications[Cluster ROKS cible],$F1146,TblApplications[Action],"À migrer",TblApplications[Déjà incluse ROKS],"Non",TblApplications[Mois prov (calc)],"&lt;="&amp;$E1146),SUMIFS(TblApplications[CPU IKS libérable (vCPU)],TblApplications[Cluster IKS source],$F1146,TblApplications[Mois lib (calc)],"&lt;="&amp;$E1146)))</f>
        <v/>
      </c>
      <c r="Q1146" s="19" t="str">
        <f>IF($D1146&lt;&gt;1,"",IF($G1146="ROKS",SUMIFS(TblApplications[Besoin ROKS RAM (Go)],TblApplications[Cluster ROKS cible],$F1146,TblApplications[Action],"À migrer",TblApplications[Déjà incluse ROKS],"Non",TblApplications[Mois prov (calc)],"&lt;="&amp;$E1146),SUMIFS(TblApplications[RAM IKS libérable (Go)],TblApplications[Cluster IKS source],$F1146,TblApplications[Mois lib (calc)],"&lt;="&amp;$E1146)))</f>
        <v/>
      </c>
      <c r="R1146" s="19" t="str">
        <f t="shared" si="292"/>
        <v/>
      </c>
      <c r="S1146" s="19" t="str">
        <f t="shared" si="293"/>
        <v/>
      </c>
      <c r="T1146" s="19" t="str">
        <f t="shared" si="294"/>
        <v/>
      </c>
      <c r="U1146" s="19" t="str">
        <f t="shared" si="295"/>
        <v/>
      </c>
      <c r="V1146" s="19" t="str">
        <f t="shared" si="296"/>
        <v/>
      </c>
      <c r="W1146" s="73" t="str">
        <f t="shared" si="297"/>
        <v/>
      </c>
      <c r="X1146" s="19" t="str">
        <f>IF($D1146&lt;&gt;1,"",IF($G1146="ROKS",$R1146,IF($AI1146=1,0,MAX($N1146,$L1146-SUMIFS(TblApplications[CPU IKS libérable (vCPU)],TblApplications[Cluster IKS source],$F1146,TblApplications[Action],"À migrer",TblApplications[Mois prov (calc)],"&lt;="&amp;$E1146)-SUMIFS(TblApplications[CPU IKS libérable (vCPU)],TblApplications[Cluster IKS source],$F1146,TblApplications[Action],"À décommissionner",TblApplications[Mois lib (calc)],"&lt;="&amp;$E1146)))))</f>
        <v/>
      </c>
      <c r="Y1146" s="19" t="str">
        <f>IF($D1146&lt;&gt;1,"",IF($G1146="ROKS",$S1146,IF($AI1146=1,0,MAX($O1146,$M1146-SUMIFS(TblApplications[RAM IKS libérable (Go)],TblApplications[Cluster IKS source],$F1146,TblApplications[Action],"À migrer",TblApplications[Mois prov (calc)],"&lt;="&amp;$E1146)-SUMIFS(TblApplications[RAM IKS libérable (Go)],TblApplications[Cluster IKS source],$F1146,TblApplications[Action],"À décommissionner",TblApplications[Mois lib (calc)],"&lt;="&amp;$E1146)))))</f>
        <v/>
      </c>
      <c r="Z1146" s="19" t="str">
        <f t="shared" si="298"/>
        <v/>
      </c>
      <c r="AA1146" s="73" t="str">
        <f t="shared" si="299"/>
        <v/>
      </c>
      <c r="AB1146" s="19" t="str">
        <f t="shared" si="300"/>
        <v/>
      </c>
      <c r="AC1146" s="73" t="str">
        <f t="shared" si="301"/>
        <v/>
      </c>
      <c r="AD1146" s="19" t="str">
        <f t="shared" si="302"/>
        <v/>
      </c>
      <c r="AE1146" s="19" t="str">
        <f t="shared" si="303"/>
        <v/>
      </c>
      <c r="AF1146" s="19" t="str">
        <f>IF($D1146&lt;&gt;1,"",IF(INDEX(TblClusters[Environnement],$B1146)="","(vide)",INDEX(TblClusters[Environnement],$B1146)))</f>
        <v/>
      </c>
      <c r="AG1146" s="19" t="str">
        <f t="shared" si="304"/>
        <v/>
      </c>
      <c r="AH1146" s="19" t="str">
        <f t="shared" si="305"/>
        <v/>
      </c>
      <c r="AI1146" s="19" t="str">
        <f>IF($D1146&lt;&gt;1,"",IF(AND($G1146="IKS",ISNUMBER(INDEX(TblClusters[Fermeture retenue],$B1146))),IF($E1146&gt;=INDEX(TblClusters[Fermeture retenue],$B1146),1,0),0))</f>
        <v/>
      </c>
    </row>
    <row r="1147" spans="1:35" x14ac:dyDescent="0.2">
      <c r="A1147" s="19">
        <v>1142</v>
      </c>
      <c r="B1147" s="19">
        <f t="shared" si="289"/>
        <v>32</v>
      </c>
      <c r="C1147" s="19">
        <f t="shared" si="290"/>
        <v>26</v>
      </c>
      <c r="D1147" s="19">
        <f>IF($C1147&gt;p_horizon,0,IFERROR(IF(AND(INDEX(TblClusters[Cluster],$B1147)&lt;&gt;"",ISNUMBER(INDEX(TblClusters[CPU initial (vCPU)],$B1147)),ISNUMBER(INDEX(TblClusters[CPU min (vCPU)],$B1147)),OR(INDEX(TblClusters[Plateforme],$B1147)="IKS",INDEX(TblClusters[Plateforme],$B1147)="ROKS")),1,0),0))</f>
        <v>0</v>
      </c>
      <c r="E1147" s="72" t="str">
        <f t="shared" si="291"/>
        <v/>
      </c>
      <c r="F1147" s="19" t="str">
        <f>IF($D1147=1,INDEX(TblClusters[Cluster],$B1147),"")</f>
        <v/>
      </c>
      <c r="G1147" s="19" t="str">
        <f>IF($D1147=1,INDEX(TblClusters[Plateforme],$B1147),"")</f>
        <v/>
      </c>
      <c r="H1147" s="19" t="str">
        <f>IF($D1147=1,INDEX(TblClusters[vCPU par nœud],$B1147),"")</f>
        <v/>
      </c>
      <c r="I1147" s="19" t="str">
        <f>IF($D1147=1,INDEX(TblClusters[RAM par nœud (Go)],$B1147),"")</f>
        <v/>
      </c>
      <c r="J1147" s="19" t="str">
        <f>IF($D1147=1,INDEX(TblClusters[Workers min],$B1147),"")</f>
        <v/>
      </c>
      <c r="K1147" s="73" t="str">
        <f>IF($D1147=1,INDEX(TblClusters[Tarif par nœud],$B1147),"")</f>
        <v/>
      </c>
      <c r="L1147" s="19" t="str">
        <f>IF($D1147=1,INDEX(TblClusters[CPU initial (vCPU)],$B1147),"")</f>
        <v/>
      </c>
      <c r="M1147" s="19" t="str">
        <f>IF($D1147=1,INDEX(TblClusters[RAM initiale (Go)],$B1147),"")</f>
        <v/>
      </c>
      <c r="N1147" s="19" t="str">
        <f>IF($D1147=1,INDEX(TblClusters[CPU min (vCPU)],$B1147),"")</f>
        <v/>
      </c>
      <c r="O1147" s="19" t="str">
        <f>IF($D1147=1,INDEX(TblClusters[RAM min (Go)],$B1147),"")</f>
        <v/>
      </c>
      <c r="P1147" s="19" t="str">
        <f>IF($D1147&lt;&gt;1,"",IF($G1147="ROKS",SUMIFS(TblApplications[Besoin ROKS CPU (vCPU)],TblApplications[Cluster ROKS cible],$F1147,TblApplications[Action],"À migrer",TblApplications[Déjà incluse ROKS],"Non",TblApplications[Mois prov (calc)],"&lt;="&amp;$E1147),SUMIFS(TblApplications[CPU IKS libérable (vCPU)],TblApplications[Cluster IKS source],$F1147,TblApplications[Mois lib (calc)],"&lt;="&amp;$E1147)))</f>
        <v/>
      </c>
      <c r="Q1147" s="19" t="str">
        <f>IF($D1147&lt;&gt;1,"",IF($G1147="ROKS",SUMIFS(TblApplications[Besoin ROKS RAM (Go)],TblApplications[Cluster ROKS cible],$F1147,TblApplications[Action],"À migrer",TblApplications[Déjà incluse ROKS],"Non",TblApplications[Mois prov (calc)],"&lt;="&amp;$E1147),SUMIFS(TblApplications[RAM IKS libérable (Go)],TblApplications[Cluster IKS source],$F1147,TblApplications[Mois lib (calc)],"&lt;="&amp;$E1147)))</f>
        <v/>
      </c>
      <c r="R1147" s="19" t="str">
        <f t="shared" si="292"/>
        <v/>
      </c>
      <c r="S1147" s="19" t="str">
        <f t="shared" si="293"/>
        <v/>
      </c>
      <c r="T1147" s="19" t="str">
        <f t="shared" si="294"/>
        <v/>
      </c>
      <c r="U1147" s="19" t="str">
        <f t="shared" si="295"/>
        <v/>
      </c>
      <c r="V1147" s="19" t="str">
        <f t="shared" si="296"/>
        <v/>
      </c>
      <c r="W1147" s="73" t="str">
        <f t="shared" si="297"/>
        <v/>
      </c>
      <c r="X1147" s="19" t="str">
        <f>IF($D1147&lt;&gt;1,"",IF($G1147="ROKS",$R1147,IF($AI1147=1,0,MAX($N1147,$L1147-SUMIFS(TblApplications[CPU IKS libérable (vCPU)],TblApplications[Cluster IKS source],$F1147,TblApplications[Action],"À migrer",TblApplications[Mois prov (calc)],"&lt;="&amp;$E1147)-SUMIFS(TblApplications[CPU IKS libérable (vCPU)],TblApplications[Cluster IKS source],$F1147,TblApplications[Action],"À décommissionner",TblApplications[Mois lib (calc)],"&lt;="&amp;$E1147)))))</f>
        <v/>
      </c>
      <c r="Y1147" s="19" t="str">
        <f>IF($D1147&lt;&gt;1,"",IF($G1147="ROKS",$S1147,IF($AI1147=1,0,MAX($O1147,$M1147-SUMIFS(TblApplications[RAM IKS libérable (Go)],TblApplications[Cluster IKS source],$F1147,TblApplications[Action],"À migrer",TblApplications[Mois prov (calc)],"&lt;="&amp;$E1147)-SUMIFS(TblApplications[RAM IKS libérable (Go)],TblApplications[Cluster IKS source],$F1147,TblApplications[Action],"À décommissionner",TblApplications[Mois lib (calc)],"&lt;="&amp;$E1147)))))</f>
        <v/>
      </c>
      <c r="Z1147" s="19" t="str">
        <f t="shared" si="298"/>
        <v/>
      </c>
      <c r="AA1147" s="73" t="str">
        <f t="shared" si="299"/>
        <v/>
      </c>
      <c r="AB1147" s="19" t="str">
        <f t="shared" si="300"/>
        <v/>
      </c>
      <c r="AC1147" s="73" t="str">
        <f t="shared" si="301"/>
        <v/>
      </c>
      <c r="AD1147" s="19" t="str">
        <f t="shared" si="302"/>
        <v/>
      </c>
      <c r="AE1147" s="19" t="str">
        <f t="shared" si="303"/>
        <v/>
      </c>
      <c r="AF1147" s="19" t="str">
        <f>IF($D1147&lt;&gt;1,"",IF(INDEX(TblClusters[Environnement],$B1147)="","(vide)",INDEX(TblClusters[Environnement],$B1147)))</f>
        <v/>
      </c>
      <c r="AG1147" s="19" t="str">
        <f t="shared" si="304"/>
        <v/>
      </c>
      <c r="AH1147" s="19" t="str">
        <f t="shared" si="305"/>
        <v/>
      </c>
      <c r="AI1147" s="19" t="str">
        <f>IF($D1147&lt;&gt;1,"",IF(AND($G1147="IKS",ISNUMBER(INDEX(TblClusters[Fermeture retenue],$B1147))),IF($E1147&gt;=INDEX(TblClusters[Fermeture retenue],$B1147),1,0),0))</f>
        <v/>
      </c>
    </row>
    <row r="1148" spans="1:35" x14ac:dyDescent="0.2">
      <c r="A1148" s="19">
        <v>1143</v>
      </c>
      <c r="B1148" s="19">
        <f t="shared" si="289"/>
        <v>32</v>
      </c>
      <c r="C1148" s="19">
        <f t="shared" si="290"/>
        <v>27</v>
      </c>
      <c r="D1148" s="19">
        <f>IF($C1148&gt;p_horizon,0,IFERROR(IF(AND(INDEX(TblClusters[Cluster],$B1148)&lt;&gt;"",ISNUMBER(INDEX(TblClusters[CPU initial (vCPU)],$B1148)),ISNUMBER(INDEX(TblClusters[CPU min (vCPU)],$B1148)),OR(INDEX(TblClusters[Plateforme],$B1148)="IKS",INDEX(TblClusters[Plateforme],$B1148)="ROKS")),1,0),0))</f>
        <v>0</v>
      </c>
      <c r="E1148" s="72" t="str">
        <f t="shared" si="291"/>
        <v/>
      </c>
      <c r="F1148" s="19" t="str">
        <f>IF($D1148=1,INDEX(TblClusters[Cluster],$B1148),"")</f>
        <v/>
      </c>
      <c r="G1148" s="19" t="str">
        <f>IF($D1148=1,INDEX(TblClusters[Plateforme],$B1148),"")</f>
        <v/>
      </c>
      <c r="H1148" s="19" t="str">
        <f>IF($D1148=1,INDEX(TblClusters[vCPU par nœud],$B1148),"")</f>
        <v/>
      </c>
      <c r="I1148" s="19" t="str">
        <f>IF($D1148=1,INDEX(TblClusters[RAM par nœud (Go)],$B1148),"")</f>
        <v/>
      </c>
      <c r="J1148" s="19" t="str">
        <f>IF($D1148=1,INDEX(TblClusters[Workers min],$B1148),"")</f>
        <v/>
      </c>
      <c r="K1148" s="73" t="str">
        <f>IF($D1148=1,INDEX(TblClusters[Tarif par nœud],$B1148),"")</f>
        <v/>
      </c>
      <c r="L1148" s="19" t="str">
        <f>IF($D1148=1,INDEX(TblClusters[CPU initial (vCPU)],$B1148),"")</f>
        <v/>
      </c>
      <c r="M1148" s="19" t="str">
        <f>IF($D1148=1,INDEX(TblClusters[RAM initiale (Go)],$B1148),"")</f>
        <v/>
      </c>
      <c r="N1148" s="19" t="str">
        <f>IF($D1148=1,INDEX(TblClusters[CPU min (vCPU)],$B1148),"")</f>
        <v/>
      </c>
      <c r="O1148" s="19" t="str">
        <f>IF($D1148=1,INDEX(TblClusters[RAM min (Go)],$B1148),"")</f>
        <v/>
      </c>
      <c r="P1148" s="19" t="str">
        <f>IF($D1148&lt;&gt;1,"",IF($G1148="ROKS",SUMIFS(TblApplications[Besoin ROKS CPU (vCPU)],TblApplications[Cluster ROKS cible],$F1148,TblApplications[Action],"À migrer",TblApplications[Déjà incluse ROKS],"Non",TblApplications[Mois prov (calc)],"&lt;="&amp;$E1148),SUMIFS(TblApplications[CPU IKS libérable (vCPU)],TblApplications[Cluster IKS source],$F1148,TblApplications[Mois lib (calc)],"&lt;="&amp;$E1148)))</f>
        <v/>
      </c>
      <c r="Q1148" s="19" t="str">
        <f>IF($D1148&lt;&gt;1,"",IF($G1148="ROKS",SUMIFS(TblApplications[Besoin ROKS RAM (Go)],TblApplications[Cluster ROKS cible],$F1148,TblApplications[Action],"À migrer",TblApplications[Déjà incluse ROKS],"Non",TblApplications[Mois prov (calc)],"&lt;="&amp;$E1148),SUMIFS(TblApplications[RAM IKS libérable (Go)],TblApplications[Cluster IKS source],$F1148,TblApplications[Mois lib (calc)],"&lt;="&amp;$E1148)))</f>
        <v/>
      </c>
      <c r="R1148" s="19" t="str">
        <f t="shared" si="292"/>
        <v/>
      </c>
      <c r="S1148" s="19" t="str">
        <f t="shared" si="293"/>
        <v/>
      </c>
      <c r="T1148" s="19" t="str">
        <f t="shared" si="294"/>
        <v/>
      </c>
      <c r="U1148" s="19" t="str">
        <f t="shared" si="295"/>
        <v/>
      </c>
      <c r="V1148" s="19" t="str">
        <f t="shared" si="296"/>
        <v/>
      </c>
      <c r="W1148" s="73" t="str">
        <f t="shared" si="297"/>
        <v/>
      </c>
      <c r="X1148" s="19" t="str">
        <f>IF($D1148&lt;&gt;1,"",IF($G1148="ROKS",$R1148,IF($AI1148=1,0,MAX($N1148,$L1148-SUMIFS(TblApplications[CPU IKS libérable (vCPU)],TblApplications[Cluster IKS source],$F1148,TblApplications[Action],"À migrer",TblApplications[Mois prov (calc)],"&lt;="&amp;$E1148)-SUMIFS(TblApplications[CPU IKS libérable (vCPU)],TblApplications[Cluster IKS source],$F1148,TblApplications[Action],"À décommissionner",TblApplications[Mois lib (calc)],"&lt;="&amp;$E1148)))))</f>
        <v/>
      </c>
      <c r="Y1148" s="19" t="str">
        <f>IF($D1148&lt;&gt;1,"",IF($G1148="ROKS",$S1148,IF($AI1148=1,0,MAX($O1148,$M1148-SUMIFS(TblApplications[RAM IKS libérable (Go)],TblApplications[Cluster IKS source],$F1148,TblApplications[Action],"À migrer",TblApplications[Mois prov (calc)],"&lt;="&amp;$E1148)-SUMIFS(TblApplications[RAM IKS libérable (Go)],TblApplications[Cluster IKS source],$F1148,TblApplications[Action],"À décommissionner",TblApplications[Mois lib (calc)],"&lt;="&amp;$E1148)))))</f>
        <v/>
      </c>
      <c r="Z1148" s="19" t="str">
        <f t="shared" si="298"/>
        <v/>
      </c>
      <c r="AA1148" s="73" t="str">
        <f t="shared" si="299"/>
        <v/>
      </c>
      <c r="AB1148" s="19" t="str">
        <f t="shared" si="300"/>
        <v/>
      </c>
      <c r="AC1148" s="73" t="str">
        <f t="shared" si="301"/>
        <v/>
      </c>
      <c r="AD1148" s="19" t="str">
        <f t="shared" si="302"/>
        <v/>
      </c>
      <c r="AE1148" s="19" t="str">
        <f t="shared" si="303"/>
        <v/>
      </c>
      <c r="AF1148" s="19" t="str">
        <f>IF($D1148&lt;&gt;1,"",IF(INDEX(TblClusters[Environnement],$B1148)="","(vide)",INDEX(TblClusters[Environnement],$B1148)))</f>
        <v/>
      </c>
      <c r="AG1148" s="19" t="str">
        <f t="shared" si="304"/>
        <v/>
      </c>
      <c r="AH1148" s="19" t="str">
        <f t="shared" si="305"/>
        <v/>
      </c>
      <c r="AI1148" s="19" t="str">
        <f>IF($D1148&lt;&gt;1,"",IF(AND($G1148="IKS",ISNUMBER(INDEX(TblClusters[Fermeture retenue],$B1148))),IF($E1148&gt;=INDEX(TblClusters[Fermeture retenue],$B1148),1,0),0))</f>
        <v/>
      </c>
    </row>
    <row r="1149" spans="1:35" x14ac:dyDescent="0.2">
      <c r="A1149" s="19">
        <v>1144</v>
      </c>
      <c r="B1149" s="19">
        <f t="shared" si="289"/>
        <v>32</v>
      </c>
      <c r="C1149" s="19">
        <f t="shared" si="290"/>
        <v>28</v>
      </c>
      <c r="D1149" s="19">
        <f>IF($C1149&gt;p_horizon,0,IFERROR(IF(AND(INDEX(TblClusters[Cluster],$B1149)&lt;&gt;"",ISNUMBER(INDEX(TblClusters[CPU initial (vCPU)],$B1149)),ISNUMBER(INDEX(TblClusters[CPU min (vCPU)],$B1149)),OR(INDEX(TblClusters[Plateforme],$B1149)="IKS",INDEX(TblClusters[Plateforme],$B1149)="ROKS")),1,0),0))</f>
        <v>0</v>
      </c>
      <c r="E1149" s="72" t="str">
        <f t="shared" si="291"/>
        <v/>
      </c>
      <c r="F1149" s="19" t="str">
        <f>IF($D1149=1,INDEX(TblClusters[Cluster],$B1149),"")</f>
        <v/>
      </c>
      <c r="G1149" s="19" t="str">
        <f>IF($D1149=1,INDEX(TblClusters[Plateforme],$B1149),"")</f>
        <v/>
      </c>
      <c r="H1149" s="19" t="str">
        <f>IF($D1149=1,INDEX(TblClusters[vCPU par nœud],$B1149),"")</f>
        <v/>
      </c>
      <c r="I1149" s="19" t="str">
        <f>IF($D1149=1,INDEX(TblClusters[RAM par nœud (Go)],$B1149),"")</f>
        <v/>
      </c>
      <c r="J1149" s="19" t="str">
        <f>IF($D1149=1,INDEX(TblClusters[Workers min],$B1149),"")</f>
        <v/>
      </c>
      <c r="K1149" s="73" t="str">
        <f>IF($D1149=1,INDEX(TblClusters[Tarif par nœud],$B1149),"")</f>
        <v/>
      </c>
      <c r="L1149" s="19" t="str">
        <f>IF($D1149=1,INDEX(TblClusters[CPU initial (vCPU)],$B1149),"")</f>
        <v/>
      </c>
      <c r="M1149" s="19" t="str">
        <f>IF($D1149=1,INDEX(TblClusters[RAM initiale (Go)],$B1149),"")</f>
        <v/>
      </c>
      <c r="N1149" s="19" t="str">
        <f>IF($D1149=1,INDEX(TblClusters[CPU min (vCPU)],$B1149),"")</f>
        <v/>
      </c>
      <c r="O1149" s="19" t="str">
        <f>IF($D1149=1,INDEX(TblClusters[RAM min (Go)],$B1149),"")</f>
        <v/>
      </c>
      <c r="P1149" s="19" t="str">
        <f>IF($D1149&lt;&gt;1,"",IF($G1149="ROKS",SUMIFS(TblApplications[Besoin ROKS CPU (vCPU)],TblApplications[Cluster ROKS cible],$F1149,TblApplications[Action],"À migrer",TblApplications[Déjà incluse ROKS],"Non",TblApplications[Mois prov (calc)],"&lt;="&amp;$E1149),SUMIFS(TblApplications[CPU IKS libérable (vCPU)],TblApplications[Cluster IKS source],$F1149,TblApplications[Mois lib (calc)],"&lt;="&amp;$E1149)))</f>
        <v/>
      </c>
      <c r="Q1149" s="19" t="str">
        <f>IF($D1149&lt;&gt;1,"",IF($G1149="ROKS",SUMIFS(TblApplications[Besoin ROKS RAM (Go)],TblApplications[Cluster ROKS cible],$F1149,TblApplications[Action],"À migrer",TblApplications[Déjà incluse ROKS],"Non",TblApplications[Mois prov (calc)],"&lt;="&amp;$E1149),SUMIFS(TblApplications[RAM IKS libérable (Go)],TblApplications[Cluster IKS source],$F1149,TblApplications[Mois lib (calc)],"&lt;="&amp;$E1149)))</f>
        <v/>
      </c>
      <c r="R1149" s="19" t="str">
        <f t="shared" si="292"/>
        <v/>
      </c>
      <c r="S1149" s="19" t="str">
        <f t="shared" si="293"/>
        <v/>
      </c>
      <c r="T1149" s="19" t="str">
        <f t="shared" si="294"/>
        <v/>
      </c>
      <c r="U1149" s="19" t="str">
        <f t="shared" si="295"/>
        <v/>
      </c>
      <c r="V1149" s="19" t="str">
        <f t="shared" si="296"/>
        <v/>
      </c>
      <c r="W1149" s="73" t="str">
        <f t="shared" si="297"/>
        <v/>
      </c>
      <c r="X1149" s="19" t="str">
        <f>IF($D1149&lt;&gt;1,"",IF($G1149="ROKS",$R1149,IF($AI1149=1,0,MAX($N1149,$L1149-SUMIFS(TblApplications[CPU IKS libérable (vCPU)],TblApplications[Cluster IKS source],$F1149,TblApplications[Action],"À migrer",TblApplications[Mois prov (calc)],"&lt;="&amp;$E1149)-SUMIFS(TblApplications[CPU IKS libérable (vCPU)],TblApplications[Cluster IKS source],$F1149,TblApplications[Action],"À décommissionner",TblApplications[Mois lib (calc)],"&lt;="&amp;$E1149)))))</f>
        <v/>
      </c>
      <c r="Y1149" s="19" t="str">
        <f>IF($D1149&lt;&gt;1,"",IF($G1149="ROKS",$S1149,IF($AI1149=1,0,MAX($O1149,$M1149-SUMIFS(TblApplications[RAM IKS libérable (Go)],TblApplications[Cluster IKS source],$F1149,TblApplications[Action],"À migrer",TblApplications[Mois prov (calc)],"&lt;="&amp;$E1149)-SUMIFS(TblApplications[RAM IKS libérable (Go)],TblApplications[Cluster IKS source],$F1149,TblApplications[Action],"À décommissionner",TblApplications[Mois lib (calc)],"&lt;="&amp;$E1149)))))</f>
        <v/>
      </c>
      <c r="Z1149" s="19" t="str">
        <f t="shared" si="298"/>
        <v/>
      </c>
      <c r="AA1149" s="73" t="str">
        <f t="shared" si="299"/>
        <v/>
      </c>
      <c r="AB1149" s="19" t="str">
        <f t="shared" si="300"/>
        <v/>
      </c>
      <c r="AC1149" s="73" t="str">
        <f t="shared" si="301"/>
        <v/>
      </c>
      <c r="AD1149" s="19" t="str">
        <f t="shared" si="302"/>
        <v/>
      </c>
      <c r="AE1149" s="19" t="str">
        <f t="shared" si="303"/>
        <v/>
      </c>
      <c r="AF1149" s="19" t="str">
        <f>IF($D1149&lt;&gt;1,"",IF(INDEX(TblClusters[Environnement],$B1149)="","(vide)",INDEX(TblClusters[Environnement],$B1149)))</f>
        <v/>
      </c>
      <c r="AG1149" s="19" t="str">
        <f t="shared" si="304"/>
        <v/>
      </c>
      <c r="AH1149" s="19" t="str">
        <f t="shared" si="305"/>
        <v/>
      </c>
      <c r="AI1149" s="19" t="str">
        <f>IF($D1149&lt;&gt;1,"",IF(AND($G1149="IKS",ISNUMBER(INDEX(TblClusters[Fermeture retenue],$B1149))),IF($E1149&gt;=INDEX(TblClusters[Fermeture retenue],$B1149),1,0),0))</f>
        <v/>
      </c>
    </row>
    <row r="1150" spans="1:35" x14ac:dyDescent="0.2">
      <c r="A1150" s="19">
        <v>1145</v>
      </c>
      <c r="B1150" s="19">
        <f t="shared" si="289"/>
        <v>32</v>
      </c>
      <c r="C1150" s="19">
        <f t="shared" si="290"/>
        <v>29</v>
      </c>
      <c r="D1150" s="19">
        <f>IF($C1150&gt;p_horizon,0,IFERROR(IF(AND(INDEX(TblClusters[Cluster],$B1150)&lt;&gt;"",ISNUMBER(INDEX(TblClusters[CPU initial (vCPU)],$B1150)),ISNUMBER(INDEX(TblClusters[CPU min (vCPU)],$B1150)),OR(INDEX(TblClusters[Plateforme],$B1150)="IKS",INDEX(TblClusters[Plateforme],$B1150)="ROKS")),1,0),0))</f>
        <v>0</v>
      </c>
      <c r="E1150" s="72" t="str">
        <f t="shared" si="291"/>
        <v/>
      </c>
      <c r="F1150" s="19" t="str">
        <f>IF($D1150=1,INDEX(TblClusters[Cluster],$B1150),"")</f>
        <v/>
      </c>
      <c r="G1150" s="19" t="str">
        <f>IF($D1150=1,INDEX(TblClusters[Plateforme],$B1150),"")</f>
        <v/>
      </c>
      <c r="H1150" s="19" t="str">
        <f>IF($D1150=1,INDEX(TblClusters[vCPU par nœud],$B1150),"")</f>
        <v/>
      </c>
      <c r="I1150" s="19" t="str">
        <f>IF($D1150=1,INDEX(TblClusters[RAM par nœud (Go)],$B1150),"")</f>
        <v/>
      </c>
      <c r="J1150" s="19" t="str">
        <f>IF($D1150=1,INDEX(TblClusters[Workers min],$B1150),"")</f>
        <v/>
      </c>
      <c r="K1150" s="73" t="str">
        <f>IF($D1150=1,INDEX(TblClusters[Tarif par nœud],$B1150),"")</f>
        <v/>
      </c>
      <c r="L1150" s="19" t="str">
        <f>IF($D1150=1,INDEX(TblClusters[CPU initial (vCPU)],$B1150),"")</f>
        <v/>
      </c>
      <c r="M1150" s="19" t="str">
        <f>IF($D1150=1,INDEX(TblClusters[RAM initiale (Go)],$B1150),"")</f>
        <v/>
      </c>
      <c r="N1150" s="19" t="str">
        <f>IF($D1150=1,INDEX(TblClusters[CPU min (vCPU)],$B1150),"")</f>
        <v/>
      </c>
      <c r="O1150" s="19" t="str">
        <f>IF($D1150=1,INDEX(TblClusters[RAM min (Go)],$B1150),"")</f>
        <v/>
      </c>
      <c r="P1150" s="19" t="str">
        <f>IF($D1150&lt;&gt;1,"",IF($G1150="ROKS",SUMIFS(TblApplications[Besoin ROKS CPU (vCPU)],TblApplications[Cluster ROKS cible],$F1150,TblApplications[Action],"À migrer",TblApplications[Déjà incluse ROKS],"Non",TblApplications[Mois prov (calc)],"&lt;="&amp;$E1150),SUMIFS(TblApplications[CPU IKS libérable (vCPU)],TblApplications[Cluster IKS source],$F1150,TblApplications[Mois lib (calc)],"&lt;="&amp;$E1150)))</f>
        <v/>
      </c>
      <c r="Q1150" s="19" t="str">
        <f>IF($D1150&lt;&gt;1,"",IF($G1150="ROKS",SUMIFS(TblApplications[Besoin ROKS RAM (Go)],TblApplications[Cluster ROKS cible],$F1150,TblApplications[Action],"À migrer",TblApplications[Déjà incluse ROKS],"Non",TblApplications[Mois prov (calc)],"&lt;="&amp;$E1150),SUMIFS(TblApplications[RAM IKS libérable (Go)],TblApplications[Cluster IKS source],$F1150,TblApplications[Mois lib (calc)],"&lt;="&amp;$E1150)))</f>
        <v/>
      </c>
      <c r="R1150" s="19" t="str">
        <f t="shared" si="292"/>
        <v/>
      </c>
      <c r="S1150" s="19" t="str">
        <f t="shared" si="293"/>
        <v/>
      </c>
      <c r="T1150" s="19" t="str">
        <f t="shared" si="294"/>
        <v/>
      </c>
      <c r="U1150" s="19" t="str">
        <f t="shared" si="295"/>
        <v/>
      </c>
      <c r="V1150" s="19" t="str">
        <f t="shared" si="296"/>
        <v/>
      </c>
      <c r="W1150" s="73" t="str">
        <f t="shared" si="297"/>
        <v/>
      </c>
      <c r="X1150" s="19" t="str">
        <f>IF($D1150&lt;&gt;1,"",IF($G1150="ROKS",$R1150,IF($AI1150=1,0,MAX($N1150,$L1150-SUMIFS(TblApplications[CPU IKS libérable (vCPU)],TblApplications[Cluster IKS source],$F1150,TblApplications[Action],"À migrer",TblApplications[Mois prov (calc)],"&lt;="&amp;$E1150)-SUMIFS(TblApplications[CPU IKS libérable (vCPU)],TblApplications[Cluster IKS source],$F1150,TblApplications[Action],"À décommissionner",TblApplications[Mois lib (calc)],"&lt;="&amp;$E1150)))))</f>
        <v/>
      </c>
      <c r="Y1150" s="19" t="str">
        <f>IF($D1150&lt;&gt;1,"",IF($G1150="ROKS",$S1150,IF($AI1150=1,0,MAX($O1150,$M1150-SUMIFS(TblApplications[RAM IKS libérable (Go)],TblApplications[Cluster IKS source],$F1150,TblApplications[Action],"À migrer",TblApplications[Mois prov (calc)],"&lt;="&amp;$E1150)-SUMIFS(TblApplications[RAM IKS libérable (Go)],TblApplications[Cluster IKS source],$F1150,TblApplications[Action],"À décommissionner",TblApplications[Mois lib (calc)],"&lt;="&amp;$E1150)))))</f>
        <v/>
      </c>
      <c r="Z1150" s="19" t="str">
        <f t="shared" si="298"/>
        <v/>
      </c>
      <c r="AA1150" s="73" t="str">
        <f t="shared" si="299"/>
        <v/>
      </c>
      <c r="AB1150" s="19" t="str">
        <f t="shared" si="300"/>
        <v/>
      </c>
      <c r="AC1150" s="73" t="str">
        <f t="shared" si="301"/>
        <v/>
      </c>
      <c r="AD1150" s="19" t="str">
        <f t="shared" si="302"/>
        <v/>
      </c>
      <c r="AE1150" s="19" t="str">
        <f t="shared" si="303"/>
        <v/>
      </c>
      <c r="AF1150" s="19" t="str">
        <f>IF($D1150&lt;&gt;1,"",IF(INDEX(TblClusters[Environnement],$B1150)="","(vide)",INDEX(TblClusters[Environnement],$B1150)))</f>
        <v/>
      </c>
      <c r="AG1150" s="19" t="str">
        <f t="shared" si="304"/>
        <v/>
      </c>
      <c r="AH1150" s="19" t="str">
        <f t="shared" si="305"/>
        <v/>
      </c>
      <c r="AI1150" s="19" t="str">
        <f>IF($D1150&lt;&gt;1,"",IF(AND($G1150="IKS",ISNUMBER(INDEX(TblClusters[Fermeture retenue],$B1150))),IF($E1150&gt;=INDEX(TblClusters[Fermeture retenue],$B1150),1,0),0))</f>
        <v/>
      </c>
    </row>
    <row r="1151" spans="1:35" x14ac:dyDescent="0.2">
      <c r="A1151" s="19">
        <v>1146</v>
      </c>
      <c r="B1151" s="19">
        <f t="shared" si="289"/>
        <v>32</v>
      </c>
      <c r="C1151" s="19">
        <f t="shared" si="290"/>
        <v>30</v>
      </c>
      <c r="D1151" s="19">
        <f>IF($C1151&gt;p_horizon,0,IFERROR(IF(AND(INDEX(TblClusters[Cluster],$B1151)&lt;&gt;"",ISNUMBER(INDEX(TblClusters[CPU initial (vCPU)],$B1151)),ISNUMBER(INDEX(TblClusters[CPU min (vCPU)],$B1151)),OR(INDEX(TblClusters[Plateforme],$B1151)="IKS",INDEX(TblClusters[Plateforme],$B1151)="ROKS")),1,0),0))</f>
        <v>0</v>
      </c>
      <c r="E1151" s="72" t="str">
        <f t="shared" si="291"/>
        <v/>
      </c>
      <c r="F1151" s="19" t="str">
        <f>IF($D1151=1,INDEX(TblClusters[Cluster],$B1151),"")</f>
        <v/>
      </c>
      <c r="G1151" s="19" t="str">
        <f>IF($D1151=1,INDEX(TblClusters[Plateforme],$B1151),"")</f>
        <v/>
      </c>
      <c r="H1151" s="19" t="str">
        <f>IF($D1151=1,INDEX(TblClusters[vCPU par nœud],$B1151),"")</f>
        <v/>
      </c>
      <c r="I1151" s="19" t="str">
        <f>IF($D1151=1,INDEX(TblClusters[RAM par nœud (Go)],$B1151),"")</f>
        <v/>
      </c>
      <c r="J1151" s="19" t="str">
        <f>IF($D1151=1,INDEX(TblClusters[Workers min],$B1151),"")</f>
        <v/>
      </c>
      <c r="K1151" s="73" t="str">
        <f>IF($D1151=1,INDEX(TblClusters[Tarif par nœud],$B1151),"")</f>
        <v/>
      </c>
      <c r="L1151" s="19" t="str">
        <f>IF($D1151=1,INDEX(TblClusters[CPU initial (vCPU)],$B1151),"")</f>
        <v/>
      </c>
      <c r="M1151" s="19" t="str">
        <f>IF($D1151=1,INDEX(TblClusters[RAM initiale (Go)],$B1151),"")</f>
        <v/>
      </c>
      <c r="N1151" s="19" t="str">
        <f>IF($D1151=1,INDEX(TblClusters[CPU min (vCPU)],$B1151),"")</f>
        <v/>
      </c>
      <c r="O1151" s="19" t="str">
        <f>IF($D1151=1,INDEX(TblClusters[RAM min (Go)],$B1151),"")</f>
        <v/>
      </c>
      <c r="P1151" s="19" t="str">
        <f>IF($D1151&lt;&gt;1,"",IF($G1151="ROKS",SUMIFS(TblApplications[Besoin ROKS CPU (vCPU)],TblApplications[Cluster ROKS cible],$F1151,TblApplications[Action],"À migrer",TblApplications[Déjà incluse ROKS],"Non",TblApplications[Mois prov (calc)],"&lt;="&amp;$E1151),SUMIFS(TblApplications[CPU IKS libérable (vCPU)],TblApplications[Cluster IKS source],$F1151,TblApplications[Mois lib (calc)],"&lt;="&amp;$E1151)))</f>
        <v/>
      </c>
      <c r="Q1151" s="19" t="str">
        <f>IF($D1151&lt;&gt;1,"",IF($G1151="ROKS",SUMIFS(TblApplications[Besoin ROKS RAM (Go)],TblApplications[Cluster ROKS cible],$F1151,TblApplications[Action],"À migrer",TblApplications[Déjà incluse ROKS],"Non",TblApplications[Mois prov (calc)],"&lt;="&amp;$E1151),SUMIFS(TblApplications[RAM IKS libérable (Go)],TblApplications[Cluster IKS source],$F1151,TblApplications[Mois lib (calc)],"&lt;="&amp;$E1151)))</f>
        <v/>
      </c>
      <c r="R1151" s="19" t="str">
        <f t="shared" si="292"/>
        <v/>
      </c>
      <c r="S1151" s="19" t="str">
        <f t="shared" si="293"/>
        <v/>
      </c>
      <c r="T1151" s="19" t="str">
        <f t="shared" si="294"/>
        <v/>
      </c>
      <c r="U1151" s="19" t="str">
        <f t="shared" si="295"/>
        <v/>
      </c>
      <c r="V1151" s="19" t="str">
        <f t="shared" si="296"/>
        <v/>
      </c>
      <c r="W1151" s="73" t="str">
        <f t="shared" si="297"/>
        <v/>
      </c>
      <c r="X1151" s="19" t="str">
        <f>IF($D1151&lt;&gt;1,"",IF($G1151="ROKS",$R1151,IF($AI1151=1,0,MAX($N1151,$L1151-SUMIFS(TblApplications[CPU IKS libérable (vCPU)],TblApplications[Cluster IKS source],$F1151,TblApplications[Action],"À migrer",TblApplications[Mois prov (calc)],"&lt;="&amp;$E1151)-SUMIFS(TblApplications[CPU IKS libérable (vCPU)],TblApplications[Cluster IKS source],$F1151,TblApplications[Action],"À décommissionner",TblApplications[Mois lib (calc)],"&lt;="&amp;$E1151)))))</f>
        <v/>
      </c>
      <c r="Y1151" s="19" t="str">
        <f>IF($D1151&lt;&gt;1,"",IF($G1151="ROKS",$S1151,IF($AI1151=1,0,MAX($O1151,$M1151-SUMIFS(TblApplications[RAM IKS libérable (Go)],TblApplications[Cluster IKS source],$F1151,TblApplications[Action],"À migrer",TblApplications[Mois prov (calc)],"&lt;="&amp;$E1151)-SUMIFS(TblApplications[RAM IKS libérable (Go)],TblApplications[Cluster IKS source],$F1151,TblApplications[Action],"À décommissionner",TblApplications[Mois lib (calc)],"&lt;="&amp;$E1151)))))</f>
        <v/>
      </c>
      <c r="Z1151" s="19" t="str">
        <f t="shared" si="298"/>
        <v/>
      </c>
      <c r="AA1151" s="73" t="str">
        <f t="shared" si="299"/>
        <v/>
      </c>
      <c r="AB1151" s="19" t="str">
        <f t="shared" si="300"/>
        <v/>
      </c>
      <c r="AC1151" s="73" t="str">
        <f t="shared" si="301"/>
        <v/>
      </c>
      <c r="AD1151" s="19" t="str">
        <f t="shared" si="302"/>
        <v/>
      </c>
      <c r="AE1151" s="19" t="str">
        <f t="shared" si="303"/>
        <v/>
      </c>
      <c r="AF1151" s="19" t="str">
        <f>IF($D1151&lt;&gt;1,"",IF(INDEX(TblClusters[Environnement],$B1151)="","(vide)",INDEX(TblClusters[Environnement],$B1151)))</f>
        <v/>
      </c>
      <c r="AG1151" s="19" t="str">
        <f t="shared" si="304"/>
        <v/>
      </c>
      <c r="AH1151" s="19" t="str">
        <f t="shared" si="305"/>
        <v/>
      </c>
      <c r="AI1151" s="19" t="str">
        <f>IF($D1151&lt;&gt;1,"",IF(AND($G1151="IKS",ISNUMBER(INDEX(TblClusters[Fermeture retenue],$B1151))),IF($E1151&gt;=INDEX(TblClusters[Fermeture retenue],$B1151),1,0),0))</f>
        <v/>
      </c>
    </row>
    <row r="1152" spans="1:35" x14ac:dyDescent="0.2">
      <c r="A1152" s="19">
        <v>1147</v>
      </c>
      <c r="B1152" s="19">
        <f t="shared" si="289"/>
        <v>32</v>
      </c>
      <c r="C1152" s="19">
        <f t="shared" si="290"/>
        <v>31</v>
      </c>
      <c r="D1152" s="19">
        <f>IF($C1152&gt;p_horizon,0,IFERROR(IF(AND(INDEX(TblClusters[Cluster],$B1152)&lt;&gt;"",ISNUMBER(INDEX(TblClusters[CPU initial (vCPU)],$B1152)),ISNUMBER(INDEX(TblClusters[CPU min (vCPU)],$B1152)),OR(INDEX(TblClusters[Plateforme],$B1152)="IKS",INDEX(TblClusters[Plateforme],$B1152)="ROKS")),1,0),0))</f>
        <v>0</v>
      </c>
      <c r="E1152" s="72" t="str">
        <f t="shared" si="291"/>
        <v/>
      </c>
      <c r="F1152" s="19" t="str">
        <f>IF($D1152=1,INDEX(TblClusters[Cluster],$B1152),"")</f>
        <v/>
      </c>
      <c r="G1152" s="19" t="str">
        <f>IF($D1152=1,INDEX(TblClusters[Plateforme],$B1152),"")</f>
        <v/>
      </c>
      <c r="H1152" s="19" t="str">
        <f>IF($D1152=1,INDEX(TblClusters[vCPU par nœud],$B1152),"")</f>
        <v/>
      </c>
      <c r="I1152" s="19" t="str">
        <f>IF($D1152=1,INDEX(TblClusters[RAM par nœud (Go)],$B1152),"")</f>
        <v/>
      </c>
      <c r="J1152" s="19" t="str">
        <f>IF($D1152=1,INDEX(TblClusters[Workers min],$B1152),"")</f>
        <v/>
      </c>
      <c r="K1152" s="73" t="str">
        <f>IF($D1152=1,INDEX(TblClusters[Tarif par nœud],$B1152),"")</f>
        <v/>
      </c>
      <c r="L1152" s="19" t="str">
        <f>IF($D1152=1,INDEX(TblClusters[CPU initial (vCPU)],$B1152),"")</f>
        <v/>
      </c>
      <c r="M1152" s="19" t="str">
        <f>IF($D1152=1,INDEX(TblClusters[RAM initiale (Go)],$B1152),"")</f>
        <v/>
      </c>
      <c r="N1152" s="19" t="str">
        <f>IF($D1152=1,INDEX(TblClusters[CPU min (vCPU)],$B1152),"")</f>
        <v/>
      </c>
      <c r="O1152" s="19" t="str">
        <f>IF($D1152=1,INDEX(TblClusters[RAM min (Go)],$B1152),"")</f>
        <v/>
      </c>
      <c r="P1152" s="19" t="str">
        <f>IF($D1152&lt;&gt;1,"",IF($G1152="ROKS",SUMIFS(TblApplications[Besoin ROKS CPU (vCPU)],TblApplications[Cluster ROKS cible],$F1152,TblApplications[Action],"À migrer",TblApplications[Déjà incluse ROKS],"Non",TblApplications[Mois prov (calc)],"&lt;="&amp;$E1152),SUMIFS(TblApplications[CPU IKS libérable (vCPU)],TblApplications[Cluster IKS source],$F1152,TblApplications[Mois lib (calc)],"&lt;="&amp;$E1152)))</f>
        <v/>
      </c>
      <c r="Q1152" s="19" t="str">
        <f>IF($D1152&lt;&gt;1,"",IF($G1152="ROKS",SUMIFS(TblApplications[Besoin ROKS RAM (Go)],TblApplications[Cluster ROKS cible],$F1152,TblApplications[Action],"À migrer",TblApplications[Déjà incluse ROKS],"Non",TblApplications[Mois prov (calc)],"&lt;="&amp;$E1152),SUMIFS(TblApplications[RAM IKS libérable (Go)],TblApplications[Cluster IKS source],$F1152,TblApplications[Mois lib (calc)],"&lt;="&amp;$E1152)))</f>
        <v/>
      </c>
      <c r="R1152" s="19" t="str">
        <f t="shared" si="292"/>
        <v/>
      </c>
      <c r="S1152" s="19" t="str">
        <f t="shared" si="293"/>
        <v/>
      </c>
      <c r="T1152" s="19" t="str">
        <f t="shared" si="294"/>
        <v/>
      </c>
      <c r="U1152" s="19" t="str">
        <f t="shared" si="295"/>
        <v/>
      </c>
      <c r="V1152" s="19" t="str">
        <f t="shared" si="296"/>
        <v/>
      </c>
      <c r="W1152" s="73" t="str">
        <f t="shared" si="297"/>
        <v/>
      </c>
      <c r="X1152" s="19" t="str">
        <f>IF($D1152&lt;&gt;1,"",IF($G1152="ROKS",$R1152,IF($AI1152=1,0,MAX($N1152,$L1152-SUMIFS(TblApplications[CPU IKS libérable (vCPU)],TblApplications[Cluster IKS source],$F1152,TblApplications[Action],"À migrer",TblApplications[Mois prov (calc)],"&lt;="&amp;$E1152)-SUMIFS(TblApplications[CPU IKS libérable (vCPU)],TblApplications[Cluster IKS source],$F1152,TblApplications[Action],"À décommissionner",TblApplications[Mois lib (calc)],"&lt;="&amp;$E1152)))))</f>
        <v/>
      </c>
      <c r="Y1152" s="19" t="str">
        <f>IF($D1152&lt;&gt;1,"",IF($G1152="ROKS",$S1152,IF($AI1152=1,0,MAX($O1152,$M1152-SUMIFS(TblApplications[RAM IKS libérable (Go)],TblApplications[Cluster IKS source],$F1152,TblApplications[Action],"À migrer",TblApplications[Mois prov (calc)],"&lt;="&amp;$E1152)-SUMIFS(TblApplications[RAM IKS libérable (Go)],TblApplications[Cluster IKS source],$F1152,TblApplications[Action],"À décommissionner",TblApplications[Mois lib (calc)],"&lt;="&amp;$E1152)))))</f>
        <v/>
      </c>
      <c r="Z1152" s="19" t="str">
        <f t="shared" si="298"/>
        <v/>
      </c>
      <c r="AA1152" s="73" t="str">
        <f t="shared" si="299"/>
        <v/>
      </c>
      <c r="AB1152" s="19" t="str">
        <f t="shared" si="300"/>
        <v/>
      </c>
      <c r="AC1152" s="73" t="str">
        <f t="shared" si="301"/>
        <v/>
      </c>
      <c r="AD1152" s="19" t="str">
        <f t="shared" si="302"/>
        <v/>
      </c>
      <c r="AE1152" s="19" t="str">
        <f t="shared" si="303"/>
        <v/>
      </c>
      <c r="AF1152" s="19" t="str">
        <f>IF($D1152&lt;&gt;1,"",IF(INDEX(TblClusters[Environnement],$B1152)="","(vide)",INDEX(TblClusters[Environnement],$B1152)))</f>
        <v/>
      </c>
      <c r="AG1152" s="19" t="str">
        <f t="shared" si="304"/>
        <v/>
      </c>
      <c r="AH1152" s="19" t="str">
        <f t="shared" si="305"/>
        <v/>
      </c>
      <c r="AI1152" s="19" t="str">
        <f>IF($D1152&lt;&gt;1,"",IF(AND($G1152="IKS",ISNUMBER(INDEX(TblClusters[Fermeture retenue],$B1152))),IF($E1152&gt;=INDEX(TblClusters[Fermeture retenue],$B1152),1,0),0))</f>
        <v/>
      </c>
    </row>
    <row r="1153" spans="1:35" x14ac:dyDescent="0.2">
      <c r="A1153" s="19">
        <v>1148</v>
      </c>
      <c r="B1153" s="19">
        <f t="shared" si="289"/>
        <v>32</v>
      </c>
      <c r="C1153" s="19">
        <f t="shared" si="290"/>
        <v>32</v>
      </c>
      <c r="D1153" s="19">
        <f>IF($C1153&gt;p_horizon,0,IFERROR(IF(AND(INDEX(TblClusters[Cluster],$B1153)&lt;&gt;"",ISNUMBER(INDEX(TblClusters[CPU initial (vCPU)],$B1153)),ISNUMBER(INDEX(TblClusters[CPU min (vCPU)],$B1153)),OR(INDEX(TblClusters[Plateforme],$B1153)="IKS",INDEX(TblClusters[Plateforme],$B1153)="ROKS")),1,0),0))</f>
        <v>0</v>
      </c>
      <c r="E1153" s="72" t="str">
        <f t="shared" si="291"/>
        <v/>
      </c>
      <c r="F1153" s="19" t="str">
        <f>IF($D1153=1,INDEX(TblClusters[Cluster],$B1153),"")</f>
        <v/>
      </c>
      <c r="G1153" s="19" t="str">
        <f>IF($D1153=1,INDEX(TblClusters[Plateforme],$B1153),"")</f>
        <v/>
      </c>
      <c r="H1153" s="19" t="str">
        <f>IF($D1153=1,INDEX(TblClusters[vCPU par nœud],$B1153),"")</f>
        <v/>
      </c>
      <c r="I1153" s="19" t="str">
        <f>IF($D1153=1,INDEX(TblClusters[RAM par nœud (Go)],$B1153),"")</f>
        <v/>
      </c>
      <c r="J1153" s="19" t="str">
        <f>IF($D1153=1,INDEX(TblClusters[Workers min],$B1153),"")</f>
        <v/>
      </c>
      <c r="K1153" s="73" t="str">
        <f>IF($D1153=1,INDEX(TblClusters[Tarif par nœud],$B1153),"")</f>
        <v/>
      </c>
      <c r="L1153" s="19" t="str">
        <f>IF($D1153=1,INDEX(TblClusters[CPU initial (vCPU)],$B1153),"")</f>
        <v/>
      </c>
      <c r="M1153" s="19" t="str">
        <f>IF($D1153=1,INDEX(TblClusters[RAM initiale (Go)],$B1153),"")</f>
        <v/>
      </c>
      <c r="N1153" s="19" t="str">
        <f>IF($D1153=1,INDEX(TblClusters[CPU min (vCPU)],$B1153),"")</f>
        <v/>
      </c>
      <c r="O1153" s="19" t="str">
        <f>IF($D1153=1,INDEX(TblClusters[RAM min (Go)],$B1153),"")</f>
        <v/>
      </c>
      <c r="P1153" s="19" t="str">
        <f>IF($D1153&lt;&gt;1,"",IF($G1153="ROKS",SUMIFS(TblApplications[Besoin ROKS CPU (vCPU)],TblApplications[Cluster ROKS cible],$F1153,TblApplications[Action],"À migrer",TblApplications[Déjà incluse ROKS],"Non",TblApplications[Mois prov (calc)],"&lt;="&amp;$E1153),SUMIFS(TblApplications[CPU IKS libérable (vCPU)],TblApplications[Cluster IKS source],$F1153,TblApplications[Mois lib (calc)],"&lt;="&amp;$E1153)))</f>
        <v/>
      </c>
      <c r="Q1153" s="19" t="str">
        <f>IF($D1153&lt;&gt;1,"",IF($G1153="ROKS",SUMIFS(TblApplications[Besoin ROKS RAM (Go)],TblApplications[Cluster ROKS cible],$F1153,TblApplications[Action],"À migrer",TblApplications[Déjà incluse ROKS],"Non",TblApplications[Mois prov (calc)],"&lt;="&amp;$E1153),SUMIFS(TblApplications[RAM IKS libérable (Go)],TblApplications[Cluster IKS source],$F1153,TblApplications[Mois lib (calc)],"&lt;="&amp;$E1153)))</f>
        <v/>
      </c>
      <c r="R1153" s="19" t="str">
        <f t="shared" si="292"/>
        <v/>
      </c>
      <c r="S1153" s="19" t="str">
        <f t="shared" si="293"/>
        <v/>
      </c>
      <c r="T1153" s="19" t="str">
        <f t="shared" si="294"/>
        <v/>
      </c>
      <c r="U1153" s="19" t="str">
        <f t="shared" si="295"/>
        <v/>
      </c>
      <c r="V1153" s="19" t="str">
        <f t="shared" si="296"/>
        <v/>
      </c>
      <c r="W1153" s="73" t="str">
        <f t="shared" si="297"/>
        <v/>
      </c>
      <c r="X1153" s="19" t="str">
        <f>IF($D1153&lt;&gt;1,"",IF($G1153="ROKS",$R1153,IF($AI1153=1,0,MAX($N1153,$L1153-SUMIFS(TblApplications[CPU IKS libérable (vCPU)],TblApplications[Cluster IKS source],$F1153,TblApplications[Action],"À migrer",TblApplications[Mois prov (calc)],"&lt;="&amp;$E1153)-SUMIFS(TblApplications[CPU IKS libérable (vCPU)],TblApplications[Cluster IKS source],$F1153,TblApplications[Action],"À décommissionner",TblApplications[Mois lib (calc)],"&lt;="&amp;$E1153)))))</f>
        <v/>
      </c>
      <c r="Y1153" s="19" t="str">
        <f>IF($D1153&lt;&gt;1,"",IF($G1153="ROKS",$S1153,IF($AI1153=1,0,MAX($O1153,$M1153-SUMIFS(TblApplications[RAM IKS libérable (Go)],TblApplications[Cluster IKS source],$F1153,TblApplications[Action],"À migrer",TblApplications[Mois prov (calc)],"&lt;="&amp;$E1153)-SUMIFS(TblApplications[RAM IKS libérable (Go)],TblApplications[Cluster IKS source],$F1153,TblApplications[Action],"À décommissionner",TblApplications[Mois lib (calc)],"&lt;="&amp;$E1153)))))</f>
        <v/>
      </c>
      <c r="Z1153" s="19" t="str">
        <f t="shared" si="298"/>
        <v/>
      </c>
      <c r="AA1153" s="73" t="str">
        <f t="shared" si="299"/>
        <v/>
      </c>
      <c r="AB1153" s="19" t="str">
        <f t="shared" si="300"/>
        <v/>
      </c>
      <c r="AC1153" s="73" t="str">
        <f t="shared" si="301"/>
        <v/>
      </c>
      <c r="AD1153" s="19" t="str">
        <f t="shared" si="302"/>
        <v/>
      </c>
      <c r="AE1153" s="19" t="str">
        <f t="shared" si="303"/>
        <v/>
      </c>
      <c r="AF1153" s="19" t="str">
        <f>IF($D1153&lt;&gt;1,"",IF(INDEX(TblClusters[Environnement],$B1153)="","(vide)",INDEX(TblClusters[Environnement],$B1153)))</f>
        <v/>
      </c>
      <c r="AG1153" s="19" t="str">
        <f t="shared" si="304"/>
        <v/>
      </c>
      <c r="AH1153" s="19" t="str">
        <f t="shared" si="305"/>
        <v/>
      </c>
      <c r="AI1153" s="19" t="str">
        <f>IF($D1153&lt;&gt;1,"",IF(AND($G1153="IKS",ISNUMBER(INDEX(TblClusters[Fermeture retenue],$B1153))),IF($E1153&gt;=INDEX(TblClusters[Fermeture retenue],$B1153),1,0),0))</f>
        <v/>
      </c>
    </row>
    <row r="1154" spans="1:35" x14ac:dyDescent="0.2">
      <c r="A1154" s="19">
        <v>1149</v>
      </c>
      <c r="B1154" s="19">
        <f t="shared" si="289"/>
        <v>32</v>
      </c>
      <c r="C1154" s="19">
        <f t="shared" si="290"/>
        <v>33</v>
      </c>
      <c r="D1154" s="19">
        <f>IF($C1154&gt;p_horizon,0,IFERROR(IF(AND(INDEX(TblClusters[Cluster],$B1154)&lt;&gt;"",ISNUMBER(INDEX(TblClusters[CPU initial (vCPU)],$B1154)),ISNUMBER(INDEX(TblClusters[CPU min (vCPU)],$B1154)),OR(INDEX(TblClusters[Plateforme],$B1154)="IKS",INDEX(TblClusters[Plateforme],$B1154)="ROKS")),1,0),0))</f>
        <v>0</v>
      </c>
      <c r="E1154" s="72" t="str">
        <f t="shared" si="291"/>
        <v/>
      </c>
      <c r="F1154" s="19" t="str">
        <f>IF($D1154=1,INDEX(TblClusters[Cluster],$B1154),"")</f>
        <v/>
      </c>
      <c r="G1154" s="19" t="str">
        <f>IF($D1154=1,INDEX(TblClusters[Plateforme],$B1154),"")</f>
        <v/>
      </c>
      <c r="H1154" s="19" t="str">
        <f>IF($D1154=1,INDEX(TblClusters[vCPU par nœud],$B1154),"")</f>
        <v/>
      </c>
      <c r="I1154" s="19" t="str">
        <f>IF($D1154=1,INDEX(TblClusters[RAM par nœud (Go)],$B1154),"")</f>
        <v/>
      </c>
      <c r="J1154" s="19" t="str">
        <f>IF($D1154=1,INDEX(TblClusters[Workers min],$B1154),"")</f>
        <v/>
      </c>
      <c r="K1154" s="73" t="str">
        <f>IF($D1154=1,INDEX(TblClusters[Tarif par nœud],$B1154),"")</f>
        <v/>
      </c>
      <c r="L1154" s="19" t="str">
        <f>IF($D1154=1,INDEX(TblClusters[CPU initial (vCPU)],$B1154),"")</f>
        <v/>
      </c>
      <c r="M1154" s="19" t="str">
        <f>IF($D1154=1,INDEX(TblClusters[RAM initiale (Go)],$B1154),"")</f>
        <v/>
      </c>
      <c r="N1154" s="19" t="str">
        <f>IF($D1154=1,INDEX(TblClusters[CPU min (vCPU)],$B1154),"")</f>
        <v/>
      </c>
      <c r="O1154" s="19" t="str">
        <f>IF($D1154=1,INDEX(TblClusters[RAM min (Go)],$B1154),"")</f>
        <v/>
      </c>
      <c r="P1154" s="19" t="str">
        <f>IF($D1154&lt;&gt;1,"",IF($G1154="ROKS",SUMIFS(TblApplications[Besoin ROKS CPU (vCPU)],TblApplications[Cluster ROKS cible],$F1154,TblApplications[Action],"À migrer",TblApplications[Déjà incluse ROKS],"Non",TblApplications[Mois prov (calc)],"&lt;="&amp;$E1154),SUMIFS(TblApplications[CPU IKS libérable (vCPU)],TblApplications[Cluster IKS source],$F1154,TblApplications[Mois lib (calc)],"&lt;="&amp;$E1154)))</f>
        <v/>
      </c>
      <c r="Q1154" s="19" t="str">
        <f>IF($D1154&lt;&gt;1,"",IF($G1154="ROKS",SUMIFS(TblApplications[Besoin ROKS RAM (Go)],TblApplications[Cluster ROKS cible],$F1154,TblApplications[Action],"À migrer",TblApplications[Déjà incluse ROKS],"Non",TblApplications[Mois prov (calc)],"&lt;="&amp;$E1154),SUMIFS(TblApplications[RAM IKS libérable (Go)],TblApplications[Cluster IKS source],$F1154,TblApplications[Mois lib (calc)],"&lt;="&amp;$E1154)))</f>
        <v/>
      </c>
      <c r="R1154" s="19" t="str">
        <f t="shared" si="292"/>
        <v/>
      </c>
      <c r="S1154" s="19" t="str">
        <f t="shared" si="293"/>
        <v/>
      </c>
      <c r="T1154" s="19" t="str">
        <f t="shared" si="294"/>
        <v/>
      </c>
      <c r="U1154" s="19" t="str">
        <f t="shared" si="295"/>
        <v/>
      </c>
      <c r="V1154" s="19" t="str">
        <f t="shared" si="296"/>
        <v/>
      </c>
      <c r="W1154" s="73" t="str">
        <f t="shared" si="297"/>
        <v/>
      </c>
      <c r="X1154" s="19" t="str">
        <f>IF($D1154&lt;&gt;1,"",IF($G1154="ROKS",$R1154,IF($AI1154=1,0,MAX($N1154,$L1154-SUMIFS(TblApplications[CPU IKS libérable (vCPU)],TblApplications[Cluster IKS source],$F1154,TblApplications[Action],"À migrer",TblApplications[Mois prov (calc)],"&lt;="&amp;$E1154)-SUMIFS(TblApplications[CPU IKS libérable (vCPU)],TblApplications[Cluster IKS source],$F1154,TblApplications[Action],"À décommissionner",TblApplications[Mois lib (calc)],"&lt;="&amp;$E1154)))))</f>
        <v/>
      </c>
      <c r="Y1154" s="19" t="str">
        <f>IF($D1154&lt;&gt;1,"",IF($G1154="ROKS",$S1154,IF($AI1154=1,0,MAX($O1154,$M1154-SUMIFS(TblApplications[RAM IKS libérable (Go)],TblApplications[Cluster IKS source],$F1154,TblApplications[Action],"À migrer",TblApplications[Mois prov (calc)],"&lt;="&amp;$E1154)-SUMIFS(TblApplications[RAM IKS libérable (Go)],TblApplications[Cluster IKS source],$F1154,TblApplications[Action],"À décommissionner",TblApplications[Mois lib (calc)],"&lt;="&amp;$E1154)))))</f>
        <v/>
      </c>
      <c r="Z1154" s="19" t="str">
        <f t="shared" si="298"/>
        <v/>
      </c>
      <c r="AA1154" s="73" t="str">
        <f t="shared" si="299"/>
        <v/>
      </c>
      <c r="AB1154" s="19" t="str">
        <f t="shared" si="300"/>
        <v/>
      </c>
      <c r="AC1154" s="73" t="str">
        <f t="shared" si="301"/>
        <v/>
      </c>
      <c r="AD1154" s="19" t="str">
        <f t="shared" si="302"/>
        <v/>
      </c>
      <c r="AE1154" s="19" t="str">
        <f t="shared" si="303"/>
        <v/>
      </c>
      <c r="AF1154" s="19" t="str">
        <f>IF($D1154&lt;&gt;1,"",IF(INDEX(TblClusters[Environnement],$B1154)="","(vide)",INDEX(TblClusters[Environnement],$B1154)))</f>
        <v/>
      </c>
      <c r="AG1154" s="19" t="str">
        <f t="shared" si="304"/>
        <v/>
      </c>
      <c r="AH1154" s="19" t="str">
        <f t="shared" si="305"/>
        <v/>
      </c>
      <c r="AI1154" s="19" t="str">
        <f>IF($D1154&lt;&gt;1,"",IF(AND($G1154="IKS",ISNUMBER(INDEX(TblClusters[Fermeture retenue],$B1154))),IF($E1154&gt;=INDEX(TblClusters[Fermeture retenue],$B1154),1,0),0))</f>
        <v/>
      </c>
    </row>
    <row r="1155" spans="1:35" x14ac:dyDescent="0.2">
      <c r="A1155" s="19">
        <v>1150</v>
      </c>
      <c r="B1155" s="19">
        <f t="shared" si="289"/>
        <v>32</v>
      </c>
      <c r="C1155" s="19">
        <f t="shared" si="290"/>
        <v>34</v>
      </c>
      <c r="D1155" s="19">
        <f>IF($C1155&gt;p_horizon,0,IFERROR(IF(AND(INDEX(TblClusters[Cluster],$B1155)&lt;&gt;"",ISNUMBER(INDEX(TblClusters[CPU initial (vCPU)],$B1155)),ISNUMBER(INDEX(TblClusters[CPU min (vCPU)],$B1155)),OR(INDEX(TblClusters[Plateforme],$B1155)="IKS",INDEX(TblClusters[Plateforme],$B1155)="ROKS")),1,0),0))</f>
        <v>0</v>
      </c>
      <c r="E1155" s="72" t="str">
        <f t="shared" si="291"/>
        <v/>
      </c>
      <c r="F1155" s="19" t="str">
        <f>IF($D1155=1,INDEX(TblClusters[Cluster],$B1155),"")</f>
        <v/>
      </c>
      <c r="G1155" s="19" t="str">
        <f>IF($D1155=1,INDEX(TblClusters[Plateforme],$B1155),"")</f>
        <v/>
      </c>
      <c r="H1155" s="19" t="str">
        <f>IF($D1155=1,INDEX(TblClusters[vCPU par nœud],$B1155),"")</f>
        <v/>
      </c>
      <c r="I1155" s="19" t="str">
        <f>IF($D1155=1,INDEX(TblClusters[RAM par nœud (Go)],$B1155),"")</f>
        <v/>
      </c>
      <c r="J1155" s="19" t="str">
        <f>IF($D1155=1,INDEX(TblClusters[Workers min],$B1155),"")</f>
        <v/>
      </c>
      <c r="K1155" s="73" t="str">
        <f>IF($D1155=1,INDEX(TblClusters[Tarif par nœud],$B1155),"")</f>
        <v/>
      </c>
      <c r="L1155" s="19" t="str">
        <f>IF($D1155=1,INDEX(TblClusters[CPU initial (vCPU)],$B1155),"")</f>
        <v/>
      </c>
      <c r="M1155" s="19" t="str">
        <f>IF($D1155=1,INDEX(TblClusters[RAM initiale (Go)],$B1155),"")</f>
        <v/>
      </c>
      <c r="N1155" s="19" t="str">
        <f>IF($D1155=1,INDEX(TblClusters[CPU min (vCPU)],$B1155),"")</f>
        <v/>
      </c>
      <c r="O1155" s="19" t="str">
        <f>IF($D1155=1,INDEX(TblClusters[RAM min (Go)],$B1155),"")</f>
        <v/>
      </c>
      <c r="P1155" s="19" t="str">
        <f>IF($D1155&lt;&gt;1,"",IF($G1155="ROKS",SUMIFS(TblApplications[Besoin ROKS CPU (vCPU)],TblApplications[Cluster ROKS cible],$F1155,TblApplications[Action],"À migrer",TblApplications[Déjà incluse ROKS],"Non",TblApplications[Mois prov (calc)],"&lt;="&amp;$E1155),SUMIFS(TblApplications[CPU IKS libérable (vCPU)],TblApplications[Cluster IKS source],$F1155,TblApplications[Mois lib (calc)],"&lt;="&amp;$E1155)))</f>
        <v/>
      </c>
      <c r="Q1155" s="19" t="str">
        <f>IF($D1155&lt;&gt;1,"",IF($G1155="ROKS",SUMIFS(TblApplications[Besoin ROKS RAM (Go)],TblApplications[Cluster ROKS cible],$F1155,TblApplications[Action],"À migrer",TblApplications[Déjà incluse ROKS],"Non",TblApplications[Mois prov (calc)],"&lt;="&amp;$E1155),SUMIFS(TblApplications[RAM IKS libérable (Go)],TblApplications[Cluster IKS source],$F1155,TblApplications[Mois lib (calc)],"&lt;="&amp;$E1155)))</f>
        <v/>
      </c>
      <c r="R1155" s="19" t="str">
        <f t="shared" si="292"/>
        <v/>
      </c>
      <c r="S1155" s="19" t="str">
        <f t="shared" si="293"/>
        <v/>
      </c>
      <c r="T1155" s="19" t="str">
        <f t="shared" si="294"/>
        <v/>
      </c>
      <c r="U1155" s="19" t="str">
        <f t="shared" si="295"/>
        <v/>
      </c>
      <c r="V1155" s="19" t="str">
        <f t="shared" si="296"/>
        <v/>
      </c>
      <c r="W1155" s="73" t="str">
        <f t="shared" si="297"/>
        <v/>
      </c>
      <c r="X1155" s="19" t="str">
        <f>IF($D1155&lt;&gt;1,"",IF($G1155="ROKS",$R1155,IF($AI1155=1,0,MAX($N1155,$L1155-SUMIFS(TblApplications[CPU IKS libérable (vCPU)],TblApplications[Cluster IKS source],$F1155,TblApplications[Action],"À migrer",TblApplications[Mois prov (calc)],"&lt;="&amp;$E1155)-SUMIFS(TblApplications[CPU IKS libérable (vCPU)],TblApplications[Cluster IKS source],$F1155,TblApplications[Action],"À décommissionner",TblApplications[Mois lib (calc)],"&lt;="&amp;$E1155)))))</f>
        <v/>
      </c>
      <c r="Y1155" s="19" t="str">
        <f>IF($D1155&lt;&gt;1,"",IF($G1155="ROKS",$S1155,IF($AI1155=1,0,MAX($O1155,$M1155-SUMIFS(TblApplications[RAM IKS libérable (Go)],TblApplications[Cluster IKS source],$F1155,TblApplications[Action],"À migrer",TblApplications[Mois prov (calc)],"&lt;="&amp;$E1155)-SUMIFS(TblApplications[RAM IKS libérable (Go)],TblApplications[Cluster IKS source],$F1155,TblApplications[Action],"À décommissionner",TblApplications[Mois lib (calc)],"&lt;="&amp;$E1155)))))</f>
        <v/>
      </c>
      <c r="Z1155" s="19" t="str">
        <f t="shared" si="298"/>
        <v/>
      </c>
      <c r="AA1155" s="73" t="str">
        <f t="shared" si="299"/>
        <v/>
      </c>
      <c r="AB1155" s="19" t="str">
        <f t="shared" si="300"/>
        <v/>
      </c>
      <c r="AC1155" s="73" t="str">
        <f t="shared" si="301"/>
        <v/>
      </c>
      <c r="AD1155" s="19" t="str">
        <f t="shared" si="302"/>
        <v/>
      </c>
      <c r="AE1155" s="19" t="str">
        <f t="shared" si="303"/>
        <v/>
      </c>
      <c r="AF1155" s="19" t="str">
        <f>IF($D1155&lt;&gt;1,"",IF(INDEX(TblClusters[Environnement],$B1155)="","(vide)",INDEX(TblClusters[Environnement],$B1155)))</f>
        <v/>
      </c>
      <c r="AG1155" s="19" t="str">
        <f t="shared" si="304"/>
        <v/>
      </c>
      <c r="AH1155" s="19" t="str">
        <f t="shared" si="305"/>
        <v/>
      </c>
      <c r="AI1155" s="19" t="str">
        <f>IF($D1155&lt;&gt;1,"",IF(AND($G1155="IKS",ISNUMBER(INDEX(TblClusters[Fermeture retenue],$B1155))),IF($E1155&gt;=INDEX(TblClusters[Fermeture retenue],$B1155),1,0),0))</f>
        <v/>
      </c>
    </row>
    <row r="1156" spans="1:35" x14ac:dyDescent="0.2">
      <c r="A1156" s="19">
        <v>1151</v>
      </c>
      <c r="B1156" s="19">
        <f t="shared" si="289"/>
        <v>32</v>
      </c>
      <c r="C1156" s="19">
        <f t="shared" si="290"/>
        <v>35</v>
      </c>
      <c r="D1156" s="19">
        <f>IF($C1156&gt;p_horizon,0,IFERROR(IF(AND(INDEX(TblClusters[Cluster],$B1156)&lt;&gt;"",ISNUMBER(INDEX(TblClusters[CPU initial (vCPU)],$B1156)),ISNUMBER(INDEX(TblClusters[CPU min (vCPU)],$B1156)),OR(INDEX(TblClusters[Plateforme],$B1156)="IKS",INDEX(TblClusters[Plateforme],$B1156)="ROKS")),1,0),0))</f>
        <v>0</v>
      </c>
      <c r="E1156" s="72" t="str">
        <f t="shared" si="291"/>
        <v/>
      </c>
      <c r="F1156" s="19" t="str">
        <f>IF($D1156=1,INDEX(TblClusters[Cluster],$B1156),"")</f>
        <v/>
      </c>
      <c r="G1156" s="19" t="str">
        <f>IF($D1156=1,INDEX(TblClusters[Plateforme],$B1156),"")</f>
        <v/>
      </c>
      <c r="H1156" s="19" t="str">
        <f>IF($D1156=1,INDEX(TblClusters[vCPU par nœud],$B1156),"")</f>
        <v/>
      </c>
      <c r="I1156" s="19" t="str">
        <f>IF($D1156=1,INDEX(TblClusters[RAM par nœud (Go)],$B1156),"")</f>
        <v/>
      </c>
      <c r="J1156" s="19" t="str">
        <f>IF($D1156=1,INDEX(TblClusters[Workers min],$B1156),"")</f>
        <v/>
      </c>
      <c r="K1156" s="73" t="str">
        <f>IF($D1156=1,INDEX(TblClusters[Tarif par nœud],$B1156),"")</f>
        <v/>
      </c>
      <c r="L1156" s="19" t="str">
        <f>IF($D1156=1,INDEX(TblClusters[CPU initial (vCPU)],$B1156),"")</f>
        <v/>
      </c>
      <c r="M1156" s="19" t="str">
        <f>IF($D1156=1,INDEX(TblClusters[RAM initiale (Go)],$B1156),"")</f>
        <v/>
      </c>
      <c r="N1156" s="19" t="str">
        <f>IF($D1156=1,INDEX(TblClusters[CPU min (vCPU)],$B1156),"")</f>
        <v/>
      </c>
      <c r="O1156" s="19" t="str">
        <f>IF($D1156=1,INDEX(TblClusters[RAM min (Go)],$B1156),"")</f>
        <v/>
      </c>
      <c r="P1156" s="19" t="str">
        <f>IF($D1156&lt;&gt;1,"",IF($G1156="ROKS",SUMIFS(TblApplications[Besoin ROKS CPU (vCPU)],TblApplications[Cluster ROKS cible],$F1156,TblApplications[Action],"À migrer",TblApplications[Déjà incluse ROKS],"Non",TblApplications[Mois prov (calc)],"&lt;="&amp;$E1156),SUMIFS(TblApplications[CPU IKS libérable (vCPU)],TblApplications[Cluster IKS source],$F1156,TblApplications[Mois lib (calc)],"&lt;="&amp;$E1156)))</f>
        <v/>
      </c>
      <c r="Q1156" s="19" t="str">
        <f>IF($D1156&lt;&gt;1,"",IF($G1156="ROKS",SUMIFS(TblApplications[Besoin ROKS RAM (Go)],TblApplications[Cluster ROKS cible],$F1156,TblApplications[Action],"À migrer",TblApplications[Déjà incluse ROKS],"Non",TblApplications[Mois prov (calc)],"&lt;="&amp;$E1156),SUMIFS(TblApplications[RAM IKS libérable (Go)],TblApplications[Cluster IKS source],$F1156,TblApplications[Mois lib (calc)],"&lt;="&amp;$E1156)))</f>
        <v/>
      </c>
      <c r="R1156" s="19" t="str">
        <f t="shared" si="292"/>
        <v/>
      </c>
      <c r="S1156" s="19" t="str">
        <f t="shared" si="293"/>
        <v/>
      </c>
      <c r="T1156" s="19" t="str">
        <f t="shared" si="294"/>
        <v/>
      </c>
      <c r="U1156" s="19" t="str">
        <f t="shared" si="295"/>
        <v/>
      </c>
      <c r="V1156" s="19" t="str">
        <f t="shared" si="296"/>
        <v/>
      </c>
      <c r="W1156" s="73" t="str">
        <f t="shared" si="297"/>
        <v/>
      </c>
      <c r="X1156" s="19" t="str">
        <f>IF($D1156&lt;&gt;1,"",IF($G1156="ROKS",$R1156,IF($AI1156=1,0,MAX($N1156,$L1156-SUMIFS(TblApplications[CPU IKS libérable (vCPU)],TblApplications[Cluster IKS source],$F1156,TblApplications[Action],"À migrer",TblApplications[Mois prov (calc)],"&lt;="&amp;$E1156)-SUMIFS(TblApplications[CPU IKS libérable (vCPU)],TblApplications[Cluster IKS source],$F1156,TblApplications[Action],"À décommissionner",TblApplications[Mois lib (calc)],"&lt;="&amp;$E1156)))))</f>
        <v/>
      </c>
      <c r="Y1156" s="19" t="str">
        <f>IF($D1156&lt;&gt;1,"",IF($G1156="ROKS",$S1156,IF($AI1156=1,0,MAX($O1156,$M1156-SUMIFS(TblApplications[RAM IKS libérable (Go)],TblApplications[Cluster IKS source],$F1156,TblApplications[Action],"À migrer",TblApplications[Mois prov (calc)],"&lt;="&amp;$E1156)-SUMIFS(TblApplications[RAM IKS libérable (Go)],TblApplications[Cluster IKS source],$F1156,TblApplications[Action],"À décommissionner",TblApplications[Mois lib (calc)],"&lt;="&amp;$E1156)))))</f>
        <v/>
      </c>
      <c r="Z1156" s="19" t="str">
        <f t="shared" si="298"/>
        <v/>
      </c>
      <c r="AA1156" s="73" t="str">
        <f t="shared" si="299"/>
        <v/>
      </c>
      <c r="AB1156" s="19" t="str">
        <f t="shared" si="300"/>
        <v/>
      </c>
      <c r="AC1156" s="73" t="str">
        <f t="shared" si="301"/>
        <v/>
      </c>
      <c r="AD1156" s="19" t="str">
        <f t="shared" si="302"/>
        <v/>
      </c>
      <c r="AE1156" s="19" t="str">
        <f t="shared" si="303"/>
        <v/>
      </c>
      <c r="AF1156" s="19" t="str">
        <f>IF($D1156&lt;&gt;1,"",IF(INDEX(TblClusters[Environnement],$B1156)="","(vide)",INDEX(TblClusters[Environnement],$B1156)))</f>
        <v/>
      </c>
      <c r="AG1156" s="19" t="str">
        <f t="shared" si="304"/>
        <v/>
      </c>
      <c r="AH1156" s="19" t="str">
        <f t="shared" si="305"/>
        <v/>
      </c>
      <c r="AI1156" s="19" t="str">
        <f>IF($D1156&lt;&gt;1,"",IF(AND($G1156="IKS",ISNUMBER(INDEX(TblClusters[Fermeture retenue],$B1156))),IF($E1156&gt;=INDEX(TblClusters[Fermeture retenue],$B1156),1,0),0))</f>
        <v/>
      </c>
    </row>
    <row r="1157" spans="1:35" x14ac:dyDescent="0.2">
      <c r="A1157" s="19">
        <v>1152</v>
      </c>
      <c r="B1157" s="19">
        <f t="shared" si="289"/>
        <v>32</v>
      </c>
      <c r="C1157" s="19">
        <f t="shared" si="290"/>
        <v>36</v>
      </c>
      <c r="D1157" s="19">
        <f>IF($C1157&gt;p_horizon,0,IFERROR(IF(AND(INDEX(TblClusters[Cluster],$B1157)&lt;&gt;"",ISNUMBER(INDEX(TblClusters[CPU initial (vCPU)],$B1157)),ISNUMBER(INDEX(TblClusters[CPU min (vCPU)],$B1157)),OR(INDEX(TblClusters[Plateforme],$B1157)="IKS",INDEX(TblClusters[Plateforme],$B1157)="ROKS")),1,0),0))</f>
        <v>0</v>
      </c>
      <c r="E1157" s="72" t="str">
        <f t="shared" si="291"/>
        <v/>
      </c>
      <c r="F1157" s="19" t="str">
        <f>IF($D1157=1,INDEX(TblClusters[Cluster],$B1157),"")</f>
        <v/>
      </c>
      <c r="G1157" s="19" t="str">
        <f>IF($D1157=1,INDEX(TblClusters[Plateforme],$B1157),"")</f>
        <v/>
      </c>
      <c r="H1157" s="19" t="str">
        <f>IF($D1157=1,INDEX(TblClusters[vCPU par nœud],$B1157),"")</f>
        <v/>
      </c>
      <c r="I1157" s="19" t="str">
        <f>IF($D1157=1,INDEX(TblClusters[RAM par nœud (Go)],$B1157),"")</f>
        <v/>
      </c>
      <c r="J1157" s="19" t="str">
        <f>IF($D1157=1,INDEX(TblClusters[Workers min],$B1157),"")</f>
        <v/>
      </c>
      <c r="K1157" s="73" t="str">
        <f>IF($D1157=1,INDEX(TblClusters[Tarif par nœud],$B1157),"")</f>
        <v/>
      </c>
      <c r="L1157" s="19" t="str">
        <f>IF($D1157=1,INDEX(TblClusters[CPU initial (vCPU)],$B1157),"")</f>
        <v/>
      </c>
      <c r="M1157" s="19" t="str">
        <f>IF($D1157=1,INDEX(TblClusters[RAM initiale (Go)],$B1157),"")</f>
        <v/>
      </c>
      <c r="N1157" s="19" t="str">
        <f>IF($D1157=1,INDEX(TblClusters[CPU min (vCPU)],$B1157),"")</f>
        <v/>
      </c>
      <c r="O1157" s="19" t="str">
        <f>IF($D1157=1,INDEX(TblClusters[RAM min (Go)],$B1157),"")</f>
        <v/>
      </c>
      <c r="P1157" s="19" t="str">
        <f>IF($D1157&lt;&gt;1,"",IF($G1157="ROKS",SUMIFS(TblApplications[Besoin ROKS CPU (vCPU)],TblApplications[Cluster ROKS cible],$F1157,TblApplications[Action],"À migrer",TblApplications[Déjà incluse ROKS],"Non",TblApplications[Mois prov (calc)],"&lt;="&amp;$E1157),SUMIFS(TblApplications[CPU IKS libérable (vCPU)],TblApplications[Cluster IKS source],$F1157,TblApplications[Mois lib (calc)],"&lt;="&amp;$E1157)))</f>
        <v/>
      </c>
      <c r="Q1157" s="19" t="str">
        <f>IF($D1157&lt;&gt;1,"",IF($G1157="ROKS",SUMIFS(TblApplications[Besoin ROKS RAM (Go)],TblApplications[Cluster ROKS cible],$F1157,TblApplications[Action],"À migrer",TblApplications[Déjà incluse ROKS],"Non",TblApplications[Mois prov (calc)],"&lt;="&amp;$E1157),SUMIFS(TblApplications[RAM IKS libérable (Go)],TblApplications[Cluster IKS source],$F1157,TblApplications[Mois lib (calc)],"&lt;="&amp;$E1157)))</f>
        <v/>
      </c>
      <c r="R1157" s="19" t="str">
        <f t="shared" si="292"/>
        <v/>
      </c>
      <c r="S1157" s="19" t="str">
        <f t="shared" si="293"/>
        <v/>
      </c>
      <c r="T1157" s="19" t="str">
        <f t="shared" si="294"/>
        <v/>
      </c>
      <c r="U1157" s="19" t="str">
        <f t="shared" si="295"/>
        <v/>
      </c>
      <c r="V1157" s="19" t="str">
        <f t="shared" si="296"/>
        <v/>
      </c>
      <c r="W1157" s="73" t="str">
        <f t="shared" si="297"/>
        <v/>
      </c>
      <c r="X1157" s="19" t="str">
        <f>IF($D1157&lt;&gt;1,"",IF($G1157="ROKS",$R1157,IF($AI1157=1,0,MAX($N1157,$L1157-SUMIFS(TblApplications[CPU IKS libérable (vCPU)],TblApplications[Cluster IKS source],$F1157,TblApplications[Action],"À migrer",TblApplications[Mois prov (calc)],"&lt;="&amp;$E1157)-SUMIFS(TblApplications[CPU IKS libérable (vCPU)],TblApplications[Cluster IKS source],$F1157,TblApplications[Action],"À décommissionner",TblApplications[Mois lib (calc)],"&lt;="&amp;$E1157)))))</f>
        <v/>
      </c>
      <c r="Y1157" s="19" t="str">
        <f>IF($D1157&lt;&gt;1,"",IF($G1157="ROKS",$S1157,IF($AI1157=1,0,MAX($O1157,$M1157-SUMIFS(TblApplications[RAM IKS libérable (Go)],TblApplications[Cluster IKS source],$F1157,TblApplications[Action],"À migrer",TblApplications[Mois prov (calc)],"&lt;="&amp;$E1157)-SUMIFS(TblApplications[RAM IKS libérable (Go)],TblApplications[Cluster IKS source],$F1157,TblApplications[Action],"À décommissionner",TblApplications[Mois lib (calc)],"&lt;="&amp;$E1157)))))</f>
        <v/>
      </c>
      <c r="Z1157" s="19" t="str">
        <f t="shared" si="298"/>
        <v/>
      </c>
      <c r="AA1157" s="73" t="str">
        <f t="shared" si="299"/>
        <v/>
      </c>
      <c r="AB1157" s="19" t="str">
        <f t="shared" si="300"/>
        <v/>
      </c>
      <c r="AC1157" s="73" t="str">
        <f t="shared" si="301"/>
        <v/>
      </c>
      <c r="AD1157" s="19" t="str">
        <f t="shared" si="302"/>
        <v/>
      </c>
      <c r="AE1157" s="19" t="str">
        <f t="shared" si="303"/>
        <v/>
      </c>
      <c r="AF1157" s="19" t="str">
        <f>IF($D1157&lt;&gt;1,"",IF(INDEX(TblClusters[Environnement],$B1157)="","(vide)",INDEX(TblClusters[Environnement],$B1157)))</f>
        <v/>
      </c>
      <c r="AG1157" s="19" t="str">
        <f t="shared" si="304"/>
        <v/>
      </c>
      <c r="AH1157" s="19" t="str">
        <f t="shared" si="305"/>
        <v/>
      </c>
      <c r="AI1157" s="19" t="str">
        <f>IF($D1157&lt;&gt;1,"",IF(AND($G1157="IKS",ISNUMBER(INDEX(TblClusters[Fermeture retenue],$B1157))),IF($E1157&gt;=INDEX(TblClusters[Fermeture retenue],$B1157),1,0),0))</f>
        <v/>
      </c>
    </row>
    <row r="1158" spans="1:35" x14ac:dyDescent="0.2">
      <c r="A1158" s="19">
        <v>1153</v>
      </c>
      <c r="B1158" s="19">
        <f t="shared" ref="B1158:B1221" si="306">INT(($A1158-1)/36)+1</f>
        <v>33</v>
      </c>
      <c r="C1158" s="19">
        <f t="shared" ref="C1158:C1221" si="307">MOD($A1158-1,36)+1</f>
        <v>1</v>
      </c>
      <c r="D1158" s="19">
        <f>IF($C1158&gt;p_horizon,0,IFERROR(IF(AND(INDEX(TblClusters[Cluster],$B1158)&lt;&gt;"",ISNUMBER(INDEX(TblClusters[CPU initial (vCPU)],$B1158)),ISNUMBER(INDEX(TblClusters[CPU min (vCPU)],$B1158)),OR(INDEX(TblClusters[Plateforme],$B1158)="IKS",INDEX(TblClusters[Plateforme],$B1158)="ROKS")),1,0),0))</f>
        <v>0</v>
      </c>
      <c r="E1158" s="72" t="str">
        <f t="shared" ref="E1158:E1221" si="308">IF($D1158=1,EDATE(p_debut,$C1158-1),"")</f>
        <v/>
      </c>
      <c r="F1158" s="19" t="str">
        <f>IF($D1158=1,INDEX(TblClusters[Cluster],$B1158),"")</f>
        <v/>
      </c>
      <c r="G1158" s="19" t="str">
        <f>IF($D1158=1,INDEX(TblClusters[Plateforme],$B1158),"")</f>
        <v/>
      </c>
      <c r="H1158" s="19" t="str">
        <f>IF($D1158=1,INDEX(TblClusters[vCPU par nœud],$B1158),"")</f>
        <v/>
      </c>
      <c r="I1158" s="19" t="str">
        <f>IF($D1158=1,INDEX(TblClusters[RAM par nœud (Go)],$B1158),"")</f>
        <v/>
      </c>
      <c r="J1158" s="19" t="str">
        <f>IF($D1158=1,INDEX(TblClusters[Workers min],$B1158),"")</f>
        <v/>
      </c>
      <c r="K1158" s="73" t="str">
        <f>IF($D1158=1,INDEX(TblClusters[Tarif par nœud],$B1158),"")</f>
        <v/>
      </c>
      <c r="L1158" s="19" t="str">
        <f>IF($D1158=1,INDEX(TblClusters[CPU initial (vCPU)],$B1158),"")</f>
        <v/>
      </c>
      <c r="M1158" s="19" t="str">
        <f>IF($D1158=1,INDEX(TblClusters[RAM initiale (Go)],$B1158),"")</f>
        <v/>
      </c>
      <c r="N1158" s="19" t="str">
        <f>IF($D1158=1,INDEX(TblClusters[CPU min (vCPU)],$B1158),"")</f>
        <v/>
      </c>
      <c r="O1158" s="19" t="str">
        <f>IF($D1158=1,INDEX(TblClusters[RAM min (Go)],$B1158),"")</f>
        <v/>
      </c>
      <c r="P1158" s="19" t="str">
        <f>IF($D1158&lt;&gt;1,"",IF($G1158="ROKS",SUMIFS(TblApplications[Besoin ROKS CPU (vCPU)],TblApplications[Cluster ROKS cible],$F1158,TblApplications[Action],"À migrer",TblApplications[Déjà incluse ROKS],"Non",TblApplications[Mois prov (calc)],"&lt;="&amp;$E1158),SUMIFS(TblApplications[CPU IKS libérable (vCPU)],TblApplications[Cluster IKS source],$F1158,TblApplications[Mois lib (calc)],"&lt;="&amp;$E1158)))</f>
        <v/>
      </c>
      <c r="Q1158" s="19" t="str">
        <f>IF($D1158&lt;&gt;1,"",IF($G1158="ROKS",SUMIFS(TblApplications[Besoin ROKS RAM (Go)],TblApplications[Cluster ROKS cible],$F1158,TblApplications[Action],"À migrer",TblApplications[Déjà incluse ROKS],"Non",TblApplications[Mois prov (calc)],"&lt;="&amp;$E1158),SUMIFS(TblApplications[RAM IKS libérable (Go)],TblApplications[Cluster IKS source],$F1158,TblApplications[Mois lib (calc)],"&lt;="&amp;$E1158)))</f>
        <v/>
      </c>
      <c r="R1158" s="19" t="str">
        <f t="shared" ref="R1158:R1221" si="309">IF($D1158&lt;&gt;1,"",IF($G1158="ROKS",$L1158+$P1158,IF($AI1158=1,0,MAX($N1158,$L1158-$P1158))))</f>
        <v/>
      </c>
      <c r="S1158" s="19" t="str">
        <f t="shared" ref="S1158:S1221" si="310">IF($D1158&lt;&gt;1,"",IF($G1158="ROKS",$M1158+$Q1158,IF($AI1158=1,0,MAX($O1158,$M1158-$Q1158))))</f>
        <v/>
      </c>
      <c r="T1158" s="19" t="str">
        <f t="shared" ref="T1158:T1221" si="311">IF($D1158&lt;&gt;1,"",IF($AI1158=1,0,MAX($J1158,ROUNDUP(MAX($R1158/$H1158,$S1158/$I1158),0))))</f>
        <v/>
      </c>
      <c r="U1158" s="19" t="str">
        <f t="shared" ref="U1158:U1221" si="312">IF($D1158&lt;&gt;1,"",IF(p_mode="Nœud",$T1158*$H1158,$R1158))</f>
        <v/>
      </c>
      <c r="V1158" s="19" t="str">
        <f t="shared" ref="V1158:V1221" si="313">IF($D1158&lt;&gt;1,"",IF(p_mode="Nœud",$T1158*$I1158,$S1158))</f>
        <v/>
      </c>
      <c r="W1158" s="73" t="str">
        <f t="shared" ref="W1158:W1221" si="314">IF($D1158&lt;&gt;1,"",IF(p_mode="Nœud",$T1158*$K1158,$R1158*IF($G1158="IKS",p_iks_cpu,p_roks_cpu)+$S1158*IF($G1158="IKS",p_iks_ram,p_roks_ram))*p_facteur)</f>
        <v/>
      </c>
      <c r="X1158" s="19" t="str">
        <f>IF($D1158&lt;&gt;1,"",IF($G1158="ROKS",$R1158,IF($AI1158=1,0,MAX($N1158,$L1158-SUMIFS(TblApplications[CPU IKS libérable (vCPU)],TblApplications[Cluster IKS source],$F1158,TblApplications[Action],"À migrer",TblApplications[Mois prov (calc)],"&lt;="&amp;$E1158)-SUMIFS(TblApplications[CPU IKS libérable (vCPU)],TblApplications[Cluster IKS source],$F1158,TblApplications[Action],"À décommissionner",TblApplications[Mois lib (calc)],"&lt;="&amp;$E1158)))))</f>
        <v/>
      </c>
      <c r="Y1158" s="19" t="str">
        <f>IF($D1158&lt;&gt;1,"",IF($G1158="ROKS",$S1158,IF($AI1158=1,0,MAX($O1158,$M1158-SUMIFS(TblApplications[RAM IKS libérable (Go)],TblApplications[Cluster IKS source],$F1158,TblApplications[Action],"À migrer",TblApplications[Mois prov (calc)],"&lt;="&amp;$E1158)-SUMIFS(TblApplications[RAM IKS libérable (Go)],TblApplications[Cluster IKS source],$F1158,TblApplications[Action],"À décommissionner",TblApplications[Mois lib (calc)],"&lt;="&amp;$E1158)))))</f>
        <v/>
      </c>
      <c r="Z1158" s="19" t="str">
        <f t="shared" ref="Z1158:Z1221" si="315">IF($D1158&lt;&gt;1,"",IF($AI1158=1,0,MAX($J1158,ROUNDUP(MAX($X1158/$H1158,$Y1158/$I1158),0))))</f>
        <v/>
      </c>
      <c r="AA1158" s="73" t="str">
        <f t="shared" ref="AA1158:AA1221" si="316">IF($D1158&lt;&gt;1,"",IF(p_mode="Nœud",$Z1158*$K1158,$X1158*IF($G1158="IKS",p_iks_cpu,p_roks_cpu)+$Y1158*IF($G1158="IKS",p_iks_ram,p_roks_ram))*p_facteur)</f>
        <v/>
      </c>
      <c r="AB1158" s="19" t="str">
        <f t="shared" ref="AB1158:AB1221" si="317">IF($D1158&lt;&gt;1,"",MAX($J1158,ROUNDUP(MAX($L1158/$H1158,$M1158/$I1158),0)))</f>
        <v/>
      </c>
      <c r="AC1158" s="73" t="str">
        <f t="shared" ref="AC1158:AC1221" si="318">IF($D1158&lt;&gt;1,"",IF(p_mode="Nœud",$AB1158*$K1158,$L1158*IF($G1158="IKS",p_iks_cpu,p_roks_cpu)+$M1158*IF($G1158="IKS",p_iks_ram,p_roks_ram))*p_facteur)</f>
        <v/>
      </c>
      <c r="AD1158" s="19" t="str">
        <f t="shared" ref="AD1158:AD1221" si="319">IF($D1158&lt;&gt;1,"",IF(AND($G1158="IKS",$AI1158&lt;&gt;1,OR($L1158-$P1158&lt;$N1158,$M1158-$Q1158&lt;$O1158)),1,0))</f>
        <v/>
      </c>
      <c r="AE1158" s="19" t="str">
        <f t="shared" ref="AE1158:AE1221" si="320">IF($D1158&lt;&gt;1,"",IF(AND($G1158="ROKS",$T1158&gt;p_maxworkers),1,0))</f>
        <v/>
      </c>
      <c r="AF1158" s="19" t="str">
        <f>IF($D1158&lt;&gt;1,"",IF(INDEX(TblClusters[Environnement],$B1158)="","(vide)",INDEX(TblClusters[Environnement],$B1158)))</f>
        <v/>
      </c>
      <c r="AG1158" s="19" t="str">
        <f t="shared" ref="AG1158:AG1221" si="321">IF($D1158&lt;&gt;1,"",$R1158+p_poidsram*$S1158)</f>
        <v/>
      </c>
      <c r="AH1158" s="19" t="str">
        <f t="shared" ref="AH1158:AH1221" si="322">IF($D1158&lt;&gt;1,"",IFERROR($W1158/$AG1158,0))</f>
        <v/>
      </c>
      <c r="AI1158" s="19" t="str">
        <f>IF($D1158&lt;&gt;1,"",IF(AND($G1158="IKS",ISNUMBER(INDEX(TblClusters[Fermeture retenue],$B1158))),IF($E1158&gt;=INDEX(TblClusters[Fermeture retenue],$B1158),1,0),0))</f>
        <v/>
      </c>
    </row>
    <row r="1159" spans="1:35" x14ac:dyDescent="0.2">
      <c r="A1159" s="19">
        <v>1154</v>
      </c>
      <c r="B1159" s="19">
        <f t="shared" si="306"/>
        <v>33</v>
      </c>
      <c r="C1159" s="19">
        <f t="shared" si="307"/>
        <v>2</v>
      </c>
      <c r="D1159" s="19">
        <f>IF($C1159&gt;p_horizon,0,IFERROR(IF(AND(INDEX(TblClusters[Cluster],$B1159)&lt;&gt;"",ISNUMBER(INDEX(TblClusters[CPU initial (vCPU)],$B1159)),ISNUMBER(INDEX(TblClusters[CPU min (vCPU)],$B1159)),OR(INDEX(TblClusters[Plateforme],$B1159)="IKS",INDEX(TblClusters[Plateforme],$B1159)="ROKS")),1,0),0))</f>
        <v>0</v>
      </c>
      <c r="E1159" s="72" t="str">
        <f t="shared" si="308"/>
        <v/>
      </c>
      <c r="F1159" s="19" t="str">
        <f>IF($D1159=1,INDEX(TblClusters[Cluster],$B1159),"")</f>
        <v/>
      </c>
      <c r="G1159" s="19" t="str">
        <f>IF($D1159=1,INDEX(TblClusters[Plateforme],$B1159),"")</f>
        <v/>
      </c>
      <c r="H1159" s="19" t="str">
        <f>IF($D1159=1,INDEX(TblClusters[vCPU par nœud],$B1159),"")</f>
        <v/>
      </c>
      <c r="I1159" s="19" t="str">
        <f>IF($D1159=1,INDEX(TblClusters[RAM par nœud (Go)],$B1159),"")</f>
        <v/>
      </c>
      <c r="J1159" s="19" t="str">
        <f>IF($D1159=1,INDEX(TblClusters[Workers min],$B1159),"")</f>
        <v/>
      </c>
      <c r="K1159" s="73" t="str">
        <f>IF($D1159=1,INDEX(TblClusters[Tarif par nœud],$B1159),"")</f>
        <v/>
      </c>
      <c r="L1159" s="19" t="str">
        <f>IF($D1159=1,INDEX(TblClusters[CPU initial (vCPU)],$B1159),"")</f>
        <v/>
      </c>
      <c r="M1159" s="19" t="str">
        <f>IF($D1159=1,INDEX(TblClusters[RAM initiale (Go)],$B1159),"")</f>
        <v/>
      </c>
      <c r="N1159" s="19" t="str">
        <f>IF($D1159=1,INDEX(TblClusters[CPU min (vCPU)],$B1159),"")</f>
        <v/>
      </c>
      <c r="O1159" s="19" t="str">
        <f>IF($D1159=1,INDEX(TblClusters[RAM min (Go)],$B1159),"")</f>
        <v/>
      </c>
      <c r="P1159" s="19" t="str">
        <f>IF($D1159&lt;&gt;1,"",IF($G1159="ROKS",SUMIFS(TblApplications[Besoin ROKS CPU (vCPU)],TblApplications[Cluster ROKS cible],$F1159,TblApplications[Action],"À migrer",TblApplications[Déjà incluse ROKS],"Non",TblApplications[Mois prov (calc)],"&lt;="&amp;$E1159),SUMIFS(TblApplications[CPU IKS libérable (vCPU)],TblApplications[Cluster IKS source],$F1159,TblApplications[Mois lib (calc)],"&lt;="&amp;$E1159)))</f>
        <v/>
      </c>
      <c r="Q1159" s="19" t="str">
        <f>IF($D1159&lt;&gt;1,"",IF($G1159="ROKS",SUMIFS(TblApplications[Besoin ROKS RAM (Go)],TblApplications[Cluster ROKS cible],$F1159,TblApplications[Action],"À migrer",TblApplications[Déjà incluse ROKS],"Non",TblApplications[Mois prov (calc)],"&lt;="&amp;$E1159),SUMIFS(TblApplications[RAM IKS libérable (Go)],TblApplications[Cluster IKS source],$F1159,TblApplications[Mois lib (calc)],"&lt;="&amp;$E1159)))</f>
        <v/>
      </c>
      <c r="R1159" s="19" t="str">
        <f t="shared" si="309"/>
        <v/>
      </c>
      <c r="S1159" s="19" t="str">
        <f t="shared" si="310"/>
        <v/>
      </c>
      <c r="T1159" s="19" t="str">
        <f t="shared" si="311"/>
        <v/>
      </c>
      <c r="U1159" s="19" t="str">
        <f t="shared" si="312"/>
        <v/>
      </c>
      <c r="V1159" s="19" t="str">
        <f t="shared" si="313"/>
        <v/>
      </c>
      <c r="W1159" s="73" t="str">
        <f t="shared" si="314"/>
        <v/>
      </c>
      <c r="X1159" s="19" t="str">
        <f>IF($D1159&lt;&gt;1,"",IF($G1159="ROKS",$R1159,IF($AI1159=1,0,MAX($N1159,$L1159-SUMIFS(TblApplications[CPU IKS libérable (vCPU)],TblApplications[Cluster IKS source],$F1159,TblApplications[Action],"À migrer",TblApplications[Mois prov (calc)],"&lt;="&amp;$E1159)-SUMIFS(TblApplications[CPU IKS libérable (vCPU)],TblApplications[Cluster IKS source],$F1159,TblApplications[Action],"À décommissionner",TblApplications[Mois lib (calc)],"&lt;="&amp;$E1159)))))</f>
        <v/>
      </c>
      <c r="Y1159" s="19" t="str">
        <f>IF($D1159&lt;&gt;1,"",IF($G1159="ROKS",$S1159,IF($AI1159=1,0,MAX($O1159,$M1159-SUMIFS(TblApplications[RAM IKS libérable (Go)],TblApplications[Cluster IKS source],$F1159,TblApplications[Action],"À migrer",TblApplications[Mois prov (calc)],"&lt;="&amp;$E1159)-SUMIFS(TblApplications[RAM IKS libérable (Go)],TblApplications[Cluster IKS source],$F1159,TblApplications[Action],"À décommissionner",TblApplications[Mois lib (calc)],"&lt;="&amp;$E1159)))))</f>
        <v/>
      </c>
      <c r="Z1159" s="19" t="str">
        <f t="shared" si="315"/>
        <v/>
      </c>
      <c r="AA1159" s="73" t="str">
        <f t="shared" si="316"/>
        <v/>
      </c>
      <c r="AB1159" s="19" t="str">
        <f t="shared" si="317"/>
        <v/>
      </c>
      <c r="AC1159" s="73" t="str">
        <f t="shared" si="318"/>
        <v/>
      </c>
      <c r="AD1159" s="19" t="str">
        <f t="shared" si="319"/>
        <v/>
      </c>
      <c r="AE1159" s="19" t="str">
        <f t="shared" si="320"/>
        <v/>
      </c>
      <c r="AF1159" s="19" t="str">
        <f>IF($D1159&lt;&gt;1,"",IF(INDEX(TblClusters[Environnement],$B1159)="","(vide)",INDEX(TblClusters[Environnement],$B1159)))</f>
        <v/>
      </c>
      <c r="AG1159" s="19" t="str">
        <f t="shared" si="321"/>
        <v/>
      </c>
      <c r="AH1159" s="19" t="str">
        <f t="shared" si="322"/>
        <v/>
      </c>
      <c r="AI1159" s="19" t="str">
        <f>IF($D1159&lt;&gt;1,"",IF(AND($G1159="IKS",ISNUMBER(INDEX(TblClusters[Fermeture retenue],$B1159))),IF($E1159&gt;=INDEX(TblClusters[Fermeture retenue],$B1159),1,0),0))</f>
        <v/>
      </c>
    </row>
    <row r="1160" spans="1:35" x14ac:dyDescent="0.2">
      <c r="A1160" s="19">
        <v>1155</v>
      </c>
      <c r="B1160" s="19">
        <f t="shared" si="306"/>
        <v>33</v>
      </c>
      <c r="C1160" s="19">
        <f t="shared" si="307"/>
        <v>3</v>
      </c>
      <c r="D1160" s="19">
        <f>IF($C1160&gt;p_horizon,0,IFERROR(IF(AND(INDEX(TblClusters[Cluster],$B1160)&lt;&gt;"",ISNUMBER(INDEX(TblClusters[CPU initial (vCPU)],$B1160)),ISNUMBER(INDEX(TblClusters[CPU min (vCPU)],$B1160)),OR(INDEX(TblClusters[Plateforme],$B1160)="IKS",INDEX(TblClusters[Plateforme],$B1160)="ROKS")),1,0),0))</f>
        <v>0</v>
      </c>
      <c r="E1160" s="72" t="str">
        <f t="shared" si="308"/>
        <v/>
      </c>
      <c r="F1160" s="19" t="str">
        <f>IF($D1160=1,INDEX(TblClusters[Cluster],$B1160),"")</f>
        <v/>
      </c>
      <c r="G1160" s="19" t="str">
        <f>IF($D1160=1,INDEX(TblClusters[Plateforme],$B1160),"")</f>
        <v/>
      </c>
      <c r="H1160" s="19" t="str">
        <f>IF($D1160=1,INDEX(TblClusters[vCPU par nœud],$B1160),"")</f>
        <v/>
      </c>
      <c r="I1160" s="19" t="str">
        <f>IF($D1160=1,INDEX(TblClusters[RAM par nœud (Go)],$B1160),"")</f>
        <v/>
      </c>
      <c r="J1160" s="19" t="str">
        <f>IF($D1160=1,INDEX(TblClusters[Workers min],$B1160),"")</f>
        <v/>
      </c>
      <c r="K1160" s="73" t="str">
        <f>IF($D1160=1,INDEX(TblClusters[Tarif par nœud],$B1160),"")</f>
        <v/>
      </c>
      <c r="L1160" s="19" t="str">
        <f>IF($D1160=1,INDEX(TblClusters[CPU initial (vCPU)],$B1160),"")</f>
        <v/>
      </c>
      <c r="M1160" s="19" t="str">
        <f>IF($D1160=1,INDEX(TblClusters[RAM initiale (Go)],$B1160),"")</f>
        <v/>
      </c>
      <c r="N1160" s="19" t="str">
        <f>IF($D1160=1,INDEX(TblClusters[CPU min (vCPU)],$B1160),"")</f>
        <v/>
      </c>
      <c r="O1160" s="19" t="str">
        <f>IF($D1160=1,INDEX(TblClusters[RAM min (Go)],$B1160),"")</f>
        <v/>
      </c>
      <c r="P1160" s="19" t="str">
        <f>IF($D1160&lt;&gt;1,"",IF($G1160="ROKS",SUMIFS(TblApplications[Besoin ROKS CPU (vCPU)],TblApplications[Cluster ROKS cible],$F1160,TblApplications[Action],"À migrer",TblApplications[Déjà incluse ROKS],"Non",TblApplications[Mois prov (calc)],"&lt;="&amp;$E1160),SUMIFS(TblApplications[CPU IKS libérable (vCPU)],TblApplications[Cluster IKS source],$F1160,TblApplications[Mois lib (calc)],"&lt;="&amp;$E1160)))</f>
        <v/>
      </c>
      <c r="Q1160" s="19" t="str">
        <f>IF($D1160&lt;&gt;1,"",IF($G1160="ROKS",SUMIFS(TblApplications[Besoin ROKS RAM (Go)],TblApplications[Cluster ROKS cible],$F1160,TblApplications[Action],"À migrer",TblApplications[Déjà incluse ROKS],"Non",TblApplications[Mois prov (calc)],"&lt;="&amp;$E1160),SUMIFS(TblApplications[RAM IKS libérable (Go)],TblApplications[Cluster IKS source],$F1160,TblApplications[Mois lib (calc)],"&lt;="&amp;$E1160)))</f>
        <v/>
      </c>
      <c r="R1160" s="19" t="str">
        <f t="shared" si="309"/>
        <v/>
      </c>
      <c r="S1160" s="19" t="str">
        <f t="shared" si="310"/>
        <v/>
      </c>
      <c r="T1160" s="19" t="str">
        <f t="shared" si="311"/>
        <v/>
      </c>
      <c r="U1160" s="19" t="str">
        <f t="shared" si="312"/>
        <v/>
      </c>
      <c r="V1160" s="19" t="str">
        <f t="shared" si="313"/>
        <v/>
      </c>
      <c r="W1160" s="73" t="str">
        <f t="shared" si="314"/>
        <v/>
      </c>
      <c r="X1160" s="19" t="str">
        <f>IF($D1160&lt;&gt;1,"",IF($G1160="ROKS",$R1160,IF($AI1160=1,0,MAX($N1160,$L1160-SUMIFS(TblApplications[CPU IKS libérable (vCPU)],TblApplications[Cluster IKS source],$F1160,TblApplications[Action],"À migrer",TblApplications[Mois prov (calc)],"&lt;="&amp;$E1160)-SUMIFS(TblApplications[CPU IKS libérable (vCPU)],TblApplications[Cluster IKS source],$F1160,TblApplications[Action],"À décommissionner",TblApplications[Mois lib (calc)],"&lt;="&amp;$E1160)))))</f>
        <v/>
      </c>
      <c r="Y1160" s="19" t="str">
        <f>IF($D1160&lt;&gt;1,"",IF($G1160="ROKS",$S1160,IF($AI1160=1,0,MAX($O1160,$M1160-SUMIFS(TblApplications[RAM IKS libérable (Go)],TblApplications[Cluster IKS source],$F1160,TblApplications[Action],"À migrer",TblApplications[Mois prov (calc)],"&lt;="&amp;$E1160)-SUMIFS(TblApplications[RAM IKS libérable (Go)],TblApplications[Cluster IKS source],$F1160,TblApplications[Action],"À décommissionner",TblApplications[Mois lib (calc)],"&lt;="&amp;$E1160)))))</f>
        <v/>
      </c>
      <c r="Z1160" s="19" t="str">
        <f t="shared" si="315"/>
        <v/>
      </c>
      <c r="AA1160" s="73" t="str">
        <f t="shared" si="316"/>
        <v/>
      </c>
      <c r="AB1160" s="19" t="str">
        <f t="shared" si="317"/>
        <v/>
      </c>
      <c r="AC1160" s="73" t="str">
        <f t="shared" si="318"/>
        <v/>
      </c>
      <c r="AD1160" s="19" t="str">
        <f t="shared" si="319"/>
        <v/>
      </c>
      <c r="AE1160" s="19" t="str">
        <f t="shared" si="320"/>
        <v/>
      </c>
      <c r="AF1160" s="19" t="str">
        <f>IF($D1160&lt;&gt;1,"",IF(INDEX(TblClusters[Environnement],$B1160)="","(vide)",INDEX(TblClusters[Environnement],$B1160)))</f>
        <v/>
      </c>
      <c r="AG1160" s="19" t="str">
        <f t="shared" si="321"/>
        <v/>
      </c>
      <c r="AH1160" s="19" t="str">
        <f t="shared" si="322"/>
        <v/>
      </c>
      <c r="AI1160" s="19" t="str">
        <f>IF($D1160&lt;&gt;1,"",IF(AND($G1160="IKS",ISNUMBER(INDEX(TblClusters[Fermeture retenue],$B1160))),IF($E1160&gt;=INDEX(TblClusters[Fermeture retenue],$B1160),1,0),0))</f>
        <v/>
      </c>
    </row>
    <row r="1161" spans="1:35" x14ac:dyDescent="0.2">
      <c r="A1161" s="19">
        <v>1156</v>
      </c>
      <c r="B1161" s="19">
        <f t="shared" si="306"/>
        <v>33</v>
      </c>
      <c r="C1161" s="19">
        <f t="shared" si="307"/>
        <v>4</v>
      </c>
      <c r="D1161" s="19">
        <f>IF($C1161&gt;p_horizon,0,IFERROR(IF(AND(INDEX(TblClusters[Cluster],$B1161)&lt;&gt;"",ISNUMBER(INDEX(TblClusters[CPU initial (vCPU)],$B1161)),ISNUMBER(INDEX(TblClusters[CPU min (vCPU)],$B1161)),OR(INDEX(TblClusters[Plateforme],$B1161)="IKS",INDEX(TblClusters[Plateforme],$B1161)="ROKS")),1,0),0))</f>
        <v>0</v>
      </c>
      <c r="E1161" s="72" t="str">
        <f t="shared" si="308"/>
        <v/>
      </c>
      <c r="F1161" s="19" t="str">
        <f>IF($D1161=1,INDEX(TblClusters[Cluster],$B1161),"")</f>
        <v/>
      </c>
      <c r="G1161" s="19" t="str">
        <f>IF($D1161=1,INDEX(TblClusters[Plateforme],$B1161),"")</f>
        <v/>
      </c>
      <c r="H1161" s="19" t="str">
        <f>IF($D1161=1,INDEX(TblClusters[vCPU par nœud],$B1161),"")</f>
        <v/>
      </c>
      <c r="I1161" s="19" t="str">
        <f>IF($D1161=1,INDEX(TblClusters[RAM par nœud (Go)],$B1161),"")</f>
        <v/>
      </c>
      <c r="J1161" s="19" t="str">
        <f>IF($D1161=1,INDEX(TblClusters[Workers min],$B1161),"")</f>
        <v/>
      </c>
      <c r="K1161" s="73" t="str">
        <f>IF($D1161=1,INDEX(TblClusters[Tarif par nœud],$B1161),"")</f>
        <v/>
      </c>
      <c r="L1161" s="19" t="str">
        <f>IF($D1161=1,INDEX(TblClusters[CPU initial (vCPU)],$B1161),"")</f>
        <v/>
      </c>
      <c r="M1161" s="19" t="str">
        <f>IF($D1161=1,INDEX(TblClusters[RAM initiale (Go)],$B1161),"")</f>
        <v/>
      </c>
      <c r="N1161" s="19" t="str">
        <f>IF($D1161=1,INDEX(TblClusters[CPU min (vCPU)],$B1161),"")</f>
        <v/>
      </c>
      <c r="O1161" s="19" t="str">
        <f>IF($D1161=1,INDEX(TblClusters[RAM min (Go)],$B1161),"")</f>
        <v/>
      </c>
      <c r="P1161" s="19" t="str">
        <f>IF($D1161&lt;&gt;1,"",IF($G1161="ROKS",SUMIFS(TblApplications[Besoin ROKS CPU (vCPU)],TblApplications[Cluster ROKS cible],$F1161,TblApplications[Action],"À migrer",TblApplications[Déjà incluse ROKS],"Non",TblApplications[Mois prov (calc)],"&lt;="&amp;$E1161),SUMIFS(TblApplications[CPU IKS libérable (vCPU)],TblApplications[Cluster IKS source],$F1161,TblApplications[Mois lib (calc)],"&lt;="&amp;$E1161)))</f>
        <v/>
      </c>
      <c r="Q1161" s="19" t="str">
        <f>IF($D1161&lt;&gt;1,"",IF($G1161="ROKS",SUMIFS(TblApplications[Besoin ROKS RAM (Go)],TblApplications[Cluster ROKS cible],$F1161,TblApplications[Action],"À migrer",TblApplications[Déjà incluse ROKS],"Non",TblApplications[Mois prov (calc)],"&lt;="&amp;$E1161),SUMIFS(TblApplications[RAM IKS libérable (Go)],TblApplications[Cluster IKS source],$F1161,TblApplications[Mois lib (calc)],"&lt;="&amp;$E1161)))</f>
        <v/>
      </c>
      <c r="R1161" s="19" t="str">
        <f t="shared" si="309"/>
        <v/>
      </c>
      <c r="S1161" s="19" t="str">
        <f t="shared" si="310"/>
        <v/>
      </c>
      <c r="T1161" s="19" t="str">
        <f t="shared" si="311"/>
        <v/>
      </c>
      <c r="U1161" s="19" t="str">
        <f t="shared" si="312"/>
        <v/>
      </c>
      <c r="V1161" s="19" t="str">
        <f t="shared" si="313"/>
        <v/>
      </c>
      <c r="W1161" s="73" t="str">
        <f t="shared" si="314"/>
        <v/>
      </c>
      <c r="X1161" s="19" t="str">
        <f>IF($D1161&lt;&gt;1,"",IF($G1161="ROKS",$R1161,IF($AI1161=1,0,MAX($N1161,$L1161-SUMIFS(TblApplications[CPU IKS libérable (vCPU)],TblApplications[Cluster IKS source],$F1161,TblApplications[Action],"À migrer",TblApplications[Mois prov (calc)],"&lt;="&amp;$E1161)-SUMIFS(TblApplications[CPU IKS libérable (vCPU)],TblApplications[Cluster IKS source],$F1161,TblApplications[Action],"À décommissionner",TblApplications[Mois lib (calc)],"&lt;="&amp;$E1161)))))</f>
        <v/>
      </c>
      <c r="Y1161" s="19" t="str">
        <f>IF($D1161&lt;&gt;1,"",IF($G1161="ROKS",$S1161,IF($AI1161=1,0,MAX($O1161,$M1161-SUMIFS(TblApplications[RAM IKS libérable (Go)],TblApplications[Cluster IKS source],$F1161,TblApplications[Action],"À migrer",TblApplications[Mois prov (calc)],"&lt;="&amp;$E1161)-SUMIFS(TblApplications[RAM IKS libérable (Go)],TblApplications[Cluster IKS source],$F1161,TblApplications[Action],"À décommissionner",TblApplications[Mois lib (calc)],"&lt;="&amp;$E1161)))))</f>
        <v/>
      </c>
      <c r="Z1161" s="19" t="str">
        <f t="shared" si="315"/>
        <v/>
      </c>
      <c r="AA1161" s="73" t="str">
        <f t="shared" si="316"/>
        <v/>
      </c>
      <c r="AB1161" s="19" t="str">
        <f t="shared" si="317"/>
        <v/>
      </c>
      <c r="AC1161" s="73" t="str">
        <f t="shared" si="318"/>
        <v/>
      </c>
      <c r="AD1161" s="19" t="str">
        <f t="shared" si="319"/>
        <v/>
      </c>
      <c r="AE1161" s="19" t="str">
        <f t="shared" si="320"/>
        <v/>
      </c>
      <c r="AF1161" s="19" t="str">
        <f>IF($D1161&lt;&gt;1,"",IF(INDEX(TblClusters[Environnement],$B1161)="","(vide)",INDEX(TblClusters[Environnement],$B1161)))</f>
        <v/>
      </c>
      <c r="AG1161" s="19" t="str">
        <f t="shared" si="321"/>
        <v/>
      </c>
      <c r="AH1161" s="19" t="str">
        <f t="shared" si="322"/>
        <v/>
      </c>
      <c r="AI1161" s="19" t="str">
        <f>IF($D1161&lt;&gt;1,"",IF(AND($G1161="IKS",ISNUMBER(INDEX(TblClusters[Fermeture retenue],$B1161))),IF($E1161&gt;=INDEX(TblClusters[Fermeture retenue],$B1161),1,0),0))</f>
        <v/>
      </c>
    </row>
    <row r="1162" spans="1:35" x14ac:dyDescent="0.2">
      <c r="A1162" s="19">
        <v>1157</v>
      </c>
      <c r="B1162" s="19">
        <f t="shared" si="306"/>
        <v>33</v>
      </c>
      <c r="C1162" s="19">
        <f t="shared" si="307"/>
        <v>5</v>
      </c>
      <c r="D1162" s="19">
        <f>IF($C1162&gt;p_horizon,0,IFERROR(IF(AND(INDEX(TblClusters[Cluster],$B1162)&lt;&gt;"",ISNUMBER(INDEX(TblClusters[CPU initial (vCPU)],$B1162)),ISNUMBER(INDEX(TblClusters[CPU min (vCPU)],$B1162)),OR(INDEX(TblClusters[Plateforme],$B1162)="IKS",INDEX(TblClusters[Plateforme],$B1162)="ROKS")),1,0),0))</f>
        <v>0</v>
      </c>
      <c r="E1162" s="72" t="str">
        <f t="shared" si="308"/>
        <v/>
      </c>
      <c r="F1162" s="19" t="str">
        <f>IF($D1162=1,INDEX(TblClusters[Cluster],$B1162),"")</f>
        <v/>
      </c>
      <c r="G1162" s="19" t="str">
        <f>IF($D1162=1,INDEX(TblClusters[Plateforme],$B1162),"")</f>
        <v/>
      </c>
      <c r="H1162" s="19" t="str">
        <f>IF($D1162=1,INDEX(TblClusters[vCPU par nœud],$B1162),"")</f>
        <v/>
      </c>
      <c r="I1162" s="19" t="str">
        <f>IF($D1162=1,INDEX(TblClusters[RAM par nœud (Go)],$B1162),"")</f>
        <v/>
      </c>
      <c r="J1162" s="19" t="str">
        <f>IF($D1162=1,INDEX(TblClusters[Workers min],$B1162),"")</f>
        <v/>
      </c>
      <c r="K1162" s="73" t="str">
        <f>IF($D1162=1,INDEX(TblClusters[Tarif par nœud],$B1162),"")</f>
        <v/>
      </c>
      <c r="L1162" s="19" t="str">
        <f>IF($D1162=1,INDEX(TblClusters[CPU initial (vCPU)],$B1162),"")</f>
        <v/>
      </c>
      <c r="M1162" s="19" t="str">
        <f>IF($D1162=1,INDEX(TblClusters[RAM initiale (Go)],$B1162),"")</f>
        <v/>
      </c>
      <c r="N1162" s="19" t="str">
        <f>IF($D1162=1,INDEX(TblClusters[CPU min (vCPU)],$B1162),"")</f>
        <v/>
      </c>
      <c r="O1162" s="19" t="str">
        <f>IF($D1162=1,INDEX(TblClusters[RAM min (Go)],$B1162),"")</f>
        <v/>
      </c>
      <c r="P1162" s="19" t="str">
        <f>IF($D1162&lt;&gt;1,"",IF($G1162="ROKS",SUMIFS(TblApplications[Besoin ROKS CPU (vCPU)],TblApplications[Cluster ROKS cible],$F1162,TblApplications[Action],"À migrer",TblApplications[Déjà incluse ROKS],"Non",TblApplications[Mois prov (calc)],"&lt;="&amp;$E1162),SUMIFS(TblApplications[CPU IKS libérable (vCPU)],TblApplications[Cluster IKS source],$F1162,TblApplications[Mois lib (calc)],"&lt;="&amp;$E1162)))</f>
        <v/>
      </c>
      <c r="Q1162" s="19" t="str">
        <f>IF($D1162&lt;&gt;1,"",IF($G1162="ROKS",SUMIFS(TblApplications[Besoin ROKS RAM (Go)],TblApplications[Cluster ROKS cible],$F1162,TblApplications[Action],"À migrer",TblApplications[Déjà incluse ROKS],"Non",TblApplications[Mois prov (calc)],"&lt;="&amp;$E1162),SUMIFS(TblApplications[RAM IKS libérable (Go)],TblApplications[Cluster IKS source],$F1162,TblApplications[Mois lib (calc)],"&lt;="&amp;$E1162)))</f>
        <v/>
      </c>
      <c r="R1162" s="19" t="str">
        <f t="shared" si="309"/>
        <v/>
      </c>
      <c r="S1162" s="19" t="str">
        <f t="shared" si="310"/>
        <v/>
      </c>
      <c r="T1162" s="19" t="str">
        <f t="shared" si="311"/>
        <v/>
      </c>
      <c r="U1162" s="19" t="str">
        <f t="shared" si="312"/>
        <v/>
      </c>
      <c r="V1162" s="19" t="str">
        <f t="shared" si="313"/>
        <v/>
      </c>
      <c r="W1162" s="73" t="str">
        <f t="shared" si="314"/>
        <v/>
      </c>
      <c r="X1162" s="19" t="str">
        <f>IF($D1162&lt;&gt;1,"",IF($G1162="ROKS",$R1162,IF($AI1162=1,0,MAX($N1162,$L1162-SUMIFS(TblApplications[CPU IKS libérable (vCPU)],TblApplications[Cluster IKS source],$F1162,TblApplications[Action],"À migrer",TblApplications[Mois prov (calc)],"&lt;="&amp;$E1162)-SUMIFS(TblApplications[CPU IKS libérable (vCPU)],TblApplications[Cluster IKS source],$F1162,TblApplications[Action],"À décommissionner",TblApplications[Mois lib (calc)],"&lt;="&amp;$E1162)))))</f>
        <v/>
      </c>
      <c r="Y1162" s="19" t="str">
        <f>IF($D1162&lt;&gt;1,"",IF($G1162="ROKS",$S1162,IF($AI1162=1,0,MAX($O1162,$M1162-SUMIFS(TblApplications[RAM IKS libérable (Go)],TblApplications[Cluster IKS source],$F1162,TblApplications[Action],"À migrer",TblApplications[Mois prov (calc)],"&lt;="&amp;$E1162)-SUMIFS(TblApplications[RAM IKS libérable (Go)],TblApplications[Cluster IKS source],$F1162,TblApplications[Action],"À décommissionner",TblApplications[Mois lib (calc)],"&lt;="&amp;$E1162)))))</f>
        <v/>
      </c>
      <c r="Z1162" s="19" t="str">
        <f t="shared" si="315"/>
        <v/>
      </c>
      <c r="AA1162" s="73" t="str">
        <f t="shared" si="316"/>
        <v/>
      </c>
      <c r="AB1162" s="19" t="str">
        <f t="shared" si="317"/>
        <v/>
      </c>
      <c r="AC1162" s="73" t="str">
        <f t="shared" si="318"/>
        <v/>
      </c>
      <c r="AD1162" s="19" t="str">
        <f t="shared" si="319"/>
        <v/>
      </c>
      <c r="AE1162" s="19" t="str">
        <f t="shared" si="320"/>
        <v/>
      </c>
      <c r="AF1162" s="19" t="str">
        <f>IF($D1162&lt;&gt;1,"",IF(INDEX(TblClusters[Environnement],$B1162)="","(vide)",INDEX(TblClusters[Environnement],$B1162)))</f>
        <v/>
      </c>
      <c r="AG1162" s="19" t="str">
        <f t="shared" si="321"/>
        <v/>
      </c>
      <c r="AH1162" s="19" t="str">
        <f t="shared" si="322"/>
        <v/>
      </c>
      <c r="AI1162" s="19" t="str">
        <f>IF($D1162&lt;&gt;1,"",IF(AND($G1162="IKS",ISNUMBER(INDEX(TblClusters[Fermeture retenue],$B1162))),IF($E1162&gt;=INDEX(TblClusters[Fermeture retenue],$B1162),1,0),0))</f>
        <v/>
      </c>
    </row>
    <row r="1163" spans="1:35" x14ac:dyDescent="0.2">
      <c r="A1163" s="19">
        <v>1158</v>
      </c>
      <c r="B1163" s="19">
        <f t="shared" si="306"/>
        <v>33</v>
      </c>
      <c r="C1163" s="19">
        <f t="shared" si="307"/>
        <v>6</v>
      </c>
      <c r="D1163" s="19">
        <f>IF($C1163&gt;p_horizon,0,IFERROR(IF(AND(INDEX(TblClusters[Cluster],$B1163)&lt;&gt;"",ISNUMBER(INDEX(TblClusters[CPU initial (vCPU)],$B1163)),ISNUMBER(INDEX(TblClusters[CPU min (vCPU)],$B1163)),OR(INDEX(TblClusters[Plateforme],$B1163)="IKS",INDEX(TblClusters[Plateforme],$B1163)="ROKS")),1,0),0))</f>
        <v>0</v>
      </c>
      <c r="E1163" s="72" t="str">
        <f t="shared" si="308"/>
        <v/>
      </c>
      <c r="F1163" s="19" t="str">
        <f>IF($D1163=1,INDEX(TblClusters[Cluster],$B1163),"")</f>
        <v/>
      </c>
      <c r="G1163" s="19" t="str">
        <f>IF($D1163=1,INDEX(TblClusters[Plateforme],$B1163),"")</f>
        <v/>
      </c>
      <c r="H1163" s="19" t="str">
        <f>IF($D1163=1,INDEX(TblClusters[vCPU par nœud],$B1163),"")</f>
        <v/>
      </c>
      <c r="I1163" s="19" t="str">
        <f>IF($D1163=1,INDEX(TblClusters[RAM par nœud (Go)],$B1163),"")</f>
        <v/>
      </c>
      <c r="J1163" s="19" t="str">
        <f>IF($D1163=1,INDEX(TblClusters[Workers min],$B1163),"")</f>
        <v/>
      </c>
      <c r="K1163" s="73" t="str">
        <f>IF($D1163=1,INDEX(TblClusters[Tarif par nœud],$B1163),"")</f>
        <v/>
      </c>
      <c r="L1163" s="19" t="str">
        <f>IF($D1163=1,INDEX(TblClusters[CPU initial (vCPU)],$B1163),"")</f>
        <v/>
      </c>
      <c r="M1163" s="19" t="str">
        <f>IF($D1163=1,INDEX(TblClusters[RAM initiale (Go)],$B1163),"")</f>
        <v/>
      </c>
      <c r="N1163" s="19" t="str">
        <f>IF($D1163=1,INDEX(TblClusters[CPU min (vCPU)],$B1163),"")</f>
        <v/>
      </c>
      <c r="O1163" s="19" t="str">
        <f>IF($D1163=1,INDEX(TblClusters[RAM min (Go)],$B1163),"")</f>
        <v/>
      </c>
      <c r="P1163" s="19" t="str">
        <f>IF($D1163&lt;&gt;1,"",IF($G1163="ROKS",SUMIFS(TblApplications[Besoin ROKS CPU (vCPU)],TblApplications[Cluster ROKS cible],$F1163,TblApplications[Action],"À migrer",TblApplications[Déjà incluse ROKS],"Non",TblApplications[Mois prov (calc)],"&lt;="&amp;$E1163),SUMIFS(TblApplications[CPU IKS libérable (vCPU)],TblApplications[Cluster IKS source],$F1163,TblApplications[Mois lib (calc)],"&lt;="&amp;$E1163)))</f>
        <v/>
      </c>
      <c r="Q1163" s="19" t="str">
        <f>IF($D1163&lt;&gt;1,"",IF($G1163="ROKS",SUMIFS(TblApplications[Besoin ROKS RAM (Go)],TblApplications[Cluster ROKS cible],$F1163,TblApplications[Action],"À migrer",TblApplications[Déjà incluse ROKS],"Non",TblApplications[Mois prov (calc)],"&lt;="&amp;$E1163),SUMIFS(TblApplications[RAM IKS libérable (Go)],TblApplications[Cluster IKS source],$F1163,TblApplications[Mois lib (calc)],"&lt;="&amp;$E1163)))</f>
        <v/>
      </c>
      <c r="R1163" s="19" t="str">
        <f t="shared" si="309"/>
        <v/>
      </c>
      <c r="S1163" s="19" t="str">
        <f t="shared" si="310"/>
        <v/>
      </c>
      <c r="T1163" s="19" t="str">
        <f t="shared" si="311"/>
        <v/>
      </c>
      <c r="U1163" s="19" t="str">
        <f t="shared" si="312"/>
        <v/>
      </c>
      <c r="V1163" s="19" t="str">
        <f t="shared" si="313"/>
        <v/>
      </c>
      <c r="W1163" s="73" t="str">
        <f t="shared" si="314"/>
        <v/>
      </c>
      <c r="X1163" s="19" t="str">
        <f>IF($D1163&lt;&gt;1,"",IF($G1163="ROKS",$R1163,IF($AI1163=1,0,MAX($N1163,$L1163-SUMIFS(TblApplications[CPU IKS libérable (vCPU)],TblApplications[Cluster IKS source],$F1163,TblApplications[Action],"À migrer",TblApplications[Mois prov (calc)],"&lt;="&amp;$E1163)-SUMIFS(TblApplications[CPU IKS libérable (vCPU)],TblApplications[Cluster IKS source],$F1163,TblApplications[Action],"À décommissionner",TblApplications[Mois lib (calc)],"&lt;="&amp;$E1163)))))</f>
        <v/>
      </c>
      <c r="Y1163" s="19" t="str">
        <f>IF($D1163&lt;&gt;1,"",IF($G1163="ROKS",$S1163,IF($AI1163=1,0,MAX($O1163,$M1163-SUMIFS(TblApplications[RAM IKS libérable (Go)],TblApplications[Cluster IKS source],$F1163,TblApplications[Action],"À migrer",TblApplications[Mois prov (calc)],"&lt;="&amp;$E1163)-SUMIFS(TblApplications[RAM IKS libérable (Go)],TblApplications[Cluster IKS source],$F1163,TblApplications[Action],"À décommissionner",TblApplications[Mois lib (calc)],"&lt;="&amp;$E1163)))))</f>
        <v/>
      </c>
      <c r="Z1163" s="19" t="str">
        <f t="shared" si="315"/>
        <v/>
      </c>
      <c r="AA1163" s="73" t="str">
        <f t="shared" si="316"/>
        <v/>
      </c>
      <c r="AB1163" s="19" t="str">
        <f t="shared" si="317"/>
        <v/>
      </c>
      <c r="AC1163" s="73" t="str">
        <f t="shared" si="318"/>
        <v/>
      </c>
      <c r="AD1163" s="19" t="str">
        <f t="shared" si="319"/>
        <v/>
      </c>
      <c r="AE1163" s="19" t="str">
        <f t="shared" si="320"/>
        <v/>
      </c>
      <c r="AF1163" s="19" t="str">
        <f>IF($D1163&lt;&gt;1,"",IF(INDEX(TblClusters[Environnement],$B1163)="","(vide)",INDEX(TblClusters[Environnement],$B1163)))</f>
        <v/>
      </c>
      <c r="AG1163" s="19" t="str">
        <f t="shared" si="321"/>
        <v/>
      </c>
      <c r="AH1163" s="19" t="str">
        <f t="shared" si="322"/>
        <v/>
      </c>
      <c r="AI1163" s="19" t="str">
        <f>IF($D1163&lt;&gt;1,"",IF(AND($G1163="IKS",ISNUMBER(INDEX(TblClusters[Fermeture retenue],$B1163))),IF($E1163&gt;=INDEX(TblClusters[Fermeture retenue],$B1163),1,0),0))</f>
        <v/>
      </c>
    </row>
    <row r="1164" spans="1:35" x14ac:dyDescent="0.2">
      <c r="A1164" s="19">
        <v>1159</v>
      </c>
      <c r="B1164" s="19">
        <f t="shared" si="306"/>
        <v>33</v>
      </c>
      <c r="C1164" s="19">
        <f t="shared" si="307"/>
        <v>7</v>
      </c>
      <c r="D1164" s="19">
        <f>IF($C1164&gt;p_horizon,0,IFERROR(IF(AND(INDEX(TblClusters[Cluster],$B1164)&lt;&gt;"",ISNUMBER(INDEX(TblClusters[CPU initial (vCPU)],$B1164)),ISNUMBER(INDEX(TblClusters[CPU min (vCPU)],$B1164)),OR(INDEX(TblClusters[Plateforme],$B1164)="IKS",INDEX(TblClusters[Plateforme],$B1164)="ROKS")),1,0),0))</f>
        <v>0</v>
      </c>
      <c r="E1164" s="72" t="str">
        <f t="shared" si="308"/>
        <v/>
      </c>
      <c r="F1164" s="19" t="str">
        <f>IF($D1164=1,INDEX(TblClusters[Cluster],$B1164),"")</f>
        <v/>
      </c>
      <c r="G1164" s="19" t="str">
        <f>IF($D1164=1,INDEX(TblClusters[Plateforme],$B1164),"")</f>
        <v/>
      </c>
      <c r="H1164" s="19" t="str">
        <f>IF($D1164=1,INDEX(TblClusters[vCPU par nœud],$B1164),"")</f>
        <v/>
      </c>
      <c r="I1164" s="19" t="str">
        <f>IF($D1164=1,INDEX(TblClusters[RAM par nœud (Go)],$B1164),"")</f>
        <v/>
      </c>
      <c r="J1164" s="19" t="str">
        <f>IF($D1164=1,INDEX(TblClusters[Workers min],$B1164),"")</f>
        <v/>
      </c>
      <c r="K1164" s="73" t="str">
        <f>IF($D1164=1,INDEX(TblClusters[Tarif par nœud],$B1164),"")</f>
        <v/>
      </c>
      <c r="L1164" s="19" t="str">
        <f>IF($D1164=1,INDEX(TblClusters[CPU initial (vCPU)],$B1164),"")</f>
        <v/>
      </c>
      <c r="M1164" s="19" t="str">
        <f>IF($D1164=1,INDEX(TblClusters[RAM initiale (Go)],$B1164),"")</f>
        <v/>
      </c>
      <c r="N1164" s="19" t="str">
        <f>IF($D1164=1,INDEX(TblClusters[CPU min (vCPU)],$B1164),"")</f>
        <v/>
      </c>
      <c r="O1164" s="19" t="str">
        <f>IF($D1164=1,INDEX(TblClusters[RAM min (Go)],$B1164),"")</f>
        <v/>
      </c>
      <c r="P1164" s="19" t="str">
        <f>IF($D1164&lt;&gt;1,"",IF($G1164="ROKS",SUMIFS(TblApplications[Besoin ROKS CPU (vCPU)],TblApplications[Cluster ROKS cible],$F1164,TblApplications[Action],"À migrer",TblApplications[Déjà incluse ROKS],"Non",TblApplications[Mois prov (calc)],"&lt;="&amp;$E1164),SUMIFS(TblApplications[CPU IKS libérable (vCPU)],TblApplications[Cluster IKS source],$F1164,TblApplications[Mois lib (calc)],"&lt;="&amp;$E1164)))</f>
        <v/>
      </c>
      <c r="Q1164" s="19" t="str">
        <f>IF($D1164&lt;&gt;1,"",IF($G1164="ROKS",SUMIFS(TblApplications[Besoin ROKS RAM (Go)],TblApplications[Cluster ROKS cible],$F1164,TblApplications[Action],"À migrer",TblApplications[Déjà incluse ROKS],"Non",TblApplications[Mois prov (calc)],"&lt;="&amp;$E1164),SUMIFS(TblApplications[RAM IKS libérable (Go)],TblApplications[Cluster IKS source],$F1164,TblApplications[Mois lib (calc)],"&lt;="&amp;$E1164)))</f>
        <v/>
      </c>
      <c r="R1164" s="19" t="str">
        <f t="shared" si="309"/>
        <v/>
      </c>
      <c r="S1164" s="19" t="str">
        <f t="shared" si="310"/>
        <v/>
      </c>
      <c r="T1164" s="19" t="str">
        <f t="shared" si="311"/>
        <v/>
      </c>
      <c r="U1164" s="19" t="str">
        <f t="shared" si="312"/>
        <v/>
      </c>
      <c r="V1164" s="19" t="str">
        <f t="shared" si="313"/>
        <v/>
      </c>
      <c r="W1164" s="73" t="str">
        <f t="shared" si="314"/>
        <v/>
      </c>
      <c r="X1164" s="19" t="str">
        <f>IF($D1164&lt;&gt;1,"",IF($G1164="ROKS",$R1164,IF($AI1164=1,0,MAX($N1164,$L1164-SUMIFS(TblApplications[CPU IKS libérable (vCPU)],TblApplications[Cluster IKS source],$F1164,TblApplications[Action],"À migrer",TblApplications[Mois prov (calc)],"&lt;="&amp;$E1164)-SUMIFS(TblApplications[CPU IKS libérable (vCPU)],TblApplications[Cluster IKS source],$F1164,TblApplications[Action],"À décommissionner",TblApplications[Mois lib (calc)],"&lt;="&amp;$E1164)))))</f>
        <v/>
      </c>
      <c r="Y1164" s="19" t="str">
        <f>IF($D1164&lt;&gt;1,"",IF($G1164="ROKS",$S1164,IF($AI1164=1,0,MAX($O1164,$M1164-SUMIFS(TblApplications[RAM IKS libérable (Go)],TblApplications[Cluster IKS source],$F1164,TblApplications[Action],"À migrer",TblApplications[Mois prov (calc)],"&lt;="&amp;$E1164)-SUMIFS(TblApplications[RAM IKS libérable (Go)],TblApplications[Cluster IKS source],$F1164,TblApplications[Action],"À décommissionner",TblApplications[Mois lib (calc)],"&lt;="&amp;$E1164)))))</f>
        <v/>
      </c>
      <c r="Z1164" s="19" t="str">
        <f t="shared" si="315"/>
        <v/>
      </c>
      <c r="AA1164" s="73" t="str">
        <f t="shared" si="316"/>
        <v/>
      </c>
      <c r="AB1164" s="19" t="str">
        <f t="shared" si="317"/>
        <v/>
      </c>
      <c r="AC1164" s="73" t="str">
        <f t="shared" si="318"/>
        <v/>
      </c>
      <c r="AD1164" s="19" t="str">
        <f t="shared" si="319"/>
        <v/>
      </c>
      <c r="AE1164" s="19" t="str">
        <f t="shared" si="320"/>
        <v/>
      </c>
      <c r="AF1164" s="19" t="str">
        <f>IF($D1164&lt;&gt;1,"",IF(INDEX(TblClusters[Environnement],$B1164)="","(vide)",INDEX(TblClusters[Environnement],$B1164)))</f>
        <v/>
      </c>
      <c r="AG1164" s="19" t="str">
        <f t="shared" si="321"/>
        <v/>
      </c>
      <c r="AH1164" s="19" t="str">
        <f t="shared" si="322"/>
        <v/>
      </c>
      <c r="AI1164" s="19" t="str">
        <f>IF($D1164&lt;&gt;1,"",IF(AND($G1164="IKS",ISNUMBER(INDEX(TblClusters[Fermeture retenue],$B1164))),IF($E1164&gt;=INDEX(TblClusters[Fermeture retenue],$B1164),1,0),0))</f>
        <v/>
      </c>
    </row>
    <row r="1165" spans="1:35" x14ac:dyDescent="0.2">
      <c r="A1165" s="19">
        <v>1160</v>
      </c>
      <c r="B1165" s="19">
        <f t="shared" si="306"/>
        <v>33</v>
      </c>
      <c r="C1165" s="19">
        <f t="shared" si="307"/>
        <v>8</v>
      </c>
      <c r="D1165" s="19">
        <f>IF($C1165&gt;p_horizon,0,IFERROR(IF(AND(INDEX(TblClusters[Cluster],$B1165)&lt;&gt;"",ISNUMBER(INDEX(TblClusters[CPU initial (vCPU)],$B1165)),ISNUMBER(INDEX(TblClusters[CPU min (vCPU)],$B1165)),OR(INDEX(TblClusters[Plateforme],$B1165)="IKS",INDEX(TblClusters[Plateforme],$B1165)="ROKS")),1,0),0))</f>
        <v>0</v>
      </c>
      <c r="E1165" s="72" t="str">
        <f t="shared" si="308"/>
        <v/>
      </c>
      <c r="F1165" s="19" t="str">
        <f>IF($D1165=1,INDEX(TblClusters[Cluster],$B1165),"")</f>
        <v/>
      </c>
      <c r="G1165" s="19" t="str">
        <f>IF($D1165=1,INDEX(TblClusters[Plateforme],$B1165),"")</f>
        <v/>
      </c>
      <c r="H1165" s="19" t="str">
        <f>IF($D1165=1,INDEX(TblClusters[vCPU par nœud],$B1165),"")</f>
        <v/>
      </c>
      <c r="I1165" s="19" t="str">
        <f>IF($D1165=1,INDEX(TblClusters[RAM par nœud (Go)],$B1165),"")</f>
        <v/>
      </c>
      <c r="J1165" s="19" t="str">
        <f>IF($D1165=1,INDEX(TblClusters[Workers min],$B1165),"")</f>
        <v/>
      </c>
      <c r="K1165" s="73" t="str">
        <f>IF($D1165=1,INDEX(TblClusters[Tarif par nœud],$B1165),"")</f>
        <v/>
      </c>
      <c r="L1165" s="19" t="str">
        <f>IF($D1165=1,INDEX(TblClusters[CPU initial (vCPU)],$B1165),"")</f>
        <v/>
      </c>
      <c r="M1165" s="19" t="str">
        <f>IF($D1165=1,INDEX(TblClusters[RAM initiale (Go)],$B1165),"")</f>
        <v/>
      </c>
      <c r="N1165" s="19" t="str">
        <f>IF($D1165=1,INDEX(TblClusters[CPU min (vCPU)],$B1165),"")</f>
        <v/>
      </c>
      <c r="O1165" s="19" t="str">
        <f>IF($D1165=1,INDEX(TblClusters[RAM min (Go)],$B1165),"")</f>
        <v/>
      </c>
      <c r="P1165" s="19" t="str">
        <f>IF($D1165&lt;&gt;1,"",IF($G1165="ROKS",SUMIFS(TblApplications[Besoin ROKS CPU (vCPU)],TblApplications[Cluster ROKS cible],$F1165,TblApplications[Action],"À migrer",TblApplications[Déjà incluse ROKS],"Non",TblApplications[Mois prov (calc)],"&lt;="&amp;$E1165),SUMIFS(TblApplications[CPU IKS libérable (vCPU)],TblApplications[Cluster IKS source],$F1165,TblApplications[Mois lib (calc)],"&lt;="&amp;$E1165)))</f>
        <v/>
      </c>
      <c r="Q1165" s="19" t="str">
        <f>IF($D1165&lt;&gt;1,"",IF($G1165="ROKS",SUMIFS(TblApplications[Besoin ROKS RAM (Go)],TblApplications[Cluster ROKS cible],$F1165,TblApplications[Action],"À migrer",TblApplications[Déjà incluse ROKS],"Non",TblApplications[Mois prov (calc)],"&lt;="&amp;$E1165),SUMIFS(TblApplications[RAM IKS libérable (Go)],TblApplications[Cluster IKS source],$F1165,TblApplications[Mois lib (calc)],"&lt;="&amp;$E1165)))</f>
        <v/>
      </c>
      <c r="R1165" s="19" t="str">
        <f t="shared" si="309"/>
        <v/>
      </c>
      <c r="S1165" s="19" t="str">
        <f t="shared" si="310"/>
        <v/>
      </c>
      <c r="T1165" s="19" t="str">
        <f t="shared" si="311"/>
        <v/>
      </c>
      <c r="U1165" s="19" t="str">
        <f t="shared" si="312"/>
        <v/>
      </c>
      <c r="V1165" s="19" t="str">
        <f t="shared" si="313"/>
        <v/>
      </c>
      <c r="W1165" s="73" t="str">
        <f t="shared" si="314"/>
        <v/>
      </c>
      <c r="X1165" s="19" t="str">
        <f>IF($D1165&lt;&gt;1,"",IF($G1165="ROKS",$R1165,IF($AI1165=1,0,MAX($N1165,$L1165-SUMIFS(TblApplications[CPU IKS libérable (vCPU)],TblApplications[Cluster IKS source],$F1165,TblApplications[Action],"À migrer",TblApplications[Mois prov (calc)],"&lt;="&amp;$E1165)-SUMIFS(TblApplications[CPU IKS libérable (vCPU)],TblApplications[Cluster IKS source],$F1165,TblApplications[Action],"À décommissionner",TblApplications[Mois lib (calc)],"&lt;="&amp;$E1165)))))</f>
        <v/>
      </c>
      <c r="Y1165" s="19" t="str">
        <f>IF($D1165&lt;&gt;1,"",IF($G1165="ROKS",$S1165,IF($AI1165=1,0,MAX($O1165,$M1165-SUMIFS(TblApplications[RAM IKS libérable (Go)],TblApplications[Cluster IKS source],$F1165,TblApplications[Action],"À migrer",TblApplications[Mois prov (calc)],"&lt;="&amp;$E1165)-SUMIFS(TblApplications[RAM IKS libérable (Go)],TblApplications[Cluster IKS source],$F1165,TblApplications[Action],"À décommissionner",TblApplications[Mois lib (calc)],"&lt;="&amp;$E1165)))))</f>
        <v/>
      </c>
      <c r="Z1165" s="19" t="str">
        <f t="shared" si="315"/>
        <v/>
      </c>
      <c r="AA1165" s="73" t="str">
        <f t="shared" si="316"/>
        <v/>
      </c>
      <c r="AB1165" s="19" t="str">
        <f t="shared" si="317"/>
        <v/>
      </c>
      <c r="AC1165" s="73" t="str">
        <f t="shared" si="318"/>
        <v/>
      </c>
      <c r="AD1165" s="19" t="str">
        <f t="shared" si="319"/>
        <v/>
      </c>
      <c r="AE1165" s="19" t="str">
        <f t="shared" si="320"/>
        <v/>
      </c>
      <c r="AF1165" s="19" t="str">
        <f>IF($D1165&lt;&gt;1,"",IF(INDEX(TblClusters[Environnement],$B1165)="","(vide)",INDEX(TblClusters[Environnement],$B1165)))</f>
        <v/>
      </c>
      <c r="AG1165" s="19" t="str">
        <f t="shared" si="321"/>
        <v/>
      </c>
      <c r="AH1165" s="19" t="str">
        <f t="shared" si="322"/>
        <v/>
      </c>
      <c r="AI1165" s="19" t="str">
        <f>IF($D1165&lt;&gt;1,"",IF(AND($G1165="IKS",ISNUMBER(INDEX(TblClusters[Fermeture retenue],$B1165))),IF($E1165&gt;=INDEX(TblClusters[Fermeture retenue],$B1165),1,0),0))</f>
        <v/>
      </c>
    </row>
    <row r="1166" spans="1:35" x14ac:dyDescent="0.2">
      <c r="A1166" s="19">
        <v>1161</v>
      </c>
      <c r="B1166" s="19">
        <f t="shared" si="306"/>
        <v>33</v>
      </c>
      <c r="C1166" s="19">
        <f t="shared" si="307"/>
        <v>9</v>
      </c>
      <c r="D1166" s="19">
        <f>IF($C1166&gt;p_horizon,0,IFERROR(IF(AND(INDEX(TblClusters[Cluster],$B1166)&lt;&gt;"",ISNUMBER(INDEX(TblClusters[CPU initial (vCPU)],$B1166)),ISNUMBER(INDEX(TblClusters[CPU min (vCPU)],$B1166)),OR(INDEX(TblClusters[Plateforme],$B1166)="IKS",INDEX(TblClusters[Plateforme],$B1166)="ROKS")),1,0),0))</f>
        <v>0</v>
      </c>
      <c r="E1166" s="72" t="str">
        <f t="shared" si="308"/>
        <v/>
      </c>
      <c r="F1166" s="19" t="str">
        <f>IF($D1166=1,INDEX(TblClusters[Cluster],$B1166),"")</f>
        <v/>
      </c>
      <c r="G1166" s="19" t="str">
        <f>IF($D1166=1,INDEX(TblClusters[Plateforme],$B1166),"")</f>
        <v/>
      </c>
      <c r="H1166" s="19" t="str">
        <f>IF($D1166=1,INDEX(TblClusters[vCPU par nœud],$B1166),"")</f>
        <v/>
      </c>
      <c r="I1166" s="19" t="str">
        <f>IF($D1166=1,INDEX(TblClusters[RAM par nœud (Go)],$B1166),"")</f>
        <v/>
      </c>
      <c r="J1166" s="19" t="str">
        <f>IF($D1166=1,INDEX(TblClusters[Workers min],$B1166),"")</f>
        <v/>
      </c>
      <c r="K1166" s="73" t="str">
        <f>IF($D1166=1,INDEX(TblClusters[Tarif par nœud],$B1166),"")</f>
        <v/>
      </c>
      <c r="L1166" s="19" t="str">
        <f>IF($D1166=1,INDEX(TblClusters[CPU initial (vCPU)],$B1166),"")</f>
        <v/>
      </c>
      <c r="M1166" s="19" t="str">
        <f>IF($D1166=1,INDEX(TblClusters[RAM initiale (Go)],$B1166),"")</f>
        <v/>
      </c>
      <c r="N1166" s="19" t="str">
        <f>IF($D1166=1,INDEX(TblClusters[CPU min (vCPU)],$B1166),"")</f>
        <v/>
      </c>
      <c r="O1166" s="19" t="str">
        <f>IF($D1166=1,INDEX(TblClusters[RAM min (Go)],$B1166),"")</f>
        <v/>
      </c>
      <c r="P1166" s="19" t="str">
        <f>IF($D1166&lt;&gt;1,"",IF($G1166="ROKS",SUMIFS(TblApplications[Besoin ROKS CPU (vCPU)],TblApplications[Cluster ROKS cible],$F1166,TblApplications[Action],"À migrer",TblApplications[Déjà incluse ROKS],"Non",TblApplications[Mois prov (calc)],"&lt;="&amp;$E1166),SUMIFS(TblApplications[CPU IKS libérable (vCPU)],TblApplications[Cluster IKS source],$F1166,TblApplications[Mois lib (calc)],"&lt;="&amp;$E1166)))</f>
        <v/>
      </c>
      <c r="Q1166" s="19" t="str">
        <f>IF($D1166&lt;&gt;1,"",IF($G1166="ROKS",SUMIFS(TblApplications[Besoin ROKS RAM (Go)],TblApplications[Cluster ROKS cible],$F1166,TblApplications[Action],"À migrer",TblApplications[Déjà incluse ROKS],"Non",TblApplications[Mois prov (calc)],"&lt;="&amp;$E1166),SUMIFS(TblApplications[RAM IKS libérable (Go)],TblApplications[Cluster IKS source],$F1166,TblApplications[Mois lib (calc)],"&lt;="&amp;$E1166)))</f>
        <v/>
      </c>
      <c r="R1166" s="19" t="str">
        <f t="shared" si="309"/>
        <v/>
      </c>
      <c r="S1166" s="19" t="str">
        <f t="shared" si="310"/>
        <v/>
      </c>
      <c r="T1166" s="19" t="str">
        <f t="shared" si="311"/>
        <v/>
      </c>
      <c r="U1166" s="19" t="str">
        <f t="shared" si="312"/>
        <v/>
      </c>
      <c r="V1166" s="19" t="str">
        <f t="shared" si="313"/>
        <v/>
      </c>
      <c r="W1166" s="73" t="str">
        <f t="shared" si="314"/>
        <v/>
      </c>
      <c r="X1166" s="19" t="str">
        <f>IF($D1166&lt;&gt;1,"",IF($G1166="ROKS",$R1166,IF($AI1166=1,0,MAX($N1166,$L1166-SUMIFS(TblApplications[CPU IKS libérable (vCPU)],TblApplications[Cluster IKS source],$F1166,TblApplications[Action],"À migrer",TblApplications[Mois prov (calc)],"&lt;="&amp;$E1166)-SUMIFS(TblApplications[CPU IKS libérable (vCPU)],TblApplications[Cluster IKS source],$F1166,TblApplications[Action],"À décommissionner",TblApplications[Mois lib (calc)],"&lt;="&amp;$E1166)))))</f>
        <v/>
      </c>
      <c r="Y1166" s="19" t="str">
        <f>IF($D1166&lt;&gt;1,"",IF($G1166="ROKS",$S1166,IF($AI1166=1,0,MAX($O1166,$M1166-SUMIFS(TblApplications[RAM IKS libérable (Go)],TblApplications[Cluster IKS source],$F1166,TblApplications[Action],"À migrer",TblApplications[Mois prov (calc)],"&lt;="&amp;$E1166)-SUMIFS(TblApplications[RAM IKS libérable (Go)],TblApplications[Cluster IKS source],$F1166,TblApplications[Action],"À décommissionner",TblApplications[Mois lib (calc)],"&lt;="&amp;$E1166)))))</f>
        <v/>
      </c>
      <c r="Z1166" s="19" t="str">
        <f t="shared" si="315"/>
        <v/>
      </c>
      <c r="AA1166" s="73" t="str">
        <f t="shared" si="316"/>
        <v/>
      </c>
      <c r="AB1166" s="19" t="str">
        <f t="shared" si="317"/>
        <v/>
      </c>
      <c r="AC1166" s="73" t="str">
        <f t="shared" si="318"/>
        <v/>
      </c>
      <c r="AD1166" s="19" t="str">
        <f t="shared" si="319"/>
        <v/>
      </c>
      <c r="AE1166" s="19" t="str">
        <f t="shared" si="320"/>
        <v/>
      </c>
      <c r="AF1166" s="19" t="str">
        <f>IF($D1166&lt;&gt;1,"",IF(INDEX(TblClusters[Environnement],$B1166)="","(vide)",INDEX(TblClusters[Environnement],$B1166)))</f>
        <v/>
      </c>
      <c r="AG1166" s="19" t="str">
        <f t="shared" si="321"/>
        <v/>
      </c>
      <c r="AH1166" s="19" t="str">
        <f t="shared" si="322"/>
        <v/>
      </c>
      <c r="AI1166" s="19" t="str">
        <f>IF($D1166&lt;&gt;1,"",IF(AND($G1166="IKS",ISNUMBER(INDEX(TblClusters[Fermeture retenue],$B1166))),IF($E1166&gt;=INDEX(TblClusters[Fermeture retenue],$B1166),1,0),0))</f>
        <v/>
      </c>
    </row>
    <row r="1167" spans="1:35" x14ac:dyDescent="0.2">
      <c r="A1167" s="19">
        <v>1162</v>
      </c>
      <c r="B1167" s="19">
        <f t="shared" si="306"/>
        <v>33</v>
      </c>
      <c r="C1167" s="19">
        <f t="shared" si="307"/>
        <v>10</v>
      </c>
      <c r="D1167" s="19">
        <f>IF($C1167&gt;p_horizon,0,IFERROR(IF(AND(INDEX(TblClusters[Cluster],$B1167)&lt;&gt;"",ISNUMBER(INDEX(TblClusters[CPU initial (vCPU)],$B1167)),ISNUMBER(INDEX(TblClusters[CPU min (vCPU)],$B1167)),OR(INDEX(TblClusters[Plateforme],$B1167)="IKS",INDEX(TblClusters[Plateforme],$B1167)="ROKS")),1,0),0))</f>
        <v>0</v>
      </c>
      <c r="E1167" s="72" t="str">
        <f t="shared" si="308"/>
        <v/>
      </c>
      <c r="F1167" s="19" t="str">
        <f>IF($D1167=1,INDEX(TblClusters[Cluster],$B1167),"")</f>
        <v/>
      </c>
      <c r="G1167" s="19" t="str">
        <f>IF($D1167=1,INDEX(TblClusters[Plateforme],$B1167),"")</f>
        <v/>
      </c>
      <c r="H1167" s="19" t="str">
        <f>IF($D1167=1,INDEX(TblClusters[vCPU par nœud],$B1167),"")</f>
        <v/>
      </c>
      <c r="I1167" s="19" t="str">
        <f>IF($D1167=1,INDEX(TblClusters[RAM par nœud (Go)],$B1167),"")</f>
        <v/>
      </c>
      <c r="J1167" s="19" t="str">
        <f>IF($D1167=1,INDEX(TblClusters[Workers min],$B1167),"")</f>
        <v/>
      </c>
      <c r="K1167" s="73" t="str">
        <f>IF($D1167=1,INDEX(TblClusters[Tarif par nœud],$B1167),"")</f>
        <v/>
      </c>
      <c r="L1167" s="19" t="str">
        <f>IF($D1167=1,INDEX(TblClusters[CPU initial (vCPU)],$B1167),"")</f>
        <v/>
      </c>
      <c r="M1167" s="19" t="str">
        <f>IF($D1167=1,INDEX(TblClusters[RAM initiale (Go)],$B1167),"")</f>
        <v/>
      </c>
      <c r="N1167" s="19" t="str">
        <f>IF($D1167=1,INDEX(TblClusters[CPU min (vCPU)],$B1167),"")</f>
        <v/>
      </c>
      <c r="O1167" s="19" t="str">
        <f>IF($D1167=1,INDEX(TblClusters[RAM min (Go)],$B1167),"")</f>
        <v/>
      </c>
      <c r="P1167" s="19" t="str">
        <f>IF($D1167&lt;&gt;1,"",IF($G1167="ROKS",SUMIFS(TblApplications[Besoin ROKS CPU (vCPU)],TblApplications[Cluster ROKS cible],$F1167,TblApplications[Action],"À migrer",TblApplications[Déjà incluse ROKS],"Non",TblApplications[Mois prov (calc)],"&lt;="&amp;$E1167),SUMIFS(TblApplications[CPU IKS libérable (vCPU)],TblApplications[Cluster IKS source],$F1167,TblApplications[Mois lib (calc)],"&lt;="&amp;$E1167)))</f>
        <v/>
      </c>
      <c r="Q1167" s="19" t="str">
        <f>IF($D1167&lt;&gt;1,"",IF($G1167="ROKS",SUMIFS(TblApplications[Besoin ROKS RAM (Go)],TblApplications[Cluster ROKS cible],$F1167,TblApplications[Action],"À migrer",TblApplications[Déjà incluse ROKS],"Non",TblApplications[Mois prov (calc)],"&lt;="&amp;$E1167),SUMIFS(TblApplications[RAM IKS libérable (Go)],TblApplications[Cluster IKS source],$F1167,TblApplications[Mois lib (calc)],"&lt;="&amp;$E1167)))</f>
        <v/>
      </c>
      <c r="R1167" s="19" t="str">
        <f t="shared" si="309"/>
        <v/>
      </c>
      <c r="S1167" s="19" t="str">
        <f t="shared" si="310"/>
        <v/>
      </c>
      <c r="T1167" s="19" t="str">
        <f t="shared" si="311"/>
        <v/>
      </c>
      <c r="U1167" s="19" t="str">
        <f t="shared" si="312"/>
        <v/>
      </c>
      <c r="V1167" s="19" t="str">
        <f t="shared" si="313"/>
        <v/>
      </c>
      <c r="W1167" s="73" t="str">
        <f t="shared" si="314"/>
        <v/>
      </c>
      <c r="X1167" s="19" t="str">
        <f>IF($D1167&lt;&gt;1,"",IF($G1167="ROKS",$R1167,IF($AI1167=1,0,MAX($N1167,$L1167-SUMIFS(TblApplications[CPU IKS libérable (vCPU)],TblApplications[Cluster IKS source],$F1167,TblApplications[Action],"À migrer",TblApplications[Mois prov (calc)],"&lt;="&amp;$E1167)-SUMIFS(TblApplications[CPU IKS libérable (vCPU)],TblApplications[Cluster IKS source],$F1167,TblApplications[Action],"À décommissionner",TblApplications[Mois lib (calc)],"&lt;="&amp;$E1167)))))</f>
        <v/>
      </c>
      <c r="Y1167" s="19" t="str">
        <f>IF($D1167&lt;&gt;1,"",IF($G1167="ROKS",$S1167,IF($AI1167=1,0,MAX($O1167,$M1167-SUMIFS(TblApplications[RAM IKS libérable (Go)],TblApplications[Cluster IKS source],$F1167,TblApplications[Action],"À migrer",TblApplications[Mois prov (calc)],"&lt;="&amp;$E1167)-SUMIFS(TblApplications[RAM IKS libérable (Go)],TblApplications[Cluster IKS source],$F1167,TblApplications[Action],"À décommissionner",TblApplications[Mois lib (calc)],"&lt;="&amp;$E1167)))))</f>
        <v/>
      </c>
      <c r="Z1167" s="19" t="str">
        <f t="shared" si="315"/>
        <v/>
      </c>
      <c r="AA1167" s="73" t="str">
        <f t="shared" si="316"/>
        <v/>
      </c>
      <c r="AB1167" s="19" t="str">
        <f t="shared" si="317"/>
        <v/>
      </c>
      <c r="AC1167" s="73" t="str">
        <f t="shared" si="318"/>
        <v/>
      </c>
      <c r="AD1167" s="19" t="str">
        <f t="shared" si="319"/>
        <v/>
      </c>
      <c r="AE1167" s="19" t="str">
        <f t="shared" si="320"/>
        <v/>
      </c>
      <c r="AF1167" s="19" t="str">
        <f>IF($D1167&lt;&gt;1,"",IF(INDEX(TblClusters[Environnement],$B1167)="","(vide)",INDEX(TblClusters[Environnement],$B1167)))</f>
        <v/>
      </c>
      <c r="AG1167" s="19" t="str">
        <f t="shared" si="321"/>
        <v/>
      </c>
      <c r="AH1167" s="19" t="str">
        <f t="shared" si="322"/>
        <v/>
      </c>
      <c r="AI1167" s="19" t="str">
        <f>IF($D1167&lt;&gt;1,"",IF(AND($G1167="IKS",ISNUMBER(INDEX(TblClusters[Fermeture retenue],$B1167))),IF($E1167&gt;=INDEX(TblClusters[Fermeture retenue],$B1167),1,0),0))</f>
        <v/>
      </c>
    </row>
    <row r="1168" spans="1:35" x14ac:dyDescent="0.2">
      <c r="A1168" s="19">
        <v>1163</v>
      </c>
      <c r="B1168" s="19">
        <f t="shared" si="306"/>
        <v>33</v>
      </c>
      <c r="C1168" s="19">
        <f t="shared" si="307"/>
        <v>11</v>
      </c>
      <c r="D1168" s="19">
        <f>IF($C1168&gt;p_horizon,0,IFERROR(IF(AND(INDEX(TblClusters[Cluster],$B1168)&lt;&gt;"",ISNUMBER(INDEX(TblClusters[CPU initial (vCPU)],$B1168)),ISNUMBER(INDEX(TblClusters[CPU min (vCPU)],$B1168)),OR(INDEX(TblClusters[Plateforme],$B1168)="IKS",INDEX(TblClusters[Plateforme],$B1168)="ROKS")),1,0),0))</f>
        <v>0</v>
      </c>
      <c r="E1168" s="72" t="str">
        <f t="shared" si="308"/>
        <v/>
      </c>
      <c r="F1168" s="19" t="str">
        <f>IF($D1168=1,INDEX(TblClusters[Cluster],$B1168),"")</f>
        <v/>
      </c>
      <c r="G1168" s="19" t="str">
        <f>IF($D1168=1,INDEX(TblClusters[Plateforme],$B1168),"")</f>
        <v/>
      </c>
      <c r="H1168" s="19" t="str">
        <f>IF($D1168=1,INDEX(TblClusters[vCPU par nœud],$B1168),"")</f>
        <v/>
      </c>
      <c r="I1168" s="19" t="str">
        <f>IF($D1168=1,INDEX(TblClusters[RAM par nœud (Go)],$B1168),"")</f>
        <v/>
      </c>
      <c r="J1168" s="19" t="str">
        <f>IF($D1168=1,INDEX(TblClusters[Workers min],$B1168),"")</f>
        <v/>
      </c>
      <c r="K1168" s="73" t="str">
        <f>IF($D1168=1,INDEX(TblClusters[Tarif par nœud],$B1168),"")</f>
        <v/>
      </c>
      <c r="L1168" s="19" t="str">
        <f>IF($D1168=1,INDEX(TblClusters[CPU initial (vCPU)],$B1168),"")</f>
        <v/>
      </c>
      <c r="M1168" s="19" t="str">
        <f>IF($D1168=1,INDEX(TblClusters[RAM initiale (Go)],$B1168),"")</f>
        <v/>
      </c>
      <c r="N1168" s="19" t="str">
        <f>IF($D1168=1,INDEX(TblClusters[CPU min (vCPU)],$B1168),"")</f>
        <v/>
      </c>
      <c r="O1168" s="19" t="str">
        <f>IF($D1168=1,INDEX(TblClusters[RAM min (Go)],$B1168),"")</f>
        <v/>
      </c>
      <c r="P1168" s="19" t="str">
        <f>IF($D1168&lt;&gt;1,"",IF($G1168="ROKS",SUMIFS(TblApplications[Besoin ROKS CPU (vCPU)],TblApplications[Cluster ROKS cible],$F1168,TblApplications[Action],"À migrer",TblApplications[Déjà incluse ROKS],"Non",TblApplications[Mois prov (calc)],"&lt;="&amp;$E1168),SUMIFS(TblApplications[CPU IKS libérable (vCPU)],TblApplications[Cluster IKS source],$F1168,TblApplications[Mois lib (calc)],"&lt;="&amp;$E1168)))</f>
        <v/>
      </c>
      <c r="Q1168" s="19" t="str">
        <f>IF($D1168&lt;&gt;1,"",IF($G1168="ROKS",SUMIFS(TblApplications[Besoin ROKS RAM (Go)],TblApplications[Cluster ROKS cible],$F1168,TblApplications[Action],"À migrer",TblApplications[Déjà incluse ROKS],"Non",TblApplications[Mois prov (calc)],"&lt;="&amp;$E1168),SUMIFS(TblApplications[RAM IKS libérable (Go)],TblApplications[Cluster IKS source],$F1168,TblApplications[Mois lib (calc)],"&lt;="&amp;$E1168)))</f>
        <v/>
      </c>
      <c r="R1168" s="19" t="str">
        <f t="shared" si="309"/>
        <v/>
      </c>
      <c r="S1168" s="19" t="str">
        <f t="shared" si="310"/>
        <v/>
      </c>
      <c r="T1168" s="19" t="str">
        <f t="shared" si="311"/>
        <v/>
      </c>
      <c r="U1168" s="19" t="str">
        <f t="shared" si="312"/>
        <v/>
      </c>
      <c r="V1168" s="19" t="str">
        <f t="shared" si="313"/>
        <v/>
      </c>
      <c r="W1168" s="73" t="str">
        <f t="shared" si="314"/>
        <v/>
      </c>
      <c r="X1168" s="19" t="str">
        <f>IF($D1168&lt;&gt;1,"",IF($G1168="ROKS",$R1168,IF($AI1168=1,0,MAX($N1168,$L1168-SUMIFS(TblApplications[CPU IKS libérable (vCPU)],TblApplications[Cluster IKS source],$F1168,TblApplications[Action],"À migrer",TblApplications[Mois prov (calc)],"&lt;="&amp;$E1168)-SUMIFS(TblApplications[CPU IKS libérable (vCPU)],TblApplications[Cluster IKS source],$F1168,TblApplications[Action],"À décommissionner",TblApplications[Mois lib (calc)],"&lt;="&amp;$E1168)))))</f>
        <v/>
      </c>
      <c r="Y1168" s="19" t="str">
        <f>IF($D1168&lt;&gt;1,"",IF($G1168="ROKS",$S1168,IF($AI1168=1,0,MAX($O1168,$M1168-SUMIFS(TblApplications[RAM IKS libérable (Go)],TblApplications[Cluster IKS source],$F1168,TblApplications[Action],"À migrer",TblApplications[Mois prov (calc)],"&lt;="&amp;$E1168)-SUMIFS(TblApplications[RAM IKS libérable (Go)],TblApplications[Cluster IKS source],$F1168,TblApplications[Action],"À décommissionner",TblApplications[Mois lib (calc)],"&lt;="&amp;$E1168)))))</f>
        <v/>
      </c>
      <c r="Z1168" s="19" t="str">
        <f t="shared" si="315"/>
        <v/>
      </c>
      <c r="AA1168" s="73" t="str">
        <f t="shared" si="316"/>
        <v/>
      </c>
      <c r="AB1168" s="19" t="str">
        <f t="shared" si="317"/>
        <v/>
      </c>
      <c r="AC1168" s="73" t="str">
        <f t="shared" si="318"/>
        <v/>
      </c>
      <c r="AD1168" s="19" t="str">
        <f t="shared" si="319"/>
        <v/>
      </c>
      <c r="AE1168" s="19" t="str">
        <f t="shared" si="320"/>
        <v/>
      </c>
      <c r="AF1168" s="19" t="str">
        <f>IF($D1168&lt;&gt;1,"",IF(INDEX(TblClusters[Environnement],$B1168)="","(vide)",INDEX(TblClusters[Environnement],$B1168)))</f>
        <v/>
      </c>
      <c r="AG1168" s="19" t="str">
        <f t="shared" si="321"/>
        <v/>
      </c>
      <c r="AH1168" s="19" t="str">
        <f t="shared" si="322"/>
        <v/>
      </c>
      <c r="AI1168" s="19" t="str">
        <f>IF($D1168&lt;&gt;1,"",IF(AND($G1168="IKS",ISNUMBER(INDEX(TblClusters[Fermeture retenue],$B1168))),IF($E1168&gt;=INDEX(TblClusters[Fermeture retenue],$B1168),1,0),0))</f>
        <v/>
      </c>
    </row>
    <row r="1169" spans="1:35" x14ac:dyDescent="0.2">
      <c r="A1169" s="19">
        <v>1164</v>
      </c>
      <c r="B1169" s="19">
        <f t="shared" si="306"/>
        <v>33</v>
      </c>
      <c r="C1169" s="19">
        <f t="shared" si="307"/>
        <v>12</v>
      </c>
      <c r="D1169" s="19">
        <f>IF($C1169&gt;p_horizon,0,IFERROR(IF(AND(INDEX(TblClusters[Cluster],$B1169)&lt;&gt;"",ISNUMBER(INDEX(TblClusters[CPU initial (vCPU)],$B1169)),ISNUMBER(INDEX(TblClusters[CPU min (vCPU)],$B1169)),OR(INDEX(TblClusters[Plateforme],$B1169)="IKS",INDEX(TblClusters[Plateforme],$B1169)="ROKS")),1,0),0))</f>
        <v>0</v>
      </c>
      <c r="E1169" s="72" t="str">
        <f t="shared" si="308"/>
        <v/>
      </c>
      <c r="F1169" s="19" t="str">
        <f>IF($D1169=1,INDEX(TblClusters[Cluster],$B1169),"")</f>
        <v/>
      </c>
      <c r="G1169" s="19" t="str">
        <f>IF($D1169=1,INDEX(TblClusters[Plateforme],$B1169),"")</f>
        <v/>
      </c>
      <c r="H1169" s="19" t="str">
        <f>IF($D1169=1,INDEX(TblClusters[vCPU par nœud],$B1169),"")</f>
        <v/>
      </c>
      <c r="I1169" s="19" t="str">
        <f>IF($D1169=1,INDEX(TblClusters[RAM par nœud (Go)],$B1169),"")</f>
        <v/>
      </c>
      <c r="J1169" s="19" t="str">
        <f>IF($D1169=1,INDEX(TblClusters[Workers min],$B1169),"")</f>
        <v/>
      </c>
      <c r="K1169" s="73" t="str">
        <f>IF($D1169=1,INDEX(TblClusters[Tarif par nœud],$B1169),"")</f>
        <v/>
      </c>
      <c r="L1169" s="19" t="str">
        <f>IF($D1169=1,INDEX(TblClusters[CPU initial (vCPU)],$B1169),"")</f>
        <v/>
      </c>
      <c r="M1169" s="19" t="str">
        <f>IF($D1169=1,INDEX(TblClusters[RAM initiale (Go)],$B1169),"")</f>
        <v/>
      </c>
      <c r="N1169" s="19" t="str">
        <f>IF($D1169=1,INDEX(TblClusters[CPU min (vCPU)],$B1169),"")</f>
        <v/>
      </c>
      <c r="O1169" s="19" t="str">
        <f>IF($D1169=1,INDEX(TblClusters[RAM min (Go)],$B1169),"")</f>
        <v/>
      </c>
      <c r="P1169" s="19" t="str">
        <f>IF($D1169&lt;&gt;1,"",IF($G1169="ROKS",SUMIFS(TblApplications[Besoin ROKS CPU (vCPU)],TblApplications[Cluster ROKS cible],$F1169,TblApplications[Action],"À migrer",TblApplications[Déjà incluse ROKS],"Non",TblApplications[Mois prov (calc)],"&lt;="&amp;$E1169),SUMIFS(TblApplications[CPU IKS libérable (vCPU)],TblApplications[Cluster IKS source],$F1169,TblApplications[Mois lib (calc)],"&lt;="&amp;$E1169)))</f>
        <v/>
      </c>
      <c r="Q1169" s="19" t="str">
        <f>IF($D1169&lt;&gt;1,"",IF($G1169="ROKS",SUMIFS(TblApplications[Besoin ROKS RAM (Go)],TblApplications[Cluster ROKS cible],$F1169,TblApplications[Action],"À migrer",TblApplications[Déjà incluse ROKS],"Non",TblApplications[Mois prov (calc)],"&lt;="&amp;$E1169),SUMIFS(TblApplications[RAM IKS libérable (Go)],TblApplications[Cluster IKS source],$F1169,TblApplications[Mois lib (calc)],"&lt;="&amp;$E1169)))</f>
        <v/>
      </c>
      <c r="R1169" s="19" t="str">
        <f t="shared" si="309"/>
        <v/>
      </c>
      <c r="S1169" s="19" t="str">
        <f t="shared" si="310"/>
        <v/>
      </c>
      <c r="T1169" s="19" t="str">
        <f t="shared" si="311"/>
        <v/>
      </c>
      <c r="U1169" s="19" t="str">
        <f t="shared" si="312"/>
        <v/>
      </c>
      <c r="V1169" s="19" t="str">
        <f t="shared" si="313"/>
        <v/>
      </c>
      <c r="W1169" s="73" t="str">
        <f t="shared" si="314"/>
        <v/>
      </c>
      <c r="X1169" s="19" t="str">
        <f>IF($D1169&lt;&gt;1,"",IF($G1169="ROKS",$R1169,IF($AI1169=1,0,MAX($N1169,$L1169-SUMIFS(TblApplications[CPU IKS libérable (vCPU)],TblApplications[Cluster IKS source],$F1169,TblApplications[Action],"À migrer",TblApplications[Mois prov (calc)],"&lt;="&amp;$E1169)-SUMIFS(TblApplications[CPU IKS libérable (vCPU)],TblApplications[Cluster IKS source],$F1169,TblApplications[Action],"À décommissionner",TblApplications[Mois lib (calc)],"&lt;="&amp;$E1169)))))</f>
        <v/>
      </c>
      <c r="Y1169" s="19" t="str">
        <f>IF($D1169&lt;&gt;1,"",IF($G1169="ROKS",$S1169,IF($AI1169=1,0,MAX($O1169,$M1169-SUMIFS(TblApplications[RAM IKS libérable (Go)],TblApplications[Cluster IKS source],$F1169,TblApplications[Action],"À migrer",TblApplications[Mois prov (calc)],"&lt;="&amp;$E1169)-SUMIFS(TblApplications[RAM IKS libérable (Go)],TblApplications[Cluster IKS source],$F1169,TblApplications[Action],"À décommissionner",TblApplications[Mois lib (calc)],"&lt;="&amp;$E1169)))))</f>
        <v/>
      </c>
      <c r="Z1169" s="19" t="str">
        <f t="shared" si="315"/>
        <v/>
      </c>
      <c r="AA1169" s="73" t="str">
        <f t="shared" si="316"/>
        <v/>
      </c>
      <c r="AB1169" s="19" t="str">
        <f t="shared" si="317"/>
        <v/>
      </c>
      <c r="AC1169" s="73" t="str">
        <f t="shared" si="318"/>
        <v/>
      </c>
      <c r="AD1169" s="19" t="str">
        <f t="shared" si="319"/>
        <v/>
      </c>
      <c r="AE1169" s="19" t="str">
        <f t="shared" si="320"/>
        <v/>
      </c>
      <c r="AF1169" s="19" t="str">
        <f>IF($D1169&lt;&gt;1,"",IF(INDEX(TblClusters[Environnement],$B1169)="","(vide)",INDEX(TblClusters[Environnement],$B1169)))</f>
        <v/>
      </c>
      <c r="AG1169" s="19" t="str">
        <f t="shared" si="321"/>
        <v/>
      </c>
      <c r="AH1169" s="19" t="str">
        <f t="shared" si="322"/>
        <v/>
      </c>
      <c r="AI1169" s="19" t="str">
        <f>IF($D1169&lt;&gt;1,"",IF(AND($G1169="IKS",ISNUMBER(INDEX(TblClusters[Fermeture retenue],$B1169))),IF($E1169&gt;=INDEX(TblClusters[Fermeture retenue],$B1169),1,0),0))</f>
        <v/>
      </c>
    </row>
    <row r="1170" spans="1:35" x14ac:dyDescent="0.2">
      <c r="A1170" s="19">
        <v>1165</v>
      </c>
      <c r="B1170" s="19">
        <f t="shared" si="306"/>
        <v>33</v>
      </c>
      <c r="C1170" s="19">
        <f t="shared" si="307"/>
        <v>13</v>
      </c>
      <c r="D1170" s="19">
        <f>IF($C1170&gt;p_horizon,0,IFERROR(IF(AND(INDEX(TblClusters[Cluster],$B1170)&lt;&gt;"",ISNUMBER(INDEX(TblClusters[CPU initial (vCPU)],$B1170)),ISNUMBER(INDEX(TblClusters[CPU min (vCPU)],$B1170)),OR(INDEX(TblClusters[Plateforme],$B1170)="IKS",INDEX(TblClusters[Plateforme],$B1170)="ROKS")),1,0),0))</f>
        <v>0</v>
      </c>
      <c r="E1170" s="72" t="str">
        <f t="shared" si="308"/>
        <v/>
      </c>
      <c r="F1170" s="19" t="str">
        <f>IF($D1170=1,INDEX(TblClusters[Cluster],$B1170),"")</f>
        <v/>
      </c>
      <c r="G1170" s="19" t="str">
        <f>IF($D1170=1,INDEX(TblClusters[Plateforme],$B1170),"")</f>
        <v/>
      </c>
      <c r="H1170" s="19" t="str">
        <f>IF($D1170=1,INDEX(TblClusters[vCPU par nœud],$B1170),"")</f>
        <v/>
      </c>
      <c r="I1170" s="19" t="str">
        <f>IF($D1170=1,INDEX(TblClusters[RAM par nœud (Go)],$B1170),"")</f>
        <v/>
      </c>
      <c r="J1170" s="19" t="str">
        <f>IF($D1170=1,INDEX(TblClusters[Workers min],$B1170),"")</f>
        <v/>
      </c>
      <c r="K1170" s="73" t="str">
        <f>IF($D1170=1,INDEX(TblClusters[Tarif par nœud],$B1170),"")</f>
        <v/>
      </c>
      <c r="L1170" s="19" t="str">
        <f>IF($D1170=1,INDEX(TblClusters[CPU initial (vCPU)],$B1170),"")</f>
        <v/>
      </c>
      <c r="M1170" s="19" t="str">
        <f>IF($D1170=1,INDEX(TblClusters[RAM initiale (Go)],$B1170),"")</f>
        <v/>
      </c>
      <c r="N1170" s="19" t="str">
        <f>IF($D1170=1,INDEX(TblClusters[CPU min (vCPU)],$B1170),"")</f>
        <v/>
      </c>
      <c r="O1170" s="19" t="str">
        <f>IF($D1170=1,INDEX(TblClusters[RAM min (Go)],$B1170),"")</f>
        <v/>
      </c>
      <c r="P1170" s="19" t="str">
        <f>IF($D1170&lt;&gt;1,"",IF($G1170="ROKS",SUMIFS(TblApplications[Besoin ROKS CPU (vCPU)],TblApplications[Cluster ROKS cible],$F1170,TblApplications[Action],"À migrer",TblApplications[Déjà incluse ROKS],"Non",TblApplications[Mois prov (calc)],"&lt;="&amp;$E1170),SUMIFS(TblApplications[CPU IKS libérable (vCPU)],TblApplications[Cluster IKS source],$F1170,TblApplications[Mois lib (calc)],"&lt;="&amp;$E1170)))</f>
        <v/>
      </c>
      <c r="Q1170" s="19" t="str">
        <f>IF($D1170&lt;&gt;1,"",IF($G1170="ROKS",SUMIFS(TblApplications[Besoin ROKS RAM (Go)],TblApplications[Cluster ROKS cible],$F1170,TblApplications[Action],"À migrer",TblApplications[Déjà incluse ROKS],"Non",TblApplications[Mois prov (calc)],"&lt;="&amp;$E1170),SUMIFS(TblApplications[RAM IKS libérable (Go)],TblApplications[Cluster IKS source],$F1170,TblApplications[Mois lib (calc)],"&lt;="&amp;$E1170)))</f>
        <v/>
      </c>
      <c r="R1170" s="19" t="str">
        <f t="shared" si="309"/>
        <v/>
      </c>
      <c r="S1170" s="19" t="str">
        <f t="shared" si="310"/>
        <v/>
      </c>
      <c r="T1170" s="19" t="str">
        <f t="shared" si="311"/>
        <v/>
      </c>
      <c r="U1170" s="19" t="str">
        <f t="shared" si="312"/>
        <v/>
      </c>
      <c r="V1170" s="19" t="str">
        <f t="shared" si="313"/>
        <v/>
      </c>
      <c r="W1170" s="73" t="str">
        <f t="shared" si="314"/>
        <v/>
      </c>
      <c r="X1170" s="19" t="str">
        <f>IF($D1170&lt;&gt;1,"",IF($G1170="ROKS",$R1170,IF($AI1170=1,0,MAX($N1170,$L1170-SUMIFS(TblApplications[CPU IKS libérable (vCPU)],TblApplications[Cluster IKS source],$F1170,TblApplications[Action],"À migrer",TblApplications[Mois prov (calc)],"&lt;="&amp;$E1170)-SUMIFS(TblApplications[CPU IKS libérable (vCPU)],TblApplications[Cluster IKS source],$F1170,TblApplications[Action],"À décommissionner",TblApplications[Mois lib (calc)],"&lt;="&amp;$E1170)))))</f>
        <v/>
      </c>
      <c r="Y1170" s="19" t="str">
        <f>IF($D1170&lt;&gt;1,"",IF($G1170="ROKS",$S1170,IF($AI1170=1,0,MAX($O1170,$M1170-SUMIFS(TblApplications[RAM IKS libérable (Go)],TblApplications[Cluster IKS source],$F1170,TblApplications[Action],"À migrer",TblApplications[Mois prov (calc)],"&lt;="&amp;$E1170)-SUMIFS(TblApplications[RAM IKS libérable (Go)],TblApplications[Cluster IKS source],$F1170,TblApplications[Action],"À décommissionner",TblApplications[Mois lib (calc)],"&lt;="&amp;$E1170)))))</f>
        <v/>
      </c>
      <c r="Z1170" s="19" t="str">
        <f t="shared" si="315"/>
        <v/>
      </c>
      <c r="AA1170" s="73" t="str">
        <f t="shared" si="316"/>
        <v/>
      </c>
      <c r="AB1170" s="19" t="str">
        <f t="shared" si="317"/>
        <v/>
      </c>
      <c r="AC1170" s="73" t="str">
        <f t="shared" si="318"/>
        <v/>
      </c>
      <c r="AD1170" s="19" t="str">
        <f t="shared" si="319"/>
        <v/>
      </c>
      <c r="AE1170" s="19" t="str">
        <f t="shared" si="320"/>
        <v/>
      </c>
      <c r="AF1170" s="19" t="str">
        <f>IF($D1170&lt;&gt;1,"",IF(INDEX(TblClusters[Environnement],$B1170)="","(vide)",INDEX(TblClusters[Environnement],$B1170)))</f>
        <v/>
      </c>
      <c r="AG1170" s="19" t="str">
        <f t="shared" si="321"/>
        <v/>
      </c>
      <c r="AH1170" s="19" t="str">
        <f t="shared" si="322"/>
        <v/>
      </c>
      <c r="AI1170" s="19" t="str">
        <f>IF($D1170&lt;&gt;1,"",IF(AND($G1170="IKS",ISNUMBER(INDEX(TblClusters[Fermeture retenue],$B1170))),IF($E1170&gt;=INDEX(TblClusters[Fermeture retenue],$B1170),1,0),0))</f>
        <v/>
      </c>
    </row>
    <row r="1171" spans="1:35" x14ac:dyDescent="0.2">
      <c r="A1171" s="19">
        <v>1166</v>
      </c>
      <c r="B1171" s="19">
        <f t="shared" si="306"/>
        <v>33</v>
      </c>
      <c r="C1171" s="19">
        <f t="shared" si="307"/>
        <v>14</v>
      </c>
      <c r="D1171" s="19">
        <f>IF($C1171&gt;p_horizon,0,IFERROR(IF(AND(INDEX(TblClusters[Cluster],$B1171)&lt;&gt;"",ISNUMBER(INDEX(TblClusters[CPU initial (vCPU)],$B1171)),ISNUMBER(INDEX(TblClusters[CPU min (vCPU)],$B1171)),OR(INDEX(TblClusters[Plateforme],$B1171)="IKS",INDEX(TblClusters[Plateforme],$B1171)="ROKS")),1,0),0))</f>
        <v>0</v>
      </c>
      <c r="E1171" s="72" t="str">
        <f t="shared" si="308"/>
        <v/>
      </c>
      <c r="F1171" s="19" t="str">
        <f>IF($D1171=1,INDEX(TblClusters[Cluster],$B1171),"")</f>
        <v/>
      </c>
      <c r="G1171" s="19" t="str">
        <f>IF($D1171=1,INDEX(TblClusters[Plateforme],$B1171),"")</f>
        <v/>
      </c>
      <c r="H1171" s="19" t="str">
        <f>IF($D1171=1,INDEX(TblClusters[vCPU par nœud],$B1171),"")</f>
        <v/>
      </c>
      <c r="I1171" s="19" t="str">
        <f>IF($D1171=1,INDEX(TblClusters[RAM par nœud (Go)],$B1171),"")</f>
        <v/>
      </c>
      <c r="J1171" s="19" t="str">
        <f>IF($D1171=1,INDEX(TblClusters[Workers min],$B1171),"")</f>
        <v/>
      </c>
      <c r="K1171" s="73" t="str">
        <f>IF($D1171=1,INDEX(TblClusters[Tarif par nœud],$B1171),"")</f>
        <v/>
      </c>
      <c r="L1171" s="19" t="str">
        <f>IF($D1171=1,INDEX(TblClusters[CPU initial (vCPU)],$B1171),"")</f>
        <v/>
      </c>
      <c r="M1171" s="19" t="str">
        <f>IF($D1171=1,INDEX(TblClusters[RAM initiale (Go)],$B1171),"")</f>
        <v/>
      </c>
      <c r="N1171" s="19" t="str">
        <f>IF($D1171=1,INDEX(TblClusters[CPU min (vCPU)],$B1171),"")</f>
        <v/>
      </c>
      <c r="O1171" s="19" t="str">
        <f>IF($D1171=1,INDEX(TblClusters[RAM min (Go)],$B1171),"")</f>
        <v/>
      </c>
      <c r="P1171" s="19" t="str">
        <f>IF($D1171&lt;&gt;1,"",IF($G1171="ROKS",SUMIFS(TblApplications[Besoin ROKS CPU (vCPU)],TblApplications[Cluster ROKS cible],$F1171,TblApplications[Action],"À migrer",TblApplications[Déjà incluse ROKS],"Non",TblApplications[Mois prov (calc)],"&lt;="&amp;$E1171),SUMIFS(TblApplications[CPU IKS libérable (vCPU)],TblApplications[Cluster IKS source],$F1171,TblApplications[Mois lib (calc)],"&lt;="&amp;$E1171)))</f>
        <v/>
      </c>
      <c r="Q1171" s="19" t="str">
        <f>IF($D1171&lt;&gt;1,"",IF($G1171="ROKS",SUMIFS(TblApplications[Besoin ROKS RAM (Go)],TblApplications[Cluster ROKS cible],$F1171,TblApplications[Action],"À migrer",TblApplications[Déjà incluse ROKS],"Non",TblApplications[Mois prov (calc)],"&lt;="&amp;$E1171),SUMIFS(TblApplications[RAM IKS libérable (Go)],TblApplications[Cluster IKS source],$F1171,TblApplications[Mois lib (calc)],"&lt;="&amp;$E1171)))</f>
        <v/>
      </c>
      <c r="R1171" s="19" t="str">
        <f t="shared" si="309"/>
        <v/>
      </c>
      <c r="S1171" s="19" t="str">
        <f t="shared" si="310"/>
        <v/>
      </c>
      <c r="T1171" s="19" t="str">
        <f t="shared" si="311"/>
        <v/>
      </c>
      <c r="U1171" s="19" t="str">
        <f t="shared" si="312"/>
        <v/>
      </c>
      <c r="V1171" s="19" t="str">
        <f t="shared" si="313"/>
        <v/>
      </c>
      <c r="W1171" s="73" t="str">
        <f t="shared" si="314"/>
        <v/>
      </c>
      <c r="X1171" s="19" t="str">
        <f>IF($D1171&lt;&gt;1,"",IF($G1171="ROKS",$R1171,IF($AI1171=1,0,MAX($N1171,$L1171-SUMIFS(TblApplications[CPU IKS libérable (vCPU)],TblApplications[Cluster IKS source],$F1171,TblApplications[Action],"À migrer",TblApplications[Mois prov (calc)],"&lt;="&amp;$E1171)-SUMIFS(TblApplications[CPU IKS libérable (vCPU)],TblApplications[Cluster IKS source],$F1171,TblApplications[Action],"À décommissionner",TblApplications[Mois lib (calc)],"&lt;="&amp;$E1171)))))</f>
        <v/>
      </c>
      <c r="Y1171" s="19" t="str">
        <f>IF($D1171&lt;&gt;1,"",IF($G1171="ROKS",$S1171,IF($AI1171=1,0,MAX($O1171,$M1171-SUMIFS(TblApplications[RAM IKS libérable (Go)],TblApplications[Cluster IKS source],$F1171,TblApplications[Action],"À migrer",TblApplications[Mois prov (calc)],"&lt;="&amp;$E1171)-SUMIFS(TblApplications[RAM IKS libérable (Go)],TblApplications[Cluster IKS source],$F1171,TblApplications[Action],"À décommissionner",TblApplications[Mois lib (calc)],"&lt;="&amp;$E1171)))))</f>
        <v/>
      </c>
      <c r="Z1171" s="19" t="str">
        <f t="shared" si="315"/>
        <v/>
      </c>
      <c r="AA1171" s="73" t="str">
        <f t="shared" si="316"/>
        <v/>
      </c>
      <c r="AB1171" s="19" t="str">
        <f t="shared" si="317"/>
        <v/>
      </c>
      <c r="AC1171" s="73" t="str">
        <f t="shared" si="318"/>
        <v/>
      </c>
      <c r="AD1171" s="19" t="str">
        <f t="shared" si="319"/>
        <v/>
      </c>
      <c r="AE1171" s="19" t="str">
        <f t="shared" si="320"/>
        <v/>
      </c>
      <c r="AF1171" s="19" t="str">
        <f>IF($D1171&lt;&gt;1,"",IF(INDEX(TblClusters[Environnement],$B1171)="","(vide)",INDEX(TblClusters[Environnement],$B1171)))</f>
        <v/>
      </c>
      <c r="AG1171" s="19" t="str">
        <f t="shared" si="321"/>
        <v/>
      </c>
      <c r="AH1171" s="19" t="str">
        <f t="shared" si="322"/>
        <v/>
      </c>
      <c r="AI1171" s="19" t="str">
        <f>IF($D1171&lt;&gt;1,"",IF(AND($G1171="IKS",ISNUMBER(INDEX(TblClusters[Fermeture retenue],$B1171))),IF($E1171&gt;=INDEX(TblClusters[Fermeture retenue],$B1171),1,0),0))</f>
        <v/>
      </c>
    </row>
    <row r="1172" spans="1:35" x14ac:dyDescent="0.2">
      <c r="A1172" s="19">
        <v>1167</v>
      </c>
      <c r="B1172" s="19">
        <f t="shared" si="306"/>
        <v>33</v>
      </c>
      <c r="C1172" s="19">
        <f t="shared" si="307"/>
        <v>15</v>
      </c>
      <c r="D1172" s="19">
        <f>IF($C1172&gt;p_horizon,0,IFERROR(IF(AND(INDEX(TblClusters[Cluster],$B1172)&lt;&gt;"",ISNUMBER(INDEX(TblClusters[CPU initial (vCPU)],$B1172)),ISNUMBER(INDEX(TblClusters[CPU min (vCPU)],$B1172)),OR(INDEX(TblClusters[Plateforme],$B1172)="IKS",INDEX(TblClusters[Plateforme],$B1172)="ROKS")),1,0),0))</f>
        <v>0</v>
      </c>
      <c r="E1172" s="72" t="str">
        <f t="shared" si="308"/>
        <v/>
      </c>
      <c r="F1172" s="19" t="str">
        <f>IF($D1172=1,INDEX(TblClusters[Cluster],$B1172),"")</f>
        <v/>
      </c>
      <c r="G1172" s="19" t="str">
        <f>IF($D1172=1,INDEX(TblClusters[Plateforme],$B1172),"")</f>
        <v/>
      </c>
      <c r="H1172" s="19" t="str">
        <f>IF($D1172=1,INDEX(TblClusters[vCPU par nœud],$B1172),"")</f>
        <v/>
      </c>
      <c r="I1172" s="19" t="str">
        <f>IF($D1172=1,INDEX(TblClusters[RAM par nœud (Go)],$B1172),"")</f>
        <v/>
      </c>
      <c r="J1172" s="19" t="str">
        <f>IF($D1172=1,INDEX(TblClusters[Workers min],$B1172),"")</f>
        <v/>
      </c>
      <c r="K1172" s="73" t="str">
        <f>IF($D1172=1,INDEX(TblClusters[Tarif par nœud],$B1172),"")</f>
        <v/>
      </c>
      <c r="L1172" s="19" t="str">
        <f>IF($D1172=1,INDEX(TblClusters[CPU initial (vCPU)],$B1172),"")</f>
        <v/>
      </c>
      <c r="M1172" s="19" t="str">
        <f>IF($D1172=1,INDEX(TblClusters[RAM initiale (Go)],$B1172),"")</f>
        <v/>
      </c>
      <c r="N1172" s="19" t="str">
        <f>IF($D1172=1,INDEX(TblClusters[CPU min (vCPU)],$B1172),"")</f>
        <v/>
      </c>
      <c r="O1172" s="19" t="str">
        <f>IF($D1172=1,INDEX(TblClusters[RAM min (Go)],$B1172),"")</f>
        <v/>
      </c>
      <c r="P1172" s="19" t="str">
        <f>IF($D1172&lt;&gt;1,"",IF($G1172="ROKS",SUMIFS(TblApplications[Besoin ROKS CPU (vCPU)],TblApplications[Cluster ROKS cible],$F1172,TblApplications[Action],"À migrer",TblApplications[Déjà incluse ROKS],"Non",TblApplications[Mois prov (calc)],"&lt;="&amp;$E1172),SUMIFS(TblApplications[CPU IKS libérable (vCPU)],TblApplications[Cluster IKS source],$F1172,TblApplications[Mois lib (calc)],"&lt;="&amp;$E1172)))</f>
        <v/>
      </c>
      <c r="Q1172" s="19" t="str">
        <f>IF($D1172&lt;&gt;1,"",IF($G1172="ROKS",SUMIFS(TblApplications[Besoin ROKS RAM (Go)],TblApplications[Cluster ROKS cible],$F1172,TblApplications[Action],"À migrer",TblApplications[Déjà incluse ROKS],"Non",TblApplications[Mois prov (calc)],"&lt;="&amp;$E1172),SUMIFS(TblApplications[RAM IKS libérable (Go)],TblApplications[Cluster IKS source],$F1172,TblApplications[Mois lib (calc)],"&lt;="&amp;$E1172)))</f>
        <v/>
      </c>
      <c r="R1172" s="19" t="str">
        <f t="shared" si="309"/>
        <v/>
      </c>
      <c r="S1172" s="19" t="str">
        <f t="shared" si="310"/>
        <v/>
      </c>
      <c r="T1172" s="19" t="str">
        <f t="shared" si="311"/>
        <v/>
      </c>
      <c r="U1172" s="19" t="str">
        <f t="shared" si="312"/>
        <v/>
      </c>
      <c r="V1172" s="19" t="str">
        <f t="shared" si="313"/>
        <v/>
      </c>
      <c r="W1172" s="73" t="str">
        <f t="shared" si="314"/>
        <v/>
      </c>
      <c r="X1172" s="19" t="str">
        <f>IF($D1172&lt;&gt;1,"",IF($G1172="ROKS",$R1172,IF($AI1172=1,0,MAX($N1172,$L1172-SUMIFS(TblApplications[CPU IKS libérable (vCPU)],TblApplications[Cluster IKS source],$F1172,TblApplications[Action],"À migrer",TblApplications[Mois prov (calc)],"&lt;="&amp;$E1172)-SUMIFS(TblApplications[CPU IKS libérable (vCPU)],TblApplications[Cluster IKS source],$F1172,TblApplications[Action],"À décommissionner",TblApplications[Mois lib (calc)],"&lt;="&amp;$E1172)))))</f>
        <v/>
      </c>
      <c r="Y1172" s="19" t="str">
        <f>IF($D1172&lt;&gt;1,"",IF($G1172="ROKS",$S1172,IF($AI1172=1,0,MAX($O1172,$M1172-SUMIFS(TblApplications[RAM IKS libérable (Go)],TblApplications[Cluster IKS source],$F1172,TblApplications[Action],"À migrer",TblApplications[Mois prov (calc)],"&lt;="&amp;$E1172)-SUMIFS(TblApplications[RAM IKS libérable (Go)],TblApplications[Cluster IKS source],$F1172,TblApplications[Action],"À décommissionner",TblApplications[Mois lib (calc)],"&lt;="&amp;$E1172)))))</f>
        <v/>
      </c>
      <c r="Z1172" s="19" t="str">
        <f t="shared" si="315"/>
        <v/>
      </c>
      <c r="AA1172" s="73" t="str">
        <f t="shared" si="316"/>
        <v/>
      </c>
      <c r="AB1172" s="19" t="str">
        <f t="shared" si="317"/>
        <v/>
      </c>
      <c r="AC1172" s="73" t="str">
        <f t="shared" si="318"/>
        <v/>
      </c>
      <c r="AD1172" s="19" t="str">
        <f t="shared" si="319"/>
        <v/>
      </c>
      <c r="AE1172" s="19" t="str">
        <f t="shared" si="320"/>
        <v/>
      </c>
      <c r="AF1172" s="19" t="str">
        <f>IF($D1172&lt;&gt;1,"",IF(INDEX(TblClusters[Environnement],$B1172)="","(vide)",INDEX(TblClusters[Environnement],$B1172)))</f>
        <v/>
      </c>
      <c r="AG1172" s="19" t="str">
        <f t="shared" si="321"/>
        <v/>
      </c>
      <c r="AH1172" s="19" t="str">
        <f t="shared" si="322"/>
        <v/>
      </c>
      <c r="AI1172" s="19" t="str">
        <f>IF($D1172&lt;&gt;1,"",IF(AND($G1172="IKS",ISNUMBER(INDEX(TblClusters[Fermeture retenue],$B1172))),IF($E1172&gt;=INDEX(TblClusters[Fermeture retenue],$B1172),1,0),0))</f>
        <v/>
      </c>
    </row>
    <row r="1173" spans="1:35" x14ac:dyDescent="0.2">
      <c r="A1173" s="19">
        <v>1168</v>
      </c>
      <c r="B1173" s="19">
        <f t="shared" si="306"/>
        <v>33</v>
      </c>
      <c r="C1173" s="19">
        <f t="shared" si="307"/>
        <v>16</v>
      </c>
      <c r="D1173" s="19">
        <f>IF($C1173&gt;p_horizon,0,IFERROR(IF(AND(INDEX(TblClusters[Cluster],$B1173)&lt;&gt;"",ISNUMBER(INDEX(TblClusters[CPU initial (vCPU)],$B1173)),ISNUMBER(INDEX(TblClusters[CPU min (vCPU)],$B1173)),OR(INDEX(TblClusters[Plateforme],$B1173)="IKS",INDEX(TblClusters[Plateforme],$B1173)="ROKS")),1,0),0))</f>
        <v>0</v>
      </c>
      <c r="E1173" s="72" t="str">
        <f t="shared" si="308"/>
        <v/>
      </c>
      <c r="F1173" s="19" t="str">
        <f>IF($D1173=1,INDEX(TblClusters[Cluster],$B1173),"")</f>
        <v/>
      </c>
      <c r="G1173" s="19" t="str">
        <f>IF($D1173=1,INDEX(TblClusters[Plateforme],$B1173),"")</f>
        <v/>
      </c>
      <c r="H1173" s="19" t="str">
        <f>IF($D1173=1,INDEX(TblClusters[vCPU par nœud],$B1173),"")</f>
        <v/>
      </c>
      <c r="I1173" s="19" t="str">
        <f>IF($D1173=1,INDEX(TblClusters[RAM par nœud (Go)],$B1173),"")</f>
        <v/>
      </c>
      <c r="J1173" s="19" t="str">
        <f>IF($D1173=1,INDEX(TblClusters[Workers min],$B1173),"")</f>
        <v/>
      </c>
      <c r="K1173" s="73" t="str">
        <f>IF($D1173=1,INDEX(TblClusters[Tarif par nœud],$B1173),"")</f>
        <v/>
      </c>
      <c r="L1173" s="19" t="str">
        <f>IF($D1173=1,INDEX(TblClusters[CPU initial (vCPU)],$B1173),"")</f>
        <v/>
      </c>
      <c r="M1173" s="19" t="str">
        <f>IF($D1173=1,INDEX(TblClusters[RAM initiale (Go)],$B1173),"")</f>
        <v/>
      </c>
      <c r="N1173" s="19" t="str">
        <f>IF($D1173=1,INDEX(TblClusters[CPU min (vCPU)],$B1173),"")</f>
        <v/>
      </c>
      <c r="O1173" s="19" t="str">
        <f>IF($D1173=1,INDEX(TblClusters[RAM min (Go)],$B1173),"")</f>
        <v/>
      </c>
      <c r="P1173" s="19" t="str">
        <f>IF($D1173&lt;&gt;1,"",IF($G1173="ROKS",SUMIFS(TblApplications[Besoin ROKS CPU (vCPU)],TblApplications[Cluster ROKS cible],$F1173,TblApplications[Action],"À migrer",TblApplications[Déjà incluse ROKS],"Non",TblApplications[Mois prov (calc)],"&lt;="&amp;$E1173),SUMIFS(TblApplications[CPU IKS libérable (vCPU)],TblApplications[Cluster IKS source],$F1173,TblApplications[Mois lib (calc)],"&lt;="&amp;$E1173)))</f>
        <v/>
      </c>
      <c r="Q1173" s="19" t="str">
        <f>IF($D1173&lt;&gt;1,"",IF($G1173="ROKS",SUMIFS(TblApplications[Besoin ROKS RAM (Go)],TblApplications[Cluster ROKS cible],$F1173,TblApplications[Action],"À migrer",TblApplications[Déjà incluse ROKS],"Non",TblApplications[Mois prov (calc)],"&lt;="&amp;$E1173),SUMIFS(TblApplications[RAM IKS libérable (Go)],TblApplications[Cluster IKS source],$F1173,TblApplications[Mois lib (calc)],"&lt;="&amp;$E1173)))</f>
        <v/>
      </c>
      <c r="R1173" s="19" t="str">
        <f t="shared" si="309"/>
        <v/>
      </c>
      <c r="S1173" s="19" t="str">
        <f t="shared" si="310"/>
        <v/>
      </c>
      <c r="T1173" s="19" t="str">
        <f t="shared" si="311"/>
        <v/>
      </c>
      <c r="U1173" s="19" t="str">
        <f t="shared" si="312"/>
        <v/>
      </c>
      <c r="V1173" s="19" t="str">
        <f t="shared" si="313"/>
        <v/>
      </c>
      <c r="W1173" s="73" t="str">
        <f t="shared" si="314"/>
        <v/>
      </c>
      <c r="X1173" s="19" t="str">
        <f>IF($D1173&lt;&gt;1,"",IF($G1173="ROKS",$R1173,IF($AI1173=1,0,MAX($N1173,$L1173-SUMIFS(TblApplications[CPU IKS libérable (vCPU)],TblApplications[Cluster IKS source],$F1173,TblApplications[Action],"À migrer",TblApplications[Mois prov (calc)],"&lt;="&amp;$E1173)-SUMIFS(TblApplications[CPU IKS libérable (vCPU)],TblApplications[Cluster IKS source],$F1173,TblApplications[Action],"À décommissionner",TblApplications[Mois lib (calc)],"&lt;="&amp;$E1173)))))</f>
        <v/>
      </c>
      <c r="Y1173" s="19" t="str">
        <f>IF($D1173&lt;&gt;1,"",IF($G1173="ROKS",$S1173,IF($AI1173=1,0,MAX($O1173,$M1173-SUMIFS(TblApplications[RAM IKS libérable (Go)],TblApplications[Cluster IKS source],$F1173,TblApplications[Action],"À migrer",TblApplications[Mois prov (calc)],"&lt;="&amp;$E1173)-SUMIFS(TblApplications[RAM IKS libérable (Go)],TblApplications[Cluster IKS source],$F1173,TblApplications[Action],"À décommissionner",TblApplications[Mois lib (calc)],"&lt;="&amp;$E1173)))))</f>
        <v/>
      </c>
      <c r="Z1173" s="19" t="str">
        <f t="shared" si="315"/>
        <v/>
      </c>
      <c r="AA1173" s="73" t="str">
        <f t="shared" si="316"/>
        <v/>
      </c>
      <c r="AB1173" s="19" t="str">
        <f t="shared" si="317"/>
        <v/>
      </c>
      <c r="AC1173" s="73" t="str">
        <f t="shared" si="318"/>
        <v/>
      </c>
      <c r="AD1173" s="19" t="str">
        <f t="shared" si="319"/>
        <v/>
      </c>
      <c r="AE1173" s="19" t="str">
        <f t="shared" si="320"/>
        <v/>
      </c>
      <c r="AF1173" s="19" t="str">
        <f>IF($D1173&lt;&gt;1,"",IF(INDEX(TblClusters[Environnement],$B1173)="","(vide)",INDEX(TblClusters[Environnement],$B1173)))</f>
        <v/>
      </c>
      <c r="AG1173" s="19" t="str">
        <f t="shared" si="321"/>
        <v/>
      </c>
      <c r="AH1173" s="19" t="str">
        <f t="shared" si="322"/>
        <v/>
      </c>
      <c r="AI1173" s="19" t="str">
        <f>IF($D1173&lt;&gt;1,"",IF(AND($G1173="IKS",ISNUMBER(INDEX(TblClusters[Fermeture retenue],$B1173))),IF($E1173&gt;=INDEX(TblClusters[Fermeture retenue],$B1173),1,0),0))</f>
        <v/>
      </c>
    </row>
    <row r="1174" spans="1:35" x14ac:dyDescent="0.2">
      <c r="A1174" s="19">
        <v>1169</v>
      </c>
      <c r="B1174" s="19">
        <f t="shared" si="306"/>
        <v>33</v>
      </c>
      <c r="C1174" s="19">
        <f t="shared" si="307"/>
        <v>17</v>
      </c>
      <c r="D1174" s="19">
        <f>IF($C1174&gt;p_horizon,0,IFERROR(IF(AND(INDEX(TblClusters[Cluster],$B1174)&lt;&gt;"",ISNUMBER(INDEX(TblClusters[CPU initial (vCPU)],$B1174)),ISNUMBER(INDEX(TblClusters[CPU min (vCPU)],$B1174)),OR(INDEX(TblClusters[Plateforme],$B1174)="IKS",INDEX(TblClusters[Plateforme],$B1174)="ROKS")),1,0),0))</f>
        <v>0</v>
      </c>
      <c r="E1174" s="72" t="str">
        <f t="shared" si="308"/>
        <v/>
      </c>
      <c r="F1174" s="19" t="str">
        <f>IF($D1174=1,INDEX(TblClusters[Cluster],$B1174),"")</f>
        <v/>
      </c>
      <c r="G1174" s="19" t="str">
        <f>IF($D1174=1,INDEX(TblClusters[Plateforme],$B1174),"")</f>
        <v/>
      </c>
      <c r="H1174" s="19" t="str">
        <f>IF($D1174=1,INDEX(TblClusters[vCPU par nœud],$B1174),"")</f>
        <v/>
      </c>
      <c r="I1174" s="19" t="str">
        <f>IF($D1174=1,INDEX(TblClusters[RAM par nœud (Go)],$B1174),"")</f>
        <v/>
      </c>
      <c r="J1174" s="19" t="str">
        <f>IF($D1174=1,INDEX(TblClusters[Workers min],$B1174),"")</f>
        <v/>
      </c>
      <c r="K1174" s="73" t="str">
        <f>IF($D1174=1,INDEX(TblClusters[Tarif par nœud],$B1174),"")</f>
        <v/>
      </c>
      <c r="L1174" s="19" t="str">
        <f>IF($D1174=1,INDEX(TblClusters[CPU initial (vCPU)],$B1174),"")</f>
        <v/>
      </c>
      <c r="M1174" s="19" t="str">
        <f>IF($D1174=1,INDEX(TblClusters[RAM initiale (Go)],$B1174),"")</f>
        <v/>
      </c>
      <c r="N1174" s="19" t="str">
        <f>IF($D1174=1,INDEX(TblClusters[CPU min (vCPU)],$B1174),"")</f>
        <v/>
      </c>
      <c r="O1174" s="19" t="str">
        <f>IF($D1174=1,INDEX(TblClusters[RAM min (Go)],$B1174),"")</f>
        <v/>
      </c>
      <c r="P1174" s="19" t="str">
        <f>IF($D1174&lt;&gt;1,"",IF($G1174="ROKS",SUMIFS(TblApplications[Besoin ROKS CPU (vCPU)],TblApplications[Cluster ROKS cible],$F1174,TblApplications[Action],"À migrer",TblApplications[Déjà incluse ROKS],"Non",TblApplications[Mois prov (calc)],"&lt;="&amp;$E1174),SUMIFS(TblApplications[CPU IKS libérable (vCPU)],TblApplications[Cluster IKS source],$F1174,TblApplications[Mois lib (calc)],"&lt;="&amp;$E1174)))</f>
        <v/>
      </c>
      <c r="Q1174" s="19" t="str">
        <f>IF($D1174&lt;&gt;1,"",IF($G1174="ROKS",SUMIFS(TblApplications[Besoin ROKS RAM (Go)],TblApplications[Cluster ROKS cible],$F1174,TblApplications[Action],"À migrer",TblApplications[Déjà incluse ROKS],"Non",TblApplications[Mois prov (calc)],"&lt;="&amp;$E1174),SUMIFS(TblApplications[RAM IKS libérable (Go)],TblApplications[Cluster IKS source],$F1174,TblApplications[Mois lib (calc)],"&lt;="&amp;$E1174)))</f>
        <v/>
      </c>
      <c r="R1174" s="19" t="str">
        <f t="shared" si="309"/>
        <v/>
      </c>
      <c r="S1174" s="19" t="str">
        <f t="shared" si="310"/>
        <v/>
      </c>
      <c r="T1174" s="19" t="str">
        <f t="shared" si="311"/>
        <v/>
      </c>
      <c r="U1174" s="19" t="str">
        <f t="shared" si="312"/>
        <v/>
      </c>
      <c r="V1174" s="19" t="str">
        <f t="shared" si="313"/>
        <v/>
      </c>
      <c r="W1174" s="73" t="str">
        <f t="shared" si="314"/>
        <v/>
      </c>
      <c r="X1174" s="19" t="str">
        <f>IF($D1174&lt;&gt;1,"",IF($G1174="ROKS",$R1174,IF($AI1174=1,0,MAX($N1174,$L1174-SUMIFS(TblApplications[CPU IKS libérable (vCPU)],TblApplications[Cluster IKS source],$F1174,TblApplications[Action],"À migrer",TblApplications[Mois prov (calc)],"&lt;="&amp;$E1174)-SUMIFS(TblApplications[CPU IKS libérable (vCPU)],TblApplications[Cluster IKS source],$F1174,TblApplications[Action],"À décommissionner",TblApplications[Mois lib (calc)],"&lt;="&amp;$E1174)))))</f>
        <v/>
      </c>
      <c r="Y1174" s="19" t="str">
        <f>IF($D1174&lt;&gt;1,"",IF($G1174="ROKS",$S1174,IF($AI1174=1,0,MAX($O1174,$M1174-SUMIFS(TblApplications[RAM IKS libérable (Go)],TblApplications[Cluster IKS source],$F1174,TblApplications[Action],"À migrer",TblApplications[Mois prov (calc)],"&lt;="&amp;$E1174)-SUMIFS(TblApplications[RAM IKS libérable (Go)],TblApplications[Cluster IKS source],$F1174,TblApplications[Action],"À décommissionner",TblApplications[Mois lib (calc)],"&lt;="&amp;$E1174)))))</f>
        <v/>
      </c>
      <c r="Z1174" s="19" t="str">
        <f t="shared" si="315"/>
        <v/>
      </c>
      <c r="AA1174" s="73" t="str">
        <f t="shared" si="316"/>
        <v/>
      </c>
      <c r="AB1174" s="19" t="str">
        <f t="shared" si="317"/>
        <v/>
      </c>
      <c r="AC1174" s="73" t="str">
        <f t="shared" si="318"/>
        <v/>
      </c>
      <c r="AD1174" s="19" t="str">
        <f t="shared" si="319"/>
        <v/>
      </c>
      <c r="AE1174" s="19" t="str">
        <f t="shared" si="320"/>
        <v/>
      </c>
      <c r="AF1174" s="19" t="str">
        <f>IF($D1174&lt;&gt;1,"",IF(INDEX(TblClusters[Environnement],$B1174)="","(vide)",INDEX(TblClusters[Environnement],$B1174)))</f>
        <v/>
      </c>
      <c r="AG1174" s="19" t="str">
        <f t="shared" si="321"/>
        <v/>
      </c>
      <c r="AH1174" s="19" t="str">
        <f t="shared" si="322"/>
        <v/>
      </c>
      <c r="AI1174" s="19" t="str">
        <f>IF($D1174&lt;&gt;1,"",IF(AND($G1174="IKS",ISNUMBER(INDEX(TblClusters[Fermeture retenue],$B1174))),IF($E1174&gt;=INDEX(TblClusters[Fermeture retenue],$B1174),1,0),0))</f>
        <v/>
      </c>
    </row>
    <row r="1175" spans="1:35" x14ac:dyDescent="0.2">
      <c r="A1175" s="19">
        <v>1170</v>
      </c>
      <c r="B1175" s="19">
        <f t="shared" si="306"/>
        <v>33</v>
      </c>
      <c r="C1175" s="19">
        <f t="shared" si="307"/>
        <v>18</v>
      </c>
      <c r="D1175" s="19">
        <f>IF($C1175&gt;p_horizon,0,IFERROR(IF(AND(INDEX(TblClusters[Cluster],$B1175)&lt;&gt;"",ISNUMBER(INDEX(TblClusters[CPU initial (vCPU)],$B1175)),ISNUMBER(INDEX(TblClusters[CPU min (vCPU)],$B1175)),OR(INDEX(TblClusters[Plateforme],$B1175)="IKS",INDEX(TblClusters[Plateforme],$B1175)="ROKS")),1,0),0))</f>
        <v>0</v>
      </c>
      <c r="E1175" s="72" t="str">
        <f t="shared" si="308"/>
        <v/>
      </c>
      <c r="F1175" s="19" t="str">
        <f>IF($D1175=1,INDEX(TblClusters[Cluster],$B1175),"")</f>
        <v/>
      </c>
      <c r="G1175" s="19" t="str">
        <f>IF($D1175=1,INDEX(TblClusters[Plateforme],$B1175),"")</f>
        <v/>
      </c>
      <c r="H1175" s="19" t="str">
        <f>IF($D1175=1,INDEX(TblClusters[vCPU par nœud],$B1175),"")</f>
        <v/>
      </c>
      <c r="I1175" s="19" t="str">
        <f>IF($D1175=1,INDEX(TblClusters[RAM par nœud (Go)],$B1175),"")</f>
        <v/>
      </c>
      <c r="J1175" s="19" t="str">
        <f>IF($D1175=1,INDEX(TblClusters[Workers min],$B1175),"")</f>
        <v/>
      </c>
      <c r="K1175" s="73" t="str">
        <f>IF($D1175=1,INDEX(TblClusters[Tarif par nœud],$B1175),"")</f>
        <v/>
      </c>
      <c r="L1175" s="19" t="str">
        <f>IF($D1175=1,INDEX(TblClusters[CPU initial (vCPU)],$B1175),"")</f>
        <v/>
      </c>
      <c r="M1175" s="19" t="str">
        <f>IF($D1175=1,INDEX(TblClusters[RAM initiale (Go)],$B1175),"")</f>
        <v/>
      </c>
      <c r="N1175" s="19" t="str">
        <f>IF($D1175=1,INDEX(TblClusters[CPU min (vCPU)],$B1175),"")</f>
        <v/>
      </c>
      <c r="O1175" s="19" t="str">
        <f>IF($D1175=1,INDEX(TblClusters[RAM min (Go)],$B1175),"")</f>
        <v/>
      </c>
      <c r="P1175" s="19" t="str">
        <f>IF($D1175&lt;&gt;1,"",IF($G1175="ROKS",SUMIFS(TblApplications[Besoin ROKS CPU (vCPU)],TblApplications[Cluster ROKS cible],$F1175,TblApplications[Action],"À migrer",TblApplications[Déjà incluse ROKS],"Non",TblApplications[Mois prov (calc)],"&lt;="&amp;$E1175),SUMIFS(TblApplications[CPU IKS libérable (vCPU)],TblApplications[Cluster IKS source],$F1175,TblApplications[Mois lib (calc)],"&lt;="&amp;$E1175)))</f>
        <v/>
      </c>
      <c r="Q1175" s="19" t="str">
        <f>IF($D1175&lt;&gt;1,"",IF($G1175="ROKS",SUMIFS(TblApplications[Besoin ROKS RAM (Go)],TblApplications[Cluster ROKS cible],$F1175,TblApplications[Action],"À migrer",TblApplications[Déjà incluse ROKS],"Non",TblApplications[Mois prov (calc)],"&lt;="&amp;$E1175),SUMIFS(TblApplications[RAM IKS libérable (Go)],TblApplications[Cluster IKS source],$F1175,TblApplications[Mois lib (calc)],"&lt;="&amp;$E1175)))</f>
        <v/>
      </c>
      <c r="R1175" s="19" t="str">
        <f t="shared" si="309"/>
        <v/>
      </c>
      <c r="S1175" s="19" t="str">
        <f t="shared" si="310"/>
        <v/>
      </c>
      <c r="T1175" s="19" t="str">
        <f t="shared" si="311"/>
        <v/>
      </c>
      <c r="U1175" s="19" t="str">
        <f t="shared" si="312"/>
        <v/>
      </c>
      <c r="V1175" s="19" t="str">
        <f t="shared" si="313"/>
        <v/>
      </c>
      <c r="W1175" s="73" t="str">
        <f t="shared" si="314"/>
        <v/>
      </c>
      <c r="X1175" s="19" t="str">
        <f>IF($D1175&lt;&gt;1,"",IF($G1175="ROKS",$R1175,IF($AI1175=1,0,MAX($N1175,$L1175-SUMIFS(TblApplications[CPU IKS libérable (vCPU)],TblApplications[Cluster IKS source],$F1175,TblApplications[Action],"À migrer",TblApplications[Mois prov (calc)],"&lt;="&amp;$E1175)-SUMIFS(TblApplications[CPU IKS libérable (vCPU)],TblApplications[Cluster IKS source],$F1175,TblApplications[Action],"À décommissionner",TblApplications[Mois lib (calc)],"&lt;="&amp;$E1175)))))</f>
        <v/>
      </c>
      <c r="Y1175" s="19" t="str">
        <f>IF($D1175&lt;&gt;1,"",IF($G1175="ROKS",$S1175,IF($AI1175=1,0,MAX($O1175,$M1175-SUMIFS(TblApplications[RAM IKS libérable (Go)],TblApplications[Cluster IKS source],$F1175,TblApplications[Action],"À migrer",TblApplications[Mois prov (calc)],"&lt;="&amp;$E1175)-SUMIFS(TblApplications[RAM IKS libérable (Go)],TblApplications[Cluster IKS source],$F1175,TblApplications[Action],"À décommissionner",TblApplications[Mois lib (calc)],"&lt;="&amp;$E1175)))))</f>
        <v/>
      </c>
      <c r="Z1175" s="19" t="str">
        <f t="shared" si="315"/>
        <v/>
      </c>
      <c r="AA1175" s="73" t="str">
        <f t="shared" si="316"/>
        <v/>
      </c>
      <c r="AB1175" s="19" t="str">
        <f t="shared" si="317"/>
        <v/>
      </c>
      <c r="AC1175" s="73" t="str">
        <f t="shared" si="318"/>
        <v/>
      </c>
      <c r="AD1175" s="19" t="str">
        <f t="shared" si="319"/>
        <v/>
      </c>
      <c r="AE1175" s="19" t="str">
        <f t="shared" si="320"/>
        <v/>
      </c>
      <c r="AF1175" s="19" t="str">
        <f>IF($D1175&lt;&gt;1,"",IF(INDEX(TblClusters[Environnement],$B1175)="","(vide)",INDEX(TblClusters[Environnement],$B1175)))</f>
        <v/>
      </c>
      <c r="AG1175" s="19" t="str">
        <f t="shared" si="321"/>
        <v/>
      </c>
      <c r="AH1175" s="19" t="str">
        <f t="shared" si="322"/>
        <v/>
      </c>
      <c r="AI1175" s="19" t="str">
        <f>IF($D1175&lt;&gt;1,"",IF(AND($G1175="IKS",ISNUMBER(INDEX(TblClusters[Fermeture retenue],$B1175))),IF($E1175&gt;=INDEX(TblClusters[Fermeture retenue],$B1175),1,0),0))</f>
        <v/>
      </c>
    </row>
    <row r="1176" spans="1:35" x14ac:dyDescent="0.2">
      <c r="A1176" s="19">
        <v>1171</v>
      </c>
      <c r="B1176" s="19">
        <f t="shared" si="306"/>
        <v>33</v>
      </c>
      <c r="C1176" s="19">
        <f t="shared" si="307"/>
        <v>19</v>
      </c>
      <c r="D1176" s="19">
        <f>IF($C1176&gt;p_horizon,0,IFERROR(IF(AND(INDEX(TblClusters[Cluster],$B1176)&lt;&gt;"",ISNUMBER(INDEX(TblClusters[CPU initial (vCPU)],$B1176)),ISNUMBER(INDEX(TblClusters[CPU min (vCPU)],$B1176)),OR(INDEX(TblClusters[Plateforme],$B1176)="IKS",INDEX(TblClusters[Plateforme],$B1176)="ROKS")),1,0),0))</f>
        <v>0</v>
      </c>
      <c r="E1176" s="72" t="str">
        <f t="shared" si="308"/>
        <v/>
      </c>
      <c r="F1176" s="19" t="str">
        <f>IF($D1176=1,INDEX(TblClusters[Cluster],$B1176),"")</f>
        <v/>
      </c>
      <c r="G1176" s="19" t="str">
        <f>IF($D1176=1,INDEX(TblClusters[Plateforme],$B1176),"")</f>
        <v/>
      </c>
      <c r="H1176" s="19" t="str">
        <f>IF($D1176=1,INDEX(TblClusters[vCPU par nœud],$B1176),"")</f>
        <v/>
      </c>
      <c r="I1176" s="19" t="str">
        <f>IF($D1176=1,INDEX(TblClusters[RAM par nœud (Go)],$B1176),"")</f>
        <v/>
      </c>
      <c r="J1176" s="19" t="str">
        <f>IF($D1176=1,INDEX(TblClusters[Workers min],$B1176),"")</f>
        <v/>
      </c>
      <c r="K1176" s="73" t="str">
        <f>IF($D1176=1,INDEX(TblClusters[Tarif par nœud],$B1176),"")</f>
        <v/>
      </c>
      <c r="L1176" s="19" t="str">
        <f>IF($D1176=1,INDEX(TblClusters[CPU initial (vCPU)],$B1176),"")</f>
        <v/>
      </c>
      <c r="M1176" s="19" t="str">
        <f>IF($D1176=1,INDEX(TblClusters[RAM initiale (Go)],$B1176),"")</f>
        <v/>
      </c>
      <c r="N1176" s="19" t="str">
        <f>IF($D1176=1,INDEX(TblClusters[CPU min (vCPU)],$B1176),"")</f>
        <v/>
      </c>
      <c r="O1176" s="19" t="str">
        <f>IF($D1176=1,INDEX(TblClusters[RAM min (Go)],$B1176),"")</f>
        <v/>
      </c>
      <c r="P1176" s="19" t="str">
        <f>IF($D1176&lt;&gt;1,"",IF($G1176="ROKS",SUMIFS(TblApplications[Besoin ROKS CPU (vCPU)],TblApplications[Cluster ROKS cible],$F1176,TblApplications[Action],"À migrer",TblApplications[Déjà incluse ROKS],"Non",TblApplications[Mois prov (calc)],"&lt;="&amp;$E1176),SUMIFS(TblApplications[CPU IKS libérable (vCPU)],TblApplications[Cluster IKS source],$F1176,TblApplications[Mois lib (calc)],"&lt;="&amp;$E1176)))</f>
        <v/>
      </c>
      <c r="Q1176" s="19" t="str">
        <f>IF($D1176&lt;&gt;1,"",IF($G1176="ROKS",SUMIFS(TblApplications[Besoin ROKS RAM (Go)],TblApplications[Cluster ROKS cible],$F1176,TblApplications[Action],"À migrer",TblApplications[Déjà incluse ROKS],"Non",TblApplications[Mois prov (calc)],"&lt;="&amp;$E1176),SUMIFS(TblApplications[RAM IKS libérable (Go)],TblApplications[Cluster IKS source],$F1176,TblApplications[Mois lib (calc)],"&lt;="&amp;$E1176)))</f>
        <v/>
      </c>
      <c r="R1176" s="19" t="str">
        <f t="shared" si="309"/>
        <v/>
      </c>
      <c r="S1176" s="19" t="str">
        <f t="shared" si="310"/>
        <v/>
      </c>
      <c r="T1176" s="19" t="str">
        <f t="shared" si="311"/>
        <v/>
      </c>
      <c r="U1176" s="19" t="str">
        <f t="shared" si="312"/>
        <v/>
      </c>
      <c r="V1176" s="19" t="str">
        <f t="shared" si="313"/>
        <v/>
      </c>
      <c r="W1176" s="73" t="str">
        <f t="shared" si="314"/>
        <v/>
      </c>
      <c r="X1176" s="19" t="str">
        <f>IF($D1176&lt;&gt;1,"",IF($G1176="ROKS",$R1176,IF($AI1176=1,0,MAX($N1176,$L1176-SUMIFS(TblApplications[CPU IKS libérable (vCPU)],TblApplications[Cluster IKS source],$F1176,TblApplications[Action],"À migrer",TblApplications[Mois prov (calc)],"&lt;="&amp;$E1176)-SUMIFS(TblApplications[CPU IKS libérable (vCPU)],TblApplications[Cluster IKS source],$F1176,TblApplications[Action],"À décommissionner",TblApplications[Mois lib (calc)],"&lt;="&amp;$E1176)))))</f>
        <v/>
      </c>
      <c r="Y1176" s="19" t="str">
        <f>IF($D1176&lt;&gt;1,"",IF($G1176="ROKS",$S1176,IF($AI1176=1,0,MAX($O1176,$M1176-SUMIFS(TblApplications[RAM IKS libérable (Go)],TblApplications[Cluster IKS source],$F1176,TblApplications[Action],"À migrer",TblApplications[Mois prov (calc)],"&lt;="&amp;$E1176)-SUMIFS(TblApplications[RAM IKS libérable (Go)],TblApplications[Cluster IKS source],$F1176,TblApplications[Action],"À décommissionner",TblApplications[Mois lib (calc)],"&lt;="&amp;$E1176)))))</f>
        <v/>
      </c>
      <c r="Z1176" s="19" t="str">
        <f t="shared" si="315"/>
        <v/>
      </c>
      <c r="AA1176" s="73" t="str">
        <f t="shared" si="316"/>
        <v/>
      </c>
      <c r="AB1176" s="19" t="str">
        <f t="shared" si="317"/>
        <v/>
      </c>
      <c r="AC1176" s="73" t="str">
        <f t="shared" si="318"/>
        <v/>
      </c>
      <c r="AD1176" s="19" t="str">
        <f t="shared" si="319"/>
        <v/>
      </c>
      <c r="AE1176" s="19" t="str">
        <f t="shared" si="320"/>
        <v/>
      </c>
      <c r="AF1176" s="19" t="str">
        <f>IF($D1176&lt;&gt;1,"",IF(INDEX(TblClusters[Environnement],$B1176)="","(vide)",INDEX(TblClusters[Environnement],$B1176)))</f>
        <v/>
      </c>
      <c r="AG1176" s="19" t="str">
        <f t="shared" si="321"/>
        <v/>
      </c>
      <c r="AH1176" s="19" t="str">
        <f t="shared" si="322"/>
        <v/>
      </c>
      <c r="AI1176" s="19" t="str">
        <f>IF($D1176&lt;&gt;1,"",IF(AND($G1176="IKS",ISNUMBER(INDEX(TblClusters[Fermeture retenue],$B1176))),IF($E1176&gt;=INDEX(TblClusters[Fermeture retenue],$B1176),1,0),0))</f>
        <v/>
      </c>
    </row>
    <row r="1177" spans="1:35" x14ac:dyDescent="0.2">
      <c r="A1177" s="19">
        <v>1172</v>
      </c>
      <c r="B1177" s="19">
        <f t="shared" si="306"/>
        <v>33</v>
      </c>
      <c r="C1177" s="19">
        <f t="shared" si="307"/>
        <v>20</v>
      </c>
      <c r="D1177" s="19">
        <f>IF($C1177&gt;p_horizon,0,IFERROR(IF(AND(INDEX(TblClusters[Cluster],$B1177)&lt;&gt;"",ISNUMBER(INDEX(TblClusters[CPU initial (vCPU)],$B1177)),ISNUMBER(INDEX(TblClusters[CPU min (vCPU)],$B1177)),OR(INDEX(TblClusters[Plateforme],$B1177)="IKS",INDEX(TblClusters[Plateforme],$B1177)="ROKS")),1,0),0))</f>
        <v>0</v>
      </c>
      <c r="E1177" s="72" t="str">
        <f t="shared" si="308"/>
        <v/>
      </c>
      <c r="F1177" s="19" t="str">
        <f>IF($D1177=1,INDEX(TblClusters[Cluster],$B1177),"")</f>
        <v/>
      </c>
      <c r="G1177" s="19" t="str">
        <f>IF($D1177=1,INDEX(TblClusters[Plateforme],$B1177),"")</f>
        <v/>
      </c>
      <c r="H1177" s="19" t="str">
        <f>IF($D1177=1,INDEX(TblClusters[vCPU par nœud],$B1177),"")</f>
        <v/>
      </c>
      <c r="I1177" s="19" t="str">
        <f>IF($D1177=1,INDEX(TblClusters[RAM par nœud (Go)],$B1177),"")</f>
        <v/>
      </c>
      <c r="J1177" s="19" t="str">
        <f>IF($D1177=1,INDEX(TblClusters[Workers min],$B1177),"")</f>
        <v/>
      </c>
      <c r="K1177" s="73" t="str">
        <f>IF($D1177=1,INDEX(TblClusters[Tarif par nœud],$B1177),"")</f>
        <v/>
      </c>
      <c r="L1177" s="19" t="str">
        <f>IF($D1177=1,INDEX(TblClusters[CPU initial (vCPU)],$B1177),"")</f>
        <v/>
      </c>
      <c r="M1177" s="19" t="str">
        <f>IF($D1177=1,INDEX(TblClusters[RAM initiale (Go)],$B1177),"")</f>
        <v/>
      </c>
      <c r="N1177" s="19" t="str">
        <f>IF($D1177=1,INDEX(TblClusters[CPU min (vCPU)],$B1177),"")</f>
        <v/>
      </c>
      <c r="O1177" s="19" t="str">
        <f>IF($D1177=1,INDEX(TblClusters[RAM min (Go)],$B1177),"")</f>
        <v/>
      </c>
      <c r="P1177" s="19" t="str">
        <f>IF($D1177&lt;&gt;1,"",IF($G1177="ROKS",SUMIFS(TblApplications[Besoin ROKS CPU (vCPU)],TblApplications[Cluster ROKS cible],$F1177,TblApplications[Action],"À migrer",TblApplications[Déjà incluse ROKS],"Non",TblApplications[Mois prov (calc)],"&lt;="&amp;$E1177),SUMIFS(TblApplications[CPU IKS libérable (vCPU)],TblApplications[Cluster IKS source],$F1177,TblApplications[Mois lib (calc)],"&lt;="&amp;$E1177)))</f>
        <v/>
      </c>
      <c r="Q1177" s="19" t="str">
        <f>IF($D1177&lt;&gt;1,"",IF($G1177="ROKS",SUMIFS(TblApplications[Besoin ROKS RAM (Go)],TblApplications[Cluster ROKS cible],$F1177,TblApplications[Action],"À migrer",TblApplications[Déjà incluse ROKS],"Non",TblApplications[Mois prov (calc)],"&lt;="&amp;$E1177),SUMIFS(TblApplications[RAM IKS libérable (Go)],TblApplications[Cluster IKS source],$F1177,TblApplications[Mois lib (calc)],"&lt;="&amp;$E1177)))</f>
        <v/>
      </c>
      <c r="R1177" s="19" t="str">
        <f t="shared" si="309"/>
        <v/>
      </c>
      <c r="S1177" s="19" t="str">
        <f t="shared" si="310"/>
        <v/>
      </c>
      <c r="T1177" s="19" t="str">
        <f t="shared" si="311"/>
        <v/>
      </c>
      <c r="U1177" s="19" t="str">
        <f t="shared" si="312"/>
        <v/>
      </c>
      <c r="V1177" s="19" t="str">
        <f t="shared" si="313"/>
        <v/>
      </c>
      <c r="W1177" s="73" t="str">
        <f t="shared" si="314"/>
        <v/>
      </c>
      <c r="X1177" s="19" t="str">
        <f>IF($D1177&lt;&gt;1,"",IF($G1177="ROKS",$R1177,IF($AI1177=1,0,MAX($N1177,$L1177-SUMIFS(TblApplications[CPU IKS libérable (vCPU)],TblApplications[Cluster IKS source],$F1177,TblApplications[Action],"À migrer",TblApplications[Mois prov (calc)],"&lt;="&amp;$E1177)-SUMIFS(TblApplications[CPU IKS libérable (vCPU)],TblApplications[Cluster IKS source],$F1177,TblApplications[Action],"À décommissionner",TblApplications[Mois lib (calc)],"&lt;="&amp;$E1177)))))</f>
        <v/>
      </c>
      <c r="Y1177" s="19" t="str">
        <f>IF($D1177&lt;&gt;1,"",IF($G1177="ROKS",$S1177,IF($AI1177=1,0,MAX($O1177,$M1177-SUMIFS(TblApplications[RAM IKS libérable (Go)],TblApplications[Cluster IKS source],$F1177,TblApplications[Action],"À migrer",TblApplications[Mois prov (calc)],"&lt;="&amp;$E1177)-SUMIFS(TblApplications[RAM IKS libérable (Go)],TblApplications[Cluster IKS source],$F1177,TblApplications[Action],"À décommissionner",TblApplications[Mois lib (calc)],"&lt;="&amp;$E1177)))))</f>
        <v/>
      </c>
      <c r="Z1177" s="19" t="str">
        <f t="shared" si="315"/>
        <v/>
      </c>
      <c r="AA1177" s="73" t="str">
        <f t="shared" si="316"/>
        <v/>
      </c>
      <c r="AB1177" s="19" t="str">
        <f t="shared" si="317"/>
        <v/>
      </c>
      <c r="AC1177" s="73" t="str">
        <f t="shared" si="318"/>
        <v/>
      </c>
      <c r="AD1177" s="19" t="str">
        <f t="shared" si="319"/>
        <v/>
      </c>
      <c r="AE1177" s="19" t="str">
        <f t="shared" si="320"/>
        <v/>
      </c>
      <c r="AF1177" s="19" t="str">
        <f>IF($D1177&lt;&gt;1,"",IF(INDEX(TblClusters[Environnement],$B1177)="","(vide)",INDEX(TblClusters[Environnement],$B1177)))</f>
        <v/>
      </c>
      <c r="AG1177" s="19" t="str">
        <f t="shared" si="321"/>
        <v/>
      </c>
      <c r="AH1177" s="19" t="str">
        <f t="shared" si="322"/>
        <v/>
      </c>
      <c r="AI1177" s="19" t="str">
        <f>IF($D1177&lt;&gt;1,"",IF(AND($G1177="IKS",ISNUMBER(INDEX(TblClusters[Fermeture retenue],$B1177))),IF($E1177&gt;=INDEX(TblClusters[Fermeture retenue],$B1177),1,0),0))</f>
        <v/>
      </c>
    </row>
    <row r="1178" spans="1:35" x14ac:dyDescent="0.2">
      <c r="A1178" s="19">
        <v>1173</v>
      </c>
      <c r="B1178" s="19">
        <f t="shared" si="306"/>
        <v>33</v>
      </c>
      <c r="C1178" s="19">
        <f t="shared" si="307"/>
        <v>21</v>
      </c>
      <c r="D1178" s="19">
        <f>IF($C1178&gt;p_horizon,0,IFERROR(IF(AND(INDEX(TblClusters[Cluster],$B1178)&lt;&gt;"",ISNUMBER(INDEX(TblClusters[CPU initial (vCPU)],$B1178)),ISNUMBER(INDEX(TblClusters[CPU min (vCPU)],$B1178)),OR(INDEX(TblClusters[Plateforme],$B1178)="IKS",INDEX(TblClusters[Plateforme],$B1178)="ROKS")),1,0),0))</f>
        <v>0</v>
      </c>
      <c r="E1178" s="72" t="str">
        <f t="shared" si="308"/>
        <v/>
      </c>
      <c r="F1178" s="19" t="str">
        <f>IF($D1178=1,INDEX(TblClusters[Cluster],$B1178),"")</f>
        <v/>
      </c>
      <c r="G1178" s="19" t="str">
        <f>IF($D1178=1,INDEX(TblClusters[Plateforme],$B1178),"")</f>
        <v/>
      </c>
      <c r="H1178" s="19" t="str">
        <f>IF($D1178=1,INDEX(TblClusters[vCPU par nœud],$B1178),"")</f>
        <v/>
      </c>
      <c r="I1178" s="19" t="str">
        <f>IF($D1178=1,INDEX(TblClusters[RAM par nœud (Go)],$B1178),"")</f>
        <v/>
      </c>
      <c r="J1178" s="19" t="str">
        <f>IF($D1178=1,INDEX(TblClusters[Workers min],$B1178),"")</f>
        <v/>
      </c>
      <c r="K1178" s="73" t="str">
        <f>IF($D1178=1,INDEX(TblClusters[Tarif par nœud],$B1178),"")</f>
        <v/>
      </c>
      <c r="L1178" s="19" t="str">
        <f>IF($D1178=1,INDEX(TblClusters[CPU initial (vCPU)],$B1178),"")</f>
        <v/>
      </c>
      <c r="M1178" s="19" t="str">
        <f>IF($D1178=1,INDEX(TblClusters[RAM initiale (Go)],$B1178),"")</f>
        <v/>
      </c>
      <c r="N1178" s="19" t="str">
        <f>IF($D1178=1,INDEX(TblClusters[CPU min (vCPU)],$B1178),"")</f>
        <v/>
      </c>
      <c r="O1178" s="19" t="str">
        <f>IF($D1178=1,INDEX(TblClusters[RAM min (Go)],$B1178),"")</f>
        <v/>
      </c>
      <c r="P1178" s="19" t="str">
        <f>IF($D1178&lt;&gt;1,"",IF($G1178="ROKS",SUMIFS(TblApplications[Besoin ROKS CPU (vCPU)],TblApplications[Cluster ROKS cible],$F1178,TblApplications[Action],"À migrer",TblApplications[Déjà incluse ROKS],"Non",TblApplications[Mois prov (calc)],"&lt;="&amp;$E1178),SUMIFS(TblApplications[CPU IKS libérable (vCPU)],TblApplications[Cluster IKS source],$F1178,TblApplications[Mois lib (calc)],"&lt;="&amp;$E1178)))</f>
        <v/>
      </c>
      <c r="Q1178" s="19" t="str">
        <f>IF($D1178&lt;&gt;1,"",IF($G1178="ROKS",SUMIFS(TblApplications[Besoin ROKS RAM (Go)],TblApplications[Cluster ROKS cible],$F1178,TblApplications[Action],"À migrer",TblApplications[Déjà incluse ROKS],"Non",TblApplications[Mois prov (calc)],"&lt;="&amp;$E1178),SUMIFS(TblApplications[RAM IKS libérable (Go)],TblApplications[Cluster IKS source],$F1178,TblApplications[Mois lib (calc)],"&lt;="&amp;$E1178)))</f>
        <v/>
      </c>
      <c r="R1178" s="19" t="str">
        <f t="shared" si="309"/>
        <v/>
      </c>
      <c r="S1178" s="19" t="str">
        <f t="shared" si="310"/>
        <v/>
      </c>
      <c r="T1178" s="19" t="str">
        <f t="shared" si="311"/>
        <v/>
      </c>
      <c r="U1178" s="19" t="str">
        <f t="shared" si="312"/>
        <v/>
      </c>
      <c r="V1178" s="19" t="str">
        <f t="shared" si="313"/>
        <v/>
      </c>
      <c r="W1178" s="73" t="str">
        <f t="shared" si="314"/>
        <v/>
      </c>
      <c r="X1178" s="19" t="str">
        <f>IF($D1178&lt;&gt;1,"",IF($G1178="ROKS",$R1178,IF($AI1178=1,0,MAX($N1178,$L1178-SUMIFS(TblApplications[CPU IKS libérable (vCPU)],TblApplications[Cluster IKS source],$F1178,TblApplications[Action],"À migrer",TblApplications[Mois prov (calc)],"&lt;="&amp;$E1178)-SUMIFS(TblApplications[CPU IKS libérable (vCPU)],TblApplications[Cluster IKS source],$F1178,TblApplications[Action],"À décommissionner",TblApplications[Mois lib (calc)],"&lt;="&amp;$E1178)))))</f>
        <v/>
      </c>
      <c r="Y1178" s="19" t="str">
        <f>IF($D1178&lt;&gt;1,"",IF($G1178="ROKS",$S1178,IF($AI1178=1,0,MAX($O1178,$M1178-SUMIFS(TblApplications[RAM IKS libérable (Go)],TblApplications[Cluster IKS source],$F1178,TblApplications[Action],"À migrer",TblApplications[Mois prov (calc)],"&lt;="&amp;$E1178)-SUMIFS(TblApplications[RAM IKS libérable (Go)],TblApplications[Cluster IKS source],$F1178,TblApplications[Action],"À décommissionner",TblApplications[Mois lib (calc)],"&lt;="&amp;$E1178)))))</f>
        <v/>
      </c>
      <c r="Z1178" s="19" t="str">
        <f t="shared" si="315"/>
        <v/>
      </c>
      <c r="AA1178" s="73" t="str">
        <f t="shared" si="316"/>
        <v/>
      </c>
      <c r="AB1178" s="19" t="str">
        <f t="shared" si="317"/>
        <v/>
      </c>
      <c r="AC1178" s="73" t="str">
        <f t="shared" si="318"/>
        <v/>
      </c>
      <c r="AD1178" s="19" t="str">
        <f t="shared" si="319"/>
        <v/>
      </c>
      <c r="AE1178" s="19" t="str">
        <f t="shared" si="320"/>
        <v/>
      </c>
      <c r="AF1178" s="19" t="str">
        <f>IF($D1178&lt;&gt;1,"",IF(INDEX(TblClusters[Environnement],$B1178)="","(vide)",INDEX(TblClusters[Environnement],$B1178)))</f>
        <v/>
      </c>
      <c r="AG1178" s="19" t="str">
        <f t="shared" si="321"/>
        <v/>
      </c>
      <c r="AH1178" s="19" t="str">
        <f t="shared" si="322"/>
        <v/>
      </c>
      <c r="AI1178" s="19" t="str">
        <f>IF($D1178&lt;&gt;1,"",IF(AND($G1178="IKS",ISNUMBER(INDEX(TblClusters[Fermeture retenue],$B1178))),IF($E1178&gt;=INDEX(TblClusters[Fermeture retenue],$B1178),1,0),0))</f>
        <v/>
      </c>
    </row>
    <row r="1179" spans="1:35" x14ac:dyDescent="0.2">
      <c r="A1179" s="19">
        <v>1174</v>
      </c>
      <c r="B1179" s="19">
        <f t="shared" si="306"/>
        <v>33</v>
      </c>
      <c r="C1179" s="19">
        <f t="shared" si="307"/>
        <v>22</v>
      </c>
      <c r="D1179" s="19">
        <f>IF($C1179&gt;p_horizon,0,IFERROR(IF(AND(INDEX(TblClusters[Cluster],$B1179)&lt;&gt;"",ISNUMBER(INDEX(TblClusters[CPU initial (vCPU)],$B1179)),ISNUMBER(INDEX(TblClusters[CPU min (vCPU)],$B1179)),OR(INDEX(TblClusters[Plateforme],$B1179)="IKS",INDEX(TblClusters[Plateforme],$B1179)="ROKS")),1,0),0))</f>
        <v>0</v>
      </c>
      <c r="E1179" s="72" t="str">
        <f t="shared" si="308"/>
        <v/>
      </c>
      <c r="F1179" s="19" t="str">
        <f>IF($D1179=1,INDEX(TblClusters[Cluster],$B1179),"")</f>
        <v/>
      </c>
      <c r="G1179" s="19" t="str">
        <f>IF($D1179=1,INDEX(TblClusters[Plateforme],$B1179),"")</f>
        <v/>
      </c>
      <c r="H1179" s="19" t="str">
        <f>IF($D1179=1,INDEX(TblClusters[vCPU par nœud],$B1179),"")</f>
        <v/>
      </c>
      <c r="I1179" s="19" t="str">
        <f>IF($D1179=1,INDEX(TblClusters[RAM par nœud (Go)],$B1179),"")</f>
        <v/>
      </c>
      <c r="J1179" s="19" t="str">
        <f>IF($D1179=1,INDEX(TblClusters[Workers min],$B1179),"")</f>
        <v/>
      </c>
      <c r="K1179" s="73" t="str">
        <f>IF($D1179=1,INDEX(TblClusters[Tarif par nœud],$B1179),"")</f>
        <v/>
      </c>
      <c r="L1179" s="19" t="str">
        <f>IF($D1179=1,INDEX(TblClusters[CPU initial (vCPU)],$B1179),"")</f>
        <v/>
      </c>
      <c r="M1179" s="19" t="str">
        <f>IF($D1179=1,INDEX(TblClusters[RAM initiale (Go)],$B1179),"")</f>
        <v/>
      </c>
      <c r="N1179" s="19" t="str">
        <f>IF($D1179=1,INDEX(TblClusters[CPU min (vCPU)],$B1179),"")</f>
        <v/>
      </c>
      <c r="O1179" s="19" t="str">
        <f>IF($D1179=1,INDEX(TblClusters[RAM min (Go)],$B1179),"")</f>
        <v/>
      </c>
      <c r="P1179" s="19" t="str">
        <f>IF($D1179&lt;&gt;1,"",IF($G1179="ROKS",SUMIFS(TblApplications[Besoin ROKS CPU (vCPU)],TblApplications[Cluster ROKS cible],$F1179,TblApplications[Action],"À migrer",TblApplications[Déjà incluse ROKS],"Non",TblApplications[Mois prov (calc)],"&lt;="&amp;$E1179),SUMIFS(TblApplications[CPU IKS libérable (vCPU)],TblApplications[Cluster IKS source],$F1179,TblApplications[Mois lib (calc)],"&lt;="&amp;$E1179)))</f>
        <v/>
      </c>
      <c r="Q1179" s="19" t="str">
        <f>IF($D1179&lt;&gt;1,"",IF($G1179="ROKS",SUMIFS(TblApplications[Besoin ROKS RAM (Go)],TblApplications[Cluster ROKS cible],$F1179,TblApplications[Action],"À migrer",TblApplications[Déjà incluse ROKS],"Non",TblApplications[Mois prov (calc)],"&lt;="&amp;$E1179),SUMIFS(TblApplications[RAM IKS libérable (Go)],TblApplications[Cluster IKS source],$F1179,TblApplications[Mois lib (calc)],"&lt;="&amp;$E1179)))</f>
        <v/>
      </c>
      <c r="R1179" s="19" t="str">
        <f t="shared" si="309"/>
        <v/>
      </c>
      <c r="S1179" s="19" t="str">
        <f t="shared" si="310"/>
        <v/>
      </c>
      <c r="T1179" s="19" t="str">
        <f t="shared" si="311"/>
        <v/>
      </c>
      <c r="U1179" s="19" t="str">
        <f t="shared" si="312"/>
        <v/>
      </c>
      <c r="V1179" s="19" t="str">
        <f t="shared" si="313"/>
        <v/>
      </c>
      <c r="W1179" s="73" t="str">
        <f t="shared" si="314"/>
        <v/>
      </c>
      <c r="X1179" s="19" t="str">
        <f>IF($D1179&lt;&gt;1,"",IF($G1179="ROKS",$R1179,IF($AI1179=1,0,MAX($N1179,$L1179-SUMIFS(TblApplications[CPU IKS libérable (vCPU)],TblApplications[Cluster IKS source],$F1179,TblApplications[Action],"À migrer",TblApplications[Mois prov (calc)],"&lt;="&amp;$E1179)-SUMIFS(TblApplications[CPU IKS libérable (vCPU)],TblApplications[Cluster IKS source],$F1179,TblApplications[Action],"À décommissionner",TblApplications[Mois lib (calc)],"&lt;="&amp;$E1179)))))</f>
        <v/>
      </c>
      <c r="Y1179" s="19" t="str">
        <f>IF($D1179&lt;&gt;1,"",IF($G1179="ROKS",$S1179,IF($AI1179=1,0,MAX($O1179,$M1179-SUMIFS(TblApplications[RAM IKS libérable (Go)],TblApplications[Cluster IKS source],$F1179,TblApplications[Action],"À migrer",TblApplications[Mois prov (calc)],"&lt;="&amp;$E1179)-SUMIFS(TblApplications[RAM IKS libérable (Go)],TblApplications[Cluster IKS source],$F1179,TblApplications[Action],"À décommissionner",TblApplications[Mois lib (calc)],"&lt;="&amp;$E1179)))))</f>
        <v/>
      </c>
      <c r="Z1179" s="19" t="str">
        <f t="shared" si="315"/>
        <v/>
      </c>
      <c r="AA1179" s="73" t="str">
        <f t="shared" si="316"/>
        <v/>
      </c>
      <c r="AB1179" s="19" t="str">
        <f t="shared" si="317"/>
        <v/>
      </c>
      <c r="AC1179" s="73" t="str">
        <f t="shared" si="318"/>
        <v/>
      </c>
      <c r="AD1179" s="19" t="str">
        <f t="shared" si="319"/>
        <v/>
      </c>
      <c r="AE1179" s="19" t="str">
        <f t="shared" si="320"/>
        <v/>
      </c>
      <c r="AF1179" s="19" t="str">
        <f>IF($D1179&lt;&gt;1,"",IF(INDEX(TblClusters[Environnement],$B1179)="","(vide)",INDEX(TblClusters[Environnement],$B1179)))</f>
        <v/>
      </c>
      <c r="AG1179" s="19" t="str">
        <f t="shared" si="321"/>
        <v/>
      </c>
      <c r="AH1179" s="19" t="str">
        <f t="shared" si="322"/>
        <v/>
      </c>
      <c r="AI1179" s="19" t="str">
        <f>IF($D1179&lt;&gt;1,"",IF(AND($G1179="IKS",ISNUMBER(INDEX(TblClusters[Fermeture retenue],$B1179))),IF($E1179&gt;=INDEX(TblClusters[Fermeture retenue],$B1179),1,0),0))</f>
        <v/>
      </c>
    </row>
    <row r="1180" spans="1:35" x14ac:dyDescent="0.2">
      <c r="A1180" s="19">
        <v>1175</v>
      </c>
      <c r="B1180" s="19">
        <f t="shared" si="306"/>
        <v>33</v>
      </c>
      <c r="C1180" s="19">
        <f t="shared" si="307"/>
        <v>23</v>
      </c>
      <c r="D1180" s="19">
        <f>IF($C1180&gt;p_horizon,0,IFERROR(IF(AND(INDEX(TblClusters[Cluster],$B1180)&lt;&gt;"",ISNUMBER(INDEX(TblClusters[CPU initial (vCPU)],$B1180)),ISNUMBER(INDEX(TblClusters[CPU min (vCPU)],$B1180)),OR(INDEX(TblClusters[Plateforme],$B1180)="IKS",INDEX(TblClusters[Plateforme],$B1180)="ROKS")),1,0),0))</f>
        <v>0</v>
      </c>
      <c r="E1180" s="72" t="str">
        <f t="shared" si="308"/>
        <v/>
      </c>
      <c r="F1180" s="19" t="str">
        <f>IF($D1180=1,INDEX(TblClusters[Cluster],$B1180),"")</f>
        <v/>
      </c>
      <c r="G1180" s="19" t="str">
        <f>IF($D1180=1,INDEX(TblClusters[Plateforme],$B1180),"")</f>
        <v/>
      </c>
      <c r="H1180" s="19" t="str">
        <f>IF($D1180=1,INDEX(TblClusters[vCPU par nœud],$B1180),"")</f>
        <v/>
      </c>
      <c r="I1180" s="19" t="str">
        <f>IF($D1180=1,INDEX(TblClusters[RAM par nœud (Go)],$B1180),"")</f>
        <v/>
      </c>
      <c r="J1180" s="19" t="str">
        <f>IF($D1180=1,INDEX(TblClusters[Workers min],$B1180),"")</f>
        <v/>
      </c>
      <c r="K1180" s="73" t="str">
        <f>IF($D1180=1,INDEX(TblClusters[Tarif par nœud],$B1180),"")</f>
        <v/>
      </c>
      <c r="L1180" s="19" t="str">
        <f>IF($D1180=1,INDEX(TblClusters[CPU initial (vCPU)],$B1180),"")</f>
        <v/>
      </c>
      <c r="M1180" s="19" t="str">
        <f>IF($D1180=1,INDEX(TblClusters[RAM initiale (Go)],$B1180),"")</f>
        <v/>
      </c>
      <c r="N1180" s="19" t="str">
        <f>IF($D1180=1,INDEX(TblClusters[CPU min (vCPU)],$B1180),"")</f>
        <v/>
      </c>
      <c r="O1180" s="19" t="str">
        <f>IF($D1180=1,INDEX(TblClusters[RAM min (Go)],$B1180),"")</f>
        <v/>
      </c>
      <c r="P1180" s="19" t="str">
        <f>IF($D1180&lt;&gt;1,"",IF($G1180="ROKS",SUMIFS(TblApplications[Besoin ROKS CPU (vCPU)],TblApplications[Cluster ROKS cible],$F1180,TblApplications[Action],"À migrer",TblApplications[Déjà incluse ROKS],"Non",TblApplications[Mois prov (calc)],"&lt;="&amp;$E1180),SUMIFS(TblApplications[CPU IKS libérable (vCPU)],TblApplications[Cluster IKS source],$F1180,TblApplications[Mois lib (calc)],"&lt;="&amp;$E1180)))</f>
        <v/>
      </c>
      <c r="Q1180" s="19" t="str">
        <f>IF($D1180&lt;&gt;1,"",IF($G1180="ROKS",SUMIFS(TblApplications[Besoin ROKS RAM (Go)],TblApplications[Cluster ROKS cible],$F1180,TblApplications[Action],"À migrer",TblApplications[Déjà incluse ROKS],"Non",TblApplications[Mois prov (calc)],"&lt;="&amp;$E1180),SUMIFS(TblApplications[RAM IKS libérable (Go)],TblApplications[Cluster IKS source],$F1180,TblApplications[Mois lib (calc)],"&lt;="&amp;$E1180)))</f>
        <v/>
      </c>
      <c r="R1180" s="19" t="str">
        <f t="shared" si="309"/>
        <v/>
      </c>
      <c r="S1180" s="19" t="str">
        <f t="shared" si="310"/>
        <v/>
      </c>
      <c r="T1180" s="19" t="str">
        <f t="shared" si="311"/>
        <v/>
      </c>
      <c r="U1180" s="19" t="str">
        <f t="shared" si="312"/>
        <v/>
      </c>
      <c r="V1180" s="19" t="str">
        <f t="shared" si="313"/>
        <v/>
      </c>
      <c r="W1180" s="73" t="str">
        <f t="shared" si="314"/>
        <v/>
      </c>
      <c r="X1180" s="19" t="str">
        <f>IF($D1180&lt;&gt;1,"",IF($G1180="ROKS",$R1180,IF($AI1180=1,0,MAX($N1180,$L1180-SUMIFS(TblApplications[CPU IKS libérable (vCPU)],TblApplications[Cluster IKS source],$F1180,TblApplications[Action],"À migrer",TblApplications[Mois prov (calc)],"&lt;="&amp;$E1180)-SUMIFS(TblApplications[CPU IKS libérable (vCPU)],TblApplications[Cluster IKS source],$F1180,TblApplications[Action],"À décommissionner",TblApplications[Mois lib (calc)],"&lt;="&amp;$E1180)))))</f>
        <v/>
      </c>
      <c r="Y1180" s="19" t="str">
        <f>IF($D1180&lt;&gt;1,"",IF($G1180="ROKS",$S1180,IF($AI1180=1,0,MAX($O1180,$M1180-SUMIFS(TblApplications[RAM IKS libérable (Go)],TblApplications[Cluster IKS source],$F1180,TblApplications[Action],"À migrer",TblApplications[Mois prov (calc)],"&lt;="&amp;$E1180)-SUMIFS(TblApplications[RAM IKS libérable (Go)],TblApplications[Cluster IKS source],$F1180,TblApplications[Action],"À décommissionner",TblApplications[Mois lib (calc)],"&lt;="&amp;$E1180)))))</f>
        <v/>
      </c>
      <c r="Z1180" s="19" t="str">
        <f t="shared" si="315"/>
        <v/>
      </c>
      <c r="AA1180" s="73" t="str">
        <f t="shared" si="316"/>
        <v/>
      </c>
      <c r="AB1180" s="19" t="str">
        <f t="shared" si="317"/>
        <v/>
      </c>
      <c r="AC1180" s="73" t="str">
        <f t="shared" si="318"/>
        <v/>
      </c>
      <c r="AD1180" s="19" t="str">
        <f t="shared" si="319"/>
        <v/>
      </c>
      <c r="AE1180" s="19" t="str">
        <f t="shared" si="320"/>
        <v/>
      </c>
      <c r="AF1180" s="19" t="str">
        <f>IF($D1180&lt;&gt;1,"",IF(INDEX(TblClusters[Environnement],$B1180)="","(vide)",INDEX(TblClusters[Environnement],$B1180)))</f>
        <v/>
      </c>
      <c r="AG1180" s="19" t="str">
        <f t="shared" si="321"/>
        <v/>
      </c>
      <c r="AH1180" s="19" t="str">
        <f t="shared" si="322"/>
        <v/>
      </c>
      <c r="AI1180" s="19" t="str">
        <f>IF($D1180&lt;&gt;1,"",IF(AND($G1180="IKS",ISNUMBER(INDEX(TblClusters[Fermeture retenue],$B1180))),IF($E1180&gt;=INDEX(TblClusters[Fermeture retenue],$B1180),1,0),0))</f>
        <v/>
      </c>
    </row>
    <row r="1181" spans="1:35" x14ac:dyDescent="0.2">
      <c r="A1181" s="19">
        <v>1176</v>
      </c>
      <c r="B1181" s="19">
        <f t="shared" si="306"/>
        <v>33</v>
      </c>
      <c r="C1181" s="19">
        <f t="shared" si="307"/>
        <v>24</v>
      </c>
      <c r="D1181" s="19">
        <f>IF($C1181&gt;p_horizon,0,IFERROR(IF(AND(INDEX(TblClusters[Cluster],$B1181)&lt;&gt;"",ISNUMBER(INDEX(TblClusters[CPU initial (vCPU)],$B1181)),ISNUMBER(INDEX(TblClusters[CPU min (vCPU)],$B1181)),OR(INDEX(TblClusters[Plateforme],$B1181)="IKS",INDEX(TblClusters[Plateforme],$B1181)="ROKS")),1,0),0))</f>
        <v>0</v>
      </c>
      <c r="E1181" s="72" t="str">
        <f t="shared" si="308"/>
        <v/>
      </c>
      <c r="F1181" s="19" t="str">
        <f>IF($D1181=1,INDEX(TblClusters[Cluster],$B1181),"")</f>
        <v/>
      </c>
      <c r="G1181" s="19" t="str">
        <f>IF($D1181=1,INDEX(TblClusters[Plateforme],$B1181),"")</f>
        <v/>
      </c>
      <c r="H1181" s="19" t="str">
        <f>IF($D1181=1,INDEX(TblClusters[vCPU par nœud],$B1181),"")</f>
        <v/>
      </c>
      <c r="I1181" s="19" t="str">
        <f>IF($D1181=1,INDEX(TblClusters[RAM par nœud (Go)],$B1181),"")</f>
        <v/>
      </c>
      <c r="J1181" s="19" t="str">
        <f>IF($D1181=1,INDEX(TblClusters[Workers min],$B1181),"")</f>
        <v/>
      </c>
      <c r="K1181" s="73" t="str">
        <f>IF($D1181=1,INDEX(TblClusters[Tarif par nœud],$B1181),"")</f>
        <v/>
      </c>
      <c r="L1181" s="19" t="str">
        <f>IF($D1181=1,INDEX(TblClusters[CPU initial (vCPU)],$B1181),"")</f>
        <v/>
      </c>
      <c r="M1181" s="19" t="str">
        <f>IF($D1181=1,INDEX(TblClusters[RAM initiale (Go)],$B1181),"")</f>
        <v/>
      </c>
      <c r="N1181" s="19" t="str">
        <f>IF($D1181=1,INDEX(TblClusters[CPU min (vCPU)],$B1181),"")</f>
        <v/>
      </c>
      <c r="O1181" s="19" t="str">
        <f>IF($D1181=1,INDEX(TblClusters[RAM min (Go)],$B1181),"")</f>
        <v/>
      </c>
      <c r="P1181" s="19" t="str">
        <f>IF($D1181&lt;&gt;1,"",IF($G1181="ROKS",SUMIFS(TblApplications[Besoin ROKS CPU (vCPU)],TblApplications[Cluster ROKS cible],$F1181,TblApplications[Action],"À migrer",TblApplications[Déjà incluse ROKS],"Non",TblApplications[Mois prov (calc)],"&lt;="&amp;$E1181),SUMIFS(TblApplications[CPU IKS libérable (vCPU)],TblApplications[Cluster IKS source],$F1181,TblApplications[Mois lib (calc)],"&lt;="&amp;$E1181)))</f>
        <v/>
      </c>
      <c r="Q1181" s="19" t="str">
        <f>IF($D1181&lt;&gt;1,"",IF($G1181="ROKS",SUMIFS(TblApplications[Besoin ROKS RAM (Go)],TblApplications[Cluster ROKS cible],$F1181,TblApplications[Action],"À migrer",TblApplications[Déjà incluse ROKS],"Non",TblApplications[Mois prov (calc)],"&lt;="&amp;$E1181),SUMIFS(TblApplications[RAM IKS libérable (Go)],TblApplications[Cluster IKS source],$F1181,TblApplications[Mois lib (calc)],"&lt;="&amp;$E1181)))</f>
        <v/>
      </c>
      <c r="R1181" s="19" t="str">
        <f t="shared" si="309"/>
        <v/>
      </c>
      <c r="S1181" s="19" t="str">
        <f t="shared" si="310"/>
        <v/>
      </c>
      <c r="T1181" s="19" t="str">
        <f t="shared" si="311"/>
        <v/>
      </c>
      <c r="U1181" s="19" t="str">
        <f t="shared" si="312"/>
        <v/>
      </c>
      <c r="V1181" s="19" t="str">
        <f t="shared" si="313"/>
        <v/>
      </c>
      <c r="W1181" s="73" t="str">
        <f t="shared" si="314"/>
        <v/>
      </c>
      <c r="X1181" s="19" t="str">
        <f>IF($D1181&lt;&gt;1,"",IF($G1181="ROKS",$R1181,IF($AI1181=1,0,MAX($N1181,$L1181-SUMIFS(TblApplications[CPU IKS libérable (vCPU)],TblApplications[Cluster IKS source],$F1181,TblApplications[Action],"À migrer",TblApplications[Mois prov (calc)],"&lt;="&amp;$E1181)-SUMIFS(TblApplications[CPU IKS libérable (vCPU)],TblApplications[Cluster IKS source],$F1181,TblApplications[Action],"À décommissionner",TblApplications[Mois lib (calc)],"&lt;="&amp;$E1181)))))</f>
        <v/>
      </c>
      <c r="Y1181" s="19" t="str">
        <f>IF($D1181&lt;&gt;1,"",IF($G1181="ROKS",$S1181,IF($AI1181=1,0,MAX($O1181,$M1181-SUMIFS(TblApplications[RAM IKS libérable (Go)],TblApplications[Cluster IKS source],$F1181,TblApplications[Action],"À migrer",TblApplications[Mois prov (calc)],"&lt;="&amp;$E1181)-SUMIFS(TblApplications[RAM IKS libérable (Go)],TblApplications[Cluster IKS source],$F1181,TblApplications[Action],"À décommissionner",TblApplications[Mois lib (calc)],"&lt;="&amp;$E1181)))))</f>
        <v/>
      </c>
      <c r="Z1181" s="19" t="str">
        <f t="shared" si="315"/>
        <v/>
      </c>
      <c r="AA1181" s="73" t="str">
        <f t="shared" si="316"/>
        <v/>
      </c>
      <c r="AB1181" s="19" t="str">
        <f t="shared" si="317"/>
        <v/>
      </c>
      <c r="AC1181" s="73" t="str">
        <f t="shared" si="318"/>
        <v/>
      </c>
      <c r="AD1181" s="19" t="str">
        <f t="shared" si="319"/>
        <v/>
      </c>
      <c r="AE1181" s="19" t="str">
        <f t="shared" si="320"/>
        <v/>
      </c>
      <c r="AF1181" s="19" t="str">
        <f>IF($D1181&lt;&gt;1,"",IF(INDEX(TblClusters[Environnement],$B1181)="","(vide)",INDEX(TblClusters[Environnement],$B1181)))</f>
        <v/>
      </c>
      <c r="AG1181" s="19" t="str">
        <f t="shared" si="321"/>
        <v/>
      </c>
      <c r="AH1181" s="19" t="str">
        <f t="shared" si="322"/>
        <v/>
      </c>
      <c r="AI1181" s="19" t="str">
        <f>IF($D1181&lt;&gt;1,"",IF(AND($G1181="IKS",ISNUMBER(INDEX(TblClusters[Fermeture retenue],$B1181))),IF($E1181&gt;=INDEX(TblClusters[Fermeture retenue],$B1181),1,0),0))</f>
        <v/>
      </c>
    </row>
    <row r="1182" spans="1:35" x14ac:dyDescent="0.2">
      <c r="A1182" s="19">
        <v>1177</v>
      </c>
      <c r="B1182" s="19">
        <f t="shared" si="306"/>
        <v>33</v>
      </c>
      <c r="C1182" s="19">
        <f t="shared" si="307"/>
        <v>25</v>
      </c>
      <c r="D1182" s="19">
        <f>IF($C1182&gt;p_horizon,0,IFERROR(IF(AND(INDEX(TblClusters[Cluster],$B1182)&lt;&gt;"",ISNUMBER(INDEX(TblClusters[CPU initial (vCPU)],$B1182)),ISNUMBER(INDEX(TblClusters[CPU min (vCPU)],$B1182)),OR(INDEX(TblClusters[Plateforme],$B1182)="IKS",INDEX(TblClusters[Plateforme],$B1182)="ROKS")),1,0),0))</f>
        <v>0</v>
      </c>
      <c r="E1182" s="72" t="str">
        <f t="shared" si="308"/>
        <v/>
      </c>
      <c r="F1182" s="19" t="str">
        <f>IF($D1182=1,INDEX(TblClusters[Cluster],$B1182),"")</f>
        <v/>
      </c>
      <c r="G1182" s="19" t="str">
        <f>IF($D1182=1,INDEX(TblClusters[Plateforme],$B1182),"")</f>
        <v/>
      </c>
      <c r="H1182" s="19" t="str">
        <f>IF($D1182=1,INDEX(TblClusters[vCPU par nœud],$B1182),"")</f>
        <v/>
      </c>
      <c r="I1182" s="19" t="str">
        <f>IF($D1182=1,INDEX(TblClusters[RAM par nœud (Go)],$B1182),"")</f>
        <v/>
      </c>
      <c r="J1182" s="19" t="str">
        <f>IF($D1182=1,INDEX(TblClusters[Workers min],$B1182),"")</f>
        <v/>
      </c>
      <c r="K1182" s="73" t="str">
        <f>IF($D1182=1,INDEX(TblClusters[Tarif par nœud],$B1182),"")</f>
        <v/>
      </c>
      <c r="L1182" s="19" t="str">
        <f>IF($D1182=1,INDEX(TblClusters[CPU initial (vCPU)],$B1182),"")</f>
        <v/>
      </c>
      <c r="M1182" s="19" t="str">
        <f>IF($D1182=1,INDEX(TblClusters[RAM initiale (Go)],$B1182),"")</f>
        <v/>
      </c>
      <c r="N1182" s="19" t="str">
        <f>IF($D1182=1,INDEX(TblClusters[CPU min (vCPU)],$B1182),"")</f>
        <v/>
      </c>
      <c r="O1182" s="19" t="str">
        <f>IF($D1182=1,INDEX(TblClusters[RAM min (Go)],$B1182),"")</f>
        <v/>
      </c>
      <c r="P1182" s="19" t="str">
        <f>IF($D1182&lt;&gt;1,"",IF($G1182="ROKS",SUMIFS(TblApplications[Besoin ROKS CPU (vCPU)],TblApplications[Cluster ROKS cible],$F1182,TblApplications[Action],"À migrer",TblApplications[Déjà incluse ROKS],"Non",TblApplications[Mois prov (calc)],"&lt;="&amp;$E1182),SUMIFS(TblApplications[CPU IKS libérable (vCPU)],TblApplications[Cluster IKS source],$F1182,TblApplications[Mois lib (calc)],"&lt;="&amp;$E1182)))</f>
        <v/>
      </c>
      <c r="Q1182" s="19" t="str">
        <f>IF($D1182&lt;&gt;1,"",IF($G1182="ROKS",SUMIFS(TblApplications[Besoin ROKS RAM (Go)],TblApplications[Cluster ROKS cible],$F1182,TblApplications[Action],"À migrer",TblApplications[Déjà incluse ROKS],"Non",TblApplications[Mois prov (calc)],"&lt;="&amp;$E1182),SUMIFS(TblApplications[RAM IKS libérable (Go)],TblApplications[Cluster IKS source],$F1182,TblApplications[Mois lib (calc)],"&lt;="&amp;$E1182)))</f>
        <v/>
      </c>
      <c r="R1182" s="19" t="str">
        <f t="shared" si="309"/>
        <v/>
      </c>
      <c r="S1182" s="19" t="str">
        <f t="shared" si="310"/>
        <v/>
      </c>
      <c r="T1182" s="19" t="str">
        <f t="shared" si="311"/>
        <v/>
      </c>
      <c r="U1182" s="19" t="str">
        <f t="shared" si="312"/>
        <v/>
      </c>
      <c r="V1182" s="19" t="str">
        <f t="shared" si="313"/>
        <v/>
      </c>
      <c r="W1182" s="73" t="str">
        <f t="shared" si="314"/>
        <v/>
      </c>
      <c r="X1182" s="19" t="str">
        <f>IF($D1182&lt;&gt;1,"",IF($G1182="ROKS",$R1182,IF($AI1182=1,0,MAX($N1182,$L1182-SUMIFS(TblApplications[CPU IKS libérable (vCPU)],TblApplications[Cluster IKS source],$F1182,TblApplications[Action],"À migrer",TblApplications[Mois prov (calc)],"&lt;="&amp;$E1182)-SUMIFS(TblApplications[CPU IKS libérable (vCPU)],TblApplications[Cluster IKS source],$F1182,TblApplications[Action],"À décommissionner",TblApplications[Mois lib (calc)],"&lt;="&amp;$E1182)))))</f>
        <v/>
      </c>
      <c r="Y1182" s="19" t="str">
        <f>IF($D1182&lt;&gt;1,"",IF($G1182="ROKS",$S1182,IF($AI1182=1,0,MAX($O1182,$M1182-SUMIFS(TblApplications[RAM IKS libérable (Go)],TblApplications[Cluster IKS source],$F1182,TblApplications[Action],"À migrer",TblApplications[Mois prov (calc)],"&lt;="&amp;$E1182)-SUMIFS(TblApplications[RAM IKS libérable (Go)],TblApplications[Cluster IKS source],$F1182,TblApplications[Action],"À décommissionner",TblApplications[Mois lib (calc)],"&lt;="&amp;$E1182)))))</f>
        <v/>
      </c>
      <c r="Z1182" s="19" t="str">
        <f t="shared" si="315"/>
        <v/>
      </c>
      <c r="AA1182" s="73" t="str">
        <f t="shared" si="316"/>
        <v/>
      </c>
      <c r="AB1182" s="19" t="str">
        <f t="shared" si="317"/>
        <v/>
      </c>
      <c r="AC1182" s="73" t="str">
        <f t="shared" si="318"/>
        <v/>
      </c>
      <c r="AD1182" s="19" t="str">
        <f t="shared" si="319"/>
        <v/>
      </c>
      <c r="AE1182" s="19" t="str">
        <f t="shared" si="320"/>
        <v/>
      </c>
      <c r="AF1182" s="19" t="str">
        <f>IF($D1182&lt;&gt;1,"",IF(INDEX(TblClusters[Environnement],$B1182)="","(vide)",INDEX(TblClusters[Environnement],$B1182)))</f>
        <v/>
      </c>
      <c r="AG1182" s="19" t="str">
        <f t="shared" si="321"/>
        <v/>
      </c>
      <c r="AH1182" s="19" t="str">
        <f t="shared" si="322"/>
        <v/>
      </c>
      <c r="AI1182" s="19" t="str">
        <f>IF($D1182&lt;&gt;1,"",IF(AND($G1182="IKS",ISNUMBER(INDEX(TblClusters[Fermeture retenue],$B1182))),IF($E1182&gt;=INDEX(TblClusters[Fermeture retenue],$B1182),1,0),0))</f>
        <v/>
      </c>
    </row>
    <row r="1183" spans="1:35" x14ac:dyDescent="0.2">
      <c r="A1183" s="19">
        <v>1178</v>
      </c>
      <c r="B1183" s="19">
        <f t="shared" si="306"/>
        <v>33</v>
      </c>
      <c r="C1183" s="19">
        <f t="shared" si="307"/>
        <v>26</v>
      </c>
      <c r="D1183" s="19">
        <f>IF($C1183&gt;p_horizon,0,IFERROR(IF(AND(INDEX(TblClusters[Cluster],$B1183)&lt;&gt;"",ISNUMBER(INDEX(TblClusters[CPU initial (vCPU)],$B1183)),ISNUMBER(INDEX(TblClusters[CPU min (vCPU)],$B1183)),OR(INDEX(TblClusters[Plateforme],$B1183)="IKS",INDEX(TblClusters[Plateforme],$B1183)="ROKS")),1,0),0))</f>
        <v>0</v>
      </c>
      <c r="E1183" s="72" t="str">
        <f t="shared" si="308"/>
        <v/>
      </c>
      <c r="F1183" s="19" t="str">
        <f>IF($D1183=1,INDEX(TblClusters[Cluster],$B1183),"")</f>
        <v/>
      </c>
      <c r="G1183" s="19" t="str">
        <f>IF($D1183=1,INDEX(TblClusters[Plateforme],$B1183),"")</f>
        <v/>
      </c>
      <c r="H1183" s="19" t="str">
        <f>IF($D1183=1,INDEX(TblClusters[vCPU par nœud],$B1183),"")</f>
        <v/>
      </c>
      <c r="I1183" s="19" t="str">
        <f>IF($D1183=1,INDEX(TblClusters[RAM par nœud (Go)],$B1183),"")</f>
        <v/>
      </c>
      <c r="J1183" s="19" t="str">
        <f>IF($D1183=1,INDEX(TblClusters[Workers min],$B1183),"")</f>
        <v/>
      </c>
      <c r="K1183" s="73" t="str">
        <f>IF($D1183=1,INDEX(TblClusters[Tarif par nœud],$B1183),"")</f>
        <v/>
      </c>
      <c r="L1183" s="19" t="str">
        <f>IF($D1183=1,INDEX(TblClusters[CPU initial (vCPU)],$B1183),"")</f>
        <v/>
      </c>
      <c r="M1183" s="19" t="str">
        <f>IF($D1183=1,INDEX(TblClusters[RAM initiale (Go)],$B1183),"")</f>
        <v/>
      </c>
      <c r="N1183" s="19" t="str">
        <f>IF($D1183=1,INDEX(TblClusters[CPU min (vCPU)],$B1183),"")</f>
        <v/>
      </c>
      <c r="O1183" s="19" t="str">
        <f>IF($D1183=1,INDEX(TblClusters[RAM min (Go)],$B1183),"")</f>
        <v/>
      </c>
      <c r="P1183" s="19" t="str">
        <f>IF($D1183&lt;&gt;1,"",IF($G1183="ROKS",SUMIFS(TblApplications[Besoin ROKS CPU (vCPU)],TblApplications[Cluster ROKS cible],$F1183,TblApplications[Action],"À migrer",TblApplications[Déjà incluse ROKS],"Non",TblApplications[Mois prov (calc)],"&lt;="&amp;$E1183),SUMIFS(TblApplications[CPU IKS libérable (vCPU)],TblApplications[Cluster IKS source],$F1183,TblApplications[Mois lib (calc)],"&lt;="&amp;$E1183)))</f>
        <v/>
      </c>
      <c r="Q1183" s="19" t="str">
        <f>IF($D1183&lt;&gt;1,"",IF($G1183="ROKS",SUMIFS(TblApplications[Besoin ROKS RAM (Go)],TblApplications[Cluster ROKS cible],$F1183,TblApplications[Action],"À migrer",TblApplications[Déjà incluse ROKS],"Non",TblApplications[Mois prov (calc)],"&lt;="&amp;$E1183),SUMIFS(TblApplications[RAM IKS libérable (Go)],TblApplications[Cluster IKS source],$F1183,TblApplications[Mois lib (calc)],"&lt;="&amp;$E1183)))</f>
        <v/>
      </c>
      <c r="R1183" s="19" t="str">
        <f t="shared" si="309"/>
        <v/>
      </c>
      <c r="S1183" s="19" t="str">
        <f t="shared" si="310"/>
        <v/>
      </c>
      <c r="T1183" s="19" t="str">
        <f t="shared" si="311"/>
        <v/>
      </c>
      <c r="U1183" s="19" t="str">
        <f t="shared" si="312"/>
        <v/>
      </c>
      <c r="V1183" s="19" t="str">
        <f t="shared" si="313"/>
        <v/>
      </c>
      <c r="W1183" s="73" t="str">
        <f t="shared" si="314"/>
        <v/>
      </c>
      <c r="X1183" s="19" t="str">
        <f>IF($D1183&lt;&gt;1,"",IF($G1183="ROKS",$R1183,IF($AI1183=1,0,MAX($N1183,$L1183-SUMIFS(TblApplications[CPU IKS libérable (vCPU)],TblApplications[Cluster IKS source],$F1183,TblApplications[Action],"À migrer",TblApplications[Mois prov (calc)],"&lt;="&amp;$E1183)-SUMIFS(TblApplications[CPU IKS libérable (vCPU)],TblApplications[Cluster IKS source],$F1183,TblApplications[Action],"À décommissionner",TblApplications[Mois lib (calc)],"&lt;="&amp;$E1183)))))</f>
        <v/>
      </c>
      <c r="Y1183" s="19" t="str">
        <f>IF($D1183&lt;&gt;1,"",IF($G1183="ROKS",$S1183,IF($AI1183=1,0,MAX($O1183,$M1183-SUMIFS(TblApplications[RAM IKS libérable (Go)],TblApplications[Cluster IKS source],$F1183,TblApplications[Action],"À migrer",TblApplications[Mois prov (calc)],"&lt;="&amp;$E1183)-SUMIFS(TblApplications[RAM IKS libérable (Go)],TblApplications[Cluster IKS source],$F1183,TblApplications[Action],"À décommissionner",TblApplications[Mois lib (calc)],"&lt;="&amp;$E1183)))))</f>
        <v/>
      </c>
      <c r="Z1183" s="19" t="str">
        <f t="shared" si="315"/>
        <v/>
      </c>
      <c r="AA1183" s="73" t="str">
        <f t="shared" si="316"/>
        <v/>
      </c>
      <c r="AB1183" s="19" t="str">
        <f t="shared" si="317"/>
        <v/>
      </c>
      <c r="AC1183" s="73" t="str">
        <f t="shared" si="318"/>
        <v/>
      </c>
      <c r="AD1183" s="19" t="str">
        <f t="shared" si="319"/>
        <v/>
      </c>
      <c r="AE1183" s="19" t="str">
        <f t="shared" si="320"/>
        <v/>
      </c>
      <c r="AF1183" s="19" t="str">
        <f>IF($D1183&lt;&gt;1,"",IF(INDEX(TblClusters[Environnement],$B1183)="","(vide)",INDEX(TblClusters[Environnement],$B1183)))</f>
        <v/>
      </c>
      <c r="AG1183" s="19" t="str">
        <f t="shared" si="321"/>
        <v/>
      </c>
      <c r="AH1183" s="19" t="str">
        <f t="shared" si="322"/>
        <v/>
      </c>
      <c r="AI1183" s="19" t="str">
        <f>IF($D1183&lt;&gt;1,"",IF(AND($G1183="IKS",ISNUMBER(INDEX(TblClusters[Fermeture retenue],$B1183))),IF($E1183&gt;=INDEX(TblClusters[Fermeture retenue],$B1183),1,0),0))</f>
        <v/>
      </c>
    </row>
    <row r="1184" spans="1:35" x14ac:dyDescent="0.2">
      <c r="A1184" s="19">
        <v>1179</v>
      </c>
      <c r="B1184" s="19">
        <f t="shared" si="306"/>
        <v>33</v>
      </c>
      <c r="C1184" s="19">
        <f t="shared" si="307"/>
        <v>27</v>
      </c>
      <c r="D1184" s="19">
        <f>IF($C1184&gt;p_horizon,0,IFERROR(IF(AND(INDEX(TblClusters[Cluster],$B1184)&lt;&gt;"",ISNUMBER(INDEX(TblClusters[CPU initial (vCPU)],$B1184)),ISNUMBER(INDEX(TblClusters[CPU min (vCPU)],$B1184)),OR(INDEX(TblClusters[Plateforme],$B1184)="IKS",INDEX(TblClusters[Plateforme],$B1184)="ROKS")),1,0),0))</f>
        <v>0</v>
      </c>
      <c r="E1184" s="72" t="str">
        <f t="shared" si="308"/>
        <v/>
      </c>
      <c r="F1184" s="19" t="str">
        <f>IF($D1184=1,INDEX(TblClusters[Cluster],$B1184),"")</f>
        <v/>
      </c>
      <c r="G1184" s="19" t="str">
        <f>IF($D1184=1,INDEX(TblClusters[Plateforme],$B1184),"")</f>
        <v/>
      </c>
      <c r="H1184" s="19" t="str">
        <f>IF($D1184=1,INDEX(TblClusters[vCPU par nœud],$B1184),"")</f>
        <v/>
      </c>
      <c r="I1184" s="19" t="str">
        <f>IF($D1184=1,INDEX(TblClusters[RAM par nœud (Go)],$B1184),"")</f>
        <v/>
      </c>
      <c r="J1184" s="19" t="str">
        <f>IF($D1184=1,INDEX(TblClusters[Workers min],$B1184),"")</f>
        <v/>
      </c>
      <c r="K1184" s="73" t="str">
        <f>IF($D1184=1,INDEX(TblClusters[Tarif par nœud],$B1184),"")</f>
        <v/>
      </c>
      <c r="L1184" s="19" t="str">
        <f>IF($D1184=1,INDEX(TblClusters[CPU initial (vCPU)],$B1184),"")</f>
        <v/>
      </c>
      <c r="M1184" s="19" t="str">
        <f>IF($D1184=1,INDEX(TblClusters[RAM initiale (Go)],$B1184),"")</f>
        <v/>
      </c>
      <c r="N1184" s="19" t="str">
        <f>IF($D1184=1,INDEX(TblClusters[CPU min (vCPU)],$B1184),"")</f>
        <v/>
      </c>
      <c r="O1184" s="19" t="str">
        <f>IF($D1184=1,INDEX(TblClusters[RAM min (Go)],$B1184),"")</f>
        <v/>
      </c>
      <c r="P1184" s="19" t="str">
        <f>IF($D1184&lt;&gt;1,"",IF($G1184="ROKS",SUMIFS(TblApplications[Besoin ROKS CPU (vCPU)],TblApplications[Cluster ROKS cible],$F1184,TblApplications[Action],"À migrer",TblApplications[Déjà incluse ROKS],"Non",TblApplications[Mois prov (calc)],"&lt;="&amp;$E1184),SUMIFS(TblApplications[CPU IKS libérable (vCPU)],TblApplications[Cluster IKS source],$F1184,TblApplications[Mois lib (calc)],"&lt;="&amp;$E1184)))</f>
        <v/>
      </c>
      <c r="Q1184" s="19" t="str">
        <f>IF($D1184&lt;&gt;1,"",IF($G1184="ROKS",SUMIFS(TblApplications[Besoin ROKS RAM (Go)],TblApplications[Cluster ROKS cible],$F1184,TblApplications[Action],"À migrer",TblApplications[Déjà incluse ROKS],"Non",TblApplications[Mois prov (calc)],"&lt;="&amp;$E1184),SUMIFS(TblApplications[RAM IKS libérable (Go)],TblApplications[Cluster IKS source],$F1184,TblApplications[Mois lib (calc)],"&lt;="&amp;$E1184)))</f>
        <v/>
      </c>
      <c r="R1184" s="19" t="str">
        <f t="shared" si="309"/>
        <v/>
      </c>
      <c r="S1184" s="19" t="str">
        <f t="shared" si="310"/>
        <v/>
      </c>
      <c r="T1184" s="19" t="str">
        <f t="shared" si="311"/>
        <v/>
      </c>
      <c r="U1184" s="19" t="str">
        <f t="shared" si="312"/>
        <v/>
      </c>
      <c r="V1184" s="19" t="str">
        <f t="shared" si="313"/>
        <v/>
      </c>
      <c r="W1184" s="73" t="str">
        <f t="shared" si="314"/>
        <v/>
      </c>
      <c r="X1184" s="19" t="str">
        <f>IF($D1184&lt;&gt;1,"",IF($G1184="ROKS",$R1184,IF($AI1184=1,0,MAX($N1184,$L1184-SUMIFS(TblApplications[CPU IKS libérable (vCPU)],TblApplications[Cluster IKS source],$F1184,TblApplications[Action],"À migrer",TblApplications[Mois prov (calc)],"&lt;="&amp;$E1184)-SUMIFS(TblApplications[CPU IKS libérable (vCPU)],TblApplications[Cluster IKS source],$F1184,TblApplications[Action],"À décommissionner",TblApplications[Mois lib (calc)],"&lt;="&amp;$E1184)))))</f>
        <v/>
      </c>
      <c r="Y1184" s="19" t="str">
        <f>IF($D1184&lt;&gt;1,"",IF($G1184="ROKS",$S1184,IF($AI1184=1,0,MAX($O1184,$M1184-SUMIFS(TblApplications[RAM IKS libérable (Go)],TblApplications[Cluster IKS source],$F1184,TblApplications[Action],"À migrer",TblApplications[Mois prov (calc)],"&lt;="&amp;$E1184)-SUMIFS(TblApplications[RAM IKS libérable (Go)],TblApplications[Cluster IKS source],$F1184,TblApplications[Action],"À décommissionner",TblApplications[Mois lib (calc)],"&lt;="&amp;$E1184)))))</f>
        <v/>
      </c>
      <c r="Z1184" s="19" t="str">
        <f t="shared" si="315"/>
        <v/>
      </c>
      <c r="AA1184" s="73" t="str">
        <f t="shared" si="316"/>
        <v/>
      </c>
      <c r="AB1184" s="19" t="str">
        <f t="shared" si="317"/>
        <v/>
      </c>
      <c r="AC1184" s="73" t="str">
        <f t="shared" si="318"/>
        <v/>
      </c>
      <c r="AD1184" s="19" t="str">
        <f t="shared" si="319"/>
        <v/>
      </c>
      <c r="AE1184" s="19" t="str">
        <f t="shared" si="320"/>
        <v/>
      </c>
      <c r="AF1184" s="19" t="str">
        <f>IF($D1184&lt;&gt;1,"",IF(INDEX(TblClusters[Environnement],$B1184)="","(vide)",INDEX(TblClusters[Environnement],$B1184)))</f>
        <v/>
      </c>
      <c r="AG1184" s="19" t="str">
        <f t="shared" si="321"/>
        <v/>
      </c>
      <c r="AH1184" s="19" t="str">
        <f t="shared" si="322"/>
        <v/>
      </c>
      <c r="AI1184" s="19" t="str">
        <f>IF($D1184&lt;&gt;1,"",IF(AND($G1184="IKS",ISNUMBER(INDEX(TblClusters[Fermeture retenue],$B1184))),IF($E1184&gt;=INDEX(TblClusters[Fermeture retenue],$B1184),1,0),0))</f>
        <v/>
      </c>
    </row>
    <row r="1185" spans="1:35" x14ac:dyDescent="0.2">
      <c r="A1185" s="19">
        <v>1180</v>
      </c>
      <c r="B1185" s="19">
        <f t="shared" si="306"/>
        <v>33</v>
      </c>
      <c r="C1185" s="19">
        <f t="shared" si="307"/>
        <v>28</v>
      </c>
      <c r="D1185" s="19">
        <f>IF($C1185&gt;p_horizon,0,IFERROR(IF(AND(INDEX(TblClusters[Cluster],$B1185)&lt;&gt;"",ISNUMBER(INDEX(TblClusters[CPU initial (vCPU)],$B1185)),ISNUMBER(INDEX(TblClusters[CPU min (vCPU)],$B1185)),OR(INDEX(TblClusters[Plateforme],$B1185)="IKS",INDEX(TblClusters[Plateforme],$B1185)="ROKS")),1,0),0))</f>
        <v>0</v>
      </c>
      <c r="E1185" s="72" t="str">
        <f t="shared" si="308"/>
        <v/>
      </c>
      <c r="F1185" s="19" t="str">
        <f>IF($D1185=1,INDEX(TblClusters[Cluster],$B1185),"")</f>
        <v/>
      </c>
      <c r="G1185" s="19" t="str">
        <f>IF($D1185=1,INDEX(TblClusters[Plateforme],$B1185),"")</f>
        <v/>
      </c>
      <c r="H1185" s="19" t="str">
        <f>IF($D1185=1,INDEX(TblClusters[vCPU par nœud],$B1185),"")</f>
        <v/>
      </c>
      <c r="I1185" s="19" t="str">
        <f>IF($D1185=1,INDEX(TblClusters[RAM par nœud (Go)],$B1185),"")</f>
        <v/>
      </c>
      <c r="J1185" s="19" t="str">
        <f>IF($D1185=1,INDEX(TblClusters[Workers min],$B1185),"")</f>
        <v/>
      </c>
      <c r="K1185" s="73" t="str">
        <f>IF($D1185=1,INDEX(TblClusters[Tarif par nœud],$B1185),"")</f>
        <v/>
      </c>
      <c r="L1185" s="19" t="str">
        <f>IF($D1185=1,INDEX(TblClusters[CPU initial (vCPU)],$B1185),"")</f>
        <v/>
      </c>
      <c r="M1185" s="19" t="str">
        <f>IF($D1185=1,INDEX(TblClusters[RAM initiale (Go)],$B1185),"")</f>
        <v/>
      </c>
      <c r="N1185" s="19" t="str">
        <f>IF($D1185=1,INDEX(TblClusters[CPU min (vCPU)],$B1185),"")</f>
        <v/>
      </c>
      <c r="O1185" s="19" t="str">
        <f>IF($D1185=1,INDEX(TblClusters[RAM min (Go)],$B1185),"")</f>
        <v/>
      </c>
      <c r="P1185" s="19" t="str">
        <f>IF($D1185&lt;&gt;1,"",IF($G1185="ROKS",SUMIFS(TblApplications[Besoin ROKS CPU (vCPU)],TblApplications[Cluster ROKS cible],$F1185,TblApplications[Action],"À migrer",TblApplications[Déjà incluse ROKS],"Non",TblApplications[Mois prov (calc)],"&lt;="&amp;$E1185),SUMIFS(TblApplications[CPU IKS libérable (vCPU)],TblApplications[Cluster IKS source],$F1185,TblApplications[Mois lib (calc)],"&lt;="&amp;$E1185)))</f>
        <v/>
      </c>
      <c r="Q1185" s="19" t="str">
        <f>IF($D1185&lt;&gt;1,"",IF($G1185="ROKS",SUMIFS(TblApplications[Besoin ROKS RAM (Go)],TblApplications[Cluster ROKS cible],$F1185,TblApplications[Action],"À migrer",TblApplications[Déjà incluse ROKS],"Non",TblApplications[Mois prov (calc)],"&lt;="&amp;$E1185),SUMIFS(TblApplications[RAM IKS libérable (Go)],TblApplications[Cluster IKS source],$F1185,TblApplications[Mois lib (calc)],"&lt;="&amp;$E1185)))</f>
        <v/>
      </c>
      <c r="R1185" s="19" t="str">
        <f t="shared" si="309"/>
        <v/>
      </c>
      <c r="S1185" s="19" t="str">
        <f t="shared" si="310"/>
        <v/>
      </c>
      <c r="T1185" s="19" t="str">
        <f t="shared" si="311"/>
        <v/>
      </c>
      <c r="U1185" s="19" t="str">
        <f t="shared" si="312"/>
        <v/>
      </c>
      <c r="V1185" s="19" t="str">
        <f t="shared" si="313"/>
        <v/>
      </c>
      <c r="W1185" s="73" t="str">
        <f t="shared" si="314"/>
        <v/>
      </c>
      <c r="X1185" s="19" t="str">
        <f>IF($D1185&lt;&gt;1,"",IF($G1185="ROKS",$R1185,IF($AI1185=1,0,MAX($N1185,$L1185-SUMIFS(TblApplications[CPU IKS libérable (vCPU)],TblApplications[Cluster IKS source],$F1185,TblApplications[Action],"À migrer",TblApplications[Mois prov (calc)],"&lt;="&amp;$E1185)-SUMIFS(TblApplications[CPU IKS libérable (vCPU)],TblApplications[Cluster IKS source],$F1185,TblApplications[Action],"À décommissionner",TblApplications[Mois lib (calc)],"&lt;="&amp;$E1185)))))</f>
        <v/>
      </c>
      <c r="Y1185" s="19" t="str">
        <f>IF($D1185&lt;&gt;1,"",IF($G1185="ROKS",$S1185,IF($AI1185=1,0,MAX($O1185,$M1185-SUMIFS(TblApplications[RAM IKS libérable (Go)],TblApplications[Cluster IKS source],$F1185,TblApplications[Action],"À migrer",TblApplications[Mois prov (calc)],"&lt;="&amp;$E1185)-SUMIFS(TblApplications[RAM IKS libérable (Go)],TblApplications[Cluster IKS source],$F1185,TblApplications[Action],"À décommissionner",TblApplications[Mois lib (calc)],"&lt;="&amp;$E1185)))))</f>
        <v/>
      </c>
      <c r="Z1185" s="19" t="str">
        <f t="shared" si="315"/>
        <v/>
      </c>
      <c r="AA1185" s="73" t="str">
        <f t="shared" si="316"/>
        <v/>
      </c>
      <c r="AB1185" s="19" t="str">
        <f t="shared" si="317"/>
        <v/>
      </c>
      <c r="AC1185" s="73" t="str">
        <f t="shared" si="318"/>
        <v/>
      </c>
      <c r="AD1185" s="19" t="str">
        <f t="shared" si="319"/>
        <v/>
      </c>
      <c r="AE1185" s="19" t="str">
        <f t="shared" si="320"/>
        <v/>
      </c>
      <c r="AF1185" s="19" t="str">
        <f>IF($D1185&lt;&gt;1,"",IF(INDEX(TblClusters[Environnement],$B1185)="","(vide)",INDEX(TblClusters[Environnement],$B1185)))</f>
        <v/>
      </c>
      <c r="AG1185" s="19" t="str">
        <f t="shared" si="321"/>
        <v/>
      </c>
      <c r="AH1185" s="19" t="str">
        <f t="shared" si="322"/>
        <v/>
      </c>
      <c r="AI1185" s="19" t="str">
        <f>IF($D1185&lt;&gt;1,"",IF(AND($G1185="IKS",ISNUMBER(INDEX(TblClusters[Fermeture retenue],$B1185))),IF($E1185&gt;=INDEX(TblClusters[Fermeture retenue],$B1185),1,0),0))</f>
        <v/>
      </c>
    </row>
    <row r="1186" spans="1:35" x14ac:dyDescent="0.2">
      <c r="A1186" s="19">
        <v>1181</v>
      </c>
      <c r="B1186" s="19">
        <f t="shared" si="306"/>
        <v>33</v>
      </c>
      <c r="C1186" s="19">
        <f t="shared" si="307"/>
        <v>29</v>
      </c>
      <c r="D1186" s="19">
        <f>IF($C1186&gt;p_horizon,0,IFERROR(IF(AND(INDEX(TblClusters[Cluster],$B1186)&lt;&gt;"",ISNUMBER(INDEX(TblClusters[CPU initial (vCPU)],$B1186)),ISNUMBER(INDEX(TblClusters[CPU min (vCPU)],$B1186)),OR(INDEX(TblClusters[Plateforme],$B1186)="IKS",INDEX(TblClusters[Plateforme],$B1186)="ROKS")),1,0),0))</f>
        <v>0</v>
      </c>
      <c r="E1186" s="72" t="str">
        <f t="shared" si="308"/>
        <v/>
      </c>
      <c r="F1186" s="19" t="str">
        <f>IF($D1186=1,INDEX(TblClusters[Cluster],$B1186),"")</f>
        <v/>
      </c>
      <c r="G1186" s="19" t="str">
        <f>IF($D1186=1,INDEX(TblClusters[Plateforme],$B1186),"")</f>
        <v/>
      </c>
      <c r="H1186" s="19" t="str">
        <f>IF($D1186=1,INDEX(TblClusters[vCPU par nœud],$B1186),"")</f>
        <v/>
      </c>
      <c r="I1186" s="19" t="str">
        <f>IF($D1186=1,INDEX(TblClusters[RAM par nœud (Go)],$B1186),"")</f>
        <v/>
      </c>
      <c r="J1186" s="19" t="str">
        <f>IF($D1186=1,INDEX(TblClusters[Workers min],$B1186),"")</f>
        <v/>
      </c>
      <c r="K1186" s="73" t="str">
        <f>IF($D1186=1,INDEX(TblClusters[Tarif par nœud],$B1186),"")</f>
        <v/>
      </c>
      <c r="L1186" s="19" t="str">
        <f>IF($D1186=1,INDEX(TblClusters[CPU initial (vCPU)],$B1186),"")</f>
        <v/>
      </c>
      <c r="M1186" s="19" t="str">
        <f>IF($D1186=1,INDEX(TblClusters[RAM initiale (Go)],$B1186),"")</f>
        <v/>
      </c>
      <c r="N1186" s="19" t="str">
        <f>IF($D1186=1,INDEX(TblClusters[CPU min (vCPU)],$B1186),"")</f>
        <v/>
      </c>
      <c r="O1186" s="19" t="str">
        <f>IF($D1186=1,INDEX(TblClusters[RAM min (Go)],$B1186),"")</f>
        <v/>
      </c>
      <c r="P1186" s="19" t="str">
        <f>IF($D1186&lt;&gt;1,"",IF($G1186="ROKS",SUMIFS(TblApplications[Besoin ROKS CPU (vCPU)],TblApplications[Cluster ROKS cible],$F1186,TblApplications[Action],"À migrer",TblApplications[Déjà incluse ROKS],"Non",TblApplications[Mois prov (calc)],"&lt;="&amp;$E1186),SUMIFS(TblApplications[CPU IKS libérable (vCPU)],TblApplications[Cluster IKS source],$F1186,TblApplications[Mois lib (calc)],"&lt;="&amp;$E1186)))</f>
        <v/>
      </c>
      <c r="Q1186" s="19" t="str">
        <f>IF($D1186&lt;&gt;1,"",IF($G1186="ROKS",SUMIFS(TblApplications[Besoin ROKS RAM (Go)],TblApplications[Cluster ROKS cible],$F1186,TblApplications[Action],"À migrer",TblApplications[Déjà incluse ROKS],"Non",TblApplications[Mois prov (calc)],"&lt;="&amp;$E1186),SUMIFS(TblApplications[RAM IKS libérable (Go)],TblApplications[Cluster IKS source],$F1186,TblApplications[Mois lib (calc)],"&lt;="&amp;$E1186)))</f>
        <v/>
      </c>
      <c r="R1186" s="19" t="str">
        <f t="shared" si="309"/>
        <v/>
      </c>
      <c r="S1186" s="19" t="str">
        <f t="shared" si="310"/>
        <v/>
      </c>
      <c r="T1186" s="19" t="str">
        <f t="shared" si="311"/>
        <v/>
      </c>
      <c r="U1186" s="19" t="str">
        <f t="shared" si="312"/>
        <v/>
      </c>
      <c r="V1186" s="19" t="str">
        <f t="shared" si="313"/>
        <v/>
      </c>
      <c r="W1186" s="73" t="str">
        <f t="shared" si="314"/>
        <v/>
      </c>
      <c r="X1186" s="19" t="str">
        <f>IF($D1186&lt;&gt;1,"",IF($G1186="ROKS",$R1186,IF($AI1186=1,0,MAX($N1186,$L1186-SUMIFS(TblApplications[CPU IKS libérable (vCPU)],TblApplications[Cluster IKS source],$F1186,TblApplications[Action],"À migrer",TblApplications[Mois prov (calc)],"&lt;="&amp;$E1186)-SUMIFS(TblApplications[CPU IKS libérable (vCPU)],TblApplications[Cluster IKS source],$F1186,TblApplications[Action],"À décommissionner",TblApplications[Mois lib (calc)],"&lt;="&amp;$E1186)))))</f>
        <v/>
      </c>
      <c r="Y1186" s="19" t="str">
        <f>IF($D1186&lt;&gt;1,"",IF($G1186="ROKS",$S1186,IF($AI1186=1,0,MAX($O1186,$M1186-SUMIFS(TblApplications[RAM IKS libérable (Go)],TblApplications[Cluster IKS source],$F1186,TblApplications[Action],"À migrer",TblApplications[Mois prov (calc)],"&lt;="&amp;$E1186)-SUMIFS(TblApplications[RAM IKS libérable (Go)],TblApplications[Cluster IKS source],$F1186,TblApplications[Action],"À décommissionner",TblApplications[Mois lib (calc)],"&lt;="&amp;$E1186)))))</f>
        <v/>
      </c>
      <c r="Z1186" s="19" t="str">
        <f t="shared" si="315"/>
        <v/>
      </c>
      <c r="AA1186" s="73" t="str">
        <f t="shared" si="316"/>
        <v/>
      </c>
      <c r="AB1186" s="19" t="str">
        <f t="shared" si="317"/>
        <v/>
      </c>
      <c r="AC1186" s="73" t="str">
        <f t="shared" si="318"/>
        <v/>
      </c>
      <c r="AD1186" s="19" t="str">
        <f t="shared" si="319"/>
        <v/>
      </c>
      <c r="AE1186" s="19" t="str">
        <f t="shared" si="320"/>
        <v/>
      </c>
      <c r="AF1186" s="19" t="str">
        <f>IF($D1186&lt;&gt;1,"",IF(INDEX(TblClusters[Environnement],$B1186)="","(vide)",INDEX(TblClusters[Environnement],$B1186)))</f>
        <v/>
      </c>
      <c r="AG1186" s="19" t="str">
        <f t="shared" si="321"/>
        <v/>
      </c>
      <c r="AH1186" s="19" t="str">
        <f t="shared" si="322"/>
        <v/>
      </c>
      <c r="AI1186" s="19" t="str">
        <f>IF($D1186&lt;&gt;1,"",IF(AND($G1186="IKS",ISNUMBER(INDEX(TblClusters[Fermeture retenue],$B1186))),IF($E1186&gt;=INDEX(TblClusters[Fermeture retenue],$B1186),1,0),0))</f>
        <v/>
      </c>
    </row>
    <row r="1187" spans="1:35" x14ac:dyDescent="0.2">
      <c r="A1187" s="19">
        <v>1182</v>
      </c>
      <c r="B1187" s="19">
        <f t="shared" si="306"/>
        <v>33</v>
      </c>
      <c r="C1187" s="19">
        <f t="shared" si="307"/>
        <v>30</v>
      </c>
      <c r="D1187" s="19">
        <f>IF($C1187&gt;p_horizon,0,IFERROR(IF(AND(INDEX(TblClusters[Cluster],$B1187)&lt;&gt;"",ISNUMBER(INDEX(TblClusters[CPU initial (vCPU)],$B1187)),ISNUMBER(INDEX(TblClusters[CPU min (vCPU)],$B1187)),OR(INDEX(TblClusters[Plateforme],$B1187)="IKS",INDEX(TblClusters[Plateforme],$B1187)="ROKS")),1,0),0))</f>
        <v>0</v>
      </c>
      <c r="E1187" s="72" t="str">
        <f t="shared" si="308"/>
        <v/>
      </c>
      <c r="F1187" s="19" t="str">
        <f>IF($D1187=1,INDEX(TblClusters[Cluster],$B1187),"")</f>
        <v/>
      </c>
      <c r="G1187" s="19" t="str">
        <f>IF($D1187=1,INDEX(TblClusters[Plateforme],$B1187),"")</f>
        <v/>
      </c>
      <c r="H1187" s="19" t="str">
        <f>IF($D1187=1,INDEX(TblClusters[vCPU par nœud],$B1187),"")</f>
        <v/>
      </c>
      <c r="I1187" s="19" t="str">
        <f>IF($D1187=1,INDEX(TblClusters[RAM par nœud (Go)],$B1187),"")</f>
        <v/>
      </c>
      <c r="J1187" s="19" t="str">
        <f>IF($D1187=1,INDEX(TblClusters[Workers min],$B1187),"")</f>
        <v/>
      </c>
      <c r="K1187" s="73" t="str">
        <f>IF($D1187=1,INDEX(TblClusters[Tarif par nœud],$B1187),"")</f>
        <v/>
      </c>
      <c r="L1187" s="19" t="str">
        <f>IF($D1187=1,INDEX(TblClusters[CPU initial (vCPU)],$B1187),"")</f>
        <v/>
      </c>
      <c r="M1187" s="19" t="str">
        <f>IF($D1187=1,INDEX(TblClusters[RAM initiale (Go)],$B1187),"")</f>
        <v/>
      </c>
      <c r="N1187" s="19" t="str">
        <f>IF($D1187=1,INDEX(TblClusters[CPU min (vCPU)],$B1187),"")</f>
        <v/>
      </c>
      <c r="O1187" s="19" t="str">
        <f>IF($D1187=1,INDEX(TblClusters[RAM min (Go)],$B1187),"")</f>
        <v/>
      </c>
      <c r="P1187" s="19" t="str">
        <f>IF($D1187&lt;&gt;1,"",IF($G1187="ROKS",SUMIFS(TblApplications[Besoin ROKS CPU (vCPU)],TblApplications[Cluster ROKS cible],$F1187,TblApplications[Action],"À migrer",TblApplications[Déjà incluse ROKS],"Non",TblApplications[Mois prov (calc)],"&lt;="&amp;$E1187),SUMIFS(TblApplications[CPU IKS libérable (vCPU)],TblApplications[Cluster IKS source],$F1187,TblApplications[Mois lib (calc)],"&lt;="&amp;$E1187)))</f>
        <v/>
      </c>
      <c r="Q1187" s="19" t="str">
        <f>IF($D1187&lt;&gt;1,"",IF($G1187="ROKS",SUMIFS(TblApplications[Besoin ROKS RAM (Go)],TblApplications[Cluster ROKS cible],$F1187,TblApplications[Action],"À migrer",TblApplications[Déjà incluse ROKS],"Non",TblApplications[Mois prov (calc)],"&lt;="&amp;$E1187),SUMIFS(TblApplications[RAM IKS libérable (Go)],TblApplications[Cluster IKS source],$F1187,TblApplications[Mois lib (calc)],"&lt;="&amp;$E1187)))</f>
        <v/>
      </c>
      <c r="R1187" s="19" t="str">
        <f t="shared" si="309"/>
        <v/>
      </c>
      <c r="S1187" s="19" t="str">
        <f t="shared" si="310"/>
        <v/>
      </c>
      <c r="T1187" s="19" t="str">
        <f t="shared" si="311"/>
        <v/>
      </c>
      <c r="U1187" s="19" t="str">
        <f t="shared" si="312"/>
        <v/>
      </c>
      <c r="V1187" s="19" t="str">
        <f t="shared" si="313"/>
        <v/>
      </c>
      <c r="W1187" s="73" t="str">
        <f t="shared" si="314"/>
        <v/>
      </c>
      <c r="X1187" s="19" t="str">
        <f>IF($D1187&lt;&gt;1,"",IF($G1187="ROKS",$R1187,IF($AI1187=1,0,MAX($N1187,$L1187-SUMIFS(TblApplications[CPU IKS libérable (vCPU)],TblApplications[Cluster IKS source],$F1187,TblApplications[Action],"À migrer",TblApplications[Mois prov (calc)],"&lt;="&amp;$E1187)-SUMIFS(TblApplications[CPU IKS libérable (vCPU)],TblApplications[Cluster IKS source],$F1187,TblApplications[Action],"À décommissionner",TblApplications[Mois lib (calc)],"&lt;="&amp;$E1187)))))</f>
        <v/>
      </c>
      <c r="Y1187" s="19" t="str">
        <f>IF($D1187&lt;&gt;1,"",IF($G1187="ROKS",$S1187,IF($AI1187=1,0,MAX($O1187,$M1187-SUMIFS(TblApplications[RAM IKS libérable (Go)],TblApplications[Cluster IKS source],$F1187,TblApplications[Action],"À migrer",TblApplications[Mois prov (calc)],"&lt;="&amp;$E1187)-SUMIFS(TblApplications[RAM IKS libérable (Go)],TblApplications[Cluster IKS source],$F1187,TblApplications[Action],"À décommissionner",TblApplications[Mois lib (calc)],"&lt;="&amp;$E1187)))))</f>
        <v/>
      </c>
      <c r="Z1187" s="19" t="str">
        <f t="shared" si="315"/>
        <v/>
      </c>
      <c r="AA1187" s="73" t="str">
        <f t="shared" si="316"/>
        <v/>
      </c>
      <c r="AB1187" s="19" t="str">
        <f t="shared" si="317"/>
        <v/>
      </c>
      <c r="AC1187" s="73" t="str">
        <f t="shared" si="318"/>
        <v/>
      </c>
      <c r="AD1187" s="19" t="str">
        <f t="shared" si="319"/>
        <v/>
      </c>
      <c r="AE1187" s="19" t="str">
        <f t="shared" si="320"/>
        <v/>
      </c>
      <c r="AF1187" s="19" t="str">
        <f>IF($D1187&lt;&gt;1,"",IF(INDEX(TblClusters[Environnement],$B1187)="","(vide)",INDEX(TblClusters[Environnement],$B1187)))</f>
        <v/>
      </c>
      <c r="AG1187" s="19" t="str">
        <f t="shared" si="321"/>
        <v/>
      </c>
      <c r="AH1187" s="19" t="str">
        <f t="shared" si="322"/>
        <v/>
      </c>
      <c r="AI1187" s="19" t="str">
        <f>IF($D1187&lt;&gt;1,"",IF(AND($G1187="IKS",ISNUMBER(INDEX(TblClusters[Fermeture retenue],$B1187))),IF($E1187&gt;=INDEX(TblClusters[Fermeture retenue],$B1187),1,0),0))</f>
        <v/>
      </c>
    </row>
    <row r="1188" spans="1:35" x14ac:dyDescent="0.2">
      <c r="A1188" s="19">
        <v>1183</v>
      </c>
      <c r="B1188" s="19">
        <f t="shared" si="306"/>
        <v>33</v>
      </c>
      <c r="C1188" s="19">
        <f t="shared" si="307"/>
        <v>31</v>
      </c>
      <c r="D1188" s="19">
        <f>IF($C1188&gt;p_horizon,0,IFERROR(IF(AND(INDEX(TblClusters[Cluster],$B1188)&lt;&gt;"",ISNUMBER(INDEX(TblClusters[CPU initial (vCPU)],$B1188)),ISNUMBER(INDEX(TblClusters[CPU min (vCPU)],$B1188)),OR(INDEX(TblClusters[Plateforme],$B1188)="IKS",INDEX(TblClusters[Plateforme],$B1188)="ROKS")),1,0),0))</f>
        <v>0</v>
      </c>
      <c r="E1188" s="72" t="str">
        <f t="shared" si="308"/>
        <v/>
      </c>
      <c r="F1188" s="19" t="str">
        <f>IF($D1188=1,INDEX(TblClusters[Cluster],$B1188),"")</f>
        <v/>
      </c>
      <c r="G1188" s="19" t="str">
        <f>IF($D1188=1,INDEX(TblClusters[Plateforme],$B1188),"")</f>
        <v/>
      </c>
      <c r="H1188" s="19" t="str">
        <f>IF($D1188=1,INDEX(TblClusters[vCPU par nœud],$B1188),"")</f>
        <v/>
      </c>
      <c r="I1188" s="19" t="str">
        <f>IF($D1188=1,INDEX(TblClusters[RAM par nœud (Go)],$B1188),"")</f>
        <v/>
      </c>
      <c r="J1188" s="19" t="str">
        <f>IF($D1188=1,INDEX(TblClusters[Workers min],$B1188),"")</f>
        <v/>
      </c>
      <c r="K1188" s="73" t="str">
        <f>IF($D1188=1,INDEX(TblClusters[Tarif par nœud],$B1188),"")</f>
        <v/>
      </c>
      <c r="L1188" s="19" t="str">
        <f>IF($D1188=1,INDEX(TblClusters[CPU initial (vCPU)],$B1188),"")</f>
        <v/>
      </c>
      <c r="M1188" s="19" t="str">
        <f>IF($D1188=1,INDEX(TblClusters[RAM initiale (Go)],$B1188),"")</f>
        <v/>
      </c>
      <c r="N1188" s="19" t="str">
        <f>IF($D1188=1,INDEX(TblClusters[CPU min (vCPU)],$B1188),"")</f>
        <v/>
      </c>
      <c r="O1188" s="19" t="str">
        <f>IF($D1188=1,INDEX(TblClusters[RAM min (Go)],$B1188),"")</f>
        <v/>
      </c>
      <c r="P1188" s="19" t="str">
        <f>IF($D1188&lt;&gt;1,"",IF($G1188="ROKS",SUMIFS(TblApplications[Besoin ROKS CPU (vCPU)],TblApplications[Cluster ROKS cible],$F1188,TblApplications[Action],"À migrer",TblApplications[Déjà incluse ROKS],"Non",TblApplications[Mois prov (calc)],"&lt;="&amp;$E1188),SUMIFS(TblApplications[CPU IKS libérable (vCPU)],TblApplications[Cluster IKS source],$F1188,TblApplications[Mois lib (calc)],"&lt;="&amp;$E1188)))</f>
        <v/>
      </c>
      <c r="Q1188" s="19" t="str">
        <f>IF($D1188&lt;&gt;1,"",IF($G1188="ROKS",SUMIFS(TblApplications[Besoin ROKS RAM (Go)],TblApplications[Cluster ROKS cible],$F1188,TblApplications[Action],"À migrer",TblApplications[Déjà incluse ROKS],"Non",TblApplications[Mois prov (calc)],"&lt;="&amp;$E1188),SUMIFS(TblApplications[RAM IKS libérable (Go)],TblApplications[Cluster IKS source],$F1188,TblApplications[Mois lib (calc)],"&lt;="&amp;$E1188)))</f>
        <v/>
      </c>
      <c r="R1188" s="19" t="str">
        <f t="shared" si="309"/>
        <v/>
      </c>
      <c r="S1188" s="19" t="str">
        <f t="shared" si="310"/>
        <v/>
      </c>
      <c r="T1188" s="19" t="str">
        <f t="shared" si="311"/>
        <v/>
      </c>
      <c r="U1188" s="19" t="str">
        <f t="shared" si="312"/>
        <v/>
      </c>
      <c r="V1188" s="19" t="str">
        <f t="shared" si="313"/>
        <v/>
      </c>
      <c r="W1188" s="73" t="str">
        <f t="shared" si="314"/>
        <v/>
      </c>
      <c r="X1188" s="19" t="str">
        <f>IF($D1188&lt;&gt;1,"",IF($G1188="ROKS",$R1188,IF($AI1188=1,0,MAX($N1188,$L1188-SUMIFS(TblApplications[CPU IKS libérable (vCPU)],TblApplications[Cluster IKS source],$F1188,TblApplications[Action],"À migrer",TblApplications[Mois prov (calc)],"&lt;="&amp;$E1188)-SUMIFS(TblApplications[CPU IKS libérable (vCPU)],TblApplications[Cluster IKS source],$F1188,TblApplications[Action],"À décommissionner",TblApplications[Mois lib (calc)],"&lt;="&amp;$E1188)))))</f>
        <v/>
      </c>
      <c r="Y1188" s="19" t="str">
        <f>IF($D1188&lt;&gt;1,"",IF($G1188="ROKS",$S1188,IF($AI1188=1,0,MAX($O1188,$M1188-SUMIFS(TblApplications[RAM IKS libérable (Go)],TblApplications[Cluster IKS source],$F1188,TblApplications[Action],"À migrer",TblApplications[Mois prov (calc)],"&lt;="&amp;$E1188)-SUMIFS(TblApplications[RAM IKS libérable (Go)],TblApplications[Cluster IKS source],$F1188,TblApplications[Action],"À décommissionner",TblApplications[Mois lib (calc)],"&lt;="&amp;$E1188)))))</f>
        <v/>
      </c>
      <c r="Z1188" s="19" t="str">
        <f t="shared" si="315"/>
        <v/>
      </c>
      <c r="AA1188" s="73" t="str">
        <f t="shared" si="316"/>
        <v/>
      </c>
      <c r="AB1188" s="19" t="str">
        <f t="shared" si="317"/>
        <v/>
      </c>
      <c r="AC1188" s="73" t="str">
        <f t="shared" si="318"/>
        <v/>
      </c>
      <c r="AD1188" s="19" t="str">
        <f t="shared" si="319"/>
        <v/>
      </c>
      <c r="AE1188" s="19" t="str">
        <f t="shared" si="320"/>
        <v/>
      </c>
      <c r="AF1188" s="19" t="str">
        <f>IF($D1188&lt;&gt;1,"",IF(INDEX(TblClusters[Environnement],$B1188)="","(vide)",INDEX(TblClusters[Environnement],$B1188)))</f>
        <v/>
      </c>
      <c r="AG1188" s="19" t="str">
        <f t="shared" si="321"/>
        <v/>
      </c>
      <c r="AH1188" s="19" t="str">
        <f t="shared" si="322"/>
        <v/>
      </c>
      <c r="AI1188" s="19" t="str">
        <f>IF($D1188&lt;&gt;1,"",IF(AND($G1188="IKS",ISNUMBER(INDEX(TblClusters[Fermeture retenue],$B1188))),IF($E1188&gt;=INDEX(TblClusters[Fermeture retenue],$B1188),1,0),0))</f>
        <v/>
      </c>
    </row>
    <row r="1189" spans="1:35" x14ac:dyDescent="0.2">
      <c r="A1189" s="19">
        <v>1184</v>
      </c>
      <c r="B1189" s="19">
        <f t="shared" si="306"/>
        <v>33</v>
      </c>
      <c r="C1189" s="19">
        <f t="shared" si="307"/>
        <v>32</v>
      </c>
      <c r="D1189" s="19">
        <f>IF($C1189&gt;p_horizon,0,IFERROR(IF(AND(INDEX(TblClusters[Cluster],$B1189)&lt;&gt;"",ISNUMBER(INDEX(TblClusters[CPU initial (vCPU)],$B1189)),ISNUMBER(INDEX(TblClusters[CPU min (vCPU)],$B1189)),OR(INDEX(TblClusters[Plateforme],$B1189)="IKS",INDEX(TblClusters[Plateforme],$B1189)="ROKS")),1,0),0))</f>
        <v>0</v>
      </c>
      <c r="E1189" s="72" t="str">
        <f t="shared" si="308"/>
        <v/>
      </c>
      <c r="F1189" s="19" t="str">
        <f>IF($D1189=1,INDEX(TblClusters[Cluster],$B1189),"")</f>
        <v/>
      </c>
      <c r="G1189" s="19" t="str">
        <f>IF($D1189=1,INDEX(TblClusters[Plateforme],$B1189),"")</f>
        <v/>
      </c>
      <c r="H1189" s="19" t="str">
        <f>IF($D1189=1,INDEX(TblClusters[vCPU par nœud],$B1189),"")</f>
        <v/>
      </c>
      <c r="I1189" s="19" t="str">
        <f>IF($D1189=1,INDEX(TblClusters[RAM par nœud (Go)],$B1189),"")</f>
        <v/>
      </c>
      <c r="J1189" s="19" t="str">
        <f>IF($D1189=1,INDEX(TblClusters[Workers min],$B1189),"")</f>
        <v/>
      </c>
      <c r="K1189" s="73" t="str">
        <f>IF($D1189=1,INDEX(TblClusters[Tarif par nœud],$B1189),"")</f>
        <v/>
      </c>
      <c r="L1189" s="19" t="str">
        <f>IF($D1189=1,INDEX(TblClusters[CPU initial (vCPU)],$B1189),"")</f>
        <v/>
      </c>
      <c r="M1189" s="19" t="str">
        <f>IF($D1189=1,INDEX(TblClusters[RAM initiale (Go)],$B1189),"")</f>
        <v/>
      </c>
      <c r="N1189" s="19" t="str">
        <f>IF($D1189=1,INDEX(TblClusters[CPU min (vCPU)],$B1189),"")</f>
        <v/>
      </c>
      <c r="O1189" s="19" t="str">
        <f>IF($D1189=1,INDEX(TblClusters[RAM min (Go)],$B1189),"")</f>
        <v/>
      </c>
      <c r="P1189" s="19" t="str">
        <f>IF($D1189&lt;&gt;1,"",IF($G1189="ROKS",SUMIFS(TblApplications[Besoin ROKS CPU (vCPU)],TblApplications[Cluster ROKS cible],$F1189,TblApplications[Action],"À migrer",TblApplications[Déjà incluse ROKS],"Non",TblApplications[Mois prov (calc)],"&lt;="&amp;$E1189),SUMIFS(TblApplications[CPU IKS libérable (vCPU)],TblApplications[Cluster IKS source],$F1189,TblApplications[Mois lib (calc)],"&lt;="&amp;$E1189)))</f>
        <v/>
      </c>
      <c r="Q1189" s="19" t="str">
        <f>IF($D1189&lt;&gt;1,"",IF($G1189="ROKS",SUMIFS(TblApplications[Besoin ROKS RAM (Go)],TblApplications[Cluster ROKS cible],$F1189,TblApplications[Action],"À migrer",TblApplications[Déjà incluse ROKS],"Non",TblApplications[Mois prov (calc)],"&lt;="&amp;$E1189),SUMIFS(TblApplications[RAM IKS libérable (Go)],TblApplications[Cluster IKS source],$F1189,TblApplications[Mois lib (calc)],"&lt;="&amp;$E1189)))</f>
        <v/>
      </c>
      <c r="R1189" s="19" t="str">
        <f t="shared" si="309"/>
        <v/>
      </c>
      <c r="S1189" s="19" t="str">
        <f t="shared" si="310"/>
        <v/>
      </c>
      <c r="T1189" s="19" t="str">
        <f t="shared" si="311"/>
        <v/>
      </c>
      <c r="U1189" s="19" t="str">
        <f t="shared" si="312"/>
        <v/>
      </c>
      <c r="V1189" s="19" t="str">
        <f t="shared" si="313"/>
        <v/>
      </c>
      <c r="W1189" s="73" t="str">
        <f t="shared" si="314"/>
        <v/>
      </c>
      <c r="X1189" s="19" t="str">
        <f>IF($D1189&lt;&gt;1,"",IF($G1189="ROKS",$R1189,IF($AI1189=1,0,MAX($N1189,$L1189-SUMIFS(TblApplications[CPU IKS libérable (vCPU)],TblApplications[Cluster IKS source],$F1189,TblApplications[Action],"À migrer",TblApplications[Mois prov (calc)],"&lt;="&amp;$E1189)-SUMIFS(TblApplications[CPU IKS libérable (vCPU)],TblApplications[Cluster IKS source],$F1189,TblApplications[Action],"À décommissionner",TblApplications[Mois lib (calc)],"&lt;="&amp;$E1189)))))</f>
        <v/>
      </c>
      <c r="Y1189" s="19" t="str">
        <f>IF($D1189&lt;&gt;1,"",IF($G1189="ROKS",$S1189,IF($AI1189=1,0,MAX($O1189,$M1189-SUMIFS(TblApplications[RAM IKS libérable (Go)],TblApplications[Cluster IKS source],$F1189,TblApplications[Action],"À migrer",TblApplications[Mois prov (calc)],"&lt;="&amp;$E1189)-SUMIFS(TblApplications[RAM IKS libérable (Go)],TblApplications[Cluster IKS source],$F1189,TblApplications[Action],"À décommissionner",TblApplications[Mois lib (calc)],"&lt;="&amp;$E1189)))))</f>
        <v/>
      </c>
      <c r="Z1189" s="19" t="str">
        <f t="shared" si="315"/>
        <v/>
      </c>
      <c r="AA1189" s="73" t="str">
        <f t="shared" si="316"/>
        <v/>
      </c>
      <c r="AB1189" s="19" t="str">
        <f t="shared" si="317"/>
        <v/>
      </c>
      <c r="AC1189" s="73" t="str">
        <f t="shared" si="318"/>
        <v/>
      </c>
      <c r="AD1189" s="19" t="str">
        <f t="shared" si="319"/>
        <v/>
      </c>
      <c r="AE1189" s="19" t="str">
        <f t="shared" si="320"/>
        <v/>
      </c>
      <c r="AF1189" s="19" t="str">
        <f>IF($D1189&lt;&gt;1,"",IF(INDEX(TblClusters[Environnement],$B1189)="","(vide)",INDEX(TblClusters[Environnement],$B1189)))</f>
        <v/>
      </c>
      <c r="AG1189" s="19" t="str">
        <f t="shared" si="321"/>
        <v/>
      </c>
      <c r="AH1189" s="19" t="str">
        <f t="shared" si="322"/>
        <v/>
      </c>
      <c r="AI1189" s="19" t="str">
        <f>IF($D1189&lt;&gt;1,"",IF(AND($G1189="IKS",ISNUMBER(INDEX(TblClusters[Fermeture retenue],$B1189))),IF($E1189&gt;=INDEX(TblClusters[Fermeture retenue],$B1189),1,0),0))</f>
        <v/>
      </c>
    </row>
    <row r="1190" spans="1:35" x14ac:dyDescent="0.2">
      <c r="A1190" s="19">
        <v>1185</v>
      </c>
      <c r="B1190" s="19">
        <f t="shared" si="306"/>
        <v>33</v>
      </c>
      <c r="C1190" s="19">
        <f t="shared" si="307"/>
        <v>33</v>
      </c>
      <c r="D1190" s="19">
        <f>IF($C1190&gt;p_horizon,0,IFERROR(IF(AND(INDEX(TblClusters[Cluster],$B1190)&lt;&gt;"",ISNUMBER(INDEX(TblClusters[CPU initial (vCPU)],$B1190)),ISNUMBER(INDEX(TblClusters[CPU min (vCPU)],$B1190)),OR(INDEX(TblClusters[Plateforme],$B1190)="IKS",INDEX(TblClusters[Plateforme],$B1190)="ROKS")),1,0),0))</f>
        <v>0</v>
      </c>
      <c r="E1190" s="72" t="str">
        <f t="shared" si="308"/>
        <v/>
      </c>
      <c r="F1190" s="19" t="str">
        <f>IF($D1190=1,INDEX(TblClusters[Cluster],$B1190),"")</f>
        <v/>
      </c>
      <c r="G1190" s="19" t="str">
        <f>IF($D1190=1,INDEX(TblClusters[Plateforme],$B1190),"")</f>
        <v/>
      </c>
      <c r="H1190" s="19" t="str">
        <f>IF($D1190=1,INDEX(TblClusters[vCPU par nœud],$B1190),"")</f>
        <v/>
      </c>
      <c r="I1190" s="19" t="str">
        <f>IF($D1190=1,INDEX(TblClusters[RAM par nœud (Go)],$B1190),"")</f>
        <v/>
      </c>
      <c r="J1190" s="19" t="str">
        <f>IF($D1190=1,INDEX(TblClusters[Workers min],$B1190),"")</f>
        <v/>
      </c>
      <c r="K1190" s="73" t="str">
        <f>IF($D1190=1,INDEX(TblClusters[Tarif par nœud],$B1190),"")</f>
        <v/>
      </c>
      <c r="L1190" s="19" t="str">
        <f>IF($D1190=1,INDEX(TblClusters[CPU initial (vCPU)],$B1190),"")</f>
        <v/>
      </c>
      <c r="M1190" s="19" t="str">
        <f>IF($D1190=1,INDEX(TblClusters[RAM initiale (Go)],$B1190),"")</f>
        <v/>
      </c>
      <c r="N1190" s="19" t="str">
        <f>IF($D1190=1,INDEX(TblClusters[CPU min (vCPU)],$B1190),"")</f>
        <v/>
      </c>
      <c r="O1190" s="19" t="str">
        <f>IF($D1190=1,INDEX(TblClusters[RAM min (Go)],$B1190),"")</f>
        <v/>
      </c>
      <c r="P1190" s="19" t="str">
        <f>IF($D1190&lt;&gt;1,"",IF($G1190="ROKS",SUMIFS(TblApplications[Besoin ROKS CPU (vCPU)],TblApplications[Cluster ROKS cible],$F1190,TblApplications[Action],"À migrer",TblApplications[Déjà incluse ROKS],"Non",TblApplications[Mois prov (calc)],"&lt;="&amp;$E1190),SUMIFS(TblApplications[CPU IKS libérable (vCPU)],TblApplications[Cluster IKS source],$F1190,TblApplications[Mois lib (calc)],"&lt;="&amp;$E1190)))</f>
        <v/>
      </c>
      <c r="Q1190" s="19" t="str">
        <f>IF($D1190&lt;&gt;1,"",IF($G1190="ROKS",SUMIFS(TblApplications[Besoin ROKS RAM (Go)],TblApplications[Cluster ROKS cible],$F1190,TblApplications[Action],"À migrer",TblApplications[Déjà incluse ROKS],"Non",TblApplications[Mois prov (calc)],"&lt;="&amp;$E1190),SUMIFS(TblApplications[RAM IKS libérable (Go)],TblApplications[Cluster IKS source],$F1190,TblApplications[Mois lib (calc)],"&lt;="&amp;$E1190)))</f>
        <v/>
      </c>
      <c r="R1190" s="19" t="str">
        <f t="shared" si="309"/>
        <v/>
      </c>
      <c r="S1190" s="19" t="str">
        <f t="shared" si="310"/>
        <v/>
      </c>
      <c r="T1190" s="19" t="str">
        <f t="shared" si="311"/>
        <v/>
      </c>
      <c r="U1190" s="19" t="str">
        <f t="shared" si="312"/>
        <v/>
      </c>
      <c r="V1190" s="19" t="str">
        <f t="shared" si="313"/>
        <v/>
      </c>
      <c r="W1190" s="73" t="str">
        <f t="shared" si="314"/>
        <v/>
      </c>
      <c r="X1190" s="19" t="str">
        <f>IF($D1190&lt;&gt;1,"",IF($G1190="ROKS",$R1190,IF($AI1190=1,0,MAX($N1190,$L1190-SUMIFS(TblApplications[CPU IKS libérable (vCPU)],TblApplications[Cluster IKS source],$F1190,TblApplications[Action],"À migrer",TblApplications[Mois prov (calc)],"&lt;="&amp;$E1190)-SUMIFS(TblApplications[CPU IKS libérable (vCPU)],TblApplications[Cluster IKS source],$F1190,TblApplications[Action],"À décommissionner",TblApplications[Mois lib (calc)],"&lt;="&amp;$E1190)))))</f>
        <v/>
      </c>
      <c r="Y1190" s="19" t="str">
        <f>IF($D1190&lt;&gt;1,"",IF($G1190="ROKS",$S1190,IF($AI1190=1,0,MAX($O1190,$M1190-SUMIFS(TblApplications[RAM IKS libérable (Go)],TblApplications[Cluster IKS source],$F1190,TblApplications[Action],"À migrer",TblApplications[Mois prov (calc)],"&lt;="&amp;$E1190)-SUMIFS(TblApplications[RAM IKS libérable (Go)],TblApplications[Cluster IKS source],$F1190,TblApplications[Action],"À décommissionner",TblApplications[Mois lib (calc)],"&lt;="&amp;$E1190)))))</f>
        <v/>
      </c>
      <c r="Z1190" s="19" t="str">
        <f t="shared" si="315"/>
        <v/>
      </c>
      <c r="AA1190" s="73" t="str">
        <f t="shared" si="316"/>
        <v/>
      </c>
      <c r="AB1190" s="19" t="str">
        <f t="shared" si="317"/>
        <v/>
      </c>
      <c r="AC1190" s="73" t="str">
        <f t="shared" si="318"/>
        <v/>
      </c>
      <c r="AD1190" s="19" t="str">
        <f t="shared" si="319"/>
        <v/>
      </c>
      <c r="AE1190" s="19" t="str">
        <f t="shared" si="320"/>
        <v/>
      </c>
      <c r="AF1190" s="19" t="str">
        <f>IF($D1190&lt;&gt;1,"",IF(INDEX(TblClusters[Environnement],$B1190)="","(vide)",INDEX(TblClusters[Environnement],$B1190)))</f>
        <v/>
      </c>
      <c r="AG1190" s="19" t="str">
        <f t="shared" si="321"/>
        <v/>
      </c>
      <c r="AH1190" s="19" t="str">
        <f t="shared" si="322"/>
        <v/>
      </c>
      <c r="AI1190" s="19" t="str">
        <f>IF($D1190&lt;&gt;1,"",IF(AND($G1190="IKS",ISNUMBER(INDEX(TblClusters[Fermeture retenue],$B1190))),IF($E1190&gt;=INDEX(TblClusters[Fermeture retenue],$B1190),1,0),0))</f>
        <v/>
      </c>
    </row>
    <row r="1191" spans="1:35" x14ac:dyDescent="0.2">
      <c r="A1191" s="19">
        <v>1186</v>
      </c>
      <c r="B1191" s="19">
        <f t="shared" si="306"/>
        <v>33</v>
      </c>
      <c r="C1191" s="19">
        <f t="shared" si="307"/>
        <v>34</v>
      </c>
      <c r="D1191" s="19">
        <f>IF($C1191&gt;p_horizon,0,IFERROR(IF(AND(INDEX(TblClusters[Cluster],$B1191)&lt;&gt;"",ISNUMBER(INDEX(TblClusters[CPU initial (vCPU)],$B1191)),ISNUMBER(INDEX(TblClusters[CPU min (vCPU)],$B1191)),OR(INDEX(TblClusters[Plateforme],$B1191)="IKS",INDEX(TblClusters[Plateforme],$B1191)="ROKS")),1,0),0))</f>
        <v>0</v>
      </c>
      <c r="E1191" s="72" t="str">
        <f t="shared" si="308"/>
        <v/>
      </c>
      <c r="F1191" s="19" t="str">
        <f>IF($D1191=1,INDEX(TblClusters[Cluster],$B1191),"")</f>
        <v/>
      </c>
      <c r="G1191" s="19" t="str">
        <f>IF($D1191=1,INDEX(TblClusters[Plateforme],$B1191),"")</f>
        <v/>
      </c>
      <c r="H1191" s="19" t="str">
        <f>IF($D1191=1,INDEX(TblClusters[vCPU par nœud],$B1191),"")</f>
        <v/>
      </c>
      <c r="I1191" s="19" t="str">
        <f>IF($D1191=1,INDEX(TblClusters[RAM par nœud (Go)],$B1191),"")</f>
        <v/>
      </c>
      <c r="J1191" s="19" t="str">
        <f>IF($D1191=1,INDEX(TblClusters[Workers min],$B1191),"")</f>
        <v/>
      </c>
      <c r="K1191" s="73" t="str">
        <f>IF($D1191=1,INDEX(TblClusters[Tarif par nœud],$B1191),"")</f>
        <v/>
      </c>
      <c r="L1191" s="19" t="str">
        <f>IF($D1191=1,INDEX(TblClusters[CPU initial (vCPU)],$B1191),"")</f>
        <v/>
      </c>
      <c r="M1191" s="19" t="str">
        <f>IF($D1191=1,INDEX(TblClusters[RAM initiale (Go)],$B1191),"")</f>
        <v/>
      </c>
      <c r="N1191" s="19" t="str">
        <f>IF($D1191=1,INDEX(TblClusters[CPU min (vCPU)],$B1191),"")</f>
        <v/>
      </c>
      <c r="O1191" s="19" t="str">
        <f>IF($D1191=1,INDEX(TblClusters[RAM min (Go)],$B1191),"")</f>
        <v/>
      </c>
      <c r="P1191" s="19" t="str">
        <f>IF($D1191&lt;&gt;1,"",IF($G1191="ROKS",SUMIFS(TblApplications[Besoin ROKS CPU (vCPU)],TblApplications[Cluster ROKS cible],$F1191,TblApplications[Action],"À migrer",TblApplications[Déjà incluse ROKS],"Non",TblApplications[Mois prov (calc)],"&lt;="&amp;$E1191),SUMIFS(TblApplications[CPU IKS libérable (vCPU)],TblApplications[Cluster IKS source],$F1191,TblApplications[Mois lib (calc)],"&lt;="&amp;$E1191)))</f>
        <v/>
      </c>
      <c r="Q1191" s="19" t="str">
        <f>IF($D1191&lt;&gt;1,"",IF($G1191="ROKS",SUMIFS(TblApplications[Besoin ROKS RAM (Go)],TblApplications[Cluster ROKS cible],$F1191,TblApplications[Action],"À migrer",TblApplications[Déjà incluse ROKS],"Non",TblApplications[Mois prov (calc)],"&lt;="&amp;$E1191),SUMIFS(TblApplications[RAM IKS libérable (Go)],TblApplications[Cluster IKS source],$F1191,TblApplications[Mois lib (calc)],"&lt;="&amp;$E1191)))</f>
        <v/>
      </c>
      <c r="R1191" s="19" t="str">
        <f t="shared" si="309"/>
        <v/>
      </c>
      <c r="S1191" s="19" t="str">
        <f t="shared" si="310"/>
        <v/>
      </c>
      <c r="T1191" s="19" t="str">
        <f t="shared" si="311"/>
        <v/>
      </c>
      <c r="U1191" s="19" t="str">
        <f t="shared" si="312"/>
        <v/>
      </c>
      <c r="V1191" s="19" t="str">
        <f t="shared" si="313"/>
        <v/>
      </c>
      <c r="W1191" s="73" t="str">
        <f t="shared" si="314"/>
        <v/>
      </c>
      <c r="X1191" s="19" t="str">
        <f>IF($D1191&lt;&gt;1,"",IF($G1191="ROKS",$R1191,IF($AI1191=1,0,MAX($N1191,$L1191-SUMIFS(TblApplications[CPU IKS libérable (vCPU)],TblApplications[Cluster IKS source],$F1191,TblApplications[Action],"À migrer",TblApplications[Mois prov (calc)],"&lt;="&amp;$E1191)-SUMIFS(TblApplications[CPU IKS libérable (vCPU)],TblApplications[Cluster IKS source],$F1191,TblApplications[Action],"À décommissionner",TblApplications[Mois lib (calc)],"&lt;="&amp;$E1191)))))</f>
        <v/>
      </c>
      <c r="Y1191" s="19" t="str">
        <f>IF($D1191&lt;&gt;1,"",IF($G1191="ROKS",$S1191,IF($AI1191=1,0,MAX($O1191,$M1191-SUMIFS(TblApplications[RAM IKS libérable (Go)],TblApplications[Cluster IKS source],$F1191,TblApplications[Action],"À migrer",TblApplications[Mois prov (calc)],"&lt;="&amp;$E1191)-SUMIFS(TblApplications[RAM IKS libérable (Go)],TblApplications[Cluster IKS source],$F1191,TblApplications[Action],"À décommissionner",TblApplications[Mois lib (calc)],"&lt;="&amp;$E1191)))))</f>
        <v/>
      </c>
      <c r="Z1191" s="19" t="str">
        <f t="shared" si="315"/>
        <v/>
      </c>
      <c r="AA1191" s="73" t="str">
        <f t="shared" si="316"/>
        <v/>
      </c>
      <c r="AB1191" s="19" t="str">
        <f t="shared" si="317"/>
        <v/>
      </c>
      <c r="AC1191" s="73" t="str">
        <f t="shared" si="318"/>
        <v/>
      </c>
      <c r="AD1191" s="19" t="str">
        <f t="shared" si="319"/>
        <v/>
      </c>
      <c r="AE1191" s="19" t="str">
        <f t="shared" si="320"/>
        <v/>
      </c>
      <c r="AF1191" s="19" t="str">
        <f>IF($D1191&lt;&gt;1,"",IF(INDEX(TblClusters[Environnement],$B1191)="","(vide)",INDEX(TblClusters[Environnement],$B1191)))</f>
        <v/>
      </c>
      <c r="AG1191" s="19" t="str">
        <f t="shared" si="321"/>
        <v/>
      </c>
      <c r="AH1191" s="19" t="str">
        <f t="shared" si="322"/>
        <v/>
      </c>
      <c r="AI1191" s="19" t="str">
        <f>IF($D1191&lt;&gt;1,"",IF(AND($G1191="IKS",ISNUMBER(INDEX(TblClusters[Fermeture retenue],$B1191))),IF($E1191&gt;=INDEX(TblClusters[Fermeture retenue],$B1191),1,0),0))</f>
        <v/>
      </c>
    </row>
    <row r="1192" spans="1:35" x14ac:dyDescent="0.2">
      <c r="A1192" s="19">
        <v>1187</v>
      </c>
      <c r="B1192" s="19">
        <f t="shared" si="306"/>
        <v>33</v>
      </c>
      <c r="C1192" s="19">
        <f t="shared" si="307"/>
        <v>35</v>
      </c>
      <c r="D1192" s="19">
        <f>IF($C1192&gt;p_horizon,0,IFERROR(IF(AND(INDEX(TblClusters[Cluster],$B1192)&lt;&gt;"",ISNUMBER(INDEX(TblClusters[CPU initial (vCPU)],$B1192)),ISNUMBER(INDEX(TblClusters[CPU min (vCPU)],$B1192)),OR(INDEX(TblClusters[Plateforme],$B1192)="IKS",INDEX(TblClusters[Plateforme],$B1192)="ROKS")),1,0),0))</f>
        <v>0</v>
      </c>
      <c r="E1192" s="72" t="str">
        <f t="shared" si="308"/>
        <v/>
      </c>
      <c r="F1192" s="19" t="str">
        <f>IF($D1192=1,INDEX(TblClusters[Cluster],$B1192),"")</f>
        <v/>
      </c>
      <c r="G1192" s="19" t="str">
        <f>IF($D1192=1,INDEX(TblClusters[Plateforme],$B1192),"")</f>
        <v/>
      </c>
      <c r="H1192" s="19" t="str">
        <f>IF($D1192=1,INDEX(TblClusters[vCPU par nœud],$B1192),"")</f>
        <v/>
      </c>
      <c r="I1192" s="19" t="str">
        <f>IF($D1192=1,INDEX(TblClusters[RAM par nœud (Go)],$B1192),"")</f>
        <v/>
      </c>
      <c r="J1192" s="19" t="str">
        <f>IF($D1192=1,INDEX(TblClusters[Workers min],$B1192),"")</f>
        <v/>
      </c>
      <c r="K1192" s="73" t="str">
        <f>IF($D1192=1,INDEX(TblClusters[Tarif par nœud],$B1192),"")</f>
        <v/>
      </c>
      <c r="L1192" s="19" t="str">
        <f>IF($D1192=1,INDEX(TblClusters[CPU initial (vCPU)],$B1192),"")</f>
        <v/>
      </c>
      <c r="M1192" s="19" t="str">
        <f>IF($D1192=1,INDEX(TblClusters[RAM initiale (Go)],$B1192),"")</f>
        <v/>
      </c>
      <c r="N1192" s="19" t="str">
        <f>IF($D1192=1,INDEX(TblClusters[CPU min (vCPU)],$B1192),"")</f>
        <v/>
      </c>
      <c r="O1192" s="19" t="str">
        <f>IF($D1192=1,INDEX(TblClusters[RAM min (Go)],$B1192),"")</f>
        <v/>
      </c>
      <c r="P1192" s="19" t="str">
        <f>IF($D1192&lt;&gt;1,"",IF($G1192="ROKS",SUMIFS(TblApplications[Besoin ROKS CPU (vCPU)],TblApplications[Cluster ROKS cible],$F1192,TblApplications[Action],"À migrer",TblApplications[Déjà incluse ROKS],"Non",TblApplications[Mois prov (calc)],"&lt;="&amp;$E1192),SUMIFS(TblApplications[CPU IKS libérable (vCPU)],TblApplications[Cluster IKS source],$F1192,TblApplications[Mois lib (calc)],"&lt;="&amp;$E1192)))</f>
        <v/>
      </c>
      <c r="Q1192" s="19" t="str">
        <f>IF($D1192&lt;&gt;1,"",IF($G1192="ROKS",SUMIFS(TblApplications[Besoin ROKS RAM (Go)],TblApplications[Cluster ROKS cible],$F1192,TblApplications[Action],"À migrer",TblApplications[Déjà incluse ROKS],"Non",TblApplications[Mois prov (calc)],"&lt;="&amp;$E1192),SUMIFS(TblApplications[RAM IKS libérable (Go)],TblApplications[Cluster IKS source],$F1192,TblApplications[Mois lib (calc)],"&lt;="&amp;$E1192)))</f>
        <v/>
      </c>
      <c r="R1192" s="19" t="str">
        <f t="shared" si="309"/>
        <v/>
      </c>
      <c r="S1192" s="19" t="str">
        <f t="shared" si="310"/>
        <v/>
      </c>
      <c r="T1192" s="19" t="str">
        <f t="shared" si="311"/>
        <v/>
      </c>
      <c r="U1192" s="19" t="str">
        <f t="shared" si="312"/>
        <v/>
      </c>
      <c r="V1192" s="19" t="str">
        <f t="shared" si="313"/>
        <v/>
      </c>
      <c r="W1192" s="73" t="str">
        <f t="shared" si="314"/>
        <v/>
      </c>
      <c r="X1192" s="19" t="str">
        <f>IF($D1192&lt;&gt;1,"",IF($G1192="ROKS",$R1192,IF($AI1192=1,0,MAX($N1192,$L1192-SUMIFS(TblApplications[CPU IKS libérable (vCPU)],TblApplications[Cluster IKS source],$F1192,TblApplications[Action],"À migrer",TblApplications[Mois prov (calc)],"&lt;="&amp;$E1192)-SUMIFS(TblApplications[CPU IKS libérable (vCPU)],TblApplications[Cluster IKS source],$F1192,TblApplications[Action],"À décommissionner",TblApplications[Mois lib (calc)],"&lt;="&amp;$E1192)))))</f>
        <v/>
      </c>
      <c r="Y1192" s="19" t="str">
        <f>IF($D1192&lt;&gt;1,"",IF($G1192="ROKS",$S1192,IF($AI1192=1,0,MAX($O1192,$M1192-SUMIFS(TblApplications[RAM IKS libérable (Go)],TblApplications[Cluster IKS source],$F1192,TblApplications[Action],"À migrer",TblApplications[Mois prov (calc)],"&lt;="&amp;$E1192)-SUMIFS(TblApplications[RAM IKS libérable (Go)],TblApplications[Cluster IKS source],$F1192,TblApplications[Action],"À décommissionner",TblApplications[Mois lib (calc)],"&lt;="&amp;$E1192)))))</f>
        <v/>
      </c>
      <c r="Z1192" s="19" t="str">
        <f t="shared" si="315"/>
        <v/>
      </c>
      <c r="AA1192" s="73" t="str">
        <f t="shared" si="316"/>
        <v/>
      </c>
      <c r="AB1192" s="19" t="str">
        <f t="shared" si="317"/>
        <v/>
      </c>
      <c r="AC1192" s="73" t="str">
        <f t="shared" si="318"/>
        <v/>
      </c>
      <c r="AD1192" s="19" t="str">
        <f t="shared" si="319"/>
        <v/>
      </c>
      <c r="AE1192" s="19" t="str">
        <f t="shared" si="320"/>
        <v/>
      </c>
      <c r="AF1192" s="19" t="str">
        <f>IF($D1192&lt;&gt;1,"",IF(INDEX(TblClusters[Environnement],$B1192)="","(vide)",INDEX(TblClusters[Environnement],$B1192)))</f>
        <v/>
      </c>
      <c r="AG1192" s="19" t="str">
        <f t="shared" si="321"/>
        <v/>
      </c>
      <c r="AH1192" s="19" t="str">
        <f t="shared" si="322"/>
        <v/>
      </c>
      <c r="AI1192" s="19" t="str">
        <f>IF($D1192&lt;&gt;1,"",IF(AND($G1192="IKS",ISNUMBER(INDEX(TblClusters[Fermeture retenue],$B1192))),IF($E1192&gt;=INDEX(TblClusters[Fermeture retenue],$B1192),1,0),0))</f>
        <v/>
      </c>
    </row>
    <row r="1193" spans="1:35" x14ac:dyDescent="0.2">
      <c r="A1193" s="19">
        <v>1188</v>
      </c>
      <c r="B1193" s="19">
        <f t="shared" si="306"/>
        <v>33</v>
      </c>
      <c r="C1193" s="19">
        <f t="shared" si="307"/>
        <v>36</v>
      </c>
      <c r="D1193" s="19">
        <f>IF($C1193&gt;p_horizon,0,IFERROR(IF(AND(INDEX(TblClusters[Cluster],$B1193)&lt;&gt;"",ISNUMBER(INDEX(TblClusters[CPU initial (vCPU)],$B1193)),ISNUMBER(INDEX(TblClusters[CPU min (vCPU)],$B1193)),OR(INDEX(TblClusters[Plateforme],$B1193)="IKS",INDEX(TblClusters[Plateforme],$B1193)="ROKS")),1,0),0))</f>
        <v>0</v>
      </c>
      <c r="E1193" s="72" t="str">
        <f t="shared" si="308"/>
        <v/>
      </c>
      <c r="F1193" s="19" t="str">
        <f>IF($D1193=1,INDEX(TblClusters[Cluster],$B1193),"")</f>
        <v/>
      </c>
      <c r="G1193" s="19" t="str">
        <f>IF($D1193=1,INDEX(TblClusters[Plateforme],$B1193),"")</f>
        <v/>
      </c>
      <c r="H1193" s="19" t="str">
        <f>IF($D1193=1,INDEX(TblClusters[vCPU par nœud],$B1193),"")</f>
        <v/>
      </c>
      <c r="I1193" s="19" t="str">
        <f>IF($D1193=1,INDEX(TblClusters[RAM par nœud (Go)],$B1193),"")</f>
        <v/>
      </c>
      <c r="J1193" s="19" t="str">
        <f>IF($D1193=1,INDEX(TblClusters[Workers min],$B1193),"")</f>
        <v/>
      </c>
      <c r="K1193" s="73" t="str">
        <f>IF($D1193=1,INDEX(TblClusters[Tarif par nœud],$B1193),"")</f>
        <v/>
      </c>
      <c r="L1193" s="19" t="str">
        <f>IF($D1193=1,INDEX(TblClusters[CPU initial (vCPU)],$B1193),"")</f>
        <v/>
      </c>
      <c r="M1193" s="19" t="str">
        <f>IF($D1193=1,INDEX(TblClusters[RAM initiale (Go)],$B1193),"")</f>
        <v/>
      </c>
      <c r="N1193" s="19" t="str">
        <f>IF($D1193=1,INDEX(TblClusters[CPU min (vCPU)],$B1193),"")</f>
        <v/>
      </c>
      <c r="O1193" s="19" t="str">
        <f>IF($D1193=1,INDEX(TblClusters[RAM min (Go)],$B1193),"")</f>
        <v/>
      </c>
      <c r="P1193" s="19" t="str">
        <f>IF($D1193&lt;&gt;1,"",IF($G1193="ROKS",SUMIFS(TblApplications[Besoin ROKS CPU (vCPU)],TblApplications[Cluster ROKS cible],$F1193,TblApplications[Action],"À migrer",TblApplications[Déjà incluse ROKS],"Non",TblApplications[Mois prov (calc)],"&lt;="&amp;$E1193),SUMIFS(TblApplications[CPU IKS libérable (vCPU)],TblApplications[Cluster IKS source],$F1193,TblApplications[Mois lib (calc)],"&lt;="&amp;$E1193)))</f>
        <v/>
      </c>
      <c r="Q1193" s="19" t="str">
        <f>IF($D1193&lt;&gt;1,"",IF($G1193="ROKS",SUMIFS(TblApplications[Besoin ROKS RAM (Go)],TblApplications[Cluster ROKS cible],$F1193,TblApplications[Action],"À migrer",TblApplications[Déjà incluse ROKS],"Non",TblApplications[Mois prov (calc)],"&lt;="&amp;$E1193),SUMIFS(TblApplications[RAM IKS libérable (Go)],TblApplications[Cluster IKS source],$F1193,TblApplications[Mois lib (calc)],"&lt;="&amp;$E1193)))</f>
        <v/>
      </c>
      <c r="R1193" s="19" t="str">
        <f t="shared" si="309"/>
        <v/>
      </c>
      <c r="S1193" s="19" t="str">
        <f t="shared" si="310"/>
        <v/>
      </c>
      <c r="T1193" s="19" t="str">
        <f t="shared" si="311"/>
        <v/>
      </c>
      <c r="U1193" s="19" t="str">
        <f t="shared" si="312"/>
        <v/>
      </c>
      <c r="V1193" s="19" t="str">
        <f t="shared" si="313"/>
        <v/>
      </c>
      <c r="W1193" s="73" t="str">
        <f t="shared" si="314"/>
        <v/>
      </c>
      <c r="X1193" s="19" t="str">
        <f>IF($D1193&lt;&gt;1,"",IF($G1193="ROKS",$R1193,IF($AI1193=1,0,MAX($N1193,$L1193-SUMIFS(TblApplications[CPU IKS libérable (vCPU)],TblApplications[Cluster IKS source],$F1193,TblApplications[Action],"À migrer",TblApplications[Mois prov (calc)],"&lt;="&amp;$E1193)-SUMIFS(TblApplications[CPU IKS libérable (vCPU)],TblApplications[Cluster IKS source],$F1193,TblApplications[Action],"À décommissionner",TblApplications[Mois lib (calc)],"&lt;="&amp;$E1193)))))</f>
        <v/>
      </c>
      <c r="Y1193" s="19" t="str">
        <f>IF($D1193&lt;&gt;1,"",IF($G1193="ROKS",$S1193,IF($AI1193=1,0,MAX($O1193,$M1193-SUMIFS(TblApplications[RAM IKS libérable (Go)],TblApplications[Cluster IKS source],$F1193,TblApplications[Action],"À migrer",TblApplications[Mois prov (calc)],"&lt;="&amp;$E1193)-SUMIFS(TblApplications[RAM IKS libérable (Go)],TblApplications[Cluster IKS source],$F1193,TblApplications[Action],"À décommissionner",TblApplications[Mois lib (calc)],"&lt;="&amp;$E1193)))))</f>
        <v/>
      </c>
      <c r="Z1193" s="19" t="str">
        <f t="shared" si="315"/>
        <v/>
      </c>
      <c r="AA1193" s="73" t="str">
        <f t="shared" si="316"/>
        <v/>
      </c>
      <c r="AB1193" s="19" t="str">
        <f t="shared" si="317"/>
        <v/>
      </c>
      <c r="AC1193" s="73" t="str">
        <f t="shared" si="318"/>
        <v/>
      </c>
      <c r="AD1193" s="19" t="str">
        <f t="shared" si="319"/>
        <v/>
      </c>
      <c r="AE1193" s="19" t="str">
        <f t="shared" si="320"/>
        <v/>
      </c>
      <c r="AF1193" s="19" t="str">
        <f>IF($D1193&lt;&gt;1,"",IF(INDEX(TblClusters[Environnement],$B1193)="","(vide)",INDEX(TblClusters[Environnement],$B1193)))</f>
        <v/>
      </c>
      <c r="AG1193" s="19" t="str">
        <f t="shared" si="321"/>
        <v/>
      </c>
      <c r="AH1193" s="19" t="str">
        <f t="shared" si="322"/>
        <v/>
      </c>
      <c r="AI1193" s="19" t="str">
        <f>IF($D1193&lt;&gt;1,"",IF(AND($G1193="IKS",ISNUMBER(INDEX(TblClusters[Fermeture retenue],$B1193))),IF($E1193&gt;=INDEX(TblClusters[Fermeture retenue],$B1193),1,0),0))</f>
        <v/>
      </c>
    </row>
    <row r="1194" spans="1:35" x14ac:dyDescent="0.2">
      <c r="A1194" s="19">
        <v>1189</v>
      </c>
      <c r="B1194" s="19">
        <f t="shared" si="306"/>
        <v>34</v>
      </c>
      <c r="C1194" s="19">
        <f t="shared" si="307"/>
        <v>1</v>
      </c>
      <c r="D1194" s="19">
        <f>IF($C1194&gt;p_horizon,0,IFERROR(IF(AND(INDEX(TblClusters[Cluster],$B1194)&lt;&gt;"",ISNUMBER(INDEX(TblClusters[CPU initial (vCPU)],$B1194)),ISNUMBER(INDEX(TblClusters[CPU min (vCPU)],$B1194)),OR(INDEX(TblClusters[Plateforme],$B1194)="IKS",INDEX(TblClusters[Plateforme],$B1194)="ROKS")),1,0),0))</f>
        <v>0</v>
      </c>
      <c r="E1194" s="72" t="str">
        <f t="shared" si="308"/>
        <v/>
      </c>
      <c r="F1194" s="19" t="str">
        <f>IF($D1194=1,INDEX(TblClusters[Cluster],$B1194),"")</f>
        <v/>
      </c>
      <c r="G1194" s="19" t="str">
        <f>IF($D1194=1,INDEX(TblClusters[Plateforme],$B1194),"")</f>
        <v/>
      </c>
      <c r="H1194" s="19" t="str">
        <f>IF($D1194=1,INDEX(TblClusters[vCPU par nœud],$B1194),"")</f>
        <v/>
      </c>
      <c r="I1194" s="19" t="str">
        <f>IF($D1194=1,INDEX(TblClusters[RAM par nœud (Go)],$B1194),"")</f>
        <v/>
      </c>
      <c r="J1194" s="19" t="str">
        <f>IF($D1194=1,INDEX(TblClusters[Workers min],$B1194),"")</f>
        <v/>
      </c>
      <c r="K1194" s="73" t="str">
        <f>IF($D1194=1,INDEX(TblClusters[Tarif par nœud],$B1194),"")</f>
        <v/>
      </c>
      <c r="L1194" s="19" t="str">
        <f>IF($D1194=1,INDEX(TblClusters[CPU initial (vCPU)],$B1194),"")</f>
        <v/>
      </c>
      <c r="M1194" s="19" t="str">
        <f>IF($D1194=1,INDEX(TblClusters[RAM initiale (Go)],$B1194),"")</f>
        <v/>
      </c>
      <c r="N1194" s="19" t="str">
        <f>IF($D1194=1,INDEX(TblClusters[CPU min (vCPU)],$B1194),"")</f>
        <v/>
      </c>
      <c r="O1194" s="19" t="str">
        <f>IF($D1194=1,INDEX(TblClusters[RAM min (Go)],$B1194),"")</f>
        <v/>
      </c>
      <c r="P1194" s="19" t="str">
        <f>IF($D1194&lt;&gt;1,"",IF($G1194="ROKS",SUMIFS(TblApplications[Besoin ROKS CPU (vCPU)],TblApplications[Cluster ROKS cible],$F1194,TblApplications[Action],"À migrer",TblApplications[Déjà incluse ROKS],"Non",TblApplications[Mois prov (calc)],"&lt;="&amp;$E1194),SUMIFS(TblApplications[CPU IKS libérable (vCPU)],TblApplications[Cluster IKS source],$F1194,TblApplications[Mois lib (calc)],"&lt;="&amp;$E1194)))</f>
        <v/>
      </c>
      <c r="Q1194" s="19" t="str">
        <f>IF($D1194&lt;&gt;1,"",IF($G1194="ROKS",SUMIFS(TblApplications[Besoin ROKS RAM (Go)],TblApplications[Cluster ROKS cible],$F1194,TblApplications[Action],"À migrer",TblApplications[Déjà incluse ROKS],"Non",TblApplications[Mois prov (calc)],"&lt;="&amp;$E1194),SUMIFS(TblApplications[RAM IKS libérable (Go)],TblApplications[Cluster IKS source],$F1194,TblApplications[Mois lib (calc)],"&lt;="&amp;$E1194)))</f>
        <v/>
      </c>
      <c r="R1194" s="19" t="str">
        <f t="shared" si="309"/>
        <v/>
      </c>
      <c r="S1194" s="19" t="str">
        <f t="shared" si="310"/>
        <v/>
      </c>
      <c r="T1194" s="19" t="str">
        <f t="shared" si="311"/>
        <v/>
      </c>
      <c r="U1194" s="19" t="str">
        <f t="shared" si="312"/>
        <v/>
      </c>
      <c r="V1194" s="19" t="str">
        <f t="shared" si="313"/>
        <v/>
      </c>
      <c r="W1194" s="73" t="str">
        <f t="shared" si="314"/>
        <v/>
      </c>
      <c r="X1194" s="19" t="str">
        <f>IF($D1194&lt;&gt;1,"",IF($G1194="ROKS",$R1194,IF($AI1194=1,0,MAX($N1194,$L1194-SUMIFS(TblApplications[CPU IKS libérable (vCPU)],TblApplications[Cluster IKS source],$F1194,TblApplications[Action],"À migrer",TblApplications[Mois prov (calc)],"&lt;="&amp;$E1194)-SUMIFS(TblApplications[CPU IKS libérable (vCPU)],TblApplications[Cluster IKS source],$F1194,TblApplications[Action],"À décommissionner",TblApplications[Mois lib (calc)],"&lt;="&amp;$E1194)))))</f>
        <v/>
      </c>
      <c r="Y1194" s="19" t="str">
        <f>IF($D1194&lt;&gt;1,"",IF($G1194="ROKS",$S1194,IF($AI1194=1,0,MAX($O1194,$M1194-SUMIFS(TblApplications[RAM IKS libérable (Go)],TblApplications[Cluster IKS source],$F1194,TblApplications[Action],"À migrer",TblApplications[Mois prov (calc)],"&lt;="&amp;$E1194)-SUMIFS(TblApplications[RAM IKS libérable (Go)],TblApplications[Cluster IKS source],$F1194,TblApplications[Action],"À décommissionner",TblApplications[Mois lib (calc)],"&lt;="&amp;$E1194)))))</f>
        <v/>
      </c>
      <c r="Z1194" s="19" t="str">
        <f t="shared" si="315"/>
        <v/>
      </c>
      <c r="AA1194" s="73" t="str">
        <f t="shared" si="316"/>
        <v/>
      </c>
      <c r="AB1194" s="19" t="str">
        <f t="shared" si="317"/>
        <v/>
      </c>
      <c r="AC1194" s="73" t="str">
        <f t="shared" si="318"/>
        <v/>
      </c>
      <c r="AD1194" s="19" t="str">
        <f t="shared" si="319"/>
        <v/>
      </c>
      <c r="AE1194" s="19" t="str">
        <f t="shared" si="320"/>
        <v/>
      </c>
      <c r="AF1194" s="19" t="str">
        <f>IF($D1194&lt;&gt;1,"",IF(INDEX(TblClusters[Environnement],$B1194)="","(vide)",INDEX(TblClusters[Environnement],$B1194)))</f>
        <v/>
      </c>
      <c r="AG1194" s="19" t="str">
        <f t="shared" si="321"/>
        <v/>
      </c>
      <c r="AH1194" s="19" t="str">
        <f t="shared" si="322"/>
        <v/>
      </c>
      <c r="AI1194" s="19" t="str">
        <f>IF($D1194&lt;&gt;1,"",IF(AND($G1194="IKS",ISNUMBER(INDEX(TblClusters[Fermeture retenue],$B1194))),IF($E1194&gt;=INDEX(TblClusters[Fermeture retenue],$B1194),1,0),0))</f>
        <v/>
      </c>
    </row>
    <row r="1195" spans="1:35" x14ac:dyDescent="0.2">
      <c r="A1195" s="19">
        <v>1190</v>
      </c>
      <c r="B1195" s="19">
        <f t="shared" si="306"/>
        <v>34</v>
      </c>
      <c r="C1195" s="19">
        <f t="shared" si="307"/>
        <v>2</v>
      </c>
      <c r="D1195" s="19">
        <f>IF($C1195&gt;p_horizon,0,IFERROR(IF(AND(INDEX(TblClusters[Cluster],$B1195)&lt;&gt;"",ISNUMBER(INDEX(TblClusters[CPU initial (vCPU)],$B1195)),ISNUMBER(INDEX(TblClusters[CPU min (vCPU)],$B1195)),OR(INDEX(TblClusters[Plateforme],$B1195)="IKS",INDEX(TblClusters[Plateforme],$B1195)="ROKS")),1,0),0))</f>
        <v>0</v>
      </c>
      <c r="E1195" s="72" t="str">
        <f t="shared" si="308"/>
        <v/>
      </c>
      <c r="F1195" s="19" t="str">
        <f>IF($D1195=1,INDEX(TblClusters[Cluster],$B1195),"")</f>
        <v/>
      </c>
      <c r="G1195" s="19" t="str">
        <f>IF($D1195=1,INDEX(TblClusters[Plateforme],$B1195),"")</f>
        <v/>
      </c>
      <c r="H1195" s="19" t="str">
        <f>IF($D1195=1,INDEX(TblClusters[vCPU par nœud],$B1195),"")</f>
        <v/>
      </c>
      <c r="I1195" s="19" t="str">
        <f>IF($D1195=1,INDEX(TblClusters[RAM par nœud (Go)],$B1195),"")</f>
        <v/>
      </c>
      <c r="J1195" s="19" t="str">
        <f>IF($D1195=1,INDEX(TblClusters[Workers min],$B1195),"")</f>
        <v/>
      </c>
      <c r="K1195" s="73" t="str">
        <f>IF($D1195=1,INDEX(TblClusters[Tarif par nœud],$B1195),"")</f>
        <v/>
      </c>
      <c r="L1195" s="19" t="str">
        <f>IF($D1195=1,INDEX(TblClusters[CPU initial (vCPU)],$B1195),"")</f>
        <v/>
      </c>
      <c r="M1195" s="19" t="str">
        <f>IF($D1195=1,INDEX(TblClusters[RAM initiale (Go)],$B1195),"")</f>
        <v/>
      </c>
      <c r="N1195" s="19" t="str">
        <f>IF($D1195=1,INDEX(TblClusters[CPU min (vCPU)],$B1195),"")</f>
        <v/>
      </c>
      <c r="O1195" s="19" t="str">
        <f>IF($D1195=1,INDEX(TblClusters[RAM min (Go)],$B1195),"")</f>
        <v/>
      </c>
      <c r="P1195" s="19" t="str">
        <f>IF($D1195&lt;&gt;1,"",IF($G1195="ROKS",SUMIFS(TblApplications[Besoin ROKS CPU (vCPU)],TblApplications[Cluster ROKS cible],$F1195,TblApplications[Action],"À migrer",TblApplications[Déjà incluse ROKS],"Non",TblApplications[Mois prov (calc)],"&lt;="&amp;$E1195),SUMIFS(TblApplications[CPU IKS libérable (vCPU)],TblApplications[Cluster IKS source],$F1195,TblApplications[Mois lib (calc)],"&lt;="&amp;$E1195)))</f>
        <v/>
      </c>
      <c r="Q1195" s="19" t="str">
        <f>IF($D1195&lt;&gt;1,"",IF($G1195="ROKS",SUMIFS(TblApplications[Besoin ROKS RAM (Go)],TblApplications[Cluster ROKS cible],$F1195,TblApplications[Action],"À migrer",TblApplications[Déjà incluse ROKS],"Non",TblApplications[Mois prov (calc)],"&lt;="&amp;$E1195),SUMIFS(TblApplications[RAM IKS libérable (Go)],TblApplications[Cluster IKS source],$F1195,TblApplications[Mois lib (calc)],"&lt;="&amp;$E1195)))</f>
        <v/>
      </c>
      <c r="R1195" s="19" t="str">
        <f t="shared" si="309"/>
        <v/>
      </c>
      <c r="S1195" s="19" t="str">
        <f t="shared" si="310"/>
        <v/>
      </c>
      <c r="T1195" s="19" t="str">
        <f t="shared" si="311"/>
        <v/>
      </c>
      <c r="U1195" s="19" t="str">
        <f t="shared" si="312"/>
        <v/>
      </c>
      <c r="V1195" s="19" t="str">
        <f t="shared" si="313"/>
        <v/>
      </c>
      <c r="W1195" s="73" t="str">
        <f t="shared" si="314"/>
        <v/>
      </c>
      <c r="X1195" s="19" t="str">
        <f>IF($D1195&lt;&gt;1,"",IF($G1195="ROKS",$R1195,IF($AI1195=1,0,MAX($N1195,$L1195-SUMIFS(TblApplications[CPU IKS libérable (vCPU)],TblApplications[Cluster IKS source],$F1195,TblApplications[Action],"À migrer",TblApplications[Mois prov (calc)],"&lt;="&amp;$E1195)-SUMIFS(TblApplications[CPU IKS libérable (vCPU)],TblApplications[Cluster IKS source],$F1195,TblApplications[Action],"À décommissionner",TblApplications[Mois lib (calc)],"&lt;="&amp;$E1195)))))</f>
        <v/>
      </c>
      <c r="Y1195" s="19" t="str">
        <f>IF($D1195&lt;&gt;1,"",IF($G1195="ROKS",$S1195,IF($AI1195=1,0,MAX($O1195,$M1195-SUMIFS(TblApplications[RAM IKS libérable (Go)],TblApplications[Cluster IKS source],$F1195,TblApplications[Action],"À migrer",TblApplications[Mois prov (calc)],"&lt;="&amp;$E1195)-SUMIFS(TblApplications[RAM IKS libérable (Go)],TblApplications[Cluster IKS source],$F1195,TblApplications[Action],"À décommissionner",TblApplications[Mois lib (calc)],"&lt;="&amp;$E1195)))))</f>
        <v/>
      </c>
      <c r="Z1195" s="19" t="str">
        <f t="shared" si="315"/>
        <v/>
      </c>
      <c r="AA1195" s="73" t="str">
        <f t="shared" si="316"/>
        <v/>
      </c>
      <c r="AB1195" s="19" t="str">
        <f t="shared" si="317"/>
        <v/>
      </c>
      <c r="AC1195" s="73" t="str">
        <f t="shared" si="318"/>
        <v/>
      </c>
      <c r="AD1195" s="19" t="str">
        <f t="shared" si="319"/>
        <v/>
      </c>
      <c r="AE1195" s="19" t="str">
        <f t="shared" si="320"/>
        <v/>
      </c>
      <c r="AF1195" s="19" t="str">
        <f>IF($D1195&lt;&gt;1,"",IF(INDEX(TblClusters[Environnement],$B1195)="","(vide)",INDEX(TblClusters[Environnement],$B1195)))</f>
        <v/>
      </c>
      <c r="AG1195" s="19" t="str">
        <f t="shared" si="321"/>
        <v/>
      </c>
      <c r="AH1195" s="19" t="str">
        <f t="shared" si="322"/>
        <v/>
      </c>
      <c r="AI1195" s="19" t="str">
        <f>IF($D1195&lt;&gt;1,"",IF(AND($G1195="IKS",ISNUMBER(INDEX(TblClusters[Fermeture retenue],$B1195))),IF($E1195&gt;=INDEX(TblClusters[Fermeture retenue],$B1195),1,0),0))</f>
        <v/>
      </c>
    </row>
    <row r="1196" spans="1:35" x14ac:dyDescent="0.2">
      <c r="A1196" s="19">
        <v>1191</v>
      </c>
      <c r="B1196" s="19">
        <f t="shared" si="306"/>
        <v>34</v>
      </c>
      <c r="C1196" s="19">
        <f t="shared" si="307"/>
        <v>3</v>
      </c>
      <c r="D1196" s="19">
        <f>IF($C1196&gt;p_horizon,0,IFERROR(IF(AND(INDEX(TblClusters[Cluster],$B1196)&lt;&gt;"",ISNUMBER(INDEX(TblClusters[CPU initial (vCPU)],$B1196)),ISNUMBER(INDEX(TblClusters[CPU min (vCPU)],$B1196)),OR(INDEX(TblClusters[Plateforme],$B1196)="IKS",INDEX(TblClusters[Plateforme],$B1196)="ROKS")),1,0),0))</f>
        <v>0</v>
      </c>
      <c r="E1196" s="72" t="str">
        <f t="shared" si="308"/>
        <v/>
      </c>
      <c r="F1196" s="19" t="str">
        <f>IF($D1196=1,INDEX(TblClusters[Cluster],$B1196),"")</f>
        <v/>
      </c>
      <c r="G1196" s="19" t="str">
        <f>IF($D1196=1,INDEX(TblClusters[Plateforme],$B1196),"")</f>
        <v/>
      </c>
      <c r="H1196" s="19" t="str">
        <f>IF($D1196=1,INDEX(TblClusters[vCPU par nœud],$B1196),"")</f>
        <v/>
      </c>
      <c r="I1196" s="19" t="str">
        <f>IF($D1196=1,INDEX(TblClusters[RAM par nœud (Go)],$B1196),"")</f>
        <v/>
      </c>
      <c r="J1196" s="19" t="str">
        <f>IF($D1196=1,INDEX(TblClusters[Workers min],$B1196),"")</f>
        <v/>
      </c>
      <c r="K1196" s="73" t="str">
        <f>IF($D1196=1,INDEX(TblClusters[Tarif par nœud],$B1196),"")</f>
        <v/>
      </c>
      <c r="L1196" s="19" t="str">
        <f>IF($D1196=1,INDEX(TblClusters[CPU initial (vCPU)],$B1196),"")</f>
        <v/>
      </c>
      <c r="M1196" s="19" t="str">
        <f>IF($D1196=1,INDEX(TblClusters[RAM initiale (Go)],$B1196),"")</f>
        <v/>
      </c>
      <c r="N1196" s="19" t="str">
        <f>IF($D1196=1,INDEX(TblClusters[CPU min (vCPU)],$B1196),"")</f>
        <v/>
      </c>
      <c r="O1196" s="19" t="str">
        <f>IF($D1196=1,INDEX(TblClusters[RAM min (Go)],$B1196),"")</f>
        <v/>
      </c>
      <c r="P1196" s="19" t="str">
        <f>IF($D1196&lt;&gt;1,"",IF($G1196="ROKS",SUMIFS(TblApplications[Besoin ROKS CPU (vCPU)],TblApplications[Cluster ROKS cible],$F1196,TblApplications[Action],"À migrer",TblApplications[Déjà incluse ROKS],"Non",TblApplications[Mois prov (calc)],"&lt;="&amp;$E1196),SUMIFS(TblApplications[CPU IKS libérable (vCPU)],TblApplications[Cluster IKS source],$F1196,TblApplications[Mois lib (calc)],"&lt;="&amp;$E1196)))</f>
        <v/>
      </c>
      <c r="Q1196" s="19" t="str">
        <f>IF($D1196&lt;&gt;1,"",IF($G1196="ROKS",SUMIFS(TblApplications[Besoin ROKS RAM (Go)],TblApplications[Cluster ROKS cible],$F1196,TblApplications[Action],"À migrer",TblApplications[Déjà incluse ROKS],"Non",TblApplications[Mois prov (calc)],"&lt;="&amp;$E1196),SUMIFS(TblApplications[RAM IKS libérable (Go)],TblApplications[Cluster IKS source],$F1196,TblApplications[Mois lib (calc)],"&lt;="&amp;$E1196)))</f>
        <v/>
      </c>
      <c r="R1196" s="19" t="str">
        <f t="shared" si="309"/>
        <v/>
      </c>
      <c r="S1196" s="19" t="str">
        <f t="shared" si="310"/>
        <v/>
      </c>
      <c r="T1196" s="19" t="str">
        <f t="shared" si="311"/>
        <v/>
      </c>
      <c r="U1196" s="19" t="str">
        <f t="shared" si="312"/>
        <v/>
      </c>
      <c r="V1196" s="19" t="str">
        <f t="shared" si="313"/>
        <v/>
      </c>
      <c r="W1196" s="73" t="str">
        <f t="shared" si="314"/>
        <v/>
      </c>
      <c r="X1196" s="19" t="str">
        <f>IF($D1196&lt;&gt;1,"",IF($G1196="ROKS",$R1196,IF($AI1196=1,0,MAX($N1196,$L1196-SUMIFS(TblApplications[CPU IKS libérable (vCPU)],TblApplications[Cluster IKS source],$F1196,TblApplications[Action],"À migrer",TblApplications[Mois prov (calc)],"&lt;="&amp;$E1196)-SUMIFS(TblApplications[CPU IKS libérable (vCPU)],TblApplications[Cluster IKS source],$F1196,TblApplications[Action],"À décommissionner",TblApplications[Mois lib (calc)],"&lt;="&amp;$E1196)))))</f>
        <v/>
      </c>
      <c r="Y1196" s="19" t="str">
        <f>IF($D1196&lt;&gt;1,"",IF($G1196="ROKS",$S1196,IF($AI1196=1,0,MAX($O1196,$M1196-SUMIFS(TblApplications[RAM IKS libérable (Go)],TblApplications[Cluster IKS source],$F1196,TblApplications[Action],"À migrer",TblApplications[Mois prov (calc)],"&lt;="&amp;$E1196)-SUMIFS(TblApplications[RAM IKS libérable (Go)],TblApplications[Cluster IKS source],$F1196,TblApplications[Action],"À décommissionner",TblApplications[Mois lib (calc)],"&lt;="&amp;$E1196)))))</f>
        <v/>
      </c>
      <c r="Z1196" s="19" t="str">
        <f t="shared" si="315"/>
        <v/>
      </c>
      <c r="AA1196" s="73" t="str">
        <f t="shared" si="316"/>
        <v/>
      </c>
      <c r="AB1196" s="19" t="str">
        <f t="shared" si="317"/>
        <v/>
      </c>
      <c r="AC1196" s="73" t="str">
        <f t="shared" si="318"/>
        <v/>
      </c>
      <c r="AD1196" s="19" t="str">
        <f t="shared" si="319"/>
        <v/>
      </c>
      <c r="AE1196" s="19" t="str">
        <f t="shared" si="320"/>
        <v/>
      </c>
      <c r="AF1196" s="19" t="str">
        <f>IF($D1196&lt;&gt;1,"",IF(INDEX(TblClusters[Environnement],$B1196)="","(vide)",INDEX(TblClusters[Environnement],$B1196)))</f>
        <v/>
      </c>
      <c r="AG1196" s="19" t="str">
        <f t="shared" si="321"/>
        <v/>
      </c>
      <c r="AH1196" s="19" t="str">
        <f t="shared" si="322"/>
        <v/>
      </c>
      <c r="AI1196" s="19" t="str">
        <f>IF($D1196&lt;&gt;1,"",IF(AND($G1196="IKS",ISNUMBER(INDEX(TblClusters[Fermeture retenue],$B1196))),IF($E1196&gt;=INDEX(TblClusters[Fermeture retenue],$B1196),1,0),0))</f>
        <v/>
      </c>
    </row>
    <row r="1197" spans="1:35" x14ac:dyDescent="0.2">
      <c r="A1197" s="19">
        <v>1192</v>
      </c>
      <c r="B1197" s="19">
        <f t="shared" si="306"/>
        <v>34</v>
      </c>
      <c r="C1197" s="19">
        <f t="shared" si="307"/>
        <v>4</v>
      </c>
      <c r="D1197" s="19">
        <f>IF($C1197&gt;p_horizon,0,IFERROR(IF(AND(INDEX(TblClusters[Cluster],$B1197)&lt;&gt;"",ISNUMBER(INDEX(TblClusters[CPU initial (vCPU)],$B1197)),ISNUMBER(INDEX(TblClusters[CPU min (vCPU)],$B1197)),OR(INDEX(TblClusters[Plateforme],$B1197)="IKS",INDEX(TblClusters[Plateforme],$B1197)="ROKS")),1,0),0))</f>
        <v>0</v>
      </c>
      <c r="E1197" s="72" t="str">
        <f t="shared" si="308"/>
        <v/>
      </c>
      <c r="F1197" s="19" t="str">
        <f>IF($D1197=1,INDEX(TblClusters[Cluster],$B1197),"")</f>
        <v/>
      </c>
      <c r="G1197" s="19" t="str">
        <f>IF($D1197=1,INDEX(TblClusters[Plateforme],$B1197),"")</f>
        <v/>
      </c>
      <c r="H1197" s="19" t="str">
        <f>IF($D1197=1,INDEX(TblClusters[vCPU par nœud],$B1197),"")</f>
        <v/>
      </c>
      <c r="I1197" s="19" t="str">
        <f>IF($D1197=1,INDEX(TblClusters[RAM par nœud (Go)],$B1197),"")</f>
        <v/>
      </c>
      <c r="J1197" s="19" t="str">
        <f>IF($D1197=1,INDEX(TblClusters[Workers min],$B1197),"")</f>
        <v/>
      </c>
      <c r="K1197" s="73" t="str">
        <f>IF($D1197=1,INDEX(TblClusters[Tarif par nœud],$B1197),"")</f>
        <v/>
      </c>
      <c r="L1197" s="19" t="str">
        <f>IF($D1197=1,INDEX(TblClusters[CPU initial (vCPU)],$B1197),"")</f>
        <v/>
      </c>
      <c r="M1197" s="19" t="str">
        <f>IF($D1197=1,INDEX(TblClusters[RAM initiale (Go)],$B1197),"")</f>
        <v/>
      </c>
      <c r="N1197" s="19" t="str">
        <f>IF($D1197=1,INDEX(TblClusters[CPU min (vCPU)],$B1197),"")</f>
        <v/>
      </c>
      <c r="O1197" s="19" t="str">
        <f>IF($D1197=1,INDEX(TblClusters[RAM min (Go)],$B1197),"")</f>
        <v/>
      </c>
      <c r="P1197" s="19" t="str">
        <f>IF($D1197&lt;&gt;1,"",IF($G1197="ROKS",SUMIFS(TblApplications[Besoin ROKS CPU (vCPU)],TblApplications[Cluster ROKS cible],$F1197,TblApplications[Action],"À migrer",TblApplications[Déjà incluse ROKS],"Non",TblApplications[Mois prov (calc)],"&lt;="&amp;$E1197),SUMIFS(TblApplications[CPU IKS libérable (vCPU)],TblApplications[Cluster IKS source],$F1197,TblApplications[Mois lib (calc)],"&lt;="&amp;$E1197)))</f>
        <v/>
      </c>
      <c r="Q1197" s="19" t="str">
        <f>IF($D1197&lt;&gt;1,"",IF($G1197="ROKS",SUMIFS(TblApplications[Besoin ROKS RAM (Go)],TblApplications[Cluster ROKS cible],$F1197,TblApplications[Action],"À migrer",TblApplications[Déjà incluse ROKS],"Non",TblApplications[Mois prov (calc)],"&lt;="&amp;$E1197),SUMIFS(TblApplications[RAM IKS libérable (Go)],TblApplications[Cluster IKS source],$F1197,TblApplications[Mois lib (calc)],"&lt;="&amp;$E1197)))</f>
        <v/>
      </c>
      <c r="R1197" s="19" t="str">
        <f t="shared" si="309"/>
        <v/>
      </c>
      <c r="S1197" s="19" t="str">
        <f t="shared" si="310"/>
        <v/>
      </c>
      <c r="T1197" s="19" t="str">
        <f t="shared" si="311"/>
        <v/>
      </c>
      <c r="U1197" s="19" t="str">
        <f t="shared" si="312"/>
        <v/>
      </c>
      <c r="V1197" s="19" t="str">
        <f t="shared" si="313"/>
        <v/>
      </c>
      <c r="W1197" s="73" t="str">
        <f t="shared" si="314"/>
        <v/>
      </c>
      <c r="X1197" s="19" t="str">
        <f>IF($D1197&lt;&gt;1,"",IF($G1197="ROKS",$R1197,IF($AI1197=1,0,MAX($N1197,$L1197-SUMIFS(TblApplications[CPU IKS libérable (vCPU)],TblApplications[Cluster IKS source],$F1197,TblApplications[Action],"À migrer",TblApplications[Mois prov (calc)],"&lt;="&amp;$E1197)-SUMIFS(TblApplications[CPU IKS libérable (vCPU)],TblApplications[Cluster IKS source],$F1197,TblApplications[Action],"À décommissionner",TblApplications[Mois lib (calc)],"&lt;="&amp;$E1197)))))</f>
        <v/>
      </c>
      <c r="Y1197" s="19" t="str">
        <f>IF($D1197&lt;&gt;1,"",IF($G1197="ROKS",$S1197,IF($AI1197=1,0,MAX($O1197,$M1197-SUMIFS(TblApplications[RAM IKS libérable (Go)],TblApplications[Cluster IKS source],$F1197,TblApplications[Action],"À migrer",TblApplications[Mois prov (calc)],"&lt;="&amp;$E1197)-SUMIFS(TblApplications[RAM IKS libérable (Go)],TblApplications[Cluster IKS source],$F1197,TblApplications[Action],"À décommissionner",TblApplications[Mois lib (calc)],"&lt;="&amp;$E1197)))))</f>
        <v/>
      </c>
      <c r="Z1197" s="19" t="str">
        <f t="shared" si="315"/>
        <v/>
      </c>
      <c r="AA1197" s="73" t="str">
        <f t="shared" si="316"/>
        <v/>
      </c>
      <c r="AB1197" s="19" t="str">
        <f t="shared" si="317"/>
        <v/>
      </c>
      <c r="AC1197" s="73" t="str">
        <f t="shared" si="318"/>
        <v/>
      </c>
      <c r="AD1197" s="19" t="str">
        <f t="shared" si="319"/>
        <v/>
      </c>
      <c r="AE1197" s="19" t="str">
        <f t="shared" si="320"/>
        <v/>
      </c>
      <c r="AF1197" s="19" t="str">
        <f>IF($D1197&lt;&gt;1,"",IF(INDEX(TblClusters[Environnement],$B1197)="","(vide)",INDEX(TblClusters[Environnement],$B1197)))</f>
        <v/>
      </c>
      <c r="AG1197" s="19" t="str">
        <f t="shared" si="321"/>
        <v/>
      </c>
      <c r="AH1197" s="19" t="str">
        <f t="shared" si="322"/>
        <v/>
      </c>
      <c r="AI1197" s="19" t="str">
        <f>IF($D1197&lt;&gt;1,"",IF(AND($G1197="IKS",ISNUMBER(INDEX(TblClusters[Fermeture retenue],$B1197))),IF($E1197&gt;=INDEX(TblClusters[Fermeture retenue],$B1197),1,0),0))</f>
        <v/>
      </c>
    </row>
    <row r="1198" spans="1:35" x14ac:dyDescent="0.2">
      <c r="A1198" s="19">
        <v>1193</v>
      </c>
      <c r="B1198" s="19">
        <f t="shared" si="306"/>
        <v>34</v>
      </c>
      <c r="C1198" s="19">
        <f t="shared" si="307"/>
        <v>5</v>
      </c>
      <c r="D1198" s="19">
        <f>IF($C1198&gt;p_horizon,0,IFERROR(IF(AND(INDEX(TblClusters[Cluster],$B1198)&lt;&gt;"",ISNUMBER(INDEX(TblClusters[CPU initial (vCPU)],$B1198)),ISNUMBER(INDEX(TblClusters[CPU min (vCPU)],$B1198)),OR(INDEX(TblClusters[Plateforme],$B1198)="IKS",INDEX(TblClusters[Plateforme],$B1198)="ROKS")),1,0),0))</f>
        <v>0</v>
      </c>
      <c r="E1198" s="72" t="str">
        <f t="shared" si="308"/>
        <v/>
      </c>
      <c r="F1198" s="19" t="str">
        <f>IF($D1198=1,INDEX(TblClusters[Cluster],$B1198),"")</f>
        <v/>
      </c>
      <c r="G1198" s="19" t="str">
        <f>IF($D1198=1,INDEX(TblClusters[Plateforme],$B1198),"")</f>
        <v/>
      </c>
      <c r="H1198" s="19" t="str">
        <f>IF($D1198=1,INDEX(TblClusters[vCPU par nœud],$B1198),"")</f>
        <v/>
      </c>
      <c r="I1198" s="19" t="str">
        <f>IF($D1198=1,INDEX(TblClusters[RAM par nœud (Go)],$B1198),"")</f>
        <v/>
      </c>
      <c r="J1198" s="19" t="str">
        <f>IF($D1198=1,INDEX(TblClusters[Workers min],$B1198),"")</f>
        <v/>
      </c>
      <c r="K1198" s="73" t="str">
        <f>IF($D1198=1,INDEX(TblClusters[Tarif par nœud],$B1198),"")</f>
        <v/>
      </c>
      <c r="L1198" s="19" t="str">
        <f>IF($D1198=1,INDEX(TblClusters[CPU initial (vCPU)],$B1198),"")</f>
        <v/>
      </c>
      <c r="M1198" s="19" t="str">
        <f>IF($D1198=1,INDEX(TblClusters[RAM initiale (Go)],$B1198),"")</f>
        <v/>
      </c>
      <c r="N1198" s="19" t="str">
        <f>IF($D1198=1,INDEX(TblClusters[CPU min (vCPU)],$B1198),"")</f>
        <v/>
      </c>
      <c r="O1198" s="19" t="str">
        <f>IF($D1198=1,INDEX(TblClusters[RAM min (Go)],$B1198),"")</f>
        <v/>
      </c>
      <c r="P1198" s="19" t="str">
        <f>IF($D1198&lt;&gt;1,"",IF($G1198="ROKS",SUMIFS(TblApplications[Besoin ROKS CPU (vCPU)],TblApplications[Cluster ROKS cible],$F1198,TblApplications[Action],"À migrer",TblApplications[Déjà incluse ROKS],"Non",TblApplications[Mois prov (calc)],"&lt;="&amp;$E1198),SUMIFS(TblApplications[CPU IKS libérable (vCPU)],TblApplications[Cluster IKS source],$F1198,TblApplications[Mois lib (calc)],"&lt;="&amp;$E1198)))</f>
        <v/>
      </c>
      <c r="Q1198" s="19" t="str">
        <f>IF($D1198&lt;&gt;1,"",IF($G1198="ROKS",SUMIFS(TblApplications[Besoin ROKS RAM (Go)],TblApplications[Cluster ROKS cible],$F1198,TblApplications[Action],"À migrer",TblApplications[Déjà incluse ROKS],"Non",TblApplications[Mois prov (calc)],"&lt;="&amp;$E1198),SUMIFS(TblApplications[RAM IKS libérable (Go)],TblApplications[Cluster IKS source],$F1198,TblApplications[Mois lib (calc)],"&lt;="&amp;$E1198)))</f>
        <v/>
      </c>
      <c r="R1198" s="19" t="str">
        <f t="shared" si="309"/>
        <v/>
      </c>
      <c r="S1198" s="19" t="str">
        <f t="shared" si="310"/>
        <v/>
      </c>
      <c r="T1198" s="19" t="str">
        <f t="shared" si="311"/>
        <v/>
      </c>
      <c r="U1198" s="19" t="str">
        <f t="shared" si="312"/>
        <v/>
      </c>
      <c r="V1198" s="19" t="str">
        <f t="shared" si="313"/>
        <v/>
      </c>
      <c r="W1198" s="73" t="str">
        <f t="shared" si="314"/>
        <v/>
      </c>
      <c r="X1198" s="19" t="str">
        <f>IF($D1198&lt;&gt;1,"",IF($G1198="ROKS",$R1198,IF($AI1198=1,0,MAX($N1198,$L1198-SUMIFS(TblApplications[CPU IKS libérable (vCPU)],TblApplications[Cluster IKS source],$F1198,TblApplications[Action],"À migrer",TblApplications[Mois prov (calc)],"&lt;="&amp;$E1198)-SUMIFS(TblApplications[CPU IKS libérable (vCPU)],TblApplications[Cluster IKS source],$F1198,TblApplications[Action],"À décommissionner",TblApplications[Mois lib (calc)],"&lt;="&amp;$E1198)))))</f>
        <v/>
      </c>
      <c r="Y1198" s="19" t="str">
        <f>IF($D1198&lt;&gt;1,"",IF($G1198="ROKS",$S1198,IF($AI1198=1,0,MAX($O1198,$M1198-SUMIFS(TblApplications[RAM IKS libérable (Go)],TblApplications[Cluster IKS source],$F1198,TblApplications[Action],"À migrer",TblApplications[Mois prov (calc)],"&lt;="&amp;$E1198)-SUMIFS(TblApplications[RAM IKS libérable (Go)],TblApplications[Cluster IKS source],$F1198,TblApplications[Action],"À décommissionner",TblApplications[Mois lib (calc)],"&lt;="&amp;$E1198)))))</f>
        <v/>
      </c>
      <c r="Z1198" s="19" t="str">
        <f t="shared" si="315"/>
        <v/>
      </c>
      <c r="AA1198" s="73" t="str">
        <f t="shared" si="316"/>
        <v/>
      </c>
      <c r="AB1198" s="19" t="str">
        <f t="shared" si="317"/>
        <v/>
      </c>
      <c r="AC1198" s="73" t="str">
        <f t="shared" si="318"/>
        <v/>
      </c>
      <c r="AD1198" s="19" t="str">
        <f t="shared" si="319"/>
        <v/>
      </c>
      <c r="AE1198" s="19" t="str">
        <f t="shared" si="320"/>
        <v/>
      </c>
      <c r="AF1198" s="19" t="str">
        <f>IF($D1198&lt;&gt;1,"",IF(INDEX(TblClusters[Environnement],$B1198)="","(vide)",INDEX(TblClusters[Environnement],$B1198)))</f>
        <v/>
      </c>
      <c r="AG1198" s="19" t="str">
        <f t="shared" si="321"/>
        <v/>
      </c>
      <c r="AH1198" s="19" t="str">
        <f t="shared" si="322"/>
        <v/>
      </c>
      <c r="AI1198" s="19" t="str">
        <f>IF($D1198&lt;&gt;1,"",IF(AND($G1198="IKS",ISNUMBER(INDEX(TblClusters[Fermeture retenue],$B1198))),IF($E1198&gt;=INDEX(TblClusters[Fermeture retenue],$B1198),1,0),0))</f>
        <v/>
      </c>
    </row>
    <row r="1199" spans="1:35" x14ac:dyDescent="0.2">
      <c r="A1199" s="19">
        <v>1194</v>
      </c>
      <c r="B1199" s="19">
        <f t="shared" si="306"/>
        <v>34</v>
      </c>
      <c r="C1199" s="19">
        <f t="shared" si="307"/>
        <v>6</v>
      </c>
      <c r="D1199" s="19">
        <f>IF($C1199&gt;p_horizon,0,IFERROR(IF(AND(INDEX(TblClusters[Cluster],$B1199)&lt;&gt;"",ISNUMBER(INDEX(TblClusters[CPU initial (vCPU)],$B1199)),ISNUMBER(INDEX(TblClusters[CPU min (vCPU)],$B1199)),OR(INDEX(TblClusters[Plateforme],$B1199)="IKS",INDEX(TblClusters[Plateforme],$B1199)="ROKS")),1,0),0))</f>
        <v>0</v>
      </c>
      <c r="E1199" s="72" t="str">
        <f t="shared" si="308"/>
        <v/>
      </c>
      <c r="F1199" s="19" t="str">
        <f>IF($D1199=1,INDEX(TblClusters[Cluster],$B1199),"")</f>
        <v/>
      </c>
      <c r="G1199" s="19" t="str">
        <f>IF($D1199=1,INDEX(TblClusters[Plateforme],$B1199),"")</f>
        <v/>
      </c>
      <c r="H1199" s="19" t="str">
        <f>IF($D1199=1,INDEX(TblClusters[vCPU par nœud],$B1199),"")</f>
        <v/>
      </c>
      <c r="I1199" s="19" t="str">
        <f>IF($D1199=1,INDEX(TblClusters[RAM par nœud (Go)],$B1199),"")</f>
        <v/>
      </c>
      <c r="J1199" s="19" t="str">
        <f>IF($D1199=1,INDEX(TblClusters[Workers min],$B1199),"")</f>
        <v/>
      </c>
      <c r="K1199" s="73" t="str">
        <f>IF($D1199=1,INDEX(TblClusters[Tarif par nœud],$B1199),"")</f>
        <v/>
      </c>
      <c r="L1199" s="19" t="str">
        <f>IF($D1199=1,INDEX(TblClusters[CPU initial (vCPU)],$B1199),"")</f>
        <v/>
      </c>
      <c r="M1199" s="19" t="str">
        <f>IF($D1199=1,INDEX(TblClusters[RAM initiale (Go)],$B1199),"")</f>
        <v/>
      </c>
      <c r="N1199" s="19" t="str">
        <f>IF($D1199=1,INDEX(TblClusters[CPU min (vCPU)],$B1199),"")</f>
        <v/>
      </c>
      <c r="O1199" s="19" t="str">
        <f>IF($D1199=1,INDEX(TblClusters[RAM min (Go)],$B1199),"")</f>
        <v/>
      </c>
      <c r="P1199" s="19" t="str">
        <f>IF($D1199&lt;&gt;1,"",IF($G1199="ROKS",SUMIFS(TblApplications[Besoin ROKS CPU (vCPU)],TblApplications[Cluster ROKS cible],$F1199,TblApplications[Action],"À migrer",TblApplications[Déjà incluse ROKS],"Non",TblApplications[Mois prov (calc)],"&lt;="&amp;$E1199),SUMIFS(TblApplications[CPU IKS libérable (vCPU)],TblApplications[Cluster IKS source],$F1199,TblApplications[Mois lib (calc)],"&lt;="&amp;$E1199)))</f>
        <v/>
      </c>
      <c r="Q1199" s="19" t="str">
        <f>IF($D1199&lt;&gt;1,"",IF($G1199="ROKS",SUMIFS(TblApplications[Besoin ROKS RAM (Go)],TblApplications[Cluster ROKS cible],$F1199,TblApplications[Action],"À migrer",TblApplications[Déjà incluse ROKS],"Non",TblApplications[Mois prov (calc)],"&lt;="&amp;$E1199),SUMIFS(TblApplications[RAM IKS libérable (Go)],TblApplications[Cluster IKS source],$F1199,TblApplications[Mois lib (calc)],"&lt;="&amp;$E1199)))</f>
        <v/>
      </c>
      <c r="R1199" s="19" t="str">
        <f t="shared" si="309"/>
        <v/>
      </c>
      <c r="S1199" s="19" t="str">
        <f t="shared" si="310"/>
        <v/>
      </c>
      <c r="T1199" s="19" t="str">
        <f t="shared" si="311"/>
        <v/>
      </c>
      <c r="U1199" s="19" t="str">
        <f t="shared" si="312"/>
        <v/>
      </c>
      <c r="V1199" s="19" t="str">
        <f t="shared" si="313"/>
        <v/>
      </c>
      <c r="W1199" s="73" t="str">
        <f t="shared" si="314"/>
        <v/>
      </c>
      <c r="X1199" s="19" t="str">
        <f>IF($D1199&lt;&gt;1,"",IF($G1199="ROKS",$R1199,IF($AI1199=1,0,MAX($N1199,$L1199-SUMIFS(TblApplications[CPU IKS libérable (vCPU)],TblApplications[Cluster IKS source],$F1199,TblApplications[Action],"À migrer",TblApplications[Mois prov (calc)],"&lt;="&amp;$E1199)-SUMIFS(TblApplications[CPU IKS libérable (vCPU)],TblApplications[Cluster IKS source],$F1199,TblApplications[Action],"À décommissionner",TblApplications[Mois lib (calc)],"&lt;="&amp;$E1199)))))</f>
        <v/>
      </c>
      <c r="Y1199" s="19" t="str">
        <f>IF($D1199&lt;&gt;1,"",IF($G1199="ROKS",$S1199,IF($AI1199=1,0,MAX($O1199,$M1199-SUMIFS(TblApplications[RAM IKS libérable (Go)],TblApplications[Cluster IKS source],$F1199,TblApplications[Action],"À migrer",TblApplications[Mois prov (calc)],"&lt;="&amp;$E1199)-SUMIFS(TblApplications[RAM IKS libérable (Go)],TblApplications[Cluster IKS source],$F1199,TblApplications[Action],"À décommissionner",TblApplications[Mois lib (calc)],"&lt;="&amp;$E1199)))))</f>
        <v/>
      </c>
      <c r="Z1199" s="19" t="str">
        <f t="shared" si="315"/>
        <v/>
      </c>
      <c r="AA1199" s="73" t="str">
        <f t="shared" si="316"/>
        <v/>
      </c>
      <c r="AB1199" s="19" t="str">
        <f t="shared" si="317"/>
        <v/>
      </c>
      <c r="AC1199" s="73" t="str">
        <f t="shared" si="318"/>
        <v/>
      </c>
      <c r="AD1199" s="19" t="str">
        <f t="shared" si="319"/>
        <v/>
      </c>
      <c r="AE1199" s="19" t="str">
        <f t="shared" si="320"/>
        <v/>
      </c>
      <c r="AF1199" s="19" t="str">
        <f>IF($D1199&lt;&gt;1,"",IF(INDEX(TblClusters[Environnement],$B1199)="","(vide)",INDEX(TblClusters[Environnement],$B1199)))</f>
        <v/>
      </c>
      <c r="AG1199" s="19" t="str">
        <f t="shared" si="321"/>
        <v/>
      </c>
      <c r="AH1199" s="19" t="str">
        <f t="shared" si="322"/>
        <v/>
      </c>
      <c r="AI1199" s="19" t="str">
        <f>IF($D1199&lt;&gt;1,"",IF(AND($G1199="IKS",ISNUMBER(INDEX(TblClusters[Fermeture retenue],$B1199))),IF($E1199&gt;=INDEX(TblClusters[Fermeture retenue],$B1199),1,0),0))</f>
        <v/>
      </c>
    </row>
    <row r="1200" spans="1:35" x14ac:dyDescent="0.2">
      <c r="A1200" s="19">
        <v>1195</v>
      </c>
      <c r="B1200" s="19">
        <f t="shared" si="306"/>
        <v>34</v>
      </c>
      <c r="C1200" s="19">
        <f t="shared" si="307"/>
        <v>7</v>
      </c>
      <c r="D1200" s="19">
        <f>IF($C1200&gt;p_horizon,0,IFERROR(IF(AND(INDEX(TblClusters[Cluster],$B1200)&lt;&gt;"",ISNUMBER(INDEX(TblClusters[CPU initial (vCPU)],$B1200)),ISNUMBER(INDEX(TblClusters[CPU min (vCPU)],$B1200)),OR(INDEX(TblClusters[Plateforme],$B1200)="IKS",INDEX(TblClusters[Plateforme],$B1200)="ROKS")),1,0),0))</f>
        <v>0</v>
      </c>
      <c r="E1200" s="72" t="str">
        <f t="shared" si="308"/>
        <v/>
      </c>
      <c r="F1200" s="19" t="str">
        <f>IF($D1200=1,INDEX(TblClusters[Cluster],$B1200),"")</f>
        <v/>
      </c>
      <c r="G1200" s="19" t="str">
        <f>IF($D1200=1,INDEX(TblClusters[Plateforme],$B1200),"")</f>
        <v/>
      </c>
      <c r="H1200" s="19" t="str">
        <f>IF($D1200=1,INDEX(TblClusters[vCPU par nœud],$B1200),"")</f>
        <v/>
      </c>
      <c r="I1200" s="19" t="str">
        <f>IF($D1200=1,INDEX(TblClusters[RAM par nœud (Go)],$B1200),"")</f>
        <v/>
      </c>
      <c r="J1200" s="19" t="str">
        <f>IF($D1200=1,INDEX(TblClusters[Workers min],$B1200),"")</f>
        <v/>
      </c>
      <c r="K1200" s="73" t="str">
        <f>IF($D1200=1,INDEX(TblClusters[Tarif par nœud],$B1200),"")</f>
        <v/>
      </c>
      <c r="L1200" s="19" t="str">
        <f>IF($D1200=1,INDEX(TblClusters[CPU initial (vCPU)],$B1200),"")</f>
        <v/>
      </c>
      <c r="M1200" s="19" t="str">
        <f>IF($D1200=1,INDEX(TblClusters[RAM initiale (Go)],$B1200),"")</f>
        <v/>
      </c>
      <c r="N1200" s="19" t="str">
        <f>IF($D1200=1,INDEX(TblClusters[CPU min (vCPU)],$B1200),"")</f>
        <v/>
      </c>
      <c r="O1200" s="19" t="str">
        <f>IF($D1200=1,INDEX(TblClusters[RAM min (Go)],$B1200),"")</f>
        <v/>
      </c>
      <c r="P1200" s="19" t="str">
        <f>IF($D1200&lt;&gt;1,"",IF($G1200="ROKS",SUMIFS(TblApplications[Besoin ROKS CPU (vCPU)],TblApplications[Cluster ROKS cible],$F1200,TblApplications[Action],"À migrer",TblApplications[Déjà incluse ROKS],"Non",TblApplications[Mois prov (calc)],"&lt;="&amp;$E1200),SUMIFS(TblApplications[CPU IKS libérable (vCPU)],TblApplications[Cluster IKS source],$F1200,TblApplications[Mois lib (calc)],"&lt;="&amp;$E1200)))</f>
        <v/>
      </c>
      <c r="Q1200" s="19" t="str">
        <f>IF($D1200&lt;&gt;1,"",IF($G1200="ROKS",SUMIFS(TblApplications[Besoin ROKS RAM (Go)],TblApplications[Cluster ROKS cible],$F1200,TblApplications[Action],"À migrer",TblApplications[Déjà incluse ROKS],"Non",TblApplications[Mois prov (calc)],"&lt;="&amp;$E1200),SUMIFS(TblApplications[RAM IKS libérable (Go)],TblApplications[Cluster IKS source],$F1200,TblApplications[Mois lib (calc)],"&lt;="&amp;$E1200)))</f>
        <v/>
      </c>
      <c r="R1200" s="19" t="str">
        <f t="shared" si="309"/>
        <v/>
      </c>
      <c r="S1200" s="19" t="str">
        <f t="shared" si="310"/>
        <v/>
      </c>
      <c r="T1200" s="19" t="str">
        <f t="shared" si="311"/>
        <v/>
      </c>
      <c r="U1200" s="19" t="str">
        <f t="shared" si="312"/>
        <v/>
      </c>
      <c r="V1200" s="19" t="str">
        <f t="shared" si="313"/>
        <v/>
      </c>
      <c r="W1200" s="73" t="str">
        <f t="shared" si="314"/>
        <v/>
      </c>
      <c r="X1200" s="19" t="str">
        <f>IF($D1200&lt;&gt;1,"",IF($G1200="ROKS",$R1200,IF($AI1200=1,0,MAX($N1200,$L1200-SUMIFS(TblApplications[CPU IKS libérable (vCPU)],TblApplications[Cluster IKS source],$F1200,TblApplications[Action],"À migrer",TblApplications[Mois prov (calc)],"&lt;="&amp;$E1200)-SUMIFS(TblApplications[CPU IKS libérable (vCPU)],TblApplications[Cluster IKS source],$F1200,TblApplications[Action],"À décommissionner",TblApplications[Mois lib (calc)],"&lt;="&amp;$E1200)))))</f>
        <v/>
      </c>
      <c r="Y1200" s="19" t="str">
        <f>IF($D1200&lt;&gt;1,"",IF($G1200="ROKS",$S1200,IF($AI1200=1,0,MAX($O1200,$M1200-SUMIFS(TblApplications[RAM IKS libérable (Go)],TblApplications[Cluster IKS source],$F1200,TblApplications[Action],"À migrer",TblApplications[Mois prov (calc)],"&lt;="&amp;$E1200)-SUMIFS(TblApplications[RAM IKS libérable (Go)],TblApplications[Cluster IKS source],$F1200,TblApplications[Action],"À décommissionner",TblApplications[Mois lib (calc)],"&lt;="&amp;$E1200)))))</f>
        <v/>
      </c>
      <c r="Z1200" s="19" t="str">
        <f t="shared" si="315"/>
        <v/>
      </c>
      <c r="AA1200" s="73" t="str">
        <f t="shared" si="316"/>
        <v/>
      </c>
      <c r="AB1200" s="19" t="str">
        <f t="shared" si="317"/>
        <v/>
      </c>
      <c r="AC1200" s="73" t="str">
        <f t="shared" si="318"/>
        <v/>
      </c>
      <c r="AD1200" s="19" t="str">
        <f t="shared" si="319"/>
        <v/>
      </c>
      <c r="AE1200" s="19" t="str">
        <f t="shared" si="320"/>
        <v/>
      </c>
      <c r="AF1200" s="19" t="str">
        <f>IF($D1200&lt;&gt;1,"",IF(INDEX(TblClusters[Environnement],$B1200)="","(vide)",INDEX(TblClusters[Environnement],$B1200)))</f>
        <v/>
      </c>
      <c r="AG1200" s="19" t="str">
        <f t="shared" si="321"/>
        <v/>
      </c>
      <c r="AH1200" s="19" t="str">
        <f t="shared" si="322"/>
        <v/>
      </c>
      <c r="AI1200" s="19" t="str">
        <f>IF($D1200&lt;&gt;1,"",IF(AND($G1200="IKS",ISNUMBER(INDEX(TblClusters[Fermeture retenue],$B1200))),IF($E1200&gt;=INDEX(TblClusters[Fermeture retenue],$B1200),1,0),0))</f>
        <v/>
      </c>
    </row>
    <row r="1201" spans="1:35" x14ac:dyDescent="0.2">
      <c r="A1201" s="19">
        <v>1196</v>
      </c>
      <c r="B1201" s="19">
        <f t="shared" si="306"/>
        <v>34</v>
      </c>
      <c r="C1201" s="19">
        <f t="shared" si="307"/>
        <v>8</v>
      </c>
      <c r="D1201" s="19">
        <f>IF($C1201&gt;p_horizon,0,IFERROR(IF(AND(INDEX(TblClusters[Cluster],$B1201)&lt;&gt;"",ISNUMBER(INDEX(TblClusters[CPU initial (vCPU)],$B1201)),ISNUMBER(INDEX(TblClusters[CPU min (vCPU)],$B1201)),OR(INDEX(TblClusters[Plateforme],$B1201)="IKS",INDEX(TblClusters[Plateforme],$B1201)="ROKS")),1,0),0))</f>
        <v>0</v>
      </c>
      <c r="E1201" s="72" t="str">
        <f t="shared" si="308"/>
        <v/>
      </c>
      <c r="F1201" s="19" t="str">
        <f>IF($D1201=1,INDEX(TblClusters[Cluster],$B1201),"")</f>
        <v/>
      </c>
      <c r="G1201" s="19" t="str">
        <f>IF($D1201=1,INDEX(TblClusters[Plateforme],$B1201),"")</f>
        <v/>
      </c>
      <c r="H1201" s="19" t="str">
        <f>IF($D1201=1,INDEX(TblClusters[vCPU par nœud],$B1201),"")</f>
        <v/>
      </c>
      <c r="I1201" s="19" t="str">
        <f>IF($D1201=1,INDEX(TblClusters[RAM par nœud (Go)],$B1201),"")</f>
        <v/>
      </c>
      <c r="J1201" s="19" t="str">
        <f>IF($D1201=1,INDEX(TblClusters[Workers min],$B1201),"")</f>
        <v/>
      </c>
      <c r="K1201" s="73" t="str">
        <f>IF($D1201=1,INDEX(TblClusters[Tarif par nœud],$B1201),"")</f>
        <v/>
      </c>
      <c r="L1201" s="19" t="str">
        <f>IF($D1201=1,INDEX(TblClusters[CPU initial (vCPU)],$B1201),"")</f>
        <v/>
      </c>
      <c r="M1201" s="19" t="str">
        <f>IF($D1201=1,INDEX(TblClusters[RAM initiale (Go)],$B1201),"")</f>
        <v/>
      </c>
      <c r="N1201" s="19" t="str">
        <f>IF($D1201=1,INDEX(TblClusters[CPU min (vCPU)],$B1201),"")</f>
        <v/>
      </c>
      <c r="O1201" s="19" t="str">
        <f>IF($D1201=1,INDEX(TblClusters[RAM min (Go)],$B1201),"")</f>
        <v/>
      </c>
      <c r="P1201" s="19" t="str">
        <f>IF($D1201&lt;&gt;1,"",IF($G1201="ROKS",SUMIFS(TblApplications[Besoin ROKS CPU (vCPU)],TblApplications[Cluster ROKS cible],$F1201,TblApplications[Action],"À migrer",TblApplications[Déjà incluse ROKS],"Non",TblApplications[Mois prov (calc)],"&lt;="&amp;$E1201),SUMIFS(TblApplications[CPU IKS libérable (vCPU)],TblApplications[Cluster IKS source],$F1201,TblApplications[Mois lib (calc)],"&lt;="&amp;$E1201)))</f>
        <v/>
      </c>
      <c r="Q1201" s="19" t="str">
        <f>IF($D1201&lt;&gt;1,"",IF($G1201="ROKS",SUMIFS(TblApplications[Besoin ROKS RAM (Go)],TblApplications[Cluster ROKS cible],$F1201,TblApplications[Action],"À migrer",TblApplications[Déjà incluse ROKS],"Non",TblApplications[Mois prov (calc)],"&lt;="&amp;$E1201),SUMIFS(TblApplications[RAM IKS libérable (Go)],TblApplications[Cluster IKS source],$F1201,TblApplications[Mois lib (calc)],"&lt;="&amp;$E1201)))</f>
        <v/>
      </c>
      <c r="R1201" s="19" t="str">
        <f t="shared" si="309"/>
        <v/>
      </c>
      <c r="S1201" s="19" t="str">
        <f t="shared" si="310"/>
        <v/>
      </c>
      <c r="T1201" s="19" t="str">
        <f t="shared" si="311"/>
        <v/>
      </c>
      <c r="U1201" s="19" t="str">
        <f t="shared" si="312"/>
        <v/>
      </c>
      <c r="V1201" s="19" t="str">
        <f t="shared" si="313"/>
        <v/>
      </c>
      <c r="W1201" s="73" t="str">
        <f t="shared" si="314"/>
        <v/>
      </c>
      <c r="X1201" s="19" t="str">
        <f>IF($D1201&lt;&gt;1,"",IF($G1201="ROKS",$R1201,IF($AI1201=1,0,MAX($N1201,$L1201-SUMIFS(TblApplications[CPU IKS libérable (vCPU)],TblApplications[Cluster IKS source],$F1201,TblApplications[Action],"À migrer",TblApplications[Mois prov (calc)],"&lt;="&amp;$E1201)-SUMIFS(TblApplications[CPU IKS libérable (vCPU)],TblApplications[Cluster IKS source],$F1201,TblApplications[Action],"À décommissionner",TblApplications[Mois lib (calc)],"&lt;="&amp;$E1201)))))</f>
        <v/>
      </c>
      <c r="Y1201" s="19" t="str">
        <f>IF($D1201&lt;&gt;1,"",IF($G1201="ROKS",$S1201,IF($AI1201=1,0,MAX($O1201,$M1201-SUMIFS(TblApplications[RAM IKS libérable (Go)],TblApplications[Cluster IKS source],$F1201,TblApplications[Action],"À migrer",TblApplications[Mois prov (calc)],"&lt;="&amp;$E1201)-SUMIFS(TblApplications[RAM IKS libérable (Go)],TblApplications[Cluster IKS source],$F1201,TblApplications[Action],"À décommissionner",TblApplications[Mois lib (calc)],"&lt;="&amp;$E1201)))))</f>
        <v/>
      </c>
      <c r="Z1201" s="19" t="str">
        <f t="shared" si="315"/>
        <v/>
      </c>
      <c r="AA1201" s="73" t="str">
        <f t="shared" si="316"/>
        <v/>
      </c>
      <c r="AB1201" s="19" t="str">
        <f t="shared" si="317"/>
        <v/>
      </c>
      <c r="AC1201" s="73" t="str">
        <f t="shared" si="318"/>
        <v/>
      </c>
      <c r="AD1201" s="19" t="str">
        <f t="shared" si="319"/>
        <v/>
      </c>
      <c r="AE1201" s="19" t="str">
        <f t="shared" si="320"/>
        <v/>
      </c>
      <c r="AF1201" s="19" t="str">
        <f>IF($D1201&lt;&gt;1,"",IF(INDEX(TblClusters[Environnement],$B1201)="","(vide)",INDEX(TblClusters[Environnement],$B1201)))</f>
        <v/>
      </c>
      <c r="AG1201" s="19" t="str">
        <f t="shared" si="321"/>
        <v/>
      </c>
      <c r="AH1201" s="19" t="str">
        <f t="shared" si="322"/>
        <v/>
      </c>
      <c r="AI1201" s="19" t="str">
        <f>IF($D1201&lt;&gt;1,"",IF(AND($G1201="IKS",ISNUMBER(INDEX(TblClusters[Fermeture retenue],$B1201))),IF($E1201&gt;=INDEX(TblClusters[Fermeture retenue],$B1201),1,0),0))</f>
        <v/>
      </c>
    </row>
    <row r="1202" spans="1:35" x14ac:dyDescent="0.2">
      <c r="A1202" s="19">
        <v>1197</v>
      </c>
      <c r="B1202" s="19">
        <f t="shared" si="306"/>
        <v>34</v>
      </c>
      <c r="C1202" s="19">
        <f t="shared" si="307"/>
        <v>9</v>
      </c>
      <c r="D1202" s="19">
        <f>IF($C1202&gt;p_horizon,0,IFERROR(IF(AND(INDEX(TblClusters[Cluster],$B1202)&lt;&gt;"",ISNUMBER(INDEX(TblClusters[CPU initial (vCPU)],$B1202)),ISNUMBER(INDEX(TblClusters[CPU min (vCPU)],$B1202)),OR(INDEX(TblClusters[Plateforme],$B1202)="IKS",INDEX(TblClusters[Plateforme],$B1202)="ROKS")),1,0),0))</f>
        <v>0</v>
      </c>
      <c r="E1202" s="72" t="str">
        <f t="shared" si="308"/>
        <v/>
      </c>
      <c r="F1202" s="19" t="str">
        <f>IF($D1202=1,INDEX(TblClusters[Cluster],$B1202),"")</f>
        <v/>
      </c>
      <c r="G1202" s="19" t="str">
        <f>IF($D1202=1,INDEX(TblClusters[Plateforme],$B1202),"")</f>
        <v/>
      </c>
      <c r="H1202" s="19" t="str">
        <f>IF($D1202=1,INDEX(TblClusters[vCPU par nœud],$B1202),"")</f>
        <v/>
      </c>
      <c r="I1202" s="19" t="str">
        <f>IF($D1202=1,INDEX(TblClusters[RAM par nœud (Go)],$B1202),"")</f>
        <v/>
      </c>
      <c r="J1202" s="19" t="str">
        <f>IF($D1202=1,INDEX(TblClusters[Workers min],$B1202),"")</f>
        <v/>
      </c>
      <c r="K1202" s="73" t="str">
        <f>IF($D1202=1,INDEX(TblClusters[Tarif par nœud],$B1202),"")</f>
        <v/>
      </c>
      <c r="L1202" s="19" t="str">
        <f>IF($D1202=1,INDEX(TblClusters[CPU initial (vCPU)],$B1202),"")</f>
        <v/>
      </c>
      <c r="M1202" s="19" t="str">
        <f>IF($D1202=1,INDEX(TblClusters[RAM initiale (Go)],$B1202),"")</f>
        <v/>
      </c>
      <c r="N1202" s="19" t="str">
        <f>IF($D1202=1,INDEX(TblClusters[CPU min (vCPU)],$B1202),"")</f>
        <v/>
      </c>
      <c r="O1202" s="19" t="str">
        <f>IF($D1202=1,INDEX(TblClusters[RAM min (Go)],$B1202),"")</f>
        <v/>
      </c>
      <c r="P1202" s="19" t="str">
        <f>IF($D1202&lt;&gt;1,"",IF($G1202="ROKS",SUMIFS(TblApplications[Besoin ROKS CPU (vCPU)],TblApplications[Cluster ROKS cible],$F1202,TblApplications[Action],"À migrer",TblApplications[Déjà incluse ROKS],"Non",TblApplications[Mois prov (calc)],"&lt;="&amp;$E1202),SUMIFS(TblApplications[CPU IKS libérable (vCPU)],TblApplications[Cluster IKS source],$F1202,TblApplications[Mois lib (calc)],"&lt;="&amp;$E1202)))</f>
        <v/>
      </c>
      <c r="Q1202" s="19" t="str">
        <f>IF($D1202&lt;&gt;1,"",IF($G1202="ROKS",SUMIFS(TblApplications[Besoin ROKS RAM (Go)],TblApplications[Cluster ROKS cible],$F1202,TblApplications[Action],"À migrer",TblApplications[Déjà incluse ROKS],"Non",TblApplications[Mois prov (calc)],"&lt;="&amp;$E1202),SUMIFS(TblApplications[RAM IKS libérable (Go)],TblApplications[Cluster IKS source],$F1202,TblApplications[Mois lib (calc)],"&lt;="&amp;$E1202)))</f>
        <v/>
      </c>
      <c r="R1202" s="19" t="str">
        <f t="shared" si="309"/>
        <v/>
      </c>
      <c r="S1202" s="19" t="str">
        <f t="shared" si="310"/>
        <v/>
      </c>
      <c r="T1202" s="19" t="str">
        <f t="shared" si="311"/>
        <v/>
      </c>
      <c r="U1202" s="19" t="str">
        <f t="shared" si="312"/>
        <v/>
      </c>
      <c r="V1202" s="19" t="str">
        <f t="shared" si="313"/>
        <v/>
      </c>
      <c r="W1202" s="73" t="str">
        <f t="shared" si="314"/>
        <v/>
      </c>
      <c r="X1202" s="19" t="str">
        <f>IF($D1202&lt;&gt;1,"",IF($G1202="ROKS",$R1202,IF($AI1202=1,0,MAX($N1202,$L1202-SUMIFS(TblApplications[CPU IKS libérable (vCPU)],TblApplications[Cluster IKS source],$F1202,TblApplications[Action],"À migrer",TblApplications[Mois prov (calc)],"&lt;="&amp;$E1202)-SUMIFS(TblApplications[CPU IKS libérable (vCPU)],TblApplications[Cluster IKS source],$F1202,TblApplications[Action],"À décommissionner",TblApplications[Mois lib (calc)],"&lt;="&amp;$E1202)))))</f>
        <v/>
      </c>
      <c r="Y1202" s="19" t="str">
        <f>IF($D1202&lt;&gt;1,"",IF($G1202="ROKS",$S1202,IF($AI1202=1,0,MAX($O1202,$M1202-SUMIFS(TblApplications[RAM IKS libérable (Go)],TblApplications[Cluster IKS source],$F1202,TblApplications[Action],"À migrer",TblApplications[Mois prov (calc)],"&lt;="&amp;$E1202)-SUMIFS(TblApplications[RAM IKS libérable (Go)],TblApplications[Cluster IKS source],$F1202,TblApplications[Action],"À décommissionner",TblApplications[Mois lib (calc)],"&lt;="&amp;$E1202)))))</f>
        <v/>
      </c>
      <c r="Z1202" s="19" t="str">
        <f t="shared" si="315"/>
        <v/>
      </c>
      <c r="AA1202" s="73" t="str">
        <f t="shared" si="316"/>
        <v/>
      </c>
      <c r="AB1202" s="19" t="str">
        <f t="shared" si="317"/>
        <v/>
      </c>
      <c r="AC1202" s="73" t="str">
        <f t="shared" si="318"/>
        <v/>
      </c>
      <c r="AD1202" s="19" t="str">
        <f t="shared" si="319"/>
        <v/>
      </c>
      <c r="AE1202" s="19" t="str">
        <f t="shared" si="320"/>
        <v/>
      </c>
      <c r="AF1202" s="19" t="str">
        <f>IF($D1202&lt;&gt;1,"",IF(INDEX(TblClusters[Environnement],$B1202)="","(vide)",INDEX(TblClusters[Environnement],$B1202)))</f>
        <v/>
      </c>
      <c r="AG1202" s="19" t="str">
        <f t="shared" si="321"/>
        <v/>
      </c>
      <c r="AH1202" s="19" t="str">
        <f t="shared" si="322"/>
        <v/>
      </c>
      <c r="AI1202" s="19" t="str">
        <f>IF($D1202&lt;&gt;1,"",IF(AND($G1202="IKS",ISNUMBER(INDEX(TblClusters[Fermeture retenue],$B1202))),IF($E1202&gt;=INDEX(TblClusters[Fermeture retenue],$B1202),1,0),0))</f>
        <v/>
      </c>
    </row>
    <row r="1203" spans="1:35" x14ac:dyDescent="0.2">
      <c r="A1203" s="19">
        <v>1198</v>
      </c>
      <c r="B1203" s="19">
        <f t="shared" si="306"/>
        <v>34</v>
      </c>
      <c r="C1203" s="19">
        <f t="shared" si="307"/>
        <v>10</v>
      </c>
      <c r="D1203" s="19">
        <f>IF($C1203&gt;p_horizon,0,IFERROR(IF(AND(INDEX(TblClusters[Cluster],$B1203)&lt;&gt;"",ISNUMBER(INDEX(TblClusters[CPU initial (vCPU)],$B1203)),ISNUMBER(INDEX(TblClusters[CPU min (vCPU)],$B1203)),OR(INDEX(TblClusters[Plateforme],$B1203)="IKS",INDEX(TblClusters[Plateforme],$B1203)="ROKS")),1,0),0))</f>
        <v>0</v>
      </c>
      <c r="E1203" s="72" t="str">
        <f t="shared" si="308"/>
        <v/>
      </c>
      <c r="F1203" s="19" t="str">
        <f>IF($D1203=1,INDEX(TblClusters[Cluster],$B1203),"")</f>
        <v/>
      </c>
      <c r="G1203" s="19" t="str">
        <f>IF($D1203=1,INDEX(TblClusters[Plateforme],$B1203),"")</f>
        <v/>
      </c>
      <c r="H1203" s="19" t="str">
        <f>IF($D1203=1,INDEX(TblClusters[vCPU par nœud],$B1203),"")</f>
        <v/>
      </c>
      <c r="I1203" s="19" t="str">
        <f>IF($D1203=1,INDEX(TblClusters[RAM par nœud (Go)],$B1203),"")</f>
        <v/>
      </c>
      <c r="J1203" s="19" t="str">
        <f>IF($D1203=1,INDEX(TblClusters[Workers min],$B1203),"")</f>
        <v/>
      </c>
      <c r="K1203" s="73" t="str">
        <f>IF($D1203=1,INDEX(TblClusters[Tarif par nœud],$B1203),"")</f>
        <v/>
      </c>
      <c r="L1203" s="19" t="str">
        <f>IF($D1203=1,INDEX(TblClusters[CPU initial (vCPU)],$B1203),"")</f>
        <v/>
      </c>
      <c r="M1203" s="19" t="str">
        <f>IF($D1203=1,INDEX(TblClusters[RAM initiale (Go)],$B1203),"")</f>
        <v/>
      </c>
      <c r="N1203" s="19" t="str">
        <f>IF($D1203=1,INDEX(TblClusters[CPU min (vCPU)],$B1203),"")</f>
        <v/>
      </c>
      <c r="O1203" s="19" t="str">
        <f>IF($D1203=1,INDEX(TblClusters[RAM min (Go)],$B1203),"")</f>
        <v/>
      </c>
      <c r="P1203" s="19" t="str">
        <f>IF($D1203&lt;&gt;1,"",IF($G1203="ROKS",SUMIFS(TblApplications[Besoin ROKS CPU (vCPU)],TblApplications[Cluster ROKS cible],$F1203,TblApplications[Action],"À migrer",TblApplications[Déjà incluse ROKS],"Non",TblApplications[Mois prov (calc)],"&lt;="&amp;$E1203),SUMIFS(TblApplications[CPU IKS libérable (vCPU)],TblApplications[Cluster IKS source],$F1203,TblApplications[Mois lib (calc)],"&lt;="&amp;$E1203)))</f>
        <v/>
      </c>
      <c r="Q1203" s="19" t="str">
        <f>IF($D1203&lt;&gt;1,"",IF($G1203="ROKS",SUMIFS(TblApplications[Besoin ROKS RAM (Go)],TblApplications[Cluster ROKS cible],$F1203,TblApplications[Action],"À migrer",TblApplications[Déjà incluse ROKS],"Non",TblApplications[Mois prov (calc)],"&lt;="&amp;$E1203),SUMIFS(TblApplications[RAM IKS libérable (Go)],TblApplications[Cluster IKS source],$F1203,TblApplications[Mois lib (calc)],"&lt;="&amp;$E1203)))</f>
        <v/>
      </c>
      <c r="R1203" s="19" t="str">
        <f t="shared" si="309"/>
        <v/>
      </c>
      <c r="S1203" s="19" t="str">
        <f t="shared" si="310"/>
        <v/>
      </c>
      <c r="T1203" s="19" t="str">
        <f t="shared" si="311"/>
        <v/>
      </c>
      <c r="U1203" s="19" t="str">
        <f t="shared" si="312"/>
        <v/>
      </c>
      <c r="V1203" s="19" t="str">
        <f t="shared" si="313"/>
        <v/>
      </c>
      <c r="W1203" s="73" t="str">
        <f t="shared" si="314"/>
        <v/>
      </c>
      <c r="X1203" s="19" t="str">
        <f>IF($D1203&lt;&gt;1,"",IF($G1203="ROKS",$R1203,IF($AI1203=1,0,MAX($N1203,$L1203-SUMIFS(TblApplications[CPU IKS libérable (vCPU)],TblApplications[Cluster IKS source],$F1203,TblApplications[Action],"À migrer",TblApplications[Mois prov (calc)],"&lt;="&amp;$E1203)-SUMIFS(TblApplications[CPU IKS libérable (vCPU)],TblApplications[Cluster IKS source],$F1203,TblApplications[Action],"À décommissionner",TblApplications[Mois lib (calc)],"&lt;="&amp;$E1203)))))</f>
        <v/>
      </c>
      <c r="Y1203" s="19" t="str">
        <f>IF($D1203&lt;&gt;1,"",IF($G1203="ROKS",$S1203,IF($AI1203=1,0,MAX($O1203,$M1203-SUMIFS(TblApplications[RAM IKS libérable (Go)],TblApplications[Cluster IKS source],$F1203,TblApplications[Action],"À migrer",TblApplications[Mois prov (calc)],"&lt;="&amp;$E1203)-SUMIFS(TblApplications[RAM IKS libérable (Go)],TblApplications[Cluster IKS source],$F1203,TblApplications[Action],"À décommissionner",TblApplications[Mois lib (calc)],"&lt;="&amp;$E1203)))))</f>
        <v/>
      </c>
      <c r="Z1203" s="19" t="str">
        <f t="shared" si="315"/>
        <v/>
      </c>
      <c r="AA1203" s="73" t="str">
        <f t="shared" si="316"/>
        <v/>
      </c>
      <c r="AB1203" s="19" t="str">
        <f t="shared" si="317"/>
        <v/>
      </c>
      <c r="AC1203" s="73" t="str">
        <f t="shared" si="318"/>
        <v/>
      </c>
      <c r="AD1203" s="19" t="str">
        <f t="shared" si="319"/>
        <v/>
      </c>
      <c r="AE1203" s="19" t="str">
        <f t="shared" si="320"/>
        <v/>
      </c>
      <c r="AF1203" s="19" t="str">
        <f>IF($D1203&lt;&gt;1,"",IF(INDEX(TblClusters[Environnement],$B1203)="","(vide)",INDEX(TblClusters[Environnement],$B1203)))</f>
        <v/>
      </c>
      <c r="AG1203" s="19" t="str">
        <f t="shared" si="321"/>
        <v/>
      </c>
      <c r="AH1203" s="19" t="str">
        <f t="shared" si="322"/>
        <v/>
      </c>
      <c r="AI1203" s="19" t="str">
        <f>IF($D1203&lt;&gt;1,"",IF(AND($G1203="IKS",ISNUMBER(INDEX(TblClusters[Fermeture retenue],$B1203))),IF($E1203&gt;=INDEX(TblClusters[Fermeture retenue],$B1203),1,0),0))</f>
        <v/>
      </c>
    </row>
    <row r="1204" spans="1:35" x14ac:dyDescent="0.2">
      <c r="A1204" s="19">
        <v>1199</v>
      </c>
      <c r="B1204" s="19">
        <f t="shared" si="306"/>
        <v>34</v>
      </c>
      <c r="C1204" s="19">
        <f t="shared" si="307"/>
        <v>11</v>
      </c>
      <c r="D1204" s="19">
        <f>IF($C1204&gt;p_horizon,0,IFERROR(IF(AND(INDEX(TblClusters[Cluster],$B1204)&lt;&gt;"",ISNUMBER(INDEX(TblClusters[CPU initial (vCPU)],$B1204)),ISNUMBER(INDEX(TblClusters[CPU min (vCPU)],$B1204)),OR(INDEX(TblClusters[Plateforme],$B1204)="IKS",INDEX(TblClusters[Plateforme],$B1204)="ROKS")),1,0),0))</f>
        <v>0</v>
      </c>
      <c r="E1204" s="72" t="str">
        <f t="shared" si="308"/>
        <v/>
      </c>
      <c r="F1204" s="19" t="str">
        <f>IF($D1204=1,INDEX(TblClusters[Cluster],$B1204),"")</f>
        <v/>
      </c>
      <c r="G1204" s="19" t="str">
        <f>IF($D1204=1,INDEX(TblClusters[Plateforme],$B1204),"")</f>
        <v/>
      </c>
      <c r="H1204" s="19" t="str">
        <f>IF($D1204=1,INDEX(TblClusters[vCPU par nœud],$B1204),"")</f>
        <v/>
      </c>
      <c r="I1204" s="19" t="str">
        <f>IF($D1204=1,INDEX(TblClusters[RAM par nœud (Go)],$B1204),"")</f>
        <v/>
      </c>
      <c r="J1204" s="19" t="str">
        <f>IF($D1204=1,INDEX(TblClusters[Workers min],$B1204),"")</f>
        <v/>
      </c>
      <c r="K1204" s="73" t="str">
        <f>IF($D1204=1,INDEX(TblClusters[Tarif par nœud],$B1204),"")</f>
        <v/>
      </c>
      <c r="L1204" s="19" t="str">
        <f>IF($D1204=1,INDEX(TblClusters[CPU initial (vCPU)],$B1204),"")</f>
        <v/>
      </c>
      <c r="M1204" s="19" t="str">
        <f>IF($D1204=1,INDEX(TblClusters[RAM initiale (Go)],$B1204),"")</f>
        <v/>
      </c>
      <c r="N1204" s="19" t="str">
        <f>IF($D1204=1,INDEX(TblClusters[CPU min (vCPU)],$B1204),"")</f>
        <v/>
      </c>
      <c r="O1204" s="19" t="str">
        <f>IF($D1204=1,INDEX(TblClusters[RAM min (Go)],$B1204),"")</f>
        <v/>
      </c>
      <c r="P1204" s="19" t="str">
        <f>IF($D1204&lt;&gt;1,"",IF($G1204="ROKS",SUMIFS(TblApplications[Besoin ROKS CPU (vCPU)],TblApplications[Cluster ROKS cible],$F1204,TblApplications[Action],"À migrer",TblApplications[Déjà incluse ROKS],"Non",TblApplications[Mois prov (calc)],"&lt;="&amp;$E1204),SUMIFS(TblApplications[CPU IKS libérable (vCPU)],TblApplications[Cluster IKS source],$F1204,TblApplications[Mois lib (calc)],"&lt;="&amp;$E1204)))</f>
        <v/>
      </c>
      <c r="Q1204" s="19" t="str">
        <f>IF($D1204&lt;&gt;1,"",IF($G1204="ROKS",SUMIFS(TblApplications[Besoin ROKS RAM (Go)],TblApplications[Cluster ROKS cible],$F1204,TblApplications[Action],"À migrer",TblApplications[Déjà incluse ROKS],"Non",TblApplications[Mois prov (calc)],"&lt;="&amp;$E1204),SUMIFS(TblApplications[RAM IKS libérable (Go)],TblApplications[Cluster IKS source],$F1204,TblApplications[Mois lib (calc)],"&lt;="&amp;$E1204)))</f>
        <v/>
      </c>
      <c r="R1204" s="19" t="str">
        <f t="shared" si="309"/>
        <v/>
      </c>
      <c r="S1204" s="19" t="str">
        <f t="shared" si="310"/>
        <v/>
      </c>
      <c r="T1204" s="19" t="str">
        <f t="shared" si="311"/>
        <v/>
      </c>
      <c r="U1204" s="19" t="str">
        <f t="shared" si="312"/>
        <v/>
      </c>
      <c r="V1204" s="19" t="str">
        <f t="shared" si="313"/>
        <v/>
      </c>
      <c r="W1204" s="73" t="str">
        <f t="shared" si="314"/>
        <v/>
      </c>
      <c r="X1204" s="19" t="str">
        <f>IF($D1204&lt;&gt;1,"",IF($G1204="ROKS",$R1204,IF($AI1204=1,0,MAX($N1204,$L1204-SUMIFS(TblApplications[CPU IKS libérable (vCPU)],TblApplications[Cluster IKS source],$F1204,TblApplications[Action],"À migrer",TblApplications[Mois prov (calc)],"&lt;="&amp;$E1204)-SUMIFS(TblApplications[CPU IKS libérable (vCPU)],TblApplications[Cluster IKS source],$F1204,TblApplications[Action],"À décommissionner",TblApplications[Mois lib (calc)],"&lt;="&amp;$E1204)))))</f>
        <v/>
      </c>
      <c r="Y1204" s="19" t="str">
        <f>IF($D1204&lt;&gt;1,"",IF($G1204="ROKS",$S1204,IF($AI1204=1,0,MAX($O1204,$M1204-SUMIFS(TblApplications[RAM IKS libérable (Go)],TblApplications[Cluster IKS source],$F1204,TblApplications[Action],"À migrer",TblApplications[Mois prov (calc)],"&lt;="&amp;$E1204)-SUMIFS(TblApplications[RAM IKS libérable (Go)],TblApplications[Cluster IKS source],$F1204,TblApplications[Action],"À décommissionner",TblApplications[Mois lib (calc)],"&lt;="&amp;$E1204)))))</f>
        <v/>
      </c>
      <c r="Z1204" s="19" t="str">
        <f t="shared" si="315"/>
        <v/>
      </c>
      <c r="AA1204" s="73" t="str">
        <f t="shared" si="316"/>
        <v/>
      </c>
      <c r="AB1204" s="19" t="str">
        <f t="shared" si="317"/>
        <v/>
      </c>
      <c r="AC1204" s="73" t="str">
        <f t="shared" si="318"/>
        <v/>
      </c>
      <c r="AD1204" s="19" t="str">
        <f t="shared" si="319"/>
        <v/>
      </c>
      <c r="AE1204" s="19" t="str">
        <f t="shared" si="320"/>
        <v/>
      </c>
      <c r="AF1204" s="19" t="str">
        <f>IF($D1204&lt;&gt;1,"",IF(INDEX(TblClusters[Environnement],$B1204)="","(vide)",INDEX(TblClusters[Environnement],$B1204)))</f>
        <v/>
      </c>
      <c r="AG1204" s="19" t="str">
        <f t="shared" si="321"/>
        <v/>
      </c>
      <c r="AH1204" s="19" t="str">
        <f t="shared" si="322"/>
        <v/>
      </c>
      <c r="AI1204" s="19" t="str">
        <f>IF($D1204&lt;&gt;1,"",IF(AND($G1204="IKS",ISNUMBER(INDEX(TblClusters[Fermeture retenue],$B1204))),IF($E1204&gt;=INDEX(TblClusters[Fermeture retenue],$B1204),1,0),0))</f>
        <v/>
      </c>
    </row>
    <row r="1205" spans="1:35" x14ac:dyDescent="0.2">
      <c r="A1205" s="19">
        <v>1200</v>
      </c>
      <c r="B1205" s="19">
        <f t="shared" si="306"/>
        <v>34</v>
      </c>
      <c r="C1205" s="19">
        <f t="shared" si="307"/>
        <v>12</v>
      </c>
      <c r="D1205" s="19">
        <f>IF($C1205&gt;p_horizon,0,IFERROR(IF(AND(INDEX(TblClusters[Cluster],$B1205)&lt;&gt;"",ISNUMBER(INDEX(TblClusters[CPU initial (vCPU)],$B1205)),ISNUMBER(INDEX(TblClusters[CPU min (vCPU)],$B1205)),OR(INDEX(TblClusters[Plateforme],$B1205)="IKS",INDEX(TblClusters[Plateforme],$B1205)="ROKS")),1,0),0))</f>
        <v>0</v>
      </c>
      <c r="E1205" s="72" t="str">
        <f t="shared" si="308"/>
        <v/>
      </c>
      <c r="F1205" s="19" t="str">
        <f>IF($D1205=1,INDEX(TblClusters[Cluster],$B1205),"")</f>
        <v/>
      </c>
      <c r="G1205" s="19" t="str">
        <f>IF($D1205=1,INDEX(TblClusters[Plateforme],$B1205),"")</f>
        <v/>
      </c>
      <c r="H1205" s="19" t="str">
        <f>IF($D1205=1,INDEX(TblClusters[vCPU par nœud],$B1205),"")</f>
        <v/>
      </c>
      <c r="I1205" s="19" t="str">
        <f>IF($D1205=1,INDEX(TblClusters[RAM par nœud (Go)],$B1205),"")</f>
        <v/>
      </c>
      <c r="J1205" s="19" t="str">
        <f>IF($D1205=1,INDEX(TblClusters[Workers min],$B1205),"")</f>
        <v/>
      </c>
      <c r="K1205" s="73" t="str">
        <f>IF($D1205=1,INDEX(TblClusters[Tarif par nœud],$B1205),"")</f>
        <v/>
      </c>
      <c r="L1205" s="19" t="str">
        <f>IF($D1205=1,INDEX(TblClusters[CPU initial (vCPU)],$B1205),"")</f>
        <v/>
      </c>
      <c r="M1205" s="19" t="str">
        <f>IF($D1205=1,INDEX(TblClusters[RAM initiale (Go)],$B1205),"")</f>
        <v/>
      </c>
      <c r="N1205" s="19" t="str">
        <f>IF($D1205=1,INDEX(TblClusters[CPU min (vCPU)],$B1205),"")</f>
        <v/>
      </c>
      <c r="O1205" s="19" t="str">
        <f>IF($D1205=1,INDEX(TblClusters[RAM min (Go)],$B1205),"")</f>
        <v/>
      </c>
      <c r="P1205" s="19" t="str">
        <f>IF($D1205&lt;&gt;1,"",IF($G1205="ROKS",SUMIFS(TblApplications[Besoin ROKS CPU (vCPU)],TblApplications[Cluster ROKS cible],$F1205,TblApplications[Action],"À migrer",TblApplications[Déjà incluse ROKS],"Non",TblApplications[Mois prov (calc)],"&lt;="&amp;$E1205),SUMIFS(TblApplications[CPU IKS libérable (vCPU)],TblApplications[Cluster IKS source],$F1205,TblApplications[Mois lib (calc)],"&lt;="&amp;$E1205)))</f>
        <v/>
      </c>
      <c r="Q1205" s="19" t="str">
        <f>IF($D1205&lt;&gt;1,"",IF($G1205="ROKS",SUMIFS(TblApplications[Besoin ROKS RAM (Go)],TblApplications[Cluster ROKS cible],$F1205,TblApplications[Action],"À migrer",TblApplications[Déjà incluse ROKS],"Non",TblApplications[Mois prov (calc)],"&lt;="&amp;$E1205),SUMIFS(TblApplications[RAM IKS libérable (Go)],TblApplications[Cluster IKS source],$F1205,TblApplications[Mois lib (calc)],"&lt;="&amp;$E1205)))</f>
        <v/>
      </c>
      <c r="R1205" s="19" t="str">
        <f t="shared" si="309"/>
        <v/>
      </c>
      <c r="S1205" s="19" t="str">
        <f t="shared" si="310"/>
        <v/>
      </c>
      <c r="T1205" s="19" t="str">
        <f t="shared" si="311"/>
        <v/>
      </c>
      <c r="U1205" s="19" t="str">
        <f t="shared" si="312"/>
        <v/>
      </c>
      <c r="V1205" s="19" t="str">
        <f t="shared" si="313"/>
        <v/>
      </c>
      <c r="W1205" s="73" t="str">
        <f t="shared" si="314"/>
        <v/>
      </c>
      <c r="X1205" s="19" t="str">
        <f>IF($D1205&lt;&gt;1,"",IF($G1205="ROKS",$R1205,IF($AI1205=1,0,MAX($N1205,$L1205-SUMIFS(TblApplications[CPU IKS libérable (vCPU)],TblApplications[Cluster IKS source],$F1205,TblApplications[Action],"À migrer",TblApplications[Mois prov (calc)],"&lt;="&amp;$E1205)-SUMIFS(TblApplications[CPU IKS libérable (vCPU)],TblApplications[Cluster IKS source],$F1205,TblApplications[Action],"À décommissionner",TblApplications[Mois lib (calc)],"&lt;="&amp;$E1205)))))</f>
        <v/>
      </c>
      <c r="Y1205" s="19" t="str">
        <f>IF($D1205&lt;&gt;1,"",IF($G1205="ROKS",$S1205,IF($AI1205=1,0,MAX($O1205,$M1205-SUMIFS(TblApplications[RAM IKS libérable (Go)],TblApplications[Cluster IKS source],$F1205,TblApplications[Action],"À migrer",TblApplications[Mois prov (calc)],"&lt;="&amp;$E1205)-SUMIFS(TblApplications[RAM IKS libérable (Go)],TblApplications[Cluster IKS source],$F1205,TblApplications[Action],"À décommissionner",TblApplications[Mois lib (calc)],"&lt;="&amp;$E1205)))))</f>
        <v/>
      </c>
      <c r="Z1205" s="19" t="str">
        <f t="shared" si="315"/>
        <v/>
      </c>
      <c r="AA1205" s="73" t="str">
        <f t="shared" si="316"/>
        <v/>
      </c>
      <c r="AB1205" s="19" t="str">
        <f t="shared" si="317"/>
        <v/>
      </c>
      <c r="AC1205" s="73" t="str">
        <f t="shared" si="318"/>
        <v/>
      </c>
      <c r="AD1205" s="19" t="str">
        <f t="shared" si="319"/>
        <v/>
      </c>
      <c r="AE1205" s="19" t="str">
        <f t="shared" si="320"/>
        <v/>
      </c>
      <c r="AF1205" s="19" t="str">
        <f>IF($D1205&lt;&gt;1,"",IF(INDEX(TblClusters[Environnement],$B1205)="","(vide)",INDEX(TblClusters[Environnement],$B1205)))</f>
        <v/>
      </c>
      <c r="AG1205" s="19" t="str">
        <f t="shared" si="321"/>
        <v/>
      </c>
      <c r="AH1205" s="19" t="str">
        <f t="shared" si="322"/>
        <v/>
      </c>
      <c r="AI1205" s="19" t="str">
        <f>IF($D1205&lt;&gt;1,"",IF(AND($G1205="IKS",ISNUMBER(INDEX(TblClusters[Fermeture retenue],$B1205))),IF($E1205&gt;=INDEX(TblClusters[Fermeture retenue],$B1205),1,0),0))</f>
        <v/>
      </c>
    </row>
    <row r="1206" spans="1:35" x14ac:dyDescent="0.2">
      <c r="A1206" s="19">
        <v>1201</v>
      </c>
      <c r="B1206" s="19">
        <f t="shared" si="306"/>
        <v>34</v>
      </c>
      <c r="C1206" s="19">
        <f t="shared" si="307"/>
        <v>13</v>
      </c>
      <c r="D1206" s="19">
        <f>IF($C1206&gt;p_horizon,0,IFERROR(IF(AND(INDEX(TblClusters[Cluster],$B1206)&lt;&gt;"",ISNUMBER(INDEX(TblClusters[CPU initial (vCPU)],$B1206)),ISNUMBER(INDEX(TblClusters[CPU min (vCPU)],$B1206)),OR(INDEX(TblClusters[Plateforme],$B1206)="IKS",INDEX(TblClusters[Plateforme],$B1206)="ROKS")),1,0),0))</f>
        <v>0</v>
      </c>
      <c r="E1206" s="72" t="str">
        <f t="shared" si="308"/>
        <v/>
      </c>
      <c r="F1206" s="19" t="str">
        <f>IF($D1206=1,INDEX(TblClusters[Cluster],$B1206),"")</f>
        <v/>
      </c>
      <c r="G1206" s="19" t="str">
        <f>IF($D1206=1,INDEX(TblClusters[Plateforme],$B1206),"")</f>
        <v/>
      </c>
      <c r="H1206" s="19" t="str">
        <f>IF($D1206=1,INDEX(TblClusters[vCPU par nœud],$B1206),"")</f>
        <v/>
      </c>
      <c r="I1206" s="19" t="str">
        <f>IF($D1206=1,INDEX(TblClusters[RAM par nœud (Go)],$B1206),"")</f>
        <v/>
      </c>
      <c r="J1206" s="19" t="str">
        <f>IF($D1206=1,INDEX(TblClusters[Workers min],$B1206),"")</f>
        <v/>
      </c>
      <c r="K1206" s="73" t="str">
        <f>IF($D1206=1,INDEX(TblClusters[Tarif par nœud],$B1206),"")</f>
        <v/>
      </c>
      <c r="L1206" s="19" t="str">
        <f>IF($D1206=1,INDEX(TblClusters[CPU initial (vCPU)],$B1206),"")</f>
        <v/>
      </c>
      <c r="M1206" s="19" t="str">
        <f>IF($D1206=1,INDEX(TblClusters[RAM initiale (Go)],$B1206),"")</f>
        <v/>
      </c>
      <c r="N1206" s="19" t="str">
        <f>IF($D1206=1,INDEX(TblClusters[CPU min (vCPU)],$B1206),"")</f>
        <v/>
      </c>
      <c r="O1206" s="19" t="str">
        <f>IF($D1206=1,INDEX(TblClusters[RAM min (Go)],$B1206),"")</f>
        <v/>
      </c>
      <c r="P1206" s="19" t="str">
        <f>IF($D1206&lt;&gt;1,"",IF($G1206="ROKS",SUMIFS(TblApplications[Besoin ROKS CPU (vCPU)],TblApplications[Cluster ROKS cible],$F1206,TblApplications[Action],"À migrer",TblApplications[Déjà incluse ROKS],"Non",TblApplications[Mois prov (calc)],"&lt;="&amp;$E1206),SUMIFS(TblApplications[CPU IKS libérable (vCPU)],TblApplications[Cluster IKS source],$F1206,TblApplications[Mois lib (calc)],"&lt;="&amp;$E1206)))</f>
        <v/>
      </c>
      <c r="Q1206" s="19" t="str">
        <f>IF($D1206&lt;&gt;1,"",IF($G1206="ROKS",SUMIFS(TblApplications[Besoin ROKS RAM (Go)],TblApplications[Cluster ROKS cible],$F1206,TblApplications[Action],"À migrer",TblApplications[Déjà incluse ROKS],"Non",TblApplications[Mois prov (calc)],"&lt;="&amp;$E1206),SUMIFS(TblApplications[RAM IKS libérable (Go)],TblApplications[Cluster IKS source],$F1206,TblApplications[Mois lib (calc)],"&lt;="&amp;$E1206)))</f>
        <v/>
      </c>
      <c r="R1206" s="19" t="str">
        <f t="shared" si="309"/>
        <v/>
      </c>
      <c r="S1206" s="19" t="str">
        <f t="shared" si="310"/>
        <v/>
      </c>
      <c r="T1206" s="19" t="str">
        <f t="shared" si="311"/>
        <v/>
      </c>
      <c r="U1206" s="19" t="str">
        <f t="shared" si="312"/>
        <v/>
      </c>
      <c r="V1206" s="19" t="str">
        <f t="shared" si="313"/>
        <v/>
      </c>
      <c r="W1206" s="73" t="str">
        <f t="shared" si="314"/>
        <v/>
      </c>
      <c r="X1206" s="19" t="str">
        <f>IF($D1206&lt;&gt;1,"",IF($G1206="ROKS",$R1206,IF($AI1206=1,0,MAX($N1206,$L1206-SUMIFS(TblApplications[CPU IKS libérable (vCPU)],TblApplications[Cluster IKS source],$F1206,TblApplications[Action],"À migrer",TblApplications[Mois prov (calc)],"&lt;="&amp;$E1206)-SUMIFS(TblApplications[CPU IKS libérable (vCPU)],TblApplications[Cluster IKS source],$F1206,TblApplications[Action],"À décommissionner",TblApplications[Mois lib (calc)],"&lt;="&amp;$E1206)))))</f>
        <v/>
      </c>
      <c r="Y1206" s="19" t="str">
        <f>IF($D1206&lt;&gt;1,"",IF($G1206="ROKS",$S1206,IF($AI1206=1,0,MAX($O1206,$M1206-SUMIFS(TblApplications[RAM IKS libérable (Go)],TblApplications[Cluster IKS source],$F1206,TblApplications[Action],"À migrer",TblApplications[Mois prov (calc)],"&lt;="&amp;$E1206)-SUMIFS(TblApplications[RAM IKS libérable (Go)],TblApplications[Cluster IKS source],$F1206,TblApplications[Action],"À décommissionner",TblApplications[Mois lib (calc)],"&lt;="&amp;$E1206)))))</f>
        <v/>
      </c>
      <c r="Z1206" s="19" t="str">
        <f t="shared" si="315"/>
        <v/>
      </c>
      <c r="AA1206" s="73" t="str">
        <f t="shared" si="316"/>
        <v/>
      </c>
      <c r="AB1206" s="19" t="str">
        <f t="shared" si="317"/>
        <v/>
      </c>
      <c r="AC1206" s="73" t="str">
        <f t="shared" si="318"/>
        <v/>
      </c>
      <c r="AD1206" s="19" t="str">
        <f t="shared" si="319"/>
        <v/>
      </c>
      <c r="AE1206" s="19" t="str">
        <f t="shared" si="320"/>
        <v/>
      </c>
      <c r="AF1206" s="19" t="str">
        <f>IF($D1206&lt;&gt;1,"",IF(INDEX(TblClusters[Environnement],$B1206)="","(vide)",INDEX(TblClusters[Environnement],$B1206)))</f>
        <v/>
      </c>
      <c r="AG1206" s="19" t="str">
        <f t="shared" si="321"/>
        <v/>
      </c>
      <c r="AH1206" s="19" t="str">
        <f t="shared" si="322"/>
        <v/>
      </c>
      <c r="AI1206" s="19" t="str">
        <f>IF($D1206&lt;&gt;1,"",IF(AND($G1206="IKS",ISNUMBER(INDEX(TblClusters[Fermeture retenue],$B1206))),IF($E1206&gt;=INDEX(TblClusters[Fermeture retenue],$B1206),1,0),0))</f>
        <v/>
      </c>
    </row>
    <row r="1207" spans="1:35" x14ac:dyDescent="0.2">
      <c r="A1207" s="19">
        <v>1202</v>
      </c>
      <c r="B1207" s="19">
        <f t="shared" si="306"/>
        <v>34</v>
      </c>
      <c r="C1207" s="19">
        <f t="shared" si="307"/>
        <v>14</v>
      </c>
      <c r="D1207" s="19">
        <f>IF($C1207&gt;p_horizon,0,IFERROR(IF(AND(INDEX(TblClusters[Cluster],$B1207)&lt;&gt;"",ISNUMBER(INDEX(TblClusters[CPU initial (vCPU)],$B1207)),ISNUMBER(INDEX(TblClusters[CPU min (vCPU)],$B1207)),OR(INDEX(TblClusters[Plateforme],$B1207)="IKS",INDEX(TblClusters[Plateforme],$B1207)="ROKS")),1,0),0))</f>
        <v>0</v>
      </c>
      <c r="E1207" s="72" t="str">
        <f t="shared" si="308"/>
        <v/>
      </c>
      <c r="F1207" s="19" t="str">
        <f>IF($D1207=1,INDEX(TblClusters[Cluster],$B1207),"")</f>
        <v/>
      </c>
      <c r="G1207" s="19" t="str">
        <f>IF($D1207=1,INDEX(TblClusters[Plateforme],$B1207),"")</f>
        <v/>
      </c>
      <c r="H1207" s="19" t="str">
        <f>IF($D1207=1,INDEX(TblClusters[vCPU par nœud],$B1207),"")</f>
        <v/>
      </c>
      <c r="I1207" s="19" t="str">
        <f>IF($D1207=1,INDEX(TblClusters[RAM par nœud (Go)],$B1207),"")</f>
        <v/>
      </c>
      <c r="J1207" s="19" t="str">
        <f>IF($D1207=1,INDEX(TblClusters[Workers min],$B1207),"")</f>
        <v/>
      </c>
      <c r="K1207" s="73" t="str">
        <f>IF($D1207=1,INDEX(TblClusters[Tarif par nœud],$B1207),"")</f>
        <v/>
      </c>
      <c r="L1207" s="19" t="str">
        <f>IF($D1207=1,INDEX(TblClusters[CPU initial (vCPU)],$B1207),"")</f>
        <v/>
      </c>
      <c r="M1207" s="19" t="str">
        <f>IF($D1207=1,INDEX(TblClusters[RAM initiale (Go)],$B1207),"")</f>
        <v/>
      </c>
      <c r="N1207" s="19" t="str">
        <f>IF($D1207=1,INDEX(TblClusters[CPU min (vCPU)],$B1207),"")</f>
        <v/>
      </c>
      <c r="O1207" s="19" t="str">
        <f>IF($D1207=1,INDEX(TblClusters[RAM min (Go)],$B1207),"")</f>
        <v/>
      </c>
      <c r="P1207" s="19" t="str">
        <f>IF($D1207&lt;&gt;1,"",IF($G1207="ROKS",SUMIFS(TblApplications[Besoin ROKS CPU (vCPU)],TblApplications[Cluster ROKS cible],$F1207,TblApplications[Action],"À migrer",TblApplications[Déjà incluse ROKS],"Non",TblApplications[Mois prov (calc)],"&lt;="&amp;$E1207),SUMIFS(TblApplications[CPU IKS libérable (vCPU)],TblApplications[Cluster IKS source],$F1207,TblApplications[Mois lib (calc)],"&lt;="&amp;$E1207)))</f>
        <v/>
      </c>
      <c r="Q1207" s="19" t="str">
        <f>IF($D1207&lt;&gt;1,"",IF($G1207="ROKS",SUMIFS(TblApplications[Besoin ROKS RAM (Go)],TblApplications[Cluster ROKS cible],$F1207,TblApplications[Action],"À migrer",TblApplications[Déjà incluse ROKS],"Non",TblApplications[Mois prov (calc)],"&lt;="&amp;$E1207),SUMIFS(TblApplications[RAM IKS libérable (Go)],TblApplications[Cluster IKS source],$F1207,TblApplications[Mois lib (calc)],"&lt;="&amp;$E1207)))</f>
        <v/>
      </c>
      <c r="R1207" s="19" t="str">
        <f t="shared" si="309"/>
        <v/>
      </c>
      <c r="S1207" s="19" t="str">
        <f t="shared" si="310"/>
        <v/>
      </c>
      <c r="T1207" s="19" t="str">
        <f t="shared" si="311"/>
        <v/>
      </c>
      <c r="U1207" s="19" t="str">
        <f t="shared" si="312"/>
        <v/>
      </c>
      <c r="V1207" s="19" t="str">
        <f t="shared" si="313"/>
        <v/>
      </c>
      <c r="W1207" s="73" t="str">
        <f t="shared" si="314"/>
        <v/>
      </c>
      <c r="X1207" s="19" t="str">
        <f>IF($D1207&lt;&gt;1,"",IF($G1207="ROKS",$R1207,IF($AI1207=1,0,MAX($N1207,$L1207-SUMIFS(TblApplications[CPU IKS libérable (vCPU)],TblApplications[Cluster IKS source],$F1207,TblApplications[Action],"À migrer",TblApplications[Mois prov (calc)],"&lt;="&amp;$E1207)-SUMIFS(TblApplications[CPU IKS libérable (vCPU)],TblApplications[Cluster IKS source],$F1207,TblApplications[Action],"À décommissionner",TblApplications[Mois lib (calc)],"&lt;="&amp;$E1207)))))</f>
        <v/>
      </c>
      <c r="Y1207" s="19" t="str">
        <f>IF($D1207&lt;&gt;1,"",IF($G1207="ROKS",$S1207,IF($AI1207=1,0,MAX($O1207,$M1207-SUMIFS(TblApplications[RAM IKS libérable (Go)],TblApplications[Cluster IKS source],$F1207,TblApplications[Action],"À migrer",TblApplications[Mois prov (calc)],"&lt;="&amp;$E1207)-SUMIFS(TblApplications[RAM IKS libérable (Go)],TblApplications[Cluster IKS source],$F1207,TblApplications[Action],"À décommissionner",TblApplications[Mois lib (calc)],"&lt;="&amp;$E1207)))))</f>
        <v/>
      </c>
      <c r="Z1207" s="19" t="str">
        <f t="shared" si="315"/>
        <v/>
      </c>
      <c r="AA1207" s="73" t="str">
        <f t="shared" si="316"/>
        <v/>
      </c>
      <c r="AB1207" s="19" t="str">
        <f t="shared" si="317"/>
        <v/>
      </c>
      <c r="AC1207" s="73" t="str">
        <f t="shared" si="318"/>
        <v/>
      </c>
      <c r="AD1207" s="19" t="str">
        <f t="shared" si="319"/>
        <v/>
      </c>
      <c r="AE1207" s="19" t="str">
        <f t="shared" si="320"/>
        <v/>
      </c>
      <c r="AF1207" s="19" t="str">
        <f>IF($D1207&lt;&gt;1,"",IF(INDEX(TblClusters[Environnement],$B1207)="","(vide)",INDEX(TblClusters[Environnement],$B1207)))</f>
        <v/>
      </c>
      <c r="AG1207" s="19" t="str">
        <f t="shared" si="321"/>
        <v/>
      </c>
      <c r="AH1207" s="19" t="str">
        <f t="shared" si="322"/>
        <v/>
      </c>
      <c r="AI1207" s="19" t="str">
        <f>IF($D1207&lt;&gt;1,"",IF(AND($G1207="IKS",ISNUMBER(INDEX(TblClusters[Fermeture retenue],$B1207))),IF($E1207&gt;=INDEX(TblClusters[Fermeture retenue],$B1207),1,0),0))</f>
        <v/>
      </c>
    </row>
    <row r="1208" spans="1:35" x14ac:dyDescent="0.2">
      <c r="A1208" s="19">
        <v>1203</v>
      </c>
      <c r="B1208" s="19">
        <f t="shared" si="306"/>
        <v>34</v>
      </c>
      <c r="C1208" s="19">
        <f t="shared" si="307"/>
        <v>15</v>
      </c>
      <c r="D1208" s="19">
        <f>IF($C1208&gt;p_horizon,0,IFERROR(IF(AND(INDEX(TblClusters[Cluster],$B1208)&lt;&gt;"",ISNUMBER(INDEX(TblClusters[CPU initial (vCPU)],$B1208)),ISNUMBER(INDEX(TblClusters[CPU min (vCPU)],$B1208)),OR(INDEX(TblClusters[Plateforme],$B1208)="IKS",INDEX(TblClusters[Plateforme],$B1208)="ROKS")),1,0),0))</f>
        <v>0</v>
      </c>
      <c r="E1208" s="72" t="str">
        <f t="shared" si="308"/>
        <v/>
      </c>
      <c r="F1208" s="19" t="str">
        <f>IF($D1208=1,INDEX(TblClusters[Cluster],$B1208),"")</f>
        <v/>
      </c>
      <c r="G1208" s="19" t="str">
        <f>IF($D1208=1,INDEX(TblClusters[Plateforme],$B1208),"")</f>
        <v/>
      </c>
      <c r="H1208" s="19" t="str">
        <f>IF($D1208=1,INDEX(TblClusters[vCPU par nœud],$B1208),"")</f>
        <v/>
      </c>
      <c r="I1208" s="19" t="str">
        <f>IF($D1208=1,INDEX(TblClusters[RAM par nœud (Go)],$B1208),"")</f>
        <v/>
      </c>
      <c r="J1208" s="19" t="str">
        <f>IF($D1208=1,INDEX(TblClusters[Workers min],$B1208),"")</f>
        <v/>
      </c>
      <c r="K1208" s="73" t="str">
        <f>IF($D1208=1,INDEX(TblClusters[Tarif par nœud],$B1208),"")</f>
        <v/>
      </c>
      <c r="L1208" s="19" t="str">
        <f>IF($D1208=1,INDEX(TblClusters[CPU initial (vCPU)],$B1208),"")</f>
        <v/>
      </c>
      <c r="M1208" s="19" t="str">
        <f>IF($D1208=1,INDEX(TblClusters[RAM initiale (Go)],$B1208),"")</f>
        <v/>
      </c>
      <c r="N1208" s="19" t="str">
        <f>IF($D1208=1,INDEX(TblClusters[CPU min (vCPU)],$B1208),"")</f>
        <v/>
      </c>
      <c r="O1208" s="19" t="str">
        <f>IF($D1208=1,INDEX(TblClusters[RAM min (Go)],$B1208),"")</f>
        <v/>
      </c>
      <c r="P1208" s="19" t="str">
        <f>IF($D1208&lt;&gt;1,"",IF($G1208="ROKS",SUMIFS(TblApplications[Besoin ROKS CPU (vCPU)],TblApplications[Cluster ROKS cible],$F1208,TblApplications[Action],"À migrer",TblApplications[Déjà incluse ROKS],"Non",TblApplications[Mois prov (calc)],"&lt;="&amp;$E1208),SUMIFS(TblApplications[CPU IKS libérable (vCPU)],TblApplications[Cluster IKS source],$F1208,TblApplications[Mois lib (calc)],"&lt;="&amp;$E1208)))</f>
        <v/>
      </c>
      <c r="Q1208" s="19" t="str">
        <f>IF($D1208&lt;&gt;1,"",IF($G1208="ROKS",SUMIFS(TblApplications[Besoin ROKS RAM (Go)],TblApplications[Cluster ROKS cible],$F1208,TblApplications[Action],"À migrer",TblApplications[Déjà incluse ROKS],"Non",TblApplications[Mois prov (calc)],"&lt;="&amp;$E1208),SUMIFS(TblApplications[RAM IKS libérable (Go)],TblApplications[Cluster IKS source],$F1208,TblApplications[Mois lib (calc)],"&lt;="&amp;$E1208)))</f>
        <v/>
      </c>
      <c r="R1208" s="19" t="str">
        <f t="shared" si="309"/>
        <v/>
      </c>
      <c r="S1208" s="19" t="str">
        <f t="shared" si="310"/>
        <v/>
      </c>
      <c r="T1208" s="19" t="str">
        <f t="shared" si="311"/>
        <v/>
      </c>
      <c r="U1208" s="19" t="str">
        <f t="shared" si="312"/>
        <v/>
      </c>
      <c r="V1208" s="19" t="str">
        <f t="shared" si="313"/>
        <v/>
      </c>
      <c r="W1208" s="73" t="str">
        <f t="shared" si="314"/>
        <v/>
      </c>
      <c r="X1208" s="19" t="str">
        <f>IF($D1208&lt;&gt;1,"",IF($G1208="ROKS",$R1208,IF($AI1208=1,0,MAX($N1208,$L1208-SUMIFS(TblApplications[CPU IKS libérable (vCPU)],TblApplications[Cluster IKS source],$F1208,TblApplications[Action],"À migrer",TblApplications[Mois prov (calc)],"&lt;="&amp;$E1208)-SUMIFS(TblApplications[CPU IKS libérable (vCPU)],TblApplications[Cluster IKS source],$F1208,TblApplications[Action],"À décommissionner",TblApplications[Mois lib (calc)],"&lt;="&amp;$E1208)))))</f>
        <v/>
      </c>
      <c r="Y1208" s="19" t="str">
        <f>IF($D1208&lt;&gt;1,"",IF($G1208="ROKS",$S1208,IF($AI1208=1,0,MAX($O1208,$M1208-SUMIFS(TblApplications[RAM IKS libérable (Go)],TblApplications[Cluster IKS source],$F1208,TblApplications[Action],"À migrer",TblApplications[Mois prov (calc)],"&lt;="&amp;$E1208)-SUMIFS(TblApplications[RAM IKS libérable (Go)],TblApplications[Cluster IKS source],$F1208,TblApplications[Action],"À décommissionner",TblApplications[Mois lib (calc)],"&lt;="&amp;$E1208)))))</f>
        <v/>
      </c>
      <c r="Z1208" s="19" t="str">
        <f t="shared" si="315"/>
        <v/>
      </c>
      <c r="AA1208" s="73" t="str">
        <f t="shared" si="316"/>
        <v/>
      </c>
      <c r="AB1208" s="19" t="str">
        <f t="shared" si="317"/>
        <v/>
      </c>
      <c r="AC1208" s="73" t="str">
        <f t="shared" si="318"/>
        <v/>
      </c>
      <c r="AD1208" s="19" t="str">
        <f t="shared" si="319"/>
        <v/>
      </c>
      <c r="AE1208" s="19" t="str">
        <f t="shared" si="320"/>
        <v/>
      </c>
      <c r="AF1208" s="19" t="str">
        <f>IF($D1208&lt;&gt;1,"",IF(INDEX(TblClusters[Environnement],$B1208)="","(vide)",INDEX(TblClusters[Environnement],$B1208)))</f>
        <v/>
      </c>
      <c r="AG1208" s="19" t="str">
        <f t="shared" si="321"/>
        <v/>
      </c>
      <c r="AH1208" s="19" t="str">
        <f t="shared" si="322"/>
        <v/>
      </c>
      <c r="AI1208" s="19" t="str">
        <f>IF($D1208&lt;&gt;1,"",IF(AND($G1208="IKS",ISNUMBER(INDEX(TblClusters[Fermeture retenue],$B1208))),IF($E1208&gt;=INDEX(TblClusters[Fermeture retenue],$B1208),1,0),0))</f>
        <v/>
      </c>
    </row>
    <row r="1209" spans="1:35" x14ac:dyDescent="0.2">
      <c r="A1209" s="19">
        <v>1204</v>
      </c>
      <c r="B1209" s="19">
        <f t="shared" si="306"/>
        <v>34</v>
      </c>
      <c r="C1209" s="19">
        <f t="shared" si="307"/>
        <v>16</v>
      </c>
      <c r="D1209" s="19">
        <f>IF($C1209&gt;p_horizon,0,IFERROR(IF(AND(INDEX(TblClusters[Cluster],$B1209)&lt;&gt;"",ISNUMBER(INDEX(TblClusters[CPU initial (vCPU)],$B1209)),ISNUMBER(INDEX(TblClusters[CPU min (vCPU)],$B1209)),OR(INDEX(TblClusters[Plateforme],$B1209)="IKS",INDEX(TblClusters[Plateforme],$B1209)="ROKS")),1,0),0))</f>
        <v>0</v>
      </c>
      <c r="E1209" s="72" t="str">
        <f t="shared" si="308"/>
        <v/>
      </c>
      <c r="F1209" s="19" t="str">
        <f>IF($D1209=1,INDEX(TblClusters[Cluster],$B1209),"")</f>
        <v/>
      </c>
      <c r="G1209" s="19" t="str">
        <f>IF($D1209=1,INDEX(TblClusters[Plateforme],$B1209),"")</f>
        <v/>
      </c>
      <c r="H1209" s="19" t="str">
        <f>IF($D1209=1,INDEX(TblClusters[vCPU par nœud],$B1209),"")</f>
        <v/>
      </c>
      <c r="I1209" s="19" t="str">
        <f>IF($D1209=1,INDEX(TblClusters[RAM par nœud (Go)],$B1209),"")</f>
        <v/>
      </c>
      <c r="J1209" s="19" t="str">
        <f>IF($D1209=1,INDEX(TblClusters[Workers min],$B1209),"")</f>
        <v/>
      </c>
      <c r="K1209" s="73" t="str">
        <f>IF($D1209=1,INDEX(TblClusters[Tarif par nœud],$B1209),"")</f>
        <v/>
      </c>
      <c r="L1209" s="19" t="str">
        <f>IF($D1209=1,INDEX(TblClusters[CPU initial (vCPU)],$B1209),"")</f>
        <v/>
      </c>
      <c r="M1209" s="19" t="str">
        <f>IF($D1209=1,INDEX(TblClusters[RAM initiale (Go)],$B1209),"")</f>
        <v/>
      </c>
      <c r="N1209" s="19" t="str">
        <f>IF($D1209=1,INDEX(TblClusters[CPU min (vCPU)],$B1209),"")</f>
        <v/>
      </c>
      <c r="O1209" s="19" t="str">
        <f>IF($D1209=1,INDEX(TblClusters[RAM min (Go)],$B1209),"")</f>
        <v/>
      </c>
      <c r="P1209" s="19" t="str">
        <f>IF($D1209&lt;&gt;1,"",IF($G1209="ROKS",SUMIFS(TblApplications[Besoin ROKS CPU (vCPU)],TblApplications[Cluster ROKS cible],$F1209,TblApplications[Action],"À migrer",TblApplications[Déjà incluse ROKS],"Non",TblApplications[Mois prov (calc)],"&lt;="&amp;$E1209),SUMIFS(TblApplications[CPU IKS libérable (vCPU)],TblApplications[Cluster IKS source],$F1209,TblApplications[Mois lib (calc)],"&lt;="&amp;$E1209)))</f>
        <v/>
      </c>
      <c r="Q1209" s="19" t="str">
        <f>IF($D1209&lt;&gt;1,"",IF($G1209="ROKS",SUMIFS(TblApplications[Besoin ROKS RAM (Go)],TblApplications[Cluster ROKS cible],$F1209,TblApplications[Action],"À migrer",TblApplications[Déjà incluse ROKS],"Non",TblApplications[Mois prov (calc)],"&lt;="&amp;$E1209),SUMIFS(TblApplications[RAM IKS libérable (Go)],TblApplications[Cluster IKS source],$F1209,TblApplications[Mois lib (calc)],"&lt;="&amp;$E1209)))</f>
        <v/>
      </c>
      <c r="R1209" s="19" t="str">
        <f t="shared" si="309"/>
        <v/>
      </c>
      <c r="S1209" s="19" t="str">
        <f t="shared" si="310"/>
        <v/>
      </c>
      <c r="T1209" s="19" t="str">
        <f t="shared" si="311"/>
        <v/>
      </c>
      <c r="U1209" s="19" t="str">
        <f t="shared" si="312"/>
        <v/>
      </c>
      <c r="V1209" s="19" t="str">
        <f t="shared" si="313"/>
        <v/>
      </c>
      <c r="W1209" s="73" t="str">
        <f t="shared" si="314"/>
        <v/>
      </c>
      <c r="X1209" s="19" t="str">
        <f>IF($D1209&lt;&gt;1,"",IF($G1209="ROKS",$R1209,IF($AI1209=1,0,MAX($N1209,$L1209-SUMIFS(TblApplications[CPU IKS libérable (vCPU)],TblApplications[Cluster IKS source],$F1209,TblApplications[Action],"À migrer",TblApplications[Mois prov (calc)],"&lt;="&amp;$E1209)-SUMIFS(TblApplications[CPU IKS libérable (vCPU)],TblApplications[Cluster IKS source],$F1209,TblApplications[Action],"À décommissionner",TblApplications[Mois lib (calc)],"&lt;="&amp;$E1209)))))</f>
        <v/>
      </c>
      <c r="Y1209" s="19" t="str">
        <f>IF($D1209&lt;&gt;1,"",IF($G1209="ROKS",$S1209,IF($AI1209=1,0,MAX($O1209,$M1209-SUMIFS(TblApplications[RAM IKS libérable (Go)],TblApplications[Cluster IKS source],$F1209,TblApplications[Action],"À migrer",TblApplications[Mois prov (calc)],"&lt;="&amp;$E1209)-SUMIFS(TblApplications[RAM IKS libérable (Go)],TblApplications[Cluster IKS source],$F1209,TblApplications[Action],"À décommissionner",TblApplications[Mois lib (calc)],"&lt;="&amp;$E1209)))))</f>
        <v/>
      </c>
      <c r="Z1209" s="19" t="str">
        <f t="shared" si="315"/>
        <v/>
      </c>
      <c r="AA1209" s="73" t="str">
        <f t="shared" si="316"/>
        <v/>
      </c>
      <c r="AB1209" s="19" t="str">
        <f t="shared" si="317"/>
        <v/>
      </c>
      <c r="AC1209" s="73" t="str">
        <f t="shared" si="318"/>
        <v/>
      </c>
      <c r="AD1209" s="19" t="str">
        <f t="shared" si="319"/>
        <v/>
      </c>
      <c r="AE1209" s="19" t="str">
        <f t="shared" si="320"/>
        <v/>
      </c>
      <c r="AF1209" s="19" t="str">
        <f>IF($D1209&lt;&gt;1,"",IF(INDEX(TblClusters[Environnement],$B1209)="","(vide)",INDEX(TblClusters[Environnement],$B1209)))</f>
        <v/>
      </c>
      <c r="AG1209" s="19" t="str">
        <f t="shared" si="321"/>
        <v/>
      </c>
      <c r="AH1209" s="19" t="str">
        <f t="shared" si="322"/>
        <v/>
      </c>
      <c r="AI1209" s="19" t="str">
        <f>IF($D1209&lt;&gt;1,"",IF(AND($G1209="IKS",ISNUMBER(INDEX(TblClusters[Fermeture retenue],$B1209))),IF($E1209&gt;=INDEX(TblClusters[Fermeture retenue],$B1209),1,0),0))</f>
        <v/>
      </c>
    </row>
    <row r="1210" spans="1:35" x14ac:dyDescent="0.2">
      <c r="A1210" s="19">
        <v>1205</v>
      </c>
      <c r="B1210" s="19">
        <f t="shared" si="306"/>
        <v>34</v>
      </c>
      <c r="C1210" s="19">
        <f t="shared" si="307"/>
        <v>17</v>
      </c>
      <c r="D1210" s="19">
        <f>IF($C1210&gt;p_horizon,0,IFERROR(IF(AND(INDEX(TblClusters[Cluster],$B1210)&lt;&gt;"",ISNUMBER(INDEX(TblClusters[CPU initial (vCPU)],$B1210)),ISNUMBER(INDEX(TblClusters[CPU min (vCPU)],$B1210)),OR(INDEX(TblClusters[Plateforme],$B1210)="IKS",INDEX(TblClusters[Plateforme],$B1210)="ROKS")),1,0),0))</f>
        <v>0</v>
      </c>
      <c r="E1210" s="72" t="str">
        <f t="shared" si="308"/>
        <v/>
      </c>
      <c r="F1210" s="19" t="str">
        <f>IF($D1210=1,INDEX(TblClusters[Cluster],$B1210),"")</f>
        <v/>
      </c>
      <c r="G1210" s="19" t="str">
        <f>IF($D1210=1,INDEX(TblClusters[Plateforme],$B1210),"")</f>
        <v/>
      </c>
      <c r="H1210" s="19" t="str">
        <f>IF($D1210=1,INDEX(TblClusters[vCPU par nœud],$B1210),"")</f>
        <v/>
      </c>
      <c r="I1210" s="19" t="str">
        <f>IF($D1210=1,INDEX(TblClusters[RAM par nœud (Go)],$B1210),"")</f>
        <v/>
      </c>
      <c r="J1210" s="19" t="str">
        <f>IF($D1210=1,INDEX(TblClusters[Workers min],$B1210),"")</f>
        <v/>
      </c>
      <c r="K1210" s="73" t="str">
        <f>IF($D1210=1,INDEX(TblClusters[Tarif par nœud],$B1210),"")</f>
        <v/>
      </c>
      <c r="L1210" s="19" t="str">
        <f>IF($D1210=1,INDEX(TblClusters[CPU initial (vCPU)],$B1210),"")</f>
        <v/>
      </c>
      <c r="M1210" s="19" t="str">
        <f>IF($D1210=1,INDEX(TblClusters[RAM initiale (Go)],$B1210),"")</f>
        <v/>
      </c>
      <c r="N1210" s="19" t="str">
        <f>IF($D1210=1,INDEX(TblClusters[CPU min (vCPU)],$B1210),"")</f>
        <v/>
      </c>
      <c r="O1210" s="19" t="str">
        <f>IF($D1210=1,INDEX(TblClusters[RAM min (Go)],$B1210),"")</f>
        <v/>
      </c>
      <c r="P1210" s="19" t="str">
        <f>IF($D1210&lt;&gt;1,"",IF($G1210="ROKS",SUMIFS(TblApplications[Besoin ROKS CPU (vCPU)],TblApplications[Cluster ROKS cible],$F1210,TblApplications[Action],"À migrer",TblApplications[Déjà incluse ROKS],"Non",TblApplications[Mois prov (calc)],"&lt;="&amp;$E1210),SUMIFS(TblApplications[CPU IKS libérable (vCPU)],TblApplications[Cluster IKS source],$F1210,TblApplications[Mois lib (calc)],"&lt;="&amp;$E1210)))</f>
        <v/>
      </c>
      <c r="Q1210" s="19" t="str">
        <f>IF($D1210&lt;&gt;1,"",IF($G1210="ROKS",SUMIFS(TblApplications[Besoin ROKS RAM (Go)],TblApplications[Cluster ROKS cible],$F1210,TblApplications[Action],"À migrer",TblApplications[Déjà incluse ROKS],"Non",TblApplications[Mois prov (calc)],"&lt;="&amp;$E1210),SUMIFS(TblApplications[RAM IKS libérable (Go)],TblApplications[Cluster IKS source],$F1210,TblApplications[Mois lib (calc)],"&lt;="&amp;$E1210)))</f>
        <v/>
      </c>
      <c r="R1210" s="19" t="str">
        <f t="shared" si="309"/>
        <v/>
      </c>
      <c r="S1210" s="19" t="str">
        <f t="shared" si="310"/>
        <v/>
      </c>
      <c r="T1210" s="19" t="str">
        <f t="shared" si="311"/>
        <v/>
      </c>
      <c r="U1210" s="19" t="str">
        <f t="shared" si="312"/>
        <v/>
      </c>
      <c r="V1210" s="19" t="str">
        <f t="shared" si="313"/>
        <v/>
      </c>
      <c r="W1210" s="73" t="str">
        <f t="shared" si="314"/>
        <v/>
      </c>
      <c r="X1210" s="19" t="str">
        <f>IF($D1210&lt;&gt;1,"",IF($G1210="ROKS",$R1210,IF($AI1210=1,0,MAX($N1210,$L1210-SUMIFS(TblApplications[CPU IKS libérable (vCPU)],TblApplications[Cluster IKS source],$F1210,TblApplications[Action],"À migrer",TblApplications[Mois prov (calc)],"&lt;="&amp;$E1210)-SUMIFS(TblApplications[CPU IKS libérable (vCPU)],TblApplications[Cluster IKS source],$F1210,TblApplications[Action],"À décommissionner",TblApplications[Mois lib (calc)],"&lt;="&amp;$E1210)))))</f>
        <v/>
      </c>
      <c r="Y1210" s="19" t="str">
        <f>IF($D1210&lt;&gt;1,"",IF($G1210="ROKS",$S1210,IF($AI1210=1,0,MAX($O1210,$M1210-SUMIFS(TblApplications[RAM IKS libérable (Go)],TblApplications[Cluster IKS source],$F1210,TblApplications[Action],"À migrer",TblApplications[Mois prov (calc)],"&lt;="&amp;$E1210)-SUMIFS(TblApplications[RAM IKS libérable (Go)],TblApplications[Cluster IKS source],$F1210,TblApplications[Action],"À décommissionner",TblApplications[Mois lib (calc)],"&lt;="&amp;$E1210)))))</f>
        <v/>
      </c>
      <c r="Z1210" s="19" t="str">
        <f t="shared" si="315"/>
        <v/>
      </c>
      <c r="AA1210" s="73" t="str">
        <f t="shared" si="316"/>
        <v/>
      </c>
      <c r="AB1210" s="19" t="str">
        <f t="shared" si="317"/>
        <v/>
      </c>
      <c r="AC1210" s="73" t="str">
        <f t="shared" si="318"/>
        <v/>
      </c>
      <c r="AD1210" s="19" t="str">
        <f t="shared" si="319"/>
        <v/>
      </c>
      <c r="AE1210" s="19" t="str">
        <f t="shared" si="320"/>
        <v/>
      </c>
      <c r="AF1210" s="19" t="str">
        <f>IF($D1210&lt;&gt;1,"",IF(INDEX(TblClusters[Environnement],$B1210)="","(vide)",INDEX(TblClusters[Environnement],$B1210)))</f>
        <v/>
      </c>
      <c r="AG1210" s="19" t="str">
        <f t="shared" si="321"/>
        <v/>
      </c>
      <c r="AH1210" s="19" t="str">
        <f t="shared" si="322"/>
        <v/>
      </c>
      <c r="AI1210" s="19" t="str">
        <f>IF($D1210&lt;&gt;1,"",IF(AND($G1210="IKS",ISNUMBER(INDEX(TblClusters[Fermeture retenue],$B1210))),IF($E1210&gt;=INDEX(TblClusters[Fermeture retenue],$B1210),1,0),0))</f>
        <v/>
      </c>
    </row>
    <row r="1211" spans="1:35" x14ac:dyDescent="0.2">
      <c r="A1211" s="19">
        <v>1206</v>
      </c>
      <c r="B1211" s="19">
        <f t="shared" si="306"/>
        <v>34</v>
      </c>
      <c r="C1211" s="19">
        <f t="shared" si="307"/>
        <v>18</v>
      </c>
      <c r="D1211" s="19">
        <f>IF($C1211&gt;p_horizon,0,IFERROR(IF(AND(INDEX(TblClusters[Cluster],$B1211)&lt;&gt;"",ISNUMBER(INDEX(TblClusters[CPU initial (vCPU)],$B1211)),ISNUMBER(INDEX(TblClusters[CPU min (vCPU)],$B1211)),OR(INDEX(TblClusters[Plateforme],$B1211)="IKS",INDEX(TblClusters[Plateforme],$B1211)="ROKS")),1,0),0))</f>
        <v>0</v>
      </c>
      <c r="E1211" s="72" t="str">
        <f t="shared" si="308"/>
        <v/>
      </c>
      <c r="F1211" s="19" t="str">
        <f>IF($D1211=1,INDEX(TblClusters[Cluster],$B1211),"")</f>
        <v/>
      </c>
      <c r="G1211" s="19" t="str">
        <f>IF($D1211=1,INDEX(TblClusters[Plateforme],$B1211),"")</f>
        <v/>
      </c>
      <c r="H1211" s="19" t="str">
        <f>IF($D1211=1,INDEX(TblClusters[vCPU par nœud],$B1211),"")</f>
        <v/>
      </c>
      <c r="I1211" s="19" t="str">
        <f>IF($D1211=1,INDEX(TblClusters[RAM par nœud (Go)],$B1211),"")</f>
        <v/>
      </c>
      <c r="J1211" s="19" t="str">
        <f>IF($D1211=1,INDEX(TblClusters[Workers min],$B1211),"")</f>
        <v/>
      </c>
      <c r="K1211" s="73" t="str">
        <f>IF($D1211=1,INDEX(TblClusters[Tarif par nœud],$B1211),"")</f>
        <v/>
      </c>
      <c r="L1211" s="19" t="str">
        <f>IF($D1211=1,INDEX(TblClusters[CPU initial (vCPU)],$B1211),"")</f>
        <v/>
      </c>
      <c r="M1211" s="19" t="str">
        <f>IF($D1211=1,INDEX(TblClusters[RAM initiale (Go)],$B1211),"")</f>
        <v/>
      </c>
      <c r="N1211" s="19" t="str">
        <f>IF($D1211=1,INDEX(TblClusters[CPU min (vCPU)],$B1211),"")</f>
        <v/>
      </c>
      <c r="O1211" s="19" t="str">
        <f>IF($D1211=1,INDEX(TblClusters[RAM min (Go)],$B1211),"")</f>
        <v/>
      </c>
      <c r="P1211" s="19" t="str">
        <f>IF($D1211&lt;&gt;1,"",IF($G1211="ROKS",SUMIFS(TblApplications[Besoin ROKS CPU (vCPU)],TblApplications[Cluster ROKS cible],$F1211,TblApplications[Action],"À migrer",TblApplications[Déjà incluse ROKS],"Non",TblApplications[Mois prov (calc)],"&lt;="&amp;$E1211),SUMIFS(TblApplications[CPU IKS libérable (vCPU)],TblApplications[Cluster IKS source],$F1211,TblApplications[Mois lib (calc)],"&lt;="&amp;$E1211)))</f>
        <v/>
      </c>
      <c r="Q1211" s="19" t="str">
        <f>IF($D1211&lt;&gt;1,"",IF($G1211="ROKS",SUMIFS(TblApplications[Besoin ROKS RAM (Go)],TblApplications[Cluster ROKS cible],$F1211,TblApplications[Action],"À migrer",TblApplications[Déjà incluse ROKS],"Non",TblApplications[Mois prov (calc)],"&lt;="&amp;$E1211),SUMIFS(TblApplications[RAM IKS libérable (Go)],TblApplications[Cluster IKS source],$F1211,TblApplications[Mois lib (calc)],"&lt;="&amp;$E1211)))</f>
        <v/>
      </c>
      <c r="R1211" s="19" t="str">
        <f t="shared" si="309"/>
        <v/>
      </c>
      <c r="S1211" s="19" t="str">
        <f t="shared" si="310"/>
        <v/>
      </c>
      <c r="T1211" s="19" t="str">
        <f t="shared" si="311"/>
        <v/>
      </c>
      <c r="U1211" s="19" t="str">
        <f t="shared" si="312"/>
        <v/>
      </c>
      <c r="V1211" s="19" t="str">
        <f t="shared" si="313"/>
        <v/>
      </c>
      <c r="W1211" s="73" t="str">
        <f t="shared" si="314"/>
        <v/>
      </c>
      <c r="X1211" s="19" t="str">
        <f>IF($D1211&lt;&gt;1,"",IF($G1211="ROKS",$R1211,IF($AI1211=1,0,MAX($N1211,$L1211-SUMIFS(TblApplications[CPU IKS libérable (vCPU)],TblApplications[Cluster IKS source],$F1211,TblApplications[Action],"À migrer",TblApplications[Mois prov (calc)],"&lt;="&amp;$E1211)-SUMIFS(TblApplications[CPU IKS libérable (vCPU)],TblApplications[Cluster IKS source],$F1211,TblApplications[Action],"À décommissionner",TblApplications[Mois lib (calc)],"&lt;="&amp;$E1211)))))</f>
        <v/>
      </c>
      <c r="Y1211" s="19" t="str">
        <f>IF($D1211&lt;&gt;1,"",IF($G1211="ROKS",$S1211,IF($AI1211=1,0,MAX($O1211,$M1211-SUMIFS(TblApplications[RAM IKS libérable (Go)],TblApplications[Cluster IKS source],$F1211,TblApplications[Action],"À migrer",TblApplications[Mois prov (calc)],"&lt;="&amp;$E1211)-SUMIFS(TblApplications[RAM IKS libérable (Go)],TblApplications[Cluster IKS source],$F1211,TblApplications[Action],"À décommissionner",TblApplications[Mois lib (calc)],"&lt;="&amp;$E1211)))))</f>
        <v/>
      </c>
      <c r="Z1211" s="19" t="str">
        <f t="shared" si="315"/>
        <v/>
      </c>
      <c r="AA1211" s="73" t="str">
        <f t="shared" si="316"/>
        <v/>
      </c>
      <c r="AB1211" s="19" t="str">
        <f t="shared" si="317"/>
        <v/>
      </c>
      <c r="AC1211" s="73" t="str">
        <f t="shared" si="318"/>
        <v/>
      </c>
      <c r="AD1211" s="19" t="str">
        <f t="shared" si="319"/>
        <v/>
      </c>
      <c r="AE1211" s="19" t="str">
        <f t="shared" si="320"/>
        <v/>
      </c>
      <c r="AF1211" s="19" t="str">
        <f>IF($D1211&lt;&gt;1,"",IF(INDEX(TblClusters[Environnement],$B1211)="","(vide)",INDEX(TblClusters[Environnement],$B1211)))</f>
        <v/>
      </c>
      <c r="AG1211" s="19" t="str">
        <f t="shared" si="321"/>
        <v/>
      </c>
      <c r="AH1211" s="19" t="str">
        <f t="shared" si="322"/>
        <v/>
      </c>
      <c r="AI1211" s="19" t="str">
        <f>IF($D1211&lt;&gt;1,"",IF(AND($G1211="IKS",ISNUMBER(INDEX(TblClusters[Fermeture retenue],$B1211))),IF($E1211&gt;=INDEX(TblClusters[Fermeture retenue],$B1211),1,0),0))</f>
        <v/>
      </c>
    </row>
    <row r="1212" spans="1:35" x14ac:dyDescent="0.2">
      <c r="A1212" s="19">
        <v>1207</v>
      </c>
      <c r="B1212" s="19">
        <f t="shared" si="306"/>
        <v>34</v>
      </c>
      <c r="C1212" s="19">
        <f t="shared" si="307"/>
        <v>19</v>
      </c>
      <c r="D1212" s="19">
        <f>IF($C1212&gt;p_horizon,0,IFERROR(IF(AND(INDEX(TblClusters[Cluster],$B1212)&lt;&gt;"",ISNUMBER(INDEX(TblClusters[CPU initial (vCPU)],$B1212)),ISNUMBER(INDEX(TblClusters[CPU min (vCPU)],$B1212)),OR(INDEX(TblClusters[Plateforme],$B1212)="IKS",INDEX(TblClusters[Plateforme],$B1212)="ROKS")),1,0),0))</f>
        <v>0</v>
      </c>
      <c r="E1212" s="72" t="str">
        <f t="shared" si="308"/>
        <v/>
      </c>
      <c r="F1212" s="19" t="str">
        <f>IF($D1212=1,INDEX(TblClusters[Cluster],$B1212),"")</f>
        <v/>
      </c>
      <c r="G1212" s="19" t="str">
        <f>IF($D1212=1,INDEX(TblClusters[Plateforme],$B1212),"")</f>
        <v/>
      </c>
      <c r="H1212" s="19" t="str">
        <f>IF($D1212=1,INDEX(TblClusters[vCPU par nœud],$B1212),"")</f>
        <v/>
      </c>
      <c r="I1212" s="19" t="str">
        <f>IF($D1212=1,INDEX(TblClusters[RAM par nœud (Go)],$B1212),"")</f>
        <v/>
      </c>
      <c r="J1212" s="19" t="str">
        <f>IF($D1212=1,INDEX(TblClusters[Workers min],$B1212),"")</f>
        <v/>
      </c>
      <c r="K1212" s="73" t="str">
        <f>IF($D1212=1,INDEX(TblClusters[Tarif par nœud],$B1212),"")</f>
        <v/>
      </c>
      <c r="L1212" s="19" t="str">
        <f>IF($D1212=1,INDEX(TblClusters[CPU initial (vCPU)],$B1212),"")</f>
        <v/>
      </c>
      <c r="M1212" s="19" t="str">
        <f>IF($D1212=1,INDEX(TblClusters[RAM initiale (Go)],$B1212),"")</f>
        <v/>
      </c>
      <c r="N1212" s="19" t="str">
        <f>IF($D1212=1,INDEX(TblClusters[CPU min (vCPU)],$B1212),"")</f>
        <v/>
      </c>
      <c r="O1212" s="19" t="str">
        <f>IF($D1212=1,INDEX(TblClusters[RAM min (Go)],$B1212),"")</f>
        <v/>
      </c>
      <c r="P1212" s="19" t="str">
        <f>IF($D1212&lt;&gt;1,"",IF($G1212="ROKS",SUMIFS(TblApplications[Besoin ROKS CPU (vCPU)],TblApplications[Cluster ROKS cible],$F1212,TblApplications[Action],"À migrer",TblApplications[Déjà incluse ROKS],"Non",TblApplications[Mois prov (calc)],"&lt;="&amp;$E1212),SUMIFS(TblApplications[CPU IKS libérable (vCPU)],TblApplications[Cluster IKS source],$F1212,TblApplications[Mois lib (calc)],"&lt;="&amp;$E1212)))</f>
        <v/>
      </c>
      <c r="Q1212" s="19" t="str">
        <f>IF($D1212&lt;&gt;1,"",IF($G1212="ROKS",SUMIFS(TblApplications[Besoin ROKS RAM (Go)],TblApplications[Cluster ROKS cible],$F1212,TblApplications[Action],"À migrer",TblApplications[Déjà incluse ROKS],"Non",TblApplications[Mois prov (calc)],"&lt;="&amp;$E1212),SUMIFS(TblApplications[RAM IKS libérable (Go)],TblApplications[Cluster IKS source],$F1212,TblApplications[Mois lib (calc)],"&lt;="&amp;$E1212)))</f>
        <v/>
      </c>
      <c r="R1212" s="19" t="str">
        <f t="shared" si="309"/>
        <v/>
      </c>
      <c r="S1212" s="19" t="str">
        <f t="shared" si="310"/>
        <v/>
      </c>
      <c r="T1212" s="19" t="str">
        <f t="shared" si="311"/>
        <v/>
      </c>
      <c r="U1212" s="19" t="str">
        <f t="shared" si="312"/>
        <v/>
      </c>
      <c r="V1212" s="19" t="str">
        <f t="shared" si="313"/>
        <v/>
      </c>
      <c r="W1212" s="73" t="str">
        <f t="shared" si="314"/>
        <v/>
      </c>
      <c r="X1212" s="19" t="str">
        <f>IF($D1212&lt;&gt;1,"",IF($G1212="ROKS",$R1212,IF($AI1212=1,0,MAX($N1212,$L1212-SUMIFS(TblApplications[CPU IKS libérable (vCPU)],TblApplications[Cluster IKS source],$F1212,TblApplications[Action],"À migrer",TblApplications[Mois prov (calc)],"&lt;="&amp;$E1212)-SUMIFS(TblApplications[CPU IKS libérable (vCPU)],TblApplications[Cluster IKS source],$F1212,TblApplications[Action],"À décommissionner",TblApplications[Mois lib (calc)],"&lt;="&amp;$E1212)))))</f>
        <v/>
      </c>
      <c r="Y1212" s="19" t="str">
        <f>IF($D1212&lt;&gt;1,"",IF($G1212="ROKS",$S1212,IF($AI1212=1,0,MAX($O1212,$M1212-SUMIFS(TblApplications[RAM IKS libérable (Go)],TblApplications[Cluster IKS source],$F1212,TblApplications[Action],"À migrer",TblApplications[Mois prov (calc)],"&lt;="&amp;$E1212)-SUMIFS(TblApplications[RAM IKS libérable (Go)],TblApplications[Cluster IKS source],$F1212,TblApplications[Action],"À décommissionner",TblApplications[Mois lib (calc)],"&lt;="&amp;$E1212)))))</f>
        <v/>
      </c>
      <c r="Z1212" s="19" t="str">
        <f t="shared" si="315"/>
        <v/>
      </c>
      <c r="AA1212" s="73" t="str">
        <f t="shared" si="316"/>
        <v/>
      </c>
      <c r="AB1212" s="19" t="str">
        <f t="shared" si="317"/>
        <v/>
      </c>
      <c r="AC1212" s="73" t="str">
        <f t="shared" si="318"/>
        <v/>
      </c>
      <c r="AD1212" s="19" t="str">
        <f t="shared" si="319"/>
        <v/>
      </c>
      <c r="AE1212" s="19" t="str">
        <f t="shared" si="320"/>
        <v/>
      </c>
      <c r="AF1212" s="19" t="str">
        <f>IF($D1212&lt;&gt;1,"",IF(INDEX(TblClusters[Environnement],$B1212)="","(vide)",INDEX(TblClusters[Environnement],$B1212)))</f>
        <v/>
      </c>
      <c r="AG1212" s="19" t="str">
        <f t="shared" si="321"/>
        <v/>
      </c>
      <c r="AH1212" s="19" t="str">
        <f t="shared" si="322"/>
        <v/>
      </c>
      <c r="AI1212" s="19" t="str">
        <f>IF($D1212&lt;&gt;1,"",IF(AND($G1212="IKS",ISNUMBER(INDEX(TblClusters[Fermeture retenue],$B1212))),IF($E1212&gt;=INDEX(TblClusters[Fermeture retenue],$B1212),1,0),0))</f>
        <v/>
      </c>
    </row>
    <row r="1213" spans="1:35" x14ac:dyDescent="0.2">
      <c r="A1213" s="19">
        <v>1208</v>
      </c>
      <c r="B1213" s="19">
        <f t="shared" si="306"/>
        <v>34</v>
      </c>
      <c r="C1213" s="19">
        <f t="shared" si="307"/>
        <v>20</v>
      </c>
      <c r="D1213" s="19">
        <f>IF($C1213&gt;p_horizon,0,IFERROR(IF(AND(INDEX(TblClusters[Cluster],$B1213)&lt;&gt;"",ISNUMBER(INDEX(TblClusters[CPU initial (vCPU)],$B1213)),ISNUMBER(INDEX(TblClusters[CPU min (vCPU)],$B1213)),OR(INDEX(TblClusters[Plateforme],$B1213)="IKS",INDEX(TblClusters[Plateforme],$B1213)="ROKS")),1,0),0))</f>
        <v>0</v>
      </c>
      <c r="E1213" s="72" t="str">
        <f t="shared" si="308"/>
        <v/>
      </c>
      <c r="F1213" s="19" t="str">
        <f>IF($D1213=1,INDEX(TblClusters[Cluster],$B1213),"")</f>
        <v/>
      </c>
      <c r="G1213" s="19" t="str">
        <f>IF($D1213=1,INDEX(TblClusters[Plateforme],$B1213),"")</f>
        <v/>
      </c>
      <c r="H1213" s="19" t="str">
        <f>IF($D1213=1,INDEX(TblClusters[vCPU par nœud],$B1213),"")</f>
        <v/>
      </c>
      <c r="I1213" s="19" t="str">
        <f>IF($D1213=1,INDEX(TblClusters[RAM par nœud (Go)],$B1213),"")</f>
        <v/>
      </c>
      <c r="J1213" s="19" t="str">
        <f>IF($D1213=1,INDEX(TblClusters[Workers min],$B1213),"")</f>
        <v/>
      </c>
      <c r="K1213" s="73" t="str">
        <f>IF($D1213=1,INDEX(TblClusters[Tarif par nœud],$B1213),"")</f>
        <v/>
      </c>
      <c r="L1213" s="19" t="str">
        <f>IF($D1213=1,INDEX(TblClusters[CPU initial (vCPU)],$B1213),"")</f>
        <v/>
      </c>
      <c r="M1213" s="19" t="str">
        <f>IF($D1213=1,INDEX(TblClusters[RAM initiale (Go)],$B1213),"")</f>
        <v/>
      </c>
      <c r="N1213" s="19" t="str">
        <f>IF($D1213=1,INDEX(TblClusters[CPU min (vCPU)],$B1213),"")</f>
        <v/>
      </c>
      <c r="O1213" s="19" t="str">
        <f>IF($D1213=1,INDEX(TblClusters[RAM min (Go)],$B1213),"")</f>
        <v/>
      </c>
      <c r="P1213" s="19" t="str">
        <f>IF($D1213&lt;&gt;1,"",IF($G1213="ROKS",SUMIFS(TblApplications[Besoin ROKS CPU (vCPU)],TblApplications[Cluster ROKS cible],$F1213,TblApplications[Action],"À migrer",TblApplications[Déjà incluse ROKS],"Non",TblApplications[Mois prov (calc)],"&lt;="&amp;$E1213),SUMIFS(TblApplications[CPU IKS libérable (vCPU)],TblApplications[Cluster IKS source],$F1213,TblApplications[Mois lib (calc)],"&lt;="&amp;$E1213)))</f>
        <v/>
      </c>
      <c r="Q1213" s="19" t="str">
        <f>IF($D1213&lt;&gt;1,"",IF($G1213="ROKS",SUMIFS(TblApplications[Besoin ROKS RAM (Go)],TblApplications[Cluster ROKS cible],$F1213,TblApplications[Action],"À migrer",TblApplications[Déjà incluse ROKS],"Non",TblApplications[Mois prov (calc)],"&lt;="&amp;$E1213),SUMIFS(TblApplications[RAM IKS libérable (Go)],TblApplications[Cluster IKS source],$F1213,TblApplications[Mois lib (calc)],"&lt;="&amp;$E1213)))</f>
        <v/>
      </c>
      <c r="R1213" s="19" t="str">
        <f t="shared" si="309"/>
        <v/>
      </c>
      <c r="S1213" s="19" t="str">
        <f t="shared" si="310"/>
        <v/>
      </c>
      <c r="T1213" s="19" t="str">
        <f t="shared" si="311"/>
        <v/>
      </c>
      <c r="U1213" s="19" t="str">
        <f t="shared" si="312"/>
        <v/>
      </c>
      <c r="V1213" s="19" t="str">
        <f t="shared" si="313"/>
        <v/>
      </c>
      <c r="W1213" s="73" t="str">
        <f t="shared" si="314"/>
        <v/>
      </c>
      <c r="X1213" s="19" t="str">
        <f>IF($D1213&lt;&gt;1,"",IF($G1213="ROKS",$R1213,IF($AI1213=1,0,MAX($N1213,$L1213-SUMIFS(TblApplications[CPU IKS libérable (vCPU)],TblApplications[Cluster IKS source],$F1213,TblApplications[Action],"À migrer",TblApplications[Mois prov (calc)],"&lt;="&amp;$E1213)-SUMIFS(TblApplications[CPU IKS libérable (vCPU)],TblApplications[Cluster IKS source],$F1213,TblApplications[Action],"À décommissionner",TblApplications[Mois lib (calc)],"&lt;="&amp;$E1213)))))</f>
        <v/>
      </c>
      <c r="Y1213" s="19" t="str">
        <f>IF($D1213&lt;&gt;1,"",IF($G1213="ROKS",$S1213,IF($AI1213=1,0,MAX($O1213,$M1213-SUMIFS(TblApplications[RAM IKS libérable (Go)],TblApplications[Cluster IKS source],$F1213,TblApplications[Action],"À migrer",TblApplications[Mois prov (calc)],"&lt;="&amp;$E1213)-SUMIFS(TblApplications[RAM IKS libérable (Go)],TblApplications[Cluster IKS source],$F1213,TblApplications[Action],"À décommissionner",TblApplications[Mois lib (calc)],"&lt;="&amp;$E1213)))))</f>
        <v/>
      </c>
      <c r="Z1213" s="19" t="str">
        <f t="shared" si="315"/>
        <v/>
      </c>
      <c r="AA1213" s="73" t="str">
        <f t="shared" si="316"/>
        <v/>
      </c>
      <c r="AB1213" s="19" t="str">
        <f t="shared" si="317"/>
        <v/>
      </c>
      <c r="AC1213" s="73" t="str">
        <f t="shared" si="318"/>
        <v/>
      </c>
      <c r="AD1213" s="19" t="str">
        <f t="shared" si="319"/>
        <v/>
      </c>
      <c r="AE1213" s="19" t="str">
        <f t="shared" si="320"/>
        <v/>
      </c>
      <c r="AF1213" s="19" t="str">
        <f>IF($D1213&lt;&gt;1,"",IF(INDEX(TblClusters[Environnement],$B1213)="","(vide)",INDEX(TblClusters[Environnement],$B1213)))</f>
        <v/>
      </c>
      <c r="AG1213" s="19" t="str">
        <f t="shared" si="321"/>
        <v/>
      </c>
      <c r="AH1213" s="19" t="str">
        <f t="shared" si="322"/>
        <v/>
      </c>
      <c r="AI1213" s="19" t="str">
        <f>IF($D1213&lt;&gt;1,"",IF(AND($G1213="IKS",ISNUMBER(INDEX(TblClusters[Fermeture retenue],$B1213))),IF($E1213&gt;=INDEX(TblClusters[Fermeture retenue],$B1213),1,0),0))</f>
        <v/>
      </c>
    </row>
    <row r="1214" spans="1:35" x14ac:dyDescent="0.2">
      <c r="A1214" s="19">
        <v>1209</v>
      </c>
      <c r="B1214" s="19">
        <f t="shared" si="306"/>
        <v>34</v>
      </c>
      <c r="C1214" s="19">
        <f t="shared" si="307"/>
        <v>21</v>
      </c>
      <c r="D1214" s="19">
        <f>IF($C1214&gt;p_horizon,0,IFERROR(IF(AND(INDEX(TblClusters[Cluster],$B1214)&lt;&gt;"",ISNUMBER(INDEX(TblClusters[CPU initial (vCPU)],$B1214)),ISNUMBER(INDEX(TblClusters[CPU min (vCPU)],$B1214)),OR(INDEX(TblClusters[Plateforme],$B1214)="IKS",INDEX(TblClusters[Plateforme],$B1214)="ROKS")),1,0),0))</f>
        <v>0</v>
      </c>
      <c r="E1214" s="72" t="str">
        <f t="shared" si="308"/>
        <v/>
      </c>
      <c r="F1214" s="19" t="str">
        <f>IF($D1214=1,INDEX(TblClusters[Cluster],$B1214),"")</f>
        <v/>
      </c>
      <c r="G1214" s="19" t="str">
        <f>IF($D1214=1,INDEX(TblClusters[Plateforme],$B1214),"")</f>
        <v/>
      </c>
      <c r="H1214" s="19" t="str">
        <f>IF($D1214=1,INDEX(TblClusters[vCPU par nœud],$B1214),"")</f>
        <v/>
      </c>
      <c r="I1214" s="19" t="str">
        <f>IF($D1214=1,INDEX(TblClusters[RAM par nœud (Go)],$B1214),"")</f>
        <v/>
      </c>
      <c r="J1214" s="19" t="str">
        <f>IF($D1214=1,INDEX(TblClusters[Workers min],$B1214),"")</f>
        <v/>
      </c>
      <c r="K1214" s="73" t="str">
        <f>IF($D1214=1,INDEX(TblClusters[Tarif par nœud],$B1214),"")</f>
        <v/>
      </c>
      <c r="L1214" s="19" t="str">
        <f>IF($D1214=1,INDEX(TblClusters[CPU initial (vCPU)],$B1214),"")</f>
        <v/>
      </c>
      <c r="M1214" s="19" t="str">
        <f>IF($D1214=1,INDEX(TblClusters[RAM initiale (Go)],$B1214),"")</f>
        <v/>
      </c>
      <c r="N1214" s="19" t="str">
        <f>IF($D1214=1,INDEX(TblClusters[CPU min (vCPU)],$B1214),"")</f>
        <v/>
      </c>
      <c r="O1214" s="19" t="str">
        <f>IF($D1214=1,INDEX(TblClusters[RAM min (Go)],$B1214),"")</f>
        <v/>
      </c>
      <c r="P1214" s="19" t="str">
        <f>IF($D1214&lt;&gt;1,"",IF($G1214="ROKS",SUMIFS(TblApplications[Besoin ROKS CPU (vCPU)],TblApplications[Cluster ROKS cible],$F1214,TblApplications[Action],"À migrer",TblApplications[Déjà incluse ROKS],"Non",TblApplications[Mois prov (calc)],"&lt;="&amp;$E1214),SUMIFS(TblApplications[CPU IKS libérable (vCPU)],TblApplications[Cluster IKS source],$F1214,TblApplications[Mois lib (calc)],"&lt;="&amp;$E1214)))</f>
        <v/>
      </c>
      <c r="Q1214" s="19" t="str">
        <f>IF($D1214&lt;&gt;1,"",IF($G1214="ROKS",SUMIFS(TblApplications[Besoin ROKS RAM (Go)],TblApplications[Cluster ROKS cible],$F1214,TblApplications[Action],"À migrer",TblApplications[Déjà incluse ROKS],"Non",TblApplications[Mois prov (calc)],"&lt;="&amp;$E1214),SUMIFS(TblApplications[RAM IKS libérable (Go)],TblApplications[Cluster IKS source],$F1214,TblApplications[Mois lib (calc)],"&lt;="&amp;$E1214)))</f>
        <v/>
      </c>
      <c r="R1214" s="19" t="str">
        <f t="shared" si="309"/>
        <v/>
      </c>
      <c r="S1214" s="19" t="str">
        <f t="shared" si="310"/>
        <v/>
      </c>
      <c r="T1214" s="19" t="str">
        <f t="shared" si="311"/>
        <v/>
      </c>
      <c r="U1214" s="19" t="str">
        <f t="shared" si="312"/>
        <v/>
      </c>
      <c r="V1214" s="19" t="str">
        <f t="shared" si="313"/>
        <v/>
      </c>
      <c r="W1214" s="73" t="str">
        <f t="shared" si="314"/>
        <v/>
      </c>
      <c r="X1214" s="19" t="str">
        <f>IF($D1214&lt;&gt;1,"",IF($G1214="ROKS",$R1214,IF($AI1214=1,0,MAX($N1214,$L1214-SUMIFS(TblApplications[CPU IKS libérable (vCPU)],TblApplications[Cluster IKS source],$F1214,TblApplications[Action],"À migrer",TblApplications[Mois prov (calc)],"&lt;="&amp;$E1214)-SUMIFS(TblApplications[CPU IKS libérable (vCPU)],TblApplications[Cluster IKS source],$F1214,TblApplications[Action],"À décommissionner",TblApplications[Mois lib (calc)],"&lt;="&amp;$E1214)))))</f>
        <v/>
      </c>
      <c r="Y1214" s="19" t="str">
        <f>IF($D1214&lt;&gt;1,"",IF($G1214="ROKS",$S1214,IF($AI1214=1,0,MAX($O1214,$M1214-SUMIFS(TblApplications[RAM IKS libérable (Go)],TblApplications[Cluster IKS source],$F1214,TblApplications[Action],"À migrer",TblApplications[Mois prov (calc)],"&lt;="&amp;$E1214)-SUMIFS(TblApplications[RAM IKS libérable (Go)],TblApplications[Cluster IKS source],$F1214,TblApplications[Action],"À décommissionner",TblApplications[Mois lib (calc)],"&lt;="&amp;$E1214)))))</f>
        <v/>
      </c>
      <c r="Z1214" s="19" t="str">
        <f t="shared" si="315"/>
        <v/>
      </c>
      <c r="AA1214" s="73" t="str">
        <f t="shared" si="316"/>
        <v/>
      </c>
      <c r="AB1214" s="19" t="str">
        <f t="shared" si="317"/>
        <v/>
      </c>
      <c r="AC1214" s="73" t="str">
        <f t="shared" si="318"/>
        <v/>
      </c>
      <c r="AD1214" s="19" t="str">
        <f t="shared" si="319"/>
        <v/>
      </c>
      <c r="AE1214" s="19" t="str">
        <f t="shared" si="320"/>
        <v/>
      </c>
      <c r="AF1214" s="19" t="str">
        <f>IF($D1214&lt;&gt;1,"",IF(INDEX(TblClusters[Environnement],$B1214)="","(vide)",INDEX(TblClusters[Environnement],$B1214)))</f>
        <v/>
      </c>
      <c r="AG1214" s="19" t="str">
        <f t="shared" si="321"/>
        <v/>
      </c>
      <c r="AH1214" s="19" t="str">
        <f t="shared" si="322"/>
        <v/>
      </c>
      <c r="AI1214" s="19" t="str">
        <f>IF($D1214&lt;&gt;1,"",IF(AND($G1214="IKS",ISNUMBER(INDEX(TblClusters[Fermeture retenue],$B1214))),IF($E1214&gt;=INDEX(TblClusters[Fermeture retenue],$B1214),1,0),0))</f>
        <v/>
      </c>
    </row>
    <row r="1215" spans="1:35" x14ac:dyDescent="0.2">
      <c r="A1215" s="19">
        <v>1210</v>
      </c>
      <c r="B1215" s="19">
        <f t="shared" si="306"/>
        <v>34</v>
      </c>
      <c r="C1215" s="19">
        <f t="shared" si="307"/>
        <v>22</v>
      </c>
      <c r="D1215" s="19">
        <f>IF($C1215&gt;p_horizon,0,IFERROR(IF(AND(INDEX(TblClusters[Cluster],$B1215)&lt;&gt;"",ISNUMBER(INDEX(TblClusters[CPU initial (vCPU)],$B1215)),ISNUMBER(INDEX(TblClusters[CPU min (vCPU)],$B1215)),OR(INDEX(TblClusters[Plateforme],$B1215)="IKS",INDEX(TblClusters[Plateforme],$B1215)="ROKS")),1,0),0))</f>
        <v>0</v>
      </c>
      <c r="E1215" s="72" t="str">
        <f t="shared" si="308"/>
        <v/>
      </c>
      <c r="F1215" s="19" t="str">
        <f>IF($D1215=1,INDEX(TblClusters[Cluster],$B1215),"")</f>
        <v/>
      </c>
      <c r="G1215" s="19" t="str">
        <f>IF($D1215=1,INDEX(TblClusters[Plateforme],$B1215),"")</f>
        <v/>
      </c>
      <c r="H1215" s="19" t="str">
        <f>IF($D1215=1,INDEX(TblClusters[vCPU par nœud],$B1215),"")</f>
        <v/>
      </c>
      <c r="I1215" s="19" t="str">
        <f>IF($D1215=1,INDEX(TblClusters[RAM par nœud (Go)],$B1215),"")</f>
        <v/>
      </c>
      <c r="J1215" s="19" t="str">
        <f>IF($D1215=1,INDEX(TblClusters[Workers min],$B1215),"")</f>
        <v/>
      </c>
      <c r="K1215" s="73" t="str">
        <f>IF($D1215=1,INDEX(TblClusters[Tarif par nœud],$B1215),"")</f>
        <v/>
      </c>
      <c r="L1215" s="19" t="str">
        <f>IF($D1215=1,INDEX(TblClusters[CPU initial (vCPU)],$B1215),"")</f>
        <v/>
      </c>
      <c r="M1215" s="19" t="str">
        <f>IF($D1215=1,INDEX(TblClusters[RAM initiale (Go)],$B1215),"")</f>
        <v/>
      </c>
      <c r="N1215" s="19" t="str">
        <f>IF($D1215=1,INDEX(TblClusters[CPU min (vCPU)],$B1215),"")</f>
        <v/>
      </c>
      <c r="O1215" s="19" t="str">
        <f>IF($D1215=1,INDEX(TblClusters[RAM min (Go)],$B1215),"")</f>
        <v/>
      </c>
      <c r="P1215" s="19" t="str">
        <f>IF($D1215&lt;&gt;1,"",IF($G1215="ROKS",SUMIFS(TblApplications[Besoin ROKS CPU (vCPU)],TblApplications[Cluster ROKS cible],$F1215,TblApplications[Action],"À migrer",TblApplications[Déjà incluse ROKS],"Non",TblApplications[Mois prov (calc)],"&lt;="&amp;$E1215),SUMIFS(TblApplications[CPU IKS libérable (vCPU)],TblApplications[Cluster IKS source],$F1215,TblApplications[Mois lib (calc)],"&lt;="&amp;$E1215)))</f>
        <v/>
      </c>
      <c r="Q1215" s="19" t="str">
        <f>IF($D1215&lt;&gt;1,"",IF($G1215="ROKS",SUMIFS(TblApplications[Besoin ROKS RAM (Go)],TblApplications[Cluster ROKS cible],$F1215,TblApplications[Action],"À migrer",TblApplications[Déjà incluse ROKS],"Non",TblApplications[Mois prov (calc)],"&lt;="&amp;$E1215),SUMIFS(TblApplications[RAM IKS libérable (Go)],TblApplications[Cluster IKS source],$F1215,TblApplications[Mois lib (calc)],"&lt;="&amp;$E1215)))</f>
        <v/>
      </c>
      <c r="R1215" s="19" t="str">
        <f t="shared" si="309"/>
        <v/>
      </c>
      <c r="S1215" s="19" t="str">
        <f t="shared" si="310"/>
        <v/>
      </c>
      <c r="T1215" s="19" t="str">
        <f t="shared" si="311"/>
        <v/>
      </c>
      <c r="U1215" s="19" t="str">
        <f t="shared" si="312"/>
        <v/>
      </c>
      <c r="V1215" s="19" t="str">
        <f t="shared" si="313"/>
        <v/>
      </c>
      <c r="W1215" s="73" t="str">
        <f t="shared" si="314"/>
        <v/>
      </c>
      <c r="X1215" s="19" t="str">
        <f>IF($D1215&lt;&gt;1,"",IF($G1215="ROKS",$R1215,IF($AI1215=1,0,MAX($N1215,$L1215-SUMIFS(TblApplications[CPU IKS libérable (vCPU)],TblApplications[Cluster IKS source],$F1215,TblApplications[Action],"À migrer",TblApplications[Mois prov (calc)],"&lt;="&amp;$E1215)-SUMIFS(TblApplications[CPU IKS libérable (vCPU)],TblApplications[Cluster IKS source],$F1215,TblApplications[Action],"À décommissionner",TblApplications[Mois lib (calc)],"&lt;="&amp;$E1215)))))</f>
        <v/>
      </c>
      <c r="Y1215" s="19" t="str">
        <f>IF($D1215&lt;&gt;1,"",IF($G1215="ROKS",$S1215,IF($AI1215=1,0,MAX($O1215,$M1215-SUMIFS(TblApplications[RAM IKS libérable (Go)],TblApplications[Cluster IKS source],$F1215,TblApplications[Action],"À migrer",TblApplications[Mois prov (calc)],"&lt;="&amp;$E1215)-SUMIFS(TblApplications[RAM IKS libérable (Go)],TblApplications[Cluster IKS source],$F1215,TblApplications[Action],"À décommissionner",TblApplications[Mois lib (calc)],"&lt;="&amp;$E1215)))))</f>
        <v/>
      </c>
      <c r="Z1215" s="19" t="str">
        <f t="shared" si="315"/>
        <v/>
      </c>
      <c r="AA1215" s="73" t="str">
        <f t="shared" si="316"/>
        <v/>
      </c>
      <c r="AB1215" s="19" t="str">
        <f t="shared" si="317"/>
        <v/>
      </c>
      <c r="AC1215" s="73" t="str">
        <f t="shared" si="318"/>
        <v/>
      </c>
      <c r="AD1215" s="19" t="str">
        <f t="shared" si="319"/>
        <v/>
      </c>
      <c r="AE1215" s="19" t="str">
        <f t="shared" si="320"/>
        <v/>
      </c>
      <c r="AF1215" s="19" t="str">
        <f>IF($D1215&lt;&gt;1,"",IF(INDEX(TblClusters[Environnement],$B1215)="","(vide)",INDEX(TblClusters[Environnement],$B1215)))</f>
        <v/>
      </c>
      <c r="AG1215" s="19" t="str">
        <f t="shared" si="321"/>
        <v/>
      </c>
      <c r="AH1215" s="19" t="str">
        <f t="shared" si="322"/>
        <v/>
      </c>
      <c r="AI1215" s="19" t="str">
        <f>IF($D1215&lt;&gt;1,"",IF(AND($G1215="IKS",ISNUMBER(INDEX(TblClusters[Fermeture retenue],$B1215))),IF($E1215&gt;=INDEX(TblClusters[Fermeture retenue],$B1215),1,0),0))</f>
        <v/>
      </c>
    </row>
    <row r="1216" spans="1:35" x14ac:dyDescent="0.2">
      <c r="A1216" s="19">
        <v>1211</v>
      </c>
      <c r="B1216" s="19">
        <f t="shared" si="306"/>
        <v>34</v>
      </c>
      <c r="C1216" s="19">
        <f t="shared" si="307"/>
        <v>23</v>
      </c>
      <c r="D1216" s="19">
        <f>IF($C1216&gt;p_horizon,0,IFERROR(IF(AND(INDEX(TblClusters[Cluster],$B1216)&lt;&gt;"",ISNUMBER(INDEX(TblClusters[CPU initial (vCPU)],$B1216)),ISNUMBER(INDEX(TblClusters[CPU min (vCPU)],$B1216)),OR(INDEX(TblClusters[Plateforme],$B1216)="IKS",INDEX(TblClusters[Plateforme],$B1216)="ROKS")),1,0),0))</f>
        <v>0</v>
      </c>
      <c r="E1216" s="72" t="str">
        <f t="shared" si="308"/>
        <v/>
      </c>
      <c r="F1216" s="19" t="str">
        <f>IF($D1216=1,INDEX(TblClusters[Cluster],$B1216),"")</f>
        <v/>
      </c>
      <c r="G1216" s="19" t="str">
        <f>IF($D1216=1,INDEX(TblClusters[Plateforme],$B1216),"")</f>
        <v/>
      </c>
      <c r="H1216" s="19" t="str">
        <f>IF($D1216=1,INDEX(TblClusters[vCPU par nœud],$B1216),"")</f>
        <v/>
      </c>
      <c r="I1216" s="19" t="str">
        <f>IF($D1216=1,INDEX(TblClusters[RAM par nœud (Go)],$B1216),"")</f>
        <v/>
      </c>
      <c r="J1216" s="19" t="str">
        <f>IF($D1216=1,INDEX(TblClusters[Workers min],$B1216),"")</f>
        <v/>
      </c>
      <c r="K1216" s="73" t="str">
        <f>IF($D1216=1,INDEX(TblClusters[Tarif par nœud],$B1216),"")</f>
        <v/>
      </c>
      <c r="L1216" s="19" t="str">
        <f>IF($D1216=1,INDEX(TblClusters[CPU initial (vCPU)],$B1216),"")</f>
        <v/>
      </c>
      <c r="M1216" s="19" t="str">
        <f>IF($D1216=1,INDEX(TblClusters[RAM initiale (Go)],$B1216),"")</f>
        <v/>
      </c>
      <c r="N1216" s="19" t="str">
        <f>IF($D1216=1,INDEX(TblClusters[CPU min (vCPU)],$B1216),"")</f>
        <v/>
      </c>
      <c r="O1216" s="19" t="str">
        <f>IF($D1216=1,INDEX(TblClusters[RAM min (Go)],$B1216),"")</f>
        <v/>
      </c>
      <c r="P1216" s="19" t="str">
        <f>IF($D1216&lt;&gt;1,"",IF($G1216="ROKS",SUMIFS(TblApplications[Besoin ROKS CPU (vCPU)],TblApplications[Cluster ROKS cible],$F1216,TblApplications[Action],"À migrer",TblApplications[Déjà incluse ROKS],"Non",TblApplications[Mois prov (calc)],"&lt;="&amp;$E1216),SUMIFS(TblApplications[CPU IKS libérable (vCPU)],TblApplications[Cluster IKS source],$F1216,TblApplications[Mois lib (calc)],"&lt;="&amp;$E1216)))</f>
        <v/>
      </c>
      <c r="Q1216" s="19" t="str">
        <f>IF($D1216&lt;&gt;1,"",IF($G1216="ROKS",SUMIFS(TblApplications[Besoin ROKS RAM (Go)],TblApplications[Cluster ROKS cible],$F1216,TblApplications[Action],"À migrer",TblApplications[Déjà incluse ROKS],"Non",TblApplications[Mois prov (calc)],"&lt;="&amp;$E1216),SUMIFS(TblApplications[RAM IKS libérable (Go)],TblApplications[Cluster IKS source],$F1216,TblApplications[Mois lib (calc)],"&lt;="&amp;$E1216)))</f>
        <v/>
      </c>
      <c r="R1216" s="19" t="str">
        <f t="shared" si="309"/>
        <v/>
      </c>
      <c r="S1216" s="19" t="str">
        <f t="shared" si="310"/>
        <v/>
      </c>
      <c r="T1216" s="19" t="str">
        <f t="shared" si="311"/>
        <v/>
      </c>
      <c r="U1216" s="19" t="str">
        <f t="shared" si="312"/>
        <v/>
      </c>
      <c r="V1216" s="19" t="str">
        <f t="shared" si="313"/>
        <v/>
      </c>
      <c r="W1216" s="73" t="str">
        <f t="shared" si="314"/>
        <v/>
      </c>
      <c r="X1216" s="19" t="str">
        <f>IF($D1216&lt;&gt;1,"",IF($G1216="ROKS",$R1216,IF($AI1216=1,0,MAX($N1216,$L1216-SUMIFS(TblApplications[CPU IKS libérable (vCPU)],TblApplications[Cluster IKS source],$F1216,TblApplications[Action],"À migrer",TblApplications[Mois prov (calc)],"&lt;="&amp;$E1216)-SUMIFS(TblApplications[CPU IKS libérable (vCPU)],TblApplications[Cluster IKS source],$F1216,TblApplications[Action],"À décommissionner",TblApplications[Mois lib (calc)],"&lt;="&amp;$E1216)))))</f>
        <v/>
      </c>
      <c r="Y1216" s="19" t="str">
        <f>IF($D1216&lt;&gt;1,"",IF($G1216="ROKS",$S1216,IF($AI1216=1,0,MAX($O1216,$M1216-SUMIFS(TblApplications[RAM IKS libérable (Go)],TblApplications[Cluster IKS source],$F1216,TblApplications[Action],"À migrer",TblApplications[Mois prov (calc)],"&lt;="&amp;$E1216)-SUMIFS(TblApplications[RAM IKS libérable (Go)],TblApplications[Cluster IKS source],$F1216,TblApplications[Action],"À décommissionner",TblApplications[Mois lib (calc)],"&lt;="&amp;$E1216)))))</f>
        <v/>
      </c>
      <c r="Z1216" s="19" t="str">
        <f t="shared" si="315"/>
        <v/>
      </c>
      <c r="AA1216" s="73" t="str">
        <f t="shared" si="316"/>
        <v/>
      </c>
      <c r="AB1216" s="19" t="str">
        <f t="shared" si="317"/>
        <v/>
      </c>
      <c r="AC1216" s="73" t="str">
        <f t="shared" si="318"/>
        <v/>
      </c>
      <c r="AD1216" s="19" t="str">
        <f t="shared" si="319"/>
        <v/>
      </c>
      <c r="AE1216" s="19" t="str">
        <f t="shared" si="320"/>
        <v/>
      </c>
      <c r="AF1216" s="19" t="str">
        <f>IF($D1216&lt;&gt;1,"",IF(INDEX(TblClusters[Environnement],$B1216)="","(vide)",INDEX(TblClusters[Environnement],$B1216)))</f>
        <v/>
      </c>
      <c r="AG1216" s="19" t="str">
        <f t="shared" si="321"/>
        <v/>
      </c>
      <c r="AH1216" s="19" t="str">
        <f t="shared" si="322"/>
        <v/>
      </c>
      <c r="AI1216" s="19" t="str">
        <f>IF($D1216&lt;&gt;1,"",IF(AND($G1216="IKS",ISNUMBER(INDEX(TblClusters[Fermeture retenue],$B1216))),IF($E1216&gt;=INDEX(TblClusters[Fermeture retenue],$B1216),1,0),0))</f>
        <v/>
      </c>
    </row>
    <row r="1217" spans="1:35" x14ac:dyDescent="0.2">
      <c r="A1217" s="19">
        <v>1212</v>
      </c>
      <c r="B1217" s="19">
        <f t="shared" si="306"/>
        <v>34</v>
      </c>
      <c r="C1217" s="19">
        <f t="shared" si="307"/>
        <v>24</v>
      </c>
      <c r="D1217" s="19">
        <f>IF($C1217&gt;p_horizon,0,IFERROR(IF(AND(INDEX(TblClusters[Cluster],$B1217)&lt;&gt;"",ISNUMBER(INDEX(TblClusters[CPU initial (vCPU)],$B1217)),ISNUMBER(INDEX(TblClusters[CPU min (vCPU)],$B1217)),OR(INDEX(TblClusters[Plateforme],$B1217)="IKS",INDEX(TblClusters[Plateforme],$B1217)="ROKS")),1,0),0))</f>
        <v>0</v>
      </c>
      <c r="E1217" s="72" t="str">
        <f t="shared" si="308"/>
        <v/>
      </c>
      <c r="F1217" s="19" t="str">
        <f>IF($D1217=1,INDEX(TblClusters[Cluster],$B1217),"")</f>
        <v/>
      </c>
      <c r="G1217" s="19" t="str">
        <f>IF($D1217=1,INDEX(TblClusters[Plateforme],$B1217),"")</f>
        <v/>
      </c>
      <c r="H1217" s="19" t="str">
        <f>IF($D1217=1,INDEX(TblClusters[vCPU par nœud],$B1217),"")</f>
        <v/>
      </c>
      <c r="I1217" s="19" t="str">
        <f>IF($D1217=1,INDEX(TblClusters[RAM par nœud (Go)],$B1217),"")</f>
        <v/>
      </c>
      <c r="J1217" s="19" t="str">
        <f>IF($D1217=1,INDEX(TblClusters[Workers min],$B1217),"")</f>
        <v/>
      </c>
      <c r="K1217" s="73" t="str">
        <f>IF($D1217=1,INDEX(TblClusters[Tarif par nœud],$B1217),"")</f>
        <v/>
      </c>
      <c r="L1217" s="19" t="str">
        <f>IF($D1217=1,INDEX(TblClusters[CPU initial (vCPU)],$B1217),"")</f>
        <v/>
      </c>
      <c r="M1217" s="19" t="str">
        <f>IF($D1217=1,INDEX(TblClusters[RAM initiale (Go)],$B1217),"")</f>
        <v/>
      </c>
      <c r="N1217" s="19" t="str">
        <f>IF($D1217=1,INDEX(TblClusters[CPU min (vCPU)],$B1217),"")</f>
        <v/>
      </c>
      <c r="O1217" s="19" t="str">
        <f>IF($D1217=1,INDEX(TblClusters[RAM min (Go)],$B1217),"")</f>
        <v/>
      </c>
      <c r="P1217" s="19" t="str">
        <f>IF($D1217&lt;&gt;1,"",IF($G1217="ROKS",SUMIFS(TblApplications[Besoin ROKS CPU (vCPU)],TblApplications[Cluster ROKS cible],$F1217,TblApplications[Action],"À migrer",TblApplications[Déjà incluse ROKS],"Non",TblApplications[Mois prov (calc)],"&lt;="&amp;$E1217),SUMIFS(TblApplications[CPU IKS libérable (vCPU)],TblApplications[Cluster IKS source],$F1217,TblApplications[Mois lib (calc)],"&lt;="&amp;$E1217)))</f>
        <v/>
      </c>
      <c r="Q1217" s="19" t="str">
        <f>IF($D1217&lt;&gt;1,"",IF($G1217="ROKS",SUMIFS(TblApplications[Besoin ROKS RAM (Go)],TblApplications[Cluster ROKS cible],$F1217,TblApplications[Action],"À migrer",TblApplications[Déjà incluse ROKS],"Non",TblApplications[Mois prov (calc)],"&lt;="&amp;$E1217),SUMIFS(TblApplications[RAM IKS libérable (Go)],TblApplications[Cluster IKS source],$F1217,TblApplications[Mois lib (calc)],"&lt;="&amp;$E1217)))</f>
        <v/>
      </c>
      <c r="R1217" s="19" t="str">
        <f t="shared" si="309"/>
        <v/>
      </c>
      <c r="S1217" s="19" t="str">
        <f t="shared" si="310"/>
        <v/>
      </c>
      <c r="T1217" s="19" t="str">
        <f t="shared" si="311"/>
        <v/>
      </c>
      <c r="U1217" s="19" t="str">
        <f t="shared" si="312"/>
        <v/>
      </c>
      <c r="V1217" s="19" t="str">
        <f t="shared" si="313"/>
        <v/>
      </c>
      <c r="W1217" s="73" t="str">
        <f t="shared" si="314"/>
        <v/>
      </c>
      <c r="X1217" s="19" t="str">
        <f>IF($D1217&lt;&gt;1,"",IF($G1217="ROKS",$R1217,IF($AI1217=1,0,MAX($N1217,$L1217-SUMIFS(TblApplications[CPU IKS libérable (vCPU)],TblApplications[Cluster IKS source],$F1217,TblApplications[Action],"À migrer",TblApplications[Mois prov (calc)],"&lt;="&amp;$E1217)-SUMIFS(TblApplications[CPU IKS libérable (vCPU)],TblApplications[Cluster IKS source],$F1217,TblApplications[Action],"À décommissionner",TblApplications[Mois lib (calc)],"&lt;="&amp;$E1217)))))</f>
        <v/>
      </c>
      <c r="Y1217" s="19" t="str">
        <f>IF($D1217&lt;&gt;1,"",IF($G1217="ROKS",$S1217,IF($AI1217=1,0,MAX($O1217,$M1217-SUMIFS(TblApplications[RAM IKS libérable (Go)],TblApplications[Cluster IKS source],$F1217,TblApplications[Action],"À migrer",TblApplications[Mois prov (calc)],"&lt;="&amp;$E1217)-SUMIFS(TblApplications[RAM IKS libérable (Go)],TblApplications[Cluster IKS source],$F1217,TblApplications[Action],"À décommissionner",TblApplications[Mois lib (calc)],"&lt;="&amp;$E1217)))))</f>
        <v/>
      </c>
      <c r="Z1217" s="19" t="str">
        <f t="shared" si="315"/>
        <v/>
      </c>
      <c r="AA1217" s="73" t="str">
        <f t="shared" si="316"/>
        <v/>
      </c>
      <c r="AB1217" s="19" t="str">
        <f t="shared" si="317"/>
        <v/>
      </c>
      <c r="AC1217" s="73" t="str">
        <f t="shared" si="318"/>
        <v/>
      </c>
      <c r="AD1217" s="19" t="str">
        <f t="shared" si="319"/>
        <v/>
      </c>
      <c r="AE1217" s="19" t="str">
        <f t="shared" si="320"/>
        <v/>
      </c>
      <c r="AF1217" s="19" t="str">
        <f>IF($D1217&lt;&gt;1,"",IF(INDEX(TblClusters[Environnement],$B1217)="","(vide)",INDEX(TblClusters[Environnement],$B1217)))</f>
        <v/>
      </c>
      <c r="AG1217" s="19" t="str">
        <f t="shared" si="321"/>
        <v/>
      </c>
      <c r="AH1217" s="19" t="str">
        <f t="shared" si="322"/>
        <v/>
      </c>
      <c r="AI1217" s="19" t="str">
        <f>IF($D1217&lt;&gt;1,"",IF(AND($G1217="IKS",ISNUMBER(INDEX(TblClusters[Fermeture retenue],$B1217))),IF($E1217&gt;=INDEX(TblClusters[Fermeture retenue],$B1217),1,0),0))</f>
        <v/>
      </c>
    </row>
    <row r="1218" spans="1:35" x14ac:dyDescent="0.2">
      <c r="A1218" s="19">
        <v>1213</v>
      </c>
      <c r="B1218" s="19">
        <f t="shared" si="306"/>
        <v>34</v>
      </c>
      <c r="C1218" s="19">
        <f t="shared" si="307"/>
        <v>25</v>
      </c>
      <c r="D1218" s="19">
        <f>IF($C1218&gt;p_horizon,0,IFERROR(IF(AND(INDEX(TblClusters[Cluster],$B1218)&lt;&gt;"",ISNUMBER(INDEX(TblClusters[CPU initial (vCPU)],$B1218)),ISNUMBER(INDEX(TblClusters[CPU min (vCPU)],$B1218)),OR(INDEX(TblClusters[Plateforme],$B1218)="IKS",INDEX(TblClusters[Plateforme],$B1218)="ROKS")),1,0),0))</f>
        <v>0</v>
      </c>
      <c r="E1218" s="72" t="str">
        <f t="shared" si="308"/>
        <v/>
      </c>
      <c r="F1218" s="19" t="str">
        <f>IF($D1218=1,INDEX(TblClusters[Cluster],$B1218),"")</f>
        <v/>
      </c>
      <c r="G1218" s="19" t="str">
        <f>IF($D1218=1,INDEX(TblClusters[Plateforme],$B1218),"")</f>
        <v/>
      </c>
      <c r="H1218" s="19" t="str">
        <f>IF($D1218=1,INDEX(TblClusters[vCPU par nœud],$B1218),"")</f>
        <v/>
      </c>
      <c r="I1218" s="19" t="str">
        <f>IF($D1218=1,INDEX(TblClusters[RAM par nœud (Go)],$B1218),"")</f>
        <v/>
      </c>
      <c r="J1218" s="19" t="str">
        <f>IF($D1218=1,INDEX(TblClusters[Workers min],$B1218),"")</f>
        <v/>
      </c>
      <c r="K1218" s="73" t="str">
        <f>IF($D1218=1,INDEX(TblClusters[Tarif par nœud],$B1218),"")</f>
        <v/>
      </c>
      <c r="L1218" s="19" t="str">
        <f>IF($D1218=1,INDEX(TblClusters[CPU initial (vCPU)],$B1218),"")</f>
        <v/>
      </c>
      <c r="M1218" s="19" t="str">
        <f>IF($D1218=1,INDEX(TblClusters[RAM initiale (Go)],$B1218),"")</f>
        <v/>
      </c>
      <c r="N1218" s="19" t="str">
        <f>IF($D1218=1,INDEX(TblClusters[CPU min (vCPU)],$B1218),"")</f>
        <v/>
      </c>
      <c r="O1218" s="19" t="str">
        <f>IF($D1218=1,INDEX(TblClusters[RAM min (Go)],$B1218),"")</f>
        <v/>
      </c>
      <c r="P1218" s="19" t="str">
        <f>IF($D1218&lt;&gt;1,"",IF($G1218="ROKS",SUMIFS(TblApplications[Besoin ROKS CPU (vCPU)],TblApplications[Cluster ROKS cible],$F1218,TblApplications[Action],"À migrer",TblApplications[Déjà incluse ROKS],"Non",TblApplications[Mois prov (calc)],"&lt;="&amp;$E1218),SUMIFS(TblApplications[CPU IKS libérable (vCPU)],TblApplications[Cluster IKS source],$F1218,TblApplications[Mois lib (calc)],"&lt;="&amp;$E1218)))</f>
        <v/>
      </c>
      <c r="Q1218" s="19" t="str">
        <f>IF($D1218&lt;&gt;1,"",IF($G1218="ROKS",SUMIFS(TblApplications[Besoin ROKS RAM (Go)],TblApplications[Cluster ROKS cible],$F1218,TblApplications[Action],"À migrer",TblApplications[Déjà incluse ROKS],"Non",TblApplications[Mois prov (calc)],"&lt;="&amp;$E1218),SUMIFS(TblApplications[RAM IKS libérable (Go)],TblApplications[Cluster IKS source],$F1218,TblApplications[Mois lib (calc)],"&lt;="&amp;$E1218)))</f>
        <v/>
      </c>
      <c r="R1218" s="19" t="str">
        <f t="shared" si="309"/>
        <v/>
      </c>
      <c r="S1218" s="19" t="str">
        <f t="shared" si="310"/>
        <v/>
      </c>
      <c r="T1218" s="19" t="str">
        <f t="shared" si="311"/>
        <v/>
      </c>
      <c r="U1218" s="19" t="str">
        <f t="shared" si="312"/>
        <v/>
      </c>
      <c r="V1218" s="19" t="str">
        <f t="shared" si="313"/>
        <v/>
      </c>
      <c r="W1218" s="73" t="str">
        <f t="shared" si="314"/>
        <v/>
      </c>
      <c r="X1218" s="19" t="str">
        <f>IF($D1218&lt;&gt;1,"",IF($G1218="ROKS",$R1218,IF($AI1218=1,0,MAX($N1218,$L1218-SUMIFS(TblApplications[CPU IKS libérable (vCPU)],TblApplications[Cluster IKS source],$F1218,TblApplications[Action],"À migrer",TblApplications[Mois prov (calc)],"&lt;="&amp;$E1218)-SUMIFS(TblApplications[CPU IKS libérable (vCPU)],TblApplications[Cluster IKS source],$F1218,TblApplications[Action],"À décommissionner",TblApplications[Mois lib (calc)],"&lt;="&amp;$E1218)))))</f>
        <v/>
      </c>
      <c r="Y1218" s="19" t="str">
        <f>IF($D1218&lt;&gt;1,"",IF($G1218="ROKS",$S1218,IF($AI1218=1,0,MAX($O1218,$M1218-SUMIFS(TblApplications[RAM IKS libérable (Go)],TblApplications[Cluster IKS source],$F1218,TblApplications[Action],"À migrer",TblApplications[Mois prov (calc)],"&lt;="&amp;$E1218)-SUMIFS(TblApplications[RAM IKS libérable (Go)],TblApplications[Cluster IKS source],$F1218,TblApplications[Action],"À décommissionner",TblApplications[Mois lib (calc)],"&lt;="&amp;$E1218)))))</f>
        <v/>
      </c>
      <c r="Z1218" s="19" t="str">
        <f t="shared" si="315"/>
        <v/>
      </c>
      <c r="AA1218" s="73" t="str">
        <f t="shared" si="316"/>
        <v/>
      </c>
      <c r="AB1218" s="19" t="str">
        <f t="shared" si="317"/>
        <v/>
      </c>
      <c r="AC1218" s="73" t="str">
        <f t="shared" si="318"/>
        <v/>
      </c>
      <c r="AD1218" s="19" t="str">
        <f t="shared" si="319"/>
        <v/>
      </c>
      <c r="AE1218" s="19" t="str">
        <f t="shared" si="320"/>
        <v/>
      </c>
      <c r="AF1218" s="19" t="str">
        <f>IF($D1218&lt;&gt;1,"",IF(INDEX(TblClusters[Environnement],$B1218)="","(vide)",INDEX(TblClusters[Environnement],$B1218)))</f>
        <v/>
      </c>
      <c r="AG1218" s="19" t="str">
        <f t="shared" si="321"/>
        <v/>
      </c>
      <c r="AH1218" s="19" t="str">
        <f t="shared" si="322"/>
        <v/>
      </c>
      <c r="AI1218" s="19" t="str">
        <f>IF($D1218&lt;&gt;1,"",IF(AND($G1218="IKS",ISNUMBER(INDEX(TblClusters[Fermeture retenue],$B1218))),IF($E1218&gt;=INDEX(TblClusters[Fermeture retenue],$B1218),1,0),0))</f>
        <v/>
      </c>
    </row>
    <row r="1219" spans="1:35" x14ac:dyDescent="0.2">
      <c r="A1219" s="19">
        <v>1214</v>
      </c>
      <c r="B1219" s="19">
        <f t="shared" si="306"/>
        <v>34</v>
      </c>
      <c r="C1219" s="19">
        <f t="shared" si="307"/>
        <v>26</v>
      </c>
      <c r="D1219" s="19">
        <f>IF($C1219&gt;p_horizon,0,IFERROR(IF(AND(INDEX(TblClusters[Cluster],$B1219)&lt;&gt;"",ISNUMBER(INDEX(TblClusters[CPU initial (vCPU)],$B1219)),ISNUMBER(INDEX(TblClusters[CPU min (vCPU)],$B1219)),OR(INDEX(TblClusters[Plateforme],$B1219)="IKS",INDEX(TblClusters[Plateforme],$B1219)="ROKS")),1,0),0))</f>
        <v>0</v>
      </c>
      <c r="E1219" s="72" t="str">
        <f t="shared" si="308"/>
        <v/>
      </c>
      <c r="F1219" s="19" t="str">
        <f>IF($D1219=1,INDEX(TblClusters[Cluster],$B1219),"")</f>
        <v/>
      </c>
      <c r="G1219" s="19" t="str">
        <f>IF($D1219=1,INDEX(TblClusters[Plateforme],$B1219),"")</f>
        <v/>
      </c>
      <c r="H1219" s="19" t="str">
        <f>IF($D1219=1,INDEX(TblClusters[vCPU par nœud],$B1219),"")</f>
        <v/>
      </c>
      <c r="I1219" s="19" t="str">
        <f>IF($D1219=1,INDEX(TblClusters[RAM par nœud (Go)],$B1219),"")</f>
        <v/>
      </c>
      <c r="J1219" s="19" t="str">
        <f>IF($D1219=1,INDEX(TblClusters[Workers min],$B1219),"")</f>
        <v/>
      </c>
      <c r="K1219" s="73" t="str">
        <f>IF($D1219=1,INDEX(TblClusters[Tarif par nœud],$B1219),"")</f>
        <v/>
      </c>
      <c r="L1219" s="19" t="str">
        <f>IF($D1219=1,INDEX(TblClusters[CPU initial (vCPU)],$B1219),"")</f>
        <v/>
      </c>
      <c r="M1219" s="19" t="str">
        <f>IF($D1219=1,INDEX(TblClusters[RAM initiale (Go)],$B1219),"")</f>
        <v/>
      </c>
      <c r="N1219" s="19" t="str">
        <f>IF($D1219=1,INDEX(TblClusters[CPU min (vCPU)],$B1219),"")</f>
        <v/>
      </c>
      <c r="O1219" s="19" t="str">
        <f>IF($D1219=1,INDEX(TblClusters[RAM min (Go)],$B1219),"")</f>
        <v/>
      </c>
      <c r="P1219" s="19" t="str">
        <f>IF($D1219&lt;&gt;1,"",IF($G1219="ROKS",SUMIFS(TblApplications[Besoin ROKS CPU (vCPU)],TblApplications[Cluster ROKS cible],$F1219,TblApplications[Action],"À migrer",TblApplications[Déjà incluse ROKS],"Non",TblApplications[Mois prov (calc)],"&lt;="&amp;$E1219),SUMIFS(TblApplications[CPU IKS libérable (vCPU)],TblApplications[Cluster IKS source],$F1219,TblApplications[Mois lib (calc)],"&lt;="&amp;$E1219)))</f>
        <v/>
      </c>
      <c r="Q1219" s="19" t="str">
        <f>IF($D1219&lt;&gt;1,"",IF($G1219="ROKS",SUMIFS(TblApplications[Besoin ROKS RAM (Go)],TblApplications[Cluster ROKS cible],$F1219,TblApplications[Action],"À migrer",TblApplications[Déjà incluse ROKS],"Non",TblApplications[Mois prov (calc)],"&lt;="&amp;$E1219),SUMIFS(TblApplications[RAM IKS libérable (Go)],TblApplications[Cluster IKS source],$F1219,TblApplications[Mois lib (calc)],"&lt;="&amp;$E1219)))</f>
        <v/>
      </c>
      <c r="R1219" s="19" t="str">
        <f t="shared" si="309"/>
        <v/>
      </c>
      <c r="S1219" s="19" t="str">
        <f t="shared" si="310"/>
        <v/>
      </c>
      <c r="T1219" s="19" t="str">
        <f t="shared" si="311"/>
        <v/>
      </c>
      <c r="U1219" s="19" t="str">
        <f t="shared" si="312"/>
        <v/>
      </c>
      <c r="V1219" s="19" t="str">
        <f t="shared" si="313"/>
        <v/>
      </c>
      <c r="W1219" s="73" t="str">
        <f t="shared" si="314"/>
        <v/>
      </c>
      <c r="X1219" s="19" t="str">
        <f>IF($D1219&lt;&gt;1,"",IF($G1219="ROKS",$R1219,IF($AI1219=1,0,MAX($N1219,$L1219-SUMIFS(TblApplications[CPU IKS libérable (vCPU)],TblApplications[Cluster IKS source],$F1219,TblApplications[Action],"À migrer",TblApplications[Mois prov (calc)],"&lt;="&amp;$E1219)-SUMIFS(TblApplications[CPU IKS libérable (vCPU)],TblApplications[Cluster IKS source],$F1219,TblApplications[Action],"À décommissionner",TblApplications[Mois lib (calc)],"&lt;="&amp;$E1219)))))</f>
        <v/>
      </c>
      <c r="Y1219" s="19" t="str">
        <f>IF($D1219&lt;&gt;1,"",IF($G1219="ROKS",$S1219,IF($AI1219=1,0,MAX($O1219,$M1219-SUMIFS(TblApplications[RAM IKS libérable (Go)],TblApplications[Cluster IKS source],$F1219,TblApplications[Action],"À migrer",TblApplications[Mois prov (calc)],"&lt;="&amp;$E1219)-SUMIFS(TblApplications[RAM IKS libérable (Go)],TblApplications[Cluster IKS source],$F1219,TblApplications[Action],"À décommissionner",TblApplications[Mois lib (calc)],"&lt;="&amp;$E1219)))))</f>
        <v/>
      </c>
      <c r="Z1219" s="19" t="str">
        <f t="shared" si="315"/>
        <v/>
      </c>
      <c r="AA1219" s="73" t="str">
        <f t="shared" si="316"/>
        <v/>
      </c>
      <c r="AB1219" s="19" t="str">
        <f t="shared" si="317"/>
        <v/>
      </c>
      <c r="AC1219" s="73" t="str">
        <f t="shared" si="318"/>
        <v/>
      </c>
      <c r="AD1219" s="19" t="str">
        <f t="shared" si="319"/>
        <v/>
      </c>
      <c r="AE1219" s="19" t="str">
        <f t="shared" si="320"/>
        <v/>
      </c>
      <c r="AF1219" s="19" t="str">
        <f>IF($D1219&lt;&gt;1,"",IF(INDEX(TblClusters[Environnement],$B1219)="","(vide)",INDEX(TblClusters[Environnement],$B1219)))</f>
        <v/>
      </c>
      <c r="AG1219" s="19" t="str">
        <f t="shared" si="321"/>
        <v/>
      </c>
      <c r="AH1219" s="19" t="str">
        <f t="shared" si="322"/>
        <v/>
      </c>
      <c r="AI1219" s="19" t="str">
        <f>IF($D1219&lt;&gt;1,"",IF(AND($G1219="IKS",ISNUMBER(INDEX(TblClusters[Fermeture retenue],$B1219))),IF($E1219&gt;=INDEX(TblClusters[Fermeture retenue],$B1219),1,0),0))</f>
        <v/>
      </c>
    </row>
    <row r="1220" spans="1:35" x14ac:dyDescent="0.2">
      <c r="A1220" s="19">
        <v>1215</v>
      </c>
      <c r="B1220" s="19">
        <f t="shared" si="306"/>
        <v>34</v>
      </c>
      <c r="C1220" s="19">
        <f t="shared" si="307"/>
        <v>27</v>
      </c>
      <c r="D1220" s="19">
        <f>IF($C1220&gt;p_horizon,0,IFERROR(IF(AND(INDEX(TblClusters[Cluster],$B1220)&lt;&gt;"",ISNUMBER(INDEX(TblClusters[CPU initial (vCPU)],$B1220)),ISNUMBER(INDEX(TblClusters[CPU min (vCPU)],$B1220)),OR(INDEX(TblClusters[Plateforme],$B1220)="IKS",INDEX(TblClusters[Plateforme],$B1220)="ROKS")),1,0),0))</f>
        <v>0</v>
      </c>
      <c r="E1220" s="72" t="str">
        <f t="shared" si="308"/>
        <v/>
      </c>
      <c r="F1220" s="19" t="str">
        <f>IF($D1220=1,INDEX(TblClusters[Cluster],$B1220),"")</f>
        <v/>
      </c>
      <c r="G1220" s="19" t="str">
        <f>IF($D1220=1,INDEX(TblClusters[Plateforme],$B1220),"")</f>
        <v/>
      </c>
      <c r="H1220" s="19" t="str">
        <f>IF($D1220=1,INDEX(TblClusters[vCPU par nœud],$B1220),"")</f>
        <v/>
      </c>
      <c r="I1220" s="19" t="str">
        <f>IF($D1220=1,INDEX(TblClusters[RAM par nœud (Go)],$B1220),"")</f>
        <v/>
      </c>
      <c r="J1220" s="19" t="str">
        <f>IF($D1220=1,INDEX(TblClusters[Workers min],$B1220),"")</f>
        <v/>
      </c>
      <c r="K1220" s="73" t="str">
        <f>IF($D1220=1,INDEX(TblClusters[Tarif par nœud],$B1220),"")</f>
        <v/>
      </c>
      <c r="L1220" s="19" t="str">
        <f>IF($D1220=1,INDEX(TblClusters[CPU initial (vCPU)],$B1220),"")</f>
        <v/>
      </c>
      <c r="M1220" s="19" t="str">
        <f>IF($D1220=1,INDEX(TblClusters[RAM initiale (Go)],$B1220),"")</f>
        <v/>
      </c>
      <c r="N1220" s="19" t="str">
        <f>IF($D1220=1,INDEX(TblClusters[CPU min (vCPU)],$B1220),"")</f>
        <v/>
      </c>
      <c r="O1220" s="19" t="str">
        <f>IF($D1220=1,INDEX(TblClusters[RAM min (Go)],$B1220),"")</f>
        <v/>
      </c>
      <c r="P1220" s="19" t="str">
        <f>IF($D1220&lt;&gt;1,"",IF($G1220="ROKS",SUMIFS(TblApplications[Besoin ROKS CPU (vCPU)],TblApplications[Cluster ROKS cible],$F1220,TblApplications[Action],"À migrer",TblApplications[Déjà incluse ROKS],"Non",TblApplications[Mois prov (calc)],"&lt;="&amp;$E1220),SUMIFS(TblApplications[CPU IKS libérable (vCPU)],TblApplications[Cluster IKS source],$F1220,TblApplications[Mois lib (calc)],"&lt;="&amp;$E1220)))</f>
        <v/>
      </c>
      <c r="Q1220" s="19" t="str">
        <f>IF($D1220&lt;&gt;1,"",IF($G1220="ROKS",SUMIFS(TblApplications[Besoin ROKS RAM (Go)],TblApplications[Cluster ROKS cible],$F1220,TblApplications[Action],"À migrer",TblApplications[Déjà incluse ROKS],"Non",TblApplications[Mois prov (calc)],"&lt;="&amp;$E1220),SUMIFS(TblApplications[RAM IKS libérable (Go)],TblApplications[Cluster IKS source],$F1220,TblApplications[Mois lib (calc)],"&lt;="&amp;$E1220)))</f>
        <v/>
      </c>
      <c r="R1220" s="19" t="str">
        <f t="shared" si="309"/>
        <v/>
      </c>
      <c r="S1220" s="19" t="str">
        <f t="shared" si="310"/>
        <v/>
      </c>
      <c r="T1220" s="19" t="str">
        <f t="shared" si="311"/>
        <v/>
      </c>
      <c r="U1220" s="19" t="str">
        <f t="shared" si="312"/>
        <v/>
      </c>
      <c r="V1220" s="19" t="str">
        <f t="shared" si="313"/>
        <v/>
      </c>
      <c r="W1220" s="73" t="str">
        <f t="shared" si="314"/>
        <v/>
      </c>
      <c r="X1220" s="19" t="str">
        <f>IF($D1220&lt;&gt;1,"",IF($G1220="ROKS",$R1220,IF($AI1220=1,0,MAX($N1220,$L1220-SUMIFS(TblApplications[CPU IKS libérable (vCPU)],TblApplications[Cluster IKS source],$F1220,TblApplications[Action],"À migrer",TblApplications[Mois prov (calc)],"&lt;="&amp;$E1220)-SUMIFS(TblApplications[CPU IKS libérable (vCPU)],TblApplications[Cluster IKS source],$F1220,TblApplications[Action],"À décommissionner",TblApplications[Mois lib (calc)],"&lt;="&amp;$E1220)))))</f>
        <v/>
      </c>
      <c r="Y1220" s="19" t="str">
        <f>IF($D1220&lt;&gt;1,"",IF($G1220="ROKS",$S1220,IF($AI1220=1,0,MAX($O1220,$M1220-SUMIFS(TblApplications[RAM IKS libérable (Go)],TblApplications[Cluster IKS source],$F1220,TblApplications[Action],"À migrer",TblApplications[Mois prov (calc)],"&lt;="&amp;$E1220)-SUMIFS(TblApplications[RAM IKS libérable (Go)],TblApplications[Cluster IKS source],$F1220,TblApplications[Action],"À décommissionner",TblApplications[Mois lib (calc)],"&lt;="&amp;$E1220)))))</f>
        <v/>
      </c>
      <c r="Z1220" s="19" t="str">
        <f t="shared" si="315"/>
        <v/>
      </c>
      <c r="AA1220" s="73" t="str">
        <f t="shared" si="316"/>
        <v/>
      </c>
      <c r="AB1220" s="19" t="str">
        <f t="shared" si="317"/>
        <v/>
      </c>
      <c r="AC1220" s="73" t="str">
        <f t="shared" si="318"/>
        <v/>
      </c>
      <c r="AD1220" s="19" t="str">
        <f t="shared" si="319"/>
        <v/>
      </c>
      <c r="AE1220" s="19" t="str">
        <f t="shared" si="320"/>
        <v/>
      </c>
      <c r="AF1220" s="19" t="str">
        <f>IF($D1220&lt;&gt;1,"",IF(INDEX(TblClusters[Environnement],$B1220)="","(vide)",INDEX(TblClusters[Environnement],$B1220)))</f>
        <v/>
      </c>
      <c r="AG1220" s="19" t="str">
        <f t="shared" si="321"/>
        <v/>
      </c>
      <c r="AH1220" s="19" t="str">
        <f t="shared" si="322"/>
        <v/>
      </c>
      <c r="AI1220" s="19" t="str">
        <f>IF($D1220&lt;&gt;1,"",IF(AND($G1220="IKS",ISNUMBER(INDEX(TblClusters[Fermeture retenue],$B1220))),IF($E1220&gt;=INDEX(TblClusters[Fermeture retenue],$B1220),1,0),0))</f>
        <v/>
      </c>
    </row>
    <row r="1221" spans="1:35" x14ac:dyDescent="0.2">
      <c r="A1221" s="19">
        <v>1216</v>
      </c>
      <c r="B1221" s="19">
        <f t="shared" si="306"/>
        <v>34</v>
      </c>
      <c r="C1221" s="19">
        <f t="shared" si="307"/>
        <v>28</v>
      </c>
      <c r="D1221" s="19">
        <f>IF($C1221&gt;p_horizon,0,IFERROR(IF(AND(INDEX(TblClusters[Cluster],$B1221)&lt;&gt;"",ISNUMBER(INDEX(TblClusters[CPU initial (vCPU)],$B1221)),ISNUMBER(INDEX(TblClusters[CPU min (vCPU)],$B1221)),OR(INDEX(TblClusters[Plateforme],$B1221)="IKS",INDEX(TblClusters[Plateforme],$B1221)="ROKS")),1,0),0))</f>
        <v>0</v>
      </c>
      <c r="E1221" s="72" t="str">
        <f t="shared" si="308"/>
        <v/>
      </c>
      <c r="F1221" s="19" t="str">
        <f>IF($D1221=1,INDEX(TblClusters[Cluster],$B1221),"")</f>
        <v/>
      </c>
      <c r="G1221" s="19" t="str">
        <f>IF($D1221=1,INDEX(TblClusters[Plateforme],$B1221),"")</f>
        <v/>
      </c>
      <c r="H1221" s="19" t="str">
        <f>IF($D1221=1,INDEX(TblClusters[vCPU par nœud],$B1221),"")</f>
        <v/>
      </c>
      <c r="I1221" s="19" t="str">
        <f>IF($D1221=1,INDEX(TblClusters[RAM par nœud (Go)],$B1221),"")</f>
        <v/>
      </c>
      <c r="J1221" s="19" t="str">
        <f>IF($D1221=1,INDEX(TblClusters[Workers min],$B1221),"")</f>
        <v/>
      </c>
      <c r="K1221" s="73" t="str">
        <f>IF($D1221=1,INDEX(TblClusters[Tarif par nœud],$B1221),"")</f>
        <v/>
      </c>
      <c r="L1221" s="19" t="str">
        <f>IF($D1221=1,INDEX(TblClusters[CPU initial (vCPU)],$B1221),"")</f>
        <v/>
      </c>
      <c r="M1221" s="19" t="str">
        <f>IF($D1221=1,INDEX(TblClusters[RAM initiale (Go)],$B1221),"")</f>
        <v/>
      </c>
      <c r="N1221" s="19" t="str">
        <f>IF($D1221=1,INDEX(TblClusters[CPU min (vCPU)],$B1221),"")</f>
        <v/>
      </c>
      <c r="O1221" s="19" t="str">
        <f>IF($D1221=1,INDEX(TblClusters[RAM min (Go)],$B1221),"")</f>
        <v/>
      </c>
      <c r="P1221" s="19" t="str">
        <f>IF($D1221&lt;&gt;1,"",IF($G1221="ROKS",SUMIFS(TblApplications[Besoin ROKS CPU (vCPU)],TblApplications[Cluster ROKS cible],$F1221,TblApplications[Action],"À migrer",TblApplications[Déjà incluse ROKS],"Non",TblApplications[Mois prov (calc)],"&lt;="&amp;$E1221),SUMIFS(TblApplications[CPU IKS libérable (vCPU)],TblApplications[Cluster IKS source],$F1221,TblApplications[Mois lib (calc)],"&lt;="&amp;$E1221)))</f>
        <v/>
      </c>
      <c r="Q1221" s="19" t="str">
        <f>IF($D1221&lt;&gt;1,"",IF($G1221="ROKS",SUMIFS(TblApplications[Besoin ROKS RAM (Go)],TblApplications[Cluster ROKS cible],$F1221,TblApplications[Action],"À migrer",TblApplications[Déjà incluse ROKS],"Non",TblApplications[Mois prov (calc)],"&lt;="&amp;$E1221),SUMIFS(TblApplications[RAM IKS libérable (Go)],TblApplications[Cluster IKS source],$F1221,TblApplications[Mois lib (calc)],"&lt;="&amp;$E1221)))</f>
        <v/>
      </c>
      <c r="R1221" s="19" t="str">
        <f t="shared" si="309"/>
        <v/>
      </c>
      <c r="S1221" s="19" t="str">
        <f t="shared" si="310"/>
        <v/>
      </c>
      <c r="T1221" s="19" t="str">
        <f t="shared" si="311"/>
        <v/>
      </c>
      <c r="U1221" s="19" t="str">
        <f t="shared" si="312"/>
        <v/>
      </c>
      <c r="V1221" s="19" t="str">
        <f t="shared" si="313"/>
        <v/>
      </c>
      <c r="W1221" s="73" t="str">
        <f t="shared" si="314"/>
        <v/>
      </c>
      <c r="X1221" s="19" t="str">
        <f>IF($D1221&lt;&gt;1,"",IF($G1221="ROKS",$R1221,IF($AI1221=1,0,MAX($N1221,$L1221-SUMIFS(TblApplications[CPU IKS libérable (vCPU)],TblApplications[Cluster IKS source],$F1221,TblApplications[Action],"À migrer",TblApplications[Mois prov (calc)],"&lt;="&amp;$E1221)-SUMIFS(TblApplications[CPU IKS libérable (vCPU)],TblApplications[Cluster IKS source],$F1221,TblApplications[Action],"À décommissionner",TblApplications[Mois lib (calc)],"&lt;="&amp;$E1221)))))</f>
        <v/>
      </c>
      <c r="Y1221" s="19" t="str">
        <f>IF($D1221&lt;&gt;1,"",IF($G1221="ROKS",$S1221,IF($AI1221=1,0,MAX($O1221,$M1221-SUMIFS(TblApplications[RAM IKS libérable (Go)],TblApplications[Cluster IKS source],$F1221,TblApplications[Action],"À migrer",TblApplications[Mois prov (calc)],"&lt;="&amp;$E1221)-SUMIFS(TblApplications[RAM IKS libérable (Go)],TblApplications[Cluster IKS source],$F1221,TblApplications[Action],"À décommissionner",TblApplications[Mois lib (calc)],"&lt;="&amp;$E1221)))))</f>
        <v/>
      </c>
      <c r="Z1221" s="19" t="str">
        <f t="shared" si="315"/>
        <v/>
      </c>
      <c r="AA1221" s="73" t="str">
        <f t="shared" si="316"/>
        <v/>
      </c>
      <c r="AB1221" s="19" t="str">
        <f t="shared" si="317"/>
        <v/>
      </c>
      <c r="AC1221" s="73" t="str">
        <f t="shared" si="318"/>
        <v/>
      </c>
      <c r="AD1221" s="19" t="str">
        <f t="shared" si="319"/>
        <v/>
      </c>
      <c r="AE1221" s="19" t="str">
        <f t="shared" si="320"/>
        <v/>
      </c>
      <c r="AF1221" s="19" t="str">
        <f>IF($D1221&lt;&gt;1,"",IF(INDEX(TblClusters[Environnement],$B1221)="","(vide)",INDEX(TblClusters[Environnement],$B1221)))</f>
        <v/>
      </c>
      <c r="AG1221" s="19" t="str">
        <f t="shared" si="321"/>
        <v/>
      </c>
      <c r="AH1221" s="19" t="str">
        <f t="shared" si="322"/>
        <v/>
      </c>
      <c r="AI1221" s="19" t="str">
        <f>IF($D1221&lt;&gt;1,"",IF(AND($G1221="IKS",ISNUMBER(INDEX(TblClusters[Fermeture retenue],$B1221))),IF($E1221&gt;=INDEX(TblClusters[Fermeture retenue],$B1221),1,0),0))</f>
        <v/>
      </c>
    </row>
    <row r="1222" spans="1:35" x14ac:dyDescent="0.2">
      <c r="A1222" s="19">
        <v>1217</v>
      </c>
      <c r="B1222" s="19">
        <f t="shared" ref="B1222:B1285" si="323">INT(($A1222-1)/36)+1</f>
        <v>34</v>
      </c>
      <c r="C1222" s="19">
        <f t="shared" ref="C1222:C1285" si="324">MOD($A1222-1,36)+1</f>
        <v>29</v>
      </c>
      <c r="D1222" s="19">
        <f>IF($C1222&gt;p_horizon,0,IFERROR(IF(AND(INDEX(TblClusters[Cluster],$B1222)&lt;&gt;"",ISNUMBER(INDEX(TblClusters[CPU initial (vCPU)],$B1222)),ISNUMBER(INDEX(TblClusters[CPU min (vCPU)],$B1222)),OR(INDEX(TblClusters[Plateforme],$B1222)="IKS",INDEX(TblClusters[Plateforme],$B1222)="ROKS")),1,0),0))</f>
        <v>0</v>
      </c>
      <c r="E1222" s="72" t="str">
        <f t="shared" ref="E1222:E1285" si="325">IF($D1222=1,EDATE(p_debut,$C1222-1),"")</f>
        <v/>
      </c>
      <c r="F1222" s="19" t="str">
        <f>IF($D1222=1,INDEX(TblClusters[Cluster],$B1222),"")</f>
        <v/>
      </c>
      <c r="G1222" s="19" t="str">
        <f>IF($D1222=1,INDEX(TblClusters[Plateforme],$B1222),"")</f>
        <v/>
      </c>
      <c r="H1222" s="19" t="str">
        <f>IF($D1222=1,INDEX(TblClusters[vCPU par nœud],$B1222),"")</f>
        <v/>
      </c>
      <c r="I1222" s="19" t="str">
        <f>IF($D1222=1,INDEX(TblClusters[RAM par nœud (Go)],$B1222),"")</f>
        <v/>
      </c>
      <c r="J1222" s="19" t="str">
        <f>IF($D1222=1,INDEX(TblClusters[Workers min],$B1222),"")</f>
        <v/>
      </c>
      <c r="K1222" s="73" t="str">
        <f>IF($D1222=1,INDEX(TblClusters[Tarif par nœud],$B1222),"")</f>
        <v/>
      </c>
      <c r="L1222" s="19" t="str">
        <f>IF($D1222=1,INDEX(TblClusters[CPU initial (vCPU)],$B1222),"")</f>
        <v/>
      </c>
      <c r="M1222" s="19" t="str">
        <f>IF($D1222=1,INDEX(TblClusters[RAM initiale (Go)],$B1222),"")</f>
        <v/>
      </c>
      <c r="N1222" s="19" t="str">
        <f>IF($D1222=1,INDEX(TblClusters[CPU min (vCPU)],$B1222),"")</f>
        <v/>
      </c>
      <c r="O1222" s="19" t="str">
        <f>IF($D1222=1,INDEX(TblClusters[RAM min (Go)],$B1222),"")</f>
        <v/>
      </c>
      <c r="P1222" s="19" t="str">
        <f>IF($D1222&lt;&gt;1,"",IF($G1222="ROKS",SUMIFS(TblApplications[Besoin ROKS CPU (vCPU)],TblApplications[Cluster ROKS cible],$F1222,TblApplications[Action],"À migrer",TblApplications[Déjà incluse ROKS],"Non",TblApplications[Mois prov (calc)],"&lt;="&amp;$E1222),SUMIFS(TblApplications[CPU IKS libérable (vCPU)],TblApplications[Cluster IKS source],$F1222,TblApplications[Mois lib (calc)],"&lt;="&amp;$E1222)))</f>
        <v/>
      </c>
      <c r="Q1222" s="19" t="str">
        <f>IF($D1222&lt;&gt;1,"",IF($G1222="ROKS",SUMIFS(TblApplications[Besoin ROKS RAM (Go)],TblApplications[Cluster ROKS cible],$F1222,TblApplications[Action],"À migrer",TblApplications[Déjà incluse ROKS],"Non",TblApplications[Mois prov (calc)],"&lt;="&amp;$E1222),SUMIFS(TblApplications[RAM IKS libérable (Go)],TblApplications[Cluster IKS source],$F1222,TblApplications[Mois lib (calc)],"&lt;="&amp;$E1222)))</f>
        <v/>
      </c>
      <c r="R1222" s="19" t="str">
        <f t="shared" ref="R1222:R1285" si="326">IF($D1222&lt;&gt;1,"",IF($G1222="ROKS",$L1222+$P1222,IF($AI1222=1,0,MAX($N1222,$L1222-$P1222))))</f>
        <v/>
      </c>
      <c r="S1222" s="19" t="str">
        <f t="shared" ref="S1222:S1285" si="327">IF($D1222&lt;&gt;1,"",IF($G1222="ROKS",$M1222+$Q1222,IF($AI1222=1,0,MAX($O1222,$M1222-$Q1222))))</f>
        <v/>
      </c>
      <c r="T1222" s="19" t="str">
        <f t="shared" ref="T1222:T1285" si="328">IF($D1222&lt;&gt;1,"",IF($AI1222=1,0,MAX($J1222,ROUNDUP(MAX($R1222/$H1222,$S1222/$I1222),0))))</f>
        <v/>
      </c>
      <c r="U1222" s="19" t="str">
        <f t="shared" ref="U1222:U1285" si="329">IF($D1222&lt;&gt;1,"",IF(p_mode="Nœud",$T1222*$H1222,$R1222))</f>
        <v/>
      </c>
      <c r="V1222" s="19" t="str">
        <f t="shared" ref="V1222:V1285" si="330">IF($D1222&lt;&gt;1,"",IF(p_mode="Nœud",$T1222*$I1222,$S1222))</f>
        <v/>
      </c>
      <c r="W1222" s="73" t="str">
        <f t="shared" ref="W1222:W1285" si="331">IF($D1222&lt;&gt;1,"",IF(p_mode="Nœud",$T1222*$K1222,$R1222*IF($G1222="IKS",p_iks_cpu,p_roks_cpu)+$S1222*IF($G1222="IKS",p_iks_ram,p_roks_ram))*p_facteur)</f>
        <v/>
      </c>
      <c r="X1222" s="19" t="str">
        <f>IF($D1222&lt;&gt;1,"",IF($G1222="ROKS",$R1222,IF($AI1222=1,0,MAX($N1222,$L1222-SUMIFS(TblApplications[CPU IKS libérable (vCPU)],TblApplications[Cluster IKS source],$F1222,TblApplications[Action],"À migrer",TblApplications[Mois prov (calc)],"&lt;="&amp;$E1222)-SUMIFS(TblApplications[CPU IKS libérable (vCPU)],TblApplications[Cluster IKS source],$F1222,TblApplications[Action],"À décommissionner",TblApplications[Mois lib (calc)],"&lt;="&amp;$E1222)))))</f>
        <v/>
      </c>
      <c r="Y1222" s="19" t="str">
        <f>IF($D1222&lt;&gt;1,"",IF($G1222="ROKS",$S1222,IF($AI1222=1,0,MAX($O1222,$M1222-SUMIFS(TblApplications[RAM IKS libérable (Go)],TblApplications[Cluster IKS source],$F1222,TblApplications[Action],"À migrer",TblApplications[Mois prov (calc)],"&lt;="&amp;$E1222)-SUMIFS(TblApplications[RAM IKS libérable (Go)],TblApplications[Cluster IKS source],$F1222,TblApplications[Action],"À décommissionner",TblApplications[Mois lib (calc)],"&lt;="&amp;$E1222)))))</f>
        <v/>
      </c>
      <c r="Z1222" s="19" t="str">
        <f t="shared" ref="Z1222:Z1285" si="332">IF($D1222&lt;&gt;1,"",IF($AI1222=1,0,MAX($J1222,ROUNDUP(MAX($X1222/$H1222,$Y1222/$I1222),0))))</f>
        <v/>
      </c>
      <c r="AA1222" s="73" t="str">
        <f t="shared" ref="AA1222:AA1285" si="333">IF($D1222&lt;&gt;1,"",IF(p_mode="Nœud",$Z1222*$K1222,$X1222*IF($G1222="IKS",p_iks_cpu,p_roks_cpu)+$Y1222*IF($G1222="IKS",p_iks_ram,p_roks_ram))*p_facteur)</f>
        <v/>
      </c>
      <c r="AB1222" s="19" t="str">
        <f t="shared" ref="AB1222:AB1285" si="334">IF($D1222&lt;&gt;1,"",MAX($J1222,ROUNDUP(MAX($L1222/$H1222,$M1222/$I1222),0)))</f>
        <v/>
      </c>
      <c r="AC1222" s="73" t="str">
        <f t="shared" ref="AC1222:AC1285" si="335">IF($D1222&lt;&gt;1,"",IF(p_mode="Nœud",$AB1222*$K1222,$L1222*IF($G1222="IKS",p_iks_cpu,p_roks_cpu)+$M1222*IF($G1222="IKS",p_iks_ram,p_roks_ram))*p_facteur)</f>
        <v/>
      </c>
      <c r="AD1222" s="19" t="str">
        <f t="shared" ref="AD1222:AD1285" si="336">IF($D1222&lt;&gt;1,"",IF(AND($G1222="IKS",$AI1222&lt;&gt;1,OR($L1222-$P1222&lt;$N1222,$M1222-$Q1222&lt;$O1222)),1,0))</f>
        <v/>
      </c>
      <c r="AE1222" s="19" t="str">
        <f t="shared" ref="AE1222:AE1285" si="337">IF($D1222&lt;&gt;1,"",IF(AND($G1222="ROKS",$T1222&gt;p_maxworkers),1,0))</f>
        <v/>
      </c>
      <c r="AF1222" s="19" t="str">
        <f>IF($D1222&lt;&gt;1,"",IF(INDEX(TblClusters[Environnement],$B1222)="","(vide)",INDEX(TblClusters[Environnement],$B1222)))</f>
        <v/>
      </c>
      <c r="AG1222" s="19" t="str">
        <f t="shared" ref="AG1222:AG1285" si="338">IF($D1222&lt;&gt;1,"",$R1222+p_poidsram*$S1222)</f>
        <v/>
      </c>
      <c r="AH1222" s="19" t="str">
        <f t="shared" ref="AH1222:AH1285" si="339">IF($D1222&lt;&gt;1,"",IFERROR($W1222/$AG1222,0))</f>
        <v/>
      </c>
      <c r="AI1222" s="19" t="str">
        <f>IF($D1222&lt;&gt;1,"",IF(AND($G1222="IKS",ISNUMBER(INDEX(TblClusters[Fermeture retenue],$B1222))),IF($E1222&gt;=INDEX(TblClusters[Fermeture retenue],$B1222),1,0),0))</f>
        <v/>
      </c>
    </row>
    <row r="1223" spans="1:35" x14ac:dyDescent="0.2">
      <c r="A1223" s="19">
        <v>1218</v>
      </c>
      <c r="B1223" s="19">
        <f t="shared" si="323"/>
        <v>34</v>
      </c>
      <c r="C1223" s="19">
        <f t="shared" si="324"/>
        <v>30</v>
      </c>
      <c r="D1223" s="19">
        <f>IF($C1223&gt;p_horizon,0,IFERROR(IF(AND(INDEX(TblClusters[Cluster],$B1223)&lt;&gt;"",ISNUMBER(INDEX(TblClusters[CPU initial (vCPU)],$B1223)),ISNUMBER(INDEX(TblClusters[CPU min (vCPU)],$B1223)),OR(INDEX(TblClusters[Plateforme],$B1223)="IKS",INDEX(TblClusters[Plateforme],$B1223)="ROKS")),1,0),0))</f>
        <v>0</v>
      </c>
      <c r="E1223" s="72" t="str">
        <f t="shared" si="325"/>
        <v/>
      </c>
      <c r="F1223" s="19" t="str">
        <f>IF($D1223=1,INDEX(TblClusters[Cluster],$B1223),"")</f>
        <v/>
      </c>
      <c r="G1223" s="19" t="str">
        <f>IF($D1223=1,INDEX(TblClusters[Plateforme],$B1223),"")</f>
        <v/>
      </c>
      <c r="H1223" s="19" t="str">
        <f>IF($D1223=1,INDEX(TblClusters[vCPU par nœud],$B1223),"")</f>
        <v/>
      </c>
      <c r="I1223" s="19" t="str">
        <f>IF($D1223=1,INDEX(TblClusters[RAM par nœud (Go)],$B1223),"")</f>
        <v/>
      </c>
      <c r="J1223" s="19" t="str">
        <f>IF($D1223=1,INDEX(TblClusters[Workers min],$B1223),"")</f>
        <v/>
      </c>
      <c r="K1223" s="73" t="str">
        <f>IF($D1223=1,INDEX(TblClusters[Tarif par nœud],$B1223),"")</f>
        <v/>
      </c>
      <c r="L1223" s="19" t="str">
        <f>IF($D1223=1,INDEX(TblClusters[CPU initial (vCPU)],$B1223),"")</f>
        <v/>
      </c>
      <c r="M1223" s="19" t="str">
        <f>IF($D1223=1,INDEX(TblClusters[RAM initiale (Go)],$B1223),"")</f>
        <v/>
      </c>
      <c r="N1223" s="19" t="str">
        <f>IF($D1223=1,INDEX(TblClusters[CPU min (vCPU)],$B1223),"")</f>
        <v/>
      </c>
      <c r="O1223" s="19" t="str">
        <f>IF($D1223=1,INDEX(TblClusters[RAM min (Go)],$B1223),"")</f>
        <v/>
      </c>
      <c r="P1223" s="19" t="str">
        <f>IF($D1223&lt;&gt;1,"",IF($G1223="ROKS",SUMIFS(TblApplications[Besoin ROKS CPU (vCPU)],TblApplications[Cluster ROKS cible],$F1223,TblApplications[Action],"À migrer",TblApplications[Déjà incluse ROKS],"Non",TblApplications[Mois prov (calc)],"&lt;="&amp;$E1223),SUMIFS(TblApplications[CPU IKS libérable (vCPU)],TblApplications[Cluster IKS source],$F1223,TblApplications[Mois lib (calc)],"&lt;="&amp;$E1223)))</f>
        <v/>
      </c>
      <c r="Q1223" s="19" t="str">
        <f>IF($D1223&lt;&gt;1,"",IF($G1223="ROKS",SUMIFS(TblApplications[Besoin ROKS RAM (Go)],TblApplications[Cluster ROKS cible],$F1223,TblApplications[Action],"À migrer",TblApplications[Déjà incluse ROKS],"Non",TblApplications[Mois prov (calc)],"&lt;="&amp;$E1223),SUMIFS(TblApplications[RAM IKS libérable (Go)],TblApplications[Cluster IKS source],$F1223,TblApplications[Mois lib (calc)],"&lt;="&amp;$E1223)))</f>
        <v/>
      </c>
      <c r="R1223" s="19" t="str">
        <f t="shared" si="326"/>
        <v/>
      </c>
      <c r="S1223" s="19" t="str">
        <f t="shared" si="327"/>
        <v/>
      </c>
      <c r="T1223" s="19" t="str">
        <f t="shared" si="328"/>
        <v/>
      </c>
      <c r="U1223" s="19" t="str">
        <f t="shared" si="329"/>
        <v/>
      </c>
      <c r="V1223" s="19" t="str">
        <f t="shared" si="330"/>
        <v/>
      </c>
      <c r="W1223" s="73" t="str">
        <f t="shared" si="331"/>
        <v/>
      </c>
      <c r="X1223" s="19" t="str">
        <f>IF($D1223&lt;&gt;1,"",IF($G1223="ROKS",$R1223,IF($AI1223=1,0,MAX($N1223,$L1223-SUMIFS(TblApplications[CPU IKS libérable (vCPU)],TblApplications[Cluster IKS source],$F1223,TblApplications[Action],"À migrer",TblApplications[Mois prov (calc)],"&lt;="&amp;$E1223)-SUMIFS(TblApplications[CPU IKS libérable (vCPU)],TblApplications[Cluster IKS source],$F1223,TblApplications[Action],"À décommissionner",TblApplications[Mois lib (calc)],"&lt;="&amp;$E1223)))))</f>
        <v/>
      </c>
      <c r="Y1223" s="19" t="str">
        <f>IF($D1223&lt;&gt;1,"",IF($G1223="ROKS",$S1223,IF($AI1223=1,0,MAX($O1223,$M1223-SUMIFS(TblApplications[RAM IKS libérable (Go)],TblApplications[Cluster IKS source],$F1223,TblApplications[Action],"À migrer",TblApplications[Mois prov (calc)],"&lt;="&amp;$E1223)-SUMIFS(TblApplications[RAM IKS libérable (Go)],TblApplications[Cluster IKS source],$F1223,TblApplications[Action],"À décommissionner",TblApplications[Mois lib (calc)],"&lt;="&amp;$E1223)))))</f>
        <v/>
      </c>
      <c r="Z1223" s="19" t="str">
        <f t="shared" si="332"/>
        <v/>
      </c>
      <c r="AA1223" s="73" t="str">
        <f t="shared" si="333"/>
        <v/>
      </c>
      <c r="AB1223" s="19" t="str">
        <f t="shared" si="334"/>
        <v/>
      </c>
      <c r="AC1223" s="73" t="str">
        <f t="shared" si="335"/>
        <v/>
      </c>
      <c r="AD1223" s="19" t="str">
        <f t="shared" si="336"/>
        <v/>
      </c>
      <c r="AE1223" s="19" t="str">
        <f t="shared" si="337"/>
        <v/>
      </c>
      <c r="AF1223" s="19" t="str">
        <f>IF($D1223&lt;&gt;1,"",IF(INDEX(TblClusters[Environnement],$B1223)="","(vide)",INDEX(TblClusters[Environnement],$B1223)))</f>
        <v/>
      </c>
      <c r="AG1223" s="19" t="str">
        <f t="shared" si="338"/>
        <v/>
      </c>
      <c r="AH1223" s="19" t="str">
        <f t="shared" si="339"/>
        <v/>
      </c>
      <c r="AI1223" s="19" t="str">
        <f>IF($D1223&lt;&gt;1,"",IF(AND($G1223="IKS",ISNUMBER(INDEX(TblClusters[Fermeture retenue],$B1223))),IF($E1223&gt;=INDEX(TblClusters[Fermeture retenue],$B1223),1,0),0))</f>
        <v/>
      </c>
    </row>
    <row r="1224" spans="1:35" x14ac:dyDescent="0.2">
      <c r="A1224" s="19">
        <v>1219</v>
      </c>
      <c r="B1224" s="19">
        <f t="shared" si="323"/>
        <v>34</v>
      </c>
      <c r="C1224" s="19">
        <f t="shared" si="324"/>
        <v>31</v>
      </c>
      <c r="D1224" s="19">
        <f>IF($C1224&gt;p_horizon,0,IFERROR(IF(AND(INDEX(TblClusters[Cluster],$B1224)&lt;&gt;"",ISNUMBER(INDEX(TblClusters[CPU initial (vCPU)],$B1224)),ISNUMBER(INDEX(TblClusters[CPU min (vCPU)],$B1224)),OR(INDEX(TblClusters[Plateforme],$B1224)="IKS",INDEX(TblClusters[Plateforme],$B1224)="ROKS")),1,0),0))</f>
        <v>0</v>
      </c>
      <c r="E1224" s="72" t="str">
        <f t="shared" si="325"/>
        <v/>
      </c>
      <c r="F1224" s="19" t="str">
        <f>IF($D1224=1,INDEX(TblClusters[Cluster],$B1224),"")</f>
        <v/>
      </c>
      <c r="G1224" s="19" t="str">
        <f>IF($D1224=1,INDEX(TblClusters[Plateforme],$B1224),"")</f>
        <v/>
      </c>
      <c r="H1224" s="19" t="str">
        <f>IF($D1224=1,INDEX(TblClusters[vCPU par nœud],$B1224),"")</f>
        <v/>
      </c>
      <c r="I1224" s="19" t="str">
        <f>IF($D1224=1,INDEX(TblClusters[RAM par nœud (Go)],$B1224),"")</f>
        <v/>
      </c>
      <c r="J1224" s="19" t="str">
        <f>IF($D1224=1,INDEX(TblClusters[Workers min],$B1224),"")</f>
        <v/>
      </c>
      <c r="K1224" s="73" t="str">
        <f>IF($D1224=1,INDEX(TblClusters[Tarif par nœud],$B1224),"")</f>
        <v/>
      </c>
      <c r="L1224" s="19" t="str">
        <f>IF($D1224=1,INDEX(TblClusters[CPU initial (vCPU)],$B1224),"")</f>
        <v/>
      </c>
      <c r="M1224" s="19" t="str">
        <f>IF($D1224=1,INDEX(TblClusters[RAM initiale (Go)],$B1224),"")</f>
        <v/>
      </c>
      <c r="N1224" s="19" t="str">
        <f>IF($D1224=1,INDEX(TblClusters[CPU min (vCPU)],$B1224),"")</f>
        <v/>
      </c>
      <c r="O1224" s="19" t="str">
        <f>IF($D1224=1,INDEX(TblClusters[RAM min (Go)],$B1224),"")</f>
        <v/>
      </c>
      <c r="P1224" s="19" t="str">
        <f>IF($D1224&lt;&gt;1,"",IF($G1224="ROKS",SUMIFS(TblApplications[Besoin ROKS CPU (vCPU)],TblApplications[Cluster ROKS cible],$F1224,TblApplications[Action],"À migrer",TblApplications[Déjà incluse ROKS],"Non",TblApplications[Mois prov (calc)],"&lt;="&amp;$E1224),SUMIFS(TblApplications[CPU IKS libérable (vCPU)],TblApplications[Cluster IKS source],$F1224,TblApplications[Mois lib (calc)],"&lt;="&amp;$E1224)))</f>
        <v/>
      </c>
      <c r="Q1224" s="19" t="str">
        <f>IF($D1224&lt;&gt;1,"",IF($G1224="ROKS",SUMIFS(TblApplications[Besoin ROKS RAM (Go)],TblApplications[Cluster ROKS cible],$F1224,TblApplications[Action],"À migrer",TblApplications[Déjà incluse ROKS],"Non",TblApplications[Mois prov (calc)],"&lt;="&amp;$E1224),SUMIFS(TblApplications[RAM IKS libérable (Go)],TblApplications[Cluster IKS source],$F1224,TblApplications[Mois lib (calc)],"&lt;="&amp;$E1224)))</f>
        <v/>
      </c>
      <c r="R1224" s="19" t="str">
        <f t="shared" si="326"/>
        <v/>
      </c>
      <c r="S1224" s="19" t="str">
        <f t="shared" si="327"/>
        <v/>
      </c>
      <c r="T1224" s="19" t="str">
        <f t="shared" si="328"/>
        <v/>
      </c>
      <c r="U1224" s="19" t="str">
        <f t="shared" si="329"/>
        <v/>
      </c>
      <c r="V1224" s="19" t="str">
        <f t="shared" si="330"/>
        <v/>
      </c>
      <c r="W1224" s="73" t="str">
        <f t="shared" si="331"/>
        <v/>
      </c>
      <c r="X1224" s="19" t="str">
        <f>IF($D1224&lt;&gt;1,"",IF($G1224="ROKS",$R1224,IF($AI1224=1,0,MAX($N1224,$L1224-SUMIFS(TblApplications[CPU IKS libérable (vCPU)],TblApplications[Cluster IKS source],$F1224,TblApplications[Action],"À migrer",TblApplications[Mois prov (calc)],"&lt;="&amp;$E1224)-SUMIFS(TblApplications[CPU IKS libérable (vCPU)],TblApplications[Cluster IKS source],$F1224,TblApplications[Action],"À décommissionner",TblApplications[Mois lib (calc)],"&lt;="&amp;$E1224)))))</f>
        <v/>
      </c>
      <c r="Y1224" s="19" t="str">
        <f>IF($D1224&lt;&gt;1,"",IF($G1224="ROKS",$S1224,IF($AI1224=1,0,MAX($O1224,$M1224-SUMIFS(TblApplications[RAM IKS libérable (Go)],TblApplications[Cluster IKS source],$F1224,TblApplications[Action],"À migrer",TblApplications[Mois prov (calc)],"&lt;="&amp;$E1224)-SUMIFS(TblApplications[RAM IKS libérable (Go)],TblApplications[Cluster IKS source],$F1224,TblApplications[Action],"À décommissionner",TblApplications[Mois lib (calc)],"&lt;="&amp;$E1224)))))</f>
        <v/>
      </c>
      <c r="Z1224" s="19" t="str">
        <f t="shared" si="332"/>
        <v/>
      </c>
      <c r="AA1224" s="73" t="str">
        <f t="shared" si="333"/>
        <v/>
      </c>
      <c r="AB1224" s="19" t="str">
        <f t="shared" si="334"/>
        <v/>
      </c>
      <c r="AC1224" s="73" t="str">
        <f t="shared" si="335"/>
        <v/>
      </c>
      <c r="AD1224" s="19" t="str">
        <f t="shared" si="336"/>
        <v/>
      </c>
      <c r="AE1224" s="19" t="str">
        <f t="shared" si="337"/>
        <v/>
      </c>
      <c r="AF1224" s="19" t="str">
        <f>IF($D1224&lt;&gt;1,"",IF(INDEX(TblClusters[Environnement],$B1224)="","(vide)",INDEX(TblClusters[Environnement],$B1224)))</f>
        <v/>
      </c>
      <c r="AG1224" s="19" t="str">
        <f t="shared" si="338"/>
        <v/>
      </c>
      <c r="AH1224" s="19" t="str">
        <f t="shared" si="339"/>
        <v/>
      </c>
      <c r="AI1224" s="19" t="str">
        <f>IF($D1224&lt;&gt;1,"",IF(AND($G1224="IKS",ISNUMBER(INDEX(TblClusters[Fermeture retenue],$B1224))),IF($E1224&gt;=INDEX(TblClusters[Fermeture retenue],$B1224),1,0),0))</f>
        <v/>
      </c>
    </row>
    <row r="1225" spans="1:35" x14ac:dyDescent="0.2">
      <c r="A1225" s="19">
        <v>1220</v>
      </c>
      <c r="B1225" s="19">
        <f t="shared" si="323"/>
        <v>34</v>
      </c>
      <c r="C1225" s="19">
        <f t="shared" si="324"/>
        <v>32</v>
      </c>
      <c r="D1225" s="19">
        <f>IF($C1225&gt;p_horizon,0,IFERROR(IF(AND(INDEX(TblClusters[Cluster],$B1225)&lt;&gt;"",ISNUMBER(INDEX(TblClusters[CPU initial (vCPU)],$B1225)),ISNUMBER(INDEX(TblClusters[CPU min (vCPU)],$B1225)),OR(INDEX(TblClusters[Plateforme],$B1225)="IKS",INDEX(TblClusters[Plateforme],$B1225)="ROKS")),1,0),0))</f>
        <v>0</v>
      </c>
      <c r="E1225" s="72" t="str">
        <f t="shared" si="325"/>
        <v/>
      </c>
      <c r="F1225" s="19" t="str">
        <f>IF($D1225=1,INDEX(TblClusters[Cluster],$B1225),"")</f>
        <v/>
      </c>
      <c r="G1225" s="19" t="str">
        <f>IF($D1225=1,INDEX(TblClusters[Plateforme],$B1225),"")</f>
        <v/>
      </c>
      <c r="H1225" s="19" t="str">
        <f>IF($D1225=1,INDEX(TblClusters[vCPU par nœud],$B1225),"")</f>
        <v/>
      </c>
      <c r="I1225" s="19" t="str">
        <f>IF($D1225=1,INDEX(TblClusters[RAM par nœud (Go)],$B1225),"")</f>
        <v/>
      </c>
      <c r="J1225" s="19" t="str">
        <f>IF($D1225=1,INDEX(TblClusters[Workers min],$B1225),"")</f>
        <v/>
      </c>
      <c r="K1225" s="73" t="str">
        <f>IF($D1225=1,INDEX(TblClusters[Tarif par nœud],$B1225),"")</f>
        <v/>
      </c>
      <c r="L1225" s="19" t="str">
        <f>IF($D1225=1,INDEX(TblClusters[CPU initial (vCPU)],$B1225),"")</f>
        <v/>
      </c>
      <c r="M1225" s="19" t="str">
        <f>IF($D1225=1,INDEX(TblClusters[RAM initiale (Go)],$B1225),"")</f>
        <v/>
      </c>
      <c r="N1225" s="19" t="str">
        <f>IF($D1225=1,INDEX(TblClusters[CPU min (vCPU)],$B1225),"")</f>
        <v/>
      </c>
      <c r="O1225" s="19" t="str">
        <f>IF($D1225=1,INDEX(TblClusters[RAM min (Go)],$B1225),"")</f>
        <v/>
      </c>
      <c r="P1225" s="19" t="str">
        <f>IF($D1225&lt;&gt;1,"",IF($G1225="ROKS",SUMIFS(TblApplications[Besoin ROKS CPU (vCPU)],TblApplications[Cluster ROKS cible],$F1225,TblApplications[Action],"À migrer",TblApplications[Déjà incluse ROKS],"Non",TblApplications[Mois prov (calc)],"&lt;="&amp;$E1225),SUMIFS(TblApplications[CPU IKS libérable (vCPU)],TblApplications[Cluster IKS source],$F1225,TblApplications[Mois lib (calc)],"&lt;="&amp;$E1225)))</f>
        <v/>
      </c>
      <c r="Q1225" s="19" t="str">
        <f>IF($D1225&lt;&gt;1,"",IF($G1225="ROKS",SUMIFS(TblApplications[Besoin ROKS RAM (Go)],TblApplications[Cluster ROKS cible],$F1225,TblApplications[Action],"À migrer",TblApplications[Déjà incluse ROKS],"Non",TblApplications[Mois prov (calc)],"&lt;="&amp;$E1225),SUMIFS(TblApplications[RAM IKS libérable (Go)],TblApplications[Cluster IKS source],$F1225,TblApplications[Mois lib (calc)],"&lt;="&amp;$E1225)))</f>
        <v/>
      </c>
      <c r="R1225" s="19" t="str">
        <f t="shared" si="326"/>
        <v/>
      </c>
      <c r="S1225" s="19" t="str">
        <f t="shared" si="327"/>
        <v/>
      </c>
      <c r="T1225" s="19" t="str">
        <f t="shared" si="328"/>
        <v/>
      </c>
      <c r="U1225" s="19" t="str">
        <f t="shared" si="329"/>
        <v/>
      </c>
      <c r="V1225" s="19" t="str">
        <f t="shared" si="330"/>
        <v/>
      </c>
      <c r="W1225" s="73" t="str">
        <f t="shared" si="331"/>
        <v/>
      </c>
      <c r="X1225" s="19" t="str">
        <f>IF($D1225&lt;&gt;1,"",IF($G1225="ROKS",$R1225,IF($AI1225=1,0,MAX($N1225,$L1225-SUMIFS(TblApplications[CPU IKS libérable (vCPU)],TblApplications[Cluster IKS source],$F1225,TblApplications[Action],"À migrer",TblApplications[Mois prov (calc)],"&lt;="&amp;$E1225)-SUMIFS(TblApplications[CPU IKS libérable (vCPU)],TblApplications[Cluster IKS source],$F1225,TblApplications[Action],"À décommissionner",TblApplications[Mois lib (calc)],"&lt;="&amp;$E1225)))))</f>
        <v/>
      </c>
      <c r="Y1225" s="19" t="str">
        <f>IF($D1225&lt;&gt;1,"",IF($G1225="ROKS",$S1225,IF($AI1225=1,0,MAX($O1225,$M1225-SUMIFS(TblApplications[RAM IKS libérable (Go)],TblApplications[Cluster IKS source],$F1225,TblApplications[Action],"À migrer",TblApplications[Mois prov (calc)],"&lt;="&amp;$E1225)-SUMIFS(TblApplications[RAM IKS libérable (Go)],TblApplications[Cluster IKS source],$F1225,TblApplications[Action],"À décommissionner",TblApplications[Mois lib (calc)],"&lt;="&amp;$E1225)))))</f>
        <v/>
      </c>
      <c r="Z1225" s="19" t="str">
        <f t="shared" si="332"/>
        <v/>
      </c>
      <c r="AA1225" s="73" t="str">
        <f t="shared" si="333"/>
        <v/>
      </c>
      <c r="AB1225" s="19" t="str">
        <f t="shared" si="334"/>
        <v/>
      </c>
      <c r="AC1225" s="73" t="str">
        <f t="shared" si="335"/>
        <v/>
      </c>
      <c r="AD1225" s="19" t="str">
        <f t="shared" si="336"/>
        <v/>
      </c>
      <c r="AE1225" s="19" t="str">
        <f t="shared" si="337"/>
        <v/>
      </c>
      <c r="AF1225" s="19" t="str">
        <f>IF($D1225&lt;&gt;1,"",IF(INDEX(TblClusters[Environnement],$B1225)="","(vide)",INDEX(TblClusters[Environnement],$B1225)))</f>
        <v/>
      </c>
      <c r="AG1225" s="19" t="str">
        <f t="shared" si="338"/>
        <v/>
      </c>
      <c r="AH1225" s="19" t="str">
        <f t="shared" si="339"/>
        <v/>
      </c>
      <c r="AI1225" s="19" t="str">
        <f>IF($D1225&lt;&gt;1,"",IF(AND($G1225="IKS",ISNUMBER(INDEX(TblClusters[Fermeture retenue],$B1225))),IF($E1225&gt;=INDEX(TblClusters[Fermeture retenue],$B1225),1,0),0))</f>
        <v/>
      </c>
    </row>
    <row r="1226" spans="1:35" x14ac:dyDescent="0.2">
      <c r="A1226" s="19">
        <v>1221</v>
      </c>
      <c r="B1226" s="19">
        <f t="shared" si="323"/>
        <v>34</v>
      </c>
      <c r="C1226" s="19">
        <f t="shared" si="324"/>
        <v>33</v>
      </c>
      <c r="D1226" s="19">
        <f>IF($C1226&gt;p_horizon,0,IFERROR(IF(AND(INDEX(TblClusters[Cluster],$B1226)&lt;&gt;"",ISNUMBER(INDEX(TblClusters[CPU initial (vCPU)],$B1226)),ISNUMBER(INDEX(TblClusters[CPU min (vCPU)],$B1226)),OR(INDEX(TblClusters[Plateforme],$B1226)="IKS",INDEX(TblClusters[Plateforme],$B1226)="ROKS")),1,0),0))</f>
        <v>0</v>
      </c>
      <c r="E1226" s="72" t="str">
        <f t="shared" si="325"/>
        <v/>
      </c>
      <c r="F1226" s="19" t="str">
        <f>IF($D1226=1,INDEX(TblClusters[Cluster],$B1226),"")</f>
        <v/>
      </c>
      <c r="G1226" s="19" t="str">
        <f>IF($D1226=1,INDEX(TblClusters[Plateforme],$B1226),"")</f>
        <v/>
      </c>
      <c r="H1226" s="19" t="str">
        <f>IF($D1226=1,INDEX(TblClusters[vCPU par nœud],$B1226),"")</f>
        <v/>
      </c>
      <c r="I1226" s="19" t="str">
        <f>IF($D1226=1,INDEX(TblClusters[RAM par nœud (Go)],$B1226),"")</f>
        <v/>
      </c>
      <c r="J1226" s="19" t="str">
        <f>IF($D1226=1,INDEX(TblClusters[Workers min],$B1226),"")</f>
        <v/>
      </c>
      <c r="K1226" s="73" t="str">
        <f>IF($D1226=1,INDEX(TblClusters[Tarif par nœud],$B1226),"")</f>
        <v/>
      </c>
      <c r="L1226" s="19" t="str">
        <f>IF($D1226=1,INDEX(TblClusters[CPU initial (vCPU)],$B1226),"")</f>
        <v/>
      </c>
      <c r="M1226" s="19" t="str">
        <f>IF($D1226=1,INDEX(TblClusters[RAM initiale (Go)],$B1226),"")</f>
        <v/>
      </c>
      <c r="N1226" s="19" t="str">
        <f>IF($D1226=1,INDEX(TblClusters[CPU min (vCPU)],$B1226),"")</f>
        <v/>
      </c>
      <c r="O1226" s="19" t="str">
        <f>IF($D1226=1,INDEX(TblClusters[RAM min (Go)],$B1226),"")</f>
        <v/>
      </c>
      <c r="P1226" s="19" t="str">
        <f>IF($D1226&lt;&gt;1,"",IF($G1226="ROKS",SUMIFS(TblApplications[Besoin ROKS CPU (vCPU)],TblApplications[Cluster ROKS cible],$F1226,TblApplications[Action],"À migrer",TblApplications[Déjà incluse ROKS],"Non",TblApplications[Mois prov (calc)],"&lt;="&amp;$E1226),SUMIFS(TblApplications[CPU IKS libérable (vCPU)],TblApplications[Cluster IKS source],$F1226,TblApplications[Mois lib (calc)],"&lt;="&amp;$E1226)))</f>
        <v/>
      </c>
      <c r="Q1226" s="19" t="str">
        <f>IF($D1226&lt;&gt;1,"",IF($G1226="ROKS",SUMIFS(TblApplications[Besoin ROKS RAM (Go)],TblApplications[Cluster ROKS cible],$F1226,TblApplications[Action],"À migrer",TblApplications[Déjà incluse ROKS],"Non",TblApplications[Mois prov (calc)],"&lt;="&amp;$E1226),SUMIFS(TblApplications[RAM IKS libérable (Go)],TblApplications[Cluster IKS source],$F1226,TblApplications[Mois lib (calc)],"&lt;="&amp;$E1226)))</f>
        <v/>
      </c>
      <c r="R1226" s="19" t="str">
        <f t="shared" si="326"/>
        <v/>
      </c>
      <c r="S1226" s="19" t="str">
        <f t="shared" si="327"/>
        <v/>
      </c>
      <c r="T1226" s="19" t="str">
        <f t="shared" si="328"/>
        <v/>
      </c>
      <c r="U1226" s="19" t="str">
        <f t="shared" si="329"/>
        <v/>
      </c>
      <c r="V1226" s="19" t="str">
        <f t="shared" si="330"/>
        <v/>
      </c>
      <c r="W1226" s="73" t="str">
        <f t="shared" si="331"/>
        <v/>
      </c>
      <c r="X1226" s="19" t="str">
        <f>IF($D1226&lt;&gt;1,"",IF($G1226="ROKS",$R1226,IF($AI1226=1,0,MAX($N1226,$L1226-SUMIFS(TblApplications[CPU IKS libérable (vCPU)],TblApplications[Cluster IKS source],$F1226,TblApplications[Action],"À migrer",TblApplications[Mois prov (calc)],"&lt;="&amp;$E1226)-SUMIFS(TblApplications[CPU IKS libérable (vCPU)],TblApplications[Cluster IKS source],$F1226,TblApplications[Action],"À décommissionner",TblApplications[Mois lib (calc)],"&lt;="&amp;$E1226)))))</f>
        <v/>
      </c>
      <c r="Y1226" s="19" t="str">
        <f>IF($D1226&lt;&gt;1,"",IF($G1226="ROKS",$S1226,IF($AI1226=1,0,MAX($O1226,$M1226-SUMIFS(TblApplications[RAM IKS libérable (Go)],TblApplications[Cluster IKS source],$F1226,TblApplications[Action],"À migrer",TblApplications[Mois prov (calc)],"&lt;="&amp;$E1226)-SUMIFS(TblApplications[RAM IKS libérable (Go)],TblApplications[Cluster IKS source],$F1226,TblApplications[Action],"À décommissionner",TblApplications[Mois lib (calc)],"&lt;="&amp;$E1226)))))</f>
        <v/>
      </c>
      <c r="Z1226" s="19" t="str">
        <f t="shared" si="332"/>
        <v/>
      </c>
      <c r="AA1226" s="73" t="str">
        <f t="shared" si="333"/>
        <v/>
      </c>
      <c r="AB1226" s="19" t="str">
        <f t="shared" si="334"/>
        <v/>
      </c>
      <c r="AC1226" s="73" t="str">
        <f t="shared" si="335"/>
        <v/>
      </c>
      <c r="AD1226" s="19" t="str">
        <f t="shared" si="336"/>
        <v/>
      </c>
      <c r="AE1226" s="19" t="str">
        <f t="shared" si="337"/>
        <v/>
      </c>
      <c r="AF1226" s="19" t="str">
        <f>IF($D1226&lt;&gt;1,"",IF(INDEX(TblClusters[Environnement],$B1226)="","(vide)",INDEX(TblClusters[Environnement],$B1226)))</f>
        <v/>
      </c>
      <c r="AG1226" s="19" t="str">
        <f t="shared" si="338"/>
        <v/>
      </c>
      <c r="AH1226" s="19" t="str">
        <f t="shared" si="339"/>
        <v/>
      </c>
      <c r="AI1226" s="19" t="str">
        <f>IF($D1226&lt;&gt;1,"",IF(AND($G1226="IKS",ISNUMBER(INDEX(TblClusters[Fermeture retenue],$B1226))),IF($E1226&gt;=INDEX(TblClusters[Fermeture retenue],$B1226),1,0),0))</f>
        <v/>
      </c>
    </row>
    <row r="1227" spans="1:35" x14ac:dyDescent="0.2">
      <c r="A1227" s="19">
        <v>1222</v>
      </c>
      <c r="B1227" s="19">
        <f t="shared" si="323"/>
        <v>34</v>
      </c>
      <c r="C1227" s="19">
        <f t="shared" si="324"/>
        <v>34</v>
      </c>
      <c r="D1227" s="19">
        <f>IF($C1227&gt;p_horizon,0,IFERROR(IF(AND(INDEX(TblClusters[Cluster],$B1227)&lt;&gt;"",ISNUMBER(INDEX(TblClusters[CPU initial (vCPU)],$B1227)),ISNUMBER(INDEX(TblClusters[CPU min (vCPU)],$B1227)),OR(INDEX(TblClusters[Plateforme],$B1227)="IKS",INDEX(TblClusters[Plateforme],$B1227)="ROKS")),1,0),0))</f>
        <v>0</v>
      </c>
      <c r="E1227" s="72" t="str">
        <f t="shared" si="325"/>
        <v/>
      </c>
      <c r="F1227" s="19" t="str">
        <f>IF($D1227=1,INDEX(TblClusters[Cluster],$B1227),"")</f>
        <v/>
      </c>
      <c r="G1227" s="19" t="str">
        <f>IF($D1227=1,INDEX(TblClusters[Plateforme],$B1227),"")</f>
        <v/>
      </c>
      <c r="H1227" s="19" t="str">
        <f>IF($D1227=1,INDEX(TblClusters[vCPU par nœud],$B1227),"")</f>
        <v/>
      </c>
      <c r="I1227" s="19" t="str">
        <f>IF($D1227=1,INDEX(TblClusters[RAM par nœud (Go)],$B1227),"")</f>
        <v/>
      </c>
      <c r="J1227" s="19" t="str">
        <f>IF($D1227=1,INDEX(TblClusters[Workers min],$B1227),"")</f>
        <v/>
      </c>
      <c r="K1227" s="73" t="str">
        <f>IF($D1227=1,INDEX(TblClusters[Tarif par nœud],$B1227),"")</f>
        <v/>
      </c>
      <c r="L1227" s="19" t="str">
        <f>IF($D1227=1,INDEX(TblClusters[CPU initial (vCPU)],$B1227),"")</f>
        <v/>
      </c>
      <c r="M1227" s="19" t="str">
        <f>IF($D1227=1,INDEX(TblClusters[RAM initiale (Go)],$B1227),"")</f>
        <v/>
      </c>
      <c r="N1227" s="19" t="str">
        <f>IF($D1227=1,INDEX(TblClusters[CPU min (vCPU)],$B1227),"")</f>
        <v/>
      </c>
      <c r="O1227" s="19" t="str">
        <f>IF($D1227=1,INDEX(TblClusters[RAM min (Go)],$B1227),"")</f>
        <v/>
      </c>
      <c r="P1227" s="19" t="str">
        <f>IF($D1227&lt;&gt;1,"",IF($G1227="ROKS",SUMIFS(TblApplications[Besoin ROKS CPU (vCPU)],TblApplications[Cluster ROKS cible],$F1227,TblApplications[Action],"À migrer",TblApplications[Déjà incluse ROKS],"Non",TblApplications[Mois prov (calc)],"&lt;="&amp;$E1227),SUMIFS(TblApplications[CPU IKS libérable (vCPU)],TblApplications[Cluster IKS source],$F1227,TblApplications[Mois lib (calc)],"&lt;="&amp;$E1227)))</f>
        <v/>
      </c>
      <c r="Q1227" s="19" t="str">
        <f>IF($D1227&lt;&gt;1,"",IF($G1227="ROKS",SUMIFS(TblApplications[Besoin ROKS RAM (Go)],TblApplications[Cluster ROKS cible],$F1227,TblApplications[Action],"À migrer",TblApplications[Déjà incluse ROKS],"Non",TblApplications[Mois prov (calc)],"&lt;="&amp;$E1227),SUMIFS(TblApplications[RAM IKS libérable (Go)],TblApplications[Cluster IKS source],$F1227,TblApplications[Mois lib (calc)],"&lt;="&amp;$E1227)))</f>
        <v/>
      </c>
      <c r="R1227" s="19" t="str">
        <f t="shared" si="326"/>
        <v/>
      </c>
      <c r="S1227" s="19" t="str">
        <f t="shared" si="327"/>
        <v/>
      </c>
      <c r="T1227" s="19" t="str">
        <f t="shared" si="328"/>
        <v/>
      </c>
      <c r="U1227" s="19" t="str">
        <f t="shared" si="329"/>
        <v/>
      </c>
      <c r="V1227" s="19" t="str">
        <f t="shared" si="330"/>
        <v/>
      </c>
      <c r="W1227" s="73" t="str">
        <f t="shared" si="331"/>
        <v/>
      </c>
      <c r="X1227" s="19" t="str">
        <f>IF($D1227&lt;&gt;1,"",IF($G1227="ROKS",$R1227,IF($AI1227=1,0,MAX($N1227,$L1227-SUMIFS(TblApplications[CPU IKS libérable (vCPU)],TblApplications[Cluster IKS source],$F1227,TblApplications[Action],"À migrer",TblApplications[Mois prov (calc)],"&lt;="&amp;$E1227)-SUMIFS(TblApplications[CPU IKS libérable (vCPU)],TblApplications[Cluster IKS source],$F1227,TblApplications[Action],"À décommissionner",TblApplications[Mois lib (calc)],"&lt;="&amp;$E1227)))))</f>
        <v/>
      </c>
      <c r="Y1227" s="19" t="str">
        <f>IF($D1227&lt;&gt;1,"",IF($G1227="ROKS",$S1227,IF($AI1227=1,0,MAX($O1227,$M1227-SUMIFS(TblApplications[RAM IKS libérable (Go)],TblApplications[Cluster IKS source],$F1227,TblApplications[Action],"À migrer",TblApplications[Mois prov (calc)],"&lt;="&amp;$E1227)-SUMIFS(TblApplications[RAM IKS libérable (Go)],TblApplications[Cluster IKS source],$F1227,TblApplications[Action],"À décommissionner",TblApplications[Mois lib (calc)],"&lt;="&amp;$E1227)))))</f>
        <v/>
      </c>
      <c r="Z1227" s="19" t="str">
        <f t="shared" si="332"/>
        <v/>
      </c>
      <c r="AA1227" s="73" t="str">
        <f t="shared" si="333"/>
        <v/>
      </c>
      <c r="AB1227" s="19" t="str">
        <f t="shared" si="334"/>
        <v/>
      </c>
      <c r="AC1227" s="73" t="str">
        <f t="shared" si="335"/>
        <v/>
      </c>
      <c r="AD1227" s="19" t="str">
        <f t="shared" si="336"/>
        <v/>
      </c>
      <c r="AE1227" s="19" t="str">
        <f t="shared" si="337"/>
        <v/>
      </c>
      <c r="AF1227" s="19" t="str">
        <f>IF($D1227&lt;&gt;1,"",IF(INDEX(TblClusters[Environnement],$B1227)="","(vide)",INDEX(TblClusters[Environnement],$B1227)))</f>
        <v/>
      </c>
      <c r="AG1227" s="19" t="str">
        <f t="shared" si="338"/>
        <v/>
      </c>
      <c r="AH1227" s="19" t="str">
        <f t="shared" si="339"/>
        <v/>
      </c>
      <c r="AI1227" s="19" t="str">
        <f>IF($D1227&lt;&gt;1,"",IF(AND($G1227="IKS",ISNUMBER(INDEX(TblClusters[Fermeture retenue],$B1227))),IF($E1227&gt;=INDEX(TblClusters[Fermeture retenue],$B1227),1,0),0))</f>
        <v/>
      </c>
    </row>
    <row r="1228" spans="1:35" x14ac:dyDescent="0.2">
      <c r="A1228" s="19">
        <v>1223</v>
      </c>
      <c r="B1228" s="19">
        <f t="shared" si="323"/>
        <v>34</v>
      </c>
      <c r="C1228" s="19">
        <f t="shared" si="324"/>
        <v>35</v>
      </c>
      <c r="D1228" s="19">
        <f>IF($C1228&gt;p_horizon,0,IFERROR(IF(AND(INDEX(TblClusters[Cluster],$B1228)&lt;&gt;"",ISNUMBER(INDEX(TblClusters[CPU initial (vCPU)],$B1228)),ISNUMBER(INDEX(TblClusters[CPU min (vCPU)],$B1228)),OR(INDEX(TblClusters[Plateforme],$B1228)="IKS",INDEX(TblClusters[Plateforme],$B1228)="ROKS")),1,0),0))</f>
        <v>0</v>
      </c>
      <c r="E1228" s="72" t="str">
        <f t="shared" si="325"/>
        <v/>
      </c>
      <c r="F1228" s="19" t="str">
        <f>IF($D1228=1,INDEX(TblClusters[Cluster],$B1228),"")</f>
        <v/>
      </c>
      <c r="G1228" s="19" t="str">
        <f>IF($D1228=1,INDEX(TblClusters[Plateforme],$B1228),"")</f>
        <v/>
      </c>
      <c r="H1228" s="19" t="str">
        <f>IF($D1228=1,INDEX(TblClusters[vCPU par nœud],$B1228),"")</f>
        <v/>
      </c>
      <c r="I1228" s="19" t="str">
        <f>IF($D1228=1,INDEX(TblClusters[RAM par nœud (Go)],$B1228),"")</f>
        <v/>
      </c>
      <c r="J1228" s="19" t="str">
        <f>IF($D1228=1,INDEX(TblClusters[Workers min],$B1228),"")</f>
        <v/>
      </c>
      <c r="K1228" s="73" t="str">
        <f>IF($D1228=1,INDEX(TblClusters[Tarif par nœud],$B1228),"")</f>
        <v/>
      </c>
      <c r="L1228" s="19" t="str">
        <f>IF($D1228=1,INDEX(TblClusters[CPU initial (vCPU)],$B1228),"")</f>
        <v/>
      </c>
      <c r="M1228" s="19" t="str">
        <f>IF($D1228=1,INDEX(TblClusters[RAM initiale (Go)],$B1228),"")</f>
        <v/>
      </c>
      <c r="N1228" s="19" t="str">
        <f>IF($D1228=1,INDEX(TblClusters[CPU min (vCPU)],$B1228),"")</f>
        <v/>
      </c>
      <c r="O1228" s="19" t="str">
        <f>IF($D1228=1,INDEX(TblClusters[RAM min (Go)],$B1228),"")</f>
        <v/>
      </c>
      <c r="P1228" s="19" t="str">
        <f>IF($D1228&lt;&gt;1,"",IF($G1228="ROKS",SUMIFS(TblApplications[Besoin ROKS CPU (vCPU)],TblApplications[Cluster ROKS cible],$F1228,TblApplications[Action],"À migrer",TblApplications[Déjà incluse ROKS],"Non",TblApplications[Mois prov (calc)],"&lt;="&amp;$E1228),SUMIFS(TblApplications[CPU IKS libérable (vCPU)],TblApplications[Cluster IKS source],$F1228,TblApplications[Mois lib (calc)],"&lt;="&amp;$E1228)))</f>
        <v/>
      </c>
      <c r="Q1228" s="19" t="str">
        <f>IF($D1228&lt;&gt;1,"",IF($G1228="ROKS",SUMIFS(TblApplications[Besoin ROKS RAM (Go)],TblApplications[Cluster ROKS cible],$F1228,TblApplications[Action],"À migrer",TblApplications[Déjà incluse ROKS],"Non",TblApplications[Mois prov (calc)],"&lt;="&amp;$E1228),SUMIFS(TblApplications[RAM IKS libérable (Go)],TblApplications[Cluster IKS source],$F1228,TblApplications[Mois lib (calc)],"&lt;="&amp;$E1228)))</f>
        <v/>
      </c>
      <c r="R1228" s="19" t="str">
        <f t="shared" si="326"/>
        <v/>
      </c>
      <c r="S1228" s="19" t="str">
        <f t="shared" si="327"/>
        <v/>
      </c>
      <c r="T1228" s="19" t="str">
        <f t="shared" si="328"/>
        <v/>
      </c>
      <c r="U1228" s="19" t="str">
        <f t="shared" si="329"/>
        <v/>
      </c>
      <c r="V1228" s="19" t="str">
        <f t="shared" si="330"/>
        <v/>
      </c>
      <c r="W1228" s="73" t="str">
        <f t="shared" si="331"/>
        <v/>
      </c>
      <c r="X1228" s="19" t="str">
        <f>IF($D1228&lt;&gt;1,"",IF($G1228="ROKS",$R1228,IF($AI1228=1,0,MAX($N1228,$L1228-SUMIFS(TblApplications[CPU IKS libérable (vCPU)],TblApplications[Cluster IKS source],$F1228,TblApplications[Action],"À migrer",TblApplications[Mois prov (calc)],"&lt;="&amp;$E1228)-SUMIFS(TblApplications[CPU IKS libérable (vCPU)],TblApplications[Cluster IKS source],$F1228,TblApplications[Action],"À décommissionner",TblApplications[Mois lib (calc)],"&lt;="&amp;$E1228)))))</f>
        <v/>
      </c>
      <c r="Y1228" s="19" t="str">
        <f>IF($D1228&lt;&gt;1,"",IF($G1228="ROKS",$S1228,IF($AI1228=1,0,MAX($O1228,$M1228-SUMIFS(TblApplications[RAM IKS libérable (Go)],TblApplications[Cluster IKS source],$F1228,TblApplications[Action],"À migrer",TblApplications[Mois prov (calc)],"&lt;="&amp;$E1228)-SUMIFS(TblApplications[RAM IKS libérable (Go)],TblApplications[Cluster IKS source],$F1228,TblApplications[Action],"À décommissionner",TblApplications[Mois lib (calc)],"&lt;="&amp;$E1228)))))</f>
        <v/>
      </c>
      <c r="Z1228" s="19" t="str">
        <f t="shared" si="332"/>
        <v/>
      </c>
      <c r="AA1228" s="73" t="str">
        <f t="shared" si="333"/>
        <v/>
      </c>
      <c r="AB1228" s="19" t="str">
        <f t="shared" si="334"/>
        <v/>
      </c>
      <c r="AC1228" s="73" t="str">
        <f t="shared" si="335"/>
        <v/>
      </c>
      <c r="AD1228" s="19" t="str">
        <f t="shared" si="336"/>
        <v/>
      </c>
      <c r="AE1228" s="19" t="str">
        <f t="shared" si="337"/>
        <v/>
      </c>
      <c r="AF1228" s="19" t="str">
        <f>IF($D1228&lt;&gt;1,"",IF(INDEX(TblClusters[Environnement],$B1228)="","(vide)",INDEX(TblClusters[Environnement],$B1228)))</f>
        <v/>
      </c>
      <c r="AG1228" s="19" t="str">
        <f t="shared" si="338"/>
        <v/>
      </c>
      <c r="AH1228" s="19" t="str">
        <f t="shared" si="339"/>
        <v/>
      </c>
      <c r="AI1228" s="19" t="str">
        <f>IF($D1228&lt;&gt;1,"",IF(AND($G1228="IKS",ISNUMBER(INDEX(TblClusters[Fermeture retenue],$B1228))),IF($E1228&gt;=INDEX(TblClusters[Fermeture retenue],$B1228),1,0),0))</f>
        <v/>
      </c>
    </row>
    <row r="1229" spans="1:35" x14ac:dyDescent="0.2">
      <c r="A1229" s="19">
        <v>1224</v>
      </c>
      <c r="B1229" s="19">
        <f t="shared" si="323"/>
        <v>34</v>
      </c>
      <c r="C1229" s="19">
        <f t="shared" si="324"/>
        <v>36</v>
      </c>
      <c r="D1229" s="19">
        <f>IF($C1229&gt;p_horizon,0,IFERROR(IF(AND(INDEX(TblClusters[Cluster],$B1229)&lt;&gt;"",ISNUMBER(INDEX(TblClusters[CPU initial (vCPU)],$B1229)),ISNUMBER(INDEX(TblClusters[CPU min (vCPU)],$B1229)),OR(INDEX(TblClusters[Plateforme],$B1229)="IKS",INDEX(TblClusters[Plateforme],$B1229)="ROKS")),1,0),0))</f>
        <v>0</v>
      </c>
      <c r="E1229" s="72" t="str">
        <f t="shared" si="325"/>
        <v/>
      </c>
      <c r="F1229" s="19" t="str">
        <f>IF($D1229=1,INDEX(TblClusters[Cluster],$B1229),"")</f>
        <v/>
      </c>
      <c r="G1229" s="19" t="str">
        <f>IF($D1229=1,INDEX(TblClusters[Plateforme],$B1229),"")</f>
        <v/>
      </c>
      <c r="H1229" s="19" t="str">
        <f>IF($D1229=1,INDEX(TblClusters[vCPU par nœud],$B1229),"")</f>
        <v/>
      </c>
      <c r="I1229" s="19" t="str">
        <f>IF($D1229=1,INDEX(TblClusters[RAM par nœud (Go)],$B1229),"")</f>
        <v/>
      </c>
      <c r="J1229" s="19" t="str">
        <f>IF($D1229=1,INDEX(TblClusters[Workers min],$B1229),"")</f>
        <v/>
      </c>
      <c r="K1229" s="73" t="str">
        <f>IF($D1229=1,INDEX(TblClusters[Tarif par nœud],$B1229),"")</f>
        <v/>
      </c>
      <c r="L1229" s="19" t="str">
        <f>IF($D1229=1,INDEX(TblClusters[CPU initial (vCPU)],$B1229),"")</f>
        <v/>
      </c>
      <c r="M1229" s="19" t="str">
        <f>IF($D1229=1,INDEX(TblClusters[RAM initiale (Go)],$B1229),"")</f>
        <v/>
      </c>
      <c r="N1229" s="19" t="str">
        <f>IF($D1229=1,INDEX(TblClusters[CPU min (vCPU)],$B1229),"")</f>
        <v/>
      </c>
      <c r="O1229" s="19" t="str">
        <f>IF($D1229=1,INDEX(TblClusters[RAM min (Go)],$B1229),"")</f>
        <v/>
      </c>
      <c r="P1229" s="19" t="str">
        <f>IF($D1229&lt;&gt;1,"",IF($G1229="ROKS",SUMIFS(TblApplications[Besoin ROKS CPU (vCPU)],TblApplications[Cluster ROKS cible],$F1229,TblApplications[Action],"À migrer",TblApplications[Déjà incluse ROKS],"Non",TblApplications[Mois prov (calc)],"&lt;="&amp;$E1229),SUMIFS(TblApplications[CPU IKS libérable (vCPU)],TblApplications[Cluster IKS source],$F1229,TblApplications[Mois lib (calc)],"&lt;="&amp;$E1229)))</f>
        <v/>
      </c>
      <c r="Q1229" s="19" t="str">
        <f>IF($D1229&lt;&gt;1,"",IF($G1229="ROKS",SUMIFS(TblApplications[Besoin ROKS RAM (Go)],TblApplications[Cluster ROKS cible],$F1229,TblApplications[Action],"À migrer",TblApplications[Déjà incluse ROKS],"Non",TblApplications[Mois prov (calc)],"&lt;="&amp;$E1229),SUMIFS(TblApplications[RAM IKS libérable (Go)],TblApplications[Cluster IKS source],$F1229,TblApplications[Mois lib (calc)],"&lt;="&amp;$E1229)))</f>
        <v/>
      </c>
      <c r="R1229" s="19" t="str">
        <f t="shared" si="326"/>
        <v/>
      </c>
      <c r="S1229" s="19" t="str">
        <f t="shared" si="327"/>
        <v/>
      </c>
      <c r="T1229" s="19" t="str">
        <f t="shared" si="328"/>
        <v/>
      </c>
      <c r="U1229" s="19" t="str">
        <f t="shared" si="329"/>
        <v/>
      </c>
      <c r="V1229" s="19" t="str">
        <f t="shared" si="330"/>
        <v/>
      </c>
      <c r="W1229" s="73" t="str">
        <f t="shared" si="331"/>
        <v/>
      </c>
      <c r="X1229" s="19" t="str">
        <f>IF($D1229&lt;&gt;1,"",IF($G1229="ROKS",$R1229,IF($AI1229=1,0,MAX($N1229,$L1229-SUMIFS(TblApplications[CPU IKS libérable (vCPU)],TblApplications[Cluster IKS source],$F1229,TblApplications[Action],"À migrer",TblApplications[Mois prov (calc)],"&lt;="&amp;$E1229)-SUMIFS(TblApplications[CPU IKS libérable (vCPU)],TblApplications[Cluster IKS source],$F1229,TblApplications[Action],"À décommissionner",TblApplications[Mois lib (calc)],"&lt;="&amp;$E1229)))))</f>
        <v/>
      </c>
      <c r="Y1229" s="19" t="str">
        <f>IF($D1229&lt;&gt;1,"",IF($G1229="ROKS",$S1229,IF($AI1229=1,0,MAX($O1229,$M1229-SUMIFS(TblApplications[RAM IKS libérable (Go)],TblApplications[Cluster IKS source],$F1229,TblApplications[Action],"À migrer",TblApplications[Mois prov (calc)],"&lt;="&amp;$E1229)-SUMIFS(TblApplications[RAM IKS libérable (Go)],TblApplications[Cluster IKS source],$F1229,TblApplications[Action],"À décommissionner",TblApplications[Mois lib (calc)],"&lt;="&amp;$E1229)))))</f>
        <v/>
      </c>
      <c r="Z1229" s="19" t="str">
        <f t="shared" si="332"/>
        <v/>
      </c>
      <c r="AA1229" s="73" t="str">
        <f t="shared" si="333"/>
        <v/>
      </c>
      <c r="AB1229" s="19" t="str">
        <f t="shared" si="334"/>
        <v/>
      </c>
      <c r="AC1229" s="73" t="str">
        <f t="shared" si="335"/>
        <v/>
      </c>
      <c r="AD1229" s="19" t="str">
        <f t="shared" si="336"/>
        <v/>
      </c>
      <c r="AE1229" s="19" t="str">
        <f t="shared" si="337"/>
        <v/>
      </c>
      <c r="AF1229" s="19" t="str">
        <f>IF($D1229&lt;&gt;1,"",IF(INDEX(TblClusters[Environnement],$B1229)="","(vide)",INDEX(TblClusters[Environnement],$B1229)))</f>
        <v/>
      </c>
      <c r="AG1229" s="19" t="str">
        <f t="shared" si="338"/>
        <v/>
      </c>
      <c r="AH1229" s="19" t="str">
        <f t="shared" si="339"/>
        <v/>
      </c>
      <c r="AI1229" s="19" t="str">
        <f>IF($D1229&lt;&gt;1,"",IF(AND($G1229="IKS",ISNUMBER(INDEX(TblClusters[Fermeture retenue],$B1229))),IF($E1229&gt;=INDEX(TblClusters[Fermeture retenue],$B1229),1,0),0))</f>
        <v/>
      </c>
    </row>
    <row r="1230" spans="1:35" x14ac:dyDescent="0.2">
      <c r="A1230" s="19">
        <v>1225</v>
      </c>
      <c r="B1230" s="19">
        <f t="shared" si="323"/>
        <v>35</v>
      </c>
      <c r="C1230" s="19">
        <f t="shared" si="324"/>
        <v>1</v>
      </c>
      <c r="D1230" s="19">
        <f>IF($C1230&gt;p_horizon,0,IFERROR(IF(AND(INDEX(TblClusters[Cluster],$B1230)&lt;&gt;"",ISNUMBER(INDEX(TblClusters[CPU initial (vCPU)],$B1230)),ISNUMBER(INDEX(TblClusters[CPU min (vCPU)],$B1230)),OR(INDEX(TblClusters[Plateforme],$B1230)="IKS",INDEX(TblClusters[Plateforme],$B1230)="ROKS")),1,0),0))</f>
        <v>0</v>
      </c>
      <c r="E1230" s="72" t="str">
        <f t="shared" si="325"/>
        <v/>
      </c>
      <c r="F1230" s="19" t="str">
        <f>IF($D1230=1,INDEX(TblClusters[Cluster],$B1230),"")</f>
        <v/>
      </c>
      <c r="G1230" s="19" t="str">
        <f>IF($D1230=1,INDEX(TblClusters[Plateforme],$B1230),"")</f>
        <v/>
      </c>
      <c r="H1230" s="19" t="str">
        <f>IF($D1230=1,INDEX(TblClusters[vCPU par nœud],$B1230),"")</f>
        <v/>
      </c>
      <c r="I1230" s="19" t="str">
        <f>IF($D1230=1,INDEX(TblClusters[RAM par nœud (Go)],$B1230),"")</f>
        <v/>
      </c>
      <c r="J1230" s="19" t="str">
        <f>IF($D1230=1,INDEX(TblClusters[Workers min],$B1230),"")</f>
        <v/>
      </c>
      <c r="K1230" s="73" t="str">
        <f>IF($D1230=1,INDEX(TblClusters[Tarif par nœud],$B1230),"")</f>
        <v/>
      </c>
      <c r="L1230" s="19" t="str">
        <f>IF($D1230=1,INDEX(TblClusters[CPU initial (vCPU)],$B1230),"")</f>
        <v/>
      </c>
      <c r="M1230" s="19" t="str">
        <f>IF($D1230=1,INDEX(TblClusters[RAM initiale (Go)],$B1230),"")</f>
        <v/>
      </c>
      <c r="N1230" s="19" t="str">
        <f>IF($D1230=1,INDEX(TblClusters[CPU min (vCPU)],$B1230),"")</f>
        <v/>
      </c>
      <c r="O1230" s="19" t="str">
        <f>IF($D1230=1,INDEX(TblClusters[RAM min (Go)],$B1230),"")</f>
        <v/>
      </c>
      <c r="P1230" s="19" t="str">
        <f>IF($D1230&lt;&gt;1,"",IF($G1230="ROKS",SUMIFS(TblApplications[Besoin ROKS CPU (vCPU)],TblApplications[Cluster ROKS cible],$F1230,TblApplications[Action],"À migrer",TblApplications[Déjà incluse ROKS],"Non",TblApplications[Mois prov (calc)],"&lt;="&amp;$E1230),SUMIFS(TblApplications[CPU IKS libérable (vCPU)],TblApplications[Cluster IKS source],$F1230,TblApplications[Mois lib (calc)],"&lt;="&amp;$E1230)))</f>
        <v/>
      </c>
      <c r="Q1230" s="19" t="str">
        <f>IF($D1230&lt;&gt;1,"",IF($G1230="ROKS",SUMIFS(TblApplications[Besoin ROKS RAM (Go)],TblApplications[Cluster ROKS cible],$F1230,TblApplications[Action],"À migrer",TblApplications[Déjà incluse ROKS],"Non",TblApplications[Mois prov (calc)],"&lt;="&amp;$E1230),SUMIFS(TblApplications[RAM IKS libérable (Go)],TblApplications[Cluster IKS source],$F1230,TblApplications[Mois lib (calc)],"&lt;="&amp;$E1230)))</f>
        <v/>
      </c>
      <c r="R1230" s="19" t="str">
        <f t="shared" si="326"/>
        <v/>
      </c>
      <c r="S1230" s="19" t="str">
        <f t="shared" si="327"/>
        <v/>
      </c>
      <c r="T1230" s="19" t="str">
        <f t="shared" si="328"/>
        <v/>
      </c>
      <c r="U1230" s="19" t="str">
        <f t="shared" si="329"/>
        <v/>
      </c>
      <c r="V1230" s="19" t="str">
        <f t="shared" si="330"/>
        <v/>
      </c>
      <c r="W1230" s="73" t="str">
        <f t="shared" si="331"/>
        <v/>
      </c>
      <c r="X1230" s="19" t="str">
        <f>IF($D1230&lt;&gt;1,"",IF($G1230="ROKS",$R1230,IF($AI1230=1,0,MAX($N1230,$L1230-SUMIFS(TblApplications[CPU IKS libérable (vCPU)],TblApplications[Cluster IKS source],$F1230,TblApplications[Action],"À migrer",TblApplications[Mois prov (calc)],"&lt;="&amp;$E1230)-SUMIFS(TblApplications[CPU IKS libérable (vCPU)],TblApplications[Cluster IKS source],$F1230,TblApplications[Action],"À décommissionner",TblApplications[Mois lib (calc)],"&lt;="&amp;$E1230)))))</f>
        <v/>
      </c>
      <c r="Y1230" s="19" t="str">
        <f>IF($D1230&lt;&gt;1,"",IF($G1230="ROKS",$S1230,IF($AI1230=1,0,MAX($O1230,$M1230-SUMIFS(TblApplications[RAM IKS libérable (Go)],TblApplications[Cluster IKS source],$F1230,TblApplications[Action],"À migrer",TblApplications[Mois prov (calc)],"&lt;="&amp;$E1230)-SUMIFS(TblApplications[RAM IKS libérable (Go)],TblApplications[Cluster IKS source],$F1230,TblApplications[Action],"À décommissionner",TblApplications[Mois lib (calc)],"&lt;="&amp;$E1230)))))</f>
        <v/>
      </c>
      <c r="Z1230" s="19" t="str">
        <f t="shared" si="332"/>
        <v/>
      </c>
      <c r="AA1230" s="73" t="str">
        <f t="shared" si="333"/>
        <v/>
      </c>
      <c r="AB1230" s="19" t="str">
        <f t="shared" si="334"/>
        <v/>
      </c>
      <c r="AC1230" s="73" t="str">
        <f t="shared" si="335"/>
        <v/>
      </c>
      <c r="AD1230" s="19" t="str">
        <f t="shared" si="336"/>
        <v/>
      </c>
      <c r="AE1230" s="19" t="str">
        <f t="shared" si="337"/>
        <v/>
      </c>
      <c r="AF1230" s="19" t="str">
        <f>IF($D1230&lt;&gt;1,"",IF(INDEX(TblClusters[Environnement],$B1230)="","(vide)",INDEX(TblClusters[Environnement],$B1230)))</f>
        <v/>
      </c>
      <c r="AG1230" s="19" t="str">
        <f t="shared" si="338"/>
        <v/>
      </c>
      <c r="AH1230" s="19" t="str">
        <f t="shared" si="339"/>
        <v/>
      </c>
      <c r="AI1230" s="19" t="str">
        <f>IF($D1230&lt;&gt;1,"",IF(AND($G1230="IKS",ISNUMBER(INDEX(TblClusters[Fermeture retenue],$B1230))),IF($E1230&gt;=INDEX(TblClusters[Fermeture retenue],$B1230),1,0),0))</f>
        <v/>
      </c>
    </row>
    <row r="1231" spans="1:35" x14ac:dyDescent="0.2">
      <c r="A1231" s="19">
        <v>1226</v>
      </c>
      <c r="B1231" s="19">
        <f t="shared" si="323"/>
        <v>35</v>
      </c>
      <c r="C1231" s="19">
        <f t="shared" si="324"/>
        <v>2</v>
      </c>
      <c r="D1231" s="19">
        <f>IF($C1231&gt;p_horizon,0,IFERROR(IF(AND(INDEX(TblClusters[Cluster],$B1231)&lt;&gt;"",ISNUMBER(INDEX(TblClusters[CPU initial (vCPU)],$B1231)),ISNUMBER(INDEX(TblClusters[CPU min (vCPU)],$B1231)),OR(INDEX(TblClusters[Plateforme],$B1231)="IKS",INDEX(TblClusters[Plateforme],$B1231)="ROKS")),1,0),0))</f>
        <v>0</v>
      </c>
      <c r="E1231" s="72" t="str">
        <f t="shared" si="325"/>
        <v/>
      </c>
      <c r="F1231" s="19" t="str">
        <f>IF($D1231=1,INDEX(TblClusters[Cluster],$B1231),"")</f>
        <v/>
      </c>
      <c r="G1231" s="19" t="str">
        <f>IF($D1231=1,INDEX(TblClusters[Plateforme],$B1231),"")</f>
        <v/>
      </c>
      <c r="H1231" s="19" t="str">
        <f>IF($D1231=1,INDEX(TblClusters[vCPU par nœud],$B1231),"")</f>
        <v/>
      </c>
      <c r="I1231" s="19" t="str">
        <f>IF($D1231=1,INDEX(TblClusters[RAM par nœud (Go)],$B1231),"")</f>
        <v/>
      </c>
      <c r="J1231" s="19" t="str">
        <f>IF($D1231=1,INDEX(TblClusters[Workers min],$B1231),"")</f>
        <v/>
      </c>
      <c r="K1231" s="73" t="str">
        <f>IF($D1231=1,INDEX(TblClusters[Tarif par nœud],$B1231),"")</f>
        <v/>
      </c>
      <c r="L1231" s="19" t="str">
        <f>IF($D1231=1,INDEX(TblClusters[CPU initial (vCPU)],$B1231),"")</f>
        <v/>
      </c>
      <c r="M1231" s="19" t="str">
        <f>IF($D1231=1,INDEX(TblClusters[RAM initiale (Go)],$B1231),"")</f>
        <v/>
      </c>
      <c r="N1231" s="19" t="str">
        <f>IF($D1231=1,INDEX(TblClusters[CPU min (vCPU)],$B1231),"")</f>
        <v/>
      </c>
      <c r="O1231" s="19" t="str">
        <f>IF($D1231=1,INDEX(TblClusters[RAM min (Go)],$B1231),"")</f>
        <v/>
      </c>
      <c r="P1231" s="19" t="str">
        <f>IF($D1231&lt;&gt;1,"",IF($G1231="ROKS",SUMIFS(TblApplications[Besoin ROKS CPU (vCPU)],TblApplications[Cluster ROKS cible],$F1231,TblApplications[Action],"À migrer",TblApplications[Déjà incluse ROKS],"Non",TblApplications[Mois prov (calc)],"&lt;="&amp;$E1231),SUMIFS(TblApplications[CPU IKS libérable (vCPU)],TblApplications[Cluster IKS source],$F1231,TblApplications[Mois lib (calc)],"&lt;="&amp;$E1231)))</f>
        <v/>
      </c>
      <c r="Q1231" s="19" t="str">
        <f>IF($D1231&lt;&gt;1,"",IF($G1231="ROKS",SUMIFS(TblApplications[Besoin ROKS RAM (Go)],TblApplications[Cluster ROKS cible],$F1231,TblApplications[Action],"À migrer",TblApplications[Déjà incluse ROKS],"Non",TblApplications[Mois prov (calc)],"&lt;="&amp;$E1231),SUMIFS(TblApplications[RAM IKS libérable (Go)],TblApplications[Cluster IKS source],$F1231,TblApplications[Mois lib (calc)],"&lt;="&amp;$E1231)))</f>
        <v/>
      </c>
      <c r="R1231" s="19" t="str">
        <f t="shared" si="326"/>
        <v/>
      </c>
      <c r="S1231" s="19" t="str">
        <f t="shared" si="327"/>
        <v/>
      </c>
      <c r="T1231" s="19" t="str">
        <f t="shared" si="328"/>
        <v/>
      </c>
      <c r="U1231" s="19" t="str">
        <f t="shared" si="329"/>
        <v/>
      </c>
      <c r="V1231" s="19" t="str">
        <f t="shared" si="330"/>
        <v/>
      </c>
      <c r="W1231" s="73" t="str">
        <f t="shared" si="331"/>
        <v/>
      </c>
      <c r="X1231" s="19" t="str">
        <f>IF($D1231&lt;&gt;1,"",IF($G1231="ROKS",$R1231,IF($AI1231=1,0,MAX($N1231,$L1231-SUMIFS(TblApplications[CPU IKS libérable (vCPU)],TblApplications[Cluster IKS source],$F1231,TblApplications[Action],"À migrer",TblApplications[Mois prov (calc)],"&lt;="&amp;$E1231)-SUMIFS(TblApplications[CPU IKS libérable (vCPU)],TblApplications[Cluster IKS source],$F1231,TblApplications[Action],"À décommissionner",TblApplications[Mois lib (calc)],"&lt;="&amp;$E1231)))))</f>
        <v/>
      </c>
      <c r="Y1231" s="19" t="str">
        <f>IF($D1231&lt;&gt;1,"",IF($G1231="ROKS",$S1231,IF($AI1231=1,0,MAX($O1231,$M1231-SUMIFS(TblApplications[RAM IKS libérable (Go)],TblApplications[Cluster IKS source],$F1231,TblApplications[Action],"À migrer",TblApplications[Mois prov (calc)],"&lt;="&amp;$E1231)-SUMIFS(TblApplications[RAM IKS libérable (Go)],TblApplications[Cluster IKS source],$F1231,TblApplications[Action],"À décommissionner",TblApplications[Mois lib (calc)],"&lt;="&amp;$E1231)))))</f>
        <v/>
      </c>
      <c r="Z1231" s="19" t="str">
        <f t="shared" si="332"/>
        <v/>
      </c>
      <c r="AA1231" s="73" t="str">
        <f t="shared" si="333"/>
        <v/>
      </c>
      <c r="AB1231" s="19" t="str">
        <f t="shared" si="334"/>
        <v/>
      </c>
      <c r="AC1231" s="73" t="str">
        <f t="shared" si="335"/>
        <v/>
      </c>
      <c r="AD1231" s="19" t="str">
        <f t="shared" si="336"/>
        <v/>
      </c>
      <c r="AE1231" s="19" t="str">
        <f t="shared" si="337"/>
        <v/>
      </c>
      <c r="AF1231" s="19" t="str">
        <f>IF($D1231&lt;&gt;1,"",IF(INDEX(TblClusters[Environnement],$B1231)="","(vide)",INDEX(TblClusters[Environnement],$B1231)))</f>
        <v/>
      </c>
      <c r="AG1231" s="19" t="str">
        <f t="shared" si="338"/>
        <v/>
      </c>
      <c r="AH1231" s="19" t="str">
        <f t="shared" si="339"/>
        <v/>
      </c>
      <c r="AI1231" s="19" t="str">
        <f>IF($D1231&lt;&gt;1,"",IF(AND($G1231="IKS",ISNUMBER(INDEX(TblClusters[Fermeture retenue],$B1231))),IF($E1231&gt;=INDEX(TblClusters[Fermeture retenue],$B1231),1,0),0))</f>
        <v/>
      </c>
    </row>
    <row r="1232" spans="1:35" x14ac:dyDescent="0.2">
      <c r="A1232" s="19">
        <v>1227</v>
      </c>
      <c r="B1232" s="19">
        <f t="shared" si="323"/>
        <v>35</v>
      </c>
      <c r="C1232" s="19">
        <f t="shared" si="324"/>
        <v>3</v>
      </c>
      <c r="D1232" s="19">
        <f>IF($C1232&gt;p_horizon,0,IFERROR(IF(AND(INDEX(TblClusters[Cluster],$B1232)&lt;&gt;"",ISNUMBER(INDEX(TblClusters[CPU initial (vCPU)],$B1232)),ISNUMBER(INDEX(TblClusters[CPU min (vCPU)],$B1232)),OR(INDEX(TblClusters[Plateforme],$B1232)="IKS",INDEX(TblClusters[Plateforme],$B1232)="ROKS")),1,0),0))</f>
        <v>0</v>
      </c>
      <c r="E1232" s="72" t="str">
        <f t="shared" si="325"/>
        <v/>
      </c>
      <c r="F1232" s="19" t="str">
        <f>IF($D1232=1,INDEX(TblClusters[Cluster],$B1232),"")</f>
        <v/>
      </c>
      <c r="G1232" s="19" t="str">
        <f>IF($D1232=1,INDEX(TblClusters[Plateforme],$B1232),"")</f>
        <v/>
      </c>
      <c r="H1232" s="19" t="str">
        <f>IF($D1232=1,INDEX(TblClusters[vCPU par nœud],$B1232),"")</f>
        <v/>
      </c>
      <c r="I1232" s="19" t="str">
        <f>IF($D1232=1,INDEX(TblClusters[RAM par nœud (Go)],$B1232),"")</f>
        <v/>
      </c>
      <c r="J1232" s="19" t="str">
        <f>IF($D1232=1,INDEX(TblClusters[Workers min],$B1232),"")</f>
        <v/>
      </c>
      <c r="K1232" s="73" t="str">
        <f>IF($D1232=1,INDEX(TblClusters[Tarif par nœud],$B1232),"")</f>
        <v/>
      </c>
      <c r="L1232" s="19" t="str">
        <f>IF($D1232=1,INDEX(TblClusters[CPU initial (vCPU)],$B1232),"")</f>
        <v/>
      </c>
      <c r="M1232" s="19" t="str">
        <f>IF($D1232=1,INDEX(TblClusters[RAM initiale (Go)],$B1232),"")</f>
        <v/>
      </c>
      <c r="N1232" s="19" t="str">
        <f>IF($D1232=1,INDEX(TblClusters[CPU min (vCPU)],$B1232),"")</f>
        <v/>
      </c>
      <c r="O1232" s="19" t="str">
        <f>IF($D1232=1,INDEX(TblClusters[RAM min (Go)],$B1232),"")</f>
        <v/>
      </c>
      <c r="P1232" s="19" t="str">
        <f>IF($D1232&lt;&gt;1,"",IF($G1232="ROKS",SUMIFS(TblApplications[Besoin ROKS CPU (vCPU)],TblApplications[Cluster ROKS cible],$F1232,TblApplications[Action],"À migrer",TblApplications[Déjà incluse ROKS],"Non",TblApplications[Mois prov (calc)],"&lt;="&amp;$E1232),SUMIFS(TblApplications[CPU IKS libérable (vCPU)],TblApplications[Cluster IKS source],$F1232,TblApplications[Mois lib (calc)],"&lt;="&amp;$E1232)))</f>
        <v/>
      </c>
      <c r="Q1232" s="19" t="str">
        <f>IF($D1232&lt;&gt;1,"",IF($G1232="ROKS",SUMIFS(TblApplications[Besoin ROKS RAM (Go)],TblApplications[Cluster ROKS cible],$F1232,TblApplications[Action],"À migrer",TblApplications[Déjà incluse ROKS],"Non",TblApplications[Mois prov (calc)],"&lt;="&amp;$E1232),SUMIFS(TblApplications[RAM IKS libérable (Go)],TblApplications[Cluster IKS source],$F1232,TblApplications[Mois lib (calc)],"&lt;="&amp;$E1232)))</f>
        <v/>
      </c>
      <c r="R1232" s="19" t="str">
        <f t="shared" si="326"/>
        <v/>
      </c>
      <c r="S1232" s="19" t="str">
        <f t="shared" si="327"/>
        <v/>
      </c>
      <c r="T1232" s="19" t="str">
        <f t="shared" si="328"/>
        <v/>
      </c>
      <c r="U1232" s="19" t="str">
        <f t="shared" si="329"/>
        <v/>
      </c>
      <c r="V1232" s="19" t="str">
        <f t="shared" si="330"/>
        <v/>
      </c>
      <c r="W1232" s="73" t="str">
        <f t="shared" si="331"/>
        <v/>
      </c>
      <c r="X1232" s="19" t="str">
        <f>IF($D1232&lt;&gt;1,"",IF($G1232="ROKS",$R1232,IF($AI1232=1,0,MAX($N1232,$L1232-SUMIFS(TblApplications[CPU IKS libérable (vCPU)],TblApplications[Cluster IKS source],$F1232,TblApplications[Action],"À migrer",TblApplications[Mois prov (calc)],"&lt;="&amp;$E1232)-SUMIFS(TblApplications[CPU IKS libérable (vCPU)],TblApplications[Cluster IKS source],$F1232,TblApplications[Action],"À décommissionner",TblApplications[Mois lib (calc)],"&lt;="&amp;$E1232)))))</f>
        <v/>
      </c>
      <c r="Y1232" s="19" t="str">
        <f>IF($D1232&lt;&gt;1,"",IF($G1232="ROKS",$S1232,IF($AI1232=1,0,MAX($O1232,$M1232-SUMIFS(TblApplications[RAM IKS libérable (Go)],TblApplications[Cluster IKS source],$F1232,TblApplications[Action],"À migrer",TblApplications[Mois prov (calc)],"&lt;="&amp;$E1232)-SUMIFS(TblApplications[RAM IKS libérable (Go)],TblApplications[Cluster IKS source],$F1232,TblApplications[Action],"À décommissionner",TblApplications[Mois lib (calc)],"&lt;="&amp;$E1232)))))</f>
        <v/>
      </c>
      <c r="Z1232" s="19" t="str">
        <f t="shared" si="332"/>
        <v/>
      </c>
      <c r="AA1232" s="73" t="str">
        <f t="shared" si="333"/>
        <v/>
      </c>
      <c r="AB1232" s="19" t="str">
        <f t="shared" si="334"/>
        <v/>
      </c>
      <c r="AC1232" s="73" t="str">
        <f t="shared" si="335"/>
        <v/>
      </c>
      <c r="AD1232" s="19" t="str">
        <f t="shared" si="336"/>
        <v/>
      </c>
      <c r="AE1232" s="19" t="str">
        <f t="shared" si="337"/>
        <v/>
      </c>
      <c r="AF1232" s="19" t="str">
        <f>IF($D1232&lt;&gt;1,"",IF(INDEX(TblClusters[Environnement],$B1232)="","(vide)",INDEX(TblClusters[Environnement],$B1232)))</f>
        <v/>
      </c>
      <c r="AG1232" s="19" t="str">
        <f t="shared" si="338"/>
        <v/>
      </c>
      <c r="AH1232" s="19" t="str">
        <f t="shared" si="339"/>
        <v/>
      </c>
      <c r="AI1232" s="19" t="str">
        <f>IF($D1232&lt;&gt;1,"",IF(AND($G1232="IKS",ISNUMBER(INDEX(TblClusters[Fermeture retenue],$B1232))),IF($E1232&gt;=INDEX(TblClusters[Fermeture retenue],$B1232),1,0),0))</f>
        <v/>
      </c>
    </row>
    <row r="1233" spans="1:35" x14ac:dyDescent="0.2">
      <c r="A1233" s="19">
        <v>1228</v>
      </c>
      <c r="B1233" s="19">
        <f t="shared" si="323"/>
        <v>35</v>
      </c>
      <c r="C1233" s="19">
        <f t="shared" si="324"/>
        <v>4</v>
      </c>
      <c r="D1233" s="19">
        <f>IF($C1233&gt;p_horizon,0,IFERROR(IF(AND(INDEX(TblClusters[Cluster],$B1233)&lt;&gt;"",ISNUMBER(INDEX(TblClusters[CPU initial (vCPU)],$B1233)),ISNUMBER(INDEX(TblClusters[CPU min (vCPU)],$B1233)),OR(INDEX(TblClusters[Plateforme],$B1233)="IKS",INDEX(TblClusters[Plateforme],$B1233)="ROKS")),1,0),0))</f>
        <v>0</v>
      </c>
      <c r="E1233" s="72" t="str">
        <f t="shared" si="325"/>
        <v/>
      </c>
      <c r="F1233" s="19" t="str">
        <f>IF($D1233=1,INDEX(TblClusters[Cluster],$B1233),"")</f>
        <v/>
      </c>
      <c r="G1233" s="19" t="str">
        <f>IF($D1233=1,INDEX(TblClusters[Plateforme],$B1233),"")</f>
        <v/>
      </c>
      <c r="H1233" s="19" t="str">
        <f>IF($D1233=1,INDEX(TblClusters[vCPU par nœud],$B1233),"")</f>
        <v/>
      </c>
      <c r="I1233" s="19" t="str">
        <f>IF($D1233=1,INDEX(TblClusters[RAM par nœud (Go)],$B1233),"")</f>
        <v/>
      </c>
      <c r="J1233" s="19" t="str">
        <f>IF($D1233=1,INDEX(TblClusters[Workers min],$B1233),"")</f>
        <v/>
      </c>
      <c r="K1233" s="73" t="str">
        <f>IF($D1233=1,INDEX(TblClusters[Tarif par nœud],$B1233),"")</f>
        <v/>
      </c>
      <c r="L1233" s="19" t="str">
        <f>IF($D1233=1,INDEX(TblClusters[CPU initial (vCPU)],$B1233),"")</f>
        <v/>
      </c>
      <c r="M1233" s="19" t="str">
        <f>IF($D1233=1,INDEX(TblClusters[RAM initiale (Go)],$B1233),"")</f>
        <v/>
      </c>
      <c r="N1233" s="19" t="str">
        <f>IF($D1233=1,INDEX(TblClusters[CPU min (vCPU)],$B1233),"")</f>
        <v/>
      </c>
      <c r="O1233" s="19" t="str">
        <f>IF($D1233=1,INDEX(TblClusters[RAM min (Go)],$B1233),"")</f>
        <v/>
      </c>
      <c r="P1233" s="19" t="str">
        <f>IF($D1233&lt;&gt;1,"",IF($G1233="ROKS",SUMIFS(TblApplications[Besoin ROKS CPU (vCPU)],TblApplications[Cluster ROKS cible],$F1233,TblApplications[Action],"À migrer",TblApplications[Déjà incluse ROKS],"Non",TblApplications[Mois prov (calc)],"&lt;="&amp;$E1233),SUMIFS(TblApplications[CPU IKS libérable (vCPU)],TblApplications[Cluster IKS source],$F1233,TblApplications[Mois lib (calc)],"&lt;="&amp;$E1233)))</f>
        <v/>
      </c>
      <c r="Q1233" s="19" t="str">
        <f>IF($D1233&lt;&gt;1,"",IF($G1233="ROKS",SUMIFS(TblApplications[Besoin ROKS RAM (Go)],TblApplications[Cluster ROKS cible],$F1233,TblApplications[Action],"À migrer",TblApplications[Déjà incluse ROKS],"Non",TblApplications[Mois prov (calc)],"&lt;="&amp;$E1233),SUMIFS(TblApplications[RAM IKS libérable (Go)],TblApplications[Cluster IKS source],$F1233,TblApplications[Mois lib (calc)],"&lt;="&amp;$E1233)))</f>
        <v/>
      </c>
      <c r="R1233" s="19" t="str">
        <f t="shared" si="326"/>
        <v/>
      </c>
      <c r="S1233" s="19" t="str">
        <f t="shared" si="327"/>
        <v/>
      </c>
      <c r="T1233" s="19" t="str">
        <f t="shared" si="328"/>
        <v/>
      </c>
      <c r="U1233" s="19" t="str">
        <f t="shared" si="329"/>
        <v/>
      </c>
      <c r="V1233" s="19" t="str">
        <f t="shared" si="330"/>
        <v/>
      </c>
      <c r="W1233" s="73" t="str">
        <f t="shared" si="331"/>
        <v/>
      </c>
      <c r="X1233" s="19" t="str">
        <f>IF($D1233&lt;&gt;1,"",IF($G1233="ROKS",$R1233,IF($AI1233=1,0,MAX($N1233,$L1233-SUMIFS(TblApplications[CPU IKS libérable (vCPU)],TblApplications[Cluster IKS source],$F1233,TblApplications[Action],"À migrer",TblApplications[Mois prov (calc)],"&lt;="&amp;$E1233)-SUMIFS(TblApplications[CPU IKS libérable (vCPU)],TblApplications[Cluster IKS source],$F1233,TblApplications[Action],"À décommissionner",TblApplications[Mois lib (calc)],"&lt;="&amp;$E1233)))))</f>
        <v/>
      </c>
      <c r="Y1233" s="19" t="str">
        <f>IF($D1233&lt;&gt;1,"",IF($G1233="ROKS",$S1233,IF($AI1233=1,0,MAX($O1233,$M1233-SUMIFS(TblApplications[RAM IKS libérable (Go)],TblApplications[Cluster IKS source],$F1233,TblApplications[Action],"À migrer",TblApplications[Mois prov (calc)],"&lt;="&amp;$E1233)-SUMIFS(TblApplications[RAM IKS libérable (Go)],TblApplications[Cluster IKS source],$F1233,TblApplications[Action],"À décommissionner",TblApplications[Mois lib (calc)],"&lt;="&amp;$E1233)))))</f>
        <v/>
      </c>
      <c r="Z1233" s="19" t="str">
        <f t="shared" si="332"/>
        <v/>
      </c>
      <c r="AA1233" s="73" t="str">
        <f t="shared" si="333"/>
        <v/>
      </c>
      <c r="AB1233" s="19" t="str">
        <f t="shared" si="334"/>
        <v/>
      </c>
      <c r="AC1233" s="73" t="str">
        <f t="shared" si="335"/>
        <v/>
      </c>
      <c r="AD1233" s="19" t="str">
        <f t="shared" si="336"/>
        <v/>
      </c>
      <c r="AE1233" s="19" t="str">
        <f t="shared" si="337"/>
        <v/>
      </c>
      <c r="AF1233" s="19" t="str">
        <f>IF($D1233&lt;&gt;1,"",IF(INDEX(TblClusters[Environnement],$B1233)="","(vide)",INDEX(TblClusters[Environnement],$B1233)))</f>
        <v/>
      </c>
      <c r="AG1233" s="19" t="str">
        <f t="shared" si="338"/>
        <v/>
      </c>
      <c r="AH1233" s="19" t="str">
        <f t="shared" si="339"/>
        <v/>
      </c>
      <c r="AI1233" s="19" t="str">
        <f>IF($D1233&lt;&gt;1,"",IF(AND($G1233="IKS",ISNUMBER(INDEX(TblClusters[Fermeture retenue],$B1233))),IF($E1233&gt;=INDEX(TblClusters[Fermeture retenue],$B1233),1,0),0))</f>
        <v/>
      </c>
    </row>
    <row r="1234" spans="1:35" x14ac:dyDescent="0.2">
      <c r="A1234" s="19">
        <v>1229</v>
      </c>
      <c r="B1234" s="19">
        <f t="shared" si="323"/>
        <v>35</v>
      </c>
      <c r="C1234" s="19">
        <f t="shared" si="324"/>
        <v>5</v>
      </c>
      <c r="D1234" s="19">
        <f>IF($C1234&gt;p_horizon,0,IFERROR(IF(AND(INDEX(TblClusters[Cluster],$B1234)&lt;&gt;"",ISNUMBER(INDEX(TblClusters[CPU initial (vCPU)],$B1234)),ISNUMBER(INDEX(TblClusters[CPU min (vCPU)],$B1234)),OR(INDEX(TblClusters[Plateforme],$B1234)="IKS",INDEX(TblClusters[Plateforme],$B1234)="ROKS")),1,0),0))</f>
        <v>0</v>
      </c>
      <c r="E1234" s="72" t="str">
        <f t="shared" si="325"/>
        <v/>
      </c>
      <c r="F1234" s="19" t="str">
        <f>IF($D1234=1,INDEX(TblClusters[Cluster],$B1234),"")</f>
        <v/>
      </c>
      <c r="G1234" s="19" t="str">
        <f>IF($D1234=1,INDEX(TblClusters[Plateforme],$B1234),"")</f>
        <v/>
      </c>
      <c r="H1234" s="19" t="str">
        <f>IF($D1234=1,INDEX(TblClusters[vCPU par nœud],$B1234),"")</f>
        <v/>
      </c>
      <c r="I1234" s="19" t="str">
        <f>IF($D1234=1,INDEX(TblClusters[RAM par nœud (Go)],$B1234),"")</f>
        <v/>
      </c>
      <c r="J1234" s="19" t="str">
        <f>IF($D1234=1,INDEX(TblClusters[Workers min],$B1234),"")</f>
        <v/>
      </c>
      <c r="K1234" s="73" t="str">
        <f>IF($D1234=1,INDEX(TblClusters[Tarif par nœud],$B1234),"")</f>
        <v/>
      </c>
      <c r="L1234" s="19" t="str">
        <f>IF($D1234=1,INDEX(TblClusters[CPU initial (vCPU)],$B1234),"")</f>
        <v/>
      </c>
      <c r="M1234" s="19" t="str">
        <f>IF($D1234=1,INDEX(TblClusters[RAM initiale (Go)],$B1234),"")</f>
        <v/>
      </c>
      <c r="N1234" s="19" t="str">
        <f>IF($D1234=1,INDEX(TblClusters[CPU min (vCPU)],$B1234),"")</f>
        <v/>
      </c>
      <c r="O1234" s="19" t="str">
        <f>IF($D1234=1,INDEX(TblClusters[RAM min (Go)],$B1234),"")</f>
        <v/>
      </c>
      <c r="P1234" s="19" t="str">
        <f>IF($D1234&lt;&gt;1,"",IF($G1234="ROKS",SUMIFS(TblApplications[Besoin ROKS CPU (vCPU)],TblApplications[Cluster ROKS cible],$F1234,TblApplications[Action],"À migrer",TblApplications[Déjà incluse ROKS],"Non",TblApplications[Mois prov (calc)],"&lt;="&amp;$E1234),SUMIFS(TblApplications[CPU IKS libérable (vCPU)],TblApplications[Cluster IKS source],$F1234,TblApplications[Mois lib (calc)],"&lt;="&amp;$E1234)))</f>
        <v/>
      </c>
      <c r="Q1234" s="19" t="str">
        <f>IF($D1234&lt;&gt;1,"",IF($G1234="ROKS",SUMIFS(TblApplications[Besoin ROKS RAM (Go)],TblApplications[Cluster ROKS cible],$F1234,TblApplications[Action],"À migrer",TblApplications[Déjà incluse ROKS],"Non",TblApplications[Mois prov (calc)],"&lt;="&amp;$E1234),SUMIFS(TblApplications[RAM IKS libérable (Go)],TblApplications[Cluster IKS source],$F1234,TblApplications[Mois lib (calc)],"&lt;="&amp;$E1234)))</f>
        <v/>
      </c>
      <c r="R1234" s="19" t="str">
        <f t="shared" si="326"/>
        <v/>
      </c>
      <c r="S1234" s="19" t="str">
        <f t="shared" si="327"/>
        <v/>
      </c>
      <c r="T1234" s="19" t="str">
        <f t="shared" si="328"/>
        <v/>
      </c>
      <c r="U1234" s="19" t="str">
        <f t="shared" si="329"/>
        <v/>
      </c>
      <c r="V1234" s="19" t="str">
        <f t="shared" si="330"/>
        <v/>
      </c>
      <c r="W1234" s="73" t="str">
        <f t="shared" si="331"/>
        <v/>
      </c>
      <c r="X1234" s="19" t="str">
        <f>IF($D1234&lt;&gt;1,"",IF($G1234="ROKS",$R1234,IF($AI1234=1,0,MAX($N1234,$L1234-SUMIFS(TblApplications[CPU IKS libérable (vCPU)],TblApplications[Cluster IKS source],$F1234,TblApplications[Action],"À migrer",TblApplications[Mois prov (calc)],"&lt;="&amp;$E1234)-SUMIFS(TblApplications[CPU IKS libérable (vCPU)],TblApplications[Cluster IKS source],$F1234,TblApplications[Action],"À décommissionner",TblApplications[Mois lib (calc)],"&lt;="&amp;$E1234)))))</f>
        <v/>
      </c>
      <c r="Y1234" s="19" t="str">
        <f>IF($D1234&lt;&gt;1,"",IF($G1234="ROKS",$S1234,IF($AI1234=1,0,MAX($O1234,$M1234-SUMIFS(TblApplications[RAM IKS libérable (Go)],TblApplications[Cluster IKS source],$F1234,TblApplications[Action],"À migrer",TblApplications[Mois prov (calc)],"&lt;="&amp;$E1234)-SUMIFS(TblApplications[RAM IKS libérable (Go)],TblApplications[Cluster IKS source],$F1234,TblApplications[Action],"À décommissionner",TblApplications[Mois lib (calc)],"&lt;="&amp;$E1234)))))</f>
        <v/>
      </c>
      <c r="Z1234" s="19" t="str">
        <f t="shared" si="332"/>
        <v/>
      </c>
      <c r="AA1234" s="73" t="str">
        <f t="shared" si="333"/>
        <v/>
      </c>
      <c r="AB1234" s="19" t="str">
        <f t="shared" si="334"/>
        <v/>
      </c>
      <c r="AC1234" s="73" t="str">
        <f t="shared" si="335"/>
        <v/>
      </c>
      <c r="AD1234" s="19" t="str">
        <f t="shared" si="336"/>
        <v/>
      </c>
      <c r="AE1234" s="19" t="str">
        <f t="shared" si="337"/>
        <v/>
      </c>
      <c r="AF1234" s="19" t="str">
        <f>IF($D1234&lt;&gt;1,"",IF(INDEX(TblClusters[Environnement],$B1234)="","(vide)",INDEX(TblClusters[Environnement],$B1234)))</f>
        <v/>
      </c>
      <c r="AG1234" s="19" t="str">
        <f t="shared" si="338"/>
        <v/>
      </c>
      <c r="AH1234" s="19" t="str">
        <f t="shared" si="339"/>
        <v/>
      </c>
      <c r="AI1234" s="19" t="str">
        <f>IF($D1234&lt;&gt;1,"",IF(AND($G1234="IKS",ISNUMBER(INDEX(TblClusters[Fermeture retenue],$B1234))),IF($E1234&gt;=INDEX(TblClusters[Fermeture retenue],$B1234),1,0),0))</f>
        <v/>
      </c>
    </row>
    <row r="1235" spans="1:35" x14ac:dyDescent="0.2">
      <c r="A1235" s="19">
        <v>1230</v>
      </c>
      <c r="B1235" s="19">
        <f t="shared" si="323"/>
        <v>35</v>
      </c>
      <c r="C1235" s="19">
        <f t="shared" si="324"/>
        <v>6</v>
      </c>
      <c r="D1235" s="19">
        <f>IF($C1235&gt;p_horizon,0,IFERROR(IF(AND(INDEX(TblClusters[Cluster],$B1235)&lt;&gt;"",ISNUMBER(INDEX(TblClusters[CPU initial (vCPU)],$B1235)),ISNUMBER(INDEX(TblClusters[CPU min (vCPU)],$B1235)),OR(INDEX(TblClusters[Plateforme],$B1235)="IKS",INDEX(TblClusters[Plateforme],$B1235)="ROKS")),1,0),0))</f>
        <v>0</v>
      </c>
      <c r="E1235" s="72" t="str">
        <f t="shared" si="325"/>
        <v/>
      </c>
      <c r="F1235" s="19" t="str">
        <f>IF($D1235=1,INDEX(TblClusters[Cluster],$B1235),"")</f>
        <v/>
      </c>
      <c r="G1235" s="19" t="str">
        <f>IF($D1235=1,INDEX(TblClusters[Plateforme],$B1235),"")</f>
        <v/>
      </c>
      <c r="H1235" s="19" t="str">
        <f>IF($D1235=1,INDEX(TblClusters[vCPU par nœud],$B1235),"")</f>
        <v/>
      </c>
      <c r="I1235" s="19" t="str">
        <f>IF($D1235=1,INDEX(TblClusters[RAM par nœud (Go)],$B1235),"")</f>
        <v/>
      </c>
      <c r="J1235" s="19" t="str">
        <f>IF($D1235=1,INDEX(TblClusters[Workers min],$B1235),"")</f>
        <v/>
      </c>
      <c r="K1235" s="73" t="str">
        <f>IF($D1235=1,INDEX(TblClusters[Tarif par nœud],$B1235),"")</f>
        <v/>
      </c>
      <c r="L1235" s="19" t="str">
        <f>IF($D1235=1,INDEX(TblClusters[CPU initial (vCPU)],$B1235),"")</f>
        <v/>
      </c>
      <c r="M1235" s="19" t="str">
        <f>IF($D1235=1,INDEX(TblClusters[RAM initiale (Go)],$B1235),"")</f>
        <v/>
      </c>
      <c r="N1235" s="19" t="str">
        <f>IF($D1235=1,INDEX(TblClusters[CPU min (vCPU)],$B1235),"")</f>
        <v/>
      </c>
      <c r="O1235" s="19" t="str">
        <f>IF($D1235=1,INDEX(TblClusters[RAM min (Go)],$B1235),"")</f>
        <v/>
      </c>
      <c r="P1235" s="19" t="str">
        <f>IF($D1235&lt;&gt;1,"",IF($G1235="ROKS",SUMIFS(TblApplications[Besoin ROKS CPU (vCPU)],TblApplications[Cluster ROKS cible],$F1235,TblApplications[Action],"À migrer",TblApplications[Déjà incluse ROKS],"Non",TblApplications[Mois prov (calc)],"&lt;="&amp;$E1235),SUMIFS(TblApplications[CPU IKS libérable (vCPU)],TblApplications[Cluster IKS source],$F1235,TblApplications[Mois lib (calc)],"&lt;="&amp;$E1235)))</f>
        <v/>
      </c>
      <c r="Q1235" s="19" t="str">
        <f>IF($D1235&lt;&gt;1,"",IF($G1235="ROKS",SUMIFS(TblApplications[Besoin ROKS RAM (Go)],TblApplications[Cluster ROKS cible],$F1235,TblApplications[Action],"À migrer",TblApplications[Déjà incluse ROKS],"Non",TblApplications[Mois prov (calc)],"&lt;="&amp;$E1235),SUMIFS(TblApplications[RAM IKS libérable (Go)],TblApplications[Cluster IKS source],$F1235,TblApplications[Mois lib (calc)],"&lt;="&amp;$E1235)))</f>
        <v/>
      </c>
      <c r="R1235" s="19" t="str">
        <f t="shared" si="326"/>
        <v/>
      </c>
      <c r="S1235" s="19" t="str">
        <f t="shared" si="327"/>
        <v/>
      </c>
      <c r="T1235" s="19" t="str">
        <f t="shared" si="328"/>
        <v/>
      </c>
      <c r="U1235" s="19" t="str">
        <f t="shared" si="329"/>
        <v/>
      </c>
      <c r="V1235" s="19" t="str">
        <f t="shared" si="330"/>
        <v/>
      </c>
      <c r="W1235" s="73" t="str">
        <f t="shared" si="331"/>
        <v/>
      </c>
      <c r="X1235" s="19" t="str">
        <f>IF($D1235&lt;&gt;1,"",IF($G1235="ROKS",$R1235,IF($AI1235=1,0,MAX($N1235,$L1235-SUMIFS(TblApplications[CPU IKS libérable (vCPU)],TblApplications[Cluster IKS source],$F1235,TblApplications[Action],"À migrer",TblApplications[Mois prov (calc)],"&lt;="&amp;$E1235)-SUMIFS(TblApplications[CPU IKS libérable (vCPU)],TblApplications[Cluster IKS source],$F1235,TblApplications[Action],"À décommissionner",TblApplications[Mois lib (calc)],"&lt;="&amp;$E1235)))))</f>
        <v/>
      </c>
      <c r="Y1235" s="19" t="str">
        <f>IF($D1235&lt;&gt;1,"",IF($G1235="ROKS",$S1235,IF($AI1235=1,0,MAX($O1235,$M1235-SUMIFS(TblApplications[RAM IKS libérable (Go)],TblApplications[Cluster IKS source],$F1235,TblApplications[Action],"À migrer",TblApplications[Mois prov (calc)],"&lt;="&amp;$E1235)-SUMIFS(TblApplications[RAM IKS libérable (Go)],TblApplications[Cluster IKS source],$F1235,TblApplications[Action],"À décommissionner",TblApplications[Mois lib (calc)],"&lt;="&amp;$E1235)))))</f>
        <v/>
      </c>
      <c r="Z1235" s="19" t="str">
        <f t="shared" si="332"/>
        <v/>
      </c>
      <c r="AA1235" s="73" t="str">
        <f t="shared" si="333"/>
        <v/>
      </c>
      <c r="AB1235" s="19" t="str">
        <f t="shared" si="334"/>
        <v/>
      </c>
      <c r="AC1235" s="73" t="str">
        <f t="shared" si="335"/>
        <v/>
      </c>
      <c r="AD1235" s="19" t="str">
        <f t="shared" si="336"/>
        <v/>
      </c>
      <c r="AE1235" s="19" t="str">
        <f t="shared" si="337"/>
        <v/>
      </c>
      <c r="AF1235" s="19" t="str">
        <f>IF($D1235&lt;&gt;1,"",IF(INDEX(TblClusters[Environnement],$B1235)="","(vide)",INDEX(TblClusters[Environnement],$B1235)))</f>
        <v/>
      </c>
      <c r="AG1235" s="19" t="str">
        <f t="shared" si="338"/>
        <v/>
      </c>
      <c r="AH1235" s="19" t="str">
        <f t="shared" si="339"/>
        <v/>
      </c>
      <c r="AI1235" s="19" t="str">
        <f>IF($D1235&lt;&gt;1,"",IF(AND($G1235="IKS",ISNUMBER(INDEX(TblClusters[Fermeture retenue],$B1235))),IF($E1235&gt;=INDEX(TblClusters[Fermeture retenue],$B1235),1,0),0))</f>
        <v/>
      </c>
    </row>
    <row r="1236" spans="1:35" x14ac:dyDescent="0.2">
      <c r="A1236" s="19">
        <v>1231</v>
      </c>
      <c r="B1236" s="19">
        <f t="shared" si="323"/>
        <v>35</v>
      </c>
      <c r="C1236" s="19">
        <f t="shared" si="324"/>
        <v>7</v>
      </c>
      <c r="D1236" s="19">
        <f>IF($C1236&gt;p_horizon,0,IFERROR(IF(AND(INDEX(TblClusters[Cluster],$B1236)&lt;&gt;"",ISNUMBER(INDEX(TblClusters[CPU initial (vCPU)],$B1236)),ISNUMBER(INDEX(TblClusters[CPU min (vCPU)],$B1236)),OR(INDEX(TblClusters[Plateforme],$B1236)="IKS",INDEX(TblClusters[Plateforme],$B1236)="ROKS")),1,0),0))</f>
        <v>0</v>
      </c>
      <c r="E1236" s="72" t="str">
        <f t="shared" si="325"/>
        <v/>
      </c>
      <c r="F1236" s="19" t="str">
        <f>IF($D1236=1,INDEX(TblClusters[Cluster],$B1236),"")</f>
        <v/>
      </c>
      <c r="G1236" s="19" t="str">
        <f>IF($D1236=1,INDEX(TblClusters[Plateforme],$B1236),"")</f>
        <v/>
      </c>
      <c r="H1236" s="19" t="str">
        <f>IF($D1236=1,INDEX(TblClusters[vCPU par nœud],$B1236),"")</f>
        <v/>
      </c>
      <c r="I1236" s="19" t="str">
        <f>IF($D1236=1,INDEX(TblClusters[RAM par nœud (Go)],$B1236),"")</f>
        <v/>
      </c>
      <c r="J1236" s="19" t="str">
        <f>IF($D1236=1,INDEX(TblClusters[Workers min],$B1236),"")</f>
        <v/>
      </c>
      <c r="K1236" s="73" t="str">
        <f>IF($D1236=1,INDEX(TblClusters[Tarif par nœud],$B1236),"")</f>
        <v/>
      </c>
      <c r="L1236" s="19" t="str">
        <f>IF($D1236=1,INDEX(TblClusters[CPU initial (vCPU)],$B1236),"")</f>
        <v/>
      </c>
      <c r="M1236" s="19" t="str">
        <f>IF($D1236=1,INDEX(TblClusters[RAM initiale (Go)],$B1236),"")</f>
        <v/>
      </c>
      <c r="N1236" s="19" t="str">
        <f>IF($D1236=1,INDEX(TblClusters[CPU min (vCPU)],$B1236),"")</f>
        <v/>
      </c>
      <c r="O1236" s="19" t="str">
        <f>IF($D1236=1,INDEX(TblClusters[RAM min (Go)],$B1236),"")</f>
        <v/>
      </c>
      <c r="P1236" s="19" t="str">
        <f>IF($D1236&lt;&gt;1,"",IF($G1236="ROKS",SUMIFS(TblApplications[Besoin ROKS CPU (vCPU)],TblApplications[Cluster ROKS cible],$F1236,TblApplications[Action],"À migrer",TblApplications[Déjà incluse ROKS],"Non",TblApplications[Mois prov (calc)],"&lt;="&amp;$E1236),SUMIFS(TblApplications[CPU IKS libérable (vCPU)],TblApplications[Cluster IKS source],$F1236,TblApplications[Mois lib (calc)],"&lt;="&amp;$E1236)))</f>
        <v/>
      </c>
      <c r="Q1236" s="19" t="str">
        <f>IF($D1236&lt;&gt;1,"",IF($G1236="ROKS",SUMIFS(TblApplications[Besoin ROKS RAM (Go)],TblApplications[Cluster ROKS cible],$F1236,TblApplications[Action],"À migrer",TblApplications[Déjà incluse ROKS],"Non",TblApplications[Mois prov (calc)],"&lt;="&amp;$E1236),SUMIFS(TblApplications[RAM IKS libérable (Go)],TblApplications[Cluster IKS source],$F1236,TblApplications[Mois lib (calc)],"&lt;="&amp;$E1236)))</f>
        <v/>
      </c>
      <c r="R1236" s="19" t="str">
        <f t="shared" si="326"/>
        <v/>
      </c>
      <c r="S1236" s="19" t="str">
        <f t="shared" si="327"/>
        <v/>
      </c>
      <c r="T1236" s="19" t="str">
        <f t="shared" si="328"/>
        <v/>
      </c>
      <c r="U1236" s="19" t="str">
        <f t="shared" si="329"/>
        <v/>
      </c>
      <c r="V1236" s="19" t="str">
        <f t="shared" si="330"/>
        <v/>
      </c>
      <c r="W1236" s="73" t="str">
        <f t="shared" si="331"/>
        <v/>
      </c>
      <c r="X1236" s="19" t="str">
        <f>IF($D1236&lt;&gt;1,"",IF($G1236="ROKS",$R1236,IF($AI1236=1,0,MAX($N1236,$L1236-SUMIFS(TblApplications[CPU IKS libérable (vCPU)],TblApplications[Cluster IKS source],$F1236,TblApplications[Action],"À migrer",TblApplications[Mois prov (calc)],"&lt;="&amp;$E1236)-SUMIFS(TblApplications[CPU IKS libérable (vCPU)],TblApplications[Cluster IKS source],$F1236,TblApplications[Action],"À décommissionner",TblApplications[Mois lib (calc)],"&lt;="&amp;$E1236)))))</f>
        <v/>
      </c>
      <c r="Y1236" s="19" t="str">
        <f>IF($D1236&lt;&gt;1,"",IF($G1236="ROKS",$S1236,IF($AI1236=1,0,MAX($O1236,$M1236-SUMIFS(TblApplications[RAM IKS libérable (Go)],TblApplications[Cluster IKS source],$F1236,TblApplications[Action],"À migrer",TblApplications[Mois prov (calc)],"&lt;="&amp;$E1236)-SUMIFS(TblApplications[RAM IKS libérable (Go)],TblApplications[Cluster IKS source],$F1236,TblApplications[Action],"À décommissionner",TblApplications[Mois lib (calc)],"&lt;="&amp;$E1236)))))</f>
        <v/>
      </c>
      <c r="Z1236" s="19" t="str">
        <f t="shared" si="332"/>
        <v/>
      </c>
      <c r="AA1236" s="73" t="str">
        <f t="shared" si="333"/>
        <v/>
      </c>
      <c r="AB1236" s="19" t="str">
        <f t="shared" si="334"/>
        <v/>
      </c>
      <c r="AC1236" s="73" t="str">
        <f t="shared" si="335"/>
        <v/>
      </c>
      <c r="AD1236" s="19" t="str">
        <f t="shared" si="336"/>
        <v/>
      </c>
      <c r="AE1236" s="19" t="str">
        <f t="shared" si="337"/>
        <v/>
      </c>
      <c r="AF1236" s="19" t="str">
        <f>IF($D1236&lt;&gt;1,"",IF(INDEX(TblClusters[Environnement],$B1236)="","(vide)",INDEX(TblClusters[Environnement],$B1236)))</f>
        <v/>
      </c>
      <c r="AG1236" s="19" t="str">
        <f t="shared" si="338"/>
        <v/>
      </c>
      <c r="AH1236" s="19" t="str">
        <f t="shared" si="339"/>
        <v/>
      </c>
      <c r="AI1236" s="19" t="str">
        <f>IF($D1236&lt;&gt;1,"",IF(AND($G1236="IKS",ISNUMBER(INDEX(TblClusters[Fermeture retenue],$B1236))),IF($E1236&gt;=INDEX(TblClusters[Fermeture retenue],$B1236),1,0),0))</f>
        <v/>
      </c>
    </row>
    <row r="1237" spans="1:35" x14ac:dyDescent="0.2">
      <c r="A1237" s="19">
        <v>1232</v>
      </c>
      <c r="B1237" s="19">
        <f t="shared" si="323"/>
        <v>35</v>
      </c>
      <c r="C1237" s="19">
        <f t="shared" si="324"/>
        <v>8</v>
      </c>
      <c r="D1237" s="19">
        <f>IF($C1237&gt;p_horizon,0,IFERROR(IF(AND(INDEX(TblClusters[Cluster],$B1237)&lt;&gt;"",ISNUMBER(INDEX(TblClusters[CPU initial (vCPU)],$B1237)),ISNUMBER(INDEX(TblClusters[CPU min (vCPU)],$B1237)),OR(INDEX(TblClusters[Plateforme],$B1237)="IKS",INDEX(TblClusters[Plateforme],$B1237)="ROKS")),1,0),0))</f>
        <v>0</v>
      </c>
      <c r="E1237" s="72" t="str">
        <f t="shared" si="325"/>
        <v/>
      </c>
      <c r="F1237" s="19" t="str">
        <f>IF($D1237=1,INDEX(TblClusters[Cluster],$B1237),"")</f>
        <v/>
      </c>
      <c r="G1237" s="19" t="str">
        <f>IF($D1237=1,INDEX(TblClusters[Plateforme],$B1237),"")</f>
        <v/>
      </c>
      <c r="H1237" s="19" t="str">
        <f>IF($D1237=1,INDEX(TblClusters[vCPU par nœud],$B1237),"")</f>
        <v/>
      </c>
      <c r="I1237" s="19" t="str">
        <f>IF($D1237=1,INDEX(TblClusters[RAM par nœud (Go)],$B1237),"")</f>
        <v/>
      </c>
      <c r="J1237" s="19" t="str">
        <f>IF($D1237=1,INDEX(TblClusters[Workers min],$B1237),"")</f>
        <v/>
      </c>
      <c r="K1237" s="73" t="str">
        <f>IF($D1237=1,INDEX(TblClusters[Tarif par nœud],$B1237),"")</f>
        <v/>
      </c>
      <c r="L1237" s="19" t="str">
        <f>IF($D1237=1,INDEX(TblClusters[CPU initial (vCPU)],$B1237),"")</f>
        <v/>
      </c>
      <c r="M1237" s="19" t="str">
        <f>IF($D1237=1,INDEX(TblClusters[RAM initiale (Go)],$B1237),"")</f>
        <v/>
      </c>
      <c r="N1237" s="19" t="str">
        <f>IF($D1237=1,INDEX(TblClusters[CPU min (vCPU)],$B1237),"")</f>
        <v/>
      </c>
      <c r="O1237" s="19" t="str">
        <f>IF($D1237=1,INDEX(TblClusters[RAM min (Go)],$B1237),"")</f>
        <v/>
      </c>
      <c r="P1237" s="19" t="str">
        <f>IF($D1237&lt;&gt;1,"",IF($G1237="ROKS",SUMIFS(TblApplications[Besoin ROKS CPU (vCPU)],TblApplications[Cluster ROKS cible],$F1237,TblApplications[Action],"À migrer",TblApplications[Déjà incluse ROKS],"Non",TblApplications[Mois prov (calc)],"&lt;="&amp;$E1237),SUMIFS(TblApplications[CPU IKS libérable (vCPU)],TblApplications[Cluster IKS source],$F1237,TblApplications[Mois lib (calc)],"&lt;="&amp;$E1237)))</f>
        <v/>
      </c>
      <c r="Q1237" s="19" t="str">
        <f>IF($D1237&lt;&gt;1,"",IF($G1237="ROKS",SUMIFS(TblApplications[Besoin ROKS RAM (Go)],TblApplications[Cluster ROKS cible],$F1237,TblApplications[Action],"À migrer",TblApplications[Déjà incluse ROKS],"Non",TblApplications[Mois prov (calc)],"&lt;="&amp;$E1237),SUMIFS(TblApplications[RAM IKS libérable (Go)],TblApplications[Cluster IKS source],$F1237,TblApplications[Mois lib (calc)],"&lt;="&amp;$E1237)))</f>
        <v/>
      </c>
      <c r="R1237" s="19" t="str">
        <f t="shared" si="326"/>
        <v/>
      </c>
      <c r="S1237" s="19" t="str">
        <f t="shared" si="327"/>
        <v/>
      </c>
      <c r="T1237" s="19" t="str">
        <f t="shared" si="328"/>
        <v/>
      </c>
      <c r="U1237" s="19" t="str">
        <f t="shared" si="329"/>
        <v/>
      </c>
      <c r="V1237" s="19" t="str">
        <f t="shared" si="330"/>
        <v/>
      </c>
      <c r="W1237" s="73" t="str">
        <f t="shared" si="331"/>
        <v/>
      </c>
      <c r="X1237" s="19" t="str">
        <f>IF($D1237&lt;&gt;1,"",IF($G1237="ROKS",$R1237,IF($AI1237=1,0,MAX($N1237,$L1237-SUMIFS(TblApplications[CPU IKS libérable (vCPU)],TblApplications[Cluster IKS source],$F1237,TblApplications[Action],"À migrer",TblApplications[Mois prov (calc)],"&lt;="&amp;$E1237)-SUMIFS(TblApplications[CPU IKS libérable (vCPU)],TblApplications[Cluster IKS source],$F1237,TblApplications[Action],"À décommissionner",TblApplications[Mois lib (calc)],"&lt;="&amp;$E1237)))))</f>
        <v/>
      </c>
      <c r="Y1237" s="19" t="str">
        <f>IF($D1237&lt;&gt;1,"",IF($G1237="ROKS",$S1237,IF($AI1237=1,0,MAX($O1237,$M1237-SUMIFS(TblApplications[RAM IKS libérable (Go)],TblApplications[Cluster IKS source],$F1237,TblApplications[Action],"À migrer",TblApplications[Mois prov (calc)],"&lt;="&amp;$E1237)-SUMIFS(TblApplications[RAM IKS libérable (Go)],TblApplications[Cluster IKS source],$F1237,TblApplications[Action],"À décommissionner",TblApplications[Mois lib (calc)],"&lt;="&amp;$E1237)))))</f>
        <v/>
      </c>
      <c r="Z1237" s="19" t="str">
        <f t="shared" si="332"/>
        <v/>
      </c>
      <c r="AA1237" s="73" t="str">
        <f t="shared" si="333"/>
        <v/>
      </c>
      <c r="AB1237" s="19" t="str">
        <f t="shared" si="334"/>
        <v/>
      </c>
      <c r="AC1237" s="73" t="str">
        <f t="shared" si="335"/>
        <v/>
      </c>
      <c r="AD1237" s="19" t="str">
        <f t="shared" si="336"/>
        <v/>
      </c>
      <c r="AE1237" s="19" t="str">
        <f t="shared" si="337"/>
        <v/>
      </c>
      <c r="AF1237" s="19" t="str">
        <f>IF($D1237&lt;&gt;1,"",IF(INDEX(TblClusters[Environnement],$B1237)="","(vide)",INDEX(TblClusters[Environnement],$B1237)))</f>
        <v/>
      </c>
      <c r="AG1237" s="19" t="str">
        <f t="shared" si="338"/>
        <v/>
      </c>
      <c r="AH1237" s="19" t="str">
        <f t="shared" si="339"/>
        <v/>
      </c>
      <c r="AI1237" s="19" t="str">
        <f>IF($D1237&lt;&gt;1,"",IF(AND($G1237="IKS",ISNUMBER(INDEX(TblClusters[Fermeture retenue],$B1237))),IF($E1237&gt;=INDEX(TblClusters[Fermeture retenue],$B1237),1,0),0))</f>
        <v/>
      </c>
    </row>
    <row r="1238" spans="1:35" x14ac:dyDescent="0.2">
      <c r="A1238" s="19">
        <v>1233</v>
      </c>
      <c r="B1238" s="19">
        <f t="shared" si="323"/>
        <v>35</v>
      </c>
      <c r="C1238" s="19">
        <f t="shared" si="324"/>
        <v>9</v>
      </c>
      <c r="D1238" s="19">
        <f>IF($C1238&gt;p_horizon,0,IFERROR(IF(AND(INDEX(TblClusters[Cluster],$B1238)&lt;&gt;"",ISNUMBER(INDEX(TblClusters[CPU initial (vCPU)],$B1238)),ISNUMBER(INDEX(TblClusters[CPU min (vCPU)],$B1238)),OR(INDEX(TblClusters[Plateforme],$B1238)="IKS",INDEX(TblClusters[Plateforme],$B1238)="ROKS")),1,0),0))</f>
        <v>0</v>
      </c>
      <c r="E1238" s="72" t="str">
        <f t="shared" si="325"/>
        <v/>
      </c>
      <c r="F1238" s="19" t="str">
        <f>IF($D1238=1,INDEX(TblClusters[Cluster],$B1238),"")</f>
        <v/>
      </c>
      <c r="G1238" s="19" t="str">
        <f>IF($D1238=1,INDEX(TblClusters[Plateforme],$B1238),"")</f>
        <v/>
      </c>
      <c r="H1238" s="19" t="str">
        <f>IF($D1238=1,INDEX(TblClusters[vCPU par nœud],$B1238),"")</f>
        <v/>
      </c>
      <c r="I1238" s="19" t="str">
        <f>IF($D1238=1,INDEX(TblClusters[RAM par nœud (Go)],$B1238),"")</f>
        <v/>
      </c>
      <c r="J1238" s="19" t="str">
        <f>IF($D1238=1,INDEX(TblClusters[Workers min],$B1238),"")</f>
        <v/>
      </c>
      <c r="K1238" s="73" t="str">
        <f>IF($D1238=1,INDEX(TblClusters[Tarif par nœud],$B1238),"")</f>
        <v/>
      </c>
      <c r="L1238" s="19" t="str">
        <f>IF($D1238=1,INDEX(TblClusters[CPU initial (vCPU)],$B1238),"")</f>
        <v/>
      </c>
      <c r="M1238" s="19" t="str">
        <f>IF($D1238=1,INDEX(TblClusters[RAM initiale (Go)],$B1238),"")</f>
        <v/>
      </c>
      <c r="N1238" s="19" t="str">
        <f>IF($D1238=1,INDEX(TblClusters[CPU min (vCPU)],$B1238),"")</f>
        <v/>
      </c>
      <c r="O1238" s="19" t="str">
        <f>IF($D1238=1,INDEX(TblClusters[RAM min (Go)],$B1238),"")</f>
        <v/>
      </c>
      <c r="P1238" s="19" t="str">
        <f>IF($D1238&lt;&gt;1,"",IF($G1238="ROKS",SUMIFS(TblApplications[Besoin ROKS CPU (vCPU)],TblApplications[Cluster ROKS cible],$F1238,TblApplications[Action],"À migrer",TblApplications[Déjà incluse ROKS],"Non",TblApplications[Mois prov (calc)],"&lt;="&amp;$E1238),SUMIFS(TblApplications[CPU IKS libérable (vCPU)],TblApplications[Cluster IKS source],$F1238,TblApplications[Mois lib (calc)],"&lt;="&amp;$E1238)))</f>
        <v/>
      </c>
      <c r="Q1238" s="19" t="str">
        <f>IF($D1238&lt;&gt;1,"",IF($G1238="ROKS",SUMIFS(TblApplications[Besoin ROKS RAM (Go)],TblApplications[Cluster ROKS cible],$F1238,TblApplications[Action],"À migrer",TblApplications[Déjà incluse ROKS],"Non",TblApplications[Mois prov (calc)],"&lt;="&amp;$E1238),SUMIFS(TblApplications[RAM IKS libérable (Go)],TblApplications[Cluster IKS source],$F1238,TblApplications[Mois lib (calc)],"&lt;="&amp;$E1238)))</f>
        <v/>
      </c>
      <c r="R1238" s="19" t="str">
        <f t="shared" si="326"/>
        <v/>
      </c>
      <c r="S1238" s="19" t="str">
        <f t="shared" si="327"/>
        <v/>
      </c>
      <c r="T1238" s="19" t="str">
        <f t="shared" si="328"/>
        <v/>
      </c>
      <c r="U1238" s="19" t="str">
        <f t="shared" si="329"/>
        <v/>
      </c>
      <c r="V1238" s="19" t="str">
        <f t="shared" si="330"/>
        <v/>
      </c>
      <c r="W1238" s="73" t="str">
        <f t="shared" si="331"/>
        <v/>
      </c>
      <c r="X1238" s="19" t="str">
        <f>IF($D1238&lt;&gt;1,"",IF($G1238="ROKS",$R1238,IF($AI1238=1,0,MAX($N1238,$L1238-SUMIFS(TblApplications[CPU IKS libérable (vCPU)],TblApplications[Cluster IKS source],$F1238,TblApplications[Action],"À migrer",TblApplications[Mois prov (calc)],"&lt;="&amp;$E1238)-SUMIFS(TblApplications[CPU IKS libérable (vCPU)],TblApplications[Cluster IKS source],$F1238,TblApplications[Action],"À décommissionner",TblApplications[Mois lib (calc)],"&lt;="&amp;$E1238)))))</f>
        <v/>
      </c>
      <c r="Y1238" s="19" t="str">
        <f>IF($D1238&lt;&gt;1,"",IF($G1238="ROKS",$S1238,IF($AI1238=1,0,MAX($O1238,$M1238-SUMIFS(TblApplications[RAM IKS libérable (Go)],TblApplications[Cluster IKS source],$F1238,TblApplications[Action],"À migrer",TblApplications[Mois prov (calc)],"&lt;="&amp;$E1238)-SUMIFS(TblApplications[RAM IKS libérable (Go)],TblApplications[Cluster IKS source],$F1238,TblApplications[Action],"À décommissionner",TblApplications[Mois lib (calc)],"&lt;="&amp;$E1238)))))</f>
        <v/>
      </c>
      <c r="Z1238" s="19" t="str">
        <f t="shared" si="332"/>
        <v/>
      </c>
      <c r="AA1238" s="73" t="str">
        <f t="shared" si="333"/>
        <v/>
      </c>
      <c r="AB1238" s="19" t="str">
        <f t="shared" si="334"/>
        <v/>
      </c>
      <c r="AC1238" s="73" t="str">
        <f t="shared" si="335"/>
        <v/>
      </c>
      <c r="AD1238" s="19" t="str">
        <f t="shared" si="336"/>
        <v/>
      </c>
      <c r="AE1238" s="19" t="str">
        <f t="shared" si="337"/>
        <v/>
      </c>
      <c r="AF1238" s="19" t="str">
        <f>IF($D1238&lt;&gt;1,"",IF(INDEX(TblClusters[Environnement],$B1238)="","(vide)",INDEX(TblClusters[Environnement],$B1238)))</f>
        <v/>
      </c>
      <c r="AG1238" s="19" t="str">
        <f t="shared" si="338"/>
        <v/>
      </c>
      <c r="AH1238" s="19" t="str">
        <f t="shared" si="339"/>
        <v/>
      </c>
      <c r="AI1238" s="19" t="str">
        <f>IF($D1238&lt;&gt;1,"",IF(AND($G1238="IKS",ISNUMBER(INDEX(TblClusters[Fermeture retenue],$B1238))),IF($E1238&gt;=INDEX(TblClusters[Fermeture retenue],$B1238),1,0),0))</f>
        <v/>
      </c>
    </row>
    <row r="1239" spans="1:35" x14ac:dyDescent="0.2">
      <c r="A1239" s="19">
        <v>1234</v>
      </c>
      <c r="B1239" s="19">
        <f t="shared" si="323"/>
        <v>35</v>
      </c>
      <c r="C1239" s="19">
        <f t="shared" si="324"/>
        <v>10</v>
      </c>
      <c r="D1239" s="19">
        <f>IF($C1239&gt;p_horizon,0,IFERROR(IF(AND(INDEX(TblClusters[Cluster],$B1239)&lt;&gt;"",ISNUMBER(INDEX(TblClusters[CPU initial (vCPU)],$B1239)),ISNUMBER(INDEX(TblClusters[CPU min (vCPU)],$B1239)),OR(INDEX(TblClusters[Plateforme],$B1239)="IKS",INDEX(TblClusters[Plateforme],$B1239)="ROKS")),1,0),0))</f>
        <v>0</v>
      </c>
      <c r="E1239" s="72" t="str">
        <f t="shared" si="325"/>
        <v/>
      </c>
      <c r="F1239" s="19" t="str">
        <f>IF($D1239=1,INDEX(TblClusters[Cluster],$B1239),"")</f>
        <v/>
      </c>
      <c r="G1239" s="19" t="str">
        <f>IF($D1239=1,INDEX(TblClusters[Plateforme],$B1239),"")</f>
        <v/>
      </c>
      <c r="H1239" s="19" t="str">
        <f>IF($D1239=1,INDEX(TblClusters[vCPU par nœud],$B1239),"")</f>
        <v/>
      </c>
      <c r="I1239" s="19" t="str">
        <f>IF($D1239=1,INDEX(TblClusters[RAM par nœud (Go)],$B1239),"")</f>
        <v/>
      </c>
      <c r="J1239" s="19" t="str">
        <f>IF($D1239=1,INDEX(TblClusters[Workers min],$B1239),"")</f>
        <v/>
      </c>
      <c r="K1239" s="73" t="str">
        <f>IF($D1239=1,INDEX(TblClusters[Tarif par nœud],$B1239),"")</f>
        <v/>
      </c>
      <c r="L1239" s="19" t="str">
        <f>IF($D1239=1,INDEX(TblClusters[CPU initial (vCPU)],$B1239),"")</f>
        <v/>
      </c>
      <c r="M1239" s="19" t="str">
        <f>IF($D1239=1,INDEX(TblClusters[RAM initiale (Go)],$B1239),"")</f>
        <v/>
      </c>
      <c r="N1239" s="19" t="str">
        <f>IF($D1239=1,INDEX(TblClusters[CPU min (vCPU)],$B1239),"")</f>
        <v/>
      </c>
      <c r="O1239" s="19" t="str">
        <f>IF($D1239=1,INDEX(TblClusters[RAM min (Go)],$B1239),"")</f>
        <v/>
      </c>
      <c r="P1239" s="19" t="str">
        <f>IF($D1239&lt;&gt;1,"",IF($G1239="ROKS",SUMIFS(TblApplications[Besoin ROKS CPU (vCPU)],TblApplications[Cluster ROKS cible],$F1239,TblApplications[Action],"À migrer",TblApplications[Déjà incluse ROKS],"Non",TblApplications[Mois prov (calc)],"&lt;="&amp;$E1239),SUMIFS(TblApplications[CPU IKS libérable (vCPU)],TblApplications[Cluster IKS source],$F1239,TblApplications[Mois lib (calc)],"&lt;="&amp;$E1239)))</f>
        <v/>
      </c>
      <c r="Q1239" s="19" t="str">
        <f>IF($D1239&lt;&gt;1,"",IF($G1239="ROKS",SUMIFS(TblApplications[Besoin ROKS RAM (Go)],TblApplications[Cluster ROKS cible],$F1239,TblApplications[Action],"À migrer",TblApplications[Déjà incluse ROKS],"Non",TblApplications[Mois prov (calc)],"&lt;="&amp;$E1239),SUMIFS(TblApplications[RAM IKS libérable (Go)],TblApplications[Cluster IKS source],$F1239,TblApplications[Mois lib (calc)],"&lt;="&amp;$E1239)))</f>
        <v/>
      </c>
      <c r="R1239" s="19" t="str">
        <f t="shared" si="326"/>
        <v/>
      </c>
      <c r="S1239" s="19" t="str">
        <f t="shared" si="327"/>
        <v/>
      </c>
      <c r="T1239" s="19" t="str">
        <f t="shared" si="328"/>
        <v/>
      </c>
      <c r="U1239" s="19" t="str">
        <f t="shared" si="329"/>
        <v/>
      </c>
      <c r="V1239" s="19" t="str">
        <f t="shared" si="330"/>
        <v/>
      </c>
      <c r="W1239" s="73" t="str">
        <f t="shared" si="331"/>
        <v/>
      </c>
      <c r="X1239" s="19" t="str">
        <f>IF($D1239&lt;&gt;1,"",IF($G1239="ROKS",$R1239,IF($AI1239=1,0,MAX($N1239,$L1239-SUMIFS(TblApplications[CPU IKS libérable (vCPU)],TblApplications[Cluster IKS source],$F1239,TblApplications[Action],"À migrer",TblApplications[Mois prov (calc)],"&lt;="&amp;$E1239)-SUMIFS(TblApplications[CPU IKS libérable (vCPU)],TblApplications[Cluster IKS source],$F1239,TblApplications[Action],"À décommissionner",TblApplications[Mois lib (calc)],"&lt;="&amp;$E1239)))))</f>
        <v/>
      </c>
      <c r="Y1239" s="19" t="str">
        <f>IF($D1239&lt;&gt;1,"",IF($G1239="ROKS",$S1239,IF($AI1239=1,0,MAX($O1239,$M1239-SUMIFS(TblApplications[RAM IKS libérable (Go)],TblApplications[Cluster IKS source],$F1239,TblApplications[Action],"À migrer",TblApplications[Mois prov (calc)],"&lt;="&amp;$E1239)-SUMIFS(TblApplications[RAM IKS libérable (Go)],TblApplications[Cluster IKS source],$F1239,TblApplications[Action],"À décommissionner",TblApplications[Mois lib (calc)],"&lt;="&amp;$E1239)))))</f>
        <v/>
      </c>
      <c r="Z1239" s="19" t="str">
        <f t="shared" si="332"/>
        <v/>
      </c>
      <c r="AA1239" s="73" t="str">
        <f t="shared" si="333"/>
        <v/>
      </c>
      <c r="AB1239" s="19" t="str">
        <f t="shared" si="334"/>
        <v/>
      </c>
      <c r="AC1239" s="73" t="str">
        <f t="shared" si="335"/>
        <v/>
      </c>
      <c r="AD1239" s="19" t="str">
        <f t="shared" si="336"/>
        <v/>
      </c>
      <c r="AE1239" s="19" t="str">
        <f t="shared" si="337"/>
        <v/>
      </c>
      <c r="AF1239" s="19" t="str">
        <f>IF($D1239&lt;&gt;1,"",IF(INDEX(TblClusters[Environnement],$B1239)="","(vide)",INDEX(TblClusters[Environnement],$B1239)))</f>
        <v/>
      </c>
      <c r="AG1239" s="19" t="str">
        <f t="shared" si="338"/>
        <v/>
      </c>
      <c r="AH1239" s="19" t="str">
        <f t="shared" si="339"/>
        <v/>
      </c>
      <c r="AI1239" s="19" t="str">
        <f>IF($D1239&lt;&gt;1,"",IF(AND($G1239="IKS",ISNUMBER(INDEX(TblClusters[Fermeture retenue],$B1239))),IF($E1239&gt;=INDEX(TblClusters[Fermeture retenue],$B1239),1,0),0))</f>
        <v/>
      </c>
    </row>
    <row r="1240" spans="1:35" x14ac:dyDescent="0.2">
      <c r="A1240" s="19">
        <v>1235</v>
      </c>
      <c r="B1240" s="19">
        <f t="shared" si="323"/>
        <v>35</v>
      </c>
      <c r="C1240" s="19">
        <f t="shared" si="324"/>
        <v>11</v>
      </c>
      <c r="D1240" s="19">
        <f>IF($C1240&gt;p_horizon,0,IFERROR(IF(AND(INDEX(TblClusters[Cluster],$B1240)&lt;&gt;"",ISNUMBER(INDEX(TblClusters[CPU initial (vCPU)],$B1240)),ISNUMBER(INDEX(TblClusters[CPU min (vCPU)],$B1240)),OR(INDEX(TblClusters[Plateforme],$B1240)="IKS",INDEX(TblClusters[Plateforme],$B1240)="ROKS")),1,0),0))</f>
        <v>0</v>
      </c>
      <c r="E1240" s="72" t="str">
        <f t="shared" si="325"/>
        <v/>
      </c>
      <c r="F1240" s="19" t="str">
        <f>IF($D1240=1,INDEX(TblClusters[Cluster],$B1240),"")</f>
        <v/>
      </c>
      <c r="G1240" s="19" t="str">
        <f>IF($D1240=1,INDEX(TblClusters[Plateforme],$B1240),"")</f>
        <v/>
      </c>
      <c r="H1240" s="19" t="str">
        <f>IF($D1240=1,INDEX(TblClusters[vCPU par nœud],$B1240),"")</f>
        <v/>
      </c>
      <c r="I1240" s="19" t="str">
        <f>IF($D1240=1,INDEX(TblClusters[RAM par nœud (Go)],$B1240),"")</f>
        <v/>
      </c>
      <c r="J1240" s="19" t="str">
        <f>IF($D1240=1,INDEX(TblClusters[Workers min],$B1240),"")</f>
        <v/>
      </c>
      <c r="K1240" s="73" t="str">
        <f>IF($D1240=1,INDEX(TblClusters[Tarif par nœud],$B1240),"")</f>
        <v/>
      </c>
      <c r="L1240" s="19" t="str">
        <f>IF($D1240=1,INDEX(TblClusters[CPU initial (vCPU)],$B1240),"")</f>
        <v/>
      </c>
      <c r="M1240" s="19" t="str">
        <f>IF($D1240=1,INDEX(TblClusters[RAM initiale (Go)],$B1240),"")</f>
        <v/>
      </c>
      <c r="N1240" s="19" t="str">
        <f>IF($D1240=1,INDEX(TblClusters[CPU min (vCPU)],$B1240),"")</f>
        <v/>
      </c>
      <c r="O1240" s="19" t="str">
        <f>IF($D1240=1,INDEX(TblClusters[RAM min (Go)],$B1240),"")</f>
        <v/>
      </c>
      <c r="P1240" s="19" t="str">
        <f>IF($D1240&lt;&gt;1,"",IF($G1240="ROKS",SUMIFS(TblApplications[Besoin ROKS CPU (vCPU)],TblApplications[Cluster ROKS cible],$F1240,TblApplications[Action],"À migrer",TblApplications[Déjà incluse ROKS],"Non",TblApplications[Mois prov (calc)],"&lt;="&amp;$E1240),SUMIFS(TblApplications[CPU IKS libérable (vCPU)],TblApplications[Cluster IKS source],$F1240,TblApplications[Mois lib (calc)],"&lt;="&amp;$E1240)))</f>
        <v/>
      </c>
      <c r="Q1240" s="19" t="str">
        <f>IF($D1240&lt;&gt;1,"",IF($G1240="ROKS",SUMIFS(TblApplications[Besoin ROKS RAM (Go)],TblApplications[Cluster ROKS cible],$F1240,TblApplications[Action],"À migrer",TblApplications[Déjà incluse ROKS],"Non",TblApplications[Mois prov (calc)],"&lt;="&amp;$E1240),SUMIFS(TblApplications[RAM IKS libérable (Go)],TblApplications[Cluster IKS source],$F1240,TblApplications[Mois lib (calc)],"&lt;="&amp;$E1240)))</f>
        <v/>
      </c>
      <c r="R1240" s="19" t="str">
        <f t="shared" si="326"/>
        <v/>
      </c>
      <c r="S1240" s="19" t="str">
        <f t="shared" si="327"/>
        <v/>
      </c>
      <c r="T1240" s="19" t="str">
        <f t="shared" si="328"/>
        <v/>
      </c>
      <c r="U1240" s="19" t="str">
        <f t="shared" si="329"/>
        <v/>
      </c>
      <c r="V1240" s="19" t="str">
        <f t="shared" si="330"/>
        <v/>
      </c>
      <c r="W1240" s="73" t="str">
        <f t="shared" si="331"/>
        <v/>
      </c>
      <c r="X1240" s="19" t="str">
        <f>IF($D1240&lt;&gt;1,"",IF($G1240="ROKS",$R1240,IF($AI1240=1,0,MAX($N1240,$L1240-SUMIFS(TblApplications[CPU IKS libérable (vCPU)],TblApplications[Cluster IKS source],$F1240,TblApplications[Action],"À migrer",TblApplications[Mois prov (calc)],"&lt;="&amp;$E1240)-SUMIFS(TblApplications[CPU IKS libérable (vCPU)],TblApplications[Cluster IKS source],$F1240,TblApplications[Action],"À décommissionner",TblApplications[Mois lib (calc)],"&lt;="&amp;$E1240)))))</f>
        <v/>
      </c>
      <c r="Y1240" s="19" t="str">
        <f>IF($D1240&lt;&gt;1,"",IF($G1240="ROKS",$S1240,IF($AI1240=1,0,MAX($O1240,$M1240-SUMIFS(TblApplications[RAM IKS libérable (Go)],TblApplications[Cluster IKS source],$F1240,TblApplications[Action],"À migrer",TblApplications[Mois prov (calc)],"&lt;="&amp;$E1240)-SUMIFS(TblApplications[RAM IKS libérable (Go)],TblApplications[Cluster IKS source],$F1240,TblApplications[Action],"À décommissionner",TblApplications[Mois lib (calc)],"&lt;="&amp;$E1240)))))</f>
        <v/>
      </c>
      <c r="Z1240" s="19" t="str">
        <f t="shared" si="332"/>
        <v/>
      </c>
      <c r="AA1240" s="73" t="str">
        <f t="shared" si="333"/>
        <v/>
      </c>
      <c r="AB1240" s="19" t="str">
        <f t="shared" si="334"/>
        <v/>
      </c>
      <c r="AC1240" s="73" t="str">
        <f t="shared" si="335"/>
        <v/>
      </c>
      <c r="AD1240" s="19" t="str">
        <f t="shared" si="336"/>
        <v/>
      </c>
      <c r="AE1240" s="19" t="str">
        <f t="shared" si="337"/>
        <v/>
      </c>
      <c r="AF1240" s="19" t="str">
        <f>IF($D1240&lt;&gt;1,"",IF(INDEX(TblClusters[Environnement],$B1240)="","(vide)",INDEX(TblClusters[Environnement],$B1240)))</f>
        <v/>
      </c>
      <c r="AG1240" s="19" t="str">
        <f t="shared" si="338"/>
        <v/>
      </c>
      <c r="AH1240" s="19" t="str">
        <f t="shared" si="339"/>
        <v/>
      </c>
      <c r="AI1240" s="19" t="str">
        <f>IF($D1240&lt;&gt;1,"",IF(AND($G1240="IKS",ISNUMBER(INDEX(TblClusters[Fermeture retenue],$B1240))),IF($E1240&gt;=INDEX(TblClusters[Fermeture retenue],$B1240),1,0),0))</f>
        <v/>
      </c>
    </row>
    <row r="1241" spans="1:35" x14ac:dyDescent="0.2">
      <c r="A1241" s="19">
        <v>1236</v>
      </c>
      <c r="B1241" s="19">
        <f t="shared" si="323"/>
        <v>35</v>
      </c>
      <c r="C1241" s="19">
        <f t="shared" si="324"/>
        <v>12</v>
      </c>
      <c r="D1241" s="19">
        <f>IF($C1241&gt;p_horizon,0,IFERROR(IF(AND(INDEX(TblClusters[Cluster],$B1241)&lt;&gt;"",ISNUMBER(INDEX(TblClusters[CPU initial (vCPU)],$B1241)),ISNUMBER(INDEX(TblClusters[CPU min (vCPU)],$B1241)),OR(INDEX(TblClusters[Plateforme],$B1241)="IKS",INDEX(TblClusters[Plateforme],$B1241)="ROKS")),1,0),0))</f>
        <v>0</v>
      </c>
      <c r="E1241" s="72" t="str">
        <f t="shared" si="325"/>
        <v/>
      </c>
      <c r="F1241" s="19" t="str">
        <f>IF($D1241=1,INDEX(TblClusters[Cluster],$B1241),"")</f>
        <v/>
      </c>
      <c r="G1241" s="19" t="str">
        <f>IF($D1241=1,INDEX(TblClusters[Plateforme],$B1241),"")</f>
        <v/>
      </c>
      <c r="H1241" s="19" t="str">
        <f>IF($D1241=1,INDEX(TblClusters[vCPU par nœud],$B1241),"")</f>
        <v/>
      </c>
      <c r="I1241" s="19" t="str">
        <f>IF($D1241=1,INDEX(TblClusters[RAM par nœud (Go)],$B1241),"")</f>
        <v/>
      </c>
      <c r="J1241" s="19" t="str">
        <f>IF($D1241=1,INDEX(TblClusters[Workers min],$B1241),"")</f>
        <v/>
      </c>
      <c r="K1241" s="73" t="str">
        <f>IF($D1241=1,INDEX(TblClusters[Tarif par nœud],$B1241),"")</f>
        <v/>
      </c>
      <c r="L1241" s="19" t="str">
        <f>IF($D1241=1,INDEX(TblClusters[CPU initial (vCPU)],$B1241),"")</f>
        <v/>
      </c>
      <c r="M1241" s="19" t="str">
        <f>IF($D1241=1,INDEX(TblClusters[RAM initiale (Go)],$B1241),"")</f>
        <v/>
      </c>
      <c r="N1241" s="19" t="str">
        <f>IF($D1241=1,INDEX(TblClusters[CPU min (vCPU)],$B1241),"")</f>
        <v/>
      </c>
      <c r="O1241" s="19" t="str">
        <f>IF($D1241=1,INDEX(TblClusters[RAM min (Go)],$B1241),"")</f>
        <v/>
      </c>
      <c r="P1241" s="19" t="str">
        <f>IF($D1241&lt;&gt;1,"",IF($G1241="ROKS",SUMIFS(TblApplications[Besoin ROKS CPU (vCPU)],TblApplications[Cluster ROKS cible],$F1241,TblApplications[Action],"À migrer",TblApplications[Déjà incluse ROKS],"Non",TblApplications[Mois prov (calc)],"&lt;="&amp;$E1241),SUMIFS(TblApplications[CPU IKS libérable (vCPU)],TblApplications[Cluster IKS source],$F1241,TblApplications[Mois lib (calc)],"&lt;="&amp;$E1241)))</f>
        <v/>
      </c>
      <c r="Q1241" s="19" t="str">
        <f>IF($D1241&lt;&gt;1,"",IF($G1241="ROKS",SUMIFS(TblApplications[Besoin ROKS RAM (Go)],TblApplications[Cluster ROKS cible],$F1241,TblApplications[Action],"À migrer",TblApplications[Déjà incluse ROKS],"Non",TblApplications[Mois prov (calc)],"&lt;="&amp;$E1241),SUMIFS(TblApplications[RAM IKS libérable (Go)],TblApplications[Cluster IKS source],$F1241,TblApplications[Mois lib (calc)],"&lt;="&amp;$E1241)))</f>
        <v/>
      </c>
      <c r="R1241" s="19" t="str">
        <f t="shared" si="326"/>
        <v/>
      </c>
      <c r="S1241" s="19" t="str">
        <f t="shared" si="327"/>
        <v/>
      </c>
      <c r="T1241" s="19" t="str">
        <f t="shared" si="328"/>
        <v/>
      </c>
      <c r="U1241" s="19" t="str">
        <f t="shared" si="329"/>
        <v/>
      </c>
      <c r="V1241" s="19" t="str">
        <f t="shared" si="330"/>
        <v/>
      </c>
      <c r="W1241" s="73" t="str">
        <f t="shared" si="331"/>
        <v/>
      </c>
      <c r="X1241" s="19" t="str">
        <f>IF($D1241&lt;&gt;1,"",IF($G1241="ROKS",$R1241,IF($AI1241=1,0,MAX($N1241,$L1241-SUMIFS(TblApplications[CPU IKS libérable (vCPU)],TblApplications[Cluster IKS source],$F1241,TblApplications[Action],"À migrer",TblApplications[Mois prov (calc)],"&lt;="&amp;$E1241)-SUMIFS(TblApplications[CPU IKS libérable (vCPU)],TblApplications[Cluster IKS source],$F1241,TblApplications[Action],"À décommissionner",TblApplications[Mois lib (calc)],"&lt;="&amp;$E1241)))))</f>
        <v/>
      </c>
      <c r="Y1241" s="19" t="str">
        <f>IF($D1241&lt;&gt;1,"",IF($G1241="ROKS",$S1241,IF($AI1241=1,0,MAX($O1241,$M1241-SUMIFS(TblApplications[RAM IKS libérable (Go)],TblApplications[Cluster IKS source],$F1241,TblApplications[Action],"À migrer",TblApplications[Mois prov (calc)],"&lt;="&amp;$E1241)-SUMIFS(TblApplications[RAM IKS libérable (Go)],TblApplications[Cluster IKS source],$F1241,TblApplications[Action],"À décommissionner",TblApplications[Mois lib (calc)],"&lt;="&amp;$E1241)))))</f>
        <v/>
      </c>
      <c r="Z1241" s="19" t="str">
        <f t="shared" si="332"/>
        <v/>
      </c>
      <c r="AA1241" s="73" t="str">
        <f t="shared" si="333"/>
        <v/>
      </c>
      <c r="AB1241" s="19" t="str">
        <f t="shared" si="334"/>
        <v/>
      </c>
      <c r="AC1241" s="73" t="str">
        <f t="shared" si="335"/>
        <v/>
      </c>
      <c r="AD1241" s="19" t="str">
        <f t="shared" si="336"/>
        <v/>
      </c>
      <c r="AE1241" s="19" t="str">
        <f t="shared" si="337"/>
        <v/>
      </c>
      <c r="AF1241" s="19" t="str">
        <f>IF($D1241&lt;&gt;1,"",IF(INDEX(TblClusters[Environnement],$B1241)="","(vide)",INDEX(TblClusters[Environnement],$B1241)))</f>
        <v/>
      </c>
      <c r="AG1241" s="19" t="str">
        <f t="shared" si="338"/>
        <v/>
      </c>
      <c r="AH1241" s="19" t="str">
        <f t="shared" si="339"/>
        <v/>
      </c>
      <c r="AI1241" s="19" t="str">
        <f>IF($D1241&lt;&gt;1,"",IF(AND($G1241="IKS",ISNUMBER(INDEX(TblClusters[Fermeture retenue],$B1241))),IF($E1241&gt;=INDEX(TblClusters[Fermeture retenue],$B1241),1,0),0))</f>
        <v/>
      </c>
    </row>
    <row r="1242" spans="1:35" x14ac:dyDescent="0.2">
      <c r="A1242" s="19">
        <v>1237</v>
      </c>
      <c r="B1242" s="19">
        <f t="shared" si="323"/>
        <v>35</v>
      </c>
      <c r="C1242" s="19">
        <f t="shared" si="324"/>
        <v>13</v>
      </c>
      <c r="D1242" s="19">
        <f>IF($C1242&gt;p_horizon,0,IFERROR(IF(AND(INDEX(TblClusters[Cluster],$B1242)&lt;&gt;"",ISNUMBER(INDEX(TblClusters[CPU initial (vCPU)],$B1242)),ISNUMBER(INDEX(TblClusters[CPU min (vCPU)],$B1242)),OR(INDEX(TblClusters[Plateforme],$B1242)="IKS",INDEX(TblClusters[Plateforme],$B1242)="ROKS")),1,0),0))</f>
        <v>0</v>
      </c>
      <c r="E1242" s="72" t="str">
        <f t="shared" si="325"/>
        <v/>
      </c>
      <c r="F1242" s="19" t="str">
        <f>IF($D1242=1,INDEX(TblClusters[Cluster],$B1242),"")</f>
        <v/>
      </c>
      <c r="G1242" s="19" t="str">
        <f>IF($D1242=1,INDEX(TblClusters[Plateforme],$B1242),"")</f>
        <v/>
      </c>
      <c r="H1242" s="19" t="str">
        <f>IF($D1242=1,INDEX(TblClusters[vCPU par nœud],$B1242),"")</f>
        <v/>
      </c>
      <c r="I1242" s="19" t="str">
        <f>IF($D1242=1,INDEX(TblClusters[RAM par nœud (Go)],$B1242),"")</f>
        <v/>
      </c>
      <c r="J1242" s="19" t="str">
        <f>IF($D1242=1,INDEX(TblClusters[Workers min],$B1242),"")</f>
        <v/>
      </c>
      <c r="K1242" s="73" t="str">
        <f>IF($D1242=1,INDEX(TblClusters[Tarif par nœud],$B1242),"")</f>
        <v/>
      </c>
      <c r="L1242" s="19" t="str">
        <f>IF($D1242=1,INDEX(TblClusters[CPU initial (vCPU)],$B1242),"")</f>
        <v/>
      </c>
      <c r="M1242" s="19" t="str">
        <f>IF($D1242=1,INDEX(TblClusters[RAM initiale (Go)],$B1242),"")</f>
        <v/>
      </c>
      <c r="N1242" s="19" t="str">
        <f>IF($D1242=1,INDEX(TblClusters[CPU min (vCPU)],$B1242),"")</f>
        <v/>
      </c>
      <c r="O1242" s="19" t="str">
        <f>IF($D1242=1,INDEX(TblClusters[RAM min (Go)],$B1242),"")</f>
        <v/>
      </c>
      <c r="P1242" s="19" t="str">
        <f>IF($D1242&lt;&gt;1,"",IF($G1242="ROKS",SUMIFS(TblApplications[Besoin ROKS CPU (vCPU)],TblApplications[Cluster ROKS cible],$F1242,TblApplications[Action],"À migrer",TblApplications[Déjà incluse ROKS],"Non",TblApplications[Mois prov (calc)],"&lt;="&amp;$E1242),SUMIFS(TblApplications[CPU IKS libérable (vCPU)],TblApplications[Cluster IKS source],$F1242,TblApplications[Mois lib (calc)],"&lt;="&amp;$E1242)))</f>
        <v/>
      </c>
      <c r="Q1242" s="19" t="str">
        <f>IF($D1242&lt;&gt;1,"",IF($G1242="ROKS",SUMIFS(TblApplications[Besoin ROKS RAM (Go)],TblApplications[Cluster ROKS cible],$F1242,TblApplications[Action],"À migrer",TblApplications[Déjà incluse ROKS],"Non",TblApplications[Mois prov (calc)],"&lt;="&amp;$E1242),SUMIFS(TblApplications[RAM IKS libérable (Go)],TblApplications[Cluster IKS source],$F1242,TblApplications[Mois lib (calc)],"&lt;="&amp;$E1242)))</f>
        <v/>
      </c>
      <c r="R1242" s="19" t="str">
        <f t="shared" si="326"/>
        <v/>
      </c>
      <c r="S1242" s="19" t="str">
        <f t="shared" si="327"/>
        <v/>
      </c>
      <c r="T1242" s="19" t="str">
        <f t="shared" si="328"/>
        <v/>
      </c>
      <c r="U1242" s="19" t="str">
        <f t="shared" si="329"/>
        <v/>
      </c>
      <c r="V1242" s="19" t="str">
        <f t="shared" si="330"/>
        <v/>
      </c>
      <c r="W1242" s="73" t="str">
        <f t="shared" si="331"/>
        <v/>
      </c>
      <c r="X1242" s="19" t="str">
        <f>IF($D1242&lt;&gt;1,"",IF($G1242="ROKS",$R1242,IF($AI1242=1,0,MAX($N1242,$L1242-SUMIFS(TblApplications[CPU IKS libérable (vCPU)],TblApplications[Cluster IKS source],$F1242,TblApplications[Action],"À migrer",TblApplications[Mois prov (calc)],"&lt;="&amp;$E1242)-SUMIFS(TblApplications[CPU IKS libérable (vCPU)],TblApplications[Cluster IKS source],$F1242,TblApplications[Action],"À décommissionner",TblApplications[Mois lib (calc)],"&lt;="&amp;$E1242)))))</f>
        <v/>
      </c>
      <c r="Y1242" s="19" t="str">
        <f>IF($D1242&lt;&gt;1,"",IF($G1242="ROKS",$S1242,IF($AI1242=1,0,MAX($O1242,$M1242-SUMIFS(TblApplications[RAM IKS libérable (Go)],TblApplications[Cluster IKS source],$F1242,TblApplications[Action],"À migrer",TblApplications[Mois prov (calc)],"&lt;="&amp;$E1242)-SUMIFS(TblApplications[RAM IKS libérable (Go)],TblApplications[Cluster IKS source],$F1242,TblApplications[Action],"À décommissionner",TblApplications[Mois lib (calc)],"&lt;="&amp;$E1242)))))</f>
        <v/>
      </c>
      <c r="Z1242" s="19" t="str">
        <f t="shared" si="332"/>
        <v/>
      </c>
      <c r="AA1242" s="73" t="str">
        <f t="shared" si="333"/>
        <v/>
      </c>
      <c r="AB1242" s="19" t="str">
        <f t="shared" si="334"/>
        <v/>
      </c>
      <c r="AC1242" s="73" t="str">
        <f t="shared" si="335"/>
        <v/>
      </c>
      <c r="AD1242" s="19" t="str">
        <f t="shared" si="336"/>
        <v/>
      </c>
      <c r="AE1242" s="19" t="str">
        <f t="shared" si="337"/>
        <v/>
      </c>
      <c r="AF1242" s="19" t="str">
        <f>IF($D1242&lt;&gt;1,"",IF(INDEX(TblClusters[Environnement],$B1242)="","(vide)",INDEX(TblClusters[Environnement],$B1242)))</f>
        <v/>
      </c>
      <c r="AG1242" s="19" t="str">
        <f t="shared" si="338"/>
        <v/>
      </c>
      <c r="AH1242" s="19" t="str">
        <f t="shared" si="339"/>
        <v/>
      </c>
      <c r="AI1242" s="19" t="str">
        <f>IF($D1242&lt;&gt;1,"",IF(AND($G1242="IKS",ISNUMBER(INDEX(TblClusters[Fermeture retenue],$B1242))),IF($E1242&gt;=INDEX(TblClusters[Fermeture retenue],$B1242),1,0),0))</f>
        <v/>
      </c>
    </row>
    <row r="1243" spans="1:35" x14ac:dyDescent="0.2">
      <c r="A1243" s="19">
        <v>1238</v>
      </c>
      <c r="B1243" s="19">
        <f t="shared" si="323"/>
        <v>35</v>
      </c>
      <c r="C1243" s="19">
        <f t="shared" si="324"/>
        <v>14</v>
      </c>
      <c r="D1243" s="19">
        <f>IF($C1243&gt;p_horizon,0,IFERROR(IF(AND(INDEX(TblClusters[Cluster],$B1243)&lt;&gt;"",ISNUMBER(INDEX(TblClusters[CPU initial (vCPU)],$B1243)),ISNUMBER(INDEX(TblClusters[CPU min (vCPU)],$B1243)),OR(INDEX(TblClusters[Plateforme],$B1243)="IKS",INDEX(TblClusters[Plateforme],$B1243)="ROKS")),1,0),0))</f>
        <v>0</v>
      </c>
      <c r="E1243" s="72" t="str">
        <f t="shared" si="325"/>
        <v/>
      </c>
      <c r="F1243" s="19" t="str">
        <f>IF($D1243=1,INDEX(TblClusters[Cluster],$B1243),"")</f>
        <v/>
      </c>
      <c r="G1243" s="19" t="str">
        <f>IF($D1243=1,INDEX(TblClusters[Plateforme],$B1243),"")</f>
        <v/>
      </c>
      <c r="H1243" s="19" t="str">
        <f>IF($D1243=1,INDEX(TblClusters[vCPU par nœud],$B1243),"")</f>
        <v/>
      </c>
      <c r="I1243" s="19" t="str">
        <f>IF($D1243=1,INDEX(TblClusters[RAM par nœud (Go)],$B1243),"")</f>
        <v/>
      </c>
      <c r="J1243" s="19" t="str">
        <f>IF($D1243=1,INDEX(TblClusters[Workers min],$B1243),"")</f>
        <v/>
      </c>
      <c r="K1243" s="73" t="str">
        <f>IF($D1243=1,INDEX(TblClusters[Tarif par nœud],$B1243),"")</f>
        <v/>
      </c>
      <c r="L1243" s="19" t="str">
        <f>IF($D1243=1,INDEX(TblClusters[CPU initial (vCPU)],$B1243),"")</f>
        <v/>
      </c>
      <c r="M1243" s="19" t="str">
        <f>IF($D1243=1,INDEX(TblClusters[RAM initiale (Go)],$B1243),"")</f>
        <v/>
      </c>
      <c r="N1243" s="19" t="str">
        <f>IF($D1243=1,INDEX(TblClusters[CPU min (vCPU)],$B1243),"")</f>
        <v/>
      </c>
      <c r="O1243" s="19" t="str">
        <f>IF($D1243=1,INDEX(TblClusters[RAM min (Go)],$B1243),"")</f>
        <v/>
      </c>
      <c r="P1243" s="19" t="str">
        <f>IF($D1243&lt;&gt;1,"",IF($G1243="ROKS",SUMIFS(TblApplications[Besoin ROKS CPU (vCPU)],TblApplications[Cluster ROKS cible],$F1243,TblApplications[Action],"À migrer",TblApplications[Déjà incluse ROKS],"Non",TblApplications[Mois prov (calc)],"&lt;="&amp;$E1243),SUMIFS(TblApplications[CPU IKS libérable (vCPU)],TblApplications[Cluster IKS source],$F1243,TblApplications[Mois lib (calc)],"&lt;="&amp;$E1243)))</f>
        <v/>
      </c>
      <c r="Q1243" s="19" t="str">
        <f>IF($D1243&lt;&gt;1,"",IF($G1243="ROKS",SUMIFS(TblApplications[Besoin ROKS RAM (Go)],TblApplications[Cluster ROKS cible],$F1243,TblApplications[Action],"À migrer",TblApplications[Déjà incluse ROKS],"Non",TblApplications[Mois prov (calc)],"&lt;="&amp;$E1243),SUMIFS(TblApplications[RAM IKS libérable (Go)],TblApplications[Cluster IKS source],$F1243,TblApplications[Mois lib (calc)],"&lt;="&amp;$E1243)))</f>
        <v/>
      </c>
      <c r="R1243" s="19" t="str">
        <f t="shared" si="326"/>
        <v/>
      </c>
      <c r="S1243" s="19" t="str">
        <f t="shared" si="327"/>
        <v/>
      </c>
      <c r="T1243" s="19" t="str">
        <f t="shared" si="328"/>
        <v/>
      </c>
      <c r="U1243" s="19" t="str">
        <f t="shared" si="329"/>
        <v/>
      </c>
      <c r="V1243" s="19" t="str">
        <f t="shared" si="330"/>
        <v/>
      </c>
      <c r="W1243" s="73" t="str">
        <f t="shared" si="331"/>
        <v/>
      </c>
      <c r="X1243" s="19" t="str">
        <f>IF($D1243&lt;&gt;1,"",IF($G1243="ROKS",$R1243,IF($AI1243=1,0,MAX($N1243,$L1243-SUMIFS(TblApplications[CPU IKS libérable (vCPU)],TblApplications[Cluster IKS source],$F1243,TblApplications[Action],"À migrer",TblApplications[Mois prov (calc)],"&lt;="&amp;$E1243)-SUMIFS(TblApplications[CPU IKS libérable (vCPU)],TblApplications[Cluster IKS source],$F1243,TblApplications[Action],"À décommissionner",TblApplications[Mois lib (calc)],"&lt;="&amp;$E1243)))))</f>
        <v/>
      </c>
      <c r="Y1243" s="19" t="str">
        <f>IF($D1243&lt;&gt;1,"",IF($G1243="ROKS",$S1243,IF($AI1243=1,0,MAX($O1243,$M1243-SUMIFS(TblApplications[RAM IKS libérable (Go)],TblApplications[Cluster IKS source],$F1243,TblApplications[Action],"À migrer",TblApplications[Mois prov (calc)],"&lt;="&amp;$E1243)-SUMIFS(TblApplications[RAM IKS libérable (Go)],TblApplications[Cluster IKS source],$F1243,TblApplications[Action],"À décommissionner",TblApplications[Mois lib (calc)],"&lt;="&amp;$E1243)))))</f>
        <v/>
      </c>
      <c r="Z1243" s="19" t="str">
        <f t="shared" si="332"/>
        <v/>
      </c>
      <c r="AA1243" s="73" t="str">
        <f t="shared" si="333"/>
        <v/>
      </c>
      <c r="AB1243" s="19" t="str">
        <f t="shared" si="334"/>
        <v/>
      </c>
      <c r="AC1243" s="73" t="str">
        <f t="shared" si="335"/>
        <v/>
      </c>
      <c r="AD1243" s="19" t="str">
        <f t="shared" si="336"/>
        <v/>
      </c>
      <c r="AE1243" s="19" t="str">
        <f t="shared" si="337"/>
        <v/>
      </c>
      <c r="AF1243" s="19" t="str">
        <f>IF($D1243&lt;&gt;1,"",IF(INDEX(TblClusters[Environnement],$B1243)="","(vide)",INDEX(TblClusters[Environnement],$B1243)))</f>
        <v/>
      </c>
      <c r="AG1243" s="19" t="str">
        <f t="shared" si="338"/>
        <v/>
      </c>
      <c r="AH1243" s="19" t="str">
        <f t="shared" si="339"/>
        <v/>
      </c>
      <c r="AI1243" s="19" t="str">
        <f>IF($D1243&lt;&gt;1,"",IF(AND($G1243="IKS",ISNUMBER(INDEX(TblClusters[Fermeture retenue],$B1243))),IF($E1243&gt;=INDEX(TblClusters[Fermeture retenue],$B1243),1,0),0))</f>
        <v/>
      </c>
    </row>
    <row r="1244" spans="1:35" x14ac:dyDescent="0.2">
      <c r="A1244" s="19">
        <v>1239</v>
      </c>
      <c r="B1244" s="19">
        <f t="shared" si="323"/>
        <v>35</v>
      </c>
      <c r="C1244" s="19">
        <f t="shared" si="324"/>
        <v>15</v>
      </c>
      <c r="D1244" s="19">
        <f>IF($C1244&gt;p_horizon,0,IFERROR(IF(AND(INDEX(TblClusters[Cluster],$B1244)&lt;&gt;"",ISNUMBER(INDEX(TblClusters[CPU initial (vCPU)],$B1244)),ISNUMBER(INDEX(TblClusters[CPU min (vCPU)],$B1244)),OR(INDEX(TblClusters[Plateforme],$B1244)="IKS",INDEX(TblClusters[Plateforme],$B1244)="ROKS")),1,0),0))</f>
        <v>0</v>
      </c>
      <c r="E1244" s="72" t="str">
        <f t="shared" si="325"/>
        <v/>
      </c>
      <c r="F1244" s="19" t="str">
        <f>IF($D1244=1,INDEX(TblClusters[Cluster],$B1244),"")</f>
        <v/>
      </c>
      <c r="G1244" s="19" t="str">
        <f>IF($D1244=1,INDEX(TblClusters[Plateforme],$B1244),"")</f>
        <v/>
      </c>
      <c r="H1244" s="19" t="str">
        <f>IF($D1244=1,INDEX(TblClusters[vCPU par nœud],$B1244),"")</f>
        <v/>
      </c>
      <c r="I1244" s="19" t="str">
        <f>IF($D1244=1,INDEX(TblClusters[RAM par nœud (Go)],$B1244),"")</f>
        <v/>
      </c>
      <c r="J1244" s="19" t="str">
        <f>IF($D1244=1,INDEX(TblClusters[Workers min],$B1244),"")</f>
        <v/>
      </c>
      <c r="K1244" s="73" t="str">
        <f>IF($D1244=1,INDEX(TblClusters[Tarif par nœud],$B1244),"")</f>
        <v/>
      </c>
      <c r="L1244" s="19" t="str">
        <f>IF($D1244=1,INDEX(TblClusters[CPU initial (vCPU)],$B1244),"")</f>
        <v/>
      </c>
      <c r="M1244" s="19" t="str">
        <f>IF($D1244=1,INDEX(TblClusters[RAM initiale (Go)],$B1244),"")</f>
        <v/>
      </c>
      <c r="N1244" s="19" t="str">
        <f>IF($D1244=1,INDEX(TblClusters[CPU min (vCPU)],$B1244),"")</f>
        <v/>
      </c>
      <c r="O1244" s="19" t="str">
        <f>IF($D1244=1,INDEX(TblClusters[RAM min (Go)],$B1244),"")</f>
        <v/>
      </c>
      <c r="P1244" s="19" t="str">
        <f>IF($D1244&lt;&gt;1,"",IF($G1244="ROKS",SUMIFS(TblApplications[Besoin ROKS CPU (vCPU)],TblApplications[Cluster ROKS cible],$F1244,TblApplications[Action],"À migrer",TblApplications[Déjà incluse ROKS],"Non",TblApplications[Mois prov (calc)],"&lt;="&amp;$E1244),SUMIFS(TblApplications[CPU IKS libérable (vCPU)],TblApplications[Cluster IKS source],$F1244,TblApplications[Mois lib (calc)],"&lt;="&amp;$E1244)))</f>
        <v/>
      </c>
      <c r="Q1244" s="19" t="str">
        <f>IF($D1244&lt;&gt;1,"",IF($G1244="ROKS",SUMIFS(TblApplications[Besoin ROKS RAM (Go)],TblApplications[Cluster ROKS cible],$F1244,TblApplications[Action],"À migrer",TblApplications[Déjà incluse ROKS],"Non",TblApplications[Mois prov (calc)],"&lt;="&amp;$E1244),SUMIFS(TblApplications[RAM IKS libérable (Go)],TblApplications[Cluster IKS source],$F1244,TblApplications[Mois lib (calc)],"&lt;="&amp;$E1244)))</f>
        <v/>
      </c>
      <c r="R1244" s="19" t="str">
        <f t="shared" si="326"/>
        <v/>
      </c>
      <c r="S1244" s="19" t="str">
        <f t="shared" si="327"/>
        <v/>
      </c>
      <c r="T1244" s="19" t="str">
        <f t="shared" si="328"/>
        <v/>
      </c>
      <c r="U1244" s="19" t="str">
        <f t="shared" si="329"/>
        <v/>
      </c>
      <c r="V1244" s="19" t="str">
        <f t="shared" si="330"/>
        <v/>
      </c>
      <c r="W1244" s="73" t="str">
        <f t="shared" si="331"/>
        <v/>
      </c>
      <c r="X1244" s="19" t="str">
        <f>IF($D1244&lt;&gt;1,"",IF($G1244="ROKS",$R1244,IF($AI1244=1,0,MAX($N1244,$L1244-SUMIFS(TblApplications[CPU IKS libérable (vCPU)],TblApplications[Cluster IKS source],$F1244,TblApplications[Action],"À migrer",TblApplications[Mois prov (calc)],"&lt;="&amp;$E1244)-SUMIFS(TblApplications[CPU IKS libérable (vCPU)],TblApplications[Cluster IKS source],$F1244,TblApplications[Action],"À décommissionner",TblApplications[Mois lib (calc)],"&lt;="&amp;$E1244)))))</f>
        <v/>
      </c>
      <c r="Y1244" s="19" t="str">
        <f>IF($D1244&lt;&gt;1,"",IF($G1244="ROKS",$S1244,IF($AI1244=1,0,MAX($O1244,$M1244-SUMIFS(TblApplications[RAM IKS libérable (Go)],TblApplications[Cluster IKS source],$F1244,TblApplications[Action],"À migrer",TblApplications[Mois prov (calc)],"&lt;="&amp;$E1244)-SUMIFS(TblApplications[RAM IKS libérable (Go)],TblApplications[Cluster IKS source],$F1244,TblApplications[Action],"À décommissionner",TblApplications[Mois lib (calc)],"&lt;="&amp;$E1244)))))</f>
        <v/>
      </c>
      <c r="Z1244" s="19" t="str">
        <f t="shared" si="332"/>
        <v/>
      </c>
      <c r="AA1244" s="73" t="str">
        <f t="shared" si="333"/>
        <v/>
      </c>
      <c r="AB1244" s="19" t="str">
        <f t="shared" si="334"/>
        <v/>
      </c>
      <c r="AC1244" s="73" t="str">
        <f t="shared" si="335"/>
        <v/>
      </c>
      <c r="AD1244" s="19" t="str">
        <f t="shared" si="336"/>
        <v/>
      </c>
      <c r="AE1244" s="19" t="str">
        <f t="shared" si="337"/>
        <v/>
      </c>
      <c r="AF1244" s="19" t="str">
        <f>IF($D1244&lt;&gt;1,"",IF(INDEX(TblClusters[Environnement],$B1244)="","(vide)",INDEX(TblClusters[Environnement],$B1244)))</f>
        <v/>
      </c>
      <c r="AG1244" s="19" t="str">
        <f t="shared" si="338"/>
        <v/>
      </c>
      <c r="AH1244" s="19" t="str">
        <f t="shared" si="339"/>
        <v/>
      </c>
      <c r="AI1244" s="19" t="str">
        <f>IF($D1244&lt;&gt;1,"",IF(AND($G1244="IKS",ISNUMBER(INDEX(TblClusters[Fermeture retenue],$B1244))),IF($E1244&gt;=INDEX(TblClusters[Fermeture retenue],$B1244),1,0),0))</f>
        <v/>
      </c>
    </row>
    <row r="1245" spans="1:35" x14ac:dyDescent="0.2">
      <c r="A1245" s="19">
        <v>1240</v>
      </c>
      <c r="B1245" s="19">
        <f t="shared" si="323"/>
        <v>35</v>
      </c>
      <c r="C1245" s="19">
        <f t="shared" si="324"/>
        <v>16</v>
      </c>
      <c r="D1245" s="19">
        <f>IF($C1245&gt;p_horizon,0,IFERROR(IF(AND(INDEX(TblClusters[Cluster],$B1245)&lt;&gt;"",ISNUMBER(INDEX(TblClusters[CPU initial (vCPU)],$B1245)),ISNUMBER(INDEX(TblClusters[CPU min (vCPU)],$B1245)),OR(INDEX(TblClusters[Plateforme],$B1245)="IKS",INDEX(TblClusters[Plateforme],$B1245)="ROKS")),1,0),0))</f>
        <v>0</v>
      </c>
      <c r="E1245" s="72" t="str">
        <f t="shared" si="325"/>
        <v/>
      </c>
      <c r="F1245" s="19" t="str">
        <f>IF($D1245=1,INDEX(TblClusters[Cluster],$B1245),"")</f>
        <v/>
      </c>
      <c r="G1245" s="19" t="str">
        <f>IF($D1245=1,INDEX(TblClusters[Plateforme],$B1245),"")</f>
        <v/>
      </c>
      <c r="H1245" s="19" t="str">
        <f>IF($D1245=1,INDEX(TblClusters[vCPU par nœud],$B1245),"")</f>
        <v/>
      </c>
      <c r="I1245" s="19" t="str">
        <f>IF($D1245=1,INDEX(TblClusters[RAM par nœud (Go)],$B1245),"")</f>
        <v/>
      </c>
      <c r="J1245" s="19" t="str">
        <f>IF($D1245=1,INDEX(TblClusters[Workers min],$B1245),"")</f>
        <v/>
      </c>
      <c r="K1245" s="73" t="str">
        <f>IF($D1245=1,INDEX(TblClusters[Tarif par nœud],$B1245),"")</f>
        <v/>
      </c>
      <c r="L1245" s="19" t="str">
        <f>IF($D1245=1,INDEX(TblClusters[CPU initial (vCPU)],$B1245),"")</f>
        <v/>
      </c>
      <c r="M1245" s="19" t="str">
        <f>IF($D1245=1,INDEX(TblClusters[RAM initiale (Go)],$B1245),"")</f>
        <v/>
      </c>
      <c r="N1245" s="19" t="str">
        <f>IF($D1245=1,INDEX(TblClusters[CPU min (vCPU)],$B1245),"")</f>
        <v/>
      </c>
      <c r="O1245" s="19" t="str">
        <f>IF($D1245=1,INDEX(TblClusters[RAM min (Go)],$B1245),"")</f>
        <v/>
      </c>
      <c r="P1245" s="19" t="str">
        <f>IF($D1245&lt;&gt;1,"",IF($G1245="ROKS",SUMIFS(TblApplications[Besoin ROKS CPU (vCPU)],TblApplications[Cluster ROKS cible],$F1245,TblApplications[Action],"À migrer",TblApplications[Déjà incluse ROKS],"Non",TblApplications[Mois prov (calc)],"&lt;="&amp;$E1245),SUMIFS(TblApplications[CPU IKS libérable (vCPU)],TblApplications[Cluster IKS source],$F1245,TblApplications[Mois lib (calc)],"&lt;="&amp;$E1245)))</f>
        <v/>
      </c>
      <c r="Q1245" s="19" t="str">
        <f>IF($D1245&lt;&gt;1,"",IF($G1245="ROKS",SUMIFS(TblApplications[Besoin ROKS RAM (Go)],TblApplications[Cluster ROKS cible],$F1245,TblApplications[Action],"À migrer",TblApplications[Déjà incluse ROKS],"Non",TblApplications[Mois prov (calc)],"&lt;="&amp;$E1245),SUMIFS(TblApplications[RAM IKS libérable (Go)],TblApplications[Cluster IKS source],$F1245,TblApplications[Mois lib (calc)],"&lt;="&amp;$E1245)))</f>
        <v/>
      </c>
      <c r="R1245" s="19" t="str">
        <f t="shared" si="326"/>
        <v/>
      </c>
      <c r="S1245" s="19" t="str">
        <f t="shared" si="327"/>
        <v/>
      </c>
      <c r="T1245" s="19" t="str">
        <f t="shared" si="328"/>
        <v/>
      </c>
      <c r="U1245" s="19" t="str">
        <f t="shared" si="329"/>
        <v/>
      </c>
      <c r="V1245" s="19" t="str">
        <f t="shared" si="330"/>
        <v/>
      </c>
      <c r="W1245" s="73" t="str">
        <f t="shared" si="331"/>
        <v/>
      </c>
      <c r="X1245" s="19" t="str">
        <f>IF($D1245&lt;&gt;1,"",IF($G1245="ROKS",$R1245,IF($AI1245=1,0,MAX($N1245,$L1245-SUMIFS(TblApplications[CPU IKS libérable (vCPU)],TblApplications[Cluster IKS source],$F1245,TblApplications[Action],"À migrer",TblApplications[Mois prov (calc)],"&lt;="&amp;$E1245)-SUMIFS(TblApplications[CPU IKS libérable (vCPU)],TblApplications[Cluster IKS source],$F1245,TblApplications[Action],"À décommissionner",TblApplications[Mois lib (calc)],"&lt;="&amp;$E1245)))))</f>
        <v/>
      </c>
      <c r="Y1245" s="19" t="str">
        <f>IF($D1245&lt;&gt;1,"",IF($G1245="ROKS",$S1245,IF($AI1245=1,0,MAX($O1245,$M1245-SUMIFS(TblApplications[RAM IKS libérable (Go)],TblApplications[Cluster IKS source],$F1245,TblApplications[Action],"À migrer",TblApplications[Mois prov (calc)],"&lt;="&amp;$E1245)-SUMIFS(TblApplications[RAM IKS libérable (Go)],TblApplications[Cluster IKS source],$F1245,TblApplications[Action],"À décommissionner",TblApplications[Mois lib (calc)],"&lt;="&amp;$E1245)))))</f>
        <v/>
      </c>
      <c r="Z1245" s="19" t="str">
        <f t="shared" si="332"/>
        <v/>
      </c>
      <c r="AA1245" s="73" t="str">
        <f t="shared" si="333"/>
        <v/>
      </c>
      <c r="AB1245" s="19" t="str">
        <f t="shared" si="334"/>
        <v/>
      </c>
      <c r="AC1245" s="73" t="str">
        <f t="shared" si="335"/>
        <v/>
      </c>
      <c r="AD1245" s="19" t="str">
        <f t="shared" si="336"/>
        <v/>
      </c>
      <c r="AE1245" s="19" t="str">
        <f t="shared" si="337"/>
        <v/>
      </c>
      <c r="AF1245" s="19" t="str">
        <f>IF($D1245&lt;&gt;1,"",IF(INDEX(TblClusters[Environnement],$B1245)="","(vide)",INDEX(TblClusters[Environnement],$B1245)))</f>
        <v/>
      </c>
      <c r="AG1245" s="19" t="str">
        <f t="shared" si="338"/>
        <v/>
      </c>
      <c r="AH1245" s="19" t="str">
        <f t="shared" si="339"/>
        <v/>
      </c>
      <c r="AI1245" s="19" t="str">
        <f>IF($D1245&lt;&gt;1,"",IF(AND($G1245="IKS",ISNUMBER(INDEX(TblClusters[Fermeture retenue],$B1245))),IF($E1245&gt;=INDEX(TblClusters[Fermeture retenue],$B1245),1,0),0))</f>
        <v/>
      </c>
    </row>
    <row r="1246" spans="1:35" x14ac:dyDescent="0.2">
      <c r="A1246" s="19">
        <v>1241</v>
      </c>
      <c r="B1246" s="19">
        <f t="shared" si="323"/>
        <v>35</v>
      </c>
      <c r="C1246" s="19">
        <f t="shared" si="324"/>
        <v>17</v>
      </c>
      <c r="D1246" s="19">
        <f>IF($C1246&gt;p_horizon,0,IFERROR(IF(AND(INDEX(TblClusters[Cluster],$B1246)&lt;&gt;"",ISNUMBER(INDEX(TblClusters[CPU initial (vCPU)],$B1246)),ISNUMBER(INDEX(TblClusters[CPU min (vCPU)],$B1246)),OR(INDEX(TblClusters[Plateforme],$B1246)="IKS",INDEX(TblClusters[Plateforme],$B1246)="ROKS")),1,0),0))</f>
        <v>0</v>
      </c>
      <c r="E1246" s="72" t="str">
        <f t="shared" si="325"/>
        <v/>
      </c>
      <c r="F1246" s="19" t="str">
        <f>IF($D1246=1,INDEX(TblClusters[Cluster],$B1246),"")</f>
        <v/>
      </c>
      <c r="G1246" s="19" t="str">
        <f>IF($D1246=1,INDEX(TblClusters[Plateforme],$B1246),"")</f>
        <v/>
      </c>
      <c r="H1246" s="19" t="str">
        <f>IF($D1246=1,INDEX(TblClusters[vCPU par nœud],$B1246),"")</f>
        <v/>
      </c>
      <c r="I1246" s="19" t="str">
        <f>IF($D1246=1,INDEX(TblClusters[RAM par nœud (Go)],$B1246),"")</f>
        <v/>
      </c>
      <c r="J1246" s="19" t="str">
        <f>IF($D1246=1,INDEX(TblClusters[Workers min],$B1246),"")</f>
        <v/>
      </c>
      <c r="K1246" s="73" t="str">
        <f>IF($D1246=1,INDEX(TblClusters[Tarif par nœud],$B1246),"")</f>
        <v/>
      </c>
      <c r="L1246" s="19" t="str">
        <f>IF($D1246=1,INDEX(TblClusters[CPU initial (vCPU)],$B1246),"")</f>
        <v/>
      </c>
      <c r="M1246" s="19" t="str">
        <f>IF($D1246=1,INDEX(TblClusters[RAM initiale (Go)],$B1246),"")</f>
        <v/>
      </c>
      <c r="N1246" s="19" t="str">
        <f>IF($D1246=1,INDEX(TblClusters[CPU min (vCPU)],$B1246),"")</f>
        <v/>
      </c>
      <c r="O1246" s="19" t="str">
        <f>IF($D1246=1,INDEX(TblClusters[RAM min (Go)],$B1246),"")</f>
        <v/>
      </c>
      <c r="P1246" s="19" t="str">
        <f>IF($D1246&lt;&gt;1,"",IF($G1246="ROKS",SUMIFS(TblApplications[Besoin ROKS CPU (vCPU)],TblApplications[Cluster ROKS cible],$F1246,TblApplications[Action],"À migrer",TblApplications[Déjà incluse ROKS],"Non",TblApplications[Mois prov (calc)],"&lt;="&amp;$E1246),SUMIFS(TblApplications[CPU IKS libérable (vCPU)],TblApplications[Cluster IKS source],$F1246,TblApplications[Mois lib (calc)],"&lt;="&amp;$E1246)))</f>
        <v/>
      </c>
      <c r="Q1246" s="19" t="str">
        <f>IF($D1246&lt;&gt;1,"",IF($G1246="ROKS",SUMIFS(TblApplications[Besoin ROKS RAM (Go)],TblApplications[Cluster ROKS cible],$F1246,TblApplications[Action],"À migrer",TblApplications[Déjà incluse ROKS],"Non",TblApplications[Mois prov (calc)],"&lt;="&amp;$E1246),SUMIFS(TblApplications[RAM IKS libérable (Go)],TblApplications[Cluster IKS source],$F1246,TblApplications[Mois lib (calc)],"&lt;="&amp;$E1246)))</f>
        <v/>
      </c>
      <c r="R1246" s="19" t="str">
        <f t="shared" si="326"/>
        <v/>
      </c>
      <c r="S1246" s="19" t="str">
        <f t="shared" si="327"/>
        <v/>
      </c>
      <c r="T1246" s="19" t="str">
        <f t="shared" si="328"/>
        <v/>
      </c>
      <c r="U1246" s="19" t="str">
        <f t="shared" si="329"/>
        <v/>
      </c>
      <c r="V1246" s="19" t="str">
        <f t="shared" si="330"/>
        <v/>
      </c>
      <c r="W1246" s="73" t="str">
        <f t="shared" si="331"/>
        <v/>
      </c>
      <c r="X1246" s="19" t="str">
        <f>IF($D1246&lt;&gt;1,"",IF($G1246="ROKS",$R1246,IF($AI1246=1,0,MAX($N1246,$L1246-SUMIFS(TblApplications[CPU IKS libérable (vCPU)],TblApplications[Cluster IKS source],$F1246,TblApplications[Action],"À migrer",TblApplications[Mois prov (calc)],"&lt;="&amp;$E1246)-SUMIFS(TblApplications[CPU IKS libérable (vCPU)],TblApplications[Cluster IKS source],$F1246,TblApplications[Action],"À décommissionner",TblApplications[Mois lib (calc)],"&lt;="&amp;$E1246)))))</f>
        <v/>
      </c>
      <c r="Y1246" s="19" t="str">
        <f>IF($D1246&lt;&gt;1,"",IF($G1246="ROKS",$S1246,IF($AI1246=1,0,MAX($O1246,$M1246-SUMIFS(TblApplications[RAM IKS libérable (Go)],TblApplications[Cluster IKS source],$F1246,TblApplications[Action],"À migrer",TblApplications[Mois prov (calc)],"&lt;="&amp;$E1246)-SUMIFS(TblApplications[RAM IKS libérable (Go)],TblApplications[Cluster IKS source],$F1246,TblApplications[Action],"À décommissionner",TblApplications[Mois lib (calc)],"&lt;="&amp;$E1246)))))</f>
        <v/>
      </c>
      <c r="Z1246" s="19" t="str">
        <f t="shared" si="332"/>
        <v/>
      </c>
      <c r="AA1246" s="73" t="str">
        <f t="shared" si="333"/>
        <v/>
      </c>
      <c r="AB1246" s="19" t="str">
        <f t="shared" si="334"/>
        <v/>
      </c>
      <c r="AC1246" s="73" t="str">
        <f t="shared" si="335"/>
        <v/>
      </c>
      <c r="AD1246" s="19" t="str">
        <f t="shared" si="336"/>
        <v/>
      </c>
      <c r="AE1246" s="19" t="str">
        <f t="shared" si="337"/>
        <v/>
      </c>
      <c r="AF1246" s="19" t="str">
        <f>IF($D1246&lt;&gt;1,"",IF(INDEX(TblClusters[Environnement],$B1246)="","(vide)",INDEX(TblClusters[Environnement],$B1246)))</f>
        <v/>
      </c>
      <c r="AG1246" s="19" t="str">
        <f t="shared" si="338"/>
        <v/>
      </c>
      <c r="AH1246" s="19" t="str">
        <f t="shared" si="339"/>
        <v/>
      </c>
      <c r="AI1246" s="19" t="str">
        <f>IF($D1246&lt;&gt;1,"",IF(AND($G1246="IKS",ISNUMBER(INDEX(TblClusters[Fermeture retenue],$B1246))),IF($E1246&gt;=INDEX(TblClusters[Fermeture retenue],$B1246),1,0),0))</f>
        <v/>
      </c>
    </row>
    <row r="1247" spans="1:35" x14ac:dyDescent="0.2">
      <c r="A1247" s="19">
        <v>1242</v>
      </c>
      <c r="B1247" s="19">
        <f t="shared" si="323"/>
        <v>35</v>
      </c>
      <c r="C1247" s="19">
        <f t="shared" si="324"/>
        <v>18</v>
      </c>
      <c r="D1247" s="19">
        <f>IF($C1247&gt;p_horizon,0,IFERROR(IF(AND(INDEX(TblClusters[Cluster],$B1247)&lt;&gt;"",ISNUMBER(INDEX(TblClusters[CPU initial (vCPU)],$B1247)),ISNUMBER(INDEX(TblClusters[CPU min (vCPU)],$B1247)),OR(INDEX(TblClusters[Plateforme],$B1247)="IKS",INDEX(TblClusters[Plateforme],$B1247)="ROKS")),1,0),0))</f>
        <v>0</v>
      </c>
      <c r="E1247" s="72" t="str">
        <f t="shared" si="325"/>
        <v/>
      </c>
      <c r="F1247" s="19" t="str">
        <f>IF($D1247=1,INDEX(TblClusters[Cluster],$B1247),"")</f>
        <v/>
      </c>
      <c r="G1247" s="19" t="str">
        <f>IF($D1247=1,INDEX(TblClusters[Plateforme],$B1247),"")</f>
        <v/>
      </c>
      <c r="H1247" s="19" t="str">
        <f>IF($D1247=1,INDEX(TblClusters[vCPU par nœud],$B1247),"")</f>
        <v/>
      </c>
      <c r="I1247" s="19" t="str">
        <f>IF($D1247=1,INDEX(TblClusters[RAM par nœud (Go)],$B1247),"")</f>
        <v/>
      </c>
      <c r="J1247" s="19" t="str">
        <f>IF($D1247=1,INDEX(TblClusters[Workers min],$B1247),"")</f>
        <v/>
      </c>
      <c r="K1247" s="73" t="str">
        <f>IF($D1247=1,INDEX(TblClusters[Tarif par nœud],$B1247),"")</f>
        <v/>
      </c>
      <c r="L1247" s="19" t="str">
        <f>IF($D1247=1,INDEX(TblClusters[CPU initial (vCPU)],$B1247),"")</f>
        <v/>
      </c>
      <c r="M1247" s="19" t="str">
        <f>IF($D1247=1,INDEX(TblClusters[RAM initiale (Go)],$B1247),"")</f>
        <v/>
      </c>
      <c r="N1247" s="19" t="str">
        <f>IF($D1247=1,INDEX(TblClusters[CPU min (vCPU)],$B1247),"")</f>
        <v/>
      </c>
      <c r="O1247" s="19" t="str">
        <f>IF($D1247=1,INDEX(TblClusters[RAM min (Go)],$B1247),"")</f>
        <v/>
      </c>
      <c r="P1247" s="19" t="str">
        <f>IF($D1247&lt;&gt;1,"",IF($G1247="ROKS",SUMIFS(TblApplications[Besoin ROKS CPU (vCPU)],TblApplications[Cluster ROKS cible],$F1247,TblApplications[Action],"À migrer",TblApplications[Déjà incluse ROKS],"Non",TblApplications[Mois prov (calc)],"&lt;="&amp;$E1247),SUMIFS(TblApplications[CPU IKS libérable (vCPU)],TblApplications[Cluster IKS source],$F1247,TblApplications[Mois lib (calc)],"&lt;="&amp;$E1247)))</f>
        <v/>
      </c>
      <c r="Q1247" s="19" t="str">
        <f>IF($D1247&lt;&gt;1,"",IF($G1247="ROKS",SUMIFS(TblApplications[Besoin ROKS RAM (Go)],TblApplications[Cluster ROKS cible],$F1247,TblApplications[Action],"À migrer",TblApplications[Déjà incluse ROKS],"Non",TblApplications[Mois prov (calc)],"&lt;="&amp;$E1247),SUMIFS(TblApplications[RAM IKS libérable (Go)],TblApplications[Cluster IKS source],$F1247,TblApplications[Mois lib (calc)],"&lt;="&amp;$E1247)))</f>
        <v/>
      </c>
      <c r="R1247" s="19" t="str">
        <f t="shared" si="326"/>
        <v/>
      </c>
      <c r="S1247" s="19" t="str">
        <f t="shared" si="327"/>
        <v/>
      </c>
      <c r="T1247" s="19" t="str">
        <f t="shared" si="328"/>
        <v/>
      </c>
      <c r="U1247" s="19" t="str">
        <f t="shared" si="329"/>
        <v/>
      </c>
      <c r="V1247" s="19" t="str">
        <f t="shared" si="330"/>
        <v/>
      </c>
      <c r="W1247" s="73" t="str">
        <f t="shared" si="331"/>
        <v/>
      </c>
      <c r="X1247" s="19" t="str">
        <f>IF($D1247&lt;&gt;1,"",IF($G1247="ROKS",$R1247,IF($AI1247=1,0,MAX($N1247,$L1247-SUMIFS(TblApplications[CPU IKS libérable (vCPU)],TblApplications[Cluster IKS source],$F1247,TblApplications[Action],"À migrer",TblApplications[Mois prov (calc)],"&lt;="&amp;$E1247)-SUMIFS(TblApplications[CPU IKS libérable (vCPU)],TblApplications[Cluster IKS source],$F1247,TblApplications[Action],"À décommissionner",TblApplications[Mois lib (calc)],"&lt;="&amp;$E1247)))))</f>
        <v/>
      </c>
      <c r="Y1247" s="19" t="str">
        <f>IF($D1247&lt;&gt;1,"",IF($G1247="ROKS",$S1247,IF($AI1247=1,0,MAX($O1247,$M1247-SUMIFS(TblApplications[RAM IKS libérable (Go)],TblApplications[Cluster IKS source],$F1247,TblApplications[Action],"À migrer",TblApplications[Mois prov (calc)],"&lt;="&amp;$E1247)-SUMIFS(TblApplications[RAM IKS libérable (Go)],TblApplications[Cluster IKS source],$F1247,TblApplications[Action],"À décommissionner",TblApplications[Mois lib (calc)],"&lt;="&amp;$E1247)))))</f>
        <v/>
      </c>
      <c r="Z1247" s="19" t="str">
        <f t="shared" si="332"/>
        <v/>
      </c>
      <c r="AA1247" s="73" t="str">
        <f t="shared" si="333"/>
        <v/>
      </c>
      <c r="AB1247" s="19" t="str">
        <f t="shared" si="334"/>
        <v/>
      </c>
      <c r="AC1247" s="73" t="str">
        <f t="shared" si="335"/>
        <v/>
      </c>
      <c r="AD1247" s="19" t="str">
        <f t="shared" si="336"/>
        <v/>
      </c>
      <c r="AE1247" s="19" t="str">
        <f t="shared" si="337"/>
        <v/>
      </c>
      <c r="AF1247" s="19" t="str">
        <f>IF($D1247&lt;&gt;1,"",IF(INDEX(TblClusters[Environnement],$B1247)="","(vide)",INDEX(TblClusters[Environnement],$B1247)))</f>
        <v/>
      </c>
      <c r="AG1247" s="19" t="str">
        <f t="shared" si="338"/>
        <v/>
      </c>
      <c r="AH1247" s="19" t="str">
        <f t="shared" si="339"/>
        <v/>
      </c>
      <c r="AI1247" s="19" t="str">
        <f>IF($D1247&lt;&gt;1,"",IF(AND($G1247="IKS",ISNUMBER(INDEX(TblClusters[Fermeture retenue],$B1247))),IF($E1247&gt;=INDEX(TblClusters[Fermeture retenue],$B1247),1,0),0))</f>
        <v/>
      </c>
    </row>
    <row r="1248" spans="1:35" x14ac:dyDescent="0.2">
      <c r="A1248" s="19">
        <v>1243</v>
      </c>
      <c r="B1248" s="19">
        <f t="shared" si="323"/>
        <v>35</v>
      </c>
      <c r="C1248" s="19">
        <f t="shared" si="324"/>
        <v>19</v>
      </c>
      <c r="D1248" s="19">
        <f>IF($C1248&gt;p_horizon,0,IFERROR(IF(AND(INDEX(TblClusters[Cluster],$B1248)&lt;&gt;"",ISNUMBER(INDEX(TblClusters[CPU initial (vCPU)],$B1248)),ISNUMBER(INDEX(TblClusters[CPU min (vCPU)],$B1248)),OR(INDEX(TblClusters[Plateforme],$B1248)="IKS",INDEX(TblClusters[Plateforme],$B1248)="ROKS")),1,0),0))</f>
        <v>0</v>
      </c>
      <c r="E1248" s="72" t="str">
        <f t="shared" si="325"/>
        <v/>
      </c>
      <c r="F1248" s="19" t="str">
        <f>IF($D1248=1,INDEX(TblClusters[Cluster],$B1248),"")</f>
        <v/>
      </c>
      <c r="G1248" s="19" t="str">
        <f>IF($D1248=1,INDEX(TblClusters[Plateforme],$B1248),"")</f>
        <v/>
      </c>
      <c r="H1248" s="19" t="str">
        <f>IF($D1248=1,INDEX(TblClusters[vCPU par nœud],$B1248),"")</f>
        <v/>
      </c>
      <c r="I1248" s="19" t="str">
        <f>IF($D1248=1,INDEX(TblClusters[RAM par nœud (Go)],$B1248),"")</f>
        <v/>
      </c>
      <c r="J1248" s="19" t="str">
        <f>IF($D1248=1,INDEX(TblClusters[Workers min],$B1248),"")</f>
        <v/>
      </c>
      <c r="K1248" s="73" t="str">
        <f>IF($D1248=1,INDEX(TblClusters[Tarif par nœud],$B1248),"")</f>
        <v/>
      </c>
      <c r="L1248" s="19" t="str">
        <f>IF($D1248=1,INDEX(TblClusters[CPU initial (vCPU)],$B1248),"")</f>
        <v/>
      </c>
      <c r="M1248" s="19" t="str">
        <f>IF($D1248=1,INDEX(TblClusters[RAM initiale (Go)],$B1248),"")</f>
        <v/>
      </c>
      <c r="N1248" s="19" t="str">
        <f>IF($D1248=1,INDEX(TblClusters[CPU min (vCPU)],$B1248),"")</f>
        <v/>
      </c>
      <c r="O1248" s="19" t="str">
        <f>IF($D1248=1,INDEX(TblClusters[RAM min (Go)],$B1248),"")</f>
        <v/>
      </c>
      <c r="P1248" s="19" t="str">
        <f>IF($D1248&lt;&gt;1,"",IF($G1248="ROKS",SUMIFS(TblApplications[Besoin ROKS CPU (vCPU)],TblApplications[Cluster ROKS cible],$F1248,TblApplications[Action],"À migrer",TblApplications[Déjà incluse ROKS],"Non",TblApplications[Mois prov (calc)],"&lt;="&amp;$E1248),SUMIFS(TblApplications[CPU IKS libérable (vCPU)],TblApplications[Cluster IKS source],$F1248,TblApplications[Mois lib (calc)],"&lt;="&amp;$E1248)))</f>
        <v/>
      </c>
      <c r="Q1248" s="19" t="str">
        <f>IF($D1248&lt;&gt;1,"",IF($G1248="ROKS",SUMIFS(TblApplications[Besoin ROKS RAM (Go)],TblApplications[Cluster ROKS cible],$F1248,TblApplications[Action],"À migrer",TblApplications[Déjà incluse ROKS],"Non",TblApplications[Mois prov (calc)],"&lt;="&amp;$E1248),SUMIFS(TblApplications[RAM IKS libérable (Go)],TblApplications[Cluster IKS source],$F1248,TblApplications[Mois lib (calc)],"&lt;="&amp;$E1248)))</f>
        <v/>
      </c>
      <c r="R1248" s="19" t="str">
        <f t="shared" si="326"/>
        <v/>
      </c>
      <c r="S1248" s="19" t="str">
        <f t="shared" si="327"/>
        <v/>
      </c>
      <c r="T1248" s="19" t="str">
        <f t="shared" si="328"/>
        <v/>
      </c>
      <c r="U1248" s="19" t="str">
        <f t="shared" si="329"/>
        <v/>
      </c>
      <c r="V1248" s="19" t="str">
        <f t="shared" si="330"/>
        <v/>
      </c>
      <c r="W1248" s="73" t="str">
        <f t="shared" si="331"/>
        <v/>
      </c>
      <c r="X1248" s="19" t="str">
        <f>IF($D1248&lt;&gt;1,"",IF($G1248="ROKS",$R1248,IF($AI1248=1,0,MAX($N1248,$L1248-SUMIFS(TblApplications[CPU IKS libérable (vCPU)],TblApplications[Cluster IKS source],$F1248,TblApplications[Action],"À migrer",TblApplications[Mois prov (calc)],"&lt;="&amp;$E1248)-SUMIFS(TblApplications[CPU IKS libérable (vCPU)],TblApplications[Cluster IKS source],$F1248,TblApplications[Action],"À décommissionner",TblApplications[Mois lib (calc)],"&lt;="&amp;$E1248)))))</f>
        <v/>
      </c>
      <c r="Y1248" s="19" t="str">
        <f>IF($D1248&lt;&gt;1,"",IF($G1248="ROKS",$S1248,IF($AI1248=1,0,MAX($O1248,$M1248-SUMIFS(TblApplications[RAM IKS libérable (Go)],TblApplications[Cluster IKS source],$F1248,TblApplications[Action],"À migrer",TblApplications[Mois prov (calc)],"&lt;="&amp;$E1248)-SUMIFS(TblApplications[RAM IKS libérable (Go)],TblApplications[Cluster IKS source],$F1248,TblApplications[Action],"À décommissionner",TblApplications[Mois lib (calc)],"&lt;="&amp;$E1248)))))</f>
        <v/>
      </c>
      <c r="Z1248" s="19" t="str">
        <f t="shared" si="332"/>
        <v/>
      </c>
      <c r="AA1248" s="73" t="str">
        <f t="shared" si="333"/>
        <v/>
      </c>
      <c r="AB1248" s="19" t="str">
        <f t="shared" si="334"/>
        <v/>
      </c>
      <c r="AC1248" s="73" t="str">
        <f t="shared" si="335"/>
        <v/>
      </c>
      <c r="AD1248" s="19" t="str">
        <f t="shared" si="336"/>
        <v/>
      </c>
      <c r="AE1248" s="19" t="str">
        <f t="shared" si="337"/>
        <v/>
      </c>
      <c r="AF1248" s="19" t="str">
        <f>IF($D1248&lt;&gt;1,"",IF(INDEX(TblClusters[Environnement],$B1248)="","(vide)",INDEX(TblClusters[Environnement],$B1248)))</f>
        <v/>
      </c>
      <c r="AG1248" s="19" t="str">
        <f t="shared" si="338"/>
        <v/>
      </c>
      <c r="AH1248" s="19" t="str">
        <f t="shared" si="339"/>
        <v/>
      </c>
      <c r="AI1248" s="19" t="str">
        <f>IF($D1248&lt;&gt;1,"",IF(AND($G1248="IKS",ISNUMBER(INDEX(TblClusters[Fermeture retenue],$B1248))),IF($E1248&gt;=INDEX(TblClusters[Fermeture retenue],$B1248),1,0),0))</f>
        <v/>
      </c>
    </row>
    <row r="1249" spans="1:35" x14ac:dyDescent="0.2">
      <c r="A1249" s="19">
        <v>1244</v>
      </c>
      <c r="B1249" s="19">
        <f t="shared" si="323"/>
        <v>35</v>
      </c>
      <c r="C1249" s="19">
        <f t="shared" si="324"/>
        <v>20</v>
      </c>
      <c r="D1249" s="19">
        <f>IF($C1249&gt;p_horizon,0,IFERROR(IF(AND(INDEX(TblClusters[Cluster],$B1249)&lt;&gt;"",ISNUMBER(INDEX(TblClusters[CPU initial (vCPU)],$B1249)),ISNUMBER(INDEX(TblClusters[CPU min (vCPU)],$B1249)),OR(INDEX(TblClusters[Plateforme],$B1249)="IKS",INDEX(TblClusters[Plateforme],$B1249)="ROKS")),1,0),0))</f>
        <v>0</v>
      </c>
      <c r="E1249" s="72" t="str">
        <f t="shared" si="325"/>
        <v/>
      </c>
      <c r="F1249" s="19" t="str">
        <f>IF($D1249=1,INDEX(TblClusters[Cluster],$B1249),"")</f>
        <v/>
      </c>
      <c r="G1249" s="19" t="str">
        <f>IF($D1249=1,INDEX(TblClusters[Plateforme],$B1249),"")</f>
        <v/>
      </c>
      <c r="H1249" s="19" t="str">
        <f>IF($D1249=1,INDEX(TblClusters[vCPU par nœud],$B1249),"")</f>
        <v/>
      </c>
      <c r="I1249" s="19" t="str">
        <f>IF($D1249=1,INDEX(TblClusters[RAM par nœud (Go)],$B1249),"")</f>
        <v/>
      </c>
      <c r="J1249" s="19" t="str">
        <f>IF($D1249=1,INDEX(TblClusters[Workers min],$B1249),"")</f>
        <v/>
      </c>
      <c r="K1249" s="73" t="str">
        <f>IF($D1249=1,INDEX(TblClusters[Tarif par nœud],$B1249),"")</f>
        <v/>
      </c>
      <c r="L1249" s="19" t="str">
        <f>IF($D1249=1,INDEX(TblClusters[CPU initial (vCPU)],$B1249),"")</f>
        <v/>
      </c>
      <c r="M1249" s="19" t="str">
        <f>IF($D1249=1,INDEX(TblClusters[RAM initiale (Go)],$B1249),"")</f>
        <v/>
      </c>
      <c r="N1249" s="19" t="str">
        <f>IF($D1249=1,INDEX(TblClusters[CPU min (vCPU)],$B1249),"")</f>
        <v/>
      </c>
      <c r="O1249" s="19" t="str">
        <f>IF($D1249=1,INDEX(TblClusters[RAM min (Go)],$B1249),"")</f>
        <v/>
      </c>
      <c r="P1249" s="19" t="str">
        <f>IF($D1249&lt;&gt;1,"",IF($G1249="ROKS",SUMIFS(TblApplications[Besoin ROKS CPU (vCPU)],TblApplications[Cluster ROKS cible],$F1249,TblApplications[Action],"À migrer",TblApplications[Déjà incluse ROKS],"Non",TblApplications[Mois prov (calc)],"&lt;="&amp;$E1249),SUMIFS(TblApplications[CPU IKS libérable (vCPU)],TblApplications[Cluster IKS source],$F1249,TblApplications[Mois lib (calc)],"&lt;="&amp;$E1249)))</f>
        <v/>
      </c>
      <c r="Q1249" s="19" t="str">
        <f>IF($D1249&lt;&gt;1,"",IF($G1249="ROKS",SUMIFS(TblApplications[Besoin ROKS RAM (Go)],TblApplications[Cluster ROKS cible],$F1249,TblApplications[Action],"À migrer",TblApplications[Déjà incluse ROKS],"Non",TblApplications[Mois prov (calc)],"&lt;="&amp;$E1249),SUMIFS(TblApplications[RAM IKS libérable (Go)],TblApplications[Cluster IKS source],$F1249,TblApplications[Mois lib (calc)],"&lt;="&amp;$E1249)))</f>
        <v/>
      </c>
      <c r="R1249" s="19" t="str">
        <f t="shared" si="326"/>
        <v/>
      </c>
      <c r="S1249" s="19" t="str">
        <f t="shared" si="327"/>
        <v/>
      </c>
      <c r="T1249" s="19" t="str">
        <f t="shared" si="328"/>
        <v/>
      </c>
      <c r="U1249" s="19" t="str">
        <f t="shared" si="329"/>
        <v/>
      </c>
      <c r="V1249" s="19" t="str">
        <f t="shared" si="330"/>
        <v/>
      </c>
      <c r="W1249" s="73" t="str">
        <f t="shared" si="331"/>
        <v/>
      </c>
      <c r="X1249" s="19" t="str">
        <f>IF($D1249&lt;&gt;1,"",IF($G1249="ROKS",$R1249,IF($AI1249=1,0,MAX($N1249,$L1249-SUMIFS(TblApplications[CPU IKS libérable (vCPU)],TblApplications[Cluster IKS source],$F1249,TblApplications[Action],"À migrer",TblApplications[Mois prov (calc)],"&lt;="&amp;$E1249)-SUMIFS(TblApplications[CPU IKS libérable (vCPU)],TblApplications[Cluster IKS source],$F1249,TblApplications[Action],"À décommissionner",TblApplications[Mois lib (calc)],"&lt;="&amp;$E1249)))))</f>
        <v/>
      </c>
      <c r="Y1249" s="19" t="str">
        <f>IF($D1249&lt;&gt;1,"",IF($G1249="ROKS",$S1249,IF($AI1249=1,0,MAX($O1249,$M1249-SUMIFS(TblApplications[RAM IKS libérable (Go)],TblApplications[Cluster IKS source],$F1249,TblApplications[Action],"À migrer",TblApplications[Mois prov (calc)],"&lt;="&amp;$E1249)-SUMIFS(TblApplications[RAM IKS libérable (Go)],TblApplications[Cluster IKS source],$F1249,TblApplications[Action],"À décommissionner",TblApplications[Mois lib (calc)],"&lt;="&amp;$E1249)))))</f>
        <v/>
      </c>
      <c r="Z1249" s="19" t="str">
        <f t="shared" si="332"/>
        <v/>
      </c>
      <c r="AA1249" s="73" t="str">
        <f t="shared" si="333"/>
        <v/>
      </c>
      <c r="AB1249" s="19" t="str">
        <f t="shared" si="334"/>
        <v/>
      </c>
      <c r="AC1249" s="73" t="str">
        <f t="shared" si="335"/>
        <v/>
      </c>
      <c r="AD1249" s="19" t="str">
        <f t="shared" si="336"/>
        <v/>
      </c>
      <c r="AE1249" s="19" t="str">
        <f t="shared" si="337"/>
        <v/>
      </c>
      <c r="AF1249" s="19" t="str">
        <f>IF($D1249&lt;&gt;1,"",IF(INDEX(TblClusters[Environnement],$B1249)="","(vide)",INDEX(TblClusters[Environnement],$B1249)))</f>
        <v/>
      </c>
      <c r="AG1249" s="19" t="str">
        <f t="shared" si="338"/>
        <v/>
      </c>
      <c r="AH1249" s="19" t="str">
        <f t="shared" si="339"/>
        <v/>
      </c>
      <c r="AI1249" s="19" t="str">
        <f>IF($D1249&lt;&gt;1,"",IF(AND($G1249="IKS",ISNUMBER(INDEX(TblClusters[Fermeture retenue],$B1249))),IF($E1249&gt;=INDEX(TblClusters[Fermeture retenue],$B1249),1,0),0))</f>
        <v/>
      </c>
    </row>
    <row r="1250" spans="1:35" x14ac:dyDescent="0.2">
      <c r="A1250" s="19">
        <v>1245</v>
      </c>
      <c r="B1250" s="19">
        <f t="shared" si="323"/>
        <v>35</v>
      </c>
      <c r="C1250" s="19">
        <f t="shared" si="324"/>
        <v>21</v>
      </c>
      <c r="D1250" s="19">
        <f>IF($C1250&gt;p_horizon,0,IFERROR(IF(AND(INDEX(TblClusters[Cluster],$B1250)&lt;&gt;"",ISNUMBER(INDEX(TblClusters[CPU initial (vCPU)],$B1250)),ISNUMBER(INDEX(TblClusters[CPU min (vCPU)],$B1250)),OR(INDEX(TblClusters[Plateforme],$B1250)="IKS",INDEX(TblClusters[Plateforme],$B1250)="ROKS")),1,0),0))</f>
        <v>0</v>
      </c>
      <c r="E1250" s="72" t="str">
        <f t="shared" si="325"/>
        <v/>
      </c>
      <c r="F1250" s="19" t="str">
        <f>IF($D1250=1,INDEX(TblClusters[Cluster],$B1250),"")</f>
        <v/>
      </c>
      <c r="G1250" s="19" t="str">
        <f>IF($D1250=1,INDEX(TblClusters[Plateforme],$B1250),"")</f>
        <v/>
      </c>
      <c r="H1250" s="19" t="str">
        <f>IF($D1250=1,INDEX(TblClusters[vCPU par nœud],$B1250),"")</f>
        <v/>
      </c>
      <c r="I1250" s="19" t="str">
        <f>IF($D1250=1,INDEX(TblClusters[RAM par nœud (Go)],$B1250),"")</f>
        <v/>
      </c>
      <c r="J1250" s="19" t="str">
        <f>IF($D1250=1,INDEX(TblClusters[Workers min],$B1250),"")</f>
        <v/>
      </c>
      <c r="K1250" s="73" t="str">
        <f>IF($D1250=1,INDEX(TblClusters[Tarif par nœud],$B1250),"")</f>
        <v/>
      </c>
      <c r="L1250" s="19" t="str">
        <f>IF($D1250=1,INDEX(TblClusters[CPU initial (vCPU)],$B1250),"")</f>
        <v/>
      </c>
      <c r="M1250" s="19" t="str">
        <f>IF($D1250=1,INDEX(TblClusters[RAM initiale (Go)],$B1250),"")</f>
        <v/>
      </c>
      <c r="N1250" s="19" t="str">
        <f>IF($D1250=1,INDEX(TblClusters[CPU min (vCPU)],$B1250),"")</f>
        <v/>
      </c>
      <c r="O1250" s="19" t="str">
        <f>IF($D1250=1,INDEX(TblClusters[RAM min (Go)],$B1250),"")</f>
        <v/>
      </c>
      <c r="P1250" s="19" t="str">
        <f>IF($D1250&lt;&gt;1,"",IF($G1250="ROKS",SUMIFS(TblApplications[Besoin ROKS CPU (vCPU)],TblApplications[Cluster ROKS cible],$F1250,TblApplications[Action],"À migrer",TblApplications[Déjà incluse ROKS],"Non",TblApplications[Mois prov (calc)],"&lt;="&amp;$E1250),SUMIFS(TblApplications[CPU IKS libérable (vCPU)],TblApplications[Cluster IKS source],$F1250,TblApplications[Mois lib (calc)],"&lt;="&amp;$E1250)))</f>
        <v/>
      </c>
      <c r="Q1250" s="19" t="str">
        <f>IF($D1250&lt;&gt;1,"",IF($G1250="ROKS",SUMIFS(TblApplications[Besoin ROKS RAM (Go)],TblApplications[Cluster ROKS cible],$F1250,TblApplications[Action],"À migrer",TblApplications[Déjà incluse ROKS],"Non",TblApplications[Mois prov (calc)],"&lt;="&amp;$E1250),SUMIFS(TblApplications[RAM IKS libérable (Go)],TblApplications[Cluster IKS source],$F1250,TblApplications[Mois lib (calc)],"&lt;="&amp;$E1250)))</f>
        <v/>
      </c>
      <c r="R1250" s="19" t="str">
        <f t="shared" si="326"/>
        <v/>
      </c>
      <c r="S1250" s="19" t="str">
        <f t="shared" si="327"/>
        <v/>
      </c>
      <c r="T1250" s="19" t="str">
        <f t="shared" si="328"/>
        <v/>
      </c>
      <c r="U1250" s="19" t="str">
        <f t="shared" si="329"/>
        <v/>
      </c>
      <c r="V1250" s="19" t="str">
        <f t="shared" si="330"/>
        <v/>
      </c>
      <c r="W1250" s="73" t="str">
        <f t="shared" si="331"/>
        <v/>
      </c>
      <c r="X1250" s="19" t="str">
        <f>IF($D1250&lt;&gt;1,"",IF($G1250="ROKS",$R1250,IF($AI1250=1,0,MAX($N1250,$L1250-SUMIFS(TblApplications[CPU IKS libérable (vCPU)],TblApplications[Cluster IKS source],$F1250,TblApplications[Action],"À migrer",TblApplications[Mois prov (calc)],"&lt;="&amp;$E1250)-SUMIFS(TblApplications[CPU IKS libérable (vCPU)],TblApplications[Cluster IKS source],$F1250,TblApplications[Action],"À décommissionner",TblApplications[Mois lib (calc)],"&lt;="&amp;$E1250)))))</f>
        <v/>
      </c>
      <c r="Y1250" s="19" t="str">
        <f>IF($D1250&lt;&gt;1,"",IF($G1250="ROKS",$S1250,IF($AI1250=1,0,MAX($O1250,$M1250-SUMIFS(TblApplications[RAM IKS libérable (Go)],TblApplications[Cluster IKS source],$F1250,TblApplications[Action],"À migrer",TblApplications[Mois prov (calc)],"&lt;="&amp;$E1250)-SUMIFS(TblApplications[RAM IKS libérable (Go)],TblApplications[Cluster IKS source],$F1250,TblApplications[Action],"À décommissionner",TblApplications[Mois lib (calc)],"&lt;="&amp;$E1250)))))</f>
        <v/>
      </c>
      <c r="Z1250" s="19" t="str">
        <f t="shared" si="332"/>
        <v/>
      </c>
      <c r="AA1250" s="73" t="str">
        <f t="shared" si="333"/>
        <v/>
      </c>
      <c r="AB1250" s="19" t="str">
        <f t="shared" si="334"/>
        <v/>
      </c>
      <c r="AC1250" s="73" t="str">
        <f t="shared" si="335"/>
        <v/>
      </c>
      <c r="AD1250" s="19" t="str">
        <f t="shared" si="336"/>
        <v/>
      </c>
      <c r="AE1250" s="19" t="str">
        <f t="shared" si="337"/>
        <v/>
      </c>
      <c r="AF1250" s="19" t="str">
        <f>IF($D1250&lt;&gt;1,"",IF(INDEX(TblClusters[Environnement],$B1250)="","(vide)",INDEX(TblClusters[Environnement],$B1250)))</f>
        <v/>
      </c>
      <c r="AG1250" s="19" t="str">
        <f t="shared" si="338"/>
        <v/>
      </c>
      <c r="AH1250" s="19" t="str">
        <f t="shared" si="339"/>
        <v/>
      </c>
      <c r="AI1250" s="19" t="str">
        <f>IF($D1250&lt;&gt;1,"",IF(AND($G1250="IKS",ISNUMBER(INDEX(TblClusters[Fermeture retenue],$B1250))),IF($E1250&gt;=INDEX(TblClusters[Fermeture retenue],$B1250),1,0),0))</f>
        <v/>
      </c>
    </row>
    <row r="1251" spans="1:35" x14ac:dyDescent="0.2">
      <c r="A1251" s="19">
        <v>1246</v>
      </c>
      <c r="B1251" s="19">
        <f t="shared" si="323"/>
        <v>35</v>
      </c>
      <c r="C1251" s="19">
        <f t="shared" si="324"/>
        <v>22</v>
      </c>
      <c r="D1251" s="19">
        <f>IF($C1251&gt;p_horizon,0,IFERROR(IF(AND(INDEX(TblClusters[Cluster],$B1251)&lt;&gt;"",ISNUMBER(INDEX(TblClusters[CPU initial (vCPU)],$B1251)),ISNUMBER(INDEX(TblClusters[CPU min (vCPU)],$B1251)),OR(INDEX(TblClusters[Plateforme],$B1251)="IKS",INDEX(TblClusters[Plateforme],$B1251)="ROKS")),1,0),0))</f>
        <v>0</v>
      </c>
      <c r="E1251" s="72" t="str">
        <f t="shared" si="325"/>
        <v/>
      </c>
      <c r="F1251" s="19" t="str">
        <f>IF($D1251=1,INDEX(TblClusters[Cluster],$B1251),"")</f>
        <v/>
      </c>
      <c r="G1251" s="19" t="str">
        <f>IF($D1251=1,INDEX(TblClusters[Plateforme],$B1251),"")</f>
        <v/>
      </c>
      <c r="H1251" s="19" t="str">
        <f>IF($D1251=1,INDEX(TblClusters[vCPU par nœud],$B1251),"")</f>
        <v/>
      </c>
      <c r="I1251" s="19" t="str">
        <f>IF($D1251=1,INDEX(TblClusters[RAM par nœud (Go)],$B1251),"")</f>
        <v/>
      </c>
      <c r="J1251" s="19" t="str">
        <f>IF($D1251=1,INDEX(TblClusters[Workers min],$B1251),"")</f>
        <v/>
      </c>
      <c r="K1251" s="73" t="str">
        <f>IF($D1251=1,INDEX(TblClusters[Tarif par nœud],$B1251),"")</f>
        <v/>
      </c>
      <c r="L1251" s="19" t="str">
        <f>IF($D1251=1,INDEX(TblClusters[CPU initial (vCPU)],$B1251),"")</f>
        <v/>
      </c>
      <c r="M1251" s="19" t="str">
        <f>IF($D1251=1,INDEX(TblClusters[RAM initiale (Go)],$B1251),"")</f>
        <v/>
      </c>
      <c r="N1251" s="19" t="str">
        <f>IF($D1251=1,INDEX(TblClusters[CPU min (vCPU)],$B1251),"")</f>
        <v/>
      </c>
      <c r="O1251" s="19" t="str">
        <f>IF($D1251=1,INDEX(TblClusters[RAM min (Go)],$B1251),"")</f>
        <v/>
      </c>
      <c r="P1251" s="19" t="str">
        <f>IF($D1251&lt;&gt;1,"",IF($G1251="ROKS",SUMIFS(TblApplications[Besoin ROKS CPU (vCPU)],TblApplications[Cluster ROKS cible],$F1251,TblApplications[Action],"À migrer",TblApplications[Déjà incluse ROKS],"Non",TblApplications[Mois prov (calc)],"&lt;="&amp;$E1251),SUMIFS(TblApplications[CPU IKS libérable (vCPU)],TblApplications[Cluster IKS source],$F1251,TblApplications[Mois lib (calc)],"&lt;="&amp;$E1251)))</f>
        <v/>
      </c>
      <c r="Q1251" s="19" t="str">
        <f>IF($D1251&lt;&gt;1,"",IF($G1251="ROKS",SUMIFS(TblApplications[Besoin ROKS RAM (Go)],TblApplications[Cluster ROKS cible],$F1251,TblApplications[Action],"À migrer",TblApplications[Déjà incluse ROKS],"Non",TblApplications[Mois prov (calc)],"&lt;="&amp;$E1251),SUMIFS(TblApplications[RAM IKS libérable (Go)],TblApplications[Cluster IKS source],$F1251,TblApplications[Mois lib (calc)],"&lt;="&amp;$E1251)))</f>
        <v/>
      </c>
      <c r="R1251" s="19" t="str">
        <f t="shared" si="326"/>
        <v/>
      </c>
      <c r="S1251" s="19" t="str">
        <f t="shared" si="327"/>
        <v/>
      </c>
      <c r="T1251" s="19" t="str">
        <f t="shared" si="328"/>
        <v/>
      </c>
      <c r="U1251" s="19" t="str">
        <f t="shared" si="329"/>
        <v/>
      </c>
      <c r="V1251" s="19" t="str">
        <f t="shared" si="330"/>
        <v/>
      </c>
      <c r="W1251" s="73" t="str">
        <f t="shared" si="331"/>
        <v/>
      </c>
      <c r="X1251" s="19" t="str">
        <f>IF($D1251&lt;&gt;1,"",IF($G1251="ROKS",$R1251,IF($AI1251=1,0,MAX($N1251,$L1251-SUMIFS(TblApplications[CPU IKS libérable (vCPU)],TblApplications[Cluster IKS source],$F1251,TblApplications[Action],"À migrer",TblApplications[Mois prov (calc)],"&lt;="&amp;$E1251)-SUMIFS(TblApplications[CPU IKS libérable (vCPU)],TblApplications[Cluster IKS source],$F1251,TblApplications[Action],"À décommissionner",TblApplications[Mois lib (calc)],"&lt;="&amp;$E1251)))))</f>
        <v/>
      </c>
      <c r="Y1251" s="19" t="str">
        <f>IF($D1251&lt;&gt;1,"",IF($G1251="ROKS",$S1251,IF($AI1251=1,0,MAX($O1251,$M1251-SUMIFS(TblApplications[RAM IKS libérable (Go)],TblApplications[Cluster IKS source],$F1251,TblApplications[Action],"À migrer",TblApplications[Mois prov (calc)],"&lt;="&amp;$E1251)-SUMIFS(TblApplications[RAM IKS libérable (Go)],TblApplications[Cluster IKS source],$F1251,TblApplications[Action],"À décommissionner",TblApplications[Mois lib (calc)],"&lt;="&amp;$E1251)))))</f>
        <v/>
      </c>
      <c r="Z1251" s="19" t="str">
        <f t="shared" si="332"/>
        <v/>
      </c>
      <c r="AA1251" s="73" t="str">
        <f t="shared" si="333"/>
        <v/>
      </c>
      <c r="AB1251" s="19" t="str">
        <f t="shared" si="334"/>
        <v/>
      </c>
      <c r="AC1251" s="73" t="str">
        <f t="shared" si="335"/>
        <v/>
      </c>
      <c r="AD1251" s="19" t="str">
        <f t="shared" si="336"/>
        <v/>
      </c>
      <c r="AE1251" s="19" t="str">
        <f t="shared" si="337"/>
        <v/>
      </c>
      <c r="AF1251" s="19" t="str">
        <f>IF($D1251&lt;&gt;1,"",IF(INDEX(TblClusters[Environnement],$B1251)="","(vide)",INDEX(TblClusters[Environnement],$B1251)))</f>
        <v/>
      </c>
      <c r="AG1251" s="19" t="str">
        <f t="shared" si="338"/>
        <v/>
      </c>
      <c r="AH1251" s="19" t="str">
        <f t="shared" si="339"/>
        <v/>
      </c>
      <c r="AI1251" s="19" t="str">
        <f>IF($D1251&lt;&gt;1,"",IF(AND($G1251="IKS",ISNUMBER(INDEX(TblClusters[Fermeture retenue],$B1251))),IF($E1251&gt;=INDEX(TblClusters[Fermeture retenue],$B1251),1,0),0))</f>
        <v/>
      </c>
    </row>
    <row r="1252" spans="1:35" x14ac:dyDescent="0.2">
      <c r="A1252" s="19">
        <v>1247</v>
      </c>
      <c r="B1252" s="19">
        <f t="shared" si="323"/>
        <v>35</v>
      </c>
      <c r="C1252" s="19">
        <f t="shared" si="324"/>
        <v>23</v>
      </c>
      <c r="D1252" s="19">
        <f>IF($C1252&gt;p_horizon,0,IFERROR(IF(AND(INDEX(TblClusters[Cluster],$B1252)&lt;&gt;"",ISNUMBER(INDEX(TblClusters[CPU initial (vCPU)],$B1252)),ISNUMBER(INDEX(TblClusters[CPU min (vCPU)],$B1252)),OR(INDEX(TblClusters[Plateforme],$B1252)="IKS",INDEX(TblClusters[Plateforme],$B1252)="ROKS")),1,0),0))</f>
        <v>0</v>
      </c>
      <c r="E1252" s="72" t="str">
        <f t="shared" si="325"/>
        <v/>
      </c>
      <c r="F1252" s="19" t="str">
        <f>IF($D1252=1,INDEX(TblClusters[Cluster],$B1252),"")</f>
        <v/>
      </c>
      <c r="G1252" s="19" t="str">
        <f>IF($D1252=1,INDEX(TblClusters[Plateforme],$B1252),"")</f>
        <v/>
      </c>
      <c r="H1252" s="19" t="str">
        <f>IF($D1252=1,INDEX(TblClusters[vCPU par nœud],$B1252),"")</f>
        <v/>
      </c>
      <c r="I1252" s="19" t="str">
        <f>IF($D1252=1,INDEX(TblClusters[RAM par nœud (Go)],$B1252),"")</f>
        <v/>
      </c>
      <c r="J1252" s="19" t="str">
        <f>IF($D1252=1,INDEX(TblClusters[Workers min],$B1252),"")</f>
        <v/>
      </c>
      <c r="K1252" s="73" t="str">
        <f>IF($D1252=1,INDEX(TblClusters[Tarif par nœud],$B1252),"")</f>
        <v/>
      </c>
      <c r="L1252" s="19" t="str">
        <f>IF($D1252=1,INDEX(TblClusters[CPU initial (vCPU)],$B1252),"")</f>
        <v/>
      </c>
      <c r="M1252" s="19" t="str">
        <f>IF($D1252=1,INDEX(TblClusters[RAM initiale (Go)],$B1252),"")</f>
        <v/>
      </c>
      <c r="N1252" s="19" t="str">
        <f>IF($D1252=1,INDEX(TblClusters[CPU min (vCPU)],$B1252),"")</f>
        <v/>
      </c>
      <c r="O1252" s="19" t="str">
        <f>IF($D1252=1,INDEX(TblClusters[RAM min (Go)],$B1252),"")</f>
        <v/>
      </c>
      <c r="P1252" s="19" t="str">
        <f>IF($D1252&lt;&gt;1,"",IF($G1252="ROKS",SUMIFS(TblApplications[Besoin ROKS CPU (vCPU)],TblApplications[Cluster ROKS cible],$F1252,TblApplications[Action],"À migrer",TblApplications[Déjà incluse ROKS],"Non",TblApplications[Mois prov (calc)],"&lt;="&amp;$E1252),SUMIFS(TblApplications[CPU IKS libérable (vCPU)],TblApplications[Cluster IKS source],$F1252,TblApplications[Mois lib (calc)],"&lt;="&amp;$E1252)))</f>
        <v/>
      </c>
      <c r="Q1252" s="19" t="str">
        <f>IF($D1252&lt;&gt;1,"",IF($G1252="ROKS",SUMIFS(TblApplications[Besoin ROKS RAM (Go)],TblApplications[Cluster ROKS cible],$F1252,TblApplications[Action],"À migrer",TblApplications[Déjà incluse ROKS],"Non",TblApplications[Mois prov (calc)],"&lt;="&amp;$E1252),SUMIFS(TblApplications[RAM IKS libérable (Go)],TblApplications[Cluster IKS source],$F1252,TblApplications[Mois lib (calc)],"&lt;="&amp;$E1252)))</f>
        <v/>
      </c>
      <c r="R1252" s="19" t="str">
        <f t="shared" si="326"/>
        <v/>
      </c>
      <c r="S1252" s="19" t="str">
        <f t="shared" si="327"/>
        <v/>
      </c>
      <c r="T1252" s="19" t="str">
        <f t="shared" si="328"/>
        <v/>
      </c>
      <c r="U1252" s="19" t="str">
        <f t="shared" si="329"/>
        <v/>
      </c>
      <c r="V1252" s="19" t="str">
        <f t="shared" si="330"/>
        <v/>
      </c>
      <c r="W1252" s="73" t="str">
        <f t="shared" si="331"/>
        <v/>
      </c>
      <c r="X1252" s="19" t="str">
        <f>IF($D1252&lt;&gt;1,"",IF($G1252="ROKS",$R1252,IF($AI1252=1,0,MAX($N1252,$L1252-SUMIFS(TblApplications[CPU IKS libérable (vCPU)],TblApplications[Cluster IKS source],$F1252,TblApplications[Action],"À migrer",TblApplications[Mois prov (calc)],"&lt;="&amp;$E1252)-SUMIFS(TblApplications[CPU IKS libérable (vCPU)],TblApplications[Cluster IKS source],$F1252,TblApplications[Action],"À décommissionner",TblApplications[Mois lib (calc)],"&lt;="&amp;$E1252)))))</f>
        <v/>
      </c>
      <c r="Y1252" s="19" t="str">
        <f>IF($D1252&lt;&gt;1,"",IF($G1252="ROKS",$S1252,IF($AI1252=1,0,MAX($O1252,$M1252-SUMIFS(TblApplications[RAM IKS libérable (Go)],TblApplications[Cluster IKS source],$F1252,TblApplications[Action],"À migrer",TblApplications[Mois prov (calc)],"&lt;="&amp;$E1252)-SUMIFS(TblApplications[RAM IKS libérable (Go)],TblApplications[Cluster IKS source],$F1252,TblApplications[Action],"À décommissionner",TblApplications[Mois lib (calc)],"&lt;="&amp;$E1252)))))</f>
        <v/>
      </c>
      <c r="Z1252" s="19" t="str">
        <f t="shared" si="332"/>
        <v/>
      </c>
      <c r="AA1252" s="73" t="str">
        <f t="shared" si="333"/>
        <v/>
      </c>
      <c r="AB1252" s="19" t="str">
        <f t="shared" si="334"/>
        <v/>
      </c>
      <c r="AC1252" s="73" t="str">
        <f t="shared" si="335"/>
        <v/>
      </c>
      <c r="AD1252" s="19" t="str">
        <f t="shared" si="336"/>
        <v/>
      </c>
      <c r="AE1252" s="19" t="str">
        <f t="shared" si="337"/>
        <v/>
      </c>
      <c r="AF1252" s="19" t="str">
        <f>IF($D1252&lt;&gt;1,"",IF(INDEX(TblClusters[Environnement],$B1252)="","(vide)",INDEX(TblClusters[Environnement],$B1252)))</f>
        <v/>
      </c>
      <c r="AG1252" s="19" t="str">
        <f t="shared" si="338"/>
        <v/>
      </c>
      <c r="AH1252" s="19" t="str">
        <f t="shared" si="339"/>
        <v/>
      </c>
      <c r="AI1252" s="19" t="str">
        <f>IF($D1252&lt;&gt;1,"",IF(AND($G1252="IKS",ISNUMBER(INDEX(TblClusters[Fermeture retenue],$B1252))),IF($E1252&gt;=INDEX(TblClusters[Fermeture retenue],$B1252),1,0),0))</f>
        <v/>
      </c>
    </row>
    <row r="1253" spans="1:35" x14ac:dyDescent="0.2">
      <c r="A1253" s="19">
        <v>1248</v>
      </c>
      <c r="B1253" s="19">
        <f t="shared" si="323"/>
        <v>35</v>
      </c>
      <c r="C1253" s="19">
        <f t="shared" si="324"/>
        <v>24</v>
      </c>
      <c r="D1253" s="19">
        <f>IF($C1253&gt;p_horizon,0,IFERROR(IF(AND(INDEX(TblClusters[Cluster],$B1253)&lt;&gt;"",ISNUMBER(INDEX(TblClusters[CPU initial (vCPU)],$B1253)),ISNUMBER(INDEX(TblClusters[CPU min (vCPU)],$B1253)),OR(INDEX(TblClusters[Plateforme],$B1253)="IKS",INDEX(TblClusters[Plateforme],$B1253)="ROKS")),1,0),0))</f>
        <v>0</v>
      </c>
      <c r="E1253" s="72" t="str">
        <f t="shared" si="325"/>
        <v/>
      </c>
      <c r="F1253" s="19" t="str">
        <f>IF($D1253=1,INDEX(TblClusters[Cluster],$B1253),"")</f>
        <v/>
      </c>
      <c r="G1253" s="19" t="str">
        <f>IF($D1253=1,INDEX(TblClusters[Plateforme],$B1253),"")</f>
        <v/>
      </c>
      <c r="H1253" s="19" t="str">
        <f>IF($D1253=1,INDEX(TblClusters[vCPU par nœud],$B1253),"")</f>
        <v/>
      </c>
      <c r="I1253" s="19" t="str">
        <f>IF($D1253=1,INDEX(TblClusters[RAM par nœud (Go)],$B1253),"")</f>
        <v/>
      </c>
      <c r="J1253" s="19" t="str">
        <f>IF($D1253=1,INDEX(TblClusters[Workers min],$B1253),"")</f>
        <v/>
      </c>
      <c r="K1253" s="73" t="str">
        <f>IF($D1253=1,INDEX(TblClusters[Tarif par nœud],$B1253),"")</f>
        <v/>
      </c>
      <c r="L1253" s="19" t="str">
        <f>IF($D1253=1,INDEX(TblClusters[CPU initial (vCPU)],$B1253),"")</f>
        <v/>
      </c>
      <c r="M1253" s="19" t="str">
        <f>IF($D1253=1,INDEX(TblClusters[RAM initiale (Go)],$B1253),"")</f>
        <v/>
      </c>
      <c r="N1253" s="19" t="str">
        <f>IF($D1253=1,INDEX(TblClusters[CPU min (vCPU)],$B1253),"")</f>
        <v/>
      </c>
      <c r="O1253" s="19" t="str">
        <f>IF($D1253=1,INDEX(TblClusters[RAM min (Go)],$B1253),"")</f>
        <v/>
      </c>
      <c r="P1253" s="19" t="str">
        <f>IF($D1253&lt;&gt;1,"",IF($G1253="ROKS",SUMIFS(TblApplications[Besoin ROKS CPU (vCPU)],TblApplications[Cluster ROKS cible],$F1253,TblApplications[Action],"À migrer",TblApplications[Déjà incluse ROKS],"Non",TblApplications[Mois prov (calc)],"&lt;="&amp;$E1253),SUMIFS(TblApplications[CPU IKS libérable (vCPU)],TblApplications[Cluster IKS source],$F1253,TblApplications[Mois lib (calc)],"&lt;="&amp;$E1253)))</f>
        <v/>
      </c>
      <c r="Q1253" s="19" t="str">
        <f>IF($D1253&lt;&gt;1,"",IF($G1253="ROKS",SUMIFS(TblApplications[Besoin ROKS RAM (Go)],TblApplications[Cluster ROKS cible],$F1253,TblApplications[Action],"À migrer",TblApplications[Déjà incluse ROKS],"Non",TblApplications[Mois prov (calc)],"&lt;="&amp;$E1253),SUMIFS(TblApplications[RAM IKS libérable (Go)],TblApplications[Cluster IKS source],$F1253,TblApplications[Mois lib (calc)],"&lt;="&amp;$E1253)))</f>
        <v/>
      </c>
      <c r="R1253" s="19" t="str">
        <f t="shared" si="326"/>
        <v/>
      </c>
      <c r="S1253" s="19" t="str">
        <f t="shared" si="327"/>
        <v/>
      </c>
      <c r="T1253" s="19" t="str">
        <f t="shared" si="328"/>
        <v/>
      </c>
      <c r="U1253" s="19" t="str">
        <f t="shared" si="329"/>
        <v/>
      </c>
      <c r="V1253" s="19" t="str">
        <f t="shared" si="330"/>
        <v/>
      </c>
      <c r="W1253" s="73" t="str">
        <f t="shared" si="331"/>
        <v/>
      </c>
      <c r="X1253" s="19" t="str">
        <f>IF($D1253&lt;&gt;1,"",IF($G1253="ROKS",$R1253,IF($AI1253=1,0,MAX($N1253,$L1253-SUMIFS(TblApplications[CPU IKS libérable (vCPU)],TblApplications[Cluster IKS source],$F1253,TblApplications[Action],"À migrer",TblApplications[Mois prov (calc)],"&lt;="&amp;$E1253)-SUMIFS(TblApplications[CPU IKS libérable (vCPU)],TblApplications[Cluster IKS source],$F1253,TblApplications[Action],"À décommissionner",TblApplications[Mois lib (calc)],"&lt;="&amp;$E1253)))))</f>
        <v/>
      </c>
      <c r="Y1253" s="19" t="str">
        <f>IF($D1253&lt;&gt;1,"",IF($G1253="ROKS",$S1253,IF($AI1253=1,0,MAX($O1253,$M1253-SUMIFS(TblApplications[RAM IKS libérable (Go)],TblApplications[Cluster IKS source],$F1253,TblApplications[Action],"À migrer",TblApplications[Mois prov (calc)],"&lt;="&amp;$E1253)-SUMIFS(TblApplications[RAM IKS libérable (Go)],TblApplications[Cluster IKS source],$F1253,TblApplications[Action],"À décommissionner",TblApplications[Mois lib (calc)],"&lt;="&amp;$E1253)))))</f>
        <v/>
      </c>
      <c r="Z1253" s="19" t="str">
        <f t="shared" si="332"/>
        <v/>
      </c>
      <c r="AA1253" s="73" t="str">
        <f t="shared" si="333"/>
        <v/>
      </c>
      <c r="AB1253" s="19" t="str">
        <f t="shared" si="334"/>
        <v/>
      </c>
      <c r="AC1253" s="73" t="str">
        <f t="shared" si="335"/>
        <v/>
      </c>
      <c r="AD1253" s="19" t="str">
        <f t="shared" si="336"/>
        <v/>
      </c>
      <c r="AE1253" s="19" t="str">
        <f t="shared" si="337"/>
        <v/>
      </c>
      <c r="AF1253" s="19" t="str">
        <f>IF($D1253&lt;&gt;1,"",IF(INDEX(TblClusters[Environnement],$B1253)="","(vide)",INDEX(TblClusters[Environnement],$B1253)))</f>
        <v/>
      </c>
      <c r="AG1253" s="19" t="str">
        <f t="shared" si="338"/>
        <v/>
      </c>
      <c r="AH1253" s="19" t="str">
        <f t="shared" si="339"/>
        <v/>
      </c>
      <c r="AI1253" s="19" t="str">
        <f>IF($D1253&lt;&gt;1,"",IF(AND($G1253="IKS",ISNUMBER(INDEX(TblClusters[Fermeture retenue],$B1253))),IF($E1253&gt;=INDEX(TblClusters[Fermeture retenue],$B1253),1,0),0))</f>
        <v/>
      </c>
    </row>
    <row r="1254" spans="1:35" x14ac:dyDescent="0.2">
      <c r="A1254" s="19">
        <v>1249</v>
      </c>
      <c r="B1254" s="19">
        <f t="shared" si="323"/>
        <v>35</v>
      </c>
      <c r="C1254" s="19">
        <f t="shared" si="324"/>
        <v>25</v>
      </c>
      <c r="D1254" s="19">
        <f>IF($C1254&gt;p_horizon,0,IFERROR(IF(AND(INDEX(TblClusters[Cluster],$B1254)&lt;&gt;"",ISNUMBER(INDEX(TblClusters[CPU initial (vCPU)],$B1254)),ISNUMBER(INDEX(TblClusters[CPU min (vCPU)],$B1254)),OR(INDEX(TblClusters[Plateforme],$B1254)="IKS",INDEX(TblClusters[Plateforme],$B1254)="ROKS")),1,0),0))</f>
        <v>0</v>
      </c>
      <c r="E1254" s="72" t="str">
        <f t="shared" si="325"/>
        <v/>
      </c>
      <c r="F1254" s="19" t="str">
        <f>IF($D1254=1,INDEX(TblClusters[Cluster],$B1254),"")</f>
        <v/>
      </c>
      <c r="G1254" s="19" t="str">
        <f>IF($D1254=1,INDEX(TblClusters[Plateforme],$B1254),"")</f>
        <v/>
      </c>
      <c r="H1254" s="19" t="str">
        <f>IF($D1254=1,INDEX(TblClusters[vCPU par nœud],$B1254),"")</f>
        <v/>
      </c>
      <c r="I1254" s="19" t="str">
        <f>IF($D1254=1,INDEX(TblClusters[RAM par nœud (Go)],$B1254),"")</f>
        <v/>
      </c>
      <c r="J1254" s="19" t="str">
        <f>IF($D1254=1,INDEX(TblClusters[Workers min],$B1254),"")</f>
        <v/>
      </c>
      <c r="K1254" s="73" t="str">
        <f>IF($D1254=1,INDEX(TblClusters[Tarif par nœud],$B1254),"")</f>
        <v/>
      </c>
      <c r="L1254" s="19" t="str">
        <f>IF($D1254=1,INDEX(TblClusters[CPU initial (vCPU)],$B1254),"")</f>
        <v/>
      </c>
      <c r="M1254" s="19" t="str">
        <f>IF($D1254=1,INDEX(TblClusters[RAM initiale (Go)],$B1254),"")</f>
        <v/>
      </c>
      <c r="N1254" s="19" t="str">
        <f>IF($D1254=1,INDEX(TblClusters[CPU min (vCPU)],$B1254),"")</f>
        <v/>
      </c>
      <c r="O1254" s="19" t="str">
        <f>IF($D1254=1,INDEX(TblClusters[RAM min (Go)],$B1254),"")</f>
        <v/>
      </c>
      <c r="P1254" s="19" t="str">
        <f>IF($D1254&lt;&gt;1,"",IF($G1254="ROKS",SUMIFS(TblApplications[Besoin ROKS CPU (vCPU)],TblApplications[Cluster ROKS cible],$F1254,TblApplications[Action],"À migrer",TblApplications[Déjà incluse ROKS],"Non",TblApplications[Mois prov (calc)],"&lt;="&amp;$E1254),SUMIFS(TblApplications[CPU IKS libérable (vCPU)],TblApplications[Cluster IKS source],$F1254,TblApplications[Mois lib (calc)],"&lt;="&amp;$E1254)))</f>
        <v/>
      </c>
      <c r="Q1254" s="19" t="str">
        <f>IF($D1254&lt;&gt;1,"",IF($G1254="ROKS",SUMIFS(TblApplications[Besoin ROKS RAM (Go)],TblApplications[Cluster ROKS cible],$F1254,TblApplications[Action],"À migrer",TblApplications[Déjà incluse ROKS],"Non",TblApplications[Mois prov (calc)],"&lt;="&amp;$E1254),SUMIFS(TblApplications[RAM IKS libérable (Go)],TblApplications[Cluster IKS source],$F1254,TblApplications[Mois lib (calc)],"&lt;="&amp;$E1254)))</f>
        <v/>
      </c>
      <c r="R1254" s="19" t="str">
        <f t="shared" si="326"/>
        <v/>
      </c>
      <c r="S1254" s="19" t="str">
        <f t="shared" si="327"/>
        <v/>
      </c>
      <c r="T1254" s="19" t="str">
        <f t="shared" si="328"/>
        <v/>
      </c>
      <c r="U1254" s="19" t="str">
        <f t="shared" si="329"/>
        <v/>
      </c>
      <c r="V1254" s="19" t="str">
        <f t="shared" si="330"/>
        <v/>
      </c>
      <c r="W1254" s="73" t="str">
        <f t="shared" si="331"/>
        <v/>
      </c>
      <c r="X1254" s="19" t="str">
        <f>IF($D1254&lt;&gt;1,"",IF($G1254="ROKS",$R1254,IF($AI1254=1,0,MAX($N1254,$L1254-SUMIFS(TblApplications[CPU IKS libérable (vCPU)],TblApplications[Cluster IKS source],$F1254,TblApplications[Action],"À migrer",TblApplications[Mois prov (calc)],"&lt;="&amp;$E1254)-SUMIFS(TblApplications[CPU IKS libérable (vCPU)],TblApplications[Cluster IKS source],$F1254,TblApplications[Action],"À décommissionner",TblApplications[Mois lib (calc)],"&lt;="&amp;$E1254)))))</f>
        <v/>
      </c>
      <c r="Y1254" s="19" t="str">
        <f>IF($D1254&lt;&gt;1,"",IF($G1254="ROKS",$S1254,IF($AI1254=1,0,MAX($O1254,$M1254-SUMIFS(TblApplications[RAM IKS libérable (Go)],TblApplications[Cluster IKS source],$F1254,TblApplications[Action],"À migrer",TblApplications[Mois prov (calc)],"&lt;="&amp;$E1254)-SUMIFS(TblApplications[RAM IKS libérable (Go)],TblApplications[Cluster IKS source],$F1254,TblApplications[Action],"À décommissionner",TblApplications[Mois lib (calc)],"&lt;="&amp;$E1254)))))</f>
        <v/>
      </c>
      <c r="Z1254" s="19" t="str">
        <f t="shared" si="332"/>
        <v/>
      </c>
      <c r="AA1254" s="73" t="str">
        <f t="shared" si="333"/>
        <v/>
      </c>
      <c r="AB1254" s="19" t="str">
        <f t="shared" si="334"/>
        <v/>
      </c>
      <c r="AC1254" s="73" t="str">
        <f t="shared" si="335"/>
        <v/>
      </c>
      <c r="AD1254" s="19" t="str">
        <f t="shared" si="336"/>
        <v/>
      </c>
      <c r="AE1254" s="19" t="str">
        <f t="shared" si="337"/>
        <v/>
      </c>
      <c r="AF1254" s="19" t="str">
        <f>IF($D1254&lt;&gt;1,"",IF(INDEX(TblClusters[Environnement],$B1254)="","(vide)",INDEX(TblClusters[Environnement],$B1254)))</f>
        <v/>
      </c>
      <c r="AG1254" s="19" t="str">
        <f t="shared" si="338"/>
        <v/>
      </c>
      <c r="AH1254" s="19" t="str">
        <f t="shared" si="339"/>
        <v/>
      </c>
      <c r="AI1254" s="19" t="str">
        <f>IF($D1254&lt;&gt;1,"",IF(AND($G1254="IKS",ISNUMBER(INDEX(TblClusters[Fermeture retenue],$B1254))),IF($E1254&gt;=INDEX(TblClusters[Fermeture retenue],$B1254),1,0),0))</f>
        <v/>
      </c>
    </row>
    <row r="1255" spans="1:35" x14ac:dyDescent="0.2">
      <c r="A1255" s="19">
        <v>1250</v>
      </c>
      <c r="B1255" s="19">
        <f t="shared" si="323"/>
        <v>35</v>
      </c>
      <c r="C1255" s="19">
        <f t="shared" si="324"/>
        <v>26</v>
      </c>
      <c r="D1255" s="19">
        <f>IF($C1255&gt;p_horizon,0,IFERROR(IF(AND(INDEX(TblClusters[Cluster],$B1255)&lt;&gt;"",ISNUMBER(INDEX(TblClusters[CPU initial (vCPU)],$B1255)),ISNUMBER(INDEX(TblClusters[CPU min (vCPU)],$B1255)),OR(INDEX(TblClusters[Plateforme],$B1255)="IKS",INDEX(TblClusters[Plateforme],$B1255)="ROKS")),1,0),0))</f>
        <v>0</v>
      </c>
      <c r="E1255" s="72" t="str">
        <f t="shared" si="325"/>
        <v/>
      </c>
      <c r="F1255" s="19" t="str">
        <f>IF($D1255=1,INDEX(TblClusters[Cluster],$B1255),"")</f>
        <v/>
      </c>
      <c r="G1255" s="19" t="str">
        <f>IF($D1255=1,INDEX(TblClusters[Plateforme],$B1255),"")</f>
        <v/>
      </c>
      <c r="H1255" s="19" t="str">
        <f>IF($D1255=1,INDEX(TblClusters[vCPU par nœud],$B1255),"")</f>
        <v/>
      </c>
      <c r="I1255" s="19" t="str">
        <f>IF($D1255=1,INDEX(TblClusters[RAM par nœud (Go)],$B1255),"")</f>
        <v/>
      </c>
      <c r="J1255" s="19" t="str">
        <f>IF($D1255=1,INDEX(TblClusters[Workers min],$B1255),"")</f>
        <v/>
      </c>
      <c r="K1255" s="73" t="str">
        <f>IF($D1255=1,INDEX(TblClusters[Tarif par nœud],$B1255),"")</f>
        <v/>
      </c>
      <c r="L1255" s="19" t="str">
        <f>IF($D1255=1,INDEX(TblClusters[CPU initial (vCPU)],$B1255),"")</f>
        <v/>
      </c>
      <c r="M1255" s="19" t="str">
        <f>IF($D1255=1,INDEX(TblClusters[RAM initiale (Go)],$B1255),"")</f>
        <v/>
      </c>
      <c r="N1255" s="19" t="str">
        <f>IF($D1255=1,INDEX(TblClusters[CPU min (vCPU)],$B1255),"")</f>
        <v/>
      </c>
      <c r="O1255" s="19" t="str">
        <f>IF($D1255=1,INDEX(TblClusters[RAM min (Go)],$B1255),"")</f>
        <v/>
      </c>
      <c r="P1255" s="19" t="str">
        <f>IF($D1255&lt;&gt;1,"",IF($G1255="ROKS",SUMIFS(TblApplications[Besoin ROKS CPU (vCPU)],TblApplications[Cluster ROKS cible],$F1255,TblApplications[Action],"À migrer",TblApplications[Déjà incluse ROKS],"Non",TblApplications[Mois prov (calc)],"&lt;="&amp;$E1255),SUMIFS(TblApplications[CPU IKS libérable (vCPU)],TblApplications[Cluster IKS source],$F1255,TblApplications[Mois lib (calc)],"&lt;="&amp;$E1255)))</f>
        <v/>
      </c>
      <c r="Q1255" s="19" t="str">
        <f>IF($D1255&lt;&gt;1,"",IF($G1255="ROKS",SUMIFS(TblApplications[Besoin ROKS RAM (Go)],TblApplications[Cluster ROKS cible],$F1255,TblApplications[Action],"À migrer",TblApplications[Déjà incluse ROKS],"Non",TblApplications[Mois prov (calc)],"&lt;="&amp;$E1255),SUMIFS(TblApplications[RAM IKS libérable (Go)],TblApplications[Cluster IKS source],$F1255,TblApplications[Mois lib (calc)],"&lt;="&amp;$E1255)))</f>
        <v/>
      </c>
      <c r="R1255" s="19" t="str">
        <f t="shared" si="326"/>
        <v/>
      </c>
      <c r="S1255" s="19" t="str">
        <f t="shared" si="327"/>
        <v/>
      </c>
      <c r="T1255" s="19" t="str">
        <f t="shared" si="328"/>
        <v/>
      </c>
      <c r="U1255" s="19" t="str">
        <f t="shared" si="329"/>
        <v/>
      </c>
      <c r="V1255" s="19" t="str">
        <f t="shared" si="330"/>
        <v/>
      </c>
      <c r="W1255" s="73" t="str">
        <f t="shared" si="331"/>
        <v/>
      </c>
      <c r="X1255" s="19" t="str">
        <f>IF($D1255&lt;&gt;1,"",IF($G1255="ROKS",$R1255,IF($AI1255=1,0,MAX($N1255,$L1255-SUMIFS(TblApplications[CPU IKS libérable (vCPU)],TblApplications[Cluster IKS source],$F1255,TblApplications[Action],"À migrer",TblApplications[Mois prov (calc)],"&lt;="&amp;$E1255)-SUMIFS(TblApplications[CPU IKS libérable (vCPU)],TblApplications[Cluster IKS source],$F1255,TblApplications[Action],"À décommissionner",TblApplications[Mois lib (calc)],"&lt;="&amp;$E1255)))))</f>
        <v/>
      </c>
      <c r="Y1255" s="19" t="str">
        <f>IF($D1255&lt;&gt;1,"",IF($G1255="ROKS",$S1255,IF($AI1255=1,0,MAX($O1255,$M1255-SUMIFS(TblApplications[RAM IKS libérable (Go)],TblApplications[Cluster IKS source],$F1255,TblApplications[Action],"À migrer",TblApplications[Mois prov (calc)],"&lt;="&amp;$E1255)-SUMIFS(TblApplications[RAM IKS libérable (Go)],TblApplications[Cluster IKS source],$F1255,TblApplications[Action],"À décommissionner",TblApplications[Mois lib (calc)],"&lt;="&amp;$E1255)))))</f>
        <v/>
      </c>
      <c r="Z1255" s="19" t="str">
        <f t="shared" si="332"/>
        <v/>
      </c>
      <c r="AA1255" s="73" t="str">
        <f t="shared" si="333"/>
        <v/>
      </c>
      <c r="AB1255" s="19" t="str">
        <f t="shared" si="334"/>
        <v/>
      </c>
      <c r="AC1255" s="73" t="str">
        <f t="shared" si="335"/>
        <v/>
      </c>
      <c r="AD1255" s="19" t="str">
        <f t="shared" si="336"/>
        <v/>
      </c>
      <c r="AE1255" s="19" t="str">
        <f t="shared" si="337"/>
        <v/>
      </c>
      <c r="AF1255" s="19" t="str">
        <f>IF($D1255&lt;&gt;1,"",IF(INDEX(TblClusters[Environnement],$B1255)="","(vide)",INDEX(TblClusters[Environnement],$B1255)))</f>
        <v/>
      </c>
      <c r="AG1255" s="19" t="str">
        <f t="shared" si="338"/>
        <v/>
      </c>
      <c r="AH1255" s="19" t="str">
        <f t="shared" si="339"/>
        <v/>
      </c>
      <c r="AI1255" s="19" t="str">
        <f>IF($D1255&lt;&gt;1,"",IF(AND($G1255="IKS",ISNUMBER(INDEX(TblClusters[Fermeture retenue],$B1255))),IF($E1255&gt;=INDEX(TblClusters[Fermeture retenue],$B1255),1,0),0))</f>
        <v/>
      </c>
    </row>
    <row r="1256" spans="1:35" x14ac:dyDescent="0.2">
      <c r="A1256" s="19">
        <v>1251</v>
      </c>
      <c r="B1256" s="19">
        <f t="shared" si="323"/>
        <v>35</v>
      </c>
      <c r="C1256" s="19">
        <f t="shared" si="324"/>
        <v>27</v>
      </c>
      <c r="D1256" s="19">
        <f>IF($C1256&gt;p_horizon,0,IFERROR(IF(AND(INDEX(TblClusters[Cluster],$B1256)&lt;&gt;"",ISNUMBER(INDEX(TblClusters[CPU initial (vCPU)],$B1256)),ISNUMBER(INDEX(TblClusters[CPU min (vCPU)],$B1256)),OR(INDEX(TblClusters[Plateforme],$B1256)="IKS",INDEX(TblClusters[Plateforme],$B1256)="ROKS")),1,0),0))</f>
        <v>0</v>
      </c>
      <c r="E1256" s="72" t="str">
        <f t="shared" si="325"/>
        <v/>
      </c>
      <c r="F1256" s="19" t="str">
        <f>IF($D1256=1,INDEX(TblClusters[Cluster],$B1256),"")</f>
        <v/>
      </c>
      <c r="G1256" s="19" t="str">
        <f>IF($D1256=1,INDEX(TblClusters[Plateforme],$B1256),"")</f>
        <v/>
      </c>
      <c r="H1256" s="19" t="str">
        <f>IF($D1256=1,INDEX(TblClusters[vCPU par nœud],$B1256),"")</f>
        <v/>
      </c>
      <c r="I1256" s="19" t="str">
        <f>IF($D1256=1,INDEX(TblClusters[RAM par nœud (Go)],$B1256),"")</f>
        <v/>
      </c>
      <c r="J1256" s="19" t="str">
        <f>IF($D1256=1,INDEX(TblClusters[Workers min],$B1256),"")</f>
        <v/>
      </c>
      <c r="K1256" s="73" t="str">
        <f>IF($D1256=1,INDEX(TblClusters[Tarif par nœud],$B1256),"")</f>
        <v/>
      </c>
      <c r="L1256" s="19" t="str">
        <f>IF($D1256=1,INDEX(TblClusters[CPU initial (vCPU)],$B1256),"")</f>
        <v/>
      </c>
      <c r="M1256" s="19" t="str">
        <f>IF($D1256=1,INDEX(TblClusters[RAM initiale (Go)],$B1256),"")</f>
        <v/>
      </c>
      <c r="N1256" s="19" t="str">
        <f>IF($D1256=1,INDEX(TblClusters[CPU min (vCPU)],$B1256),"")</f>
        <v/>
      </c>
      <c r="O1256" s="19" t="str">
        <f>IF($D1256=1,INDEX(TblClusters[RAM min (Go)],$B1256),"")</f>
        <v/>
      </c>
      <c r="P1256" s="19" t="str">
        <f>IF($D1256&lt;&gt;1,"",IF($G1256="ROKS",SUMIFS(TblApplications[Besoin ROKS CPU (vCPU)],TblApplications[Cluster ROKS cible],$F1256,TblApplications[Action],"À migrer",TblApplications[Déjà incluse ROKS],"Non",TblApplications[Mois prov (calc)],"&lt;="&amp;$E1256),SUMIFS(TblApplications[CPU IKS libérable (vCPU)],TblApplications[Cluster IKS source],$F1256,TblApplications[Mois lib (calc)],"&lt;="&amp;$E1256)))</f>
        <v/>
      </c>
      <c r="Q1256" s="19" t="str">
        <f>IF($D1256&lt;&gt;1,"",IF($G1256="ROKS",SUMIFS(TblApplications[Besoin ROKS RAM (Go)],TblApplications[Cluster ROKS cible],$F1256,TblApplications[Action],"À migrer",TblApplications[Déjà incluse ROKS],"Non",TblApplications[Mois prov (calc)],"&lt;="&amp;$E1256),SUMIFS(TblApplications[RAM IKS libérable (Go)],TblApplications[Cluster IKS source],$F1256,TblApplications[Mois lib (calc)],"&lt;="&amp;$E1256)))</f>
        <v/>
      </c>
      <c r="R1256" s="19" t="str">
        <f t="shared" si="326"/>
        <v/>
      </c>
      <c r="S1256" s="19" t="str">
        <f t="shared" si="327"/>
        <v/>
      </c>
      <c r="T1256" s="19" t="str">
        <f t="shared" si="328"/>
        <v/>
      </c>
      <c r="U1256" s="19" t="str">
        <f t="shared" si="329"/>
        <v/>
      </c>
      <c r="V1256" s="19" t="str">
        <f t="shared" si="330"/>
        <v/>
      </c>
      <c r="W1256" s="73" t="str">
        <f t="shared" si="331"/>
        <v/>
      </c>
      <c r="X1256" s="19" t="str">
        <f>IF($D1256&lt;&gt;1,"",IF($G1256="ROKS",$R1256,IF($AI1256=1,0,MAX($N1256,$L1256-SUMIFS(TblApplications[CPU IKS libérable (vCPU)],TblApplications[Cluster IKS source],$F1256,TblApplications[Action],"À migrer",TblApplications[Mois prov (calc)],"&lt;="&amp;$E1256)-SUMIFS(TblApplications[CPU IKS libérable (vCPU)],TblApplications[Cluster IKS source],$F1256,TblApplications[Action],"À décommissionner",TblApplications[Mois lib (calc)],"&lt;="&amp;$E1256)))))</f>
        <v/>
      </c>
      <c r="Y1256" s="19" t="str">
        <f>IF($D1256&lt;&gt;1,"",IF($G1256="ROKS",$S1256,IF($AI1256=1,0,MAX($O1256,$M1256-SUMIFS(TblApplications[RAM IKS libérable (Go)],TblApplications[Cluster IKS source],$F1256,TblApplications[Action],"À migrer",TblApplications[Mois prov (calc)],"&lt;="&amp;$E1256)-SUMIFS(TblApplications[RAM IKS libérable (Go)],TblApplications[Cluster IKS source],$F1256,TblApplications[Action],"À décommissionner",TblApplications[Mois lib (calc)],"&lt;="&amp;$E1256)))))</f>
        <v/>
      </c>
      <c r="Z1256" s="19" t="str">
        <f t="shared" si="332"/>
        <v/>
      </c>
      <c r="AA1256" s="73" t="str">
        <f t="shared" si="333"/>
        <v/>
      </c>
      <c r="AB1256" s="19" t="str">
        <f t="shared" si="334"/>
        <v/>
      </c>
      <c r="AC1256" s="73" t="str">
        <f t="shared" si="335"/>
        <v/>
      </c>
      <c r="AD1256" s="19" t="str">
        <f t="shared" si="336"/>
        <v/>
      </c>
      <c r="AE1256" s="19" t="str">
        <f t="shared" si="337"/>
        <v/>
      </c>
      <c r="AF1256" s="19" t="str">
        <f>IF($D1256&lt;&gt;1,"",IF(INDEX(TblClusters[Environnement],$B1256)="","(vide)",INDEX(TblClusters[Environnement],$B1256)))</f>
        <v/>
      </c>
      <c r="AG1256" s="19" t="str">
        <f t="shared" si="338"/>
        <v/>
      </c>
      <c r="AH1256" s="19" t="str">
        <f t="shared" si="339"/>
        <v/>
      </c>
      <c r="AI1256" s="19" t="str">
        <f>IF($D1256&lt;&gt;1,"",IF(AND($G1256="IKS",ISNUMBER(INDEX(TblClusters[Fermeture retenue],$B1256))),IF($E1256&gt;=INDEX(TblClusters[Fermeture retenue],$B1256),1,0),0))</f>
        <v/>
      </c>
    </row>
    <row r="1257" spans="1:35" x14ac:dyDescent="0.2">
      <c r="A1257" s="19">
        <v>1252</v>
      </c>
      <c r="B1257" s="19">
        <f t="shared" si="323"/>
        <v>35</v>
      </c>
      <c r="C1257" s="19">
        <f t="shared" si="324"/>
        <v>28</v>
      </c>
      <c r="D1257" s="19">
        <f>IF($C1257&gt;p_horizon,0,IFERROR(IF(AND(INDEX(TblClusters[Cluster],$B1257)&lt;&gt;"",ISNUMBER(INDEX(TblClusters[CPU initial (vCPU)],$B1257)),ISNUMBER(INDEX(TblClusters[CPU min (vCPU)],$B1257)),OR(INDEX(TblClusters[Plateforme],$B1257)="IKS",INDEX(TblClusters[Plateforme],$B1257)="ROKS")),1,0),0))</f>
        <v>0</v>
      </c>
      <c r="E1257" s="72" t="str">
        <f t="shared" si="325"/>
        <v/>
      </c>
      <c r="F1257" s="19" t="str">
        <f>IF($D1257=1,INDEX(TblClusters[Cluster],$B1257),"")</f>
        <v/>
      </c>
      <c r="G1257" s="19" t="str">
        <f>IF($D1257=1,INDEX(TblClusters[Plateforme],$B1257),"")</f>
        <v/>
      </c>
      <c r="H1257" s="19" t="str">
        <f>IF($D1257=1,INDEX(TblClusters[vCPU par nœud],$B1257),"")</f>
        <v/>
      </c>
      <c r="I1257" s="19" t="str">
        <f>IF($D1257=1,INDEX(TblClusters[RAM par nœud (Go)],$B1257),"")</f>
        <v/>
      </c>
      <c r="J1257" s="19" t="str">
        <f>IF($D1257=1,INDEX(TblClusters[Workers min],$B1257),"")</f>
        <v/>
      </c>
      <c r="K1257" s="73" t="str">
        <f>IF($D1257=1,INDEX(TblClusters[Tarif par nœud],$B1257),"")</f>
        <v/>
      </c>
      <c r="L1257" s="19" t="str">
        <f>IF($D1257=1,INDEX(TblClusters[CPU initial (vCPU)],$B1257),"")</f>
        <v/>
      </c>
      <c r="M1257" s="19" t="str">
        <f>IF($D1257=1,INDEX(TblClusters[RAM initiale (Go)],$B1257),"")</f>
        <v/>
      </c>
      <c r="N1257" s="19" t="str">
        <f>IF($D1257=1,INDEX(TblClusters[CPU min (vCPU)],$B1257),"")</f>
        <v/>
      </c>
      <c r="O1257" s="19" t="str">
        <f>IF($D1257=1,INDEX(TblClusters[RAM min (Go)],$B1257),"")</f>
        <v/>
      </c>
      <c r="P1257" s="19" t="str">
        <f>IF($D1257&lt;&gt;1,"",IF($G1257="ROKS",SUMIFS(TblApplications[Besoin ROKS CPU (vCPU)],TblApplications[Cluster ROKS cible],$F1257,TblApplications[Action],"À migrer",TblApplications[Déjà incluse ROKS],"Non",TblApplications[Mois prov (calc)],"&lt;="&amp;$E1257),SUMIFS(TblApplications[CPU IKS libérable (vCPU)],TblApplications[Cluster IKS source],$F1257,TblApplications[Mois lib (calc)],"&lt;="&amp;$E1257)))</f>
        <v/>
      </c>
      <c r="Q1257" s="19" t="str">
        <f>IF($D1257&lt;&gt;1,"",IF($G1257="ROKS",SUMIFS(TblApplications[Besoin ROKS RAM (Go)],TblApplications[Cluster ROKS cible],$F1257,TblApplications[Action],"À migrer",TblApplications[Déjà incluse ROKS],"Non",TblApplications[Mois prov (calc)],"&lt;="&amp;$E1257),SUMIFS(TblApplications[RAM IKS libérable (Go)],TblApplications[Cluster IKS source],$F1257,TblApplications[Mois lib (calc)],"&lt;="&amp;$E1257)))</f>
        <v/>
      </c>
      <c r="R1257" s="19" t="str">
        <f t="shared" si="326"/>
        <v/>
      </c>
      <c r="S1257" s="19" t="str">
        <f t="shared" si="327"/>
        <v/>
      </c>
      <c r="T1257" s="19" t="str">
        <f t="shared" si="328"/>
        <v/>
      </c>
      <c r="U1257" s="19" t="str">
        <f t="shared" si="329"/>
        <v/>
      </c>
      <c r="V1257" s="19" t="str">
        <f t="shared" si="330"/>
        <v/>
      </c>
      <c r="W1257" s="73" t="str">
        <f t="shared" si="331"/>
        <v/>
      </c>
      <c r="X1257" s="19" t="str">
        <f>IF($D1257&lt;&gt;1,"",IF($G1257="ROKS",$R1257,IF($AI1257=1,0,MAX($N1257,$L1257-SUMIFS(TblApplications[CPU IKS libérable (vCPU)],TblApplications[Cluster IKS source],$F1257,TblApplications[Action],"À migrer",TblApplications[Mois prov (calc)],"&lt;="&amp;$E1257)-SUMIFS(TblApplications[CPU IKS libérable (vCPU)],TblApplications[Cluster IKS source],$F1257,TblApplications[Action],"À décommissionner",TblApplications[Mois lib (calc)],"&lt;="&amp;$E1257)))))</f>
        <v/>
      </c>
      <c r="Y1257" s="19" t="str">
        <f>IF($D1257&lt;&gt;1,"",IF($G1257="ROKS",$S1257,IF($AI1257=1,0,MAX($O1257,$M1257-SUMIFS(TblApplications[RAM IKS libérable (Go)],TblApplications[Cluster IKS source],$F1257,TblApplications[Action],"À migrer",TblApplications[Mois prov (calc)],"&lt;="&amp;$E1257)-SUMIFS(TblApplications[RAM IKS libérable (Go)],TblApplications[Cluster IKS source],$F1257,TblApplications[Action],"À décommissionner",TblApplications[Mois lib (calc)],"&lt;="&amp;$E1257)))))</f>
        <v/>
      </c>
      <c r="Z1257" s="19" t="str">
        <f t="shared" si="332"/>
        <v/>
      </c>
      <c r="AA1257" s="73" t="str">
        <f t="shared" si="333"/>
        <v/>
      </c>
      <c r="AB1257" s="19" t="str">
        <f t="shared" si="334"/>
        <v/>
      </c>
      <c r="AC1257" s="73" t="str">
        <f t="shared" si="335"/>
        <v/>
      </c>
      <c r="AD1257" s="19" t="str">
        <f t="shared" si="336"/>
        <v/>
      </c>
      <c r="AE1257" s="19" t="str">
        <f t="shared" si="337"/>
        <v/>
      </c>
      <c r="AF1257" s="19" t="str">
        <f>IF($D1257&lt;&gt;1,"",IF(INDEX(TblClusters[Environnement],$B1257)="","(vide)",INDEX(TblClusters[Environnement],$B1257)))</f>
        <v/>
      </c>
      <c r="AG1257" s="19" t="str">
        <f t="shared" si="338"/>
        <v/>
      </c>
      <c r="AH1257" s="19" t="str">
        <f t="shared" si="339"/>
        <v/>
      </c>
      <c r="AI1257" s="19" t="str">
        <f>IF($D1257&lt;&gt;1,"",IF(AND($G1257="IKS",ISNUMBER(INDEX(TblClusters[Fermeture retenue],$B1257))),IF($E1257&gt;=INDEX(TblClusters[Fermeture retenue],$B1257),1,0),0))</f>
        <v/>
      </c>
    </row>
    <row r="1258" spans="1:35" x14ac:dyDescent="0.2">
      <c r="A1258" s="19">
        <v>1253</v>
      </c>
      <c r="B1258" s="19">
        <f t="shared" si="323"/>
        <v>35</v>
      </c>
      <c r="C1258" s="19">
        <f t="shared" si="324"/>
        <v>29</v>
      </c>
      <c r="D1258" s="19">
        <f>IF($C1258&gt;p_horizon,0,IFERROR(IF(AND(INDEX(TblClusters[Cluster],$B1258)&lt;&gt;"",ISNUMBER(INDEX(TblClusters[CPU initial (vCPU)],$B1258)),ISNUMBER(INDEX(TblClusters[CPU min (vCPU)],$B1258)),OR(INDEX(TblClusters[Plateforme],$B1258)="IKS",INDEX(TblClusters[Plateforme],$B1258)="ROKS")),1,0),0))</f>
        <v>0</v>
      </c>
      <c r="E1258" s="72" t="str">
        <f t="shared" si="325"/>
        <v/>
      </c>
      <c r="F1258" s="19" t="str">
        <f>IF($D1258=1,INDEX(TblClusters[Cluster],$B1258),"")</f>
        <v/>
      </c>
      <c r="G1258" s="19" t="str">
        <f>IF($D1258=1,INDEX(TblClusters[Plateforme],$B1258),"")</f>
        <v/>
      </c>
      <c r="H1258" s="19" t="str">
        <f>IF($D1258=1,INDEX(TblClusters[vCPU par nœud],$B1258),"")</f>
        <v/>
      </c>
      <c r="I1258" s="19" t="str">
        <f>IF($D1258=1,INDEX(TblClusters[RAM par nœud (Go)],$B1258),"")</f>
        <v/>
      </c>
      <c r="J1258" s="19" t="str">
        <f>IF($D1258=1,INDEX(TblClusters[Workers min],$B1258),"")</f>
        <v/>
      </c>
      <c r="K1258" s="73" t="str">
        <f>IF($D1258=1,INDEX(TblClusters[Tarif par nœud],$B1258),"")</f>
        <v/>
      </c>
      <c r="L1258" s="19" t="str">
        <f>IF($D1258=1,INDEX(TblClusters[CPU initial (vCPU)],$B1258),"")</f>
        <v/>
      </c>
      <c r="M1258" s="19" t="str">
        <f>IF($D1258=1,INDEX(TblClusters[RAM initiale (Go)],$B1258),"")</f>
        <v/>
      </c>
      <c r="N1258" s="19" t="str">
        <f>IF($D1258=1,INDEX(TblClusters[CPU min (vCPU)],$B1258),"")</f>
        <v/>
      </c>
      <c r="O1258" s="19" t="str">
        <f>IF($D1258=1,INDEX(TblClusters[RAM min (Go)],$B1258),"")</f>
        <v/>
      </c>
      <c r="P1258" s="19" t="str">
        <f>IF($D1258&lt;&gt;1,"",IF($G1258="ROKS",SUMIFS(TblApplications[Besoin ROKS CPU (vCPU)],TblApplications[Cluster ROKS cible],$F1258,TblApplications[Action],"À migrer",TblApplications[Déjà incluse ROKS],"Non",TblApplications[Mois prov (calc)],"&lt;="&amp;$E1258),SUMIFS(TblApplications[CPU IKS libérable (vCPU)],TblApplications[Cluster IKS source],$F1258,TblApplications[Mois lib (calc)],"&lt;="&amp;$E1258)))</f>
        <v/>
      </c>
      <c r="Q1258" s="19" t="str">
        <f>IF($D1258&lt;&gt;1,"",IF($G1258="ROKS",SUMIFS(TblApplications[Besoin ROKS RAM (Go)],TblApplications[Cluster ROKS cible],$F1258,TblApplications[Action],"À migrer",TblApplications[Déjà incluse ROKS],"Non",TblApplications[Mois prov (calc)],"&lt;="&amp;$E1258),SUMIFS(TblApplications[RAM IKS libérable (Go)],TblApplications[Cluster IKS source],$F1258,TblApplications[Mois lib (calc)],"&lt;="&amp;$E1258)))</f>
        <v/>
      </c>
      <c r="R1258" s="19" t="str">
        <f t="shared" si="326"/>
        <v/>
      </c>
      <c r="S1258" s="19" t="str">
        <f t="shared" si="327"/>
        <v/>
      </c>
      <c r="T1258" s="19" t="str">
        <f t="shared" si="328"/>
        <v/>
      </c>
      <c r="U1258" s="19" t="str">
        <f t="shared" si="329"/>
        <v/>
      </c>
      <c r="V1258" s="19" t="str">
        <f t="shared" si="330"/>
        <v/>
      </c>
      <c r="W1258" s="73" t="str">
        <f t="shared" si="331"/>
        <v/>
      </c>
      <c r="X1258" s="19" t="str">
        <f>IF($D1258&lt;&gt;1,"",IF($G1258="ROKS",$R1258,IF($AI1258=1,0,MAX($N1258,$L1258-SUMIFS(TblApplications[CPU IKS libérable (vCPU)],TblApplications[Cluster IKS source],$F1258,TblApplications[Action],"À migrer",TblApplications[Mois prov (calc)],"&lt;="&amp;$E1258)-SUMIFS(TblApplications[CPU IKS libérable (vCPU)],TblApplications[Cluster IKS source],$F1258,TblApplications[Action],"À décommissionner",TblApplications[Mois lib (calc)],"&lt;="&amp;$E1258)))))</f>
        <v/>
      </c>
      <c r="Y1258" s="19" t="str">
        <f>IF($D1258&lt;&gt;1,"",IF($G1258="ROKS",$S1258,IF($AI1258=1,0,MAX($O1258,$M1258-SUMIFS(TblApplications[RAM IKS libérable (Go)],TblApplications[Cluster IKS source],$F1258,TblApplications[Action],"À migrer",TblApplications[Mois prov (calc)],"&lt;="&amp;$E1258)-SUMIFS(TblApplications[RAM IKS libérable (Go)],TblApplications[Cluster IKS source],$F1258,TblApplications[Action],"À décommissionner",TblApplications[Mois lib (calc)],"&lt;="&amp;$E1258)))))</f>
        <v/>
      </c>
      <c r="Z1258" s="19" t="str">
        <f t="shared" si="332"/>
        <v/>
      </c>
      <c r="AA1258" s="73" t="str">
        <f t="shared" si="333"/>
        <v/>
      </c>
      <c r="AB1258" s="19" t="str">
        <f t="shared" si="334"/>
        <v/>
      </c>
      <c r="AC1258" s="73" t="str">
        <f t="shared" si="335"/>
        <v/>
      </c>
      <c r="AD1258" s="19" t="str">
        <f t="shared" si="336"/>
        <v/>
      </c>
      <c r="AE1258" s="19" t="str">
        <f t="shared" si="337"/>
        <v/>
      </c>
      <c r="AF1258" s="19" t="str">
        <f>IF($D1258&lt;&gt;1,"",IF(INDEX(TblClusters[Environnement],$B1258)="","(vide)",INDEX(TblClusters[Environnement],$B1258)))</f>
        <v/>
      </c>
      <c r="AG1258" s="19" t="str">
        <f t="shared" si="338"/>
        <v/>
      </c>
      <c r="AH1258" s="19" t="str">
        <f t="shared" si="339"/>
        <v/>
      </c>
      <c r="AI1258" s="19" t="str">
        <f>IF($D1258&lt;&gt;1,"",IF(AND($G1258="IKS",ISNUMBER(INDEX(TblClusters[Fermeture retenue],$B1258))),IF($E1258&gt;=INDEX(TblClusters[Fermeture retenue],$B1258),1,0),0))</f>
        <v/>
      </c>
    </row>
    <row r="1259" spans="1:35" x14ac:dyDescent="0.2">
      <c r="A1259" s="19">
        <v>1254</v>
      </c>
      <c r="B1259" s="19">
        <f t="shared" si="323"/>
        <v>35</v>
      </c>
      <c r="C1259" s="19">
        <f t="shared" si="324"/>
        <v>30</v>
      </c>
      <c r="D1259" s="19">
        <f>IF($C1259&gt;p_horizon,0,IFERROR(IF(AND(INDEX(TblClusters[Cluster],$B1259)&lt;&gt;"",ISNUMBER(INDEX(TblClusters[CPU initial (vCPU)],$B1259)),ISNUMBER(INDEX(TblClusters[CPU min (vCPU)],$B1259)),OR(INDEX(TblClusters[Plateforme],$B1259)="IKS",INDEX(TblClusters[Plateforme],$B1259)="ROKS")),1,0),0))</f>
        <v>0</v>
      </c>
      <c r="E1259" s="72" t="str">
        <f t="shared" si="325"/>
        <v/>
      </c>
      <c r="F1259" s="19" t="str">
        <f>IF($D1259=1,INDEX(TblClusters[Cluster],$B1259),"")</f>
        <v/>
      </c>
      <c r="G1259" s="19" t="str">
        <f>IF($D1259=1,INDEX(TblClusters[Plateforme],$B1259),"")</f>
        <v/>
      </c>
      <c r="H1259" s="19" t="str">
        <f>IF($D1259=1,INDEX(TblClusters[vCPU par nœud],$B1259),"")</f>
        <v/>
      </c>
      <c r="I1259" s="19" t="str">
        <f>IF($D1259=1,INDEX(TblClusters[RAM par nœud (Go)],$B1259),"")</f>
        <v/>
      </c>
      <c r="J1259" s="19" t="str">
        <f>IF($D1259=1,INDEX(TblClusters[Workers min],$B1259),"")</f>
        <v/>
      </c>
      <c r="K1259" s="73" t="str">
        <f>IF($D1259=1,INDEX(TblClusters[Tarif par nœud],$B1259),"")</f>
        <v/>
      </c>
      <c r="L1259" s="19" t="str">
        <f>IF($D1259=1,INDEX(TblClusters[CPU initial (vCPU)],$B1259),"")</f>
        <v/>
      </c>
      <c r="M1259" s="19" t="str">
        <f>IF($D1259=1,INDEX(TblClusters[RAM initiale (Go)],$B1259),"")</f>
        <v/>
      </c>
      <c r="N1259" s="19" t="str">
        <f>IF($D1259=1,INDEX(TblClusters[CPU min (vCPU)],$B1259),"")</f>
        <v/>
      </c>
      <c r="O1259" s="19" t="str">
        <f>IF($D1259=1,INDEX(TblClusters[RAM min (Go)],$B1259),"")</f>
        <v/>
      </c>
      <c r="P1259" s="19" t="str">
        <f>IF($D1259&lt;&gt;1,"",IF($G1259="ROKS",SUMIFS(TblApplications[Besoin ROKS CPU (vCPU)],TblApplications[Cluster ROKS cible],$F1259,TblApplications[Action],"À migrer",TblApplications[Déjà incluse ROKS],"Non",TblApplications[Mois prov (calc)],"&lt;="&amp;$E1259),SUMIFS(TblApplications[CPU IKS libérable (vCPU)],TblApplications[Cluster IKS source],$F1259,TblApplications[Mois lib (calc)],"&lt;="&amp;$E1259)))</f>
        <v/>
      </c>
      <c r="Q1259" s="19" t="str">
        <f>IF($D1259&lt;&gt;1,"",IF($G1259="ROKS",SUMIFS(TblApplications[Besoin ROKS RAM (Go)],TblApplications[Cluster ROKS cible],$F1259,TblApplications[Action],"À migrer",TblApplications[Déjà incluse ROKS],"Non",TblApplications[Mois prov (calc)],"&lt;="&amp;$E1259),SUMIFS(TblApplications[RAM IKS libérable (Go)],TblApplications[Cluster IKS source],$F1259,TblApplications[Mois lib (calc)],"&lt;="&amp;$E1259)))</f>
        <v/>
      </c>
      <c r="R1259" s="19" t="str">
        <f t="shared" si="326"/>
        <v/>
      </c>
      <c r="S1259" s="19" t="str">
        <f t="shared" si="327"/>
        <v/>
      </c>
      <c r="T1259" s="19" t="str">
        <f t="shared" si="328"/>
        <v/>
      </c>
      <c r="U1259" s="19" t="str">
        <f t="shared" si="329"/>
        <v/>
      </c>
      <c r="V1259" s="19" t="str">
        <f t="shared" si="330"/>
        <v/>
      </c>
      <c r="W1259" s="73" t="str">
        <f t="shared" si="331"/>
        <v/>
      </c>
      <c r="X1259" s="19" t="str">
        <f>IF($D1259&lt;&gt;1,"",IF($G1259="ROKS",$R1259,IF($AI1259=1,0,MAX($N1259,$L1259-SUMIFS(TblApplications[CPU IKS libérable (vCPU)],TblApplications[Cluster IKS source],$F1259,TblApplications[Action],"À migrer",TblApplications[Mois prov (calc)],"&lt;="&amp;$E1259)-SUMIFS(TblApplications[CPU IKS libérable (vCPU)],TblApplications[Cluster IKS source],$F1259,TblApplications[Action],"À décommissionner",TblApplications[Mois lib (calc)],"&lt;="&amp;$E1259)))))</f>
        <v/>
      </c>
      <c r="Y1259" s="19" t="str">
        <f>IF($D1259&lt;&gt;1,"",IF($G1259="ROKS",$S1259,IF($AI1259=1,0,MAX($O1259,$M1259-SUMIFS(TblApplications[RAM IKS libérable (Go)],TblApplications[Cluster IKS source],$F1259,TblApplications[Action],"À migrer",TblApplications[Mois prov (calc)],"&lt;="&amp;$E1259)-SUMIFS(TblApplications[RAM IKS libérable (Go)],TblApplications[Cluster IKS source],$F1259,TblApplications[Action],"À décommissionner",TblApplications[Mois lib (calc)],"&lt;="&amp;$E1259)))))</f>
        <v/>
      </c>
      <c r="Z1259" s="19" t="str">
        <f t="shared" si="332"/>
        <v/>
      </c>
      <c r="AA1259" s="73" t="str">
        <f t="shared" si="333"/>
        <v/>
      </c>
      <c r="AB1259" s="19" t="str">
        <f t="shared" si="334"/>
        <v/>
      </c>
      <c r="AC1259" s="73" t="str">
        <f t="shared" si="335"/>
        <v/>
      </c>
      <c r="AD1259" s="19" t="str">
        <f t="shared" si="336"/>
        <v/>
      </c>
      <c r="AE1259" s="19" t="str">
        <f t="shared" si="337"/>
        <v/>
      </c>
      <c r="AF1259" s="19" t="str">
        <f>IF($D1259&lt;&gt;1,"",IF(INDEX(TblClusters[Environnement],$B1259)="","(vide)",INDEX(TblClusters[Environnement],$B1259)))</f>
        <v/>
      </c>
      <c r="AG1259" s="19" t="str">
        <f t="shared" si="338"/>
        <v/>
      </c>
      <c r="AH1259" s="19" t="str">
        <f t="shared" si="339"/>
        <v/>
      </c>
      <c r="AI1259" s="19" t="str">
        <f>IF($D1259&lt;&gt;1,"",IF(AND($G1259="IKS",ISNUMBER(INDEX(TblClusters[Fermeture retenue],$B1259))),IF($E1259&gt;=INDEX(TblClusters[Fermeture retenue],$B1259),1,0),0))</f>
        <v/>
      </c>
    </row>
    <row r="1260" spans="1:35" x14ac:dyDescent="0.2">
      <c r="A1260" s="19">
        <v>1255</v>
      </c>
      <c r="B1260" s="19">
        <f t="shared" si="323"/>
        <v>35</v>
      </c>
      <c r="C1260" s="19">
        <f t="shared" si="324"/>
        <v>31</v>
      </c>
      <c r="D1260" s="19">
        <f>IF($C1260&gt;p_horizon,0,IFERROR(IF(AND(INDEX(TblClusters[Cluster],$B1260)&lt;&gt;"",ISNUMBER(INDEX(TblClusters[CPU initial (vCPU)],$B1260)),ISNUMBER(INDEX(TblClusters[CPU min (vCPU)],$B1260)),OR(INDEX(TblClusters[Plateforme],$B1260)="IKS",INDEX(TblClusters[Plateforme],$B1260)="ROKS")),1,0),0))</f>
        <v>0</v>
      </c>
      <c r="E1260" s="72" t="str">
        <f t="shared" si="325"/>
        <v/>
      </c>
      <c r="F1260" s="19" t="str">
        <f>IF($D1260=1,INDEX(TblClusters[Cluster],$B1260),"")</f>
        <v/>
      </c>
      <c r="G1260" s="19" t="str">
        <f>IF($D1260=1,INDEX(TblClusters[Plateforme],$B1260),"")</f>
        <v/>
      </c>
      <c r="H1260" s="19" t="str">
        <f>IF($D1260=1,INDEX(TblClusters[vCPU par nœud],$B1260),"")</f>
        <v/>
      </c>
      <c r="I1260" s="19" t="str">
        <f>IF($D1260=1,INDEX(TblClusters[RAM par nœud (Go)],$B1260),"")</f>
        <v/>
      </c>
      <c r="J1260" s="19" t="str">
        <f>IF($D1260=1,INDEX(TblClusters[Workers min],$B1260),"")</f>
        <v/>
      </c>
      <c r="K1260" s="73" t="str">
        <f>IF($D1260=1,INDEX(TblClusters[Tarif par nœud],$B1260),"")</f>
        <v/>
      </c>
      <c r="L1260" s="19" t="str">
        <f>IF($D1260=1,INDEX(TblClusters[CPU initial (vCPU)],$B1260),"")</f>
        <v/>
      </c>
      <c r="M1260" s="19" t="str">
        <f>IF($D1260=1,INDEX(TblClusters[RAM initiale (Go)],$B1260),"")</f>
        <v/>
      </c>
      <c r="N1260" s="19" t="str">
        <f>IF($D1260=1,INDEX(TblClusters[CPU min (vCPU)],$B1260),"")</f>
        <v/>
      </c>
      <c r="O1260" s="19" t="str">
        <f>IF($D1260=1,INDEX(TblClusters[RAM min (Go)],$B1260),"")</f>
        <v/>
      </c>
      <c r="P1260" s="19" t="str">
        <f>IF($D1260&lt;&gt;1,"",IF($G1260="ROKS",SUMIFS(TblApplications[Besoin ROKS CPU (vCPU)],TblApplications[Cluster ROKS cible],$F1260,TblApplications[Action],"À migrer",TblApplications[Déjà incluse ROKS],"Non",TblApplications[Mois prov (calc)],"&lt;="&amp;$E1260),SUMIFS(TblApplications[CPU IKS libérable (vCPU)],TblApplications[Cluster IKS source],$F1260,TblApplications[Mois lib (calc)],"&lt;="&amp;$E1260)))</f>
        <v/>
      </c>
      <c r="Q1260" s="19" t="str">
        <f>IF($D1260&lt;&gt;1,"",IF($G1260="ROKS",SUMIFS(TblApplications[Besoin ROKS RAM (Go)],TblApplications[Cluster ROKS cible],$F1260,TblApplications[Action],"À migrer",TblApplications[Déjà incluse ROKS],"Non",TblApplications[Mois prov (calc)],"&lt;="&amp;$E1260),SUMIFS(TblApplications[RAM IKS libérable (Go)],TblApplications[Cluster IKS source],$F1260,TblApplications[Mois lib (calc)],"&lt;="&amp;$E1260)))</f>
        <v/>
      </c>
      <c r="R1260" s="19" t="str">
        <f t="shared" si="326"/>
        <v/>
      </c>
      <c r="S1260" s="19" t="str">
        <f t="shared" si="327"/>
        <v/>
      </c>
      <c r="T1260" s="19" t="str">
        <f t="shared" si="328"/>
        <v/>
      </c>
      <c r="U1260" s="19" t="str">
        <f t="shared" si="329"/>
        <v/>
      </c>
      <c r="V1260" s="19" t="str">
        <f t="shared" si="330"/>
        <v/>
      </c>
      <c r="W1260" s="73" t="str">
        <f t="shared" si="331"/>
        <v/>
      </c>
      <c r="X1260" s="19" t="str">
        <f>IF($D1260&lt;&gt;1,"",IF($G1260="ROKS",$R1260,IF($AI1260=1,0,MAX($N1260,$L1260-SUMIFS(TblApplications[CPU IKS libérable (vCPU)],TblApplications[Cluster IKS source],$F1260,TblApplications[Action],"À migrer",TblApplications[Mois prov (calc)],"&lt;="&amp;$E1260)-SUMIFS(TblApplications[CPU IKS libérable (vCPU)],TblApplications[Cluster IKS source],$F1260,TblApplications[Action],"À décommissionner",TblApplications[Mois lib (calc)],"&lt;="&amp;$E1260)))))</f>
        <v/>
      </c>
      <c r="Y1260" s="19" t="str">
        <f>IF($D1260&lt;&gt;1,"",IF($G1260="ROKS",$S1260,IF($AI1260=1,0,MAX($O1260,$M1260-SUMIFS(TblApplications[RAM IKS libérable (Go)],TblApplications[Cluster IKS source],$F1260,TblApplications[Action],"À migrer",TblApplications[Mois prov (calc)],"&lt;="&amp;$E1260)-SUMIFS(TblApplications[RAM IKS libérable (Go)],TblApplications[Cluster IKS source],$F1260,TblApplications[Action],"À décommissionner",TblApplications[Mois lib (calc)],"&lt;="&amp;$E1260)))))</f>
        <v/>
      </c>
      <c r="Z1260" s="19" t="str">
        <f t="shared" si="332"/>
        <v/>
      </c>
      <c r="AA1260" s="73" t="str">
        <f t="shared" si="333"/>
        <v/>
      </c>
      <c r="AB1260" s="19" t="str">
        <f t="shared" si="334"/>
        <v/>
      </c>
      <c r="AC1260" s="73" t="str">
        <f t="shared" si="335"/>
        <v/>
      </c>
      <c r="AD1260" s="19" t="str">
        <f t="shared" si="336"/>
        <v/>
      </c>
      <c r="AE1260" s="19" t="str">
        <f t="shared" si="337"/>
        <v/>
      </c>
      <c r="AF1260" s="19" t="str">
        <f>IF($D1260&lt;&gt;1,"",IF(INDEX(TblClusters[Environnement],$B1260)="","(vide)",INDEX(TblClusters[Environnement],$B1260)))</f>
        <v/>
      </c>
      <c r="AG1260" s="19" t="str">
        <f t="shared" si="338"/>
        <v/>
      </c>
      <c r="AH1260" s="19" t="str">
        <f t="shared" si="339"/>
        <v/>
      </c>
      <c r="AI1260" s="19" t="str">
        <f>IF($D1260&lt;&gt;1,"",IF(AND($G1260="IKS",ISNUMBER(INDEX(TblClusters[Fermeture retenue],$B1260))),IF($E1260&gt;=INDEX(TblClusters[Fermeture retenue],$B1260),1,0),0))</f>
        <v/>
      </c>
    </row>
    <row r="1261" spans="1:35" x14ac:dyDescent="0.2">
      <c r="A1261" s="19">
        <v>1256</v>
      </c>
      <c r="B1261" s="19">
        <f t="shared" si="323"/>
        <v>35</v>
      </c>
      <c r="C1261" s="19">
        <f t="shared" si="324"/>
        <v>32</v>
      </c>
      <c r="D1261" s="19">
        <f>IF($C1261&gt;p_horizon,0,IFERROR(IF(AND(INDEX(TblClusters[Cluster],$B1261)&lt;&gt;"",ISNUMBER(INDEX(TblClusters[CPU initial (vCPU)],$B1261)),ISNUMBER(INDEX(TblClusters[CPU min (vCPU)],$B1261)),OR(INDEX(TblClusters[Plateforme],$B1261)="IKS",INDEX(TblClusters[Plateforme],$B1261)="ROKS")),1,0),0))</f>
        <v>0</v>
      </c>
      <c r="E1261" s="72" t="str">
        <f t="shared" si="325"/>
        <v/>
      </c>
      <c r="F1261" s="19" t="str">
        <f>IF($D1261=1,INDEX(TblClusters[Cluster],$B1261),"")</f>
        <v/>
      </c>
      <c r="G1261" s="19" t="str">
        <f>IF($D1261=1,INDEX(TblClusters[Plateforme],$B1261),"")</f>
        <v/>
      </c>
      <c r="H1261" s="19" t="str">
        <f>IF($D1261=1,INDEX(TblClusters[vCPU par nœud],$B1261),"")</f>
        <v/>
      </c>
      <c r="I1261" s="19" t="str">
        <f>IF($D1261=1,INDEX(TblClusters[RAM par nœud (Go)],$B1261),"")</f>
        <v/>
      </c>
      <c r="J1261" s="19" t="str">
        <f>IF($D1261=1,INDEX(TblClusters[Workers min],$B1261),"")</f>
        <v/>
      </c>
      <c r="K1261" s="73" t="str">
        <f>IF($D1261=1,INDEX(TblClusters[Tarif par nœud],$B1261),"")</f>
        <v/>
      </c>
      <c r="L1261" s="19" t="str">
        <f>IF($D1261=1,INDEX(TblClusters[CPU initial (vCPU)],$B1261),"")</f>
        <v/>
      </c>
      <c r="M1261" s="19" t="str">
        <f>IF($D1261=1,INDEX(TblClusters[RAM initiale (Go)],$B1261),"")</f>
        <v/>
      </c>
      <c r="N1261" s="19" t="str">
        <f>IF($D1261=1,INDEX(TblClusters[CPU min (vCPU)],$B1261),"")</f>
        <v/>
      </c>
      <c r="O1261" s="19" t="str">
        <f>IF($D1261=1,INDEX(TblClusters[RAM min (Go)],$B1261),"")</f>
        <v/>
      </c>
      <c r="P1261" s="19" t="str">
        <f>IF($D1261&lt;&gt;1,"",IF($G1261="ROKS",SUMIFS(TblApplications[Besoin ROKS CPU (vCPU)],TblApplications[Cluster ROKS cible],$F1261,TblApplications[Action],"À migrer",TblApplications[Déjà incluse ROKS],"Non",TblApplications[Mois prov (calc)],"&lt;="&amp;$E1261),SUMIFS(TblApplications[CPU IKS libérable (vCPU)],TblApplications[Cluster IKS source],$F1261,TblApplications[Mois lib (calc)],"&lt;="&amp;$E1261)))</f>
        <v/>
      </c>
      <c r="Q1261" s="19" t="str">
        <f>IF($D1261&lt;&gt;1,"",IF($G1261="ROKS",SUMIFS(TblApplications[Besoin ROKS RAM (Go)],TblApplications[Cluster ROKS cible],$F1261,TblApplications[Action],"À migrer",TblApplications[Déjà incluse ROKS],"Non",TblApplications[Mois prov (calc)],"&lt;="&amp;$E1261),SUMIFS(TblApplications[RAM IKS libérable (Go)],TblApplications[Cluster IKS source],$F1261,TblApplications[Mois lib (calc)],"&lt;="&amp;$E1261)))</f>
        <v/>
      </c>
      <c r="R1261" s="19" t="str">
        <f t="shared" si="326"/>
        <v/>
      </c>
      <c r="S1261" s="19" t="str">
        <f t="shared" si="327"/>
        <v/>
      </c>
      <c r="T1261" s="19" t="str">
        <f t="shared" si="328"/>
        <v/>
      </c>
      <c r="U1261" s="19" t="str">
        <f t="shared" si="329"/>
        <v/>
      </c>
      <c r="V1261" s="19" t="str">
        <f t="shared" si="330"/>
        <v/>
      </c>
      <c r="W1261" s="73" t="str">
        <f t="shared" si="331"/>
        <v/>
      </c>
      <c r="X1261" s="19" t="str">
        <f>IF($D1261&lt;&gt;1,"",IF($G1261="ROKS",$R1261,IF($AI1261=1,0,MAX($N1261,$L1261-SUMIFS(TblApplications[CPU IKS libérable (vCPU)],TblApplications[Cluster IKS source],$F1261,TblApplications[Action],"À migrer",TblApplications[Mois prov (calc)],"&lt;="&amp;$E1261)-SUMIFS(TblApplications[CPU IKS libérable (vCPU)],TblApplications[Cluster IKS source],$F1261,TblApplications[Action],"À décommissionner",TblApplications[Mois lib (calc)],"&lt;="&amp;$E1261)))))</f>
        <v/>
      </c>
      <c r="Y1261" s="19" t="str">
        <f>IF($D1261&lt;&gt;1,"",IF($G1261="ROKS",$S1261,IF($AI1261=1,0,MAX($O1261,$M1261-SUMIFS(TblApplications[RAM IKS libérable (Go)],TblApplications[Cluster IKS source],$F1261,TblApplications[Action],"À migrer",TblApplications[Mois prov (calc)],"&lt;="&amp;$E1261)-SUMIFS(TblApplications[RAM IKS libérable (Go)],TblApplications[Cluster IKS source],$F1261,TblApplications[Action],"À décommissionner",TblApplications[Mois lib (calc)],"&lt;="&amp;$E1261)))))</f>
        <v/>
      </c>
      <c r="Z1261" s="19" t="str">
        <f t="shared" si="332"/>
        <v/>
      </c>
      <c r="AA1261" s="73" t="str">
        <f t="shared" si="333"/>
        <v/>
      </c>
      <c r="AB1261" s="19" t="str">
        <f t="shared" si="334"/>
        <v/>
      </c>
      <c r="AC1261" s="73" t="str">
        <f t="shared" si="335"/>
        <v/>
      </c>
      <c r="AD1261" s="19" t="str">
        <f t="shared" si="336"/>
        <v/>
      </c>
      <c r="AE1261" s="19" t="str">
        <f t="shared" si="337"/>
        <v/>
      </c>
      <c r="AF1261" s="19" t="str">
        <f>IF($D1261&lt;&gt;1,"",IF(INDEX(TblClusters[Environnement],$B1261)="","(vide)",INDEX(TblClusters[Environnement],$B1261)))</f>
        <v/>
      </c>
      <c r="AG1261" s="19" t="str">
        <f t="shared" si="338"/>
        <v/>
      </c>
      <c r="AH1261" s="19" t="str">
        <f t="shared" si="339"/>
        <v/>
      </c>
      <c r="AI1261" s="19" t="str">
        <f>IF($D1261&lt;&gt;1,"",IF(AND($G1261="IKS",ISNUMBER(INDEX(TblClusters[Fermeture retenue],$B1261))),IF($E1261&gt;=INDEX(TblClusters[Fermeture retenue],$B1261),1,0),0))</f>
        <v/>
      </c>
    </row>
    <row r="1262" spans="1:35" x14ac:dyDescent="0.2">
      <c r="A1262" s="19">
        <v>1257</v>
      </c>
      <c r="B1262" s="19">
        <f t="shared" si="323"/>
        <v>35</v>
      </c>
      <c r="C1262" s="19">
        <f t="shared" si="324"/>
        <v>33</v>
      </c>
      <c r="D1262" s="19">
        <f>IF($C1262&gt;p_horizon,0,IFERROR(IF(AND(INDEX(TblClusters[Cluster],$B1262)&lt;&gt;"",ISNUMBER(INDEX(TblClusters[CPU initial (vCPU)],$B1262)),ISNUMBER(INDEX(TblClusters[CPU min (vCPU)],$B1262)),OR(INDEX(TblClusters[Plateforme],$B1262)="IKS",INDEX(TblClusters[Plateforme],$B1262)="ROKS")),1,0),0))</f>
        <v>0</v>
      </c>
      <c r="E1262" s="72" t="str">
        <f t="shared" si="325"/>
        <v/>
      </c>
      <c r="F1262" s="19" t="str">
        <f>IF($D1262=1,INDEX(TblClusters[Cluster],$B1262),"")</f>
        <v/>
      </c>
      <c r="G1262" s="19" t="str">
        <f>IF($D1262=1,INDEX(TblClusters[Plateforme],$B1262),"")</f>
        <v/>
      </c>
      <c r="H1262" s="19" t="str">
        <f>IF($D1262=1,INDEX(TblClusters[vCPU par nœud],$B1262),"")</f>
        <v/>
      </c>
      <c r="I1262" s="19" t="str">
        <f>IF($D1262=1,INDEX(TblClusters[RAM par nœud (Go)],$B1262),"")</f>
        <v/>
      </c>
      <c r="J1262" s="19" t="str">
        <f>IF($D1262=1,INDEX(TblClusters[Workers min],$B1262),"")</f>
        <v/>
      </c>
      <c r="K1262" s="73" t="str">
        <f>IF($D1262=1,INDEX(TblClusters[Tarif par nœud],$B1262),"")</f>
        <v/>
      </c>
      <c r="L1262" s="19" t="str">
        <f>IF($D1262=1,INDEX(TblClusters[CPU initial (vCPU)],$B1262),"")</f>
        <v/>
      </c>
      <c r="M1262" s="19" t="str">
        <f>IF($D1262=1,INDEX(TblClusters[RAM initiale (Go)],$B1262),"")</f>
        <v/>
      </c>
      <c r="N1262" s="19" t="str">
        <f>IF($D1262=1,INDEX(TblClusters[CPU min (vCPU)],$B1262),"")</f>
        <v/>
      </c>
      <c r="O1262" s="19" t="str">
        <f>IF($D1262=1,INDEX(TblClusters[RAM min (Go)],$B1262),"")</f>
        <v/>
      </c>
      <c r="P1262" s="19" t="str">
        <f>IF($D1262&lt;&gt;1,"",IF($G1262="ROKS",SUMIFS(TblApplications[Besoin ROKS CPU (vCPU)],TblApplications[Cluster ROKS cible],$F1262,TblApplications[Action],"À migrer",TblApplications[Déjà incluse ROKS],"Non",TblApplications[Mois prov (calc)],"&lt;="&amp;$E1262),SUMIFS(TblApplications[CPU IKS libérable (vCPU)],TblApplications[Cluster IKS source],$F1262,TblApplications[Mois lib (calc)],"&lt;="&amp;$E1262)))</f>
        <v/>
      </c>
      <c r="Q1262" s="19" t="str">
        <f>IF($D1262&lt;&gt;1,"",IF($G1262="ROKS",SUMIFS(TblApplications[Besoin ROKS RAM (Go)],TblApplications[Cluster ROKS cible],$F1262,TblApplications[Action],"À migrer",TblApplications[Déjà incluse ROKS],"Non",TblApplications[Mois prov (calc)],"&lt;="&amp;$E1262),SUMIFS(TblApplications[RAM IKS libérable (Go)],TblApplications[Cluster IKS source],$F1262,TblApplications[Mois lib (calc)],"&lt;="&amp;$E1262)))</f>
        <v/>
      </c>
      <c r="R1262" s="19" t="str">
        <f t="shared" si="326"/>
        <v/>
      </c>
      <c r="S1262" s="19" t="str">
        <f t="shared" si="327"/>
        <v/>
      </c>
      <c r="T1262" s="19" t="str">
        <f t="shared" si="328"/>
        <v/>
      </c>
      <c r="U1262" s="19" t="str">
        <f t="shared" si="329"/>
        <v/>
      </c>
      <c r="V1262" s="19" t="str">
        <f t="shared" si="330"/>
        <v/>
      </c>
      <c r="W1262" s="73" t="str">
        <f t="shared" si="331"/>
        <v/>
      </c>
      <c r="X1262" s="19" t="str">
        <f>IF($D1262&lt;&gt;1,"",IF($G1262="ROKS",$R1262,IF($AI1262=1,0,MAX($N1262,$L1262-SUMIFS(TblApplications[CPU IKS libérable (vCPU)],TblApplications[Cluster IKS source],$F1262,TblApplications[Action],"À migrer",TblApplications[Mois prov (calc)],"&lt;="&amp;$E1262)-SUMIFS(TblApplications[CPU IKS libérable (vCPU)],TblApplications[Cluster IKS source],$F1262,TblApplications[Action],"À décommissionner",TblApplications[Mois lib (calc)],"&lt;="&amp;$E1262)))))</f>
        <v/>
      </c>
      <c r="Y1262" s="19" t="str">
        <f>IF($D1262&lt;&gt;1,"",IF($G1262="ROKS",$S1262,IF($AI1262=1,0,MAX($O1262,$M1262-SUMIFS(TblApplications[RAM IKS libérable (Go)],TblApplications[Cluster IKS source],$F1262,TblApplications[Action],"À migrer",TblApplications[Mois prov (calc)],"&lt;="&amp;$E1262)-SUMIFS(TblApplications[RAM IKS libérable (Go)],TblApplications[Cluster IKS source],$F1262,TblApplications[Action],"À décommissionner",TblApplications[Mois lib (calc)],"&lt;="&amp;$E1262)))))</f>
        <v/>
      </c>
      <c r="Z1262" s="19" t="str">
        <f t="shared" si="332"/>
        <v/>
      </c>
      <c r="AA1262" s="73" t="str">
        <f t="shared" si="333"/>
        <v/>
      </c>
      <c r="AB1262" s="19" t="str">
        <f t="shared" si="334"/>
        <v/>
      </c>
      <c r="AC1262" s="73" t="str">
        <f t="shared" si="335"/>
        <v/>
      </c>
      <c r="AD1262" s="19" t="str">
        <f t="shared" si="336"/>
        <v/>
      </c>
      <c r="AE1262" s="19" t="str">
        <f t="shared" si="337"/>
        <v/>
      </c>
      <c r="AF1262" s="19" t="str">
        <f>IF($D1262&lt;&gt;1,"",IF(INDEX(TblClusters[Environnement],$B1262)="","(vide)",INDEX(TblClusters[Environnement],$B1262)))</f>
        <v/>
      </c>
      <c r="AG1262" s="19" t="str">
        <f t="shared" si="338"/>
        <v/>
      </c>
      <c r="AH1262" s="19" t="str">
        <f t="shared" si="339"/>
        <v/>
      </c>
      <c r="AI1262" s="19" t="str">
        <f>IF($D1262&lt;&gt;1,"",IF(AND($G1262="IKS",ISNUMBER(INDEX(TblClusters[Fermeture retenue],$B1262))),IF($E1262&gt;=INDEX(TblClusters[Fermeture retenue],$B1262),1,0),0))</f>
        <v/>
      </c>
    </row>
    <row r="1263" spans="1:35" x14ac:dyDescent="0.2">
      <c r="A1263" s="19">
        <v>1258</v>
      </c>
      <c r="B1263" s="19">
        <f t="shared" si="323"/>
        <v>35</v>
      </c>
      <c r="C1263" s="19">
        <f t="shared" si="324"/>
        <v>34</v>
      </c>
      <c r="D1263" s="19">
        <f>IF($C1263&gt;p_horizon,0,IFERROR(IF(AND(INDEX(TblClusters[Cluster],$B1263)&lt;&gt;"",ISNUMBER(INDEX(TblClusters[CPU initial (vCPU)],$B1263)),ISNUMBER(INDEX(TblClusters[CPU min (vCPU)],$B1263)),OR(INDEX(TblClusters[Plateforme],$B1263)="IKS",INDEX(TblClusters[Plateforme],$B1263)="ROKS")),1,0),0))</f>
        <v>0</v>
      </c>
      <c r="E1263" s="72" t="str">
        <f t="shared" si="325"/>
        <v/>
      </c>
      <c r="F1263" s="19" t="str">
        <f>IF($D1263=1,INDEX(TblClusters[Cluster],$B1263),"")</f>
        <v/>
      </c>
      <c r="G1263" s="19" t="str">
        <f>IF($D1263=1,INDEX(TblClusters[Plateforme],$B1263),"")</f>
        <v/>
      </c>
      <c r="H1263" s="19" t="str">
        <f>IF($D1263=1,INDEX(TblClusters[vCPU par nœud],$B1263),"")</f>
        <v/>
      </c>
      <c r="I1263" s="19" t="str">
        <f>IF($D1263=1,INDEX(TblClusters[RAM par nœud (Go)],$B1263),"")</f>
        <v/>
      </c>
      <c r="J1263" s="19" t="str">
        <f>IF($D1263=1,INDEX(TblClusters[Workers min],$B1263),"")</f>
        <v/>
      </c>
      <c r="K1263" s="73" t="str">
        <f>IF($D1263=1,INDEX(TblClusters[Tarif par nœud],$B1263),"")</f>
        <v/>
      </c>
      <c r="L1263" s="19" t="str">
        <f>IF($D1263=1,INDEX(TblClusters[CPU initial (vCPU)],$B1263),"")</f>
        <v/>
      </c>
      <c r="M1263" s="19" t="str">
        <f>IF($D1263=1,INDEX(TblClusters[RAM initiale (Go)],$B1263),"")</f>
        <v/>
      </c>
      <c r="N1263" s="19" t="str">
        <f>IF($D1263=1,INDEX(TblClusters[CPU min (vCPU)],$B1263),"")</f>
        <v/>
      </c>
      <c r="O1263" s="19" t="str">
        <f>IF($D1263=1,INDEX(TblClusters[RAM min (Go)],$B1263),"")</f>
        <v/>
      </c>
      <c r="P1263" s="19" t="str">
        <f>IF($D1263&lt;&gt;1,"",IF($G1263="ROKS",SUMIFS(TblApplications[Besoin ROKS CPU (vCPU)],TblApplications[Cluster ROKS cible],$F1263,TblApplications[Action],"À migrer",TblApplications[Déjà incluse ROKS],"Non",TblApplications[Mois prov (calc)],"&lt;="&amp;$E1263),SUMIFS(TblApplications[CPU IKS libérable (vCPU)],TblApplications[Cluster IKS source],$F1263,TblApplications[Mois lib (calc)],"&lt;="&amp;$E1263)))</f>
        <v/>
      </c>
      <c r="Q1263" s="19" t="str">
        <f>IF($D1263&lt;&gt;1,"",IF($G1263="ROKS",SUMIFS(TblApplications[Besoin ROKS RAM (Go)],TblApplications[Cluster ROKS cible],$F1263,TblApplications[Action],"À migrer",TblApplications[Déjà incluse ROKS],"Non",TblApplications[Mois prov (calc)],"&lt;="&amp;$E1263),SUMIFS(TblApplications[RAM IKS libérable (Go)],TblApplications[Cluster IKS source],$F1263,TblApplications[Mois lib (calc)],"&lt;="&amp;$E1263)))</f>
        <v/>
      </c>
      <c r="R1263" s="19" t="str">
        <f t="shared" si="326"/>
        <v/>
      </c>
      <c r="S1263" s="19" t="str">
        <f t="shared" si="327"/>
        <v/>
      </c>
      <c r="T1263" s="19" t="str">
        <f t="shared" si="328"/>
        <v/>
      </c>
      <c r="U1263" s="19" t="str">
        <f t="shared" si="329"/>
        <v/>
      </c>
      <c r="V1263" s="19" t="str">
        <f t="shared" si="330"/>
        <v/>
      </c>
      <c r="W1263" s="73" t="str">
        <f t="shared" si="331"/>
        <v/>
      </c>
      <c r="X1263" s="19" t="str">
        <f>IF($D1263&lt;&gt;1,"",IF($G1263="ROKS",$R1263,IF($AI1263=1,0,MAX($N1263,$L1263-SUMIFS(TblApplications[CPU IKS libérable (vCPU)],TblApplications[Cluster IKS source],$F1263,TblApplications[Action],"À migrer",TblApplications[Mois prov (calc)],"&lt;="&amp;$E1263)-SUMIFS(TblApplications[CPU IKS libérable (vCPU)],TblApplications[Cluster IKS source],$F1263,TblApplications[Action],"À décommissionner",TblApplications[Mois lib (calc)],"&lt;="&amp;$E1263)))))</f>
        <v/>
      </c>
      <c r="Y1263" s="19" t="str">
        <f>IF($D1263&lt;&gt;1,"",IF($G1263="ROKS",$S1263,IF($AI1263=1,0,MAX($O1263,$M1263-SUMIFS(TblApplications[RAM IKS libérable (Go)],TblApplications[Cluster IKS source],$F1263,TblApplications[Action],"À migrer",TblApplications[Mois prov (calc)],"&lt;="&amp;$E1263)-SUMIFS(TblApplications[RAM IKS libérable (Go)],TblApplications[Cluster IKS source],$F1263,TblApplications[Action],"À décommissionner",TblApplications[Mois lib (calc)],"&lt;="&amp;$E1263)))))</f>
        <v/>
      </c>
      <c r="Z1263" s="19" t="str">
        <f t="shared" si="332"/>
        <v/>
      </c>
      <c r="AA1263" s="73" t="str">
        <f t="shared" si="333"/>
        <v/>
      </c>
      <c r="AB1263" s="19" t="str">
        <f t="shared" si="334"/>
        <v/>
      </c>
      <c r="AC1263" s="73" t="str">
        <f t="shared" si="335"/>
        <v/>
      </c>
      <c r="AD1263" s="19" t="str">
        <f t="shared" si="336"/>
        <v/>
      </c>
      <c r="AE1263" s="19" t="str">
        <f t="shared" si="337"/>
        <v/>
      </c>
      <c r="AF1263" s="19" t="str">
        <f>IF($D1263&lt;&gt;1,"",IF(INDEX(TblClusters[Environnement],$B1263)="","(vide)",INDEX(TblClusters[Environnement],$B1263)))</f>
        <v/>
      </c>
      <c r="AG1263" s="19" t="str">
        <f t="shared" si="338"/>
        <v/>
      </c>
      <c r="AH1263" s="19" t="str">
        <f t="shared" si="339"/>
        <v/>
      </c>
      <c r="AI1263" s="19" t="str">
        <f>IF($D1263&lt;&gt;1,"",IF(AND($G1263="IKS",ISNUMBER(INDEX(TblClusters[Fermeture retenue],$B1263))),IF($E1263&gt;=INDEX(TblClusters[Fermeture retenue],$B1263),1,0),0))</f>
        <v/>
      </c>
    </row>
    <row r="1264" spans="1:35" x14ac:dyDescent="0.2">
      <c r="A1264" s="19">
        <v>1259</v>
      </c>
      <c r="B1264" s="19">
        <f t="shared" si="323"/>
        <v>35</v>
      </c>
      <c r="C1264" s="19">
        <f t="shared" si="324"/>
        <v>35</v>
      </c>
      <c r="D1264" s="19">
        <f>IF($C1264&gt;p_horizon,0,IFERROR(IF(AND(INDEX(TblClusters[Cluster],$B1264)&lt;&gt;"",ISNUMBER(INDEX(TblClusters[CPU initial (vCPU)],$B1264)),ISNUMBER(INDEX(TblClusters[CPU min (vCPU)],$B1264)),OR(INDEX(TblClusters[Plateforme],$B1264)="IKS",INDEX(TblClusters[Plateforme],$B1264)="ROKS")),1,0),0))</f>
        <v>0</v>
      </c>
      <c r="E1264" s="72" t="str">
        <f t="shared" si="325"/>
        <v/>
      </c>
      <c r="F1264" s="19" t="str">
        <f>IF($D1264=1,INDEX(TblClusters[Cluster],$B1264),"")</f>
        <v/>
      </c>
      <c r="G1264" s="19" t="str">
        <f>IF($D1264=1,INDEX(TblClusters[Plateforme],$B1264),"")</f>
        <v/>
      </c>
      <c r="H1264" s="19" t="str">
        <f>IF($D1264=1,INDEX(TblClusters[vCPU par nœud],$B1264),"")</f>
        <v/>
      </c>
      <c r="I1264" s="19" t="str">
        <f>IF($D1264=1,INDEX(TblClusters[RAM par nœud (Go)],$B1264),"")</f>
        <v/>
      </c>
      <c r="J1264" s="19" t="str">
        <f>IF($D1264=1,INDEX(TblClusters[Workers min],$B1264),"")</f>
        <v/>
      </c>
      <c r="K1264" s="73" t="str">
        <f>IF($D1264=1,INDEX(TblClusters[Tarif par nœud],$B1264),"")</f>
        <v/>
      </c>
      <c r="L1264" s="19" t="str">
        <f>IF($D1264=1,INDEX(TblClusters[CPU initial (vCPU)],$B1264),"")</f>
        <v/>
      </c>
      <c r="M1264" s="19" t="str">
        <f>IF($D1264=1,INDEX(TblClusters[RAM initiale (Go)],$B1264),"")</f>
        <v/>
      </c>
      <c r="N1264" s="19" t="str">
        <f>IF($D1264=1,INDEX(TblClusters[CPU min (vCPU)],$B1264),"")</f>
        <v/>
      </c>
      <c r="O1264" s="19" t="str">
        <f>IF($D1264=1,INDEX(TblClusters[RAM min (Go)],$B1264),"")</f>
        <v/>
      </c>
      <c r="P1264" s="19" t="str">
        <f>IF($D1264&lt;&gt;1,"",IF($G1264="ROKS",SUMIFS(TblApplications[Besoin ROKS CPU (vCPU)],TblApplications[Cluster ROKS cible],$F1264,TblApplications[Action],"À migrer",TblApplications[Déjà incluse ROKS],"Non",TblApplications[Mois prov (calc)],"&lt;="&amp;$E1264),SUMIFS(TblApplications[CPU IKS libérable (vCPU)],TblApplications[Cluster IKS source],$F1264,TblApplications[Mois lib (calc)],"&lt;="&amp;$E1264)))</f>
        <v/>
      </c>
      <c r="Q1264" s="19" t="str">
        <f>IF($D1264&lt;&gt;1,"",IF($G1264="ROKS",SUMIFS(TblApplications[Besoin ROKS RAM (Go)],TblApplications[Cluster ROKS cible],$F1264,TblApplications[Action],"À migrer",TblApplications[Déjà incluse ROKS],"Non",TblApplications[Mois prov (calc)],"&lt;="&amp;$E1264),SUMIFS(TblApplications[RAM IKS libérable (Go)],TblApplications[Cluster IKS source],$F1264,TblApplications[Mois lib (calc)],"&lt;="&amp;$E1264)))</f>
        <v/>
      </c>
      <c r="R1264" s="19" t="str">
        <f t="shared" si="326"/>
        <v/>
      </c>
      <c r="S1264" s="19" t="str">
        <f t="shared" si="327"/>
        <v/>
      </c>
      <c r="T1264" s="19" t="str">
        <f t="shared" si="328"/>
        <v/>
      </c>
      <c r="U1264" s="19" t="str">
        <f t="shared" si="329"/>
        <v/>
      </c>
      <c r="V1264" s="19" t="str">
        <f t="shared" si="330"/>
        <v/>
      </c>
      <c r="W1264" s="73" t="str">
        <f t="shared" si="331"/>
        <v/>
      </c>
      <c r="X1264" s="19" t="str">
        <f>IF($D1264&lt;&gt;1,"",IF($G1264="ROKS",$R1264,IF($AI1264=1,0,MAX($N1264,$L1264-SUMIFS(TblApplications[CPU IKS libérable (vCPU)],TblApplications[Cluster IKS source],$F1264,TblApplications[Action],"À migrer",TblApplications[Mois prov (calc)],"&lt;="&amp;$E1264)-SUMIFS(TblApplications[CPU IKS libérable (vCPU)],TblApplications[Cluster IKS source],$F1264,TblApplications[Action],"À décommissionner",TblApplications[Mois lib (calc)],"&lt;="&amp;$E1264)))))</f>
        <v/>
      </c>
      <c r="Y1264" s="19" t="str">
        <f>IF($D1264&lt;&gt;1,"",IF($G1264="ROKS",$S1264,IF($AI1264=1,0,MAX($O1264,$M1264-SUMIFS(TblApplications[RAM IKS libérable (Go)],TblApplications[Cluster IKS source],$F1264,TblApplications[Action],"À migrer",TblApplications[Mois prov (calc)],"&lt;="&amp;$E1264)-SUMIFS(TblApplications[RAM IKS libérable (Go)],TblApplications[Cluster IKS source],$F1264,TblApplications[Action],"À décommissionner",TblApplications[Mois lib (calc)],"&lt;="&amp;$E1264)))))</f>
        <v/>
      </c>
      <c r="Z1264" s="19" t="str">
        <f t="shared" si="332"/>
        <v/>
      </c>
      <c r="AA1264" s="73" t="str">
        <f t="shared" si="333"/>
        <v/>
      </c>
      <c r="AB1264" s="19" t="str">
        <f t="shared" si="334"/>
        <v/>
      </c>
      <c r="AC1264" s="73" t="str">
        <f t="shared" si="335"/>
        <v/>
      </c>
      <c r="AD1264" s="19" t="str">
        <f t="shared" si="336"/>
        <v/>
      </c>
      <c r="AE1264" s="19" t="str">
        <f t="shared" si="337"/>
        <v/>
      </c>
      <c r="AF1264" s="19" t="str">
        <f>IF($D1264&lt;&gt;1,"",IF(INDEX(TblClusters[Environnement],$B1264)="","(vide)",INDEX(TblClusters[Environnement],$B1264)))</f>
        <v/>
      </c>
      <c r="AG1264" s="19" t="str">
        <f t="shared" si="338"/>
        <v/>
      </c>
      <c r="AH1264" s="19" t="str">
        <f t="shared" si="339"/>
        <v/>
      </c>
      <c r="AI1264" s="19" t="str">
        <f>IF($D1264&lt;&gt;1,"",IF(AND($G1264="IKS",ISNUMBER(INDEX(TblClusters[Fermeture retenue],$B1264))),IF($E1264&gt;=INDEX(TblClusters[Fermeture retenue],$B1264),1,0),0))</f>
        <v/>
      </c>
    </row>
    <row r="1265" spans="1:35" x14ac:dyDescent="0.2">
      <c r="A1265" s="19">
        <v>1260</v>
      </c>
      <c r="B1265" s="19">
        <f t="shared" si="323"/>
        <v>35</v>
      </c>
      <c r="C1265" s="19">
        <f t="shared" si="324"/>
        <v>36</v>
      </c>
      <c r="D1265" s="19">
        <f>IF($C1265&gt;p_horizon,0,IFERROR(IF(AND(INDEX(TblClusters[Cluster],$B1265)&lt;&gt;"",ISNUMBER(INDEX(TblClusters[CPU initial (vCPU)],$B1265)),ISNUMBER(INDEX(TblClusters[CPU min (vCPU)],$B1265)),OR(INDEX(TblClusters[Plateforme],$B1265)="IKS",INDEX(TblClusters[Plateforme],$B1265)="ROKS")),1,0),0))</f>
        <v>0</v>
      </c>
      <c r="E1265" s="72" t="str">
        <f t="shared" si="325"/>
        <v/>
      </c>
      <c r="F1265" s="19" t="str">
        <f>IF($D1265=1,INDEX(TblClusters[Cluster],$B1265),"")</f>
        <v/>
      </c>
      <c r="G1265" s="19" t="str">
        <f>IF($D1265=1,INDEX(TblClusters[Plateforme],$B1265),"")</f>
        <v/>
      </c>
      <c r="H1265" s="19" t="str">
        <f>IF($D1265=1,INDEX(TblClusters[vCPU par nœud],$B1265),"")</f>
        <v/>
      </c>
      <c r="I1265" s="19" t="str">
        <f>IF($D1265=1,INDEX(TblClusters[RAM par nœud (Go)],$B1265),"")</f>
        <v/>
      </c>
      <c r="J1265" s="19" t="str">
        <f>IF($D1265=1,INDEX(TblClusters[Workers min],$B1265),"")</f>
        <v/>
      </c>
      <c r="K1265" s="73" t="str">
        <f>IF($D1265=1,INDEX(TblClusters[Tarif par nœud],$B1265),"")</f>
        <v/>
      </c>
      <c r="L1265" s="19" t="str">
        <f>IF($D1265=1,INDEX(TblClusters[CPU initial (vCPU)],$B1265),"")</f>
        <v/>
      </c>
      <c r="M1265" s="19" t="str">
        <f>IF($D1265=1,INDEX(TblClusters[RAM initiale (Go)],$B1265),"")</f>
        <v/>
      </c>
      <c r="N1265" s="19" t="str">
        <f>IF($D1265=1,INDEX(TblClusters[CPU min (vCPU)],$B1265),"")</f>
        <v/>
      </c>
      <c r="O1265" s="19" t="str">
        <f>IF($D1265=1,INDEX(TblClusters[RAM min (Go)],$B1265),"")</f>
        <v/>
      </c>
      <c r="P1265" s="19" t="str">
        <f>IF($D1265&lt;&gt;1,"",IF($G1265="ROKS",SUMIFS(TblApplications[Besoin ROKS CPU (vCPU)],TblApplications[Cluster ROKS cible],$F1265,TblApplications[Action],"À migrer",TblApplications[Déjà incluse ROKS],"Non",TblApplications[Mois prov (calc)],"&lt;="&amp;$E1265),SUMIFS(TblApplications[CPU IKS libérable (vCPU)],TblApplications[Cluster IKS source],$F1265,TblApplications[Mois lib (calc)],"&lt;="&amp;$E1265)))</f>
        <v/>
      </c>
      <c r="Q1265" s="19" t="str">
        <f>IF($D1265&lt;&gt;1,"",IF($G1265="ROKS",SUMIFS(TblApplications[Besoin ROKS RAM (Go)],TblApplications[Cluster ROKS cible],$F1265,TblApplications[Action],"À migrer",TblApplications[Déjà incluse ROKS],"Non",TblApplications[Mois prov (calc)],"&lt;="&amp;$E1265),SUMIFS(TblApplications[RAM IKS libérable (Go)],TblApplications[Cluster IKS source],$F1265,TblApplications[Mois lib (calc)],"&lt;="&amp;$E1265)))</f>
        <v/>
      </c>
      <c r="R1265" s="19" t="str">
        <f t="shared" si="326"/>
        <v/>
      </c>
      <c r="S1265" s="19" t="str">
        <f t="shared" si="327"/>
        <v/>
      </c>
      <c r="T1265" s="19" t="str">
        <f t="shared" si="328"/>
        <v/>
      </c>
      <c r="U1265" s="19" t="str">
        <f t="shared" si="329"/>
        <v/>
      </c>
      <c r="V1265" s="19" t="str">
        <f t="shared" si="330"/>
        <v/>
      </c>
      <c r="W1265" s="73" t="str">
        <f t="shared" si="331"/>
        <v/>
      </c>
      <c r="X1265" s="19" t="str">
        <f>IF($D1265&lt;&gt;1,"",IF($G1265="ROKS",$R1265,IF($AI1265=1,0,MAX($N1265,$L1265-SUMIFS(TblApplications[CPU IKS libérable (vCPU)],TblApplications[Cluster IKS source],$F1265,TblApplications[Action],"À migrer",TblApplications[Mois prov (calc)],"&lt;="&amp;$E1265)-SUMIFS(TblApplications[CPU IKS libérable (vCPU)],TblApplications[Cluster IKS source],$F1265,TblApplications[Action],"À décommissionner",TblApplications[Mois lib (calc)],"&lt;="&amp;$E1265)))))</f>
        <v/>
      </c>
      <c r="Y1265" s="19" t="str">
        <f>IF($D1265&lt;&gt;1,"",IF($G1265="ROKS",$S1265,IF($AI1265=1,0,MAX($O1265,$M1265-SUMIFS(TblApplications[RAM IKS libérable (Go)],TblApplications[Cluster IKS source],$F1265,TblApplications[Action],"À migrer",TblApplications[Mois prov (calc)],"&lt;="&amp;$E1265)-SUMIFS(TblApplications[RAM IKS libérable (Go)],TblApplications[Cluster IKS source],$F1265,TblApplications[Action],"À décommissionner",TblApplications[Mois lib (calc)],"&lt;="&amp;$E1265)))))</f>
        <v/>
      </c>
      <c r="Z1265" s="19" t="str">
        <f t="shared" si="332"/>
        <v/>
      </c>
      <c r="AA1265" s="73" t="str">
        <f t="shared" si="333"/>
        <v/>
      </c>
      <c r="AB1265" s="19" t="str">
        <f t="shared" si="334"/>
        <v/>
      </c>
      <c r="AC1265" s="73" t="str">
        <f t="shared" si="335"/>
        <v/>
      </c>
      <c r="AD1265" s="19" t="str">
        <f t="shared" si="336"/>
        <v/>
      </c>
      <c r="AE1265" s="19" t="str">
        <f t="shared" si="337"/>
        <v/>
      </c>
      <c r="AF1265" s="19" t="str">
        <f>IF($D1265&lt;&gt;1,"",IF(INDEX(TblClusters[Environnement],$B1265)="","(vide)",INDEX(TblClusters[Environnement],$B1265)))</f>
        <v/>
      </c>
      <c r="AG1265" s="19" t="str">
        <f t="shared" si="338"/>
        <v/>
      </c>
      <c r="AH1265" s="19" t="str">
        <f t="shared" si="339"/>
        <v/>
      </c>
      <c r="AI1265" s="19" t="str">
        <f>IF($D1265&lt;&gt;1,"",IF(AND($G1265="IKS",ISNUMBER(INDEX(TblClusters[Fermeture retenue],$B1265))),IF($E1265&gt;=INDEX(TblClusters[Fermeture retenue],$B1265),1,0),0))</f>
        <v/>
      </c>
    </row>
    <row r="1266" spans="1:35" x14ac:dyDescent="0.2">
      <c r="A1266" s="19">
        <v>1261</v>
      </c>
      <c r="B1266" s="19">
        <f t="shared" si="323"/>
        <v>36</v>
      </c>
      <c r="C1266" s="19">
        <f t="shared" si="324"/>
        <v>1</v>
      </c>
      <c r="D1266" s="19">
        <f>IF($C1266&gt;p_horizon,0,IFERROR(IF(AND(INDEX(TblClusters[Cluster],$B1266)&lt;&gt;"",ISNUMBER(INDEX(TblClusters[CPU initial (vCPU)],$B1266)),ISNUMBER(INDEX(TblClusters[CPU min (vCPU)],$B1266)),OR(INDEX(TblClusters[Plateforme],$B1266)="IKS",INDEX(TblClusters[Plateforme],$B1266)="ROKS")),1,0),0))</f>
        <v>0</v>
      </c>
      <c r="E1266" s="72" t="str">
        <f t="shared" si="325"/>
        <v/>
      </c>
      <c r="F1266" s="19" t="str">
        <f>IF($D1266=1,INDEX(TblClusters[Cluster],$B1266),"")</f>
        <v/>
      </c>
      <c r="G1266" s="19" t="str">
        <f>IF($D1266=1,INDEX(TblClusters[Plateforme],$B1266),"")</f>
        <v/>
      </c>
      <c r="H1266" s="19" t="str">
        <f>IF($D1266=1,INDEX(TblClusters[vCPU par nœud],$B1266),"")</f>
        <v/>
      </c>
      <c r="I1266" s="19" t="str">
        <f>IF($D1266=1,INDEX(TblClusters[RAM par nœud (Go)],$B1266),"")</f>
        <v/>
      </c>
      <c r="J1266" s="19" t="str">
        <f>IF($D1266=1,INDEX(TblClusters[Workers min],$B1266),"")</f>
        <v/>
      </c>
      <c r="K1266" s="73" t="str">
        <f>IF($D1266=1,INDEX(TblClusters[Tarif par nœud],$B1266),"")</f>
        <v/>
      </c>
      <c r="L1266" s="19" t="str">
        <f>IF($D1266=1,INDEX(TblClusters[CPU initial (vCPU)],$B1266),"")</f>
        <v/>
      </c>
      <c r="M1266" s="19" t="str">
        <f>IF($D1266=1,INDEX(TblClusters[RAM initiale (Go)],$B1266),"")</f>
        <v/>
      </c>
      <c r="N1266" s="19" t="str">
        <f>IF($D1266=1,INDEX(TblClusters[CPU min (vCPU)],$B1266),"")</f>
        <v/>
      </c>
      <c r="O1266" s="19" t="str">
        <f>IF($D1266=1,INDEX(TblClusters[RAM min (Go)],$B1266),"")</f>
        <v/>
      </c>
      <c r="P1266" s="19" t="str">
        <f>IF($D1266&lt;&gt;1,"",IF($G1266="ROKS",SUMIFS(TblApplications[Besoin ROKS CPU (vCPU)],TblApplications[Cluster ROKS cible],$F1266,TblApplications[Action],"À migrer",TblApplications[Déjà incluse ROKS],"Non",TblApplications[Mois prov (calc)],"&lt;="&amp;$E1266),SUMIFS(TblApplications[CPU IKS libérable (vCPU)],TblApplications[Cluster IKS source],$F1266,TblApplications[Mois lib (calc)],"&lt;="&amp;$E1266)))</f>
        <v/>
      </c>
      <c r="Q1266" s="19" t="str">
        <f>IF($D1266&lt;&gt;1,"",IF($G1266="ROKS",SUMIFS(TblApplications[Besoin ROKS RAM (Go)],TblApplications[Cluster ROKS cible],$F1266,TblApplications[Action],"À migrer",TblApplications[Déjà incluse ROKS],"Non",TblApplications[Mois prov (calc)],"&lt;="&amp;$E1266),SUMIFS(TblApplications[RAM IKS libérable (Go)],TblApplications[Cluster IKS source],$F1266,TblApplications[Mois lib (calc)],"&lt;="&amp;$E1266)))</f>
        <v/>
      </c>
      <c r="R1266" s="19" t="str">
        <f t="shared" si="326"/>
        <v/>
      </c>
      <c r="S1266" s="19" t="str">
        <f t="shared" si="327"/>
        <v/>
      </c>
      <c r="T1266" s="19" t="str">
        <f t="shared" si="328"/>
        <v/>
      </c>
      <c r="U1266" s="19" t="str">
        <f t="shared" si="329"/>
        <v/>
      </c>
      <c r="V1266" s="19" t="str">
        <f t="shared" si="330"/>
        <v/>
      </c>
      <c r="W1266" s="73" t="str">
        <f t="shared" si="331"/>
        <v/>
      </c>
      <c r="X1266" s="19" t="str">
        <f>IF($D1266&lt;&gt;1,"",IF($G1266="ROKS",$R1266,IF($AI1266=1,0,MAX($N1266,$L1266-SUMIFS(TblApplications[CPU IKS libérable (vCPU)],TblApplications[Cluster IKS source],$F1266,TblApplications[Action],"À migrer",TblApplications[Mois prov (calc)],"&lt;="&amp;$E1266)-SUMIFS(TblApplications[CPU IKS libérable (vCPU)],TblApplications[Cluster IKS source],$F1266,TblApplications[Action],"À décommissionner",TblApplications[Mois lib (calc)],"&lt;="&amp;$E1266)))))</f>
        <v/>
      </c>
      <c r="Y1266" s="19" t="str">
        <f>IF($D1266&lt;&gt;1,"",IF($G1266="ROKS",$S1266,IF($AI1266=1,0,MAX($O1266,$M1266-SUMIFS(TblApplications[RAM IKS libérable (Go)],TblApplications[Cluster IKS source],$F1266,TblApplications[Action],"À migrer",TblApplications[Mois prov (calc)],"&lt;="&amp;$E1266)-SUMIFS(TblApplications[RAM IKS libérable (Go)],TblApplications[Cluster IKS source],$F1266,TblApplications[Action],"À décommissionner",TblApplications[Mois lib (calc)],"&lt;="&amp;$E1266)))))</f>
        <v/>
      </c>
      <c r="Z1266" s="19" t="str">
        <f t="shared" si="332"/>
        <v/>
      </c>
      <c r="AA1266" s="73" t="str">
        <f t="shared" si="333"/>
        <v/>
      </c>
      <c r="AB1266" s="19" t="str">
        <f t="shared" si="334"/>
        <v/>
      </c>
      <c r="AC1266" s="73" t="str">
        <f t="shared" si="335"/>
        <v/>
      </c>
      <c r="AD1266" s="19" t="str">
        <f t="shared" si="336"/>
        <v/>
      </c>
      <c r="AE1266" s="19" t="str">
        <f t="shared" si="337"/>
        <v/>
      </c>
      <c r="AF1266" s="19" t="str">
        <f>IF($D1266&lt;&gt;1,"",IF(INDEX(TblClusters[Environnement],$B1266)="","(vide)",INDEX(TblClusters[Environnement],$B1266)))</f>
        <v/>
      </c>
      <c r="AG1266" s="19" t="str">
        <f t="shared" si="338"/>
        <v/>
      </c>
      <c r="AH1266" s="19" t="str">
        <f t="shared" si="339"/>
        <v/>
      </c>
      <c r="AI1266" s="19" t="str">
        <f>IF($D1266&lt;&gt;1,"",IF(AND($G1266="IKS",ISNUMBER(INDEX(TblClusters[Fermeture retenue],$B1266))),IF($E1266&gt;=INDEX(TblClusters[Fermeture retenue],$B1266),1,0),0))</f>
        <v/>
      </c>
    </row>
    <row r="1267" spans="1:35" x14ac:dyDescent="0.2">
      <c r="A1267" s="19">
        <v>1262</v>
      </c>
      <c r="B1267" s="19">
        <f t="shared" si="323"/>
        <v>36</v>
      </c>
      <c r="C1267" s="19">
        <f t="shared" si="324"/>
        <v>2</v>
      </c>
      <c r="D1267" s="19">
        <f>IF($C1267&gt;p_horizon,0,IFERROR(IF(AND(INDEX(TblClusters[Cluster],$B1267)&lt;&gt;"",ISNUMBER(INDEX(TblClusters[CPU initial (vCPU)],$B1267)),ISNUMBER(INDEX(TblClusters[CPU min (vCPU)],$B1267)),OR(INDEX(TblClusters[Plateforme],$B1267)="IKS",INDEX(TblClusters[Plateforme],$B1267)="ROKS")),1,0),0))</f>
        <v>0</v>
      </c>
      <c r="E1267" s="72" t="str">
        <f t="shared" si="325"/>
        <v/>
      </c>
      <c r="F1267" s="19" t="str">
        <f>IF($D1267=1,INDEX(TblClusters[Cluster],$B1267),"")</f>
        <v/>
      </c>
      <c r="G1267" s="19" t="str">
        <f>IF($D1267=1,INDEX(TblClusters[Plateforme],$B1267),"")</f>
        <v/>
      </c>
      <c r="H1267" s="19" t="str">
        <f>IF($D1267=1,INDEX(TblClusters[vCPU par nœud],$B1267),"")</f>
        <v/>
      </c>
      <c r="I1267" s="19" t="str">
        <f>IF($D1267=1,INDEX(TblClusters[RAM par nœud (Go)],$B1267),"")</f>
        <v/>
      </c>
      <c r="J1267" s="19" t="str">
        <f>IF($D1267=1,INDEX(TblClusters[Workers min],$B1267),"")</f>
        <v/>
      </c>
      <c r="K1267" s="73" t="str">
        <f>IF($D1267=1,INDEX(TblClusters[Tarif par nœud],$B1267),"")</f>
        <v/>
      </c>
      <c r="L1267" s="19" t="str">
        <f>IF($D1267=1,INDEX(TblClusters[CPU initial (vCPU)],$B1267),"")</f>
        <v/>
      </c>
      <c r="M1267" s="19" t="str">
        <f>IF($D1267=1,INDEX(TblClusters[RAM initiale (Go)],$B1267),"")</f>
        <v/>
      </c>
      <c r="N1267" s="19" t="str">
        <f>IF($D1267=1,INDEX(TblClusters[CPU min (vCPU)],$B1267),"")</f>
        <v/>
      </c>
      <c r="O1267" s="19" t="str">
        <f>IF($D1267=1,INDEX(TblClusters[RAM min (Go)],$B1267),"")</f>
        <v/>
      </c>
      <c r="P1267" s="19" t="str">
        <f>IF($D1267&lt;&gt;1,"",IF($G1267="ROKS",SUMIFS(TblApplications[Besoin ROKS CPU (vCPU)],TblApplications[Cluster ROKS cible],$F1267,TblApplications[Action],"À migrer",TblApplications[Déjà incluse ROKS],"Non",TblApplications[Mois prov (calc)],"&lt;="&amp;$E1267),SUMIFS(TblApplications[CPU IKS libérable (vCPU)],TblApplications[Cluster IKS source],$F1267,TblApplications[Mois lib (calc)],"&lt;="&amp;$E1267)))</f>
        <v/>
      </c>
      <c r="Q1267" s="19" t="str">
        <f>IF($D1267&lt;&gt;1,"",IF($G1267="ROKS",SUMIFS(TblApplications[Besoin ROKS RAM (Go)],TblApplications[Cluster ROKS cible],$F1267,TblApplications[Action],"À migrer",TblApplications[Déjà incluse ROKS],"Non",TblApplications[Mois prov (calc)],"&lt;="&amp;$E1267),SUMIFS(TblApplications[RAM IKS libérable (Go)],TblApplications[Cluster IKS source],$F1267,TblApplications[Mois lib (calc)],"&lt;="&amp;$E1267)))</f>
        <v/>
      </c>
      <c r="R1267" s="19" t="str">
        <f t="shared" si="326"/>
        <v/>
      </c>
      <c r="S1267" s="19" t="str">
        <f t="shared" si="327"/>
        <v/>
      </c>
      <c r="T1267" s="19" t="str">
        <f t="shared" si="328"/>
        <v/>
      </c>
      <c r="U1267" s="19" t="str">
        <f t="shared" si="329"/>
        <v/>
      </c>
      <c r="V1267" s="19" t="str">
        <f t="shared" si="330"/>
        <v/>
      </c>
      <c r="W1267" s="73" t="str">
        <f t="shared" si="331"/>
        <v/>
      </c>
      <c r="X1267" s="19" t="str">
        <f>IF($D1267&lt;&gt;1,"",IF($G1267="ROKS",$R1267,IF($AI1267=1,0,MAX($N1267,$L1267-SUMIFS(TblApplications[CPU IKS libérable (vCPU)],TblApplications[Cluster IKS source],$F1267,TblApplications[Action],"À migrer",TblApplications[Mois prov (calc)],"&lt;="&amp;$E1267)-SUMIFS(TblApplications[CPU IKS libérable (vCPU)],TblApplications[Cluster IKS source],$F1267,TblApplications[Action],"À décommissionner",TblApplications[Mois lib (calc)],"&lt;="&amp;$E1267)))))</f>
        <v/>
      </c>
      <c r="Y1267" s="19" t="str">
        <f>IF($D1267&lt;&gt;1,"",IF($G1267="ROKS",$S1267,IF($AI1267=1,0,MAX($O1267,$M1267-SUMIFS(TblApplications[RAM IKS libérable (Go)],TblApplications[Cluster IKS source],$F1267,TblApplications[Action],"À migrer",TblApplications[Mois prov (calc)],"&lt;="&amp;$E1267)-SUMIFS(TblApplications[RAM IKS libérable (Go)],TblApplications[Cluster IKS source],$F1267,TblApplications[Action],"À décommissionner",TblApplications[Mois lib (calc)],"&lt;="&amp;$E1267)))))</f>
        <v/>
      </c>
      <c r="Z1267" s="19" t="str">
        <f t="shared" si="332"/>
        <v/>
      </c>
      <c r="AA1267" s="73" t="str">
        <f t="shared" si="333"/>
        <v/>
      </c>
      <c r="AB1267" s="19" t="str">
        <f t="shared" si="334"/>
        <v/>
      </c>
      <c r="AC1267" s="73" t="str">
        <f t="shared" si="335"/>
        <v/>
      </c>
      <c r="AD1267" s="19" t="str">
        <f t="shared" si="336"/>
        <v/>
      </c>
      <c r="AE1267" s="19" t="str">
        <f t="shared" si="337"/>
        <v/>
      </c>
      <c r="AF1267" s="19" t="str">
        <f>IF($D1267&lt;&gt;1,"",IF(INDEX(TblClusters[Environnement],$B1267)="","(vide)",INDEX(TblClusters[Environnement],$B1267)))</f>
        <v/>
      </c>
      <c r="AG1267" s="19" t="str">
        <f t="shared" si="338"/>
        <v/>
      </c>
      <c r="AH1267" s="19" t="str">
        <f t="shared" si="339"/>
        <v/>
      </c>
      <c r="AI1267" s="19" t="str">
        <f>IF($D1267&lt;&gt;1,"",IF(AND($G1267="IKS",ISNUMBER(INDEX(TblClusters[Fermeture retenue],$B1267))),IF($E1267&gt;=INDEX(TblClusters[Fermeture retenue],$B1267),1,0),0))</f>
        <v/>
      </c>
    </row>
    <row r="1268" spans="1:35" x14ac:dyDescent="0.2">
      <c r="A1268" s="19">
        <v>1263</v>
      </c>
      <c r="B1268" s="19">
        <f t="shared" si="323"/>
        <v>36</v>
      </c>
      <c r="C1268" s="19">
        <f t="shared" si="324"/>
        <v>3</v>
      </c>
      <c r="D1268" s="19">
        <f>IF($C1268&gt;p_horizon,0,IFERROR(IF(AND(INDEX(TblClusters[Cluster],$B1268)&lt;&gt;"",ISNUMBER(INDEX(TblClusters[CPU initial (vCPU)],$B1268)),ISNUMBER(INDEX(TblClusters[CPU min (vCPU)],$B1268)),OR(INDEX(TblClusters[Plateforme],$B1268)="IKS",INDEX(TblClusters[Plateforme],$B1268)="ROKS")),1,0),0))</f>
        <v>0</v>
      </c>
      <c r="E1268" s="72" t="str">
        <f t="shared" si="325"/>
        <v/>
      </c>
      <c r="F1268" s="19" t="str">
        <f>IF($D1268=1,INDEX(TblClusters[Cluster],$B1268),"")</f>
        <v/>
      </c>
      <c r="G1268" s="19" t="str">
        <f>IF($D1268=1,INDEX(TblClusters[Plateforme],$B1268),"")</f>
        <v/>
      </c>
      <c r="H1268" s="19" t="str">
        <f>IF($D1268=1,INDEX(TblClusters[vCPU par nœud],$B1268),"")</f>
        <v/>
      </c>
      <c r="I1268" s="19" t="str">
        <f>IF($D1268=1,INDEX(TblClusters[RAM par nœud (Go)],$B1268),"")</f>
        <v/>
      </c>
      <c r="J1268" s="19" t="str">
        <f>IF($D1268=1,INDEX(TblClusters[Workers min],$B1268),"")</f>
        <v/>
      </c>
      <c r="K1268" s="73" t="str">
        <f>IF($D1268=1,INDEX(TblClusters[Tarif par nœud],$B1268),"")</f>
        <v/>
      </c>
      <c r="L1268" s="19" t="str">
        <f>IF($D1268=1,INDEX(TblClusters[CPU initial (vCPU)],$B1268),"")</f>
        <v/>
      </c>
      <c r="M1268" s="19" t="str">
        <f>IF($D1268=1,INDEX(TblClusters[RAM initiale (Go)],$B1268),"")</f>
        <v/>
      </c>
      <c r="N1268" s="19" t="str">
        <f>IF($D1268=1,INDEX(TblClusters[CPU min (vCPU)],$B1268),"")</f>
        <v/>
      </c>
      <c r="O1268" s="19" t="str">
        <f>IF($D1268=1,INDEX(TblClusters[RAM min (Go)],$B1268),"")</f>
        <v/>
      </c>
      <c r="P1268" s="19" t="str">
        <f>IF($D1268&lt;&gt;1,"",IF($G1268="ROKS",SUMIFS(TblApplications[Besoin ROKS CPU (vCPU)],TblApplications[Cluster ROKS cible],$F1268,TblApplications[Action],"À migrer",TblApplications[Déjà incluse ROKS],"Non",TblApplications[Mois prov (calc)],"&lt;="&amp;$E1268),SUMIFS(TblApplications[CPU IKS libérable (vCPU)],TblApplications[Cluster IKS source],$F1268,TblApplications[Mois lib (calc)],"&lt;="&amp;$E1268)))</f>
        <v/>
      </c>
      <c r="Q1268" s="19" t="str">
        <f>IF($D1268&lt;&gt;1,"",IF($G1268="ROKS",SUMIFS(TblApplications[Besoin ROKS RAM (Go)],TblApplications[Cluster ROKS cible],$F1268,TblApplications[Action],"À migrer",TblApplications[Déjà incluse ROKS],"Non",TblApplications[Mois prov (calc)],"&lt;="&amp;$E1268),SUMIFS(TblApplications[RAM IKS libérable (Go)],TblApplications[Cluster IKS source],$F1268,TblApplications[Mois lib (calc)],"&lt;="&amp;$E1268)))</f>
        <v/>
      </c>
      <c r="R1268" s="19" t="str">
        <f t="shared" si="326"/>
        <v/>
      </c>
      <c r="S1268" s="19" t="str">
        <f t="shared" si="327"/>
        <v/>
      </c>
      <c r="T1268" s="19" t="str">
        <f t="shared" si="328"/>
        <v/>
      </c>
      <c r="U1268" s="19" t="str">
        <f t="shared" si="329"/>
        <v/>
      </c>
      <c r="V1268" s="19" t="str">
        <f t="shared" si="330"/>
        <v/>
      </c>
      <c r="W1268" s="73" t="str">
        <f t="shared" si="331"/>
        <v/>
      </c>
      <c r="X1268" s="19" t="str">
        <f>IF($D1268&lt;&gt;1,"",IF($G1268="ROKS",$R1268,IF($AI1268=1,0,MAX($N1268,$L1268-SUMIFS(TblApplications[CPU IKS libérable (vCPU)],TblApplications[Cluster IKS source],$F1268,TblApplications[Action],"À migrer",TblApplications[Mois prov (calc)],"&lt;="&amp;$E1268)-SUMIFS(TblApplications[CPU IKS libérable (vCPU)],TblApplications[Cluster IKS source],$F1268,TblApplications[Action],"À décommissionner",TblApplications[Mois lib (calc)],"&lt;="&amp;$E1268)))))</f>
        <v/>
      </c>
      <c r="Y1268" s="19" t="str">
        <f>IF($D1268&lt;&gt;1,"",IF($G1268="ROKS",$S1268,IF($AI1268=1,0,MAX($O1268,$M1268-SUMIFS(TblApplications[RAM IKS libérable (Go)],TblApplications[Cluster IKS source],$F1268,TblApplications[Action],"À migrer",TblApplications[Mois prov (calc)],"&lt;="&amp;$E1268)-SUMIFS(TblApplications[RAM IKS libérable (Go)],TblApplications[Cluster IKS source],$F1268,TblApplications[Action],"À décommissionner",TblApplications[Mois lib (calc)],"&lt;="&amp;$E1268)))))</f>
        <v/>
      </c>
      <c r="Z1268" s="19" t="str">
        <f t="shared" si="332"/>
        <v/>
      </c>
      <c r="AA1268" s="73" t="str">
        <f t="shared" si="333"/>
        <v/>
      </c>
      <c r="AB1268" s="19" t="str">
        <f t="shared" si="334"/>
        <v/>
      </c>
      <c r="AC1268" s="73" t="str">
        <f t="shared" si="335"/>
        <v/>
      </c>
      <c r="AD1268" s="19" t="str">
        <f t="shared" si="336"/>
        <v/>
      </c>
      <c r="AE1268" s="19" t="str">
        <f t="shared" si="337"/>
        <v/>
      </c>
      <c r="AF1268" s="19" t="str">
        <f>IF($D1268&lt;&gt;1,"",IF(INDEX(TblClusters[Environnement],$B1268)="","(vide)",INDEX(TblClusters[Environnement],$B1268)))</f>
        <v/>
      </c>
      <c r="AG1268" s="19" t="str">
        <f t="shared" si="338"/>
        <v/>
      </c>
      <c r="AH1268" s="19" t="str">
        <f t="shared" si="339"/>
        <v/>
      </c>
      <c r="AI1268" s="19" t="str">
        <f>IF($D1268&lt;&gt;1,"",IF(AND($G1268="IKS",ISNUMBER(INDEX(TblClusters[Fermeture retenue],$B1268))),IF($E1268&gt;=INDEX(TblClusters[Fermeture retenue],$B1268),1,0),0))</f>
        <v/>
      </c>
    </row>
    <row r="1269" spans="1:35" x14ac:dyDescent="0.2">
      <c r="A1269" s="19">
        <v>1264</v>
      </c>
      <c r="B1269" s="19">
        <f t="shared" si="323"/>
        <v>36</v>
      </c>
      <c r="C1269" s="19">
        <f t="shared" si="324"/>
        <v>4</v>
      </c>
      <c r="D1269" s="19">
        <f>IF($C1269&gt;p_horizon,0,IFERROR(IF(AND(INDEX(TblClusters[Cluster],$B1269)&lt;&gt;"",ISNUMBER(INDEX(TblClusters[CPU initial (vCPU)],$B1269)),ISNUMBER(INDEX(TblClusters[CPU min (vCPU)],$B1269)),OR(INDEX(TblClusters[Plateforme],$B1269)="IKS",INDEX(TblClusters[Plateforme],$B1269)="ROKS")),1,0),0))</f>
        <v>0</v>
      </c>
      <c r="E1269" s="72" t="str">
        <f t="shared" si="325"/>
        <v/>
      </c>
      <c r="F1269" s="19" t="str">
        <f>IF($D1269=1,INDEX(TblClusters[Cluster],$B1269),"")</f>
        <v/>
      </c>
      <c r="G1269" s="19" t="str">
        <f>IF($D1269=1,INDEX(TblClusters[Plateforme],$B1269),"")</f>
        <v/>
      </c>
      <c r="H1269" s="19" t="str">
        <f>IF($D1269=1,INDEX(TblClusters[vCPU par nœud],$B1269),"")</f>
        <v/>
      </c>
      <c r="I1269" s="19" t="str">
        <f>IF($D1269=1,INDEX(TblClusters[RAM par nœud (Go)],$B1269),"")</f>
        <v/>
      </c>
      <c r="J1269" s="19" t="str">
        <f>IF($D1269=1,INDEX(TblClusters[Workers min],$B1269),"")</f>
        <v/>
      </c>
      <c r="K1269" s="73" t="str">
        <f>IF($D1269=1,INDEX(TblClusters[Tarif par nœud],$B1269),"")</f>
        <v/>
      </c>
      <c r="L1269" s="19" t="str">
        <f>IF($D1269=1,INDEX(TblClusters[CPU initial (vCPU)],$B1269),"")</f>
        <v/>
      </c>
      <c r="M1269" s="19" t="str">
        <f>IF($D1269=1,INDEX(TblClusters[RAM initiale (Go)],$B1269),"")</f>
        <v/>
      </c>
      <c r="N1269" s="19" t="str">
        <f>IF($D1269=1,INDEX(TblClusters[CPU min (vCPU)],$B1269),"")</f>
        <v/>
      </c>
      <c r="O1269" s="19" t="str">
        <f>IF($D1269=1,INDEX(TblClusters[RAM min (Go)],$B1269),"")</f>
        <v/>
      </c>
      <c r="P1269" s="19" t="str">
        <f>IF($D1269&lt;&gt;1,"",IF($G1269="ROKS",SUMIFS(TblApplications[Besoin ROKS CPU (vCPU)],TblApplications[Cluster ROKS cible],$F1269,TblApplications[Action],"À migrer",TblApplications[Déjà incluse ROKS],"Non",TblApplications[Mois prov (calc)],"&lt;="&amp;$E1269),SUMIFS(TblApplications[CPU IKS libérable (vCPU)],TblApplications[Cluster IKS source],$F1269,TblApplications[Mois lib (calc)],"&lt;="&amp;$E1269)))</f>
        <v/>
      </c>
      <c r="Q1269" s="19" t="str">
        <f>IF($D1269&lt;&gt;1,"",IF($G1269="ROKS",SUMIFS(TblApplications[Besoin ROKS RAM (Go)],TblApplications[Cluster ROKS cible],$F1269,TblApplications[Action],"À migrer",TblApplications[Déjà incluse ROKS],"Non",TblApplications[Mois prov (calc)],"&lt;="&amp;$E1269),SUMIFS(TblApplications[RAM IKS libérable (Go)],TblApplications[Cluster IKS source],$F1269,TblApplications[Mois lib (calc)],"&lt;="&amp;$E1269)))</f>
        <v/>
      </c>
      <c r="R1269" s="19" t="str">
        <f t="shared" si="326"/>
        <v/>
      </c>
      <c r="S1269" s="19" t="str">
        <f t="shared" si="327"/>
        <v/>
      </c>
      <c r="T1269" s="19" t="str">
        <f t="shared" si="328"/>
        <v/>
      </c>
      <c r="U1269" s="19" t="str">
        <f t="shared" si="329"/>
        <v/>
      </c>
      <c r="V1269" s="19" t="str">
        <f t="shared" si="330"/>
        <v/>
      </c>
      <c r="W1269" s="73" t="str">
        <f t="shared" si="331"/>
        <v/>
      </c>
      <c r="X1269" s="19" t="str">
        <f>IF($D1269&lt;&gt;1,"",IF($G1269="ROKS",$R1269,IF($AI1269=1,0,MAX($N1269,$L1269-SUMIFS(TblApplications[CPU IKS libérable (vCPU)],TblApplications[Cluster IKS source],$F1269,TblApplications[Action],"À migrer",TblApplications[Mois prov (calc)],"&lt;="&amp;$E1269)-SUMIFS(TblApplications[CPU IKS libérable (vCPU)],TblApplications[Cluster IKS source],$F1269,TblApplications[Action],"À décommissionner",TblApplications[Mois lib (calc)],"&lt;="&amp;$E1269)))))</f>
        <v/>
      </c>
      <c r="Y1269" s="19" t="str">
        <f>IF($D1269&lt;&gt;1,"",IF($G1269="ROKS",$S1269,IF($AI1269=1,0,MAX($O1269,$M1269-SUMIFS(TblApplications[RAM IKS libérable (Go)],TblApplications[Cluster IKS source],$F1269,TblApplications[Action],"À migrer",TblApplications[Mois prov (calc)],"&lt;="&amp;$E1269)-SUMIFS(TblApplications[RAM IKS libérable (Go)],TblApplications[Cluster IKS source],$F1269,TblApplications[Action],"À décommissionner",TblApplications[Mois lib (calc)],"&lt;="&amp;$E1269)))))</f>
        <v/>
      </c>
      <c r="Z1269" s="19" t="str">
        <f t="shared" si="332"/>
        <v/>
      </c>
      <c r="AA1269" s="73" t="str">
        <f t="shared" si="333"/>
        <v/>
      </c>
      <c r="AB1269" s="19" t="str">
        <f t="shared" si="334"/>
        <v/>
      </c>
      <c r="AC1269" s="73" t="str">
        <f t="shared" si="335"/>
        <v/>
      </c>
      <c r="AD1269" s="19" t="str">
        <f t="shared" si="336"/>
        <v/>
      </c>
      <c r="AE1269" s="19" t="str">
        <f t="shared" si="337"/>
        <v/>
      </c>
      <c r="AF1269" s="19" t="str">
        <f>IF($D1269&lt;&gt;1,"",IF(INDEX(TblClusters[Environnement],$B1269)="","(vide)",INDEX(TblClusters[Environnement],$B1269)))</f>
        <v/>
      </c>
      <c r="AG1269" s="19" t="str">
        <f t="shared" si="338"/>
        <v/>
      </c>
      <c r="AH1269" s="19" t="str">
        <f t="shared" si="339"/>
        <v/>
      </c>
      <c r="AI1269" s="19" t="str">
        <f>IF($D1269&lt;&gt;1,"",IF(AND($G1269="IKS",ISNUMBER(INDEX(TblClusters[Fermeture retenue],$B1269))),IF($E1269&gt;=INDEX(TblClusters[Fermeture retenue],$B1269),1,0),0))</f>
        <v/>
      </c>
    </row>
    <row r="1270" spans="1:35" x14ac:dyDescent="0.2">
      <c r="A1270" s="19">
        <v>1265</v>
      </c>
      <c r="B1270" s="19">
        <f t="shared" si="323"/>
        <v>36</v>
      </c>
      <c r="C1270" s="19">
        <f t="shared" si="324"/>
        <v>5</v>
      </c>
      <c r="D1270" s="19">
        <f>IF($C1270&gt;p_horizon,0,IFERROR(IF(AND(INDEX(TblClusters[Cluster],$B1270)&lt;&gt;"",ISNUMBER(INDEX(TblClusters[CPU initial (vCPU)],$B1270)),ISNUMBER(INDEX(TblClusters[CPU min (vCPU)],$B1270)),OR(INDEX(TblClusters[Plateforme],$B1270)="IKS",INDEX(TblClusters[Plateforme],$B1270)="ROKS")),1,0),0))</f>
        <v>0</v>
      </c>
      <c r="E1270" s="72" t="str">
        <f t="shared" si="325"/>
        <v/>
      </c>
      <c r="F1270" s="19" t="str">
        <f>IF($D1270=1,INDEX(TblClusters[Cluster],$B1270),"")</f>
        <v/>
      </c>
      <c r="G1270" s="19" t="str">
        <f>IF($D1270=1,INDEX(TblClusters[Plateforme],$B1270),"")</f>
        <v/>
      </c>
      <c r="H1270" s="19" t="str">
        <f>IF($D1270=1,INDEX(TblClusters[vCPU par nœud],$B1270),"")</f>
        <v/>
      </c>
      <c r="I1270" s="19" t="str">
        <f>IF($D1270=1,INDEX(TblClusters[RAM par nœud (Go)],$B1270),"")</f>
        <v/>
      </c>
      <c r="J1270" s="19" t="str">
        <f>IF($D1270=1,INDEX(TblClusters[Workers min],$B1270),"")</f>
        <v/>
      </c>
      <c r="K1270" s="73" t="str">
        <f>IF($D1270=1,INDEX(TblClusters[Tarif par nœud],$B1270),"")</f>
        <v/>
      </c>
      <c r="L1270" s="19" t="str">
        <f>IF($D1270=1,INDEX(TblClusters[CPU initial (vCPU)],$B1270),"")</f>
        <v/>
      </c>
      <c r="M1270" s="19" t="str">
        <f>IF($D1270=1,INDEX(TblClusters[RAM initiale (Go)],$B1270),"")</f>
        <v/>
      </c>
      <c r="N1270" s="19" t="str">
        <f>IF($D1270=1,INDEX(TblClusters[CPU min (vCPU)],$B1270),"")</f>
        <v/>
      </c>
      <c r="O1270" s="19" t="str">
        <f>IF($D1270=1,INDEX(TblClusters[RAM min (Go)],$B1270),"")</f>
        <v/>
      </c>
      <c r="P1270" s="19" t="str">
        <f>IF($D1270&lt;&gt;1,"",IF($G1270="ROKS",SUMIFS(TblApplications[Besoin ROKS CPU (vCPU)],TblApplications[Cluster ROKS cible],$F1270,TblApplications[Action],"À migrer",TblApplications[Déjà incluse ROKS],"Non",TblApplications[Mois prov (calc)],"&lt;="&amp;$E1270),SUMIFS(TblApplications[CPU IKS libérable (vCPU)],TblApplications[Cluster IKS source],$F1270,TblApplications[Mois lib (calc)],"&lt;="&amp;$E1270)))</f>
        <v/>
      </c>
      <c r="Q1270" s="19" t="str">
        <f>IF($D1270&lt;&gt;1,"",IF($G1270="ROKS",SUMIFS(TblApplications[Besoin ROKS RAM (Go)],TblApplications[Cluster ROKS cible],$F1270,TblApplications[Action],"À migrer",TblApplications[Déjà incluse ROKS],"Non",TblApplications[Mois prov (calc)],"&lt;="&amp;$E1270),SUMIFS(TblApplications[RAM IKS libérable (Go)],TblApplications[Cluster IKS source],$F1270,TblApplications[Mois lib (calc)],"&lt;="&amp;$E1270)))</f>
        <v/>
      </c>
      <c r="R1270" s="19" t="str">
        <f t="shared" si="326"/>
        <v/>
      </c>
      <c r="S1270" s="19" t="str">
        <f t="shared" si="327"/>
        <v/>
      </c>
      <c r="T1270" s="19" t="str">
        <f t="shared" si="328"/>
        <v/>
      </c>
      <c r="U1270" s="19" t="str">
        <f t="shared" si="329"/>
        <v/>
      </c>
      <c r="V1270" s="19" t="str">
        <f t="shared" si="330"/>
        <v/>
      </c>
      <c r="W1270" s="73" t="str">
        <f t="shared" si="331"/>
        <v/>
      </c>
      <c r="X1270" s="19" t="str">
        <f>IF($D1270&lt;&gt;1,"",IF($G1270="ROKS",$R1270,IF($AI1270=1,0,MAX($N1270,$L1270-SUMIFS(TblApplications[CPU IKS libérable (vCPU)],TblApplications[Cluster IKS source],$F1270,TblApplications[Action],"À migrer",TblApplications[Mois prov (calc)],"&lt;="&amp;$E1270)-SUMIFS(TblApplications[CPU IKS libérable (vCPU)],TblApplications[Cluster IKS source],$F1270,TblApplications[Action],"À décommissionner",TblApplications[Mois lib (calc)],"&lt;="&amp;$E1270)))))</f>
        <v/>
      </c>
      <c r="Y1270" s="19" t="str">
        <f>IF($D1270&lt;&gt;1,"",IF($G1270="ROKS",$S1270,IF($AI1270=1,0,MAX($O1270,$M1270-SUMIFS(TblApplications[RAM IKS libérable (Go)],TblApplications[Cluster IKS source],$F1270,TblApplications[Action],"À migrer",TblApplications[Mois prov (calc)],"&lt;="&amp;$E1270)-SUMIFS(TblApplications[RAM IKS libérable (Go)],TblApplications[Cluster IKS source],$F1270,TblApplications[Action],"À décommissionner",TblApplications[Mois lib (calc)],"&lt;="&amp;$E1270)))))</f>
        <v/>
      </c>
      <c r="Z1270" s="19" t="str">
        <f t="shared" si="332"/>
        <v/>
      </c>
      <c r="AA1270" s="73" t="str">
        <f t="shared" si="333"/>
        <v/>
      </c>
      <c r="AB1270" s="19" t="str">
        <f t="shared" si="334"/>
        <v/>
      </c>
      <c r="AC1270" s="73" t="str">
        <f t="shared" si="335"/>
        <v/>
      </c>
      <c r="AD1270" s="19" t="str">
        <f t="shared" si="336"/>
        <v/>
      </c>
      <c r="AE1270" s="19" t="str">
        <f t="shared" si="337"/>
        <v/>
      </c>
      <c r="AF1270" s="19" t="str">
        <f>IF($D1270&lt;&gt;1,"",IF(INDEX(TblClusters[Environnement],$B1270)="","(vide)",INDEX(TblClusters[Environnement],$B1270)))</f>
        <v/>
      </c>
      <c r="AG1270" s="19" t="str">
        <f t="shared" si="338"/>
        <v/>
      </c>
      <c r="AH1270" s="19" t="str">
        <f t="shared" si="339"/>
        <v/>
      </c>
      <c r="AI1270" s="19" t="str">
        <f>IF($D1270&lt;&gt;1,"",IF(AND($G1270="IKS",ISNUMBER(INDEX(TblClusters[Fermeture retenue],$B1270))),IF($E1270&gt;=INDEX(TblClusters[Fermeture retenue],$B1270),1,0),0))</f>
        <v/>
      </c>
    </row>
    <row r="1271" spans="1:35" x14ac:dyDescent="0.2">
      <c r="A1271" s="19">
        <v>1266</v>
      </c>
      <c r="B1271" s="19">
        <f t="shared" si="323"/>
        <v>36</v>
      </c>
      <c r="C1271" s="19">
        <f t="shared" si="324"/>
        <v>6</v>
      </c>
      <c r="D1271" s="19">
        <f>IF($C1271&gt;p_horizon,0,IFERROR(IF(AND(INDEX(TblClusters[Cluster],$B1271)&lt;&gt;"",ISNUMBER(INDEX(TblClusters[CPU initial (vCPU)],$B1271)),ISNUMBER(INDEX(TblClusters[CPU min (vCPU)],$B1271)),OR(INDEX(TblClusters[Plateforme],$B1271)="IKS",INDEX(TblClusters[Plateforme],$B1271)="ROKS")),1,0),0))</f>
        <v>0</v>
      </c>
      <c r="E1271" s="72" t="str">
        <f t="shared" si="325"/>
        <v/>
      </c>
      <c r="F1271" s="19" t="str">
        <f>IF($D1271=1,INDEX(TblClusters[Cluster],$B1271),"")</f>
        <v/>
      </c>
      <c r="G1271" s="19" t="str">
        <f>IF($D1271=1,INDEX(TblClusters[Plateforme],$B1271),"")</f>
        <v/>
      </c>
      <c r="H1271" s="19" t="str">
        <f>IF($D1271=1,INDEX(TblClusters[vCPU par nœud],$B1271),"")</f>
        <v/>
      </c>
      <c r="I1271" s="19" t="str">
        <f>IF($D1271=1,INDEX(TblClusters[RAM par nœud (Go)],$B1271),"")</f>
        <v/>
      </c>
      <c r="J1271" s="19" t="str">
        <f>IF($D1271=1,INDEX(TblClusters[Workers min],$B1271),"")</f>
        <v/>
      </c>
      <c r="K1271" s="73" t="str">
        <f>IF($D1271=1,INDEX(TblClusters[Tarif par nœud],$B1271),"")</f>
        <v/>
      </c>
      <c r="L1271" s="19" t="str">
        <f>IF($D1271=1,INDEX(TblClusters[CPU initial (vCPU)],$B1271),"")</f>
        <v/>
      </c>
      <c r="M1271" s="19" t="str">
        <f>IF($D1271=1,INDEX(TblClusters[RAM initiale (Go)],$B1271),"")</f>
        <v/>
      </c>
      <c r="N1271" s="19" t="str">
        <f>IF($D1271=1,INDEX(TblClusters[CPU min (vCPU)],$B1271),"")</f>
        <v/>
      </c>
      <c r="O1271" s="19" t="str">
        <f>IF($D1271=1,INDEX(TblClusters[RAM min (Go)],$B1271),"")</f>
        <v/>
      </c>
      <c r="P1271" s="19" t="str">
        <f>IF($D1271&lt;&gt;1,"",IF($G1271="ROKS",SUMIFS(TblApplications[Besoin ROKS CPU (vCPU)],TblApplications[Cluster ROKS cible],$F1271,TblApplications[Action],"À migrer",TblApplications[Déjà incluse ROKS],"Non",TblApplications[Mois prov (calc)],"&lt;="&amp;$E1271),SUMIFS(TblApplications[CPU IKS libérable (vCPU)],TblApplications[Cluster IKS source],$F1271,TblApplications[Mois lib (calc)],"&lt;="&amp;$E1271)))</f>
        <v/>
      </c>
      <c r="Q1271" s="19" t="str">
        <f>IF($D1271&lt;&gt;1,"",IF($G1271="ROKS",SUMIFS(TblApplications[Besoin ROKS RAM (Go)],TblApplications[Cluster ROKS cible],$F1271,TblApplications[Action],"À migrer",TblApplications[Déjà incluse ROKS],"Non",TblApplications[Mois prov (calc)],"&lt;="&amp;$E1271),SUMIFS(TblApplications[RAM IKS libérable (Go)],TblApplications[Cluster IKS source],$F1271,TblApplications[Mois lib (calc)],"&lt;="&amp;$E1271)))</f>
        <v/>
      </c>
      <c r="R1271" s="19" t="str">
        <f t="shared" si="326"/>
        <v/>
      </c>
      <c r="S1271" s="19" t="str">
        <f t="shared" si="327"/>
        <v/>
      </c>
      <c r="T1271" s="19" t="str">
        <f t="shared" si="328"/>
        <v/>
      </c>
      <c r="U1271" s="19" t="str">
        <f t="shared" si="329"/>
        <v/>
      </c>
      <c r="V1271" s="19" t="str">
        <f t="shared" si="330"/>
        <v/>
      </c>
      <c r="W1271" s="73" t="str">
        <f t="shared" si="331"/>
        <v/>
      </c>
      <c r="X1271" s="19" t="str">
        <f>IF($D1271&lt;&gt;1,"",IF($G1271="ROKS",$R1271,IF($AI1271=1,0,MAX($N1271,$L1271-SUMIFS(TblApplications[CPU IKS libérable (vCPU)],TblApplications[Cluster IKS source],$F1271,TblApplications[Action],"À migrer",TblApplications[Mois prov (calc)],"&lt;="&amp;$E1271)-SUMIFS(TblApplications[CPU IKS libérable (vCPU)],TblApplications[Cluster IKS source],$F1271,TblApplications[Action],"À décommissionner",TblApplications[Mois lib (calc)],"&lt;="&amp;$E1271)))))</f>
        <v/>
      </c>
      <c r="Y1271" s="19" t="str">
        <f>IF($D1271&lt;&gt;1,"",IF($G1271="ROKS",$S1271,IF($AI1271=1,0,MAX($O1271,$M1271-SUMIFS(TblApplications[RAM IKS libérable (Go)],TblApplications[Cluster IKS source],$F1271,TblApplications[Action],"À migrer",TblApplications[Mois prov (calc)],"&lt;="&amp;$E1271)-SUMIFS(TblApplications[RAM IKS libérable (Go)],TblApplications[Cluster IKS source],$F1271,TblApplications[Action],"À décommissionner",TblApplications[Mois lib (calc)],"&lt;="&amp;$E1271)))))</f>
        <v/>
      </c>
      <c r="Z1271" s="19" t="str">
        <f t="shared" si="332"/>
        <v/>
      </c>
      <c r="AA1271" s="73" t="str">
        <f t="shared" si="333"/>
        <v/>
      </c>
      <c r="AB1271" s="19" t="str">
        <f t="shared" si="334"/>
        <v/>
      </c>
      <c r="AC1271" s="73" t="str">
        <f t="shared" si="335"/>
        <v/>
      </c>
      <c r="AD1271" s="19" t="str">
        <f t="shared" si="336"/>
        <v/>
      </c>
      <c r="AE1271" s="19" t="str">
        <f t="shared" si="337"/>
        <v/>
      </c>
      <c r="AF1271" s="19" t="str">
        <f>IF($D1271&lt;&gt;1,"",IF(INDEX(TblClusters[Environnement],$B1271)="","(vide)",INDEX(TblClusters[Environnement],$B1271)))</f>
        <v/>
      </c>
      <c r="AG1271" s="19" t="str">
        <f t="shared" si="338"/>
        <v/>
      </c>
      <c r="AH1271" s="19" t="str">
        <f t="shared" si="339"/>
        <v/>
      </c>
      <c r="AI1271" s="19" t="str">
        <f>IF($D1271&lt;&gt;1,"",IF(AND($G1271="IKS",ISNUMBER(INDEX(TblClusters[Fermeture retenue],$B1271))),IF($E1271&gt;=INDEX(TblClusters[Fermeture retenue],$B1271),1,0),0))</f>
        <v/>
      </c>
    </row>
    <row r="1272" spans="1:35" x14ac:dyDescent="0.2">
      <c r="A1272" s="19">
        <v>1267</v>
      </c>
      <c r="B1272" s="19">
        <f t="shared" si="323"/>
        <v>36</v>
      </c>
      <c r="C1272" s="19">
        <f t="shared" si="324"/>
        <v>7</v>
      </c>
      <c r="D1272" s="19">
        <f>IF($C1272&gt;p_horizon,0,IFERROR(IF(AND(INDEX(TblClusters[Cluster],$B1272)&lt;&gt;"",ISNUMBER(INDEX(TblClusters[CPU initial (vCPU)],$B1272)),ISNUMBER(INDEX(TblClusters[CPU min (vCPU)],$B1272)),OR(INDEX(TblClusters[Plateforme],$B1272)="IKS",INDEX(TblClusters[Plateforme],$B1272)="ROKS")),1,0),0))</f>
        <v>0</v>
      </c>
      <c r="E1272" s="72" t="str">
        <f t="shared" si="325"/>
        <v/>
      </c>
      <c r="F1272" s="19" t="str">
        <f>IF($D1272=1,INDEX(TblClusters[Cluster],$B1272),"")</f>
        <v/>
      </c>
      <c r="G1272" s="19" t="str">
        <f>IF($D1272=1,INDEX(TblClusters[Plateforme],$B1272),"")</f>
        <v/>
      </c>
      <c r="H1272" s="19" t="str">
        <f>IF($D1272=1,INDEX(TblClusters[vCPU par nœud],$B1272),"")</f>
        <v/>
      </c>
      <c r="I1272" s="19" t="str">
        <f>IF($D1272=1,INDEX(TblClusters[RAM par nœud (Go)],$B1272),"")</f>
        <v/>
      </c>
      <c r="J1272" s="19" t="str">
        <f>IF($D1272=1,INDEX(TblClusters[Workers min],$B1272),"")</f>
        <v/>
      </c>
      <c r="K1272" s="73" t="str">
        <f>IF($D1272=1,INDEX(TblClusters[Tarif par nœud],$B1272),"")</f>
        <v/>
      </c>
      <c r="L1272" s="19" t="str">
        <f>IF($D1272=1,INDEX(TblClusters[CPU initial (vCPU)],$B1272),"")</f>
        <v/>
      </c>
      <c r="M1272" s="19" t="str">
        <f>IF($D1272=1,INDEX(TblClusters[RAM initiale (Go)],$B1272),"")</f>
        <v/>
      </c>
      <c r="N1272" s="19" t="str">
        <f>IF($D1272=1,INDEX(TblClusters[CPU min (vCPU)],$B1272),"")</f>
        <v/>
      </c>
      <c r="O1272" s="19" t="str">
        <f>IF($D1272=1,INDEX(TblClusters[RAM min (Go)],$B1272),"")</f>
        <v/>
      </c>
      <c r="P1272" s="19" t="str">
        <f>IF($D1272&lt;&gt;1,"",IF($G1272="ROKS",SUMIFS(TblApplications[Besoin ROKS CPU (vCPU)],TblApplications[Cluster ROKS cible],$F1272,TblApplications[Action],"À migrer",TblApplications[Déjà incluse ROKS],"Non",TblApplications[Mois prov (calc)],"&lt;="&amp;$E1272),SUMIFS(TblApplications[CPU IKS libérable (vCPU)],TblApplications[Cluster IKS source],$F1272,TblApplications[Mois lib (calc)],"&lt;="&amp;$E1272)))</f>
        <v/>
      </c>
      <c r="Q1272" s="19" t="str">
        <f>IF($D1272&lt;&gt;1,"",IF($G1272="ROKS",SUMIFS(TblApplications[Besoin ROKS RAM (Go)],TblApplications[Cluster ROKS cible],$F1272,TblApplications[Action],"À migrer",TblApplications[Déjà incluse ROKS],"Non",TblApplications[Mois prov (calc)],"&lt;="&amp;$E1272),SUMIFS(TblApplications[RAM IKS libérable (Go)],TblApplications[Cluster IKS source],$F1272,TblApplications[Mois lib (calc)],"&lt;="&amp;$E1272)))</f>
        <v/>
      </c>
      <c r="R1272" s="19" t="str">
        <f t="shared" si="326"/>
        <v/>
      </c>
      <c r="S1272" s="19" t="str">
        <f t="shared" si="327"/>
        <v/>
      </c>
      <c r="T1272" s="19" t="str">
        <f t="shared" si="328"/>
        <v/>
      </c>
      <c r="U1272" s="19" t="str">
        <f t="shared" si="329"/>
        <v/>
      </c>
      <c r="V1272" s="19" t="str">
        <f t="shared" si="330"/>
        <v/>
      </c>
      <c r="W1272" s="73" t="str">
        <f t="shared" si="331"/>
        <v/>
      </c>
      <c r="X1272" s="19" t="str">
        <f>IF($D1272&lt;&gt;1,"",IF($G1272="ROKS",$R1272,IF($AI1272=1,0,MAX($N1272,$L1272-SUMIFS(TblApplications[CPU IKS libérable (vCPU)],TblApplications[Cluster IKS source],$F1272,TblApplications[Action],"À migrer",TblApplications[Mois prov (calc)],"&lt;="&amp;$E1272)-SUMIFS(TblApplications[CPU IKS libérable (vCPU)],TblApplications[Cluster IKS source],$F1272,TblApplications[Action],"À décommissionner",TblApplications[Mois lib (calc)],"&lt;="&amp;$E1272)))))</f>
        <v/>
      </c>
      <c r="Y1272" s="19" t="str">
        <f>IF($D1272&lt;&gt;1,"",IF($G1272="ROKS",$S1272,IF($AI1272=1,0,MAX($O1272,$M1272-SUMIFS(TblApplications[RAM IKS libérable (Go)],TblApplications[Cluster IKS source],$F1272,TblApplications[Action],"À migrer",TblApplications[Mois prov (calc)],"&lt;="&amp;$E1272)-SUMIFS(TblApplications[RAM IKS libérable (Go)],TblApplications[Cluster IKS source],$F1272,TblApplications[Action],"À décommissionner",TblApplications[Mois lib (calc)],"&lt;="&amp;$E1272)))))</f>
        <v/>
      </c>
      <c r="Z1272" s="19" t="str">
        <f t="shared" si="332"/>
        <v/>
      </c>
      <c r="AA1272" s="73" t="str">
        <f t="shared" si="333"/>
        <v/>
      </c>
      <c r="AB1272" s="19" t="str">
        <f t="shared" si="334"/>
        <v/>
      </c>
      <c r="AC1272" s="73" t="str">
        <f t="shared" si="335"/>
        <v/>
      </c>
      <c r="AD1272" s="19" t="str">
        <f t="shared" si="336"/>
        <v/>
      </c>
      <c r="AE1272" s="19" t="str">
        <f t="shared" si="337"/>
        <v/>
      </c>
      <c r="AF1272" s="19" t="str">
        <f>IF($D1272&lt;&gt;1,"",IF(INDEX(TblClusters[Environnement],$B1272)="","(vide)",INDEX(TblClusters[Environnement],$B1272)))</f>
        <v/>
      </c>
      <c r="AG1272" s="19" t="str">
        <f t="shared" si="338"/>
        <v/>
      </c>
      <c r="AH1272" s="19" t="str">
        <f t="shared" si="339"/>
        <v/>
      </c>
      <c r="AI1272" s="19" t="str">
        <f>IF($D1272&lt;&gt;1,"",IF(AND($G1272="IKS",ISNUMBER(INDEX(TblClusters[Fermeture retenue],$B1272))),IF($E1272&gt;=INDEX(TblClusters[Fermeture retenue],$B1272),1,0),0))</f>
        <v/>
      </c>
    </row>
    <row r="1273" spans="1:35" x14ac:dyDescent="0.2">
      <c r="A1273" s="19">
        <v>1268</v>
      </c>
      <c r="B1273" s="19">
        <f t="shared" si="323"/>
        <v>36</v>
      </c>
      <c r="C1273" s="19">
        <f t="shared" si="324"/>
        <v>8</v>
      </c>
      <c r="D1273" s="19">
        <f>IF($C1273&gt;p_horizon,0,IFERROR(IF(AND(INDEX(TblClusters[Cluster],$B1273)&lt;&gt;"",ISNUMBER(INDEX(TblClusters[CPU initial (vCPU)],$B1273)),ISNUMBER(INDEX(TblClusters[CPU min (vCPU)],$B1273)),OR(INDEX(TblClusters[Plateforme],$B1273)="IKS",INDEX(TblClusters[Plateforme],$B1273)="ROKS")),1,0),0))</f>
        <v>0</v>
      </c>
      <c r="E1273" s="72" t="str">
        <f t="shared" si="325"/>
        <v/>
      </c>
      <c r="F1273" s="19" t="str">
        <f>IF($D1273=1,INDEX(TblClusters[Cluster],$B1273),"")</f>
        <v/>
      </c>
      <c r="G1273" s="19" t="str">
        <f>IF($D1273=1,INDEX(TblClusters[Plateforme],$B1273),"")</f>
        <v/>
      </c>
      <c r="H1273" s="19" t="str">
        <f>IF($D1273=1,INDEX(TblClusters[vCPU par nœud],$B1273),"")</f>
        <v/>
      </c>
      <c r="I1273" s="19" t="str">
        <f>IF($D1273=1,INDEX(TblClusters[RAM par nœud (Go)],$B1273),"")</f>
        <v/>
      </c>
      <c r="J1273" s="19" t="str">
        <f>IF($D1273=1,INDEX(TblClusters[Workers min],$B1273),"")</f>
        <v/>
      </c>
      <c r="K1273" s="73" t="str">
        <f>IF($D1273=1,INDEX(TblClusters[Tarif par nœud],$B1273),"")</f>
        <v/>
      </c>
      <c r="L1273" s="19" t="str">
        <f>IF($D1273=1,INDEX(TblClusters[CPU initial (vCPU)],$B1273),"")</f>
        <v/>
      </c>
      <c r="M1273" s="19" t="str">
        <f>IF($D1273=1,INDEX(TblClusters[RAM initiale (Go)],$B1273),"")</f>
        <v/>
      </c>
      <c r="N1273" s="19" t="str">
        <f>IF($D1273=1,INDEX(TblClusters[CPU min (vCPU)],$B1273),"")</f>
        <v/>
      </c>
      <c r="O1273" s="19" t="str">
        <f>IF($D1273=1,INDEX(TblClusters[RAM min (Go)],$B1273),"")</f>
        <v/>
      </c>
      <c r="P1273" s="19" t="str">
        <f>IF($D1273&lt;&gt;1,"",IF($G1273="ROKS",SUMIFS(TblApplications[Besoin ROKS CPU (vCPU)],TblApplications[Cluster ROKS cible],$F1273,TblApplications[Action],"À migrer",TblApplications[Déjà incluse ROKS],"Non",TblApplications[Mois prov (calc)],"&lt;="&amp;$E1273),SUMIFS(TblApplications[CPU IKS libérable (vCPU)],TblApplications[Cluster IKS source],$F1273,TblApplications[Mois lib (calc)],"&lt;="&amp;$E1273)))</f>
        <v/>
      </c>
      <c r="Q1273" s="19" t="str">
        <f>IF($D1273&lt;&gt;1,"",IF($G1273="ROKS",SUMIFS(TblApplications[Besoin ROKS RAM (Go)],TblApplications[Cluster ROKS cible],$F1273,TblApplications[Action],"À migrer",TblApplications[Déjà incluse ROKS],"Non",TblApplications[Mois prov (calc)],"&lt;="&amp;$E1273),SUMIFS(TblApplications[RAM IKS libérable (Go)],TblApplications[Cluster IKS source],$F1273,TblApplications[Mois lib (calc)],"&lt;="&amp;$E1273)))</f>
        <v/>
      </c>
      <c r="R1273" s="19" t="str">
        <f t="shared" si="326"/>
        <v/>
      </c>
      <c r="S1273" s="19" t="str">
        <f t="shared" si="327"/>
        <v/>
      </c>
      <c r="T1273" s="19" t="str">
        <f t="shared" si="328"/>
        <v/>
      </c>
      <c r="U1273" s="19" t="str">
        <f t="shared" si="329"/>
        <v/>
      </c>
      <c r="V1273" s="19" t="str">
        <f t="shared" si="330"/>
        <v/>
      </c>
      <c r="W1273" s="73" t="str">
        <f t="shared" si="331"/>
        <v/>
      </c>
      <c r="X1273" s="19" t="str">
        <f>IF($D1273&lt;&gt;1,"",IF($G1273="ROKS",$R1273,IF($AI1273=1,0,MAX($N1273,$L1273-SUMIFS(TblApplications[CPU IKS libérable (vCPU)],TblApplications[Cluster IKS source],$F1273,TblApplications[Action],"À migrer",TblApplications[Mois prov (calc)],"&lt;="&amp;$E1273)-SUMIFS(TblApplications[CPU IKS libérable (vCPU)],TblApplications[Cluster IKS source],$F1273,TblApplications[Action],"À décommissionner",TblApplications[Mois lib (calc)],"&lt;="&amp;$E1273)))))</f>
        <v/>
      </c>
      <c r="Y1273" s="19" t="str">
        <f>IF($D1273&lt;&gt;1,"",IF($G1273="ROKS",$S1273,IF($AI1273=1,0,MAX($O1273,$M1273-SUMIFS(TblApplications[RAM IKS libérable (Go)],TblApplications[Cluster IKS source],$F1273,TblApplications[Action],"À migrer",TblApplications[Mois prov (calc)],"&lt;="&amp;$E1273)-SUMIFS(TblApplications[RAM IKS libérable (Go)],TblApplications[Cluster IKS source],$F1273,TblApplications[Action],"À décommissionner",TblApplications[Mois lib (calc)],"&lt;="&amp;$E1273)))))</f>
        <v/>
      </c>
      <c r="Z1273" s="19" t="str">
        <f t="shared" si="332"/>
        <v/>
      </c>
      <c r="AA1273" s="73" t="str">
        <f t="shared" si="333"/>
        <v/>
      </c>
      <c r="AB1273" s="19" t="str">
        <f t="shared" si="334"/>
        <v/>
      </c>
      <c r="AC1273" s="73" t="str">
        <f t="shared" si="335"/>
        <v/>
      </c>
      <c r="AD1273" s="19" t="str">
        <f t="shared" si="336"/>
        <v/>
      </c>
      <c r="AE1273" s="19" t="str">
        <f t="shared" si="337"/>
        <v/>
      </c>
      <c r="AF1273" s="19" t="str">
        <f>IF($D1273&lt;&gt;1,"",IF(INDEX(TblClusters[Environnement],$B1273)="","(vide)",INDEX(TblClusters[Environnement],$B1273)))</f>
        <v/>
      </c>
      <c r="AG1273" s="19" t="str">
        <f t="shared" si="338"/>
        <v/>
      </c>
      <c r="AH1273" s="19" t="str">
        <f t="shared" si="339"/>
        <v/>
      </c>
      <c r="AI1273" s="19" t="str">
        <f>IF($D1273&lt;&gt;1,"",IF(AND($G1273="IKS",ISNUMBER(INDEX(TblClusters[Fermeture retenue],$B1273))),IF($E1273&gt;=INDEX(TblClusters[Fermeture retenue],$B1273),1,0),0))</f>
        <v/>
      </c>
    </row>
    <row r="1274" spans="1:35" x14ac:dyDescent="0.2">
      <c r="A1274" s="19">
        <v>1269</v>
      </c>
      <c r="B1274" s="19">
        <f t="shared" si="323"/>
        <v>36</v>
      </c>
      <c r="C1274" s="19">
        <f t="shared" si="324"/>
        <v>9</v>
      </c>
      <c r="D1274" s="19">
        <f>IF($C1274&gt;p_horizon,0,IFERROR(IF(AND(INDEX(TblClusters[Cluster],$B1274)&lt;&gt;"",ISNUMBER(INDEX(TblClusters[CPU initial (vCPU)],$B1274)),ISNUMBER(INDEX(TblClusters[CPU min (vCPU)],$B1274)),OR(INDEX(TblClusters[Plateforme],$B1274)="IKS",INDEX(TblClusters[Plateforme],$B1274)="ROKS")),1,0),0))</f>
        <v>0</v>
      </c>
      <c r="E1274" s="72" t="str">
        <f t="shared" si="325"/>
        <v/>
      </c>
      <c r="F1274" s="19" t="str">
        <f>IF($D1274=1,INDEX(TblClusters[Cluster],$B1274),"")</f>
        <v/>
      </c>
      <c r="G1274" s="19" t="str">
        <f>IF($D1274=1,INDEX(TblClusters[Plateforme],$B1274),"")</f>
        <v/>
      </c>
      <c r="H1274" s="19" t="str">
        <f>IF($D1274=1,INDEX(TblClusters[vCPU par nœud],$B1274),"")</f>
        <v/>
      </c>
      <c r="I1274" s="19" t="str">
        <f>IF($D1274=1,INDEX(TblClusters[RAM par nœud (Go)],$B1274),"")</f>
        <v/>
      </c>
      <c r="J1274" s="19" t="str">
        <f>IF($D1274=1,INDEX(TblClusters[Workers min],$B1274),"")</f>
        <v/>
      </c>
      <c r="K1274" s="73" t="str">
        <f>IF($D1274=1,INDEX(TblClusters[Tarif par nœud],$B1274),"")</f>
        <v/>
      </c>
      <c r="L1274" s="19" t="str">
        <f>IF($D1274=1,INDEX(TblClusters[CPU initial (vCPU)],$B1274),"")</f>
        <v/>
      </c>
      <c r="M1274" s="19" t="str">
        <f>IF($D1274=1,INDEX(TblClusters[RAM initiale (Go)],$B1274),"")</f>
        <v/>
      </c>
      <c r="N1274" s="19" t="str">
        <f>IF($D1274=1,INDEX(TblClusters[CPU min (vCPU)],$B1274),"")</f>
        <v/>
      </c>
      <c r="O1274" s="19" t="str">
        <f>IF($D1274=1,INDEX(TblClusters[RAM min (Go)],$B1274),"")</f>
        <v/>
      </c>
      <c r="P1274" s="19" t="str">
        <f>IF($D1274&lt;&gt;1,"",IF($G1274="ROKS",SUMIFS(TblApplications[Besoin ROKS CPU (vCPU)],TblApplications[Cluster ROKS cible],$F1274,TblApplications[Action],"À migrer",TblApplications[Déjà incluse ROKS],"Non",TblApplications[Mois prov (calc)],"&lt;="&amp;$E1274),SUMIFS(TblApplications[CPU IKS libérable (vCPU)],TblApplications[Cluster IKS source],$F1274,TblApplications[Mois lib (calc)],"&lt;="&amp;$E1274)))</f>
        <v/>
      </c>
      <c r="Q1274" s="19" t="str">
        <f>IF($D1274&lt;&gt;1,"",IF($G1274="ROKS",SUMIFS(TblApplications[Besoin ROKS RAM (Go)],TblApplications[Cluster ROKS cible],$F1274,TblApplications[Action],"À migrer",TblApplications[Déjà incluse ROKS],"Non",TblApplications[Mois prov (calc)],"&lt;="&amp;$E1274),SUMIFS(TblApplications[RAM IKS libérable (Go)],TblApplications[Cluster IKS source],$F1274,TblApplications[Mois lib (calc)],"&lt;="&amp;$E1274)))</f>
        <v/>
      </c>
      <c r="R1274" s="19" t="str">
        <f t="shared" si="326"/>
        <v/>
      </c>
      <c r="S1274" s="19" t="str">
        <f t="shared" si="327"/>
        <v/>
      </c>
      <c r="T1274" s="19" t="str">
        <f t="shared" si="328"/>
        <v/>
      </c>
      <c r="U1274" s="19" t="str">
        <f t="shared" si="329"/>
        <v/>
      </c>
      <c r="V1274" s="19" t="str">
        <f t="shared" si="330"/>
        <v/>
      </c>
      <c r="W1274" s="73" t="str">
        <f t="shared" si="331"/>
        <v/>
      </c>
      <c r="X1274" s="19" t="str">
        <f>IF($D1274&lt;&gt;1,"",IF($G1274="ROKS",$R1274,IF($AI1274=1,0,MAX($N1274,$L1274-SUMIFS(TblApplications[CPU IKS libérable (vCPU)],TblApplications[Cluster IKS source],$F1274,TblApplications[Action],"À migrer",TblApplications[Mois prov (calc)],"&lt;="&amp;$E1274)-SUMIFS(TblApplications[CPU IKS libérable (vCPU)],TblApplications[Cluster IKS source],$F1274,TblApplications[Action],"À décommissionner",TblApplications[Mois lib (calc)],"&lt;="&amp;$E1274)))))</f>
        <v/>
      </c>
      <c r="Y1274" s="19" t="str">
        <f>IF($D1274&lt;&gt;1,"",IF($G1274="ROKS",$S1274,IF($AI1274=1,0,MAX($O1274,$M1274-SUMIFS(TblApplications[RAM IKS libérable (Go)],TblApplications[Cluster IKS source],$F1274,TblApplications[Action],"À migrer",TblApplications[Mois prov (calc)],"&lt;="&amp;$E1274)-SUMIFS(TblApplications[RAM IKS libérable (Go)],TblApplications[Cluster IKS source],$F1274,TblApplications[Action],"À décommissionner",TblApplications[Mois lib (calc)],"&lt;="&amp;$E1274)))))</f>
        <v/>
      </c>
      <c r="Z1274" s="19" t="str">
        <f t="shared" si="332"/>
        <v/>
      </c>
      <c r="AA1274" s="73" t="str">
        <f t="shared" si="333"/>
        <v/>
      </c>
      <c r="AB1274" s="19" t="str">
        <f t="shared" si="334"/>
        <v/>
      </c>
      <c r="AC1274" s="73" t="str">
        <f t="shared" si="335"/>
        <v/>
      </c>
      <c r="AD1274" s="19" t="str">
        <f t="shared" si="336"/>
        <v/>
      </c>
      <c r="AE1274" s="19" t="str">
        <f t="shared" si="337"/>
        <v/>
      </c>
      <c r="AF1274" s="19" t="str">
        <f>IF($D1274&lt;&gt;1,"",IF(INDEX(TblClusters[Environnement],$B1274)="","(vide)",INDEX(TblClusters[Environnement],$B1274)))</f>
        <v/>
      </c>
      <c r="AG1274" s="19" t="str">
        <f t="shared" si="338"/>
        <v/>
      </c>
      <c r="AH1274" s="19" t="str">
        <f t="shared" si="339"/>
        <v/>
      </c>
      <c r="AI1274" s="19" t="str">
        <f>IF($D1274&lt;&gt;1,"",IF(AND($G1274="IKS",ISNUMBER(INDEX(TblClusters[Fermeture retenue],$B1274))),IF($E1274&gt;=INDEX(TblClusters[Fermeture retenue],$B1274),1,0),0))</f>
        <v/>
      </c>
    </row>
    <row r="1275" spans="1:35" x14ac:dyDescent="0.2">
      <c r="A1275" s="19">
        <v>1270</v>
      </c>
      <c r="B1275" s="19">
        <f t="shared" si="323"/>
        <v>36</v>
      </c>
      <c r="C1275" s="19">
        <f t="shared" si="324"/>
        <v>10</v>
      </c>
      <c r="D1275" s="19">
        <f>IF($C1275&gt;p_horizon,0,IFERROR(IF(AND(INDEX(TblClusters[Cluster],$B1275)&lt;&gt;"",ISNUMBER(INDEX(TblClusters[CPU initial (vCPU)],$B1275)),ISNUMBER(INDEX(TblClusters[CPU min (vCPU)],$B1275)),OR(INDEX(TblClusters[Plateforme],$B1275)="IKS",INDEX(TblClusters[Plateforme],$B1275)="ROKS")),1,0),0))</f>
        <v>0</v>
      </c>
      <c r="E1275" s="72" t="str">
        <f t="shared" si="325"/>
        <v/>
      </c>
      <c r="F1275" s="19" t="str">
        <f>IF($D1275=1,INDEX(TblClusters[Cluster],$B1275),"")</f>
        <v/>
      </c>
      <c r="G1275" s="19" t="str">
        <f>IF($D1275=1,INDEX(TblClusters[Plateforme],$B1275),"")</f>
        <v/>
      </c>
      <c r="H1275" s="19" t="str">
        <f>IF($D1275=1,INDEX(TblClusters[vCPU par nœud],$B1275),"")</f>
        <v/>
      </c>
      <c r="I1275" s="19" t="str">
        <f>IF($D1275=1,INDEX(TblClusters[RAM par nœud (Go)],$B1275),"")</f>
        <v/>
      </c>
      <c r="J1275" s="19" t="str">
        <f>IF($D1275=1,INDEX(TblClusters[Workers min],$B1275),"")</f>
        <v/>
      </c>
      <c r="K1275" s="73" t="str">
        <f>IF($D1275=1,INDEX(TblClusters[Tarif par nœud],$B1275),"")</f>
        <v/>
      </c>
      <c r="L1275" s="19" t="str">
        <f>IF($D1275=1,INDEX(TblClusters[CPU initial (vCPU)],$B1275),"")</f>
        <v/>
      </c>
      <c r="M1275" s="19" t="str">
        <f>IF($D1275=1,INDEX(TblClusters[RAM initiale (Go)],$B1275),"")</f>
        <v/>
      </c>
      <c r="N1275" s="19" t="str">
        <f>IF($D1275=1,INDEX(TblClusters[CPU min (vCPU)],$B1275),"")</f>
        <v/>
      </c>
      <c r="O1275" s="19" t="str">
        <f>IF($D1275=1,INDEX(TblClusters[RAM min (Go)],$B1275),"")</f>
        <v/>
      </c>
      <c r="P1275" s="19" t="str">
        <f>IF($D1275&lt;&gt;1,"",IF($G1275="ROKS",SUMIFS(TblApplications[Besoin ROKS CPU (vCPU)],TblApplications[Cluster ROKS cible],$F1275,TblApplications[Action],"À migrer",TblApplications[Déjà incluse ROKS],"Non",TblApplications[Mois prov (calc)],"&lt;="&amp;$E1275),SUMIFS(TblApplications[CPU IKS libérable (vCPU)],TblApplications[Cluster IKS source],$F1275,TblApplications[Mois lib (calc)],"&lt;="&amp;$E1275)))</f>
        <v/>
      </c>
      <c r="Q1275" s="19" t="str">
        <f>IF($D1275&lt;&gt;1,"",IF($G1275="ROKS",SUMIFS(TblApplications[Besoin ROKS RAM (Go)],TblApplications[Cluster ROKS cible],$F1275,TblApplications[Action],"À migrer",TblApplications[Déjà incluse ROKS],"Non",TblApplications[Mois prov (calc)],"&lt;="&amp;$E1275),SUMIFS(TblApplications[RAM IKS libérable (Go)],TblApplications[Cluster IKS source],$F1275,TblApplications[Mois lib (calc)],"&lt;="&amp;$E1275)))</f>
        <v/>
      </c>
      <c r="R1275" s="19" t="str">
        <f t="shared" si="326"/>
        <v/>
      </c>
      <c r="S1275" s="19" t="str">
        <f t="shared" si="327"/>
        <v/>
      </c>
      <c r="T1275" s="19" t="str">
        <f t="shared" si="328"/>
        <v/>
      </c>
      <c r="U1275" s="19" t="str">
        <f t="shared" si="329"/>
        <v/>
      </c>
      <c r="V1275" s="19" t="str">
        <f t="shared" si="330"/>
        <v/>
      </c>
      <c r="W1275" s="73" t="str">
        <f t="shared" si="331"/>
        <v/>
      </c>
      <c r="X1275" s="19" t="str">
        <f>IF($D1275&lt;&gt;1,"",IF($G1275="ROKS",$R1275,IF($AI1275=1,0,MAX($N1275,$L1275-SUMIFS(TblApplications[CPU IKS libérable (vCPU)],TblApplications[Cluster IKS source],$F1275,TblApplications[Action],"À migrer",TblApplications[Mois prov (calc)],"&lt;="&amp;$E1275)-SUMIFS(TblApplications[CPU IKS libérable (vCPU)],TblApplications[Cluster IKS source],$F1275,TblApplications[Action],"À décommissionner",TblApplications[Mois lib (calc)],"&lt;="&amp;$E1275)))))</f>
        <v/>
      </c>
      <c r="Y1275" s="19" t="str">
        <f>IF($D1275&lt;&gt;1,"",IF($G1275="ROKS",$S1275,IF($AI1275=1,0,MAX($O1275,$M1275-SUMIFS(TblApplications[RAM IKS libérable (Go)],TblApplications[Cluster IKS source],$F1275,TblApplications[Action],"À migrer",TblApplications[Mois prov (calc)],"&lt;="&amp;$E1275)-SUMIFS(TblApplications[RAM IKS libérable (Go)],TblApplications[Cluster IKS source],$F1275,TblApplications[Action],"À décommissionner",TblApplications[Mois lib (calc)],"&lt;="&amp;$E1275)))))</f>
        <v/>
      </c>
      <c r="Z1275" s="19" t="str">
        <f t="shared" si="332"/>
        <v/>
      </c>
      <c r="AA1275" s="73" t="str">
        <f t="shared" si="333"/>
        <v/>
      </c>
      <c r="AB1275" s="19" t="str">
        <f t="shared" si="334"/>
        <v/>
      </c>
      <c r="AC1275" s="73" t="str">
        <f t="shared" si="335"/>
        <v/>
      </c>
      <c r="AD1275" s="19" t="str">
        <f t="shared" si="336"/>
        <v/>
      </c>
      <c r="AE1275" s="19" t="str">
        <f t="shared" si="337"/>
        <v/>
      </c>
      <c r="AF1275" s="19" t="str">
        <f>IF($D1275&lt;&gt;1,"",IF(INDEX(TblClusters[Environnement],$B1275)="","(vide)",INDEX(TblClusters[Environnement],$B1275)))</f>
        <v/>
      </c>
      <c r="AG1275" s="19" t="str">
        <f t="shared" si="338"/>
        <v/>
      </c>
      <c r="AH1275" s="19" t="str">
        <f t="shared" si="339"/>
        <v/>
      </c>
      <c r="AI1275" s="19" t="str">
        <f>IF($D1275&lt;&gt;1,"",IF(AND($G1275="IKS",ISNUMBER(INDEX(TblClusters[Fermeture retenue],$B1275))),IF($E1275&gt;=INDEX(TblClusters[Fermeture retenue],$B1275),1,0),0))</f>
        <v/>
      </c>
    </row>
    <row r="1276" spans="1:35" x14ac:dyDescent="0.2">
      <c r="A1276" s="19">
        <v>1271</v>
      </c>
      <c r="B1276" s="19">
        <f t="shared" si="323"/>
        <v>36</v>
      </c>
      <c r="C1276" s="19">
        <f t="shared" si="324"/>
        <v>11</v>
      </c>
      <c r="D1276" s="19">
        <f>IF($C1276&gt;p_horizon,0,IFERROR(IF(AND(INDEX(TblClusters[Cluster],$B1276)&lt;&gt;"",ISNUMBER(INDEX(TblClusters[CPU initial (vCPU)],$B1276)),ISNUMBER(INDEX(TblClusters[CPU min (vCPU)],$B1276)),OR(INDEX(TblClusters[Plateforme],$B1276)="IKS",INDEX(TblClusters[Plateforme],$B1276)="ROKS")),1,0),0))</f>
        <v>0</v>
      </c>
      <c r="E1276" s="72" t="str">
        <f t="shared" si="325"/>
        <v/>
      </c>
      <c r="F1276" s="19" t="str">
        <f>IF($D1276=1,INDEX(TblClusters[Cluster],$B1276),"")</f>
        <v/>
      </c>
      <c r="G1276" s="19" t="str">
        <f>IF($D1276=1,INDEX(TblClusters[Plateforme],$B1276),"")</f>
        <v/>
      </c>
      <c r="H1276" s="19" t="str">
        <f>IF($D1276=1,INDEX(TblClusters[vCPU par nœud],$B1276),"")</f>
        <v/>
      </c>
      <c r="I1276" s="19" t="str">
        <f>IF($D1276=1,INDEX(TblClusters[RAM par nœud (Go)],$B1276),"")</f>
        <v/>
      </c>
      <c r="J1276" s="19" t="str">
        <f>IF($D1276=1,INDEX(TblClusters[Workers min],$B1276),"")</f>
        <v/>
      </c>
      <c r="K1276" s="73" t="str">
        <f>IF($D1276=1,INDEX(TblClusters[Tarif par nœud],$B1276),"")</f>
        <v/>
      </c>
      <c r="L1276" s="19" t="str">
        <f>IF($D1276=1,INDEX(TblClusters[CPU initial (vCPU)],$B1276),"")</f>
        <v/>
      </c>
      <c r="M1276" s="19" t="str">
        <f>IF($D1276=1,INDEX(TblClusters[RAM initiale (Go)],$B1276),"")</f>
        <v/>
      </c>
      <c r="N1276" s="19" t="str">
        <f>IF($D1276=1,INDEX(TblClusters[CPU min (vCPU)],$B1276),"")</f>
        <v/>
      </c>
      <c r="O1276" s="19" t="str">
        <f>IF($D1276=1,INDEX(TblClusters[RAM min (Go)],$B1276),"")</f>
        <v/>
      </c>
      <c r="P1276" s="19" t="str">
        <f>IF($D1276&lt;&gt;1,"",IF($G1276="ROKS",SUMIFS(TblApplications[Besoin ROKS CPU (vCPU)],TblApplications[Cluster ROKS cible],$F1276,TblApplications[Action],"À migrer",TblApplications[Déjà incluse ROKS],"Non",TblApplications[Mois prov (calc)],"&lt;="&amp;$E1276),SUMIFS(TblApplications[CPU IKS libérable (vCPU)],TblApplications[Cluster IKS source],$F1276,TblApplications[Mois lib (calc)],"&lt;="&amp;$E1276)))</f>
        <v/>
      </c>
      <c r="Q1276" s="19" t="str">
        <f>IF($D1276&lt;&gt;1,"",IF($G1276="ROKS",SUMIFS(TblApplications[Besoin ROKS RAM (Go)],TblApplications[Cluster ROKS cible],$F1276,TblApplications[Action],"À migrer",TblApplications[Déjà incluse ROKS],"Non",TblApplications[Mois prov (calc)],"&lt;="&amp;$E1276),SUMIFS(TblApplications[RAM IKS libérable (Go)],TblApplications[Cluster IKS source],$F1276,TblApplications[Mois lib (calc)],"&lt;="&amp;$E1276)))</f>
        <v/>
      </c>
      <c r="R1276" s="19" t="str">
        <f t="shared" si="326"/>
        <v/>
      </c>
      <c r="S1276" s="19" t="str">
        <f t="shared" si="327"/>
        <v/>
      </c>
      <c r="T1276" s="19" t="str">
        <f t="shared" si="328"/>
        <v/>
      </c>
      <c r="U1276" s="19" t="str">
        <f t="shared" si="329"/>
        <v/>
      </c>
      <c r="V1276" s="19" t="str">
        <f t="shared" si="330"/>
        <v/>
      </c>
      <c r="W1276" s="73" t="str">
        <f t="shared" si="331"/>
        <v/>
      </c>
      <c r="X1276" s="19" t="str">
        <f>IF($D1276&lt;&gt;1,"",IF($G1276="ROKS",$R1276,IF($AI1276=1,0,MAX($N1276,$L1276-SUMIFS(TblApplications[CPU IKS libérable (vCPU)],TblApplications[Cluster IKS source],$F1276,TblApplications[Action],"À migrer",TblApplications[Mois prov (calc)],"&lt;="&amp;$E1276)-SUMIFS(TblApplications[CPU IKS libérable (vCPU)],TblApplications[Cluster IKS source],$F1276,TblApplications[Action],"À décommissionner",TblApplications[Mois lib (calc)],"&lt;="&amp;$E1276)))))</f>
        <v/>
      </c>
      <c r="Y1276" s="19" t="str">
        <f>IF($D1276&lt;&gt;1,"",IF($G1276="ROKS",$S1276,IF($AI1276=1,0,MAX($O1276,$M1276-SUMIFS(TblApplications[RAM IKS libérable (Go)],TblApplications[Cluster IKS source],$F1276,TblApplications[Action],"À migrer",TblApplications[Mois prov (calc)],"&lt;="&amp;$E1276)-SUMIFS(TblApplications[RAM IKS libérable (Go)],TblApplications[Cluster IKS source],$F1276,TblApplications[Action],"À décommissionner",TblApplications[Mois lib (calc)],"&lt;="&amp;$E1276)))))</f>
        <v/>
      </c>
      <c r="Z1276" s="19" t="str">
        <f t="shared" si="332"/>
        <v/>
      </c>
      <c r="AA1276" s="73" t="str">
        <f t="shared" si="333"/>
        <v/>
      </c>
      <c r="AB1276" s="19" t="str">
        <f t="shared" si="334"/>
        <v/>
      </c>
      <c r="AC1276" s="73" t="str">
        <f t="shared" si="335"/>
        <v/>
      </c>
      <c r="AD1276" s="19" t="str">
        <f t="shared" si="336"/>
        <v/>
      </c>
      <c r="AE1276" s="19" t="str">
        <f t="shared" si="337"/>
        <v/>
      </c>
      <c r="AF1276" s="19" t="str">
        <f>IF($D1276&lt;&gt;1,"",IF(INDEX(TblClusters[Environnement],$B1276)="","(vide)",INDEX(TblClusters[Environnement],$B1276)))</f>
        <v/>
      </c>
      <c r="AG1276" s="19" t="str">
        <f t="shared" si="338"/>
        <v/>
      </c>
      <c r="AH1276" s="19" t="str">
        <f t="shared" si="339"/>
        <v/>
      </c>
      <c r="AI1276" s="19" t="str">
        <f>IF($D1276&lt;&gt;1,"",IF(AND($G1276="IKS",ISNUMBER(INDEX(TblClusters[Fermeture retenue],$B1276))),IF($E1276&gt;=INDEX(TblClusters[Fermeture retenue],$B1276),1,0),0))</f>
        <v/>
      </c>
    </row>
    <row r="1277" spans="1:35" x14ac:dyDescent="0.2">
      <c r="A1277" s="19">
        <v>1272</v>
      </c>
      <c r="B1277" s="19">
        <f t="shared" si="323"/>
        <v>36</v>
      </c>
      <c r="C1277" s="19">
        <f t="shared" si="324"/>
        <v>12</v>
      </c>
      <c r="D1277" s="19">
        <f>IF($C1277&gt;p_horizon,0,IFERROR(IF(AND(INDEX(TblClusters[Cluster],$B1277)&lt;&gt;"",ISNUMBER(INDEX(TblClusters[CPU initial (vCPU)],$B1277)),ISNUMBER(INDEX(TblClusters[CPU min (vCPU)],$B1277)),OR(INDEX(TblClusters[Plateforme],$B1277)="IKS",INDEX(TblClusters[Plateforme],$B1277)="ROKS")),1,0),0))</f>
        <v>0</v>
      </c>
      <c r="E1277" s="72" t="str">
        <f t="shared" si="325"/>
        <v/>
      </c>
      <c r="F1277" s="19" t="str">
        <f>IF($D1277=1,INDEX(TblClusters[Cluster],$B1277),"")</f>
        <v/>
      </c>
      <c r="G1277" s="19" t="str">
        <f>IF($D1277=1,INDEX(TblClusters[Plateforme],$B1277),"")</f>
        <v/>
      </c>
      <c r="H1277" s="19" t="str">
        <f>IF($D1277=1,INDEX(TblClusters[vCPU par nœud],$B1277),"")</f>
        <v/>
      </c>
      <c r="I1277" s="19" t="str">
        <f>IF($D1277=1,INDEX(TblClusters[RAM par nœud (Go)],$B1277),"")</f>
        <v/>
      </c>
      <c r="J1277" s="19" t="str">
        <f>IF($D1277=1,INDEX(TblClusters[Workers min],$B1277),"")</f>
        <v/>
      </c>
      <c r="K1277" s="73" t="str">
        <f>IF($D1277=1,INDEX(TblClusters[Tarif par nœud],$B1277),"")</f>
        <v/>
      </c>
      <c r="L1277" s="19" t="str">
        <f>IF($D1277=1,INDEX(TblClusters[CPU initial (vCPU)],$B1277),"")</f>
        <v/>
      </c>
      <c r="M1277" s="19" t="str">
        <f>IF($D1277=1,INDEX(TblClusters[RAM initiale (Go)],$B1277),"")</f>
        <v/>
      </c>
      <c r="N1277" s="19" t="str">
        <f>IF($D1277=1,INDEX(TblClusters[CPU min (vCPU)],$B1277),"")</f>
        <v/>
      </c>
      <c r="O1277" s="19" t="str">
        <f>IF($D1277=1,INDEX(TblClusters[RAM min (Go)],$B1277),"")</f>
        <v/>
      </c>
      <c r="P1277" s="19" t="str">
        <f>IF($D1277&lt;&gt;1,"",IF($G1277="ROKS",SUMIFS(TblApplications[Besoin ROKS CPU (vCPU)],TblApplications[Cluster ROKS cible],$F1277,TblApplications[Action],"À migrer",TblApplications[Déjà incluse ROKS],"Non",TblApplications[Mois prov (calc)],"&lt;="&amp;$E1277),SUMIFS(TblApplications[CPU IKS libérable (vCPU)],TblApplications[Cluster IKS source],$F1277,TblApplications[Mois lib (calc)],"&lt;="&amp;$E1277)))</f>
        <v/>
      </c>
      <c r="Q1277" s="19" t="str">
        <f>IF($D1277&lt;&gt;1,"",IF($G1277="ROKS",SUMIFS(TblApplications[Besoin ROKS RAM (Go)],TblApplications[Cluster ROKS cible],$F1277,TblApplications[Action],"À migrer",TblApplications[Déjà incluse ROKS],"Non",TblApplications[Mois prov (calc)],"&lt;="&amp;$E1277),SUMIFS(TblApplications[RAM IKS libérable (Go)],TblApplications[Cluster IKS source],$F1277,TblApplications[Mois lib (calc)],"&lt;="&amp;$E1277)))</f>
        <v/>
      </c>
      <c r="R1277" s="19" t="str">
        <f t="shared" si="326"/>
        <v/>
      </c>
      <c r="S1277" s="19" t="str">
        <f t="shared" si="327"/>
        <v/>
      </c>
      <c r="T1277" s="19" t="str">
        <f t="shared" si="328"/>
        <v/>
      </c>
      <c r="U1277" s="19" t="str">
        <f t="shared" si="329"/>
        <v/>
      </c>
      <c r="V1277" s="19" t="str">
        <f t="shared" si="330"/>
        <v/>
      </c>
      <c r="W1277" s="73" t="str">
        <f t="shared" si="331"/>
        <v/>
      </c>
      <c r="X1277" s="19" t="str">
        <f>IF($D1277&lt;&gt;1,"",IF($G1277="ROKS",$R1277,IF($AI1277=1,0,MAX($N1277,$L1277-SUMIFS(TblApplications[CPU IKS libérable (vCPU)],TblApplications[Cluster IKS source],$F1277,TblApplications[Action],"À migrer",TblApplications[Mois prov (calc)],"&lt;="&amp;$E1277)-SUMIFS(TblApplications[CPU IKS libérable (vCPU)],TblApplications[Cluster IKS source],$F1277,TblApplications[Action],"À décommissionner",TblApplications[Mois lib (calc)],"&lt;="&amp;$E1277)))))</f>
        <v/>
      </c>
      <c r="Y1277" s="19" t="str">
        <f>IF($D1277&lt;&gt;1,"",IF($G1277="ROKS",$S1277,IF($AI1277=1,0,MAX($O1277,$M1277-SUMIFS(TblApplications[RAM IKS libérable (Go)],TblApplications[Cluster IKS source],$F1277,TblApplications[Action],"À migrer",TblApplications[Mois prov (calc)],"&lt;="&amp;$E1277)-SUMIFS(TblApplications[RAM IKS libérable (Go)],TblApplications[Cluster IKS source],$F1277,TblApplications[Action],"À décommissionner",TblApplications[Mois lib (calc)],"&lt;="&amp;$E1277)))))</f>
        <v/>
      </c>
      <c r="Z1277" s="19" t="str">
        <f t="shared" si="332"/>
        <v/>
      </c>
      <c r="AA1277" s="73" t="str">
        <f t="shared" si="333"/>
        <v/>
      </c>
      <c r="AB1277" s="19" t="str">
        <f t="shared" si="334"/>
        <v/>
      </c>
      <c r="AC1277" s="73" t="str">
        <f t="shared" si="335"/>
        <v/>
      </c>
      <c r="AD1277" s="19" t="str">
        <f t="shared" si="336"/>
        <v/>
      </c>
      <c r="AE1277" s="19" t="str">
        <f t="shared" si="337"/>
        <v/>
      </c>
      <c r="AF1277" s="19" t="str">
        <f>IF($D1277&lt;&gt;1,"",IF(INDEX(TblClusters[Environnement],$B1277)="","(vide)",INDEX(TblClusters[Environnement],$B1277)))</f>
        <v/>
      </c>
      <c r="AG1277" s="19" t="str">
        <f t="shared" si="338"/>
        <v/>
      </c>
      <c r="AH1277" s="19" t="str">
        <f t="shared" si="339"/>
        <v/>
      </c>
      <c r="AI1277" s="19" t="str">
        <f>IF($D1277&lt;&gt;1,"",IF(AND($G1277="IKS",ISNUMBER(INDEX(TblClusters[Fermeture retenue],$B1277))),IF($E1277&gt;=INDEX(TblClusters[Fermeture retenue],$B1277),1,0),0))</f>
        <v/>
      </c>
    </row>
    <row r="1278" spans="1:35" x14ac:dyDescent="0.2">
      <c r="A1278" s="19">
        <v>1273</v>
      </c>
      <c r="B1278" s="19">
        <f t="shared" si="323"/>
        <v>36</v>
      </c>
      <c r="C1278" s="19">
        <f t="shared" si="324"/>
        <v>13</v>
      </c>
      <c r="D1278" s="19">
        <f>IF($C1278&gt;p_horizon,0,IFERROR(IF(AND(INDEX(TblClusters[Cluster],$B1278)&lt;&gt;"",ISNUMBER(INDEX(TblClusters[CPU initial (vCPU)],$B1278)),ISNUMBER(INDEX(TblClusters[CPU min (vCPU)],$B1278)),OR(INDEX(TblClusters[Plateforme],$B1278)="IKS",INDEX(TblClusters[Plateforme],$B1278)="ROKS")),1,0),0))</f>
        <v>0</v>
      </c>
      <c r="E1278" s="72" t="str">
        <f t="shared" si="325"/>
        <v/>
      </c>
      <c r="F1278" s="19" t="str">
        <f>IF($D1278=1,INDEX(TblClusters[Cluster],$B1278),"")</f>
        <v/>
      </c>
      <c r="G1278" s="19" t="str">
        <f>IF($D1278=1,INDEX(TblClusters[Plateforme],$B1278),"")</f>
        <v/>
      </c>
      <c r="H1278" s="19" t="str">
        <f>IF($D1278=1,INDEX(TblClusters[vCPU par nœud],$B1278),"")</f>
        <v/>
      </c>
      <c r="I1278" s="19" t="str">
        <f>IF($D1278=1,INDEX(TblClusters[RAM par nœud (Go)],$B1278),"")</f>
        <v/>
      </c>
      <c r="J1278" s="19" t="str">
        <f>IF($D1278=1,INDEX(TblClusters[Workers min],$B1278),"")</f>
        <v/>
      </c>
      <c r="K1278" s="73" t="str">
        <f>IF($D1278=1,INDEX(TblClusters[Tarif par nœud],$B1278),"")</f>
        <v/>
      </c>
      <c r="L1278" s="19" t="str">
        <f>IF($D1278=1,INDEX(TblClusters[CPU initial (vCPU)],$B1278),"")</f>
        <v/>
      </c>
      <c r="M1278" s="19" t="str">
        <f>IF($D1278=1,INDEX(TblClusters[RAM initiale (Go)],$B1278),"")</f>
        <v/>
      </c>
      <c r="N1278" s="19" t="str">
        <f>IF($D1278=1,INDEX(TblClusters[CPU min (vCPU)],$B1278),"")</f>
        <v/>
      </c>
      <c r="O1278" s="19" t="str">
        <f>IF($D1278=1,INDEX(TblClusters[RAM min (Go)],$B1278),"")</f>
        <v/>
      </c>
      <c r="P1278" s="19" t="str">
        <f>IF($D1278&lt;&gt;1,"",IF($G1278="ROKS",SUMIFS(TblApplications[Besoin ROKS CPU (vCPU)],TblApplications[Cluster ROKS cible],$F1278,TblApplications[Action],"À migrer",TblApplications[Déjà incluse ROKS],"Non",TblApplications[Mois prov (calc)],"&lt;="&amp;$E1278),SUMIFS(TblApplications[CPU IKS libérable (vCPU)],TblApplications[Cluster IKS source],$F1278,TblApplications[Mois lib (calc)],"&lt;="&amp;$E1278)))</f>
        <v/>
      </c>
      <c r="Q1278" s="19" t="str">
        <f>IF($D1278&lt;&gt;1,"",IF($G1278="ROKS",SUMIFS(TblApplications[Besoin ROKS RAM (Go)],TblApplications[Cluster ROKS cible],$F1278,TblApplications[Action],"À migrer",TblApplications[Déjà incluse ROKS],"Non",TblApplications[Mois prov (calc)],"&lt;="&amp;$E1278),SUMIFS(TblApplications[RAM IKS libérable (Go)],TblApplications[Cluster IKS source],$F1278,TblApplications[Mois lib (calc)],"&lt;="&amp;$E1278)))</f>
        <v/>
      </c>
      <c r="R1278" s="19" t="str">
        <f t="shared" si="326"/>
        <v/>
      </c>
      <c r="S1278" s="19" t="str">
        <f t="shared" si="327"/>
        <v/>
      </c>
      <c r="T1278" s="19" t="str">
        <f t="shared" si="328"/>
        <v/>
      </c>
      <c r="U1278" s="19" t="str">
        <f t="shared" si="329"/>
        <v/>
      </c>
      <c r="V1278" s="19" t="str">
        <f t="shared" si="330"/>
        <v/>
      </c>
      <c r="W1278" s="73" t="str">
        <f t="shared" si="331"/>
        <v/>
      </c>
      <c r="X1278" s="19" t="str">
        <f>IF($D1278&lt;&gt;1,"",IF($G1278="ROKS",$R1278,IF($AI1278=1,0,MAX($N1278,$L1278-SUMIFS(TblApplications[CPU IKS libérable (vCPU)],TblApplications[Cluster IKS source],$F1278,TblApplications[Action],"À migrer",TblApplications[Mois prov (calc)],"&lt;="&amp;$E1278)-SUMIFS(TblApplications[CPU IKS libérable (vCPU)],TblApplications[Cluster IKS source],$F1278,TblApplications[Action],"À décommissionner",TblApplications[Mois lib (calc)],"&lt;="&amp;$E1278)))))</f>
        <v/>
      </c>
      <c r="Y1278" s="19" t="str">
        <f>IF($D1278&lt;&gt;1,"",IF($G1278="ROKS",$S1278,IF($AI1278=1,0,MAX($O1278,$M1278-SUMIFS(TblApplications[RAM IKS libérable (Go)],TblApplications[Cluster IKS source],$F1278,TblApplications[Action],"À migrer",TblApplications[Mois prov (calc)],"&lt;="&amp;$E1278)-SUMIFS(TblApplications[RAM IKS libérable (Go)],TblApplications[Cluster IKS source],$F1278,TblApplications[Action],"À décommissionner",TblApplications[Mois lib (calc)],"&lt;="&amp;$E1278)))))</f>
        <v/>
      </c>
      <c r="Z1278" s="19" t="str">
        <f t="shared" si="332"/>
        <v/>
      </c>
      <c r="AA1278" s="73" t="str">
        <f t="shared" si="333"/>
        <v/>
      </c>
      <c r="AB1278" s="19" t="str">
        <f t="shared" si="334"/>
        <v/>
      </c>
      <c r="AC1278" s="73" t="str">
        <f t="shared" si="335"/>
        <v/>
      </c>
      <c r="AD1278" s="19" t="str">
        <f t="shared" si="336"/>
        <v/>
      </c>
      <c r="AE1278" s="19" t="str">
        <f t="shared" si="337"/>
        <v/>
      </c>
      <c r="AF1278" s="19" t="str">
        <f>IF($D1278&lt;&gt;1,"",IF(INDEX(TblClusters[Environnement],$B1278)="","(vide)",INDEX(TblClusters[Environnement],$B1278)))</f>
        <v/>
      </c>
      <c r="AG1278" s="19" t="str">
        <f t="shared" si="338"/>
        <v/>
      </c>
      <c r="AH1278" s="19" t="str">
        <f t="shared" si="339"/>
        <v/>
      </c>
      <c r="AI1278" s="19" t="str">
        <f>IF($D1278&lt;&gt;1,"",IF(AND($G1278="IKS",ISNUMBER(INDEX(TblClusters[Fermeture retenue],$B1278))),IF($E1278&gt;=INDEX(TblClusters[Fermeture retenue],$B1278),1,0),0))</f>
        <v/>
      </c>
    </row>
    <row r="1279" spans="1:35" x14ac:dyDescent="0.2">
      <c r="A1279" s="19">
        <v>1274</v>
      </c>
      <c r="B1279" s="19">
        <f t="shared" si="323"/>
        <v>36</v>
      </c>
      <c r="C1279" s="19">
        <f t="shared" si="324"/>
        <v>14</v>
      </c>
      <c r="D1279" s="19">
        <f>IF($C1279&gt;p_horizon,0,IFERROR(IF(AND(INDEX(TblClusters[Cluster],$B1279)&lt;&gt;"",ISNUMBER(INDEX(TblClusters[CPU initial (vCPU)],$B1279)),ISNUMBER(INDEX(TblClusters[CPU min (vCPU)],$B1279)),OR(INDEX(TblClusters[Plateforme],$B1279)="IKS",INDEX(TblClusters[Plateforme],$B1279)="ROKS")),1,0),0))</f>
        <v>0</v>
      </c>
      <c r="E1279" s="72" t="str">
        <f t="shared" si="325"/>
        <v/>
      </c>
      <c r="F1279" s="19" t="str">
        <f>IF($D1279=1,INDEX(TblClusters[Cluster],$B1279),"")</f>
        <v/>
      </c>
      <c r="G1279" s="19" t="str">
        <f>IF($D1279=1,INDEX(TblClusters[Plateforme],$B1279),"")</f>
        <v/>
      </c>
      <c r="H1279" s="19" t="str">
        <f>IF($D1279=1,INDEX(TblClusters[vCPU par nœud],$B1279),"")</f>
        <v/>
      </c>
      <c r="I1279" s="19" t="str">
        <f>IF($D1279=1,INDEX(TblClusters[RAM par nœud (Go)],$B1279),"")</f>
        <v/>
      </c>
      <c r="J1279" s="19" t="str">
        <f>IF($D1279=1,INDEX(TblClusters[Workers min],$B1279),"")</f>
        <v/>
      </c>
      <c r="K1279" s="73" t="str">
        <f>IF($D1279=1,INDEX(TblClusters[Tarif par nœud],$B1279),"")</f>
        <v/>
      </c>
      <c r="L1279" s="19" t="str">
        <f>IF($D1279=1,INDEX(TblClusters[CPU initial (vCPU)],$B1279),"")</f>
        <v/>
      </c>
      <c r="M1279" s="19" t="str">
        <f>IF($D1279=1,INDEX(TblClusters[RAM initiale (Go)],$B1279),"")</f>
        <v/>
      </c>
      <c r="N1279" s="19" t="str">
        <f>IF($D1279=1,INDEX(TblClusters[CPU min (vCPU)],$B1279),"")</f>
        <v/>
      </c>
      <c r="O1279" s="19" t="str">
        <f>IF($D1279=1,INDEX(TblClusters[RAM min (Go)],$B1279),"")</f>
        <v/>
      </c>
      <c r="P1279" s="19" t="str">
        <f>IF($D1279&lt;&gt;1,"",IF($G1279="ROKS",SUMIFS(TblApplications[Besoin ROKS CPU (vCPU)],TblApplications[Cluster ROKS cible],$F1279,TblApplications[Action],"À migrer",TblApplications[Déjà incluse ROKS],"Non",TblApplications[Mois prov (calc)],"&lt;="&amp;$E1279),SUMIFS(TblApplications[CPU IKS libérable (vCPU)],TblApplications[Cluster IKS source],$F1279,TblApplications[Mois lib (calc)],"&lt;="&amp;$E1279)))</f>
        <v/>
      </c>
      <c r="Q1279" s="19" t="str">
        <f>IF($D1279&lt;&gt;1,"",IF($G1279="ROKS",SUMIFS(TblApplications[Besoin ROKS RAM (Go)],TblApplications[Cluster ROKS cible],$F1279,TblApplications[Action],"À migrer",TblApplications[Déjà incluse ROKS],"Non",TblApplications[Mois prov (calc)],"&lt;="&amp;$E1279),SUMIFS(TblApplications[RAM IKS libérable (Go)],TblApplications[Cluster IKS source],$F1279,TblApplications[Mois lib (calc)],"&lt;="&amp;$E1279)))</f>
        <v/>
      </c>
      <c r="R1279" s="19" t="str">
        <f t="shared" si="326"/>
        <v/>
      </c>
      <c r="S1279" s="19" t="str">
        <f t="shared" si="327"/>
        <v/>
      </c>
      <c r="T1279" s="19" t="str">
        <f t="shared" si="328"/>
        <v/>
      </c>
      <c r="U1279" s="19" t="str">
        <f t="shared" si="329"/>
        <v/>
      </c>
      <c r="V1279" s="19" t="str">
        <f t="shared" si="330"/>
        <v/>
      </c>
      <c r="W1279" s="73" t="str">
        <f t="shared" si="331"/>
        <v/>
      </c>
      <c r="X1279" s="19" t="str">
        <f>IF($D1279&lt;&gt;1,"",IF($G1279="ROKS",$R1279,IF($AI1279=1,0,MAX($N1279,$L1279-SUMIFS(TblApplications[CPU IKS libérable (vCPU)],TblApplications[Cluster IKS source],$F1279,TblApplications[Action],"À migrer",TblApplications[Mois prov (calc)],"&lt;="&amp;$E1279)-SUMIFS(TblApplications[CPU IKS libérable (vCPU)],TblApplications[Cluster IKS source],$F1279,TblApplications[Action],"À décommissionner",TblApplications[Mois lib (calc)],"&lt;="&amp;$E1279)))))</f>
        <v/>
      </c>
      <c r="Y1279" s="19" t="str">
        <f>IF($D1279&lt;&gt;1,"",IF($G1279="ROKS",$S1279,IF($AI1279=1,0,MAX($O1279,$M1279-SUMIFS(TblApplications[RAM IKS libérable (Go)],TblApplications[Cluster IKS source],$F1279,TblApplications[Action],"À migrer",TblApplications[Mois prov (calc)],"&lt;="&amp;$E1279)-SUMIFS(TblApplications[RAM IKS libérable (Go)],TblApplications[Cluster IKS source],$F1279,TblApplications[Action],"À décommissionner",TblApplications[Mois lib (calc)],"&lt;="&amp;$E1279)))))</f>
        <v/>
      </c>
      <c r="Z1279" s="19" t="str">
        <f t="shared" si="332"/>
        <v/>
      </c>
      <c r="AA1279" s="73" t="str">
        <f t="shared" si="333"/>
        <v/>
      </c>
      <c r="AB1279" s="19" t="str">
        <f t="shared" si="334"/>
        <v/>
      </c>
      <c r="AC1279" s="73" t="str">
        <f t="shared" si="335"/>
        <v/>
      </c>
      <c r="AD1279" s="19" t="str">
        <f t="shared" si="336"/>
        <v/>
      </c>
      <c r="AE1279" s="19" t="str">
        <f t="shared" si="337"/>
        <v/>
      </c>
      <c r="AF1279" s="19" t="str">
        <f>IF($D1279&lt;&gt;1,"",IF(INDEX(TblClusters[Environnement],$B1279)="","(vide)",INDEX(TblClusters[Environnement],$B1279)))</f>
        <v/>
      </c>
      <c r="AG1279" s="19" t="str">
        <f t="shared" si="338"/>
        <v/>
      </c>
      <c r="AH1279" s="19" t="str">
        <f t="shared" si="339"/>
        <v/>
      </c>
      <c r="AI1279" s="19" t="str">
        <f>IF($D1279&lt;&gt;1,"",IF(AND($G1279="IKS",ISNUMBER(INDEX(TblClusters[Fermeture retenue],$B1279))),IF($E1279&gt;=INDEX(TblClusters[Fermeture retenue],$B1279),1,0),0))</f>
        <v/>
      </c>
    </row>
    <row r="1280" spans="1:35" x14ac:dyDescent="0.2">
      <c r="A1280" s="19">
        <v>1275</v>
      </c>
      <c r="B1280" s="19">
        <f t="shared" si="323"/>
        <v>36</v>
      </c>
      <c r="C1280" s="19">
        <f t="shared" si="324"/>
        <v>15</v>
      </c>
      <c r="D1280" s="19">
        <f>IF($C1280&gt;p_horizon,0,IFERROR(IF(AND(INDEX(TblClusters[Cluster],$B1280)&lt;&gt;"",ISNUMBER(INDEX(TblClusters[CPU initial (vCPU)],$B1280)),ISNUMBER(INDEX(TblClusters[CPU min (vCPU)],$B1280)),OR(INDEX(TblClusters[Plateforme],$B1280)="IKS",INDEX(TblClusters[Plateforme],$B1280)="ROKS")),1,0),0))</f>
        <v>0</v>
      </c>
      <c r="E1280" s="72" t="str">
        <f t="shared" si="325"/>
        <v/>
      </c>
      <c r="F1280" s="19" t="str">
        <f>IF($D1280=1,INDEX(TblClusters[Cluster],$B1280),"")</f>
        <v/>
      </c>
      <c r="G1280" s="19" t="str">
        <f>IF($D1280=1,INDEX(TblClusters[Plateforme],$B1280),"")</f>
        <v/>
      </c>
      <c r="H1280" s="19" t="str">
        <f>IF($D1280=1,INDEX(TblClusters[vCPU par nœud],$B1280),"")</f>
        <v/>
      </c>
      <c r="I1280" s="19" t="str">
        <f>IF($D1280=1,INDEX(TblClusters[RAM par nœud (Go)],$B1280),"")</f>
        <v/>
      </c>
      <c r="J1280" s="19" t="str">
        <f>IF($D1280=1,INDEX(TblClusters[Workers min],$B1280),"")</f>
        <v/>
      </c>
      <c r="K1280" s="73" t="str">
        <f>IF($D1280=1,INDEX(TblClusters[Tarif par nœud],$B1280),"")</f>
        <v/>
      </c>
      <c r="L1280" s="19" t="str">
        <f>IF($D1280=1,INDEX(TblClusters[CPU initial (vCPU)],$B1280),"")</f>
        <v/>
      </c>
      <c r="M1280" s="19" t="str">
        <f>IF($D1280=1,INDEX(TblClusters[RAM initiale (Go)],$B1280),"")</f>
        <v/>
      </c>
      <c r="N1280" s="19" t="str">
        <f>IF($D1280=1,INDEX(TblClusters[CPU min (vCPU)],$B1280),"")</f>
        <v/>
      </c>
      <c r="O1280" s="19" t="str">
        <f>IF($D1280=1,INDEX(TblClusters[RAM min (Go)],$B1280),"")</f>
        <v/>
      </c>
      <c r="P1280" s="19" t="str">
        <f>IF($D1280&lt;&gt;1,"",IF($G1280="ROKS",SUMIFS(TblApplications[Besoin ROKS CPU (vCPU)],TblApplications[Cluster ROKS cible],$F1280,TblApplications[Action],"À migrer",TblApplications[Déjà incluse ROKS],"Non",TblApplications[Mois prov (calc)],"&lt;="&amp;$E1280),SUMIFS(TblApplications[CPU IKS libérable (vCPU)],TblApplications[Cluster IKS source],$F1280,TblApplications[Mois lib (calc)],"&lt;="&amp;$E1280)))</f>
        <v/>
      </c>
      <c r="Q1280" s="19" t="str">
        <f>IF($D1280&lt;&gt;1,"",IF($G1280="ROKS",SUMIFS(TblApplications[Besoin ROKS RAM (Go)],TblApplications[Cluster ROKS cible],$F1280,TblApplications[Action],"À migrer",TblApplications[Déjà incluse ROKS],"Non",TblApplications[Mois prov (calc)],"&lt;="&amp;$E1280),SUMIFS(TblApplications[RAM IKS libérable (Go)],TblApplications[Cluster IKS source],$F1280,TblApplications[Mois lib (calc)],"&lt;="&amp;$E1280)))</f>
        <v/>
      </c>
      <c r="R1280" s="19" t="str">
        <f t="shared" si="326"/>
        <v/>
      </c>
      <c r="S1280" s="19" t="str">
        <f t="shared" si="327"/>
        <v/>
      </c>
      <c r="T1280" s="19" t="str">
        <f t="shared" si="328"/>
        <v/>
      </c>
      <c r="U1280" s="19" t="str">
        <f t="shared" si="329"/>
        <v/>
      </c>
      <c r="V1280" s="19" t="str">
        <f t="shared" si="330"/>
        <v/>
      </c>
      <c r="W1280" s="73" t="str">
        <f t="shared" si="331"/>
        <v/>
      </c>
      <c r="X1280" s="19" t="str">
        <f>IF($D1280&lt;&gt;1,"",IF($G1280="ROKS",$R1280,IF($AI1280=1,0,MAX($N1280,$L1280-SUMIFS(TblApplications[CPU IKS libérable (vCPU)],TblApplications[Cluster IKS source],$F1280,TblApplications[Action],"À migrer",TblApplications[Mois prov (calc)],"&lt;="&amp;$E1280)-SUMIFS(TblApplications[CPU IKS libérable (vCPU)],TblApplications[Cluster IKS source],$F1280,TblApplications[Action],"À décommissionner",TblApplications[Mois lib (calc)],"&lt;="&amp;$E1280)))))</f>
        <v/>
      </c>
      <c r="Y1280" s="19" t="str">
        <f>IF($D1280&lt;&gt;1,"",IF($G1280="ROKS",$S1280,IF($AI1280=1,0,MAX($O1280,$M1280-SUMIFS(TblApplications[RAM IKS libérable (Go)],TblApplications[Cluster IKS source],$F1280,TblApplications[Action],"À migrer",TblApplications[Mois prov (calc)],"&lt;="&amp;$E1280)-SUMIFS(TblApplications[RAM IKS libérable (Go)],TblApplications[Cluster IKS source],$F1280,TblApplications[Action],"À décommissionner",TblApplications[Mois lib (calc)],"&lt;="&amp;$E1280)))))</f>
        <v/>
      </c>
      <c r="Z1280" s="19" t="str">
        <f t="shared" si="332"/>
        <v/>
      </c>
      <c r="AA1280" s="73" t="str">
        <f t="shared" si="333"/>
        <v/>
      </c>
      <c r="AB1280" s="19" t="str">
        <f t="shared" si="334"/>
        <v/>
      </c>
      <c r="AC1280" s="73" t="str">
        <f t="shared" si="335"/>
        <v/>
      </c>
      <c r="AD1280" s="19" t="str">
        <f t="shared" si="336"/>
        <v/>
      </c>
      <c r="AE1280" s="19" t="str">
        <f t="shared" si="337"/>
        <v/>
      </c>
      <c r="AF1280" s="19" t="str">
        <f>IF($D1280&lt;&gt;1,"",IF(INDEX(TblClusters[Environnement],$B1280)="","(vide)",INDEX(TblClusters[Environnement],$B1280)))</f>
        <v/>
      </c>
      <c r="AG1280" s="19" t="str">
        <f t="shared" si="338"/>
        <v/>
      </c>
      <c r="AH1280" s="19" t="str">
        <f t="shared" si="339"/>
        <v/>
      </c>
      <c r="AI1280" s="19" t="str">
        <f>IF($D1280&lt;&gt;1,"",IF(AND($G1280="IKS",ISNUMBER(INDEX(TblClusters[Fermeture retenue],$B1280))),IF($E1280&gt;=INDEX(TblClusters[Fermeture retenue],$B1280),1,0),0))</f>
        <v/>
      </c>
    </row>
    <row r="1281" spans="1:35" x14ac:dyDescent="0.2">
      <c r="A1281" s="19">
        <v>1276</v>
      </c>
      <c r="B1281" s="19">
        <f t="shared" si="323"/>
        <v>36</v>
      </c>
      <c r="C1281" s="19">
        <f t="shared" si="324"/>
        <v>16</v>
      </c>
      <c r="D1281" s="19">
        <f>IF($C1281&gt;p_horizon,0,IFERROR(IF(AND(INDEX(TblClusters[Cluster],$B1281)&lt;&gt;"",ISNUMBER(INDEX(TblClusters[CPU initial (vCPU)],$B1281)),ISNUMBER(INDEX(TblClusters[CPU min (vCPU)],$B1281)),OR(INDEX(TblClusters[Plateforme],$B1281)="IKS",INDEX(TblClusters[Plateforme],$B1281)="ROKS")),1,0),0))</f>
        <v>0</v>
      </c>
      <c r="E1281" s="72" t="str">
        <f t="shared" si="325"/>
        <v/>
      </c>
      <c r="F1281" s="19" t="str">
        <f>IF($D1281=1,INDEX(TblClusters[Cluster],$B1281),"")</f>
        <v/>
      </c>
      <c r="G1281" s="19" t="str">
        <f>IF($D1281=1,INDEX(TblClusters[Plateforme],$B1281),"")</f>
        <v/>
      </c>
      <c r="H1281" s="19" t="str">
        <f>IF($D1281=1,INDEX(TblClusters[vCPU par nœud],$B1281),"")</f>
        <v/>
      </c>
      <c r="I1281" s="19" t="str">
        <f>IF($D1281=1,INDEX(TblClusters[RAM par nœud (Go)],$B1281),"")</f>
        <v/>
      </c>
      <c r="J1281" s="19" t="str">
        <f>IF($D1281=1,INDEX(TblClusters[Workers min],$B1281),"")</f>
        <v/>
      </c>
      <c r="K1281" s="73" t="str">
        <f>IF($D1281=1,INDEX(TblClusters[Tarif par nœud],$B1281),"")</f>
        <v/>
      </c>
      <c r="L1281" s="19" t="str">
        <f>IF($D1281=1,INDEX(TblClusters[CPU initial (vCPU)],$B1281),"")</f>
        <v/>
      </c>
      <c r="M1281" s="19" t="str">
        <f>IF($D1281=1,INDEX(TblClusters[RAM initiale (Go)],$B1281),"")</f>
        <v/>
      </c>
      <c r="N1281" s="19" t="str">
        <f>IF($D1281=1,INDEX(TblClusters[CPU min (vCPU)],$B1281),"")</f>
        <v/>
      </c>
      <c r="O1281" s="19" t="str">
        <f>IF($D1281=1,INDEX(TblClusters[RAM min (Go)],$B1281),"")</f>
        <v/>
      </c>
      <c r="P1281" s="19" t="str">
        <f>IF($D1281&lt;&gt;1,"",IF($G1281="ROKS",SUMIFS(TblApplications[Besoin ROKS CPU (vCPU)],TblApplications[Cluster ROKS cible],$F1281,TblApplications[Action],"À migrer",TblApplications[Déjà incluse ROKS],"Non",TblApplications[Mois prov (calc)],"&lt;="&amp;$E1281),SUMIFS(TblApplications[CPU IKS libérable (vCPU)],TblApplications[Cluster IKS source],$F1281,TblApplications[Mois lib (calc)],"&lt;="&amp;$E1281)))</f>
        <v/>
      </c>
      <c r="Q1281" s="19" t="str">
        <f>IF($D1281&lt;&gt;1,"",IF($G1281="ROKS",SUMIFS(TblApplications[Besoin ROKS RAM (Go)],TblApplications[Cluster ROKS cible],$F1281,TblApplications[Action],"À migrer",TblApplications[Déjà incluse ROKS],"Non",TblApplications[Mois prov (calc)],"&lt;="&amp;$E1281),SUMIFS(TblApplications[RAM IKS libérable (Go)],TblApplications[Cluster IKS source],$F1281,TblApplications[Mois lib (calc)],"&lt;="&amp;$E1281)))</f>
        <v/>
      </c>
      <c r="R1281" s="19" t="str">
        <f t="shared" si="326"/>
        <v/>
      </c>
      <c r="S1281" s="19" t="str">
        <f t="shared" si="327"/>
        <v/>
      </c>
      <c r="T1281" s="19" t="str">
        <f t="shared" si="328"/>
        <v/>
      </c>
      <c r="U1281" s="19" t="str">
        <f t="shared" si="329"/>
        <v/>
      </c>
      <c r="V1281" s="19" t="str">
        <f t="shared" si="330"/>
        <v/>
      </c>
      <c r="W1281" s="73" t="str">
        <f t="shared" si="331"/>
        <v/>
      </c>
      <c r="X1281" s="19" t="str">
        <f>IF($D1281&lt;&gt;1,"",IF($G1281="ROKS",$R1281,IF($AI1281=1,0,MAX($N1281,$L1281-SUMIFS(TblApplications[CPU IKS libérable (vCPU)],TblApplications[Cluster IKS source],$F1281,TblApplications[Action],"À migrer",TblApplications[Mois prov (calc)],"&lt;="&amp;$E1281)-SUMIFS(TblApplications[CPU IKS libérable (vCPU)],TblApplications[Cluster IKS source],$F1281,TblApplications[Action],"À décommissionner",TblApplications[Mois lib (calc)],"&lt;="&amp;$E1281)))))</f>
        <v/>
      </c>
      <c r="Y1281" s="19" t="str">
        <f>IF($D1281&lt;&gt;1,"",IF($G1281="ROKS",$S1281,IF($AI1281=1,0,MAX($O1281,$M1281-SUMIFS(TblApplications[RAM IKS libérable (Go)],TblApplications[Cluster IKS source],$F1281,TblApplications[Action],"À migrer",TblApplications[Mois prov (calc)],"&lt;="&amp;$E1281)-SUMIFS(TblApplications[RAM IKS libérable (Go)],TblApplications[Cluster IKS source],$F1281,TblApplications[Action],"À décommissionner",TblApplications[Mois lib (calc)],"&lt;="&amp;$E1281)))))</f>
        <v/>
      </c>
      <c r="Z1281" s="19" t="str">
        <f t="shared" si="332"/>
        <v/>
      </c>
      <c r="AA1281" s="73" t="str">
        <f t="shared" si="333"/>
        <v/>
      </c>
      <c r="AB1281" s="19" t="str">
        <f t="shared" si="334"/>
        <v/>
      </c>
      <c r="AC1281" s="73" t="str">
        <f t="shared" si="335"/>
        <v/>
      </c>
      <c r="AD1281" s="19" t="str">
        <f t="shared" si="336"/>
        <v/>
      </c>
      <c r="AE1281" s="19" t="str">
        <f t="shared" si="337"/>
        <v/>
      </c>
      <c r="AF1281" s="19" t="str">
        <f>IF($D1281&lt;&gt;1,"",IF(INDEX(TblClusters[Environnement],$B1281)="","(vide)",INDEX(TblClusters[Environnement],$B1281)))</f>
        <v/>
      </c>
      <c r="AG1281" s="19" t="str">
        <f t="shared" si="338"/>
        <v/>
      </c>
      <c r="AH1281" s="19" t="str">
        <f t="shared" si="339"/>
        <v/>
      </c>
      <c r="AI1281" s="19" t="str">
        <f>IF($D1281&lt;&gt;1,"",IF(AND($G1281="IKS",ISNUMBER(INDEX(TblClusters[Fermeture retenue],$B1281))),IF($E1281&gt;=INDEX(TblClusters[Fermeture retenue],$B1281),1,0),0))</f>
        <v/>
      </c>
    </row>
    <row r="1282" spans="1:35" x14ac:dyDescent="0.2">
      <c r="A1282" s="19">
        <v>1277</v>
      </c>
      <c r="B1282" s="19">
        <f t="shared" si="323"/>
        <v>36</v>
      </c>
      <c r="C1282" s="19">
        <f t="shared" si="324"/>
        <v>17</v>
      </c>
      <c r="D1282" s="19">
        <f>IF($C1282&gt;p_horizon,0,IFERROR(IF(AND(INDEX(TblClusters[Cluster],$B1282)&lt;&gt;"",ISNUMBER(INDEX(TblClusters[CPU initial (vCPU)],$B1282)),ISNUMBER(INDEX(TblClusters[CPU min (vCPU)],$B1282)),OR(INDEX(TblClusters[Plateforme],$B1282)="IKS",INDEX(TblClusters[Plateforme],$B1282)="ROKS")),1,0),0))</f>
        <v>0</v>
      </c>
      <c r="E1282" s="72" t="str">
        <f t="shared" si="325"/>
        <v/>
      </c>
      <c r="F1282" s="19" t="str">
        <f>IF($D1282=1,INDEX(TblClusters[Cluster],$B1282),"")</f>
        <v/>
      </c>
      <c r="G1282" s="19" t="str">
        <f>IF($D1282=1,INDEX(TblClusters[Plateforme],$B1282),"")</f>
        <v/>
      </c>
      <c r="H1282" s="19" t="str">
        <f>IF($D1282=1,INDEX(TblClusters[vCPU par nœud],$B1282),"")</f>
        <v/>
      </c>
      <c r="I1282" s="19" t="str">
        <f>IF($D1282=1,INDEX(TblClusters[RAM par nœud (Go)],$B1282),"")</f>
        <v/>
      </c>
      <c r="J1282" s="19" t="str">
        <f>IF($D1282=1,INDEX(TblClusters[Workers min],$B1282),"")</f>
        <v/>
      </c>
      <c r="K1282" s="73" t="str">
        <f>IF($D1282=1,INDEX(TblClusters[Tarif par nœud],$B1282),"")</f>
        <v/>
      </c>
      <c r="L1282" s="19" t="str">
        <f>IF($D1282=1,INDEX(TblClusters[CPU initial (vCPU)],$B1282),"")</f>
        <v/>
      </c>
      <c r="M1282" s="19" t="str">
        <f>IF($D1282=1,INDEX(TblClusters[RAM initiale (Go)],$B1282),"")</f>
        <v/>
      </c>
      <c r="N1282" s="19" t="str">
        <f>IF($D1282=1,INDEX(TblClusters[CPU min (vCPU)],$B1282),"")</f>
        <v/>
      </c>
      <c r="O1282" s="19" t="str">
        <f>IF($D1282=1,INDEX(TblClusters[RAM min (Go)],$B1282),"")</f>
        <v/>
      </c>
      <c r="P1282" s="19" t="str">
        <f>IF($D1282&lt;&gt;1,"",IF($G1282="ROKS",SUMIFS(TblApplications[Besoin ROKS CPU (vCPU)],TblApplications[Cluster ROKS cible],$F1282,TblApplications[Action],"À migrer",TblApplications[Déjà incluse ROKS],"Non",TblApplications[Mois prov (calc)],"&lt;="&amp;$E1282),SUMIFS(TblApplications[CPU IKS libérable (vCPU)],TblApplications[Cluster IKS source],$F1282,TblApplications[Mois lib (calc)],"&lt;="&amp;$E1282)))</f>
        <v/>
      </c>
      <c r="Q1282" s="19" t="str">
        <f>IF($D1282&lt;&gt;1,"",IF($G1282="ROKS",SUMIFS(TblApplications[Besoin ROKS RAM (Go)],TblApplications[Cluster ROKS cible],$F1282,TblApplications[Action],"À migrer",TblApplications[Déjà incluse ROKS],"Non",TblApplications[Mois prov (calc)],"&lt;="&amp;$E1282),SUMIFS(TblApplications[RAM IKS libérable (Go)],TblApplications[Cluster IKS source],$F1282,TblApplications[Mois lib (calc)],"&lt;="&amp;$E1282)))</f>
        <v/>
      </c>
      <c r="R1282" s="19" t="str">
        <f t="shared" si="326"/>
        <v/>
      </c>
      <c r="S1282" s="19" t="str">
        <f t="shared" si="327"/>
        <v/>
      </c>
      <c r="T1282" s="19" t="str">
        <f t="shared" si="328"/>
        <v/>
      </c>
      <c r="U1282" s="19" t="str">
        <f t="shared" si="329"/>
        <v/>
      </c>
      <c r="V1282" s="19" t="str">
        <f t="shared" si="330"/>
        <v/>
      </c>
      <c r="W1282" s="73" t="str">
        <f t="shared" si="331"/>
        <v/>
      </c>
      <c r="X1282" s="19" t="str">
        <f>IF($D1282&lt;&gt;1,"",IF($G1282="ROKS",$R1282,IF($AI1282=1,0,MAX($N1282,$L1282-SUMIFS(TblApplications[CPU IKS libérable (vCPU)],TblApplications[Cluster IKS source],$F1282,TblApplications[Action],"À migrer",TblApplications[Mois prov (calc)],"&lt;="&amp;$E1282)-SUMIFS(TblApplications[CPU IKS libérable (vCPU)],TblApplications[Cluster IKS source],$F1282,TblApplications[Action],"À décommissionner",TblApplications[Mois lib (calc)],"&lt;="&amp;$E1282)))))</f>
        <v/>
      </c>
      <c r="Y1282" s="19" t="str">
        <f>IF($D1282&lt;&gt;1,"",IF($G1282="ROKS",$S1282,IF($AI1282=1,0,MAX($O1282,$M1282-SUMIFS(TblApplications[RAM IKS libérable (Go)],TblApplications[Cluster IKS source],$F1282,TblApplications[Action],"À migrer",TblApplications[Mois prov (calc)],"&lt;="&amp;$E1282)-SUMIFS(TblApplications[RAM IKS libérable (Go)],TblApplications[Cluster IKS source],$F1282,TblApplications[Action],"À décommissionner",TblApplications[Mois lib (calc)],"&lt;="&amp;$E1282)))))</f>
        <v/>
      </c>
      <c r="Z1282" s="19" t="str">
        <f t="shared" si="332"/>
        <v/>
      </c>
      <c r="AA1282" s="73" t="str">
        <f t="shared" si="333"/>
        <v/>
      </c>
      <c r="AB1282" s="19" t="str">
        <f t="shared" si="334"/>
        <v/>
      </c>
      <c r="AC1282" s="73" t="str">
        <f t="shared" si="335"/>
        <v/>
      </c>
      <c r="AD1282" s="19" t="str">
        <f t="shared" si="336"/>
        <v/>
      </c>
      <c r="AE1282" s="19" t="str">
        <f t="shared" si="337"/>
        <v/>
      </c>
      <c r="AF1282" s="19" t="str">
        <f>IF($D1282&lt;&gt;1,"",IF(INDEX(TblClusters[Environnement],$B1282)="","(vide)",INDEX(TblClusters[Environnement],$B1282)))</f>
        <v/>
      </c>
      <c r="AG1282" s="19" t="str">
        <f t="shared" si="338"/>
        <v/>
      </c>
      <c r="AH1282" s="19" t="str">
        <f t="shared" si="339"/>
        <v/>
      </c>
      <c r="AI1282" s="19" t="str">
        <f>IF($D1282&lt;&gt;1,"",IF(AND($G1282="IKS",ISNUMBER(INDEX(TblClusters[Fermeture retenue],$B1282))),IF($E1282&gt;=INDEX(TblClusters[Fermeture retenue],$B1282),1,0),0))</f>
        <v/>
      </c>
    </row>
    <row r="1283" spans="1:35" x14ac:dyDescent="0.2">
      <c r="A1283" s="19">
        <v>1278</v>
      </c>
      <c r="B1283" s="19">
        <f t="shared" si="323"/>
        <v>36</v>
      </c>
      <c r="C1283" s="19">
        <f t="shared" si="324"/>
        <v>18</v>
      </c>
      <c r="D1283" s="19">
        <f>IF($C1283&gt;p_horizon,0,IFERROR(IF(AND(INDEX(TblClusters[Cluster],$B1283)&lt;&gt;"",ISNUMBER(INDEX(TblClusters[CPU initial (vCPU)],$B1283)),ISNUMBER(INDEX(TblClusters[CPU min (vCPU)],$B1283)),OR(INDEX(TblClusters[Plateforme],$B1283)="IKS",INDEX(TblClusters[Plateforme],$B1283)="ROKS")),1,0),0))</f>
        <v>0</v>
      </c>
      <c r="E1283" s="72" t="str">
        <f t="shared" si="325"/>
        <v/>
      </c>
      <c r="F1283" s="19" t="str">
        <f>IF($D1283=1,INDEX(TblClusters[Cluster],$B1283),"")</f>
        <v/>
      </c>
      <c r="G1283" s="19" t="str">
        <f>IF($D1283=1,INDEX(TblClusters[Plateforme],$B1283),"")</f>
        <v/>
      </c>
      <c r="H1283" s="19" t="str">
        <f>IF($D1283=1,INDEX(TblClusters[vCPU par nœud],$B1283),"")</f>
        <v/>
      </c>
      <c r="I1283" s="19" t="str">
        <f>IF($D1283=1,INDEX(TblClusters[RAM par nœud (Go)],$B1283),"")</f>
        <v/>
      </c>
      <c r="J1283" s="19" t="str">
        <f>IF($D1283=1,INDEX(TblClusters[Workers min],$B1283),"")</f>
        <v/>
      </c>
      <c r="K1283" s="73" t="str">
        <f>IF($D1283=1,INDEX(TblClusters[Tarif par nœud],$B1283),"")</f>
        <v/>
      </c>
      <c r="L1283" s="19" t="str">
        <f>IF($D1283=1,INDEX(TblClusters[CPU initial (vCPU)],$B1283),"")</f>
        <v/>
      </c>
      <c r="M1283" s="19" t="str">
        <f>IF($D1283=1,INDEX(TblClusters[RAM initiale (Go)],$B1283),"")</f>
        <v/>
      </c>
      <c r="N1283" s="19" t="str">
        <f>IF($D1283=1,INDEX(TblClusters[CPU min (vCPU)],$B1283),"")</f>
        <v/>
      </c>
      <c r="O1283" s="19" t="str">
        <f>IF($D1283=1,INDEX(TblClusters[RAM min (Go)],$B1283),"")</f>
        <v/>
      </c>
      <c r="P1283" s="19" t="str">
        <f>IF($D1283&lt;&gt;1,"",IF($G1283="ROKS",SUMIFS(TblApplications[Besoin ROKS CPU (vCPU)],TblApplications[Cluster ROKS cible],$F1283,TblApplications[Action],"À migrer",TblApplications[Déjà incluse ROKS],"Non",TblApplications[Mois prov (calc)],"&lt;="&amp;$E1283),SUMIFS(TblApplications[CPU IKS libérable (vCPU)],TblApplications[Cluster IKS source],$F1283,TblApplications[Mois lib (calc)],"&lt;="&amp;$E1283)))</f>
        <v/>
      </c>
      <c r="Q1283" s="19" t="str">
        <f>IF($D1283&lt;&gt;1,"",IF($G1283="ROKS",SUMIFS(TblApplications[Besoin ROKS RAM (Go)],TblApplications[Cluster ROKS cible],$F1283,TblApplications[Action],"À migrer",TblApplications[Déjà incluse ROKS],"Non",TblApplications[Mois prov (calc)],"&lt;="&amp;$E1283),SUMIFS(TblApplications[RAM IKS libérable (Go)],TblApplications[Cluster IKS source],$F1283,TblApplications[Mois lib (calc)],"&lt;="&amp;$E1283)))</f>
        <v/>
      </c>
      <c r="R1283" s="19" t="str">
        <f t="shared" si="326"/>
        <v/>
      </c>
      <c r="S1283" s="19" t="str">
        <f t="shared" si="327"/>
        <v/>
      </c>
      <c r="T1283" s="19" t="str">
        <f t="shared" si="328"/>
        <v/>
      </c>
      <c r="U1283" s="19" t="str">
        <f t="shared" si="329"/>
        <v/>
      </c>
      <c r="V1283" s="19" t="str">
        <f t="shared" si="330"/>
        <v/>
      </c>
      <c r="W1283" s="73" t="str">
        <f t="shared" si="331"/>
        <v/>
      </c>
      <c r="X1283" s="19" t="str">
        <f>IF($D1283&lt;&gt;1,"",IF($G1283="ROKS",$R1283,IF($AI1283=1,0,MAX($N1283,$L1283-SUMIFS(TblApplications[CPU IKS libérable (vCPU)],TblApplications[Cluster IKS source],$F1283,TblApplications[Action],"À migrer",TblApplications[Mois prov (calc)],"&lt;="&amp;$E1283)-SUMIFS(TblApplications[CPU IKS libérable (vCPU)],TblApplications[Cluster IKS source],$F1283,TblApplications[Action],"À décommissionner",TblApplications[Mois lib (calc)],"&lt;="&amp;$E1283)))))</f>
        <v/>
      </c>
      <c r="Y1283" s="19" t="str">
        <f>IF($D1283&lt;&gt;1,"",IF($G1283="ROKS",$S1283,IF($AI1283=1,0,MAX($O1283,$M1283-SUMIFS(TblApplications[RAM IKS libérable (Go)],TblApplications[Cluster IKS source],$F1283,TblApplications[Action],"À migrer",TblApplications[Mois prov (calc)],"&lt;="&amp;$E1283)-SUMIFS(TblApplications[RAM IKS libérable (Go)],TblApplications[Cluster IKS source],$F1283,TblApplications[Action],"À décommissionner",TblApplications[Mois lib (calc)],"&lt;="&amp;$E1283)))))</f>
        <v/>
      </c>
      <c r="Z1283" s="19" t="str">
        <f t="shared" si="332"/>
        <v/>
      </c>
      <c r="AA1283" s="73" t="str">
        <f t="shared" si="333"/>
        <v/>
      </c>
      <c r="AB1283" s="19" t="str">
        <f t="shared" si="334"/>
        <v/>
      </c>
      <c r="AC1283" s="73" t="str">
        <f t="shared" si="335"/>
        <v/>
      </c>
      <c r="AD1283" s="19" t="str">
        <f t="shared" si="336"/>
        <v/>
      </c>
      <c r="AE1283" s="19" t="str">
        <f t="shared" si="337"/>
        <v/>
      </c>
      <c r="AF1283" s="19" t="str">
        <f>IF($D1283&lt;&gt;1,"",IF(INDEX(TblClusters[Environnement],$B1283)="","(vide)",INDEX(TblClusters[Environnement],$B1283)))</f>
        <v/>
      </c>
      <c r="AG1283" s="19" t="str">
        <f t="shared" si="338"/>
        <v/>
      </c>
      <c r="AH1283" s="19" t="str">
        <f t="shared" si="339"/>
        <v/>
      </c>
      <c r="AI1283" s="19" t="str">
        <f>IF($D1283&lt;&gt;1,"",IF(AND($G1283="IKS",ISNUMBER(INDEX(TblClusters[Fermeture retenue],$B1283))),IF($E1283&gt;=INDEX(TblClusters[Fermeture retenue],$B1283),1,0),0))</f>
        <v/>
      </c>
    </row>
    <row r="1284" spans="1:35" x14ac:dyDescent="0.2">
      <c r="A1284" s="19">
        <v>1279</v>
      </c>
      <c r="B1284" s="19">
        <f t="shared" si="323"/>
        <v>36</v>
      </c>
      <c r="C1284" s="19">
        <f t="shared" si="324"/>
        <v>19</v>
      </c>
      <c r="D1284" s="19">
        <f>IF($C1284&gt;p_horizon,0,IFERROR(IF(AND(INDEX(TblClusters[Cluster],$B1284)&lt;&gt;"",ISNUMBER(INDEX(TblClusters[CPU initial (vCPU)],$B1284)),ISNUMBER(INDEX(TblClusters[CPU min (vCPU)],$B1284)),OR(INDEX(TblClusters[Plateforme],$B1284)="IKS",INDEX(TblClusters[Plateforme],$B1284)="ROKS")),1,0),0))</f>
        <v>0</v>
      </c>
      <c r="E1284" s="72" t="str">
        <f t="shared" si="325"/>
        <v/>
      </c>
      <c r="F1284" s="19" t="str">
        <f>IF($D1284=1,INDEX(TblClusters[Cluster],$B1284),"")</f>
        <v/>
      </c>
      <c r="G1284" s="19" t="str">
        <f>IF($D1284=1,INDEX(TblClusters[Plateforme],$B1284),"")</f>
        <v/>
      </c>
      <c r="H1284" s="19" t="str">
        <f>IF($D1284=1,INDEX(TblClusters[vCPU par nœud],$B1284),"")</f>
        <v/>
      </c>
      <c r="I1284" s="19" t="str">
        <f>IF($D1284=1,INDEX(TblClusters[RAM par nœud (Go)],$B1284),"")</f>
        <v/>
      </c>
      <c r="J1284" s="19" t="str">
        <f>IF($D1284=1,INDEX(TblClusters[Workers min],$B1284),"")</f>
        <v/>
      </c>
      <c r="K1284" s="73" t="str">
        <f>IF($D1284=1,INDEX(TblClusters[Tarif par nœud],$B1284),"")</f>
        <v/>
      </c>
      <c r="L1284" s="19" t="str">
        <f>IF($D1284=1,INDEX(TblClusters[CPU initial (vCPU)],$B1284),"")</f>
        <v/>
      </c>
      <c r="M1284" s="19" t="str">
        <f>IF($D1284=1,INDEX(TblClusters[RAM initiale (Go)],$B1284),"")</f>
        <v/>
      </c>
      <c r="N1284" s="19" t="str">
        <f>IF($D1284=1,INDEX(TblClusters[CPU min (vCPU)],$B1284),"")</f>
        <v/>
      </c>
      <c r="O1284" s="19" t="str">
        <f>IF($D1284=1,INDEX(TblClusters[RAM min (Go)],$B1284),"")</f>
        <v/>
      </c>
      <c r="P1284" s="19" t="str">
        <f>IF($D1284&lt;&gt;1,"",IF($G1284="ROKS",SUMIFS(TblApplications[Besoin ROKS CPU (vCPU)],TblApplications[Cluster ROKS cible],$F1284,TblApplications[Action],"À migrer",TblApplications[Déjà incluse ROKS],"Non",TblApplications[Mois prov (calc)],"&lt;="&amp;$E1284),SUMIFS(TblApplications[CPU IKS libérable (vCPU)],TblApplications[Cluster IKS source],$F1284,TblApplications[Mois lib (calc)],"&lt;="&amp;$E1284)))</f>
        <v/>
      </c>
      <c r="Q1284" s="19" t="str">
        <f>IF($D1284&lt;&gt;1,"",IF($G1284="ROKS",SUMIFS(TblApplications[Besoin ROKS RAM (Go)],TblApplications[Cluster ROKS cible],$F1284,TblApplications[Action],"À migrer",TblApplications[Déjà incluse ROKS],"Non",TblApplications[Mois prov (calc)],"&lt;="&amp;$E1284),SUMIFS(TblApplications[RAM IKS libérable (Go)],TblApplications[Cluster IKS source],$F1284,TblApplications[Mois lib (calc)],"&lt;="&amp;$E1284)))</f>
        <v/>
      </c>
      <c r="R1284" s="19" t="str">
        <f t="shared" si="326"/>
        <v/>
      </c>
      <c r="S1284" s="19" t="str">
        <f t="shared" si="327"/>
        <v/>
      </c>
      <c r="T1284" s="19" t="str">
        <f t="shared" si="328"/>
        <v/>
      </c>
      <c r="U1284" s="19" t="str">
        <f t="shared" si="329"/>
        <v/>
      </c>
      <c r="V1284" s="19" t="str">
        <f t="shared" si="330"/>
        <v/>
      </c>
      <c r="W1284" s="73" t="str">
        <f t="shared" si="331"/>
        <v/>
      </c>
      <c r="X1284" s="19" t="str">
        <f>IF($D1284&lt;&gt;1,"",IF($G1284="ROKS",$R1284,IF($AI1284=1,0,MAX($N1284,$L1284-SUMIFS(TblApplications[CPU IKS libérable (vCPU)],TblApplications[Cluster IKS source],$F1284,TblApplications[Action],"À migrer",TblApplications[Mois prov (calc)],"&lt;="&amp;$E1284)-SUMIFS(TblApplications[CPU IKS libérable (vCPU)],TblApplications[Cluster IKS source],$F1284,TblApplications[Action],"À décommissionner",TblApplications[Mois lib (calc)],"&lt;="&amp;$E1284)))))</f>
        <v/>
      </c>
      <c r="Y1284" s="19" t="str">
        <f>IF($D1284&lt;&gt;1,"",IF($G1284="ROKS",$S1284,IF($AI1284=1,0,MAX($O1284,$M1284-SUMIFS(TblApplications[RAM IKS libérable (Go)],TblApplications[Cluster IKS source],$F1284,TblApplications[Action],"À migrer",TblApplications[Mois prov (calc)],"&lt;="&amp;$E1284)-SUMIFS(TblApplications[RAM IKS libérable (Go)],TblApplications[Cluster IKS source],$F1284,TblApplications[Action],"À décommissionner",TblApplications[Mois lib (calc)],"&lt;="&amp;$E1284)))))</f>
        <v/>
      </c>
      <c r="Z1284" s="19" t="str">
        <f t="shared" si="332"/>
        <v/>
      </c>
      <c r="AA1284" s="73" t="str">
        <f t="shared" si="333"/>
        <v/>
      </c>
      <c r="AB1284" s="19" t="str">
        <f t="shared" si="334"/>
        <v/>
      </c>
      <c r="AC1284" s="73" t="str">
        <f t="shared" si="335"/>
        <v/>
      </c>
      <c r="AD1284" s="19" t="str">
        <f t="shared" si="336"/>
        <v/>
      </c>
      <c r="AE1284" s="19" t="str">
        <f t="shared" si="337"/>
        <v/>
      </c>
      <c r="AF1284" s="19" t="str">
        <f>IF($D1284&lt;&gt;1,"",IF(INDEX(TblClusters[Environnement],$B1284)="","(vide)",INDEX(TblClusters[Environnement],$B1284)))</f>
        <v/>
      </c>
      <c r="AG1284" s="19" t="str">
        <f t="shared" si="338"/>
        <v/>
      </c>
      <c r="AH1284" s="19" t="str">
        <f t="shared" si="339"/>
        <v/>
      </c>
      <c r="AI1284" s="19" t="str">
        <f>IF($D1284&lt;&gt;1,"",IF(AND($G1284="IKS",ISNUMBER(INDEX(TblClusters[Fermeture retenue],$B1284))),IF($E1284&gt;=INDEX(TblClusters[Fermeture retenue],$B1284),1,0),0))</f>
        <v/>
      </c>
    </row>
    <row r="1285" spans="1:35" x14ac:dyDescent="0.2">
      <c r="A1285" s="19">
        <v>1280</v>
      </c>
      <c r="B1285" s="19">
        <f t="shared" si="323"/>
        <v>36</v>
      </c>
      <c r="C1285" s="19">
        <f t="shared" si="324"/>
        <v>20</v>
      </c>
      <c r="D1285" s="19">
        <f>IF($C1285&gt;p_horizon,0,IFERROR(IF(AND(INDEX(TblClusters[Cluster],$B1285)&lt;&gt;"",ISNUMBER(INDEX(TblClusters[CPU initial (vCPU)],$B1285)),ISNUMBER(INDEX(TblClusters[CPU min (vCPU)],$B1285)),OR(INDEX(TblClusters[Plateforme],$B1285)="IKS",INDEX(TblClusters[Plateforme],$B1285)="ROKS")),1,0),0))</f>
        <v>0</v>
      </c>
      <c r="E1285" s="72" t="str">
        <f t="shared" si="325"/>
        <v/>
      </c>
      <c r="F1285" s="19" t="str">
        <f>IF($D1285=1,INDEX(TblClusters[Cluster],$B1285),"")</f>
        <v/>
      </c>
      <c r="G1285" s="19" t="str">
        <f>IF($D1285=1,INDEX(TblClusters[Plateforme],$B1285),"")</f>
        <v/>
      </c>
      <c r="H1285" s="19" t="str">
        <f>IF($D1285=1,INDEX(TblClusters[vCPU par nœud],$B1285),"")</f>
        <v/>
      </c>
      <c r="I1285" s="19" t="str">
        <f>IF($D1285=1,INDEX(TblClusters[RAM par nœud (Go)],$B1285),"")</f>
        <v/>
      </c>
      <c r="J1285" s="19" t="str">
        <f>IF($D1285=1,INDEX(TblClusters[Workers min],$B1285),"")</f>
        <v/>
      </c>
      <c r="K1285" s="73" t="str">
        <f>IF($D1285=1,INDEX(TblClusters[Tarif par nœud],$B1285),"")</f>
        <v/>
      </c>
      <c r="L1285" s="19" t="str">
        <f>IF($D1285=1,INDEX(TblClusters[CPU initial (vCPU)],$B1285),"")</f>
        <v/>
      </c>
      <c r="M1285" s="19" t="str">
        <f>IF($D1285=1,INDEX(TblClusters[RAM initiale (Go)],$B1285),"")</f>
        <v/>
      </c>
      <c r="N1285" s="19" t="str">
        <f>IF($D1285=1,INDEX(TblClusters[CPU min (vCPU)],$B1285),"")</f>
        <v/>
      </c>
      <c r="O1285" s="19" t="str">
        <f>IF($D1285=1,INDEX(TblClusters[RAM min (Go)],$B1285),"")</f>
        <v/>
      </c>
      <c r="P1285" s="19" t="str">
        <f>IF($D1285&lt;&gt;1,"",IF($G1285="ROKS",SUMIFS(TblApplications[Besoin ROKS CPU (vCPU)],TblApplications[Cluster ROKS cible],$F1285,TblApplications[Action],"À migrer",TblApplications[Déjà incluse ROKS],"Non",TblApplications[Mois prov (calc)],"&lt;="&amp;$E1285),SUMIFS(TblApplications[CPU IKS libérable (vCPU)],TblApplications[Cluster IKS source],$F1285,TblApplications[Mois lib (calc)],"&lt;="&amp;$E1285)))</f>
        <v/>
      </c>
      <c r="Q1285" s="19" t="str">
        <f>IF($D1285&lt;&gt;1,"",IF($G1285="ROKS",SUMIFS(TblApplications[Besoin ROKS RAM (Go)],TblApplications[Cluster ROKS cible],$F1285,TblApplications[Action],"À migrer",TblApplications[Déjà incluse ROKS],"Non",TblApplications[Mois prov (calc)],"&lt;="&amp;$E1285),SUMIFS(TblApplications[RAM IKS libérable (Go)],TblApplications[Cluster IKS source],$F1285,TblApplications[Mois lib (calc)],"&lt;="&amp;$E1285)))</f>
        <v/>
      </c>
      <c r="R1285" s="19" t="str">
        <f t="shared" si="326"/>
        <v/>
      </c>
      <c r="S1285" s="19" t="str">
        <f t="shared" si="327"/>
        <v/>
      </c>
      <c r="T1285" s="19" t="str">
        <f t="shared" si="328"/>
        <v/>
      </c>
      <c r="U1285" s="19" t="str">
        <f t="shared" si="329"/>
        <v/>
      </c>
      <c r="V1285" s="19" t="str">
        <f t="shared" si="330"/>
        <v/>
      </c>
      <c r="W1285" s="73" t="str">
        <f t="shared" si="331"/>
        <v/>
      </c>
      <c r="X1285" s="19" t="str">
        <f>IF($D1285&lt;&gt;1,"",IF($G1285="ROKS",$R1285,IF($AI1285=1,0,MAX($N1285,$L1285-SUMIFS(TblApplications[CPU IKS libérable (vCPU)],TblApplications[Cluster IKS source],$F1285,TblApplications[Action],"À migrer",TblApplications[Mois prov (calc)],"&lt;="&amp;$E1285)-SUMIFS(TblApplications[CPU IKS libérable (vCPU)],TblApplications[Cluster IKS source],$F1285,TblApplications[Action],"À décommissionner",TblApplications[Mois lib (calc)],"&lt;="&amp;$E1285)))))</f>
        <v/>
      </c>
      <c r="Y1285" s="19" t="str">
        <f>IF($D1285&lt;&gt;1,"",IF($G1285="ROKS",$S1285,IF($AI1285=1,0,MAX($O1285,$M1285-SUMIFS(TblApplications[RAM IKS libérable (Go)],TblApplications[Cluster IKS source],$F1285,TblApplications[Action],"À migrer",TblApplications[Mois prov (calc)],"&lt;="&amp;$E1285)-SUMIFS(TblApplications[RAM IKS libérable (Go)],TblApplications[Cluster IKS source],$F1285,TblApplications[Action],"À décommissionner",TblApplications[Mois lib (calc)],"&lt;="&amp;$E1285)))))</f>
        <v/>
      </c>
      <c r="Z1285" s="19" t="str">
        <f t="shared" si="332"/>
        <v/>
      </c>
      <c r="AA1285" s="73" t="str">
        <f t="shared" si="333"/>
        <v/>
      </c>
      <c r="AB1285" s="19" t="str">
        <f t="shared" si="334"/>
        <v/>
      </c>
      <c r="AC1285" s="73" t="str">
        <f t="shared" si="335"/>
        <v/>
      </c>
      <c r="AD1285" s="19" t="str">
        <f t="shared" si="336"/>
        <v/>
      </c>
      <c r="AE1285" s="19" t="str">
        <f t="shared" si="337"/>
        <v/>
      </c>
      <c r="AF1285" s="19" t="str">
        <f>IF($D1285&lt;&gt;1,"",IF(INDEX(TblClusters[Environnement],$B1285)="","(vide)",INDEX(TblClusters[Environnement],$B1285)))</f>
        <v/>
      </c>
      <c r="AG1285" s="19" t="str">
        <f t="shared" si="338"/>
        <v/>
      </c>
      <c r="AH1285" s="19" t="str">
        <f t="shared" si="339"/>
        <v/>
      </c>
      <c r="AI1285" s="19" t="str">
        <f>IF($D1285&lt;&gt;1,"",IF(AND($G1285="IKS",ISNUMBER(INDEX(TblClusters[Fermeture retenue],$B1285))),IF($E1285&gt;=INDEX(TblClusters[Fermeture retenue],$B1285),1,0),0))</f>
        <v/>
      </c>
    </row>
    <row r="1286" spans="1:35" x14ac:dyDescent="0.2">
      <c r="A1286" s="19">
        <v>1281</v>
      </c>
      <c r="B1286" s="19">
        <f t="shared" ref="B1286:B1349" si="340">INT(($A1286-1)/36)+1</f>
        <v>36</v>
      </c>
      <c r="C1286" s="19">
        <f t="shared" ref="C1286:C1349" si="341">MOD($A1286-1,36)+1</f>
        <v>21</v>
      </c>
      <c r="D1286" s="19">
        <f>IF($C1286&gt;p_horizon,0,IFERROR(IF(AND(INDEX(TblClusters[Cluster],$B1286)&lt;&gt;"",ISNUMBER(INDEX(TblClusters[CPU initial (vCPU)],$B1286)),ISNUMBER(INDEX(TblClusters[CPU min (vCPU)],$B1286)),OR(INDEX(TblClusters[Plateforme],$B1286)="IKS",INDEX(TblClusters[Plateforme],$B1286)="ROKS")),1,0),0))</f>
        <v>0</v>
      </c>
      <c r="E1286" s="72" t="str">
        <f t="shared" ref="E1286:E1349" si="342">IF($D1286=1,EDATE(p_debut,$C1286-1),"")</f>
        <v/>
      </c>
      <c r="F1286" s="19" t="str">
        <f>IF($D1286=1,INDEX(TblClusters[Cluster],$B1286),"")</f>
        <v/>
      </c>
      <c r="G1286" s="19" t="str">
        <f>IF($D1286=1,INDEX(TblClusters[Plateforme],$B1286),"")</f>
        <v/>
      </c>
      <c r="H1286" s="19" t="str">
        <f>IF($D1286=1,INDEX(TblClusters[vCPU par nœud],$B1286),"")</f>
        <v/>
      </c>
      <c r="I1286" s="19" t="str">
        <f>IF($D1286=1,INDEX(TblClusters[RAM par nœud (Go)],$B1286),"")</f>
        <v/>
      </c>
      <c r="J1286" s="19" t="str">
        <f>IF($D1286=1,INDEX(TblClusters[Workers min],$B1286),"")</f>
        <v/>
      </c>
      <c r="K1286" s="73" t="str">
        <f>IF($D1286=1,INDEX(TblClusters[Tarif par nœud],$B1286),"")</f>
        <v/>
      </c>
      <c r="L1286" s="19" t="str">
        <f>IF($D1286=1,INDEX(TblClusters[CPU initial (vCPU)],$B1286),"")</f>
        <v/>
      </c>
      <c r="M1286" s="19" t="str">
        <f>IF($D1286=1,INDEX(TblClusters[RAM initiale (Go)],$B1286),"")</f>
        <v/>
      </c>
      <c r="N1286" s="19" t="str">
        <f>IF($D1286=1,INDEX(TblClusters[CPU min (vCPU)],$B1286),"")</f>
        <v/>
      </c>
      <c r="O1286" s="19" t="str">
        <f>IF($D1286=1,INDEX(TblClusters[RAM min (Go)],$B1286),"")</f>
        <v/>
      </c>
      <c r="P1286" s="19" t="str">
        <f>IF($D1286&lt;&gt;1,"",IF($G1286="ROKS",SUMIFS(TblApplications[Besoin ROKS CPU (vCPU)],TblApplications[Cluster ROKS cible],$F1286,TblApplications[Action],"À migrer",TblApplications[Déjà incluse ROKS],"Non",TblApplications[Mois prov (calc)],"&lt;="&amp;$E1286),SUMIFS(TblApplications[CPU IKS libérable (vCPU)],TblApplications[Cluster IKS source],$F1286,TblApplications[Mois lib (calc)],"&lt;="&amp;$E1286)))</f>
        <v/>
      </c>
      <c r="Q1286" s="19" t="str">
        <f>IF($D1286&lt;&gt;1,"",IF($G1286="ROKS",SUMIFS(TblApplications[Besoin ROKS RAM (Go)],TblApplications[Cluster ROKS cible],$F1286,TblApplications[Action],"À migrer",TblApplications[Déjà incluse ROKS],"Non",TblApplications[Mois prov (calc)],"&lt;="&amp;$E1286),SUMIFS(TblApplications[RAM IKS libérable (Go)],TblApplications[Cluster IKS source],$F1286,TblApplications[Mois lib (calc)],"&lt;="&amp;$E1286)))</f>
        <v/>
      </c>
      <c r="R1286" s="19" t="str">
        <f t="shared" ref="R1286:R1349" si="343">IF($D1286&lt;&gt;1,"",IF($G1286="ROKS",$L1286+$P1286,IF($AI1286=1,0,MAX($N1286,$L1286-$P1286))))</f>
        <v/>
      </c>
      <c r="S1286" s="19" t="str">
        <f t="shared" ref="S1286:S1349" si="344">IF($D1286&lt;&gt;1,"",IF($G1286="ROKS",$M1286+$Q1286,IF($AI1286=1,0,MAX($O1286,$M1286-$Q1286))))</f>
        <v/>
      </c>
      <c r="T1286" s="19" t="str">
        <f t="shared" ref="T1286:T1349" si="345">IF($D1286&lt;&gt;1,"",IF($AI1286=1,0,MAX($J1286,ROUNDUP(MAX($R1286/$H1286,$S1286/$I1286),0))))</f>
        <v/>
      </c>
      <c r="U1286" s="19" t="str">
        <f t="shared" ref="U1286:U1349" si="346">IF($D1286&lt;&gt;1,"",IF(p_mode="Nœud",$T1286*$H1286,$R1286))</f>
        <v/>
      </c>
      <c r="V1286" s="19" t="str">
        <f t="shared" ref="V1286:V1349" si="347">IF($D1286&lt;&gt;1,"",IF(p_mode="Nœud",$T1286*$I1286,$S1286))</f>
        <v/>
      </c>
      <c r="W1286" s="73" t="str">
        <f t="shared" ref="W1286:W1349" si="348">IF($D1286&lt;&gt;1,"",IF(p_mode="Nœud",$T1286*$K1286,$R1286*IF($G1286="IKS",p_iks_cpu,p_roks_cpu)+$S1286*IF($G1286="IKS",p_iks_ram,p_roks_ram))*p_facteur)</f>
        <v/>
      </c>
      <c r="X1286" s="19" t="str">
        <f>IF($D1286&lt;&gt;1,"",IF($G1286="ROKS",$R1286,IF($AI1286=1,0,MAX($N1286,$L1286-SUMIFS(TblApplications[CPU IKS libérable (vCPU)],TblApplications[Cluster IKS source],$F1286,TblApplications[Action],"À migrer",TblApplications[Mois prov (calc)],"&lt;="&amp;$E1286)-SUMIFS(TblApplications[CPU IKS libérable (vCPU)],TblApplications[Cluster IKS source],$F1286,TblApplications[Action],"À décommissionner",TblApplications[Mois lib (calc)],"&lt;="&amp;$E1286)))))</f>
        <v/>
      </c>
      <c r="Y1286" s="19" t="str">
        <f>IF($D1286&lt;&gt;1,"",IF($G1286="ROKS",$S1286,IF($AI1286=1,0,MAX($O1286,$M1286-SUMIFS(TblApplications[RAM IKS libérable (Go)],TblApplications[Cluster IKS source],$F1286,TblApplications[Action],"À migrer",TblApplications[Mois prov (calc)],"&lt;="&amp;$E1286)-SUMIFS(TblApplications[RAM IKS libérable (Go)],TblApplications[Cluster IKS source],$F1286,TblApplications[Action],"À décommissionner",TblApplications[Mois lib (calc)],"&lt;="&amp;$E1286)))))</f>
        <v/>
      </c>
      <c r="Z1286" s="19" t="str">
        <f t="shared" ref="Z1286:Z1349" si="349">IF($D1286&lt;&gt;1,"",IF($AI1286=1,0,MAX($J1286,ROUNDUP(MAX($X1286/$H1286,$Y1286/$I1286),0))))</f>
        <v/>
      </c>
      <c r="AA1286" s="73" t="str">
        <f t="shared" ref="AA1286:AA1349" si="350">IF($D1286&lt;&gt;1,"",IF(p_mode="Nœud",$Z1286*$K1286,$X1286*IF($G1286="IKS",p_iks_cpu,p_roks_cpu)+$Y1286*IF($G1286="IKS",p_iks_ram,p_roks_ram))*p_facteur)</f>
        <v/>
      </c>
      <c r="AB1286" s="19" t="str">
        <f t="shared" ref="AB1286:AB1349" si="351">IF($D1286&lt;&gt;1,"",MAX($J1286,ROUNDUP(MAX($L1286/$H1286,$M1286/$I1286),0)))</f>
        <v/>
      </c>
      <c r="AC1286" s="73" t="str">
        <f t="shared" ref="AC1286:AC1349" si="352">IF($D1286&lt;&gt;1,"",IF(p_mode="Nœud",$AB1286*$K1286,$L1286*IF($G1286="IKS",p_iks_cpu,p_roks_cpu)+$M1286*IF($G1286="IKS",p_iks_ram,p_roks_ram))*p_facteur)</f>
        <v/>
      </c>
      <c r="AD1286" s="19" t="str">
        <f t="shared" ref="AD1286:AD1349" si="353">IF($D1286&lt;&gt;1,"",IF(AND($G1286="IKS",$AI1286&lt;&gt;1,OR($L1286-$P1286&lt;$N1286,$M1286-$Q1286&lt;$O1286)),1,0))</f>
        <v/>
      </c>
      <c r="AE1286" s="19" t="str">
        <f t="shared" ref="AE1286:AE1349" si="354">IF($D1286&lt;&gt;1,"",IF(AND($G1286="ROKS",$T1286&gt;p_maxworkers),1,0))</f>
        <v/>
      </c>
      <c r="AF1286" s="19" t="str">
        <f>IF($D1286&lt;&gt;1,"",IF(INDEX(TblClusters[Environnement],$B1286)="","(vide)",INDEX(TblClusters[Environnement],$B1286)))</f>
        <v/>
      </c>
      <c r="AG1286" s="19" t="str">
        <f t="shared" ref="AG1286:AG1349" si="355">IF($D1286&lt;&gt;1,"",$R1286+p_poidsram*$S1286)</f>
        <v/>
      </c>
      <c r="AH1286" s="19" t="str">
        <f t="shared" ref="AH1286:AH1349" si="356">IF($D1286&lt;&gt;1,"",IFERROR($W1286/$AG1286,0))</f>
        <v/>
      </c>
      <c r="AI1286" s="19" t="str">
        <f>IF($D1286&lt;&gt;1,"",IF(AND($G1286="IKS",ISNUMBER(INDEX(TblClusters[Fermeture retenue],$B1286))),IF($E1286&gt;=INDEX(TblClusters[Fermeture retenue],$B1286),1,0),0))</f>
        <v/>
      </c>
    </row>
    <row r="1287" spans="1:35" x14ac:dyDescent="0.2">
      <c r="A1287" s="19">
        <v>1282</v>
      </c>
      <c r="B1287" s="19">
        <f t="shared" si="340"/>
        <v>36</v>
      </c>
      <c r="C1287" s="19">
        <f t="shared" si="341"/>
        <v>22</v>
      </c>
      <c r="D1287" s="19">
        <f>IF($C1287&gt;p_horizon,0,IFERROR(IF(AND(INDEX(TblClusters[Cluster],$B1287)&lt;&gt;"",ISNUMBER(INDEX(TblClusters[CPU initial (vCPU)],$B1287)),ISNUMBER(INDEX(TblClusters[CPU min (vCPU)],$B1287)),OR(INDEX(TblClusters[Plateforme],$B1287)="IKS",INDEX(TblClusters[Plateforme],$B1287)="ROKS")),1,0),0))</f>
        <v>0</v>
      </c>
      <c r="E1287" s="72" t="str">
        <f t="shared" si="342"/>
        <v/>
      </c>
      <c r="F1287" s="19" t="str">
        <f>IF($D1287=1,INDEX(TblClusters[Cluster],$B1287),"")</f>
        <v/>
      </c>
      <c r="G1287" s="19" t="str">
        <f>IF($D1287=1,INDEX(TblClusters[Plateforme],$B1287),"")</f>
        <v/>
      </c>
      <c r="H1287" s="19" t="str">
        <f>IF($D1287=1,INDEX(TblClusters[vCPU par nœud],$B1287),"")</f>
        <v/>
      </c>
      <c r="I1287" s="19" t="str">
        <f>IF($D1287=1,INDEX(TblClusters[RAM par nœud (Go)],$B1287),"")</f>
        <v/>
      </c>
      <c r="J1287" s="19" t="str">
        <f>IF($D1287=1,INDEX(TblClusters[Workers min],$B1287),"")</f>
        <v/>
      </c>
      <c r="K1287" s="73" t="str">
        <f>IF($D1287=1,INDEX(TblClusters[Tarif par nœud],$B1287),"")</f>
        <v/>
      </c>
      <c r="L1287" s="19" t="str">
        <f>IF($D1287=1,INDEX(TblClusters[CPU initial (vCPU)],$B1287),"")</f>
        <v/>
      </c>
      <c r="M1287" s="19" t="str">
        <f>IF($D1287=1,INDEX(TblClusters[RAM initiale (Go)],$B1287),"")</f>
        <v/>
      </c>
      <c r="N1287" s="19" t="str">
        <f>IF($D1287=1,INDEX(TblClusters[CPU min (vCPU)],$B1287),"")</f>
        <v/>
      </c>
      <c r="O1287" s="19" t="str">
        <f>IF($D1287=1,INDEX(TblClusters[RAM min (Go)],$B1287),"")</f>
        <v/>
      </c>
      <c r="P1287" s="19" t="str">
        <f>IF($D1287&lt;&gt;1,"",IF($G1287="ROKS",SUMIFS(TblApplications[Besoin ROKS CPU (vCPU)],TblApplications[Cluster ROKS cible],$F1287,TblApplications[Action],"À migrer",TblApplications[Déjà incluse ROKS],"Non",TblApplications[Mois prov (calc)],"&lt;="&amp;$E1287),SUMIFS(TblApplications[CPU IKS libérable (vCPU)],TblApplications[Cluster IKS source],$F1287,TblApplications[Mois lib (calc)],"&lt;="&amp;$E1287)))</f>
        <v/>
      </c>
      <c r="Q1287" s="19" t="str">
        <f>IF($D1287&lt;&gt;1,"",IF($G1287="ROKS",SUMIFS(TblApplications[Besoin ROKS RAM (Go)],TblApplications[Cluster ROKS cible],$F1287,TblApplications[Action],"À migrer",TblApplications[Déjà incluse ROKS],"Non",TblApplications[Mois prov (calc)],"&lt;="&amp;$E1287),SUMIFS(TblApplications[RAM IKS libérable (Go)],TblApplications[Cluster IKS source],$F1287,TblApplications[Mois lib (calc)],"&lt;="&amp;$E1287)))</f>
        <v/>
      </c>
      <c r="R1287" s="19" t="str">
        <f t="shared" si="343"/>
        <v/>
      </c>
      <c r="S1287" s="19" t="str">
        <f t="shared" si="344"/>
        <v/>
      </c>
      <c r="T1287" s="19" t="str">
        <f t="shared" si="345"/>
        <v/>
      </c>
      <c r="U1287" s="19" t="str">
        <f t="shared" si="346"/>
        <v/>
      </c>
      <c r="V1287" s="19" t="str">
        <f t="shared" si="347"/>
        <v/>
      </c>
      <c r="W1287" s="73" t="str">
        <f t="shared" si="348"/>
        <v/>
      </c>
      <c r="X1287" s="19" t="str">
        <f>IF($D1287&lt;&gt;1,"",IF($G1287="ROKS",$R1287,IF($AI1287=1,0,MAX($N1287,$L1287-SUMIFS(TblApplications[CPU IKS libérable (vCPU)],TblApplications[Cluster IKS source],$F1287,TblApplications[Action],"À migrer",TblApplications[Mois prov (calc)],"&lt;="&amp;$E1287)-SUMIFS(TblApplications[CPU IKS libérable (vCPU)],TblApplications[Cluster IKS source],$F1287,TblApplications[Action],"À décommissionner",TblApplications[Mois lib (calc)],"&lt;="&amp;$E1287)))))</f>
        <v/>
      </c>
      <c r="Y1287" s="19" t="str">
        <f>IF($D1287&lt;&gt;1,"",IF($G1287="ROKS",$S1287,IF($AI1287=1,0,MAX($O1287,$M1287-SUMIFS(TblApplications[RAM IKS libérable (Go)],TblApplications[Cluster IKS source],$F1287,TblApplications[Action],"À migrer",TblApplications[Mois prov (calc)],"&lt;="&amp;$E1287)-SUMIFS(TblApplications[RAM IKS libérable (Go)],TblApplications[Cluster IKS source],$F1287,TblApplications[Action],"À décommissionner",TblApplications[Mois lib (calc)],"&lt;="&amp;$E1287)))))</f>
        <v/>
      </c>
      <c r="Z1287" s="19" t="str">
        <f t="shared" si="349"/>
        <v/>
      </c>
      <c r="AA1287" s="73" t="str">
        <f t="shared" si="350"/>
        <v/>
      </c>
      <c r="AB1287" s="19" t="str">
        <f t="shared" si="351"/>
        <v/>
      </c>
      <c r="AC1287" s="73" t="str">
        <f t="shared" si="352"/>
        <v/>
      </c>
      <c r="AD1287" s="19" t="str">
        <f t="shared" si="353"/>
        <v/>
      </c>
      <c r="AE1287" s="19" t="str">
        <f t="shared" si="354"/>
        <v/>
      </c>
      <c r="AF1287" s="19" t="str">
        <f>IF($D1287&lt;&gt;1,"",IF(INDEX(TblClusters[Environnement],$B1287)="","(vide)",INDEX(TblClusters[Environnement],$B1287)))</f>
        <v/>
      </c>
      <c r="AG1287" s="19" t="str">
        <f t="shared" si="355"/>
        <v/>
      </c>
      <c r="AH1287" s="19" t="str">
        <f t="shared" si="356"/>
        <v/>
      </c>
      <c r="AI1287" s="19" t="str">
        <f>IF($D1287&lt;&gt;1,"",IF(AND($G1287="IKS",ISNUMBER(INDEX(TblClusters[Fermeture retenue],$B1287))),IF($E1287&gt;=INDEX(TblClusters[Fermeture retenue],$B1287),1,0),0))</f>
        <v/>
      </c>
    </row>
    <row r="1288" spans="1:35" x14ac:dyDescent="0.2">
      <c r="A1288" s="19">
        <v>1283</v>
      </c>
      <c r="B1288" s="19">
        <f t="shared" si="340"/>
        <v>36</v>
      </c>
      <c r="C1288" s="19">
        <f t="shared" si="341"/>
        <v>23</v>
      </c>
      <c r="D1288" s="19">
        <f>IF($C1288&gt;p_horizon,0,IFERROR(IF(AND(INDEX(TblClusters[Cluster],$B1288)&lt;&gt;"",ISNUMBER(INDEX(TblClusters[CPU initial (vCPU)],$B1288)),ISNUMBER(INDEX(TblClusters[CPU min (vCPU)],$B1288)),OR(INDEX(TblClusters[Plateforme],$B1288)="IKS",INDEX(TblClusters[Plateforme],$B1288)="ROKS")),1,0),0))</f>
        <v>0</v>
      </c>
      <c r="E1288" s="72" t="str">
        <f t="shared" si="342"/>
        <v/>
      </c>
      <c r="F1288" s="19" t="str">
        <f>IF($D1288=1,INDEX(TblClusters[Cluster],$B1288),"")</f>
        <v/>
      </c>
      <c r="G1288" s="19" t="str">
        <f>IF($D1288=1,INDEX(TblClusters[Plateforme],$B1288),"")</f>
        <v/>
      </c>
      <c r="H1288" s="19" t="str">
        <f>IF($D1288=1,INDEX(TblClusters[vCPU par nœud],$B1288),"")</f>
        <v/>
      </c>
      <c r="I1288" s="19" t="str">
        <f>IF($D1288=1,INDEX(TblClusters[RAM par nœud (Go)],$B1288),"")</f>
        <v/>
      </c>
      <c r="J1288" s="19" t="str">
        <f>IF($D1288=1,INDEX(TblClusters[Workers min],$B1288),"")</f>
        <v/>
      </c>
      <c r="K1288" s="73" t="str">
        <f>IF($D1288=1,INDEX(TblClusters[Tarif par nœud],$B1288),"")</f>
        <v/>
      </c>
      <c r="L1288" s="19" t="str">
        <f>IF($D1288=1,INDEX(TblClusters[CPU initial (vCPU)],$B1288),"")</f>
        <v/>
      </c>
      <c r="M1288" s="19" t="str">
        <f>IF($D1288=1,INDEX(TblClusters[RAM initiale (Go)],$B1288),"")</f>
        <v/>
      </c>
      <c r="N1288" s="19" t="str">
        <f>IF($D1288=1,INDEX(TblClusters[CPU min (vCPU)],$B1288),"")</f>
        <v/>
      </c>
      <c r="O1288" s="19" t="str">
        <f>IF($D1288=1,INDEX(TblClusters[RAM min (Go)],$B1288),"")</f>
        <v/>
      </c>
      <c r="P1288" s="19" t="str">
        <f>IF($D1288&lt;&gt;1,"",IF($G1288="ROKS",SUMIFS(TblApplications[Besoin ROKS CPU (vCPU)],TblApplications[Cluster ROKS cible],$F1288,TblApplications[Action],"À migrer",TblApplications[Déjà incluse ROKS],"Non",TblApplications[Mois prov (calc)],"&lt;="&amp;$E1288),SUMIFS(TblApplications[CPU IKS libérable (vCPU)],TblApplications[Cluster IKS source],$F1288,TblApplications[Mois lib (calc)],"&lt;="&amp;$E1288)))</f>
        <v/>
      </c>
      <c r="Q1288" s="19" t="str">
        <f>IF($D1288&lt;&gt;1,"",IF($G1288="ROKS",SUMIFS(TblApplications[Besoin ROKS RAM (Go)],TblApplications[Cluster ROKS cible],$F1288,TblApplications[Action],"À migrer",TblApplications[Déjà incluse ROKS],"Non",TblApplications[Mois prov (calc)],"&lt;="&amp;$E1288),SUMIFS(TblApplications[RAM IKS libérable (Go)],TblApplications[Cluster IKS source],$F1288,TblApplications[Mois lib (calc)],"&lt;="&amp;$E1288)))</f>
        <v/>
      </c>
      <c r="R1288" s="19" t="str">
        <f t="shared" si="343"/>
        <v/>
      </c>
      <c r="S1288" s="19" t="str">
        <f t="shared" si="344"/>
        <v/>
      </c>
      <c r="T1288" s="19" t="str">
        <f t="shared" si="345"/>
        <v/>
      </c>
      <c r="U1288" s="19" t="str">
        <f t="shared" si="346"/>
        <v/>
      </c>
      <c r="V1288" s="19" t="str">
        <f t="shared" si="347"/>
        <v/>
      </c>
      <c r="W1288" s="73" t="str">
        <f t="shared" si="348"/>
        <v/>
      </c>
      <c r="X1288" s="19" t="str">
        <f>IF($D1288&lt;&gt;1,"",IF($G1288="ROKS",$R1288,IF($AI1288=1,0,MAX($N1288,$L1288-SUMIFS(TblApplications[CPU IKS libérable (vCPU)],TblApplications[Cluster IKS source],$F1288,TblApplications[Action],"À migrer",TblApplications[Mois prov (calc)],"&lt;="&amp;$E1288)-SUMIFS(TblApplications[CPU IKS libérable (vCPU)],TblApplications[Cluster IKS source],$F1288,TblApplications[Action],"À décommissionner",TblApplications[Mois lib (calc)],"&lt;="&amp;$E1288)))))</f>
        <v/>
      </c>
      <c r="Y1288" s="19" t="str">
        <f>IF($D1288&lt;&gt;1,"",IF($G1288="ROKS",$S1288,IF($AI1288=1,0,MAX($O1288,$M1288-SUMIFS(TblApplications[RAM IKS libérable (Go)],TblApplications[Cluster IKS source],$F1288,TblApplications[Action],"À migrer",TblApplications[Mois prov (calc)],"&lt;="&amp;$E1288)-SUMIFS(TblApplications[RAM IKS libérable (Go)],TblApplications[Cluster IKS source],$F1288,TblApplications[Action],"À décommissionner",TblApplications[Mois lib (calc)],"&lt;="&amp;$E1288)))))</f>
        <v/>
      </c>
      <c r="Z1288" s="19" t="str">
        <f t="shared" si="349"/>
        <v/>
      </c>
      <c r="AA1288" s="73" t="str">
        <f t="shared" si="350"/>
        <v/>
      </c>
      <c r="AB1288" s="19" t="str">
        <f t="shared" si="351"/>
        <v/>
      </c>
      <c r="AC1288" s="73" t="str">
        <f t="shared" si="352"/>
        <v/>
      </c>
      <c r="AD1288" s="19" t="str">
        <f t="shared" si="353"/>
        <v/>
      </c>
      <c r="AE1288" s="19" t="str">
        <f t="shared" si="354"/>
        <v/>
      </c>
      <c r="AF1288" s="19" t="str">
        <f>IF($D1288&lt;&gt;1,"",IF(INDEX(TblClusters[Environnement],$B1288)="","(vide)",INDEX(TblClusters[Environnement],$B1288)))</f>
        <v/>
      </c>
      <c r="AG1288" s="19" t="str">
        <f t="shared" si="355"/>
        <v/>
      </c>
      <c r="AH1288" s="19" t="str">
        <f t="shared" si="356"/>
        <v/>
      </c>
      <c r="AI1288" s="19" t="str">
        <f>IF($D1288&lt;&gt;1,"",IF(AND($G1288="IKS",ISNUMBER(INDEX(TblClusters[Fermeture retenue],$B1288))),IF($E1288&gt;=INDEX(TblClusters[Fermeture retenue],$B1288),1,0),0))</f>
        <v/>
      </c>
    </row>
    <row r="1289" spans="1:35" x14ac:dyDescent="0.2">
      <c r="A1289" s="19">
        <v>1284</v>
      </c>
      <c r="B1289" s="19">
        <f t="shared" si="340"/>
        <v>36</v>
      </c>
      <c r="C1289" s="19">
        <f t="shared" si="341"/>
        <v>24</v>
      </c>
      <c r="D1289" s="19">
        <f>IF($C1289&gt;p_horizon,0,IFERROR(IF(AND(INDEX(TblClusters[Cluster],$B1289)&lt;&gt;"",ISNUMBER(INDEX(TblClusters[CPU initial (vCPU)],$B1289)),ISNUMBER(INDEX(TblClusters[CPU min (vCPU)],$B1289)),OR(INDEX(TblClusters[Plateforme],$B1289)="IKS",INDEX(TblClusters[Plateforme],$B1289)="ROKS")),1,0),0))</f>
        <v>0</v>
      </c>
      <c r="E1289" s="72" t="str">
        <f t="shared" si="342"/>
        <v/>
      </c>
      <c r="F1289" s="19" t="str">
        <f>IF($D1289=1,INDEX(TblClusters[Cluster],$B1289),"")</f>
        <v/>
      </c>
      <c r="G1289" s="19" t="str">
        <f>IF($D1289=1,INDEX(TblClusters[Plateforme],$B1289),"")</f>
        <v/>
      </c>
      <c r="H1289" s="19" t="str">
        <f>IF($D1289=1,INDEX(TblClusters[vCPU par nœud],$B1289),"")</f>
        <v/>
      </c>
      <c r="I1289" s="19" t="str">
        <f>IF($D1289=1,INDEX(TblClusters[RAM par nœud (Go)],$B1289),"")</f>
        <v/>
      </c>
      <c r="J1289" s="19" t="str">
        <f>IF($D1289=1,INDEX(TblClusters[Workers min],$B1289),"")</f>
        <v/>
      </c>
      <c r="K1289" s="73" t="str">
        <f>IF($D1289=1,INDEX(TblClusters[Tarif par nœud],$B1289),"")</f>
        <v/>
      </c>
      <c r="L1289" s="19" t="str">
        <f>IF($D1289=1,INDEX(TblClusters[CPU initial (vCPU)],$B1289),"")</f>
        <v/>
      </c>
      <c r="M1289" s="19" t="str">
        <f>IF($D1289=1,INDEX(TblClusters[RAM initiale (Go)],$B1289),"")</f>
        <v/>
      </c>
      <c r="N1289" s="19" t="str">
        <f>IF($D1289=1,INDEX(TblClusters[CPU min (vCPU)],$B1289),"")</f>
        <v/>
      </c>
      <c r="O1289" s="19" t="str">
        <f>IF($D1289=1,INDEX(TblClusters[RAM min (Go)],$B1289),"")</f>
        <v/>
      </c>
      <c r="P1289" s="19" t="str">
        <f>IF($D1289&lt;&gt;1,"",IF($G1289="ROKS",SUMIFS(TblApplications[Besoin ROKS CPU (vCPU)],TblApplications[Cluster ROKS cible],$F1289,TblApplications[Action],"À migrer",TblApplications[Déjà incluse ROKS],"Non",TblApplications[Mois prov (calc)],"&lt;="&amp;$E1289),SUMIFS(TblApplications[CPU IKS libérable (vCPU)],TblApplications[Cluster IKS source],$F1289,TblApplications[Mois lib (calc)],"&lt;="&amp;$E1289)))</f>
        <v/>
      </c>
      <c r="Q1289" s="19" t="str">
        <f>IF($D1289&lt;&gt;1,"",IF($G1289="ROKS",SUMIFS(TblApplications[Besoin ROKS RAM (Go)],TblApplications[Cluster ROKS cible],$F1289,TblApplications[Action],"À migrer",TblApplications[Déjà incluse ROKS],"Non",TblApplications[Mois prov (calc)],"&lt;="&amp;$E1289),SUMIFS(TblApplications[RAM IKS libérable (Go)],TblApplications[Cluster IKS source],$F1289,TblApplications[Mois lib (calc)],"&lt;="&amp;$E1289)))</f>
        <v/>
      </c>
      <c r="R1289" s="19" t="str">
        <f t="shared" si="343"/>
        <v/>
      </c>
      <c r="S1289" s="19" t="str">
        <f t="shared" si="344"/>
        <v/>
      </c>
      <c r="T1289" s="19" t="str">
        <f t="shared" si="345"/>
        <v/>
      </c>
      <c r="U1289" s="19" t="str">
        <f t="shared" si="346"/>
        <v/>
      </c>
      <c r="V1289" s="19" t="str">
        <f t="shared" si="347"/>
        <v/>
      </c>
      <c r="W1289" s="73" t="str">
        <f t="shared" si="348"/>
        <v/>
      </c>
      <c r="X1289" s="19" t="str">
        <f>IF($D1289&lt;&gt;1,"",IF($G1289="ROKS",$R1289,IF($AI1289=1,0,MAX($N1289,$L1289-SUMIFS(TblApplications[CPU IKS libérable (vCPU)],TblApplications[Cluster IKS source],$F1289,TblApplications[Action],"À migrer",TblApplications[Mois prov (calc)],"&lt;="&amp;$E1289)-SUMIFS(TblApplications[CPU IKS libérable (vCPU)],TblApplications[Cluster IKS source],$F1289,TblApplications[Action],"À décommissionner",TblApplications[Mois lib (calc)],"&lt;="&amp;$E1289)))))</f>
        <v/>
      </c>
      <c r="Y1289" s="19" t="str">
        <f>IF($D1289&lt;&gt;1,"",IF($G1289="ROKS",$S1289,IF($AI1289=1,0,MAX($O1289,$M1289-SUMIFS(TblApplications[RAM IKS libérable (Go)],TblApplications[Cluster IKS source],$F1289,TblApplications[Action],"À migrer",TblApplications[Mois prov (calc)],"&lt;="&amp;$E1289)-SUMIFS(TblApplications[RAM IKS libérable (Go)],TblApplications[Cluster IKS source],$F1289,TblApplications[Action],"À décommissionner",TblApplications[Mois lib (calc)],"&lt;="&amp;$E1289)))))</f>
        <v/>
      </c>
      <c r="Z1289" s="19" t="str">
        <f t="shared" si="349"/>
        <v/>
      </c>
      <c r="AA1289" s="73" t="str">
        <f t="shared" si="350"/>
        <v/>
      </c>
      <c r="AB1289" s="19" t="str">
        <f t="shared" si="351"/>
        <v/>
      </c>
      <c r="AC1289" s="73" t="str">
        <f t="shared" si="352"/>
        <v/>
      </c>
      <c r="AD1289" s="19" t="str">
        <f t="shared" si="353"/>
        <v/>
      </c>
      <c r="AE1289" s="19" t="str">
        <f t="shared" si="354"/>
        <v/>
      </c>
      <c r="AF1289" s="19" t="str">
        <f>IF($D1289&lt;&gt;1,"",IF(INDEX(TblClusters[Environnement],$B1289)="","(vide)",INDEX(TblClusters[Environnement],$B1289)))</f>
        <v/>
      </c>
      <c r="AG1289" s="19" t="str">
        <f t="shared" si="355"/>
        <v/>
      </c>
      <c r="AH1289" s="19" t="str">
        <f t="shared" si="356"/>
        <v/>
      </c>
      <c r="AI1289" s="19" t="str">
        <f>IF($D1289&lt;&gt;1,"",IF(AND($G1289="IKS",ISNUMBER(INDEX(TblClusters[Fermeture retenue],$B1289))),IF($E1289&gt;=INDEX(TblClusters[Fermeture retenue],$B1289),1,0),0))</f>
        <v/>
      </c>
    </row>
    <row r="1290" spans="1:35" x14ac:dyDescent="0.2">
      <c r="A1290" s="19">
        <v>1285</v>
      </c>
      <c r="B1290" s="19">
        <f t="shared" si="340"/>
        <v>36</v>
      </c>
      <c r="C1290" s="19">
        <f t="shared" si="341"/>
        <v>25</v>
      </c>
      <c r="D1290" s="19">
        <f>IF($C1290&gt;p_horizon,0,IFERROR(IF(AND(INDEX(TblClusters[Cluster],$B1290)&lt;&gt;"",ISNUMBER(INDEX(TblClusters[CPU initial (vCPU)],$B1290)),ISNUMBER(INDEX(TblClusters[CPU min (vCPU)],$B1290)),OR(INDEX(TblClusters[Plateforme],$B1290)="IKS",INDEX(TblClusters[Plateforme],$B1290)="ROKS")),1,0),0))</f>
        <v>0</v>
      </c>
      <c r="E1290" s="72" t="str">
        <f t="shared" si="342"/>
        <v/>
      </c>
      <c r="F1290" s="19" t="str">
        <f>IF($D1290=1,INDEX(TblClusters[Cluster],$B1290),"")</f>
        <v/>
      </c>
      <c r="G1290" s="19" t="str">
        <f>IF($D1290=1,INDEX(TblClusters[Plateforme],$B1290),"")</f>
        <v/>
      </c>
      <c r="H1290" s="19" t="str">
        <f>IF($D1290=1,INDEX(TblClusters[vCPU par nœud],$B1290),"")</f>
        <v/>
      </c>
      <c r="I1290" s="19" t="str">
        <f>IF($D1290=1,INDEX(TblClusters[RAM par nœud (Go)],$B1290),"")</f>
        <v/>
      </c>
      <c r="J1290" s="19" t="str">
        <f>IF($D1290=1,INDEX(TblClusters[Workers min],$B1290),"")</f>
        <v/>
      </c>
      <c r="K1290" s="73" t="str">
        <f>IF($D1290=1,INDEX(TblClusters[Tarif par nœud],$B1290),"")</f>
        <v/>
      </c>
      <c r="L1290" s="19" t="str">
        <f>IF($D1290=1,INDEX(TblClusters[CPU initial (vCPU)],$B1290),"")</f>
        <v/>
      </c>
      <c r="M1290" s="19" t="str">
        <f>IF($D1290=1,INDEX(TblClusters[RAM initiale (Go)],$B1290),"")</f>
        <v/>
      </c>
      <c r="N1290" s="19" t="str">
        <f>IF($D1290=1,INDEX(TblClusters[CPU min (vCPU)],$B1290),"")</f>
        <v/>
      </c>
      <c r="O1290" s="19" t="str">
        <f>IF($D1290=1,INDEX(TblClusters[RAM min (Go)],$B1290),"")</f>
        <v/>
      </c>
      <c r="P1290" s="19" t="str">
        <f>IF($D1290&lt;&gt;1,"",IF($G1290="ROKS",SUMIFS(TblApplications[Besoin ROKS CPU (vCPU)],TblApplications[Cluster ROKS cible],$F1290,TblApplications[Action],"À migrer",TblApplications[Déjà incluse ROKS],"Non",TblApplications[Mois prov (calc)],"&lt;="&amp;$E1290),SUMIFS(TblApplications[CPU IKS libérable (vCPU)],TblApplications[Cluster IKS source],$F1290,TblApplications[Mois lib (calc)],"&lt;="&amp;$E1290)))</f>
        <v/>
      </c>
      <c r="Q1290" s="19" t="str">
        <f>IF($D1290&lt;&gt;1,"",IF($G1290="ROKS",SUMIFS(TblApplications[Besoin ROKS RAM (Go)],TblApplications[Cluster ROKS cible],$F1290,TblApplications[Action],"À migrer",TblApplications[Déjà incluse ROKS],"Non",TblApplications[Mois prov (calc)],"&lt;="&amp;$E1290),SUMIFS(TblApplications[RAM IKS libérable (Go)],TblApplications[Cluster IKS source],$F1290,TblApplications[Mois lib (calc)],"&lt;="&amp;$E1290)))</f>
        <v/>
      </c>
      <c r="R1290" s="19" t="str">
        <f t="shared" si="343"/>
        <v/>
      </c>
      <c r="S1290" s="19" t="str">
        <f t="shared" si="344"/>
        <v/>
      </c>
      <c r="T1290" s="19" t="str">
        <f t="shared" si="345"/>
        <v/>
      </c>
      <c r="U1290" s="19" t="str">
        <f t="shared" si="346"/>
        <v/>
      </c>
      <c r="V1290" s="19" t="str">
        <f t="shared" si="347"/>
        <v/>
      </c>
      <c r="W1290" s="73" t="str">
        <f t="shared" si="348"/>
        <v/>
      </c>
      <c r="X1290" s="19" t="str">
        <f>IF($D1290&lt;&gt;1,"",IF($G1290="ROKS",$R1290,IF($AI1290=1,0,MAX($N1290,$L1290-SUMIFS(TblApplications[CPU IKS libérable (vCPU)],TblApplications[Cluster IKS source],$F1290,TblApplications[Action],"À migrer",TblApplications[Mois prov (calc)],"&lt;="&amp;$E1290)-SUMIFS(TblApplications[CPU IKS libérable (vCPU)],TblApplications[Cluster IKS source],$F1290,TblApplications[Action],"À décommissionner",TblApplications[Mois lib (calc)],"&lt;="&amp;$E1290)))))</f>
        <v/>
      </c>
      <c r="Y1290" s="19" t="str">
        <f>IF($D1290&lt;&gt;1,"",IF($G1290="ROKS",$S1290,IF($AI1290=1,0,MAX($O1290,$M1290-SUMIFS(TblApplications[RAM IKS libérable (Go)],TblApplications[Cluster IKS source],$F1290,TblApplications[Action],"À migrer",TblApplications[Mois prov (calc)],"&lt;="&amp;$E1290)-SUMIFS(TblApplications[RAM IKS libérable (Go)],TblApplications[Cluster IKS source],$F1290,TblApplications[Action],"À décommissionner",TblApplications[Mois lib (calc)],"&lt;="&amp;$E1290)))))</f>
        <v/>
      </c>
      <c r="Z1290" s="19" t="str">
        <f t="shared" si="349"/>
        <v/>
      </c>
      <c r="AA1290" s="73" t="str">
        <f t="shared" si="350"/>
        <v/>
      </c>
      <c r="AB1290" s="19" t="str">
        <f t="shared" si="351"/>
        <v/>
      </c>
      <c r="AC1290" s="73" t="str">
        <f t="shared" si="352"/>
        <v/>
      </c>
      <c r="AD1290" s="19" t="str">
        <f t="shared" si="353"/>
        <v/>
      </c>
      <c r="AE1290" s="19" t="str">
        <f t="shared" si="354"/>
        <v/>
      </c>
      <c r="AF1290" s="19" t="str">
        <f>IF($D1290&lt;&gt;1,"",IF(INDEX(TblClusters[Environnement],$B1290)="","(vide)",INDEX(TblClusters[Environnement],$B1290)))</f>
        <v/>
      </c>
      <c r="AG1290" s="19" t="str">
        <f t="shared" si="355"/>
        <v/>
      </c>
      <c r="AH1290" s="19" t="str">
        <f t="shared" si="356"/>
        <v/>
      </c>
      <c r="AI1290" s="19" t="str">
        <f>IF($D1290&lt;&gt;1,"",IF(AND($G1290="IKS",ISNUMBER(INDEX(TblClusters[Fermeture retenue],$B1290))),IF($E1290&gt;=INDEX(TblClusters[Fermeture retenue],$B1290),1,0),0))</f>
        <v/>
      </c>
    </row>
    <row r="1291" spans="1:35" x14ac:dyDescent="0.2">
      <c r="A1291" s="19">
        <v>1286</v>
      </c>
      <c r="B1291" s="19">
        <f t="shared" si="340"/>
        <v>36</v>
      </c>
      <c r="C1291" s="19">
        <f t="shared" si="341"/>
        <v>26</v>
      </c>
      <c r="D1291" s="19">
        <f>IF($C1291&gt;p_horizon,0,IFERROR(IF(AND(INDEX(TblClusters[Cluster],$B1291)&lt;&gt;"",ISNUMBER(INDEX(TblClusters[CPU initial (vCPU)],$B1291)),ISNUMBER(INDEX(TblClusters[CPU min (vCPU)],$B1291)),OR(INDEX(TblClusters[Plateforme],$B1291)="IKS",INDEX(TblClusters[Plateforme],$B1291)="ROKS")),1,0),0))</f>
        <v>0</v>
      </c>
      <c r="E1291" s="72" t="str">
        <f t="shared" si="342"/>
        <v/>
      </c>
      <c r="F1291" s="19" t="str">
        <f>IF($D1291=1,INDEX(TblClusters[Cluster],$B1291),"")</f>
        <v/>
      </c>
      <c r="G1291" s="19" t="str">
        <f>IF($D1291=1,INDEX(TblClusters[Plateforme],$B1291),"")</f>
        <v/>
      </c>
      <c r="H1291" s="19" t="str">
        <f>IF($D1291=1,INDEX(TblClusters[vCPU par nœud],$B1291),"")</f>
        <v/>
      </c>
      <c r="I1291" s="19" t="str">
        <f>IF($D1291=1,INDEX(TblClusters[RAM par nœud (Go)],$B1291),"")</f>
        <v/>
      </c>
      <c r="J1291" s="19" t="str">
        <f>IF($D1291=1,INDEX(TblClusters[Workers min],$B1291),"")</f>
        <v/>
      </c>
      <c r="K1291" s="73" t="str">
        <f>IF($D1291=1,INDEX(TblClusters[Tarif par nœud],$B1291),"")</f>
        <v/>
      </c>
      <c r="L1291" s="19" t="str">
        <f>IF($D1291=1,INDEX(TblClusters[CPU initial (vCPU)],$B1291),"")</f>
        <v/>
      </c>
      <c r="M1291" s="19" t="str">
        <f>IF($D1291=1,INDEX(TblClusters[RAM initiale (Go)],$B1291),"")</f>
        <v/>
      </c>
      <c r="N1291" s="19" t="str">
        <f>IF($D1291=1,INDEX(TblClusters[CPU min (vCPU)],$B1291),"")</f>
        <v/>
      </c>
      <c r="O1291" s="19" t="str">
        <f>IF($D1291=1,INDEX(TblClusters[RAM min (Go)],$B1291),"")</f>
        <v/>
      </c>
      <c r="P1291" s="19" t="str">
        <f>IF($D1291&lt;&gt;1,"",IF($G1291="ROKS",SUMIFS(TblApplications[Besoin ROKS CPU (vCPU)],TblApplications[Cluster ROKS cible],$F1291,TblApplications[Action],"À migrer",TblApplications[Déjà incluse ROKS],"Non",TblApplications[Mois prov (calc)],"&lt;="&amp;$E1291),SUMIFS(TblApplications[CPU IKS libérable (vCPU)],TblApplications[Cluster IKS source],$F1291,TblApplications[Mois lib (calc)],"&lt;="&amp;$E1291)))</f>
        <v/>
      </c>
      <c r="Q1291" s="19" t="str">
        <f>IF($D1291&lt;&gt;1,"",IF($G1291="ROKS",SUMIFS(TblApplications[Besoin ROKS RAM (Go)],TblApplications[Cluster ROKS cible],$F1291,TblApplications[Action],"À migrer",TblApplications[Déjà incluse ROKS],"Non",TblApplications[Mois prov (calc)],"&lt;="&amp;$E1291),SUMIFS(TblApplications[RAM IKS libérable (Go)],TblApplications[Cluster IKS source],$F1291,TblApplications[Mois lib (calc)],"&lt;="&amp;$E1291)))</f>
        <v/>
      </c>
      <c r="R1291" s="19" t="str">
        <f t="shared" si="343"/>
        <v/>
      </c>
      <c r="S1291" s="19" t="str">
        <f t="shared" si="344"/>
        <v/>
      </c>
      <c r="T1291" s="19" t="str">
        <f t="shared" si="345"/>
        <v/>
      </c>
      <c r="U1291" s="19" t="str">
        <f t="shared" si="346"/>
        <v/>
      </c>
      <c r="V1291" s="19" t="str">
        <f t="shared" si="347"/>
        <v/>
      </c>
      <c r="W1291" s="73" t="str">
        <f t="shared" si="348"/>
        <v/>
      </c>
      <c r="X1291" s="19" t="str">
        <f>IF($D1291&lt;&gt;1,"",IF($G1291="ROKS",$R1291,IF($AI1291=1,0,MAX($N1291,$L1291-SUMIFS(TblApplications[CPU IKS libérable (vCPU)],TblApplications[Cluster IKS source],$F1291,TblApplications[Action],"À migrer",TblApplications[Mois prov (calc)],"&lt;="&amp;$E1291)-SUMIFS(TblApplications[CPU IKS libérable (vCPU)],TblApplications[Cluster IKS source],$F1291,TblApplications[Action],"À décommissionner",TblApplications[Mois lib (calc)],"&lt;="&amp;$E1291)))))</f>
        <v/>
      </c>
      <c r="Y1291" s="19" t="str">
        <f>IF($D1291&lt;&gt;1,"",IF($G1291="ROKS",$S1291,IF($AI1291=1,0,MAX($O1291,$M1291-SUMIFS(TblApplications[RAM IKS libérable (Go)],TblApplications[Cluster IKS source],$F1291,TblApplications[Action],"À migrer",TblApplications[Mois prov (calc)],"&lt;="&amp;$E1291)-SUMIFS(TblApplications[RAM IKS libérable (Go)],TblApplications[Cluster IKS source],$F1291,TblApplications[Action],"À décommissionner",TblApplications[Mois lib (calc)],"&lt;="&amp;$E1291)))))</f>
        <v/>
      </c>
      <c r="Z1291" s="19" t="str">
        <f t="shared" si="349"/>
        <v/>
      </c>
      <c r="AA1291" s="73" t="str">
        <f t="shared" si="350"/>
        <v/>
      </c>
      <c r="AB1291" s="19" t="str">
        <f t="shared" si="351"/>
        <v/>
      </c>
      <c r="AC1291" s="73" t="str">
        <f t="shared" si="352"/>
        <v/>
      </c>
      <c r="AD1291" s="19" t="str">
        <f t="shared" si="353"/>
        <v/>
      </c>
      <c r="AE1291" s="19" t="str">
        <f t="shared" si="354"/>
        <v/>
      </c>
      <c r="AF1291" s="19" t="str">
        <f>IF($D1291&lt;&gt;1,"",IF(INDEX(TblClusters[Environnement],$B1291)="","(vide)",INDEX(TblClusters[Environnement],$B1291)))</f>
        <v/>
      </c>
      <c r="AG1291" s="19" t="str">
        <f t="shared" si="355"/>
        <v/>
      </c>
      <c r="AH1291" s="19" t="str">
        <f t="shared" si="356"/>
        <v/>
      </c>
      <c r="AI1291" s="19" t="str">
        <f>IF($D1291&lt;&gt;1,"",IF(AND($G1291="IKS",ISNUMBER(INDEX(TblClusters[Fermeture retenue],$B1291))),IF($E1291&gt;=INDEX(TblClusters[Fermeture retenue],$B1291),1,0),0))</f>
        <v/>
      </c>
    </row>
    <row r="1292" spans="1:35" x14ac:dyDescent="0.2">
      <c r="A1292" s="19">
        <v>1287</v>
      </c>
      <c r="B1292" s="19">
        <f t="shared" si="340"/>
        <v>36</v>
      </c>
      <c r="C1292" s="19">
        <f t="shared" si="341"/>
        <v>27</v>
      </c>
      <c r="D1292" s="19">
        <f>IF($C1292&gt;p_horizon,0,IFERROR(IF(AND(INDEX(TblClusters[Cluster],$B1292)&lt;&gt;"",ISNUMBER(INDEX(TblClusters[CPU initial (vCPU)],$B1292)),ISNUMBER(INDEX(TblClusters[CPU min (vCPU)],$B1292)),OR(INDEX(TblClusters[Plateforme],$B1292)="IKS",INDEX(TblClusters[Plateforme],$B1292)="ROKS")),1,0),0))</f>
        <v>0</v>
      </c>
      <c r="E1292" s="72" t="str">
        <f t="shared" si="342"/>
        <v/>
      </c>
      <c r="F1292" s="19" t="str">
        <f>IF($D1292=1,INDEX(TblClusters[Cluster],$B1292),"")</f>
        <v/>
      </c>
      <c r="G1292" s="19" t="str">
        <f>IF($D1292=1,INDEX(TblClusters[Plateforme],$B1292),"")</f>
        <v/>
      </c>
      <c r="H1292" s="19" t="str">
        <f>IF($D1292=1,INDEX(TblClusters[vCPU par nœud],$B1292),"")</f>
        <v/>
      </c>
      <c r="I1292" s="19" t="str">
        <f>IF($D1292=1,INDEX(TblClusters[RAM par nœud (Go)],$B1292),"")</f>
        <v/>
      </c>
      <c r="J1292" s="19" t="str">
        <f>IF($D1292=1,INDEX(TblClusters[Workers min],$B1292),"")</f>
        <v/>
      </c>
      <c r="K1292" s="73" t="str">
        <f>IF($D1292=1,INDEX(TblClusters[Tarif par nœud],$B1292),"")</f>
        <v/>
      </c>
      <c r="L1292" s="19" t="str">
        <f>IF($D1292=1,INDEX(TblClusters[CPU initial (vCPU)],$B1292),"")</f>
        <v/>
      </c>
      <c r="M1292" s="19" t="str">
        <f>IF($D1292=1,INDEX(TblClusters[RAM initiale (Go)],$B1292),"")</f>
        <v/>
      </c>
      <c r="N1292" s="19" t="str">
        <f>IF($D1292=1,INDEX(TblClusters[CPU min (vCPU)],$B1292),"")</f>
        <v/>
      </c>
      <c r="O1292" s="19" t="str">
        <f>IF($D1292=1,INDEX(TblClusters[RAM min (Go)],$B1292),"")</f>
        <v/>
      </c>
      <c r="P1292" s="19" t="str">
        <f>IF($D1292&lt;&gt;1,"",IF($G1292="ROKS",SUMIFS(TblApplications[Besoin ROKS CPU (vCPU)],TblApplications[Cluster ROKS cible],$F1292,TblApplications[Action],"À migrer",TblApplications[Déjà incluse ROKS],"Non",TblApplications[Mois prov (calc)],"&lt;="&amp;$E1292),SUMIFS(TblApplications[CPU IKS libérable (vCPU)],TblApplications[Cluster IKS source],$F1292,TblApplications[Mois lib (calc)],"&lt;="&amp;$E1292)))</f>
        <v/>
      </c>
      <c r="Q1292" s="19" t="str">
        <f>IF($D1292&lt;&gt;1,"",IF($G1292="ROKS",SUMIFS(TblApplications[Besoin ROKS RAM (Go)],TblApplications[Cluster ROKS cible],$F1292,TblApplications[Action],"À migrer",TblApplications[Déjà incluse ROKS],"Non",TblApplications[Mois prov (calc)],"&lt;="&amp;$E1292),SUMIFS(TblApplications[RAM IKS libérable (Go)],TblApplications[Cluster IKS source],$F1292,TblApplications[Mois lib (calc)],"&lt;="&amp;$E1292)))</f>
        <v/>
      </c>
      <c r="R1292" s="19" t="str">
        <f t="shared" si="343"/>
        <v/>
      </c>
      <c r="S1292" s="19" t="str">
        <f t="shared" si="344"/>
        <v/>
      </c>
      <c r="T1292" s="19" t="str">
        <f t="shared" si="345"/>
        <v/>
      </c>
      <c r="U1292" s="19" t="str">
        <f t="shared" si="346"/>
        <v/>
      </c>
      <c r="V1292" s="19" t="str">
        <f t="shared" si="347"/>
        <v/>
      </c>
      <c r="W1292" s="73" t="str">
        <f t="shared" si="348"/>
        <v/>
      </c>
      <c r="X1292" s="19" t="str">
        <f>IF($D1292&lt;&gt;1,"",IF($G1292="ROKS",$R1292,IF($AI1292=1,0,MAX($N1292,$L1292-SUMIFS(TblApplications[CPU IKS libérable (vCPU)],TblApplications[Cluster IKS source],$F1292,TblApplications[Action],"À migrer",TblApplications[Mois prov (calc)],"&lt;="&amp;$E1292)-SUMIFS(TblApplications[CPU IKS libérable (vCPU)],TblApplications[Cluster IKS source],$F1292,TblApplications[Action],"À décommissionner",TblApplications[Mois lib (calc)],"&lt;="&amp;$E1292)))))</f>
        <v/>
      </c>
      <c r="Y1292" s="19" t="str">
        <f>IF($D1292&lt;&gt;1,"",IF($G1292="ROKS",$S1292,IF($AI1292=1,0,MAX($O1292,$M1292-SUMIFS(TblApplications[RAM IKS libérable (Go)],TblApplications[Cluster IKS source],$F1292,TblApplications[Action],"À migrer",TblApplications[Mois prov (calc)],"&lt;="&amp;$E1292)-SUMIFS(TblApplications[RAM IKS libérable (Go)],TblApplications[Cluster IKS source],$F1292,TblApplications[Action],"À décommissionner",TblApplications[Mois lib (calc)],"&lt;="&amp;$E1292)))))</f>
        <v/>
      </c>
      <c r="Z1292" s="19" t="str">
        <f t="shared" si="349"/>
        <v/>
      </c>
      <c r="AA1292" s="73" t="str">
        <f t="shared" si="350"/>
        <v/>
      </c>
      <c r="AB1292" s="19" t="str">
        <f t="shared" si="351"/>
        <v/>
      </c>
      <c r="AC1292" s="73" t="str">
        <f t="shared" si="352"/>
        <v/>
      </c>
      <c r="AD1292" s="19" t="str">
        <f t="shared" si="353"/>
        <v/>
      </c>
      <c r="AE1292" s="19" t="str">
        <f t="shared" si="354"/>
        <v/>
      </c>
      <c r="AF1292" s="19" t="str">
        <f>IF($D1292&lt;&gt;1,"",IF(INDEX(TblClusters[Environnement],$B1292)="","(vide)",INDEX(TblClusters[Environnement],$B1292)))</f>
        <v/>
      </c>
      <c r="AG1292" s="19" t="str">
        <f t="shared" si="355"/>
        <v/>
      </c>
      <c r="AH1292" s="19" t="str">
        <f t="shared" si="356"/>
        <v/>
      </c>
      <c r="AI1292" s="19" t="str">
        <f>IF($D1292&lt;&gt;1,"",IF(AND($G1292="IKS",ISNUMBER(INDEX(TblClusters[Fermeture retenue],$B1292))),IF($E1292&gt;=INDEX(TblClusters[Fermeture retenue],$B1292),1,0),0))</f>
        <v/>
      </c>
    </row>
    <row r="1293" spans="1:35" x14ac:dyDescent="0.2">
      <c r="A1293" s="19">
        <v>1288</v>
      </c>
      <c r="B1293" s="19">
        <f t="shared" si="340"/>
        <v>36</v>
      </c>
      <c r="C1293" s="19">
        <f t="shared" si="341"/>
        <v>28</v>
      </c>
      <c r="D1293" s="19">
        <f>IF($C1293&gt;p_horizon,0,IFERROR(IF(AND(INDEX(TblClusters[Cluster],$B1293)&lt;&gt;"",ISNUMBER(INDEX(TblClusters[CPU initial (vCPU)],$B1293)),ISNUMBER(INDEX(TblClusters[CPU min (vCPU)],$B1293)),OR(INDEX(TblClusters[Plateforme],$B1293)="IKS",INDEX(TblClusters[Plateforme],$B1293)="ROKS")),1,0),0))</f>
        <v>0</v>
      </c>
      <c r="E1293" s="72" t="str">
        <f t="shared" si="342"/>
        <v/>
      </c>
      <c r="F1293" s="19" t="str">
        <f>IF($D1293=1,INDEX(TblClusters[Cluster],$B1293),"")</f>
        <v/>
      </c>
      <c r="G1293" s="19" t="str">
        <f>IF($D1293=1,INDEX(TblClusters[Plateforme],$B1293),"")</f>
        <v/>
      </c>
      <c r="H1293" s="19" t="str">
        <f>IF($D1293=1,INDEX(TblClusters[vCPU par nœud],$B1293),"")</f>
        <v/>
      </c>
      <c r="I1293" s="19" t="str">
        <f>IF($D1293=1,INDEX(TblClusters[RAM par nœud (Go)],$B1293),"")</f>
        <v/>
      </c>
      <c r="J1293" s="19" t="str">
        <f>IF($D1293=1,INDEX(TblClusters[Workers min],$B1293),"")</f>
        <v/>
      </c>
      <c r="K1293" s="73" t="str">
        <f>IF($D1293=1,INDEX(TblClusters[Tarif par nœud],$B1293),"")</f>
        <v/>
      </c>
      <c r="L1293" s="19" t="str">
        <f>IF($D1293=1,INDEX(TblClusters[CPU initial (vCPU)],$B1293),"")</f>
        <v/>
      </c>
      <c r="M1293" s="19" t="str">
        <f>IF($D1293=1,INDEX(TblClusters[RAM initiale (Go)],$B1293),"")</f>
        <v/>
      </c>
      <c r="N1293" s="19" t="str">
        <f>IF($D1293=1,INDEX(TblClusters[CPU min (vCPU)],$B1293),"")</f>
        <v/>
      </c>
      <c r="O1293" s="19" t="str">
        <f>IF($D1293=1,INDEX(TblClusters[RAM min (Go)],$B1293),"")</f>
        <v/>
      </c>
      <c r="P1293" s="19" t="str">
        <f>IF($D1293&lt;&gt;1,"",IF($G1293="ROKS",SUMIFS(TblApplications[Besoin ROKS CPU (vCPU)],TblApplications[Cluster ROKS cible],$F1293,TblApplications[Action],"À migrer",TblApplications[Déjà incluse ROKS],"Non",TblApplications[Mois prov (calc)],"&lt;="&amp;$E1293),SUMIFS(TblApplications[CPU IKS libérable (vCPU)],TblApplications[Cluster IKS source],$F1293,TblApplications[Mois lib (calc)],"&lt;="&amp;$E1293)))</f>
        <v/>
      </c>
      <c r="Q1293" s="19" t="str">
        <f>IF($D1293&lt;&gt;1,"",IF($G1293="ROKS",SUMIFS(TblApplications[Besoin ROKS RAM (Go)],TblApplications[Cluster ROKS cible],$F1293,TblApplications[Action],"À migrer",TblApplications[Déjà incluse ROKS],"Non",TblApplications[Mois prov (calc)],"&lt;="&amp;$E1293),SUMIFS(TblApplications[RAM IKS libérable (Go)],TblApplications[Cluster IKS source],$F1293,TblApplications[Mois lib (calc)],"&lt;="&amp;$E1293)))</f>
        <v/>
      </c>
      <c r="R1293" s="19" t="str">
        <f t="shared" si="343"/>
        <v/>
      </c>
      <c r="S1293" s="19" t="str">
        <f t="shared" si="344"/>
        <v/>
      </c>
      <c r="T1293" s="19" t="str">
        <f t="shared" si="345"/>
        <v/>
      </c>
      <c r="U1293" s="19" t="str">
        <f t="shared" si="346"/>
        <v/>
      </c>
      <c r="V1293" s="19" t="str">
        <f t="shared" si="347"/>
        <v/>
      </c>
      <c r="W1293" s="73" t="str">
        <f t="shared" si="348"/>
        <v/>
      </c>
      <c r="X1293" s="19" t="str">
        <f>IF($D1293&lt;&gt;1,"",IF($G1293="ROKS",$R1293,IF($AI1293=1,0,MAX($N1293,$L1293-SUMIFS(TblApplications[CPU IKS libérable (vCPU)],TblApplications[Cluster IKS source],$F1293,TblApplications[Action],"À migrer",TblApplications[Mois prov (calc)],"&lt;="&amp;$E1293)-SUMIFS(TblApplications[CPU IKS libérable (vCPU)],TblApplications[Cluster IKS source],$F1293,TblApplications[Action],"À décommissionner",TblApplications[Mois lib (calc)],"&lt;="&amp;$E1293)))))</f>
        <v/>
      </c>
      <c r="Y1293" s="19" t="str">
        <f>IF($D1293&lt;&gt;1,"",IF($G1293="ROKS",$S1293,IF($AI1293=1,0,MAX($O1293,$M1293-SUMIFS(TblApplications[RAM IKS libérable (Go)],TblApplications[Cluster IKS source],$F1293,TblApplications[Action],"À migrer",TblApplications[Mois prov (calc)],"&lt;="&amp;$E1293)-SUMIFS(TblApplications[RAM IKS libérable (Go)],TblApplications[Cluster IKS source],$F1293,TblApplications[Action],"À décommissionner",TblApplications[Mois lib (calc)],"&lt;="&amp;$E1293)))))</f>
        <v/>
      </c>
      <c r="Z1293" s="19" t="str">
        <f t="shared" si="349"/>
        <v/>
      </c>
      <c r="AA1293" s="73" t="str">
        <f t="shared" si="350"/>
        <v/>
      </c>
      <c r="AB1293" s="19" t="str">
        <f t="shared" si="351"/>
        <v/>
      </c>
      <c r="AC1293" s="73" t="str">
        <f t="shared" si="352"/>
        <v/>
      </c>
      <c r="AD1293" s="19" t="str">
        <f t="shared" si="353"/>
        <v/>
      </c>
      <c r="AE1293" s="19" t="str">
        <f t="shared" si="354"/>
        <v/>
      </c>
      <c r="AF1293" s="19" t="str">
        <f>IF($D1293&lt;&gt;1,"",IF(INDEX(TblClusters[Environnement],$B1293)="","(vide)",INDEX(TblClusters[Environnement],$B1293)))</f>
        <v/>
      </c>
      <c r="AG1293" s="19" t="str">
        <f t="shared" si="355"/>
        <v/>
      </c>
      <c r="AH1293" s="19" t="str">
        <f t="shared" si="356"/>
        <v/>
      </c>
      <c r="AI1293" s="19" t="str">
        <f>IF($D1293&lt;&gt;1,"",IF(AND($G1293="IKS",ISNUMBER(INDEX(TblClusters[Fermeture retenue],$B1293))),IF($E1293&gt;=INDEX(TblClusters[Fermeture retenue],$B1293),1,0),0))</f>
        <v/>
      </c>
    </row>
    <row r="1294" spans="1:35" x14ac:dyDescent="0.2">
      <c r="A1294" s="19">
        <v>1289</v>
      </c>
      <c r="B1294" s="19">
        <f t="shared" si="340"/>
        <v>36</v>
      </c>
      <c r="C1294" s="19">
        <f t="shared" si="341"/>
        <v>29</v>
      </c>
      <c r="D1294" s="19">
        <f>IF($C1294&gt;p_horizon,0,IFERROR(IF(AND(INDEX(TblClusters[Cluster],$B1294)&lt;&gt;"",ISNUMBER(INDEX(TblClusters[CPU initial (vCPU)],$B1294)),ISNUMBER(INDEX(TblClusters[CPU min (vCPU)],$B1294)),OR(INDEX(TblClusters[Plateforme],$B1294)="IKS",INDEX(TblClusters[Plateforme],$B1294)="ROKS")),1,0),0))</f>
        <v>0</v>
      </c>
      <c r="E1294" s="72" t="str">
        <f t="shared" si="342"/>
        <v/>
      </c>
      <c r="F1294" s="19" t="str">
        <f>IF($D1294=1,INDEX(TblClusters[Cluster],$B1294),"")</f>
        <v/>
      </c>
      <c r="G1294" s="19" t="str">
        <f>IF($D1294=1,INDEX(TblClusters[Plateforme],$B1294),"")</f>
        <v/>
      </c>
      <c r="H1294" s="19" t="str">
        <f>IF($D1294=1,INDEX(TblClusters[vCPU par nœud],$B1294),"")</f>
        <v/>
      </c>
      <c r="I1294" s="19" t="str">
        <f>IF($D1294=1,INDEX(TblClusters[RAM par nœud (Go)],$B1294),"")</f>
        <v/>
      </c>
      <c r="J1294" s="19" t="str">
        <f>IF($D1294=1,INDEX(TblClusters[Workers min],$B1294),"")</f>
        <v/>
      </c>
      <c r="K1294" s="73" t="str">
        <f>IF($D1294=1,INDEX(TblClusters[Tarif par nœud],$B1294),"")</f>
        <v/>
      </c>
      <c r="L1294" s="19" t="str">
        <f>IF($D1294=1,INDEX(TblClusters[CPU initial (vCPU)],$B1294),"")</f>
        <v/>
      </c>
      <c r="M1294" s="19" t="str">
        <f>IF($D1294=1,INDEX(TblClusters[RAM initiale (Go)],$B1294),"")</f>
        <v/>
      </c>
      <c r="N1294" s="19" t="str">
        <f>IF($D1294=1,INDEX(TblClusters[CPU min (vCPU)],$B1294),"")</f>
        <v/>
      </c>
      <c r="O1294" s="19" t="str">
        <f>IF($D1294=1,INDEX(TblClusters[RAM min (Go)],$B1294),"")</f>
        <v/>
      </c>
      <c r="P1294" s="19" t="str">
        <f>IF($D1294&lt;&gt;1,"",IF($G1294="ROKS",SUMIFS(TblApplications[Besoin ROKS CPU (vCPU)],TblApplications[Cluster ROKS cible],$F1294,TblApplications[Action],"À migrer",TblApplications[Déjà incluse ROKS],"Non",TblApplications[Mois prov (calc)],"&lt;="&amp;$E1294),SUMIFS(TblApplications[CPU IKS libérable (vCPU)],TblApplications[Cluster IKS source],$F1294,TblApplications[Mois lib (calc)],"&lt;="&amp;$E1294)))</f>
        <v/>
      </c>
      <c r="Q1294" s="19" t="str">
        <f>IF($D1294&lt;&gt;1,"",IF($G1294="ROKS",SUMIFS(TblApplications[Besoin ROKS RAM (Go)],TblApplications[Cluster ROKS cible],$F1294,TblApplications[Action],"À migrer",TblApplications[Déjà incluse ROKS],"Non",TblApplications[Mois prov (calc)],"&lt;="&amp;$E1294),SUMIFS(TblApplications[RAM IKS libérable (Go)],TblApplications[Cluster IKS source],$F1294,TblApplications[Mois lib (calc)],"&lt;="&amp;$E1294)))</f>
        <v/>
      </c>
      <c r="R1294" s="19" t="str">
        <f t="shared" si="343"/>
        <v/>
      </c>
      <c r="S1294" s="19" t="str">
        <f t="shared" si="344"/>
        <v/>
      </c>
      <c r="T1294" s="19" t="str">
        <f t="shared" si="345"/>
        <v/>
      </c>
      <c r="U1294" s="19" t="str">
        <f t="shared" si="346"/>
        <v/>
      </c>
      <c r="V1294" s="19" t="str">
        <f t="shared" si="347"/>
        <v/>
      </c>
      <c r="W1294" s="73" t="str">
        <f t="shared" si="348"/>
        <v/>
      </c>
      <c r="X1294" s="19" t="str">
        <f>IF($D1294&lt;&gt;1,"",IF($G1294="ROKS",$R1294,IF($AI1294=1,0,MAX($N1294,$L1294-SUMIFS(TblApplications[CPU IKS libérable (vCPU)],TblApplications[Cluster IKS source],$F1294,TblApplications[Action],"À migrer",TblApplications[Mois prov (calc)],"&lt;="&amp;$E1294)-SUMIFS(TblApplications[CPU IKS libérable (vCPU)],TblApplications[Cluster IKS source],$F1294,TblApplications[Action],"À décommissionner",TblApplications[Mois lib (calc)],"&lt;="&amp;$E1294)))))</f>
        <v/>
      </c>
      <c r="Y1294" s="19" t="str">
        <f>IF($D1294&lt;&gt;1,"",IF($G1294="ROKS",$S1294,IF($AI1294=1,0,MAX($O1294,$M1294-SUMIFS(TblApplications[RAM IKS libérable (Go)],TblApplications[Cluster IKS source],$F1294,TblApplications[Action],"À migrer",TblApplications[Mois prov (calc)],"&lt;="&amp;$E1294)-SUMIFS(TblApplications[RAM IKS libérable (Go)],TblApplications[Cluster IKS source],$F1294,TblApplications[Action],"À décommissionner",TblApplications[Mois lib (calc)],"&lt;="&amp;$E1294)))))</f>
        <v/>
      </c>
      <c r="Z1294" s="19" t="str">
        <f t="shared" si="349"/>
        <v/>
      </c>
      <c r="AA1294" s="73" t="str">
        <f t="shared" si="350"/>
        <v/>
      </c>
      <c r="AB1294" s="19" t="str">
        <f t="shared" si="351"/>
        <v/>
      </c>
      <c r="AC1294" s="73" t="str">
        <f t="shared" si="352"/>
        <v/>
      </c>
      <c r="AD1294" s="19" t="str">
        <f t="shared" si="353"/>
        <v/>
      </c>
      <c r="AE1294" s="19" t="str">
        <f t="shared" si="354"/>
        <v/>
      </c>
      <c r="AF1294" s="19" t="str">
        <f>IF($D1294&lt;&gt;1,"",IF(INDEX(TblClusters[Environnement],$B1294)="","(vide)",INDEX(TblClusters[Environnement],$B1294)))</f>
        <v/>
      </c>
      <c r="AG1294" s="19" t="str">
        <f t="shared" si="355"/>
        <v/>
      </c>
      <c r="AH1294" s="19" t="str">
        <f t="shared" si="356"/>
        <v/>
      </c>
      <c r="AI1294" s="19" t="str">
        <f>IF($D1294&lt;&gt;1,"",IF(AND($G1294="IKS",ISNUMBER(INDEX(TblClusters[Fermeture retenue],$B1294))),IF($E1294&gt;=INDEX(TblClusters[Fermeture retenue],$B1294),1,0),0))</f>
        <v/>
      </c>
    </row>
    <row r="1295" spans="1:35" x14ac:dyDescent="0.2">
      <c r="A1295" s="19">
        <v>1290</v>
      </c>
      <c r="B1295" s="19">
        <f t="shared" si="340"/>
        <v>36</v>
      </c>
      <c r="C1295" s="19">
        <f t="shared" si="341"/>
        <v>30</v>
      </c>
      <c r="D1295" s="19">
        <f>IF($C1295&gt;p_horizon,0,IFERROR(IF(AND(INDEX(TblClusters[Cluster],$B1295)&lt;&gt;"",ISNUMBER(INDEX(TblClusters[CPU initial (vCPU)],$B1295)),ISNUMBER(INDEX(TblClusters[CPU min (vCPU)],$B1295)),OR(INDEX(TblClusters[Plateforme],$B1295)="IKS",INDEX(TblClusters[Plateforme],$B1295)="ROKS")),1,0),0))</f>
        <v>0</v>
      </c>
      <c r="E1295" s="72" t="str">
        <f t="shared" si="342"/>
        <v/>
      </c>
      <c r="F1295" s="19" t="str">
        <f>IF($D1295=1,INDEX(TblClusters[Cluster],$B1295),"")</f>
        <v/>
      </c>
      <c r="G1295" s="19" t="str">
        <f>IF($D1295=1,INDEX(TblClusters[Plateforme],$B1295),"")</f>
        <v/>
      </c>
      <c r="H1295" s="19" t="str">
        <f>IF($D1295=1,INDEX(TblClusters[vCPU par nœud],$B1295),"")</f>
        <v/>
      </c>
      <c r="I1295" s="19" t="str">
        <f>IF($D1295=1,INDEX(TblClusters[RAM par nœud (Go)],$B1295),"")</f>
        <v/>
      </c>
      <c r="J1295" s="19" t="str">
        <f>IF($D1295=1,INDEX(TblClusters[Workers min],$B1295),"")</f>
        <v/>
      </c>
      <c r="K1295" s="73" t="str">
        <f>IF($D1295=1,INDEX(TblClusters[Tarif par nœud],$B1295),"")</f>
        <v/>
      </c>
      <c r="L1295" s="19" t="str">
        <f>IF($D1295=1,INDEX(TblClusters[CPU initial (vCPU)],$B1295),"")</f>
        <v/>
      </c>
      <c r="M1295" s="19" t="str">
        <f>IF($D1295=1,INDEX(TblClusters[RAM initiale (Go)],$B1295),"")</f>
        <v/>
      </c>
      <c r="N1295" s="19" t="str">
        <f>IF($D1295=1,INDEX(TblClusters[CPU min (vCPU)],$B1295),"")</f>
        <v/>
      </c>
      <c r="O1295" s="19" t="str">
        <f>IF($D1295=1,INDEX(TblClusters[RAM min (Go)],$B1295),"")</f>
        <v/>
      </c>
      <c r="P1295" s="19" t="str">
        <f>IF($D1295&lt;&gt;1,"",IF($G1295="ROKS",SUMIFS(TblApplications[Besoin ROKS CPU (vCPU)],TblApplications[Cluster ROKS cible],$F1295,TblApplications[Action],"À migrer",TblApplications[Déjà incluse ROKS],"Non",TblApplications[Mois prov (calc)],"&lt;="&amp;$E1295),SUMIFS(TblApplications[CPU IKS libérable (vCPU)],TblApplications[Cluster IKS source],$F1295,TblApplications[Mois lib (calc)],"&lt;="&amp;$E1295)))</f>
        <v/>
      </c>
      <c r="Q1295" s="19" t="str">
        <f>IF($D1295&lt;&gt;1,"",IF($G1295="ROKS",SUMIFS(TblApplications[Besoin ROKS RAM (Go)],TblApplications[Cluster ROKS cible],$F1295,TblApplications[Action],"À migrer",TblApplications[Déjà incluse ROKS],"Non",TblApplications[Mois prov (calc)],"&lt;="&amp;$E1295),SUMIFS(TblApplications[RAM IKS libérable (Go)],TblApplications[Cluster IKS source],$F1295,TblApplications[Mois lib (calc)],"&lt;="&amp;$E1295)))</f>
        <v/>
      </c>
      <c r="R1295" s="19" t="str">
        <f t="shared" si="343"/>
        <v/>
      </c>
      <c r="S1295" s="19" t="str">
        <f t="shared" si="344"/>
        <v/>
      </c>
      <c r="T1295" s="19" t="str">
        <f t="shared" si="345"/>
        <v/>
      </c>
      <c r="U1295" s="19" t="str">
        <f t="shared" si="346"/>
        <v/>
      </c>
      <c r="V1295" s="19" t="str">
        <f t="shared" si="347"/>
        <v/>
      </c>
      <c r="W1295" s="73" t="str">
        <f t="shared" si="348"/>
        <v/>
      </c>
      <c r="X1295" s="19" t="str">
        <f>IF($D1295&lt;&gt;1,"",IF($G1295="ROKS",$R1295,IF($AI1295=1,0,MAX($N1295,$L1295-SUMIFS(TblApplications[CPU IKS libérable (vCPU)],TblApplications[Cluster IKS source],$F1295,TblApplications[Action],"À migrer",TblApplications[Mois prov (calc)],"&lt;="&amp;$E1295)-SUMIFS(TblApplications[CPU IKS libérable (vCPU)],TblApplications[Cluster IKS source],$F1295,TblApplications[Action],"À décommissionner",TblApplications[Mois lib (calc)],"&lt;="&amp;$E1295)))))</f>
        <v/>
      </c>
      <c r="Y1295" s="19" t="str">
        <f>IF($D1295&lt;&gt;1,"",IF($G1295="ROKS",$S1295,IF($AI1295=1,0,MAX($O1295,$M1295-SUMIFS(TblApplications[RAM IKS libérable (Go)],TblApplications[Cluster IKS source],$F1295,TblApplications[Action],"À migrer",TblApplications[Mois prov (calc)],"&lt;="&amp;$E1295)-SUMIFS(TblApplications[RAM IKS libérable (Go)],TblApplications[Cluster IKS source],$F1295,TblApplications[Action],"À décommissionner",TblApplications[Mois lib (calc)],"&lt;="&amp;$E1295)))))</f>
        <v/>
      </c>
      <c r="Z1295" s="19" t="str">
        <f t="shared" si="349"/>
        <v/>
      </c>
      <c r="AA1295" s="73" t="str">
        <f t="shared" si="350"/>
        <v/>
      </c>
      <c r="AB1295" s="19" t="str">
        <f t="shared" si="351"/>
        <v/>
      </c>
      <c r="AC1295" s="73" t="str">
        <f t="shared" si="352"/>
        <v/>
      </c>
      <c r="AD1295" s="19" t="str">
        <f t="shared" si="353"/>
        <v/>
      </c>
      <c r="AE1295" s="19" t="str">
        <f t="shared" si="354"/>
        <v/>
      </c>
      <c r="AF1295" s="19" t="str">
        <f>IF($D1295&lt;&gt;1,"",IF(INDEX(TblClusters[Environnement],$B1295)="","(vide)",INDEX(TblClusters[Environnement],$B1295)))</f>
        <v/>
      </c>
      <c r="AG1295" s="19" t="str">
        <f t="shared" si="355"/>
        <v/>
      </c>
      <c r="AH1295" s="19" t="str">
        <f t="shared" si="356"/>
        <v/>
      </c>
      <c r="AI1295" s="19" t="str">
        <f>IF($D1295&lt;&gt;1,"",IF(AND($G1295="IKS",ISNUMBER(INDEX(TblClusters[Fermeture retenue],$B1295))),IF($E1295&gt;=INDEX(TblClusters[Fermeture retenue],$B1295),1,0),0))</f>
        <v/>
      </c>
    </row>
    <row r="1296" spans="1:35" x14ac:dyDescent="0.2">
      <c r="A1296" s="19">
        <v>1291</v>
      </c>
      <c r="B1296" s="19">
        <f t="shared" si="340"/>
        <v>36</v>
      </c>
      <c r="C1296" s="19">
        <f t="shared" si="341"/>
        <v>31</v>
      </c>
      <c r="D1296" s="19">
        <f>IF($C1296&gt;p_horizon,0,IFERROR(IF(AND(INDEX(TblClusters[Cluster],$B1296)&lt;&gt;"",ISNUMBER(INDEX(TblClusters[CPU initial (vCPU)],$B1296)),ISNUMBER(INDEX(TblClusters[CPU min (vCPU)],$B1296)),OR(INDEX(TblClusters[Plateforme],$B1296)="IKS",INDEX(TblClusters[Plateforme],$B1296)="ROKS")),1,0),0))</f>
        <v>0</v>
      </c>
      <c r="E1296" s="72" t="str">
        <f t="shared" si="342"/>
        <v/>
      </c>
      <c r="F1296" s="19" t="str">
        <f>IF($D1296=1,INDEX(TblClusters[Cluster],$B1296),"")</f>
        <v/>
      </c>
      <c r="G1296" s="19" t="str">
        <f>IF($D1296=1,INDEX(TblClusters[Plateforme],$B1296),"")</f>
        <v/>
      </c>
      <c r="H1296" s="19" t="str">
        <f>IF($D1296=1,INDEX(TblClusters[vCPU par nœud],$B1296),"")</f>
        <v/>
      </c>
      <c r="I1296" s="19" t="str">
        <f>IF($D1296=1,INDEX(TblClusters[RAM par nœud (Go)],$B1296),"")</f>
        <v/>
      </c>
      <c r="J1296" s="19" t="str">
        <f>IF($D1296=1,INDEX(TblClusters[Workers min],$B1296),"")</f>
        <v/>
      </c>
      <c r="K1296" s="73" t="str">
        <f>IF($D1296=1,INDEX(TblClusters[Tarif par nœud],$B1296),"")</f>
        <v/>
      </c>
      <c r="L1296" s="19" t="str">
        <f>IF($D1296=1,INDEX(TblClusters[CPU initial (vCPU)],$B1296),"")</f>
        <v/>
      </c>
      <c r="M1296" s="19" t="str">
        <f>IF($D1296=1,INDEX(TblClusters[RAM initiale (Go)],$B1296),"")</f>
        <v/>
      </c>
      <c r="N1296" s="19" t="str">
        <f>IF($D1296=1,INDEX(TblClusters[CPU min (vCPU)],$B1296),"")</f>
        <v/>
      </c>
      <c r="O1296" s="19" t="str">
        <f>IF($D1296=1,INDEX(TblClusters[RAM min (Go)],$B1296),"")</f>
        <v/>
      </c>
      <c r="P1296" s="19" t="str">
        <f>IF($D1296&lt;&gt;1,"",IF($G1296="ROKS",SUMIFS(TblApplications[Besoin ROKS CPU (vCPU)],TblApplications[Cluster ROKS cible],$F1296,TblApplications[Action],"À migrer",TblApplications[Déjà incluse ROKS],"Non",TblApplications[Mois prov (calc)],"&lt;="&amp;$E1296),SUMIFS(TblApplications[CPU IKS libérable (vCPU)],TblApplications[Cluster IKS source],$F1296,TblApplications[Mois lib (calc)],"&lt;="&amp;$E1296)))</f>
        <v/>
      </c>
      <c r="Q1296" s="19" t="str">
        <f>IF($D1296&lt;&gt;1,"",IF($G1296="ROKS",SUMIFS(TblApplications[Besoin ROKS RAM (Go)],TblApplications[Cluster ROKS cible],$F1296,TblApplications[Action],"À migrer",TblApplications[Déjà incluse ROKS],"Non",TblApplications[Mois prov (calc)],"&lt;="&amp;$E1296),SUMIFS(TblApplications[RAM IKS libérable (Go)],TblApplications[Cluster IKS source],$F1296,TblApplications[Mois lib (calc)],"&lt;="&amp;$E1296)))</f>
        <v/>
      </c>
      <c r="R1296" s="19" t="str">
        <f t="shared" si="343"/>
        <v/>
      </c>
      <c r="S1296" s="19" t="str">
        <f t="shared" si="344"/>
        <v/>
      </c>
      <c r="T1296" s="19" t="str">
        <f t="shared" si="345"/>
        <v/>
      </c>
      <c r="U1296" s="19" t="str">
        <f t="shared" si="346"/>
        <v/>
      </c>
      <c r="V1296" s="19" t="str">
        <f t="shared" si="347"/>
        <v/>
      </c>
      <c r="W1296" s="73" t="str">
        <f t="shared" si="348"/>
        <v/>
      </c>
      <c r="X1296" s="19" t="str">
        <f>IF($D1296&lt;&gt;1,"",IF($G1296="ROKS",$R1296,IF($AI1296=1,0,MAX($N1296,$L1296-SUMIFS(TblApplications[CPU IKS libérable (vCPU)],TblApplications[Cluster IKS source],$F1296,TblApplications[Action],"À migrer",TblApplications[Mois prov (calc)],"&lt;="&amp;$E1296)-SUMIFS(TblApplications[CPU IKS libérable (vCPU)],TblApplications[Cluster IKS source],$F1296,TblApplications[Action],"À décommissionner",TblApplications[Mois lib (calc)],"&lt;="&amp;$E1296)))))</f>
        <v/>
      </c>
      <c r="Y1296" s="19" t="str">
        <f>IF($D1296&lt;&gt;1,"",IF($G1296="ROKS",$S1296,IF($AI1296=1,0,MAX($O1296,$M1296-SUMIFS(TblApplications[RAM IKS libérable (Go)],TblApplications[Cluster IKS source],$F1296,TblApplications[Action],"À migrer",TblApplications[Mois prov (calc)],"&lt;="&amp;$E1296)-SUMIFS(TblApplications[RAM IKS libérable (Go)],TblApplications[Cluster IKS source],$F1296,TblApplications[Action],"À décommissionner",TblApplications[Mois lib (calc)],"&lt;="&amp;$E1296)))))</f>
        <v/>
      </c>
      <c r="Z1296" s="19" t="str">
        <f t="shared" si="349"/>
        <v/>
      </c>
      <c r="AA1296" s="73" t="str">
        <f t="shared" si="350"/>
        <v/>
      </c>
      <c r="AB1296" s="19" t="str">
        <f t="shared" si="351"/>
        <v/>
      </c>
      <c r="AC1296" s="73" t="str">
        <f t="shared" si="352"/>
        <v/>
      </c>
      <c r="AD1296" s="19" t="str">
        <f t="shared" si="353"/>
        <v/>
      </c>
      <c r="AE1296" s="19" t="str">
        <f t="shared" si="354"/>
        <v/>
      </c>
      <c r="AF1296" s="19" t="str">
        <f>IF($D1296&lt;&gt;1,"",IF(INDEX(TblClusters[Environnement],$B1296)="","(vide)",INDEX(TblClusters[Environnement],$B1296)))</f>
        <v/>
      </c>
      <c r="AG1296" s="19" t="str">
        <f t="shared" si="355"/>
        <v/>
      </c>
      <c r="AH1296" s="19" t="str">
        <f t="shared" si="356"/>
        <v/>
      </c>
      <c r="AI1296" s="19" t="str">
        <f>IF($D1296&lt;&gt;1,"",IF(AND($G1296="IKS",ISNUMBER(INDEX(TblClusters[Fermeture retenue],$B1296))),IF($E1296&gt;=INDEX(TblClusters[Fermeture retenue],$B1296),1,0),0))</f>
        <v/>
      </c>
    </row>
    <row r="1297" spans="1:35" x14ac:dyDescent="0.2">
      <c r="A1297" s="19">
        <v>1292</v>
      </c>
      <c r="B1297" s="19">
        <f t="shared" si="340"/>
        <v>36</v>
      </c>
      <c r="C1297" s="19">
        <f t="shared" si="341"/>
        <v>32</v>
      </c>
      <c r="D1297" s="19">
        <f>IF($C1297&gt;p_horizon,0,IFERROR(IF(AND(INDEX(TblClusters[Cluster],$B1297)&lt;&gt;"",ISNUMBER(INDEX(TblClusters[CPU initial (vCPU)],$B1297)),ISNUMBER(INDEX(TblClusters[CPU min (vCPU)],$B1297)),OR(INDEX(TblClusters[Plateforme],$B1297)="IKS",INDEX(TblClusters[Plateforme],$B1297)="ROKS")),1,0),0))</f>
        <v>0</v>
      </c>
      <c r="E1297" s="72" t="str">
        <f t="shared" si="342"/>
        <v/>
      </c>
      <c r="F1297" s="19" t="str">
        <f>IF($D1297=1,INDEX(TblClusters[Cluster],$B1297),"")</f>
        <v/>
      </c>
      <c r="G1297" s="19" t="str">
        <f>IF($D1297=1,INDEX(TblClusters[Plateforme],$B1297),"")</f>
        <v/>
      </c>
      <c r="H1297" s="19" t="str">
        <f>IF($D1297=1,INDEX(TblClusters[vCPU par nœud],$B1297),"")</f>
        <v/>
      </c>
      <c r="I1297" s="19" t="str">
        <f>IF($D1297=1,INDEX(TblClusters[RAM par nœud (Go)],$B1297),"")</f>
        <v/>
      </c>
      <c r="J1297" s="19" t="str">
        <f>IF($D1297=1,INDEX(TblClusters[Workers min],$B1297),"")</f>
        <v/>
      </c>
      <c r="K1297" s="73" t="str">
        <f>IF($D1297=1,INDEX(TblClusters[Tarif par nœud],$B1297),"")</f>
        <v/>
      </c>
      <c r="L1297" s="19" t="str">
        <f>IF($D1297=1,INDEX(TblClusters[CPU initial (vCPU)],$B1297),"")</f>
        <v/>
      </c>
      <c r="M1297" s="19" t="str">
        <f>IF($D1297=1,INDEX(TblClusters[RAM initiale (Go)],$B1297),"")</f>
        <v/>
      </c>
      <c r="N1297" s="19" t="str">
        <f>IF($D1297=1,INDEX(TblClusters[CPU min (vCPU)],$B1297),"")</f>
        <v/>
      </c>
      <c r="O1297" s="19" t="str">
        <f>IF($D1297=1,INDEX(TblClusters[RAM min (Go)],$B1297),"")</f>
        <v/>
      </c>
      <c r="P1297" s="19" t="str">
        <f>IF($D1297&lt;&gt;1,"",IF($G1297="ROKS",SUMIFS(TblApplications[Besoin ROKS CPU (vCPU)],TblApplications[Cluster ROKS cible],$F1297,TblApplications[Action],"À migrer",TblApplications[Déjà incluse ROKS],"Non",TblApplications[Mois prov (calc)],"&lt;="&amp;$E1297),SUMIFS(TblApplications[CPU IKS libérable (vCPU)],TblApplications[Cluster IKS source],$F1297,TblApplications[Mois lib (calc)],"&lt;="&amp;$E1297)))</f>
        <v/>
      </c>
      <c r="Q1297" s="19" t="str">
        <f>IF($D1297&lt;&gt;1,"",IF($G1297="ROKS",SUMIFS(TblApplications[Besoin ROKS RAM (Go)],TblApplications[Cluster ROKS cible],$F1297,TblApplications[Action],"À migrer",TblApplications[Déjà incluse ROKS],"Non",TblApplications[Mois prov (calc)],"&lt;="&amp;$E1297),SUMIFS(TblApplications[RAM IKS libérable (Go)],TblApplications[Cluster IKS source],$F1297,TblApplications[Mois lib (calc)],"&lt;="&amp;$E1297)))</f>
        <v/>
      </c>
      <c r="R1297" s="19" t="str">
        <f t="shared" si="343"/>
        <v/>
      </c>
      <c r="S1297" s="19" t="str">
        <f t="shared" si="344"/>
        <v/>
      </c>
      <c r="T1297" s="19" t="str">
        <f t="shared" si="345"/>
        <v/>
      </c>
      <c r="U1297" s="19" t="str">
        <f t="shared" si="346"/>
        <v/>
      </c>
      <c r="V1297" s="19" t="str">
        <f t="shared" si="347"/>
        <v/>
      </c>
      <c r="W1297" s="73" t="str">
        <f t="shared" si="348"/>
        <v/>
      </c>
      <c r="X1297" s="19" t="str">
        <f>IF($D1297&lt;&gt;1,"",IF($G1297="ROKS",$R1297,IF($AI1297=1,0,MAX($N1297,$L1297-SUMIFS(TblApplications[CPU IKS libérable (vCPU)],TblApplications[Cluster IKS source],$F1297,TblApplications[Action],"À migrer",TblApplications[Mois prov (calc)],"&lt;="&amp;$E1297)-SUMIFS(TblApplications[CPU IKS libérable (vCPU)],TblApplications[Cluster IKS source],$F1297,TblApplications[Action],"À décommissionner",TblApplications[Mois lib (calc)],"&lt;="&amp;$E1297)))))</f>
        <v/>
      </c>
      <c r="Y1297" s="19" t="str">
        <f>IF($D1297&lt;&gt;1,"",IF($G1297="ROKS",$S1297,IF($AI1297=1,0,MAX($O1297,$M1297-SUMIFS(TblApplications[RAM IKS libérable (Go)],TblApplications[Cluster IKS source],$F1297,TblApplications[Action],"À migrer",TblApplications[Mois prov (calc)],"&lt;="&amp;$E1297)-SUMIFS(TblApplications[RAM IKS libérable (Go)],TblApplications[Cluster IKS source],$F1297,TblApplications[Action],"À décommissionner",TblApplications[Mois lib (calc)],"&lt;="&amp;$E1297)))))</f>
        <v/>
      </c>
      <c r="Z1297" s="19" t="str">
        <f t="shared" si="349"/>
        <v/>
      </c>
      <c r="AA1297" s="73" t="str">
        <f t="shared" si="350"/>
        <v/>
      </c>
      <c r="AB1297" s="19" t="str">
        <f t="shared" si="351"/>
        <v/>
      </c>
      <c r="AC1297" s="73" t="str">
        <f t="shared" si="352"/>
        <v/>
      </c>
      <c r="AD1297" s="19" t="str">
        <f t="shared" si="353"/>
        <v/>
      </c>
      <c r="AE1297" s="19" t="str">
        <f t="shared" si="354"/>
        <v/>
      </c>
      <c r="AF1297" s="19" t="str">
        <f>IF($D1297&lt;&gt;1,"",IF(INDEX(TblClusters[Environnement],$B1297)="","(vide)",INDEX(TblClusters[Environnement],$B1297)))</f>
        <v/>
      </c>
      <c r="AG1297" s="19" t="str">
        <f t="shared" si="355"/>
        <v/>
      </c>
      <c r="AH1297" s="19" t="str">
        <f t="shared" si="356"/>
        <v/>
      </c>
      <c r="AI1297" s="19" t="str">
        <f>IF($D1297&lt;&gt;1,"",IF(AND($G1297="IKS",ISNUMBER(INDEX(TblClusters[Fermeture retenue],$B1297))),IF($E1297&gt;=INDEX(TblClusters[Fermeture retenue],$B1297),1,0),0))</f>
        <v/>
      </c>
    </row>
    <row r="1298" spans="1:35" x14ac:dyDescent="0.2">
      <c r="A1298" s="19">
        <v>1293</v>
      </c>
      <c r="B1298" s="19">
        <f t="shared" si="340"/>
        <v>36</v>
      </c>
      <c r="C1298" s="19">
        <f t="shared" si="341"/>
        <v>33</v>
      </c>
      <c r="D1298" s="19">
        <f>IF($C1298&gt;p_horizon,0,IFERROR(IF(AND(INDEX(TblClusters[Cluster],$B1298)&lt;&gt;"",ISNUMBER(INDEX(TblClusters[CPU initial (vCPU)],$B1298)),ISNUMBER(INDEX(TblClusters[CPU min (vCPU)],$B1298)),OR(INDEX(TblClusters[Plateforme],$B1298)="IKS",INDEX(TblClusters[Plateforme],$B1298)="ROKS")),1,0),0))</f>
        <v>0</v>
      </c>
      <c r="E1298" s="72" t="str">
        <f t="shared" si="342"/>
        <v/>
      </c>
      <c r="F1298" s="19" t="str">
        <f>IF($D1298=1,INDEX(TblClusters[Cluster],$B1298),"")</f>
        <v/>
      </c>
      <c r="G1298" s="19" t="str">
        <f>IF($D1298=1,INDEX(TblClusters[Plateforme],$B1298),"")</f>
        <v/>
      </c>
      <c r="H1298" s="19" t="str">
        <f>IF($D1298=1,INDEX(TblClusters[vCPU par nœud],$B1298),"")</f>
        <v/>
      </c>
      <c r="I1298" s="19" t="str">
        <f>IF($D1298=1,INDEX(TblClusters[RAM par nœud (Go)],$B1298),"")</f>
        <v/>
      </c>
      <c r="J1298" s="19" t="str">
        <f>IF($D1298=1,INDEX(TblClusters[Workers min],$B1298),"")</f>
        <v/>
      </c>
      <c r="K1298" s="73" t="str">
        <f>IF($D1298=1,INDEX(TblClusters[Tarif par nœud],$B1298),"")</f>
        <v/>
      </c>
      <c r="L1298" s="19" t="str">
        <f>IF($D1298=1,INDEX(TblClusters[CPU initial (vCPU)],$B1298),"")</f>
        <v/>
      </c>
      <c r="M1298" s="19" t="str">
        <f>IF($D1298=1,INDEX(TblClusters[RAM initiale (Go)],$B1298),"")</f>
        <v/>
      </c>
      <c r="N1298" s="19" t="str">
        <f>IF($D1298=1,INDEX(TblClusters[CPU min (vCPU)],$B1298),"")</f>
        <v/>
      </c>
      <c r="O1298" s="19" t="str">
        <f>IF($D1298=1,INDEX(TblClusters[RAM min (Go)],$B1298),"")</f>
        <v/>
      </c>
      <c r="P1298" s="19" t="str">
        <f>IF($D1298&lt;&gt;1,"",IF($G1298="ROKS",SUMIFS(TblApplications[Besoin ROKS CPU (vCPU)],TblApplications[Cluster ROKS cible],$F1298,TblApplications[Action],"À migrer",TblApplications[Déjà incluse ROKS],"Non",TblApplications[Mois prov (calc)],"&lt;="&amp;$E1298),SUMIFS(TblApplications[CPU IKS libérable (vCPU)],TblApplications[Cluster IKS source],$F1298,TblApplications[Mois lib (calc)],"&lt;="&amp;$E1298)))</f>
        <v/>
      </c>
      <c r="Q1298" s="19" t="str">
        <f>IF($D1298&lt;&gt;1,"",IF($G1298="ROKS",SUMIFS(TblApplications[Besoin ROKS RAM (Go)],TblApplications[Cluster ROKS cible],$F1298,TblApplications[Action],"À migrer",TblApplications[Déjà incluse ROKS],"Non",TblApplications[Mois prov (calc)],"&lt;="&amp;$E1298),SUMIFS(TblApplications[RAM IKS libérable (Go)],TblApplications[Cluster IKS source],$F1298,TblApplications[Mois lib (calc)],"&lt;="&amp;$E1298)))</f>
        <v/>
      </c>
      <c r="R1298" s="19" t="str">
        <f t="shared" si="343"/>
        <v/>
      </c>
      <c r="S1298" s="19" t="str">
        <f t="shared" si="344"/>
        <v/>
      </c>
      <c r="T1298" s="19" t="str">
        <f t="shared" si="345"/>
        <v/>
      </c>
      <c r="U1298" s="19" t="str">
        <f t="shared" si="346"/>
        <v/>
      </c>
      <c r="V1298" s="19" t="str">
        <f t="shared" si="347"/>
        <v/>
      </c>
      <c r="W1298" s="73" t="str">
        <f t="shared" si="348"/>
        <v/>
      </c>
      <c r="X1298" s="19" t="str">
        <f>IF($D1298&lt;&gt;1,"",IF($G1298="ROKS",$R1298,IF($AI1298=1,0,MAX($N1298,$L1298-SUMIFS(TblApplications[CPU IKS libérable (vCPU)],TblApplications[Cluster IKS source],$F1298,TblApplications[Action],"À migrer",TblApplications[Mois prov (calc)],"&lt;="&amp;$E1298)-SUMIFS(TblApplications[CPU IKS libérable (vCPU)],TblApplications[Cluster IKS source],$F1298,TblApplications[Action],"À décommissionner",TblApplications[Mois lib (calc)],"&lt;="&amp;$E1298)))))</f>
        <v/>
      </c>
      <c r="Y1298" s="19" t="str">
        <f>IF($D1298&lt;&gt;1,"",IF($G1298="ROKS",$S1298,IF($AI1298=1,0,MAX($O1298,$M1298-SUMIFS(TblApplications[RAM IKS libérable (Go)],TblApplications[Cluster IKS source],$F1298,TblApplications[Action],"À migrer",TblApplications[Mois prov (calc)],"&lt;="&amp;$E1298)-SUMIFS(TblApplications[RAM IKS libérable (Go)],TblApplications[Cluster IKS source],$F1298,TblApplications[Action],"À décommissionner",TblApplications[Mois lib (calc)],"&lt;="&amp;$E1298)))))</f>
        <v/>
      </c>
      <c r="Z1298" s="19" t="str">
        <f t="shared" si="349"/>
        <v/>
      </c>
      <c r="AA1298" s="73" t="str">
        <f t="shared" si="350"/>
        <v/>
      </c>
      <c r="AB1298" s="19" t="str">
        <f t="shared" si="351"/>
        <v/>
      </c>
      <c r="AC1298" s="73" t="str">
        <f t="shared" si="352"/>
        <v/>
      </c>
      <c r="AD1298" s="19" t="str">
        <f t="shared" si="353"/>
        <v/>
      </c>
      <c r="AE1298" s="19" t="str">
        <f t="shared" si="354"/>
        <v/>
      </c>
      <c r="AF1298" s="19" t="str">
        <f>IF($D1298&lt;&gt;1,"",IF(INDEX(TblClusters[Environnement],$B1298)="","(vide)",INDEX(TblClusters[Environnement],$B1298)))</f>
        <v/>
      </c>
      <c r="AG1298" s="19" t="str">
        <f t="shared" si="355"/>
        <v/>
      </c>
      <c r="AH1298" s="19" t="str">
        <f t="shared" si="356"/>
        <v/>
      </c>
      <c r="AI1298" s="19" t="str">
        <f>IF($D1298&lt;&gt;1,"",IF(AND($G1298="IKS",ISNUMBER(INDEX(TblClusters[Fermeture retenue],$B1298))),IF($E1298&gt;=INDEX(TblClusters[Fermeture retenue],$B1298),1,0),0))</f>
        <v/>
      </c>
    </row>
    <row r="1299" spans="1:35" x14ac:dyDescent="0.2">
      <c r="A1299" s="19">
        <v>1294</v>
      </c>
      <c r="B1299" s="19">
        <f t="shared" si="340"/>
        <v>36</v>
      </c>
      <c r="C1299" s="19">
        <f t="shared" si="341"/>
        <v>34</v>
      </c>
      <c r="D1299" s="19">
        <f>IF($C1299&gt;p_horizon,0,IFERROR(IF(AND(INDEX(TblClusters[Cluster],$B1299)&lt;&gt;"",ISNUMBER(INDEX(TblClusters[CPU initial (vCPU)],$B1299)),ISNUMBER(INDEX(TblClusters[CPU min (vCPU)],$B1299)),OR(INDEX(TblClusters[Plateforme],$B1299)="IKS",INDEX(TblClusters[Plateforme],$B1299)="ROKS")),1,0),0))</f>
        <v>0</v>
      </c>
      <c r="E1299" s="72" t="str">
        <f t="shared" si="342"/>
        <v/>
      </c>
      <c r="F1299" s="19" t="str">
        <f>IF($D1299=1,INDEX(TblClusters[Cluster],$B1299),"")</f>
        <v/>
      </c>
      <c r="G1299" s="19" t="str">
        <f>IF($D1299=1,INDEX(TblClusters[Plateforme],$B1299),"")</f>
        <v/>
      </c>
      <c r="H1299" s="19" t="str">
        <f>IF($D1299=1,INDEX(TblClusters[vCPU par nœud],$B1299),"")</f>
        <v/>
      </c>
      <c r="I1299" s="19" t="str">
        <f>IF($D1299=1,INDEX(TblClusters[RAM par nœud (Go)],$B1299),"")</f>
        <v/>
      </c>
      <c r="J1299" s="19" t="str">
        <f>IF($D1299=1,INDEX(TblClusters[Workers min],$B1299),"")</f>
        <v/>
      </c>
      <c r="K1299" s="73" t="str">
        <f>IF($D1299=1,INDEX(TblClusters[Tarif par nœud],$B1299),"")</f>
        <v/>
      </c>
      <c r="L1299" s="19" t="str">
        <f>IF($D1299=1,INDEX(TblClusters[CPU initial (vCPU)],$B1299),"")</f>
        <v/>
      </c>
      <c r="M1299" s="19" t="str">
        <f>IF($D1299=1,INDEX(TblClusters[RAM initiale (Go)],$B1299),"")</f>
        <v/>
      </c>
      <c r="N1299" s="19" t="str">
        <f>IF($D1299=1,INDEX(TblClusters[CPU min (vCPU)],$B1299),"")</f>
        <v/>
      </c>
      <c r="O1299" s="19" t="str">
        <f>IF($D1299=1,INDEX(TblClusters[RAM min (Go)],$B1299),"")</f>
        <v/>
      </c>
      <c r="P1299" s="19" t="str">
        <f>IF($D1299&lt;&gt;1,"",IF($G1299="ROKS",SUMIFS(TblApplications[Besoin ROKS CPU (vCPU)],TblApplications[Cluster ROKS cible],$F1299,TblApplications[Action],"À migrer",TblApplications[Déjà incluse ROKS],"Non",TblApplications[Mois prov (calc)],"&lt;="&amp;$E1299),SUMIFS(TblApplications[CPU IKS libérable (vCPU)],TblApplications[Cluster IKS source],$F1299,TblApplications[Mois lib (calc)],"&lt;="&amp;$E1299)))</f>
        <v/>
      </c>
      <c r="Q1299" s="19" t="str">
        <f>IF($D1299&lt;&gt;1,"",IF($G1299="ROKS",SUMIFS(TblApplications[Besoin ROKS RAM (Go)],TblApplications[Cluster ROKS cible],$F1299,TblApplications[Action],"À migrer",TblApplications[Déjà incluse ROKS],"Non",TblApplications[Mois prov (calc)],"&lt;="&amp;$E1299),SUMIFS(TblApplications[RAM IKS libérable (Go)],TblApplications[Cluster IKS source],$F1299,TblApplications[Mois lib (calc)],"&lt;="&amp;$E1299)))</f>
        <v/>
      </c>
      <c r="R1299" s="19" t="str">
        <f t="shared" si="343"/>
        <v/>
      </c>
      <c r="S1299" s="19" t="str">
        <f t="shared" si="344"/>
        <v/>
      </c>
      <c r="T1299" s="19" t="str">
        <f t="shared" si="345"/>
        <v/>
      </c>
      <c r="U1299" s="19" t="str">
        <f t="shared" si="346"/>
        <v/>
      </c>
      <c r="V1299" s="19" t="str">
        <f t="shared" si="347"/>
        <v/>
      </c>
      <c r="W1299" s="73" t="str">
        <f t="shared" si="348"/>
        <v/>
      </c>
      <c r="X1299" s="19" t="str">
        <f>IF($D1299&lt;&gt;1,"",IF($G1299="ROKS",$R1299,IF($AI1299=1,0,MAX($N1299,$L1299-SUMIFS(TblApplications[CPU IKS libérable (vCPU)],TblApplications[Cluster IKS source],$F1299,TblApplications[Action],"À migrer",TblApplications[Mois prov (calc)],"&lt;="&amp;$E1299)-SUMIFS(TblApplications[CPU IKS libérable (vCPU)],TblApplications[Cluster IKS source],$F1299,TblApplications[Action],"À décommissionner",TblApplications[Mois lib (calc)],"&lt;="&amp;$E1299)))))</f>
        <v/>
      </c>
      <c r="Y1299" s="19" t="str">
        <f>IF($D1299&lt;&gt;1,"",IF($G1299="ROKS",$S1299,IF($AI1299=1,0,MAX($O1299,$M1299-SUMIFS(TblApplications[RAM IKS libérable (Go)],TblApplications[Cluster IKS source],$F1299,TblApplications[Action],"À migrer",TblApplications[Mois prov (calc)],"&lt;="&amp;$E1299)-SUMIFS(TblApplications[RAM IKS libérable (Go)],TblApplications[Cluster IKS source],$F1299,TblApplications[Action],"À décommissionner",TblApplications[Mois lib (calc)],"&lt;="&amp;$E1299)))))</f>
        <v/>
      </c>
      <c r="Z1299" s="19" t="str">
        <f t="shared" si="349"/>
        <v/>
      </c>
      <c r="AA1299" s="73" t="str">
        <f t="shared" si="350"/>
        <v/>
      </c>
      <c r="AB1299" s="19" t="str">
        <f t="shared" si="351"/>
        <v/>
      </c>
      <c r="AC1299" s="73" t="str">
        <f t="shared" si="352"/>
        <v/>
      </c>
      <c r="AD1299" s="19" t="str">
        <f t="shared" si="353"/>
        <v/>
      </c>
      <c r="AE1299" s="19" t="str">
        <f t="shared" si="354"/>
        <v/>
      </c>
      <c r="AF1299" s="19" t="str">
        <f>IF($D1299&lt;&gt;1,"",IF(INDEX(TblClusters[Environnement],$B1299)="","(vide)",INDEX(TblClusters[Environnement],$B1299)))</f>
        <v/>
      </c>
      <c r="AG1299" s="19" t="str">
        <f t="shared" si="355"/>
        <v/>
      </c>
      <c r="AH1299" s="19" t="str">
        <f t="shared" si="356"/>
        <v/>
      </c>
      <c r="AI1299" s="19" t="str">
        <f>IF($D1299&lt;&gt;1,"",IF(AND($G1299="IKS",ISNUMBER(INDEX(TblClusters[Fermeture retenue],$B1299))),IF($E1299&gt;=INDEX(TblClusters[Fermeture retenue],$B1299),1,0),0))</f>
        <v/>
      </c>
    </row>
    <row r="1300" spans="1:35" x14ac:dyDescent="0.2">
      <c r="A1300" s="19">
        <v>1295</v>
      </c>
      <c r="B1300" s="19">
        <f t="shared" si="340"/>
        <v>36</v>
      </c>
      <c r="C1300" s="19">
        <f t="shared" si="341"/>
        <v>35</v>
      </c>
      <c r="D1300" s="19">
        <f>IF($C1300&gt;p_horizon,0,IFERROR(IF(AND(INDEX(TblClusters[Cluster],$B1300)&lt;&gt;"",ISNUMBER(INDEX(TblClusters[CPU initial (vCPU)],$B1300)),ISNUMBER(INDEX(TblClusters[CPU min (vCPU)],$B1300)),OR(INDEX(TblClusters[Plateforme],$B1300)="IKS",INDEX(TblClusters[Plateforme],$B1300)="ROKS")),1,0),0))</f>
        <v>0</v>
      </c>
      <c r="E1300" s="72" t="str">
        <f t="shared" si="342"/>
        <v/>
      </c>
      <c r="F1300" s="19" t="str">
        <f>IF($D1300=1,INDEX(TblClusters[Cluster],$B1300),"")</f>
        <v/>
      </c>
      <c r="G1300" s="19" t="str">
        <f>IF($D1300=1,INDEX(TblClusters[Plateforme],$B1300),"")</f>
        <v/>
      </c>
      <c r="H1300" s="19" t="str">
        <f>IF($D1300=1,INDEX(TblClusters[vCPU par nœud],$B1300),"")</f>
        <v/>
      </c>
      <c r="I1300" s="19" t="str">
        <f>IF($D1300=1,INDEX(TblClusters[RAM par nœud (Go)],$B1300),"")</f>
        <v/>
      </c>
      <c r="J1300" s="19" t="str">
        <f>IF($D1300=1,INDEX(TblClusters[Workers min],$B1300),"")</f>
        <v/>
      </c>
      <c r="K1300" s="73" t="str">
        <f>IF($D1300=1,INDEX(TblClusters[Tarif par nœud],$B1300),"")</f>
        <v/>
      </c>
      <c r="L1300" s="19" t="str">
        <f>IF($D1300=1,INDEX(TblClusters[CPU initial (vCPU)],$B1300),"")</f>
        <v/>
      </c>
      <c r="M1300" s="19" t="str">
        <f>IF($D1300=1,INDEX(TblClusters[RAM initiale (Go)],$B1300),"")</f>
        <v/>
      </c>
      <c r="N1300" s="19" t="str">
        <f>IF($D1300=1,INDEX(TblClusters[CPU min (vCPU)],$B1300),"")</f>
        <v/>
      </c>
      <c r="O1300" s="19" t="str">
        <f>IF($D1300=1,INDEX(TblClusters[RAM min (Go)],$B1300),"")</f>
        <v/>
      </c>
      <c r="P1300" s="19" t="str">
        <f>IF($D1300&lt;&gt;1,"",IF($G1300="ROKS",SUMIFS(TblApplications[Besoin ROKS CPU (vCPU)],TblApplications[Cluster ROKS cible],$F1300,TblApplications[Action],"À migrer",TblApplications[Déjà incluse ROKS],"Non",TblApplications[Mois prov (calc)],"&lt;="&amp;$E1300),SUMIFS(TblApplications[CPU IKS libérable (vCPU)],TblApplications[Cluster IKS source],$F1300,TblApplications[Mois lib (calc)],"&lt;="&amp;$E1300)))</f>
        <v/>
      </c>
      <c r="Q1300" s="19" t="str">
        <f>IF($D1300&lt;&gt;1,"",IF($G1300="ROKS",SUMIFS(TblApplications[Besoin ROKS RAM (Go)],TblApplications[Cluster ROKS cible],$F1300,TblApplications[Action],"À migrer",TblApplications[Déjà incluse ROKS],"Non",TblApplications[Mois prov (calc)],"&lt;="&amp;$E1300),SUMIFS(TblApplications[RAM IKS libérable (Go)],TblApplications[Cluster IKS source],$F1300,TblApplications[Mois lib (calc)],"&lt;="&amp;$E1300)))</f>
        <v/>
      </c>
      <c r="R1300" s="19" t="str">
        <f t="shared" si="343"/>
        <v/>
      </c>
      <c r="S1300" s="19" t="str">
        <f t="shared" si="344"/>
        <v/>
      </c>
      <c r="T1300" s="19" t="str">
        <f t="shared" si="345"/>
        <v/>
      </c>
      <c r="U1300" s="19" t="str">
        <f t="shared" si="346"/>
        <v/>
      </c>
      <c r="V1300" s="19" t="str">
        <f t="shared" si="347"/>
        <v/>
      </c>
      <c r="W1300" s="73" t="str">
        <f t="shared" si="348"/>
        <v/>
      </c>
      <c r="X1300" s="19" t="str">
        <f>IF($D1300&lt;&gt;1,"",IF($G1300="ROKS",$R1300,IF($AI1300=1,0,MAX($N1300,$L1300-SUMIFS(TblApplications[CPU IKS libérable (vCPU)],TblApplications[Cluster IKS source],$F1300,TblApplications[Action],"À migrer",TblApplications[Mois prov (calc)],"&lt;="&amp;$E1300)-SUMIFS(TblApplications[CPU IKS libérable (vCPU)],TblApplications[Cluster IKS source],$F1300,TblApplications[Action],"À décommissionner",TblApplications[Mois lib (calc)],"&lt;="&amp;$E1300)))))</f>
        <v/>
      </c>
      <c r="Y1300" s="19" t="str">
        <f>IF($D1300&lt;&gt;1,"",IF($G1300="ROKS",$S1300,IF($AI1300=1,0,MAX($O1300,$M1300-SUMIFS(TblApplications[RAM IKS libérable (Go)],TblApplications[Cluster IKS source],$F1300,TblApplications[Action],"À migrer",TblApplications[Mois prov (calc)],"&lt;="&amp;$E1300)-SUMIFS(TblApplications[RAM IKS libérable (Go)],TblApplications[Cluster IKS source],$F1300,TblApplications[Action],"À décommissionner",TblApplications[Mois lib (calc)],"&lt;="&amp;$E1300)))))</f>
        <v/>
      </c>
      <c r="Z1300" s="19" t="str">
        <f t="shared" si="349"/>
        <v/>
      </c>
      <c r="AA1300" s="73" t="str">
        <f t="shared" si="350"/>
        <v/>
      </c>
      <c r="AB1300" s="19" t="str">
        <f t="shared" si="351"/>
        <v/>
      </c>
      <c r="AC1300" s="73" t="str">
        <f t="shared" si="352"/>
        <v/>
      </c>
      <c r="AD1300" s="19" t="str">
        <f t="shared" si="353"/>
        <v/>
      </c>
      <c r="AE1300" s="19" t="str">
        <f t="shared" si="354"/>
        <v/>
      </c>
      <c r="AF1300" s="19" t="str">
        <f>IF($D1300&lt;&gt;1,"",IF(INDEX(TblClusters[Environnement],$B1300)="","(vide)",INDEX(TblClusters[Environnement],$B1300)))</f>
        <v/>
      </c>
      <c r="AG1300" s="19" t="str">
        <f t="shared" si="355"/>
        <v/>
      </c>
      <c r="AH1300" s="19" t="str">
        <f t="shared" si="356"/>
        <v/>
      </c>
      <c r="AI1300" s="19" t="str">
        <f>IF($D1300&lt;&gt;1,"",IF(AND($G1300="IKS",ISNUMBER(INDEX(TblClusters[Fermeture retenue],$B1300))),IF($E1300&gt;=INDEX(TblClusters[Fermeture retenue],$B1300),1,0),0))</f>
        <v/>
      </c>
    </row>
    <row r="1301" spans="1:35" x14ac:dyDescent="0.2">
      <c r="A1301" s="19">
        <v>1296</v>
      </c>
      <c r="B1301" s="19">
        <f t="shared" si="340"/>
        <v>36</v>
      </c>
      <c r="C1301" s="19">
        <f t="shared" si="341"/>
        <v>36</v>
      </c>
      <c r="D1301" s="19">
        <f>IF($C1301&gt;p_horizon,0,IFERROR(IF(AND(INDEX(TblClusters[Cluster],$B1301)&lt;&gt;"",ISNUMBER(INDEX(TblClusters[CPU initial (vCPU)],$B1301)),ISNUMBER(INDEX(TblClusters[CPU min (vCPU)],$B1301)),OR(INDEX(TblClusters[Plateforme],$B1301)="IKS",INDEX(TblClusters[Plateforme],$B1301)="ROKS")),1,0),0))</f>
        <v>0</v>
      </c>
      <c r="E1301" s="72" t="str">
        <f t="shared" si="342"/>
        <v/>
      </c>
      <c r="F1301" s="19" t="str">
        <f>IF($D1301=1,INDEX(TblClusters[Cluster],$B1301),"")</f>
        <v/>
      </c>
      <c r="G1301" s="19" t="str">
        <f>IF($D1301=1,INDEX(TblClusters[Plateforme],$B1301),"")</f>
        <v/>
      </c>
      <c r="H1301" s="19" t="str">
        <f>IF($D1301=1,INDEX(TblClusters[vCPU par nœud],$B1301),"")</f>
        <v/>
      </c>
      <c r="I1301" s="19" t="str">
        <f>IF($D1301=1,INDEX(TblClusters[RAM par nœud (Go)],$B1301),"")</f>
        <v/>
      </c>
      <c r="J1301" s="19" t="str">
        <f>IF($D1301=1,INDEX(TblClusters[Workers min],$B1301),"")</f>
        <v/>
      </c>
      <c r="K1301" s="73" t="str">
        <f>IF($D1301=1,INDEX(TblClusters[Tarif par nœud],$B1301),"")</f>
        <v/>
      </c>
      <c r="L1301" s="19" t="str">
        <f>IF($D1301=1,INDEX(TblClusters[CPU initial (vCPU)],$B1301),"")</f>
        <v/>
      </c>
      <c r="M1301" s="19" t="str">
        <f>IF($D1301=1,INDEX(TblClusters[RAM initiale (Go)],$B1301),"")</f>
        <v/>
      </c>
      <c r="N1301" s="19" t="str">
        <f>IF($D1301=1,INDEX(TblClusters[CPU min (vCPU)],$B1301),"")</f>
        <v/>
      </c>
      <c r="O1301" s="19" t="str">
        <f>IF($D1301=1,INDEX(TblClusters[RAM min (Go)],$B1301),"")</f>
        <v/>
      </c>
      <c r="P1301" s="19" t="str">
        <f>IF($D1301&lt;&gt;1,"",IF($G1301="ROKS",SUMIFS(TblApplications[Besoin ROKS CPU (vCPU)],TblApplications[Cluster ROKS cible],$F1301,TblApplications[Action],"À migrer",TblApplications[Déjà incluse ROKS],"Non",TblApplications[Mois prov (calc)],"&lt;="&amp;$E1301),SUMIFS(TblApplications[CPU IKS libérable (vCPU)],TblApplications[Cluster IKS source],$F1301,TblApplications[Mois lib (calc)],"&lt;="&amp;$E1301)))</f>
        <v/>
      </c>
      <c r="Q1301" s="19" t="str">
        <f>IF($D1301&lt;&gt;1,"",IF($G1301="ROKS",SUMIFS(TblApplications[Besoin ROKS RAM (Go)],TblApplications[Cluster ROKS cible],$F1301,TblApplications[Action],"À migrer",TblApplications[Déjà incluse ROKS],"Non",TblApplications[Mois prov (calc)],"&lt;="&amp;$E1301),SUMIFS(TblApplications[RAM IKS libérable (Go)],TblApplications[Cluster IKS source],$F1301,TblApplications[Mois lib (calc)],"&lt;="&amp;$E1301)))</f>
        <v/>
      </c>
      <c r="R1301" s="19" t="str">
        <f t="shared" si="343"/>
        <v/>
      </c>
      <c r="S1301" s="19" t="str">
        <f t="shared" si="344"/>
        <v/>
      </c>
      <c r="T1301" s="19" t="str">
        <f t="shared" si="345"/>
        <v/>
      </c>
      <c r="U1301" s="19" t="str">
        <f t="shared" si="346"/>
        <v/>
      </c>
      <c r="V1301" s="19" t="str">
        <f t="shared" si="347"/>
        <v/>
      </c>
      <c r="W1301" s="73" t="str">
        <f t="shared" si="348"/>
        <v/>
      </c>
      <c r="X1301" s="19" t="str">
        <f>IF($D1301&lt;&gt;1,"",IF($G1301="ROKS",$R1301,IF($AI1301=1,0,MAX($N1301,$L1301-SUMIFS(TblApplications[CPU IKS libérable (vCPU)],TblApplications[Cluster IKS source],$F1301,TblApplications[Action],"À migrer",TblApplications[Mois prov (calc)],"&lt;="&amp;$E1301)-SUMIFS(TblApplications[CPU IKS libérable (vCPU)],TblApplications[Cluster IKS source],$F1301,TblApplications[Action],"À décommissionner",TblApplications[Mois lib (calc)],"&lt;="&amp;$E1301)))))</f>
        <v/>
      </c>
      <c r="Y1301" s="19" t="str">
        <f>IF($D1301&lt;&gt;1,"",IF($G1301="ROKS",$S1301,IF($AI1301=1,0,MAX($O1301,$M1301-SUMIFS(TblApplications[RAM IKS libérable (Go)],TblApplications[Cluster IKS source],$F1301,TblApplications[Action],"À migrer",TblApplications[Mois prov (calc)],"&lt;="&amp;$E1301)-SUMIFS(TblApplications[RAM IKS libérable (Go)],TblApplications[Cluster IKS source],$F1301,TblApplications[Action],"À décommissionner",TblApplications[Mois lib (calc)],"&lt;="&amp;$E1301)))))</f>
        <v/>
      </c>
      <c r="Z1301" s="19" t="str">
        <f t="shared" si="349"/>
        <v/>
      </c>
      <c r="AA1301" s="73" t="str">
        <f t="shared" si="350"/>
        <v/>
      </c>
      <c r="AB1301" s="19" t="str">
        <f t="shared" si="351"/>
        <v/>
      </c>
      <c r="AC1301" s="73" t="str">
        <f t="shared" si="352"/>
        <v/>
      </c>
      <c r="AD1301" s="19" t="str">
        <f t="shared" si="353"/>
        <v/>
      </c>
      <c r="AE1301" s="19" t="str">
        <f t="shared" si="354"/>
        <v/>
      </c>
      <c r="AF1301" s="19" t="str">
        <f>IF($D1301&lt;&gt;1,"",IF(INDEX(TblClusters[Environnement],$B1301)="","(vide)",INDEX(TblClusters[Environnement],$B1301)))</f>
        <v/>
      </c>
      <c r="AG1301" s="19" t="str">
        <f t="shared" si="355"/>
        <v/>
      </c>
      <c r="AH1301" s="19" t="str">
        <f t="shared" si="356"/>
        <v/>
      </c>
      <c r="AI1301" s="19" t="str">
        <f>IF($D1301&lt;&gt;1,"",IF(AND($G1301="IKS",ISNUMBER(INDEX(TblClusters[Fermeture retenue],$B1301))),IF($E1301&gt;=INDEX(TblClusters[Fermeture retenue],$B1301),1,0),0))</f>
        <v/>
      </c>
    </row>
    <row r="1302" spans="1:35" x14ac:dyDescent="0.2">
      <c r="A1302" s="19">
        <v>1297</v>
      </c>
      <c r="B1302" s="19">
        <f t="shared" si="340"/>
        <v>37</v>
      </c>
      <c r="C1302" s="19">
        <f t="shared" si="341"/>
        <v>1</v>
      </c>
      <c r="D1302" s="19">
        <f>IF($C1302&gt;p_horizon,0,IFERROR(IF(AND(INDEX(TblClusters[Cluster],$B1302)&lt;&gt;"",ISNUMBER(INDEX(TblClusters[CPU initial (vCPU)],$B1302)),ISNUMBER(INDEX(TblClusters[CPU min (vCPU)],$B1302)),OR(INDEX(TblClusters[Plateforme],$B1302)="IKS",INDEX(TblClusters[Plateforme],$B1302)="ROKS")),1,0),0))</f>
        <v>0</v>
      </c>
      <c r="E1302" s="72" t="str">
        <f t="shared" si="342"/>
        <v/>
      </c>
      <c r="F1302" s="19" t="str">
        <f>IF($D1302=1,INDEX(TblClusters[Cluster],$B1302),"")</f>
        <v/>
      </c>
      <c r="G1302" s="19" t="str">
        <f>IF($D1302=1,INDEX(TblClusters[Plateforme],$B1302),"")</f>
        <v/>
      </c>
      <c r="H1302" s="19" t="str">
        <f>IF($D1302=1,INDEX(TblClusters[vCPU par nœud],$B1302),"")</f>
        <v/>
      </c>
      <c r="I1302" s="19" t="str">
        <f>IF($D1302=1,INDEX(TblClusters[RAM par nœud (Go)],$B1302),"")</f>
        <v/>
      </c>
      <c r="J1302" s="19" t="str">
        <f>IF($D1302=1,INDEX(TblClusters[Workers min],$B1302),"")</f>
        <v/>
      </c>
      <c r="K1302" s="73" t="str">
        <f>IF($D1302=1,INDEX(TblClusters[Tarif par nœud],$B1302),"")</f>
        <v/>
      </c>
      <c r="L1302" s="19" t="str">
        <f>IF($D1302=1,INDEX(TblClusters[CPU initial (vCPU)],$B1302),"")</f>
        <v/>
      </c>
      <c r="M1302" s="19" t="str">
        <f>IF($D1302=1,INDEX(TblClusters[RAM initiale (Go)],$B1302),"")</f>
        <v/>
      </c>
      <c r="N1302" s="19" t="str">
        <f>IF($D1302=1,INDEX(TblClusters[CPU min (vCPU)],$B1302),"")</f>
        <v/>
      </c>
      <c r="O1302" s="19" t="str">
        <f>IF($D1302=1,INDEX(TblClusters[RAM min (Go)],$B1302),"")</f>
        <v/>
      </c>
      <c r="P1302" s="19" t="str">
        <f>IF($D1302&lt;&gt;1,"",IF($G1302="ROKS",SUMIFS(TblApplications[Besoin ROKS CPU (vCPU)],TblApplications[Cluster ROKS cible],$F1302,TblApplications[Action],"À migrer",TblApplications[Déjà incluse ROKS],"Non",TblApplications[Mois prov (calc)],"&lt;="&amp;$E1302),SUMIFS(TblApplications[CPU IKS libérable (vCPU)],TblApplications[Cluster IKS source],$F1302,TblApplications[Mois lib (calc)],"&lt;="&amp;$E1302)))</f>
        <v/>
      </c>
      <c r="Q1302" s="19" t="str">
        <f>IF($D1302&lt;&gt;1,"",IF($G1302="ROKS",SUMIFS(TblApplications[Besoin ROKS RAM (Go)],TblApplications[Cluster ROKS cible],$F1302,TblApplications[Action],"À migrer",TblApplications[Déjà incluse ROKS],"Non",TblApplications[Mois prov (calc)],"&lt;="&amp;$E1302),SUMIFS(TblApplications[RAM IKS libérable (Go)],TblApplications[Cluster IKS source],$F1302,TblApplications[Mois lib (calc)],"&lt;="&amp;$E1302)))</f>
        <v/>
      </c>
      <c r="R1302" s="19" t="str">
        <f t="shared" si="343"/>
        <v/>
      </c>
      <c r="S1302" s="19" t="str">
        <f t="shared" si="344"/>
        <v/>
      </c>
      <c r="T1302" s="19" t="str">
        <f t="shared" si="345"/>
        <v/>
      </c>
      <c r="U1302" s="19" t="str">
        <f t="shared" si="346"/>
        <v/>
      </c>
      <c r="V1302" s="19" t="str">
        <f t="shared" si="347"/>
        <v/>
      </c>
      <c r="W1302" s="73" t="str">
        <f t="shared" si="348"/>
        <v/>
      </c>
      <c r="X1302" s="19" t="str">
        <f>IF($D1302&lt;&gt;1,"",IF($G1302="ROKS",$R1302,IF($AI1302=1,0,MAX($N1302,$L1302-SUMIFS(TblApplications[CPU IKS libérable (vCPU)],TblApplications[Cluster IKS source],$F1302,TblApplications[Action],"À migrer",TblApplications[Mois prov (calc)],"&lt;="&amp;$E1302)-SUMIFS(TblApplications[CPU IKS libérable (vCPU)],TblApplications[Cluster IKS source],$F1302,TblApplications[Action],"À décommissionner",TblApplications[Mois lib (calc)],"&lt;="&amp;$E1302)))))</f>
        <v/>
      </c>
      <c r="Y1302" s="19" t="str">
        <f>IF($D1302&lt;&gt;1,"",IF($G1302="ROKS",$S1302,IF($AI1302=1,0,MAX($O1302,$M1302-SUMIFS(TblApplications[RAM IKS libérable (Go)],TblApplications[Cluster IKS source],$F1302,TblApplications[Action],"À migrer",TblApplications[Mois prov (calc)],"&lt;="&amp;$E1302)-SUMIFS(TblApplications[RAM IKS libérable (Go)],TblApplications[Cluster IKS source],$F1302,TblApplications[Action],"À décommissionner",TblApplications[Mois lib (calc)],"&lt;="&amp;$E1302)))))</f>
        <v/>
      </c>
      <c r="Z1302" s="19" t="str">
        <f t="shared" si="349"/>
        <v/>
      </c>
      <c r="AA1302" s="73" t="str">
        <f t="shared" si="350"/>
        <v/>
      </c>
      <c r="AB1302" s="19" t="str">
        <f t="shared" si="351"/>
        <v/>
      </c>
      <c r="AC1302" s="73" t="str">
        <f t="shared" si="352"/>
        <v/>
      </c>
      <c r="AD1302" s="19" t="str">
        <f t="shared" si="353"/>
        <v/>
      </c>
      <c r="AE1302" s="19" t="str">
        <f t="shared" si="354"/>
        <v/>
      </c>
      <c r="AF1302" s="19" t="str">
        <f>IF($D1302&lt;&gt;1,"",IF(INDEX(TblClusters[Environnement],$B1302)="","(vide)",INDEX(TblClusters[Environnement],$B1302)))</f>
        <v/>
      </c>
      <c r="AG1302" s="19" t="str">
        <f t="shared" si="355"/>
        <v/>
      </c>
      <c r="AH1302" s="19" t="str">
        <f t="shared" si="356"/>
        <v/>
      </c>
      <c r="AI1302" s="19" t="str">
        <f>IF($D1302&lt;&gt;1,"",IF(AND($G1302="IKS",ISNUMBER(INDEX(TblClusters[Fermeture retenue],$B1302))),IF($E1302&gt;=INDEX(TblClusters[Fermeture retenue],$B1302),1,0),0))</f>
        <v/>
      </c>
    </row>
    <row r="1303" spans="1:35" x14ac:dyDescent="0.2">
      <c r="A1303" s="19">
        <v>1298</v>
      </c>
      <c r="B1303" s="19">
        <f t="shared" si="340"/>
        <v>37</v>
      </c>
      <c r="C1303" s="19">
        <f t="shared" si="341"/>
        <v>2</v>
      </c>
      <c r="D1303" s="19">
        <f>IF($C1303&gt;p_horizon,0,IFERROR(IF(AND(INDEX(TblClusters[Cluster],$B1303)&lt;&gt;"",ISNUMBER(INDEX(TblClusters[CPU initial (vCPU)],$B1303)),ISNUMBER(INDEX(TblClusters[CPU min (vCPU)],$B1303)),OR(INDEX(TblClusters[Plateforme],$B1303)="IKS",INDEX(TblClusters[Plateforme],$B1303)="ROKS")),1,0),0))</f>
        <v>0</v>
      </c>
      <c r="E1303" s="72" t="str">
        <f t="shared" si="342"/>
        <v/>
      </c>
      <c r="F1303" s="19" t="str">
        <f>IF($D1303=1,INDEX(TblClusters[Cluster],$B1303),"")</f>
        <v/>
      </c>
      <c r="G1303" s="19" t="str">
        <f>IF($D1303=1,INDEX(TblClusters[Plateforme],$B1303),"")</f>
        <v/>
      </c>
      <c r="H1303" s="19" t="str">
        <f>IF($D1303=1,INDEX(TblClusters[vCPU par nœud],$B1303),"")</f>
        <v/>
      </c>
      <c r="I1303" s="19" t="str">
        <f>IF($D1303=1,INDEX(TblClusters[RAM par nœud (Go)],$B1303),"")</f>
        <v/>
      </c>
      <c r="J1303" s="19" t="str">
        <f>IF($D1303=1,INDEX(TblClusters[Workers min],$B1303),"")</f>
        <v/>
      </c>
      <c r="K1303" s="73" t="str">
        <f>IF($D1303=1,INDEX(TblClusters[Tarif par nœud],$B1303),"")</f>
        <v/>
      </c>
      <c r="L1303" s="19" t="str">
        <f>IF($D1303=1,INDEX(TblClusters[CPU initial (vCPU)],$B1303),"")</f>
        <v/>
      </c>
      <c r="M1303" s="19" t="str">
        <f>IF($D1303=1,INDEX(TblClusters[RAM initiale (Go)],$B1303),"")</f>
        <v/>
      </c>
      <c r="N1303" s="19" t="str">
        <f>IF($D1303=1,INDEX(TblClusters[CPU min (vCPU)],$B1303),"")</f>
        <v/>
      </c>
      <c r="O1303" s="19" t="str">
        <f>IF($D1303=1,INDEX(TblClusters[RAM min (Go)],$B1303),"")</f>
        <v/>
      </c>
      <c r="P1303" s="19" t="str">
        <f>IF($D1303&lt;&gt;1,"",IF($G1303="ROKS",SUMIFS(TblApplications[Besoin ROKS CPU (vCPU)],TblApplications[Cluster ROKS cible],$F1303,TblApplications[Action],"À migrer",TblApplications[Déjà incluse ROKS],"Non",TblApplications[Mois prov (calc)],"&lt;="&amp;$E1303),SUMIFS(TblApplications[CPU IKS libérable (vCPU)],TblApplications[Cluster IKS source],$F1303,TblApplications[Mois lib (calc)],"&lt;="&amp;$E1303)))</f>
        <v/>
      </c>
      <c r="Q1303" s="19" t="str">
        <f>IF($D1303&lt;&gt;1,"",IF($G1303="ROKS",SUMIFS(TblApplications[Besoin ROKS RAM (Go)],TblApplications[Cluster ROKS cible],$F1303,TblApplications[Action],"À migrer",TblApplications[Déjà incluse ROKS],"Non",TblApplications[Mois prov (calc)],"&lt;="&amp;$E1303),SUMIFS(TblApplications[RAM IKS libérable (Go)],TblApplications[Cluster IKS source],$F1303,TblApplications[Mois lib (calc)],"&lt;="&amp;$E1303)))</f>
        <v/>
      </c>
      <c r="R1303" s="19" t="str">
        <f t="shared" si="343"/>
        <v/>
      </c>
      <c r="S1303" s="19" t="str">
        <f t="shared" si="344"/>
        <v/>
      </c>
      <c r="T1303" s="19" t="str">
        <f t="shared" si="345"/>
        <v/>
      </c>
      <c r="U1303" s="19" t="str">
        <f t="shared" si="346"/>
        <v/>
      </c>
      <c r="V1303" s="19" t="str">
        <f t="shared" si="347"/>
        <v/>
      </c>
      <c r="W1303" s="73" t="str">
        <f t="shared" si="348"/>
        <v/>
      </c>
      <c r="X1303" s="19" t="str">
        <f>IF($D1303&lt;&gt;1,"",IF($G1303="ROKS",$R1303,IF($AI1303=1,0,MAX($N1303,$L1303-SUMIFS(TblApplications[CPU IKS libérable (vCPU)],TblApplications[Cluster IKS source],$F1303,TblApplications[Action],"À migrer",TblApplications[Mois prov (calc)],"&lt;="&amp;$E1303)-SUMIFS(TblApplications[CPU IKS libérable (vCPU)],TblApplications[Cluster IKS source],$F1303,TblApplications[Action],"À décommissionner",TblApplications[Mois lib (calc)],"&lt;="&amp;$E1303)))))</f>
        <v/>
      </c>
      <c r="Y1303" s="19" t="str">
        <f>IF($D1303&lt;&gt;1,"",IF($G1303="ROKS",$S1303,IF($AI1303=1,0,MAX($O1303,$M1303-SUMIFS(TblApplications[RAM IKS libérable (Go)],TblApplications[Cluster IKS source],$F1303,TblApplications[Action],"À migrer",TblApplications[Mois prov (calc)],"&lt;="&amp;$E1303)-SUMIFS(TblApplications[RAM IKS libérable (Go)],TblApplications[Cluster IKS source],$F1303,TblApplications[Action],"À décommissionner",TblApplications[Mois lib (calc)],"&lt;="&amp;$E1303)))))</f>
        <v/>
      </c>
      <c r="Z1303" s="19" t="str">
        <f t="shared" si="349"/>
        <v/>
      </c>
      <c r="AA1303" s="73" t="str">
        <f t="shared" si="350"/>
        <v/>
      </c>
      <c r="AB1303" s="19" t="str">
        <f t="shared" si="351"/>
        <v/>
      </c>
      <c r="AC1303" s="73" t="str">
        <f t="shared" si="352"/>
        <v/>
      </c>
      <c r="AD1303" s="19" t="str">
        <f t="shared" si="353"/>
        <v/>
      </c>
      <c r="AE1303" s="19" t="str">
        <f t="shared" si="354"/>
        <v/>
      </c>
      <c r="AF1303" s="19" t="str">
        <f>IF($D1303&lt;&gt;1,"",IF(INDEX(TblClusters[Environnement],$B1303)="","(vide)",INDEX(TblClusters[Environnement],$B1303)))</f>
        <v/>
      </c>
      <c r="AG1303" s="19" t="str">
        <f t="shared" si="355"/>
        <v/>
      </c>
      <c r="AH1303" s="19" t="str">
        <f t="shared" si="356"/>
        <v/>
      </c>
      <c r="AI1303" s="19" t="str">
        <f>IF($D1303&lt;&gt;1,"",IF(AND($G1303="IKS",ISNUMBER(INDEX(TblClusters[Fermeture retenue],$B1303))),IF($E1303&gt;=INDEX(TblClusters[Fermeture retenue],$B1303),1,0),0))</f>
        <v/>
      </c>
    </row>
    <row r="1304" spans="1:35" x14ac:dyDescent="0.2">
      <c r="A1304" s="19">
        <v>1299</v>
      </c>
      <c r="B1304" s="19">
        <f t="shared" si="340"/>
        <v>37</v>
      </c>
      <c r="C1304" s="19">
        <f t="shared" si="341"/>
        <v>3</v>
      </c>
      <c r="D1304" s="19">
        <f>IF($C1304&gt;p_horizon,0,IFERROR(IF(AND(INDEX(TblClusters[Cluster],$B1304)&lt;&gt;"",ISNUMBER(INDEX(TblClusters[CPU initial (vCPU)],$B1304)),ISNUMBER(INDEX(TblClusters[CPU min (vCPU)],$B1304)),OR(INDEX(TblClusters[Plateforme],$B1304)="IKS",INDEX(TblClusters[Plateforme],$B1304)="ROKS")),1,0),0))</f>
        <v>0</v>
      </c>
      <c r="E1304" s="72" t="str">
        <f t="shared" si="342"/>
        <v/>
      </c>
      <c r="F1304" s="19" t="str">
        <f>IF($D1304=1,INDEX(TblClusters[Cluster],$B1304),"")</f>
        <v/>
      </c>
      <c r="G1304" s="19" t="str">
        <f>IF($D1304=1,INDEX(TblClusters[Plateforme],$B1304),"")</f>
        <v/>
      </c>
      <c r="H1304" s="19" t="str">
        <f>IF($D1304=1,INDEX(TblClusters[vCPU par nœud],$B1304),"")</f>
        <v/>
      </c>
      <c r="I1304" s="19" t="str">
        <f>IF($D1304=1,INDEX(TblClusters[RAM par nœud (Go)],$B1304),"")</f>
        <v/>
      </c>
      <c r="J1304" s="19" t="str">
        <f>IF($D1304=1,INDEX(TblClusters[Workers min],$B1304),"")</f>
        <v/>
      </c>
      <c r="K1304" s="73" t="str">
        <f>IF($D1304=1,INDEX(TblClusters[Tarif par nœud],$B1304),"")</f>
        <v/>
      </c>
      <c r="L1304" s="19" t="str">
        <f>IF($D1304=1,INDEX(TblClusters[CPU initial (vCPU)],$B1304),"")</f>
        <v/>
      </c>
      <c r="M1304" s="19" t="str">
        <f>IF($D1304=1,INDEX(TblClusters[RAM initiale (Go)],$B1304),"")</f>
        <v/>
      </c>
      <c r="N1304" s="19" t="str">
        <f>IF($D1304=1,INDEX(TblClusters[CPU min (vCPU)],$B1304),"")</f>
        <v/>
      </c>
      <c r="O1304" s="19" t="str">
        <f>IF($D1304=1,INDEX(TblClusters[RAM min (Go)],$B1304),"")</f>
        <v/>
      </c>
      <c r="P1304" s="19" t="str">
        <f>IF($D1304&lt;&gt;1,"",IF($G1304="ROKS",SUMIFS(TblApplications[Besoin ROKS CPU (vCPU)],TblApplications[Cluster ROKS cible],$F1304,TblApplications[Action],"À migrer",TblApplications[Déjà incluse ROKS],"Non",TblApplications[Mois prov (calc)],"&lt;="&amp;$E1304),SUMIFS(TblApplications[CPU IKS libérable (vCPU)],TblApplications[Cluster IKS source],$F1304,TblApplications[Mois lib (calc)],"&lt;="&amp;$E1304)))</f>
        <v/>
      </c>
      <c r="Q1304" s="19" t="str">
        <f>IF($D1304&lt;&gt;1,"",IF($G1304="ROKS",SUMIFS(TblApplications[Besoin ROKS RAM (Go)],TblApplications[Cluster ROKS cible],$F1304,TblApplications[Action],"À migrer",TblApplications[Déjà incluse ROKS],"Non",TblApplications[Mois prov (calc)],"&lt;="&amp;$E1304),SUMIFS(TblApplications[RAM IKS libérable (Go)],TblApplications[Cluster IKS source],$F1304,TblApplications[Mois lib (calc)],"&lt;="&amp;$E1304)))</f>
        <v/>
      </c>
      <c r="R1304" s="19" t="str">
        <f t="shared" si="343"/>
        <v/>
      </c>
      <c r="S1304" s="19" t="str">
        <f t="shared" si="344"/>
        <v/>
      </c>
      <c r="T1304" s="19" t="str">
        <f t="shared" si="345"/>
        <v/>
      </c>
      <c r="U1304" s="19" t="str">
        <f t="shared" si="346"/>
        <v/>
      </c>
      <c r="V1304" s="19" t="str">
        <f t="shared" si="347"/>
        <v/>
      </c>
      <c r="W1304" s="73" t="str">
        <f t="shared" si="348"/>
        <v/>
      </c>
      <c r="X1304" s="19" t="str">
        <f>IF($D1304&lt;&gt;1,"",IF($G1304="ROKS",$R1304,IF($AI1304=1,0,MAX($N1304,$L1304-SUMIFS(TblApplications[CPU IKS libérable (vCPU)],TblApplications[Cluster IKS source],$F1304,TblApplications[Action],"À migrer",TblApplications[Mois prov (calc)],"&lt;="&amp;$E1304)-SUMIFS(TblApplications[CPU IKS libérable (vCPU)],TblApplications[Cluster IKS source],$F1304,TblApplications[Action],"À décommissionner",TblApplications[Mois lib (calc)],"&lt;="&amp;$E1304)))))</f>
        <v/>
      </c>
      <c r="Y1304" s="19" t="str">
        <f>IF($D1304&lt;&gt;1,"",IF($G1304="ROKS",$S1304,IF($AI1304=1,0,MAX($O1304,$M1304-SUMIFS(TblApplications[RAM IKS libérable (Go)],TblApplications[Cluster IKS source],$F1304,TblApplications[Action],"À migrer",TblApplications[Mois prov (calc)],"&lt;="&amp;$E1304)-SUMIFS(TblApplications[RAM IKS libérable (Go)],TblApplications[Cluster IKS source],$F1304,TblApplications[Action],"À décommissionner",TblApplications[Mois lib (calc)],"&lt;="&amp;$E1304)))))</f>
        <v/>
      </c>
      <c r="Z1304" s="19" t="str">
        <f t="shared" si="349"/>
        <v/>
      </c>
      <c r="AA1304" s="73" t="str">
        <f t="shared" si="350"/>
        <v/>
      </c>
      <c r="AB1304" s="19" t="str">
        <f t="shared" si="351"/>
        <v/>
      </c>
      <c r="AC1304" s="73" t="str">
        <f t="shared" si="352"/>
        <v/>
      </c>
      <c r="AD1304" s="19" t="str">
        <f t="shared" si="353"/>
        <v/>
      </c>
      <c r="AE1304" s="19" t="str">
        <f t="shared" si="354"/>
        <v/>
      </c>
      <c r="AF1304" s="19" t="str">
        <f>IF($D1304&lt;&gt;1,"",IF(INDEX(TblClusters[Environnement],$B1304)="","(vide)",INDEX(TblClusters[Environnement],$B1304)))</f>
        <v/>
      </c>
      <c r="AG1304" s="19" t="str">
        <f t="shared" si="355"/>
        <v/>
      </c>
      <c r="AH1304" s="19" t="str">
        <f t="shared" si="356"/>
        <v/>
      </c>
      <c r="AI1304" s="19" t="str">
        <f>IF($D1304&lt;&gt;1,"",IF(AND($G1304="IKS",ISNUMBER(INDEX(TblClusters[Fermeture retenue],$B1304))),IF($E1304&gt;=INDEX(TblClusters[Fermeture retenue],$B1304),1,0),0))</f>
        <v/>
      </c>
    </row>
    <row r="1305" spans="1:35" x14ac:dyDescent="0.2">
      <c r="A1305" s="19">
        <v>1300</v>
      </c>
      <c r="B1305" s="19">
        <f t="shared" si="340"/>
        <v>37</v>
      </c>
      <c r="C1305" s="19">
        <f t="shared" si="341"/>
        <v>4</v>
      </c>
      <c r="D1305" s="19">
        <f>IF($C1305&gt;p_horizon,0,IFERROR(IF(AND(INDEX(TblClusters[Cluster],$B1305)&lt;&gt;"",ISNUMBER(INDEX(TblClusters[CPU initial (vCPU)],$B1305)),ISNUMBER(INDEX(TblClusters[CPU min (vCPU)],$B1305)),OR(INDEX(TblClusters[Plateforme],$B1305)="IKS",INDEX(TblClusters[Plateforme],$B1305)="ROKS")),1,0),0))</f>
        <v>0</v>
      </c>
      <c r="E1305" s="72" t="str">
        <f t="shared" si="342"/>
        <v/>
      </c>
      <c r="F1305" s="19" t="str">
        <f>IF($D1305=1,INDEX(TblClusters[Cluster],$B1305),"")</f>
        <v/>
      </c>
      <c r="G1305" s="19" t="str">
        <f>IF($D1305=1,INDEX(TblClusters[Plateforme],$B1305),"")</f>
        <v/>
      </c>
      <c r="H1305" s="19" t="str">
        <f>IF($D1305=1,INDEX(TblClusters[vCPU par nœud],$B1305),"")</f>
        <v/>
      </c>
      <c r="I1305" s="19" t="str">
        <f>IF($D1305=1,INDEX(TblClusters[RAM par nœud (Go)],$B1305),"")</f>
        <v/>
      </c>
      <c r="J1305" s="19" t="str">
        <f>IF($D1305=1,INDEX(TblClusters[Workers min],$B1305),"")</f>
        <v/>
      </c>
      <c r="K1305" s="73" t="str">
        <f>IF($D1305=1,INDEX(TblClusters[Tarif par nœud],$B1305),"")</f>
        <v/>
      </c>
      <c r="L1305" s="19" t="str">
        <f>IF($D1305=1,INDEX(TblClusters[CPU initial (vCPU)],$B1305),"")</f>
        <v/>
      </c>
      <c r="M1305" s="19" t="str">
        <f>IF($D1305=1,INDEX(TblClusters[RAM initiale (Go)],$B1305),"")</f>
        <v/>
      </c>
      <c r="N1305" s="19" t="str">
        <f>IF($D1305=1,INDEX(TblClusters[CPU min (vCPU)],$B1305),"")</f>
        <v/>
      </c>
      <c r="O1305" s="19" t="str">
        <f>IF($D1305=1,INDEX(TblClusters[RAM min (Go)],$B1305),"")</f>
        <v/>
      </c>
      <c r="P1305" s="19" t="str">
        <f>IF($D1305&lt;&gt;1,"",IF($G1305="ROKS",SUMIFS(TblApplications[Besoin ROKS CPU (vCPU)],TblApplications[Cluster ROKS cible],$F1305,TblApplications[Action],"À migrer",TblApplications[Déjà incluse ROKS],"Non",TblApplications[Mois prov (calc)],"&lt;="&amp;$E1305),SUMIFS(TblApplications[CPU IKS libérable (vCPU)],TblApplications[Cluster IKS source],$F1305,TblApplications[Mois lib (calc)],"&lt;="&amp;$E1305)))</f>
        <v/>
      </c>
      <c r="Q1305" s="19" t="str">
        <f>IF($D1305&lt;&gt;1,"",IF($G1305="ROKS",SUMIFS(TblApplications[Besoin ROKS RAM (Go)],TblApplications[Cluster ROKS cible],$F1305,TblApplications[Action],"À migrer",TblApplications[Déjà incluse ROKS],"Non",TblApplications[Mois prov (calc)],"&lt;="&amp;$E1305),SUMIFS(TblApplications[RAM IKS libérable (Go)],TblApplications[Cluster IKS source],$F1305,TblApplications[Mois lib (calc)],"&lt;="&amp;$E1305)))</f>
        <v/>
      </c>
      <c r="R1305" s="19" t="str">
        <f t="shared" si="343"/>
        <v/>
      </c>
      <c r="S1305" s="19" t="str">
        <f t="shared" si="344"/>
        <v/>
      </c>
      <c r="T1305" s="19" t="str">
        <f t="shared" si="345"/>
        <v/>
      </c>
      <c r="U1305" s="19" t="str">
        <f t="shared" si="346"/>
        <v/>
      </c>
      <c r="V1305" s="19" t="str">
        <f t="shared" si="347"/>
        <v/>
      </c>
      <c r="W1305" s="73" t="str">
        <f t="shared" si="348"/>
        <v/>
      </c>
      <c r="X1305" s="19" t="str">
        <f>IF($D1305&lt;&gt;1,"",IF($G1305="ROKS",$R1305,IF($AI1305=1,0,MAX($N1305,$L1305-SUMIFS(TblApplications[CPU IKS libérable (vCPU)],TblApplications[Cluster IKS source],$F1305,TblApplications[Action],"À migrer",TblApplications[Mois prov (calc)],"&lt;="&amp;$E1305)-SUMIFS(TblApplications[CPU IKS libérable (vCPU)],TblApplications[Cluster IKS source],$F1305,TblApplications[Action],"À décommissionner",TblApplications[Mois lib (calc)],"&lt;="&amp;$E1305)))))</f>
        <v/>
      </c>
      <c r="Y1305" s="19" t="str">
        <f>IF($D1305&lt;&gt;1,"",IF($G1305="ROKS",$S1305,IF($AI1305=1,0,MAX($O1305,$M1305-SUMIFS(TblApplications[RAM IKS libérable (Go)],TblApplications[Cluster IKS source],$F1305,TblApplications[Action],"À migrer",TblApplications[Mois prov (calc)],"&lt;="&amp;$E1305)-SUMIFS(TblApplications[RAM IKS libérable (Go)],TblApplications[Cluster IKS source],$F1305,TblApplications[Action],"À décommissionner",TblApplications[Mois lib (calc)],"&lt;="&amp;$E1305)))))</f>
        <v/>
      </c>
      <c r="Z1305" s="19" t="str">
        <f t="shared" si="349"/>
        <v/>
      </c>
      <c r="AA1305" s="73" t="str">
        <f t="shared" si="350"/>
        <v/>
      </c>
      <c r="AB1305" s="19" t="str">
        <f t="shared" si="351"/>
        <v/>
      </c>
      <c r="AC1305" s="73" t="str">
        <f t="shared" si="352"/>
        <v/>
      </c>
      <c r="AD1305" s="19" t="str">
        <f t="shared" si="353"/>
        <v/>
      </c>
      <c r="AE1305" s="19" t="str">
        <f t="shared" si="354"/>
        <v/>
      </c>
      <c r="AF1305" s="19" t="str">
        <f>IF($D1305&lt;&gt;1,"",IF(INDEX(TblClusters[Environnement],$B1305)="","(vide)",INDEX(TblClusters[Environnement],$B1305)))</f>
        <v/>
      </c>
      <c r="AG1305" s="19" t="str">
        <f t="shared" si="355"/>
        <v/>
      </c>
      <c r="AH1305" s="19" t="str">
        <f t="shared" si="356"/>
        <v/>
      </c>
      <c r="AI1305" s="19" t="str">
        <f>IF($D1305&lt;&gt;1,"",IF(AND($G1305="IKS",ISNUMBER(INDEX(TblClusters[Fermeture retenue],$B1305))),IF($E1305&gt;=INDEX(TblClusters[Fermeture retenue],$B1305),1,0),0))</f>
        <v/>
      </c>
    </row>
    <row r="1306" spans="1:35" x14ac:dyDescent="0.2">
      <c r="A1306" s="19">
        <v>1301</v>
      </c>
      <c r="B1306" s="19">
        <f t="shared" si="340"/>
        <v>37</v>
      </c>
      <c r="C1306" s="19">
        <f t="shared" si="341"/>
        <v>5</v>
      </c>
      <c r="D1306" s="19">
        <f>IF($C1306&gt;p_horizon,0,IFERROR(IF(AND(INDEX(TblClusters[Cluster],$B1306)&lt;&gt;"",ISNUMBER(INDEX(TblClusters[CPU initial (vCPU)],$B1306)),ISNUMBER(INDEX(TblClusters[CPU min (vCPU)],$B1306)),OR(INDEX(TblClusters[Plateforme],$B1306)="IKS",INDEX(TblClusters[Plateforme],$B1306)="ROKS")),1,0),0))</f>
        <v>0</v>
      </c>
      <c r="E1306" s="72" t="str">
        <f t="shared" si="342"/>
        <v/>
      </c>
      <c r="F1306" s="19" t="str">
        <f>IF($D1306=1,INDEX(TblClusters[Cluster],$B1306),"")</f>
        <v/>
      </c>
      <c r="G1306" s="19" t="str">
        <f>IF($D1306=1,INDEX(TblClusters[Plateforme],$B1306),"")</f>
        <v/>
      </c>
      <c r="H1306" s="19" t="str">
        <f>IF($D1306=1,INDEX(TblClusters[vCPU par nœud],$B1306),"")</f>
        <v/>
      </c>
      <c r="I1306" s="19" t="str">
        <f>IF($D1306=1,INDEX(TblClusters[RAM par nœud (Go)],$B1306),"")</f>
        <v/>
      </c>
      <c r="J1306" s="19" t="str">
        <f>IF($D1306=1,INDEX(TblClusters[Workers min],$B1306),"")</f>
        <v/>
      </c>
      <c r="K1306" s="73" t="str">
        <f>IF($D1306=1,INDEX(TblClusters[Tarif par nœud],$B1306),"")</f>
        <v/>
      </c>
      <c r="L1306" s="19" t="str">
        <f>IF($D1306=1,INDEX(TblClusters[CPU initial (vCPU)],$B1306),"")</f>
        <v/>
      </c>
      <c r="M1306" s="19" t="str">
        <f>IF($D1306=1,INDEX(TblClusters[RAM initiale (Go)],$B1306),"")</f>
        <v/>
      </c>
      <c r="N1306" s="19" t="str">
        <f>IF($D1306=1,INDEX(TblClusters[CPU min (vCPU)],$B1306),"")</f>
        <v/>
      </c>
      <c r="O1306" s="19" t="str">
        <f>IF($D1306=1,INDEX(TblClusters[RAM min (Go)],$B1306),"")</f>
        <v/>
      </c>
      <c r="P1306" s="19" t="str">
        <f>IF($D1306&lt;&gt;1,"",IF($G1306="ROKS",SUMIFS(TblApplications[Besoin ROKS CPU (vCPU)],TblApplications[Cluster ROKS cible],$F1306,TblApplications[Action],"À migrer",TblApplications[Déjà incluse ROKS],"Non",TblApplications[Mois prov (calc)],"&lt;="&amp;$E1306),SUMIFS(TblApplications[CPU IKS libérable (vCPU)],TblApplications[Cluster IKS source],$F1306,TblApplications[Mois lib (calc)],"&lt;="&amp;$E1306)))</f>
        <v/>
      </c>
      <c r="Q1306" s="19" t="str">
        <f>IF($D1306&lt;&gt;1,"",IF($G1306="ROKS",SUMIFS(TblApplications[Besoin ROKS RAM (Go)],TblApplications[Cluster ROKS cible],$F1306,TblApplications[Action],"À migrer",TblApplications[Déjà incluse ROKS],"Non",TblApplications[Mois prov (calc)],"&lt;="&amp;$E1306),SUMIFS(TblApplications[RAM IKS libérable (Go)],TblApplications[Cluster IKS source],$F1306,TblApplications[Mois lib (calc)],"&lt;="&amp;$E1306)))</f>
        <v/>
      </c>
      <c r="R1306" s="19" t="str">
        <f t="shared" si="343"/>
        <v/>
      </c>
      <c r="S1306" s="19" t="str">
        <f t="shared" si="344"/>
        <v/>
      </c>
      <c r="T1306" s="19" t="str">
        <f t="shared" si="345"/>
        <v/>
      </c>
      <c r="U1306" s="19" t="str">
        <f t="shared" si="346"/>
        <v/>
      </c>
      <c r="V1306" s="19" t="str">
        <f t="shared" si="347"/>
        <v/>
      </c>
      <c r="W1306" s="73" t="str">
        <f t="shared" si="348"/>
        <v/>
      </c>
      <c r="X1306" s="19" t="str">
        <f>IF($D1306&lt;&gt;1,"",IF($G1306="ROKS",$R1306,IF($AI1306=1,0,MAX($N1306,$L1306-SUMIFS(TblApplications[CPU IKS libérable (vCPU)],TblApplications[Cluster IKS source],$F1306,TblApplications[Action],"À migrer",TblApplications[Mois prov (calc)],"&lt;="&amp;$E1306)-SUMIFS(TblApplications[CPU IKS libérable (vCPU)],TblApplications[Cluster IKS source],$F1306,TblApplications[Action],"À décommissionner",TblApplications[Mois lib (calc)],"&lt;="&amp;$E1306)))))</f>
        <v/>
      </c>
      <c r="Y1306" s="19" t="str">
        <f>IF($D1306&lt;&gt;1,"",IF($G1306="ROKS",$S1306,IF($AI1306=1,0,MAX($O1306,$M1306-SUMIFS(TblApplications[RAM IKS libérable (Go)],TblApplications[Cluster IKS source],$F1306,TblApplications[Action],"À migrer",TblApplications[Mois prov (calc)],"&lt;="&amp;$E1306)-SUMIFS(TblApplications[RAM IKS libérable (Go)],TblApplications[Cluster IKS source],$F1306,TblApplications[Action],"À décommissionner",TblApplications[Mois lib (calc)],"&lt;="&amp;$E1306)))))</f>
        <v/>
      </c>
      <c r="Z1306" s="19" t="str">
        <f t="shared" si="349"/>
        <v/>
      </c>
      <c r="AA1306" s="73" t="str">
        <f t="shared" si="350"/>
        <v/>
      </c>
      <c r="AB1306" s="19" t="str">
        <f t="shared" si="351"/>
        <v/>
      </c>
      <c r="AC1306" s="73" t="str">
        <f t="shared" si="352"/>
        <v/>
      </c>
      <c r="AD1306" s="19" t="str">
        <f t="shared" si="353"/>
        <v/>
      </c>
      <c r="AE1306" s="19" t="str">
        <f t="shared" si="354"/>
        <v/>
      </c>
      <c r="AF1306" s="19" t="str">
        <f>IF($D1306&lt;&gt;1,"",IF(INDEX(TblClusters[Environnement],$B1306)="","(vide)",INDEX(TblClusters[Environnement],$B1306)))</f>
        <v/>
      </c>
      <c r="AG1306" s="19" t="str">
        <f t="shared" si="355"/>
        <v/>
      </c>
      <c r="AH1306" s="19" t="str">
        <f t="shared" si="356"/>
        <v/>
      </c>
      <c r="AI1306" s="19" t="str">
        <f>IF($D1306&lt;&gt;1,"",IF(AND($G1306="IKS",ISNUMBER(INDEX(TblClusters[Fermeture retenue],$B1306))),IF($E1306&gt;=INDEX(TblClusters[Fermeture retenue],$B1306),1,0),0))</f>
        <v/>
      </c>
    </row>
    <row r="1307" spans="1:35" x14ac:dyDescent="0.2">
      <c r="A1307" s="19">
        <v>1302</v>
      </c>
      <c r="B1307" s="19">
        <f t="shared" si="340"/>
        <v>37</v>
      </c>
      <c r="C1307" s="19">
        <f t="shared" si="341"/>
        <v>6</v>
      </c>
      <c r="D1307" s="19">
        <f>IF($C1307&gt;p_horizon,0,IFERROR(IF(AND(INDEX(TblClusters[Cluster],$B1307)&lt;&gt;"",ISNUMBER(INDEX(TblClusters[CPU initial (vCPU)],$B1307)),ISNUMBER(INDEX(TblClusters[CPU min (vCPU)],$B1307)),OR(INDEX(TblClusters[Plateforme],$B1307)="IKS",INDEX(TblClusters[Plateforme],$B1307)="ROKS")),1,0),0))</f>
        <v>0</v>
      </c>
      <c r="E1307" s="72" t="str">
        <f t="shared" si="342"/>
        <v/>
      </c>
      <c r="F1307" s="19" t="str">
        <f>IF($D1307=1,INDEX(TblClusters[Cluster],$B1307),"")</f>
        <v/>
      </c>
      <c r="G1307" s="19" t="str">
        <f>IF($D1307=1,INDEX(TblClusters[Plateforme],$B1307),"")</f>
        <v/>
      </c>
      <c r="H1307" s="19" t="str">
        <f>IF($D1307=1,INDEX(TblClusters[vCPU par nœud],$B1307),"")</f>
        <v/>
      </c>
      <c r="I1307" s="19" t="str">
        <f>IF($D1307=1,INDEX(TblClusters[RAM par nœud (Go)],$B1307),"")</f>
        <v/>
      </c>
      <c r="J1307" s="19" t="str">
        <f>IF($D1307=1,INDEX(TblClusters[Workers min],$B1307),"")</f>
        <v/>
      </c>
      <c r="K1307" s="73" t="str">
        <f>IF($D1307=1,INDEX(TblClusters[Tarif par nœud],$B1307),"")</f>
        <v/>
      </c>
      <c r="L1307" s="19" t="str">
        <f>IF($D1307=1,INDEX(TblClusters[CPU initial (vCPU)],$B1307),"")</f>
        <v/>
      </c>
      <c r="M1307" s="19" t="str">
        <f>IF($D1307=1,INDEX(TblClusters[RAM initiale (Go)],$B1307),"")</f>
        <v/>
      </c>
      <c r="N1307" s="19" t="str">
        <f>IF($D1307=1,INDEX(TblClusters[CPU min (vCPU)],$B1307),"")</f>
        <v/>
      </c>
      <c r="O1307" s="19" t="str">
        <f>IF($D1307=1,INDEX(TblClusters[RAM min (Go)],$B1307),"")</f>
        <v/>
      </c>
      <c r="P1307" s="19" t="str">
        <f>IF($D1307&lt;&gt;1,"",IF($G1307="ROKS",SUMIFS(TblApplications[Besoin ROKS CPU (vCPU)],TblApplications[Cluster ROKS cible],$F1307,TblApplications[Action],"À migrer",TblApplications[Déjà incluse ROKS],"Non",TblApplications[Mois prov (calc)],"&lt;="&amp;$E1307),SUMIFS(TblApplications[CPU IKS libérable (vCPU)],TblApplications[Cluster IKS source],$F1307,TblApplications[Mois lib (calc)],"&lt;="&amp;$E1307)))</f>
        <v/>
      </c>
      <c r="Q1307" s="19" t="str">
        <f>IF($D1307&lt;&gt;1,"",IF($G1307="ROKS",SUMIFS(TblApplications[Besoin ROKS RAM (Go)],TblApplications[Cluster ROKS cible],$F1307,TblApplications[Action],"À migrer",TblApplications[Déjà incluse ROKS],"Non",TblApplications[Mois prov (calc)],"&lt;="&amp;$E1307),SUMIFS(TblApplications[RAM IKS libérable (Go)],TblApplications[Cluster IKS source],$F1307,TblApplications[Mois lib (calc)],"&lt;="&amp;$E1307)))</f>
        <v/>
      </c>
      <c r="R1307" s="19" t="str">
        <f t="shared" si="343"/>
        <v/>
      </c>
      <c r="S1307" s="19" t="str">
        <f t="shared" si="344"/>
        <v/>
      </c>
      <c r="T1307" s="19" t="str">
        <f t="shared" si="345"/>
        <v/>
      </c>
      <c r="U1307" s="19" t="str">
        <f t="shared" si="346"/>
        <v/>
      </c>
      <c r="V1307" s="19" t="str">
        <f t="shared" si="347"/>
        <v/>
      </c>
      <c r="W1307" s="73" t="str">
        <f t="shared" si="348"/>
        <v/>
      </c>
      <c r="X1307" s="19" t="str">
        <f>IF($D1307&lt;&gt;1,"",IF($G1307="ROKS",$R1307,IF($AI1307=1,0,MAX($N1307,$L1307-SUMIFS(TblApplications[CPU IKS libérable (vCPU)],TblApplications[Cluster IKS source],$F1307,TblApplications[Action],"À migrer",TblApplications[Mois prov (calc)],"&lt;="&amp;$E1307)-SUMIFS(TblApplications[CPU IKS libérable (vCPU)],TblApplications[Cluster IKS source],$F1307,TblApplications[Action],"À décommissionner",TblApplications[Mois lib (calc)],"&lt;="&amp;$E1307)))))</f>
        <v/>
      </c>
      <c r="Y1307" s="19" t="str">
        <f>IF($D1307&lt;&gt;1,"",IF($G1307="ROKS",$S1307,IF($AI1307=1,0,MAX($O1307,$M1307-SUMIFS(TblApplications[RAM IKS libérable (Go)],TblApplications[Cluster IKS source],$F1307,TblApplications[Action],"À migrer",TblApplications[Mois prov (calc)],"&lt;="&amp;$E1307)-SUMIFS(TblApplications[RAM IKS libérable (Go)],TblApplications[Cluster IKS source],$F1307,TblApplications[Action],"À décommissionner",TblApplications[Mois lib (calc)],"&lt;="&amp;$E1307)))))</f>
        <v/>
      </c>
      <c r="Z1307" s="19" t="str">
        <f t="shared" si="349"/>
        <v/>
      </c>
      <c r="AA1307" s="73" t="str">
        <f t="shared" si="350"/>
        <v/>
      </c>
      <c r="AB1307" s="19" t="str">
        <f t="shared" si="351"/>
        <v/>
      </c>
      <c r="AC1307" s="73" t="str">
        <f t="shared" si="352"/>
        <v/>
      </c>
      <c r="AD1307" s="19" t="str">
        <f t="shared" si="353"/>
        <v/>
      </c>
      <c r="AE1307" s="19" t="str">
        <f t="shared" si="354"/>
        <v/>
      </c>
      <c r="AF1307" s="19" t="str">
        <f>IF($D1307&lt;&gt;1,"",IF(INDEX(TblClusters[Environnement],$B1307)="","(vide)",INDEX(TblClusters[Environnement],$B1307)))</f>
        <v/>
      </c>
      <c r="AG1307" s="19" t="str">
        <f t="shared" si="355"/>
        <v/>
      </c>
      <c r="AH1307" s="19" t="str">
        <f t="shared" si="356"/>
        <v/>
      </c>
      <c r="AI1307" s="19" t="str">
        <f>IF($D1307&lt;&gt;1,"",IF(AND($G1307="IKS",ISNUMBER(INDEX(TblClusters[Fermeture retenue],$B1307))),IF($E1307&gt;=INDEX(TblClusters[Fermeture retenue],$B1307),1,0),0))</f>
        <v/>
      </c>
    </row>
    <row r="1308" spans="1:35" x14ac:dyDescent="0.2">
      <c r="A1308" s="19">
        <v>1303</v>
      </c>
      <c r="B1308" s="19">
        <f t="shared" si="340"/>
        <v>37</v>
      </c>
      <c r="C1308" s="19">
        <f t="shared" si="341"/>
        <v>7</v>
      </c>
      <c r="D1308" s="19">
        <f>IF($C1308&gt;p_horizon,0,IFERROR(IF(AND(INDEX(TblClusters[Cluster],$B1308)&lt;&gt;"",ISNUMBER(INDEX(TblClusters[CPU initial (vCPU)],$B1308)),ISNUMBER(INDEX(TblClusters[CPU min (vCPU)],$B1308)),OR(INDEX(TblClusters[Plateforme],$B1308)="IKS",INDEX(TblClusters[Plateforme],$B1308)="ROKS")),1,0),0))</f>
        <v>0</v>
      </c>
      <c r="E1308" s="72" t="str">
        <f t="shared" si="342"/>
        <v/>
      </c>
      <c r="F1308" s="19" t="str">
        <f>IF($D1308=1,INDEX(TblClusters[Cluster],$B1308),"")</f>
        <v/>
      </c>
      <c r="G1308" s="19" t="str">
        <f>IF($D1308=1,INDEX(TblClusters[Plateforme],$B1308),"")</f>
        <v/>
      </c>
      <c r="H1308" s="19" t="str">
        <f>IF($D1308=1,INDEX(TblClusters[vCPU par nœud],$B1308),"")</f>
        <v/>
      </c>
      <c r="I1308" s="19" t="str">
        <f>IF($D1308=1,INDEX(TblClusters[RAM par nœud (Go)],$B1308),"")</f>
        <v/>
      </c>
      <c r="J1308" s="19" t="str">
        <f>IF($D1308=1,INDEX(TblClusters[Workers min],$B1308),"")</f>
        <v/>
      </c>
      <c r="K1308" s="73" t="str">
        <f>IF($D1308=1,INDEX(TblClusters[Tarif par nœud],$B1308),"")</f>
        <v/>
      </c>
      <c r="L1308" s="19" t="str">
        <f>IF($D1308=1,INDEX(TblClusters[CPU initial (vCPU)],$B1308),"")</f>
        <v/>
      </c>
      <c r="M1308" s="19" t="str">
        <f>IF($D1308=1,INDEX(TblClusters[RAM initiale (Go)],$B1308),"")</f>
        <v/>
      </c>
      <c r="N1308" s="19" t="str">
        <f>IF($D1308=1,INDEX(TblClusters[CPU min (vCPU)],$B1308),"")</f>
        <v/>
      </c>
      <c r="O1308" s="19" t="str">
        <f>IF($D1308=1,INDEX(TblClusters[RAM min (Go)],$B1308),"")</f>
        <v/>
      </c>
      <c r="P1308" s="19" t="str">
        <f>IF($D1308&lt;&gt;1,"",IF($G1308="ROKS",SUMIFS(TblApplications[Besoin ROKS CPU (vCPU)],TblApplications[Cluster ROKS cible],$F1308,TblApplications[Action],"À migrer",TblApplications[Déjà incluse ROKS],"Non",TblApplications[Mois prov (calc)],"&lt;="&amp;$E1308),SUMIFS(TblApplications[CPU IKS libérable (vCPU)],TblApplications[Cluster IKS source],$F1308,TblApplications[Mois lib (calc)],"&lt;="&amp;$E1308)))</f>
        <v/>
      </c>
      <c r="Q1308" s="19" t="str">
        <f>IF($D1308&lt;&gt;1,"",IF($G1308="ROKS",SUMIFS(TblApplications[Besoin ROKS RAM (Go)],TblApplications[Cluster ROKS cible],$F1308,TblApplications[Action],"À migrer",TblApplications[Déjà incluse ROKS],"Non",TblApplications[Mois prov (calc)],"&lt;="&amp;$E1308),SUMIFS(TblApplications[RAM IKS libérable (Go)],TblApplications[Cluster IKS source],$F1308,TblApplications[Mois lib (calc)],"&lt;="&amp;$E1308)))</f>
        <v/>
      </c>
      <c r="R1308" s="19" t="str">
        <f t="shared" si="343"/>
        <v/>
      </c>
      <c r="S1308" s="19" t="str">
        <f t="shared" si="344"/>
        <v/>
      </c>
      <c r="T1308" s="19" t="str">
        <f t="shared" si="345"/>
        <v/>
      </c>
      <c r="U1308" s="19" t="str">
        <f t="shared" si="346"/>
        <v/>
      </c>
      <c r="V1308" s="19" t="str">
        <f t="shared" si="347"/>
        <v/>
      </c>
      <c r="W1308" s="73" t="str">
        <f t="shared" si="348"/>
        <v/>
      </c>
      <c r="X1308" s="19" t="str">
        <f>IF($D1308&lt;&gt;1,"",IF($G1308="ROKS",$R1308,IF($AI1308=1,0,MAX($N1308,$L1308-SUMIFS(TblApplications[CPU IKS libérable (vCPU)],TblApplications[Cluster IKS source],$F1308,TblApplications[Action],"À migrer",TblApplications[Mois prov (calc)],"&lt;="&amp;$E1308)-SUMIFS(TblApplications[CPU IKS libérable (vCPU)],TblApplications[Cluster IKS source],$F1308,TblApplications[Action],"À décommissionner",TblApplications[Mois lib (calc)],"&lt;="&amp;$E1308)))))</f>
        <v/>
      </c>
      <c r="Y1308" s="19" t="str">
        <f>IF($D1308&lt;&gt;1,"",IF($G1308="ROKS",$S1308,IF($AI1308=1,0,MAX($O1308,$M1308-SUMIFS(TblApplications[RAM IKS libérable (Go)],TblApplications[Cluster IKS source],$F1308,TblApplications[Action],"À migrer",TblApplications[Mois prov (calc)],"&lt;="&amp;$E1308)-SUMIFS(TblApplications[RAM IKS libérable (Go)],TblApplications[Cluster IKS source],$F1308,TblApplications[Action],"À décommissionner",TblApplications[Mois lib (calc)],"&lt;="&amp;$E1308)))))</f>
        <v/>
      </c>
      <c r="Z1308" s="19" t="str">
        <f t="shared" si="349"/>
        <v/>
      </c>
      <c r="AA1308" s="73" t="str">
        <f t="shared" si="350"/>
        <v/>
      </c>
      <c r="AB1308" s="19" t="str">
        <f t="shared" si="351"/>
        <v/>
      </c>
      <c r="AC1308" s="73" t="str">
        <f t="shared" si="352"/>
        <v/>
      </c>
      <c r="AD1308" s="19" t="str">
        <f t="shared" si="353"/>
        <v/>
      </c>
      <c r="AE1308" s="19" t="str">
        <f t="shared" si="354"/>
        <v/>
      </c>
      <c r="AF1308" s="19" t="str">
        <f>IF($D1308&lt;&gt;1,"",IF(INDEX(TblClusters[Environnement],$B1308)="","(vide)",INDEX(TblClusters[Environnement],$B1308)))</f>
        <v/>
      </c>
      <c r="AG1308" s="19" t="str">
        <f t="shared" si="355"/>
        <v/>
      </c>
      <c r="AH1308" s="19" t="str">
        <f t="shared" si="356"/>
        <v/>
      </c>
      <c r="AI1308" s="19" t="str">
        <f>IF($D1308&lt;&gt;1,"",IF(AND($G1308="IKS",ISNUMBER(INDEX(TblClusters[Fermeture retenue],$B1308))),IF($E1308&gt;=INDEX(TblClusters[Fermeture retenue],$B1308),1,0),0))</f>
        <v/>
      </c>
    </row>
    <row r="1309" spans="1:35" x14ac:dyDescent="0.2">
      <c r="A1309" s="19">
        <v>1304</v>
      </c>
      <c r="B1309" s="19">
        <f t="shared" si="340"/>
        <v>37</v>
      </c>
      <c r="C1309" s="19">
        <f t="shared" si="341"/>
        <v>8</v>
      </c>
      <c r="D1309" s="19">
        <f>IF($C1309&gt;p_horizon,0,IFERROR(IF(AND(INDEX(TblClusters[Cluster],$B1309)&lt;&gt;"",ISNUMBER(INDEX(TblClusters[CPU initial (vCPU)],$B1309)),ISNUMBER(INDEX(TblClusters[CPU min (vCPU)],$B1309)),OR(INDEX(TblClusters[Plateforme],$B1309)="IKS",INDEX(TblClusters[Plateforme],$B1309)="ROKS")),1,0),0))</f>
        <v>0</v>
      </c>
      <c r="E1309" s="72" t="str">
        <f t="shared" si="342"/>
        <v/>
      </c>
      <c r="F1309" s="19" t="str">
        <f>IF($D1309=1,INDEX(TblClusters[Cluster],$B1309),"")</f>
        <v/>
      </c>
      <c r="G1309" s="19" t="str">
        <f>IF($D1309=1,INDEX(TblClusters[Plateforme],$B1309),"")</f>
        <v/>
      </c>
      <c r="H1309" s="19" t="str">
        <f>IF($D1309=1,INDEX(TblClusters[vCPU par nœud],$B1309),"")</f>
        <v/>
      </c>
      <c r="I1309" s="19" t="str">
        <f>IF($D1309=1,INDEX(TblClusters[RAM par nœud (Go)],$B1309),"")</f>
        <v/>
      </c>
      <c r="J1309" s="19" t="str">
        <f>IF($D1309=1,INDEX(TblClusters[Workers min],$B1309),"")</f>
        <v/>
      </c>
      <c r="K1309" s="73" t="str">
        <f>IF($D1309=1,INDEX(TblClusters[Tarif par nœud],$B1309),"")</f>
        <v/>
      </c>
      <c r="L1309" s="19" t="str">
        <f>IF($D1309=1,INDEX(TblClusters[CPU initial (vCPU)],$B1309),"")</f>
        <v/>
      </c>
      <c r="M1309" s="19" t="str">
        <f>IF($D1309=1,INDEX(TblClusters[RAM initiale (Go)],$B1309),"")</f>
        <v/>
      </c>
      <c r="N1309" s="19" t="str">
        <f>IF($D1309=1,INDEX(TblClusters[CPU min (vCPU)],$B1309),"")</f>
        <v/>
      </c>
      <c r="O1309" s="19" t="str">
        <f>IF($D1309=1,INDEX(TblClusters[RAM min (Go)],$B1309),"")</f>
        <v/>
      </c>
      <c r="P1309" s="19" t="str">
        <f>IF($D1309&lt;&gt;1,"",IF($G1309="ROKS",SUMIFS(TblApplications[Besoin ROKS CPU (vCPU)],TblApplications[Cluster ROKS cible],$F1309,TblApplications[Action],"À migrer",TblApplications[Déjà incluse ROKS],"Non",TblApplications[Mois prov (calc)],"&lt;="&amp;$E1309),SUMIFS(TblApplications[CPU IKS libérable (vCPU)],TblApplications[Cluster IKS source],$F1309,TblApplications[Mois lib (calc)],"&lt;="&amp;$E1309)))</f>
        <v/>
      </c>
      <c r="Q1309" s="19" t="str">
        <f>IF($D1309&lt;&gt;1,"",IF($G1309="ROKS",SUMIFS(TblApplications[Besoin ROKS RAM (Go)],TblApplications[Cluster ROKS cible],$F1309,TblApplications[Action],"À migrer",TblApplications[Déjà incluse ROKS],"Non",TblApplications[Mois prov (calc)],"&lt;="&amp;$E1309),SUMIFS(TblApplications[RAM IKS libérable (Go)],TblApplications[Cluster IKS source],$F1309,TblApplications[Mois lib (calc)],"&lt;="&amp;$E1309)))</f>
        <v/>
      </c>
      <c r="R1309" s="19" t="str">
        <f t="shared" si="343"/>
        <v/>
      </c>
      <c r="S1309" s="19" t="str">
        <f t="shared" si="344"/>
        <v/>
      </c>
      <c r="T1309" s="19" t="str">
        <f t="shared" si="345"/>
        <v/>
      </c>
      <c r="U1309" s="19" t="str">
        <f t="shared" si="346"/>
        <v/>
      </c>
      <c r="V1309" s="19" t="str">
        <f t="shared" si="347"/>
        <v/>
      </c>
      <c r="W1309" s="73" t="str">
        <f t="shared" si="348"/>
        <v/>
      </c>
      <c r="X1309" s="19" t="str">
        <f>IF($D1309&lt;&gt;1,"",IF($G1309="ROKS",$R1309,IF($AI1309=1,0,MAX($N1309,$L1309-SUMIFS(TblApplications[CPU IKS libérable (vCPU)],TblApplications[Cluster IKS source],$F1309,TblApplications[Action],"À migrer",TblApplications[Mois prov (calc)],"&lt;="&amp;$E1309)-SUMIFS(TblApplications[CPU IKS libérable (vCPU)],TblApplications[Cluster IKS source],$F1309,TblApplications[Action],"À décommissionner",TblApplications[Mois lib (calc)],"&lt;="&amp;$E1309)))))</f>
        <v/>
      </c>
      <c r="Y1309" s="19" t="str">
        <f>IF($D1309&lt;&gt;1,"",IF($G1309="ROKS",$S1309,IF($AI1309=1,0,MAX($O1309,$M1309-SUMIFS(TblApplications[RAM IKS libérable (Go)],TblApplications[Cluster IKS source],$F1309,TblApplications[Action],"À migrer",TblApplications[Mois prov (calc)],"&lt;="&amp;$E1309)-SUMIFS(TblApplications[RAM IKS libérable (Go)],TblApplications[Cluster IKS source],$F1309,TblApplications[Action],"À décommissionner",TblApplications[Mois lib (calc)],"&lt;="&amp;$E1309)))))</f>
        <v/>
      </c>
      <c r="Z1309" s="19" t="str">
        <f t="shared" si="349"/>
        <v/>
      </c>
      <c r="AA1309" s="73" t="str">
        <f t="shared" si="350"/>
        <v/>
      </c>
      <c r="AB1309" s="19" t="str">
        <f t="shared" si="351"/>
        <v/>
      </c>
      <c r="AC1309" s="73" t="str">
        <f t="shared" si="352"/>
        <v/>
      </c>
      <c r="AD1309" s="19" t="str">
        <f t="shared" si="353"/>
        <v/>
      </c>
      <c r="AE1309" s="19" t="str">
        <f t="shared" si="354"/>
        <v/>
      </c>
      <c r="AF1309" s="19" t="str">
        <f>IF($D1309&lt;&gt;1,"",IF(INDEX(TblClusters[Environnement],$B1309)="","(vide)",INDEX(TblClusters[Environnement],$B1309)))</f>
        <v/>
      </c>
      <c r="AG1309" s="19" t="str">
        <f t="shared" si="355"/>
        <v/>
      </c>
      <c r="AH1309" s="19" t="str">
        <f t="shared" si="356"/>
        <v/>
      </c>
      <c r="AI1309" s="19" t="str">
        <f>IF($D1309&lt;&gt;1,"",IF(AND($G1309="IKS",ISNUMBER(INDEX(TblClusters[Fermeture retenue],$B1309))),IF($E1309&gt;=INDEX(TblClusters[Fermeture retenue],$B1309),1,0),0))</f>
        <v/>
      </c>
    </row>
    <row r="1310" spans="1:35" x14ac:dyDescent="0.2">
      <c r="A1310" s="19">
        <v>1305</v>
      </c>
      <c r="B1310" s="19">
        <f t="shared" si="340"/>
        <v>37</v>
      </c>
      <c r="C1310" s="19">
        <f t="shared" si="341"/>
        <v>9</v>
      </c>
      <c r="D1310" s="19">
        <f>IF($C1310&gt;p_horizon,0,IFERROR(IF(AND(INDEX(TblClusters[Cluster],$B1310)&lt;&gt;"",ISNUMBER(INDEX(TblClusters[CPU initial (vCPU)],$B1310)),ISNUMBER(INDEX(TblClusters[CPU min (vCPU)],$B1310)),OR(INDEX(TblClusters[Plateforme],$B1310)="IKS",INDEX(TblClusters[Plateforme],$B1310)="ROKS")),1,0),0))</f>
        <v>0</v>
      </c>
      <c r="E1310" s="72" t="str">
        <f t="shared" si="342"/>
        <v/>
      </c>
      <c r="F1310" s="19" t="str">
        <f>IF($D1310=1,INDEX(TblClusters[Cluster],$B1310),"")</f>
        <v/>
      </c>
      <c r="G1310" s="19" t="str">
        <f>IF($D1310=1,INDEX(TblClusters[Plateforme],$B1310),"")</f>
        <v/>
      </c>
      <c r="H1310" s="19" t="str">
        <f>IF($D1310=1,INDEX(TblClusters[vCPU par nœud],$B1310),"")</f>
        <v/>
      </c>
      <c r="I1310" s="19" t="str">
        <f>IF($D1310=1,INDEX(TblClusters[RAM par nœud (Go)],$B1310),"")</f>
        <v/>
      </c>
      <c r="J1310" s="19" t="str">
        <f>IF($D1310=1,INDEX(TblClusters[Workers min],$B1310),"")</f>
        <v/>
      </c>
      <c r="K1310" s="73" t="str">
        <f>IF($D1310=1,INDEX(TblClusters[Tarif par nœud],$B1310),"")</f>
        <v/>
      </c>
      <c r="L1310" s="19" t="str">
        <f>IF($D1310=1,INDEX(TblClusters[CPU initial (vCPU)],$B1310),"")</f>
        <v/>
      </c>
      <c r="M1310" s="19" t="str">
        <f>IF($D1310=1,INDEX(TblClusters[RAM initiale (Go)],$B1310),"")</f>
        <v/>
      </c>
      <c r="N1310" s="19" t="str">
        <f>IF($D1310=1,INDEX(TblClusters[CPU min (vCPU)],$B1310),"")</f>
        <v/>
      </c>
      <c r="O1310" s="19" t="str">
        <f>IF($D1310=1,INDEX(TblClusters[RAM min (Go)],$B1310),"")</f>
        <v/>
      </c>
      <c r="P1310" s="19" t="str">
        <f>IF($D1310&lt;&gt;1,"",IF($G1310="ROKS",SUMIFS(TblApplications[Besoin ROKS CPU (vCPU)],TblApplications[Cluster ROKS cible],$F1310,TblApplications[Action],"À migrer",TblApplications[Déjà incluse ROKS],"Non",TblApplications[Mois prov (calc)],"&lt;="&amp;$E1310),SUMIFS(TblApplications[CPU IKS libérable (vCPU)],TblApplications[Cluster IKS source],$F1310,TblApplications[Mois lib (calc)],"&lt;="&amp;$E1310)))</f>
        <v/>
      </c>
      <c r="Q1310" s="19" t="str">
        <f>IF($D1310&lt;&gt;1,"",IF($G1310="ROKS",SUMIFS(TblApplications[Besoin ROKS RAM (Go)],TblApplications[Cluster ROKS cible],$F1310,TblApplications[Action],"À migrer",TblApplications[Déjà incluse ROKS],"Non",TblApplications[Mois prov (calc)],"&lt;="&amp;$E1310),SUMIFS(TblApplications[RAM IKS libérable (Go)],TblApplications[Cluster IKS source],$F1310,TblApplications[Mois lib (calc)],"&lt;="&amp;$E1310)))</f>
        <v/>
      </c>
      <c r="R1310" s="19" t="str">
        <f t="shared" si="343"/>
        <v/>
      </c>
      <c r="S1310" s="19" t="str">
        <f t="shared" si="344"/>
        <v/>
      </c>
      <c r="T1310" s="19" t="str">
        <f t="shared" si="345"/>
        <v/>
      </c>
      <c r="U1310" s="19" t="str">
        <f t="shared" si="346"/>
        <v/>
      </c>
      <c r="V1310" s="19" t="str">
        <f t="shared" si="347"/>
        <v/>
      </c>
      <c r="W1310" s="73" t="str">
        <f t="shared" si="348"/>
        <v/>
      </c>
      <c r="X1310" s="19" t="str">
        <f>IF($D1310&lt;&gt;1,"",IF($G1310="ROKS",$R1310,IF($AI1310=1,0,MAX($N1310,$L1310-SUMIFS(TblApplications[CPU IKS libérable (vCPU)],TblApplications[Cluster IKS source],$F1310,TblApplications[Action],"À migrer",TblApplications[Mois prov (calc)],"&lt;="&amp;$E1310)-SUMIFS(TblApplications[CPU IKS libérable (vCPU)],TblApplications[Cluster IKS source],$F1310,TblApplications[Action],"À décommissionner",TblApplications[Mois lib (calc)],"&lt;="&amp;$E1310)))))</f>
        <v/>
      </c>
      <c r="Y1310" s="19" t="str">
        <f>IF($D1310&lt;&gt;1,"",IF($G1310="ROKS",$S1310,IF($AI1310=1,0,MAX($O1310,$M1310-SUMIFS(TblApplications[RAM IKS libérable (Go)],TblApplications[Cluster IKS source],$F1310,TblApplications[Action],"À migrer",TblApplications[Mois prov (calc)],"&lt;="&amp;$E1310)-SUMIFS(TblApplications[RAM IKS libérable (Go)],TblApplications[Cluster IKS source],$F1310,TblApplications[Action],"À décommissionner",TblApplications[Mois lib (calc)],"&lt;="&amp;$E1310)))))</f>
        <v/>
      </c>
      <c r="Z1310" s="19" t="str">
        <f t="shared" si="349"/>
        <v/>
      </c>
      <c r="AA1310" s="73" t="str">
        <f t="shared" si="350"/>
        <v/>
      </c>
      <c r="AB1310" s="19" t="str">
        <f t="shared" si="351"/>
        <v/>
      </c>
      <c r="AC1310" s="73" t="str">
        <f t="shared" si="352"/>
        <v/>
      </c>
      <c r="AD1310" s="19" t="str">
        <f t="shared" si="353"/>
        <v/>
      </c>
      <c r="AE1310" s="19" t="str">
        <f t="shared" si="354"/>
        <v/>
      </c>
      <c r="AF1310" s="19" t="str">
        <f>IF($D1310&lt;&gt;1,"",IF(INDEX(TblClusters[Environnement],$B1310)="","(vide)",INDEX(TblClusters[Environnement],$B1310)))</f>
        <v/>
      </c>
      <c r="AG1310" s="19" t="str">
        <f t="shared" si="355"/>
        <v/>
      </c>
      <c r="AH1310" s="19" t="str">
        <f t="shared" si="356"/>
        <v/>
      </c>
      <c r="AI1310" s="19" t="str">
        <f>IF($D1310&lt;&gt;1,"",IF(AND($G1310="IKS",ISNUMBER(INDEX(TblClusters[Fermeture retenue],$B1310))),IF($E1310&gt;=INDEX(TblClusters[Fermeture retenue],$B1310),1,0),0))</f>
        <v/>
      </c>
    </row>
    <row r="1311" spans="1:35" x14ac:dyDescent="0.2">
      <c r="A1311" s="19">
        <v>1306</v>
      </c>
      <c r="B1311" s="19">
        <f t="shared" si="340"/>
        <v>37</v>
      </c>
      <c r="C1311" s="19">
        <f t="shared" si="341"/>
        <v>10</v>
      </c>
      <c r="D1311" s="19">
        <f>IF($C1311&gt;p_horizon,0,IFERROR(IF(AND(INDEX(TblClusters[Cluster],$B1311)&lt;&gt;"",ISNUMBER(INDEX(TblClusters[CPU initial (vCPU)],$B1311)),ISNUMBER(INDEX(TblClusters[CPU min (vCPU)],$B1311)),OR(INDEX(TblClusters[Plateforme],$B1311)="IKS",INDEX(TblClusters[Plateforme],$B1311)="ROKS")),1,0),0))</f>
        <v>0</v>
      </c>
      <c r="E1311" s="72" t="str">
        <f t="shared" si="342"/>
        <v/>
      </c>
      <c r="F1311" s="19" t="str">
        <f>IF($D1311=1,INDEX(TblClusters[Cluster],$B1311),"")</f>
        <v/>
      </c>
      <c r="G1311" s="19" t="str">
        <f>IF($D1311=1,INDEX(TblClusters[Plateforme],$B1311),"")</f>
        <v/>
      </c>
      <c r="H1311" s="19" t="str">
        <f>IF($D1311=1,INDEX(TblClusters[vCPU par nœud],$B1311),"")</f>
        <v/>
      </c>
      <c r="I1311" s="19" t="str">
        <f>IF($D1311=1,INDEX(TblClusters[RAM par nœud (Go)],$B1311),"")</f>
        <v/>
      </c>
      <c r="J1311" s="19" t="str">
        <f>IF($D1311=1,INDEX(TblClusters[Workers min],$B1311),"")</f>
        <v/>
      </c>
      <c r="K1311" s="73" t="str">
        <f>IF($D1311=1,INDEX(TblClusters[Tarif par nœud],$B1311),"")</f>
        <v/>
      </c>
      <c r="L1311" s="19" t="str">
        <f>IF($D1311=1,INDEX(TblClusters[CPU initial (vCPU)],$B1311),"")</f>
        <v/>
      </c>
      <c r="M1311" s="19" t="str">
        <f>IF($D1311=1,INDEX(TblClusters[RAM initiale (Go)],$B1311),"")</f>
        <v/>
      </c>
      <c r="N1311" s="19" t="str">
        <f>IF($D1311=1,INDEX(TblClusters[CPU min (vCPU)],$B1311),"")</f>
        <v/>
      </c>
      <c r="O1311" s="19" t="str">
        <f>IF($D1311=1,INDEX(TblClusters[RAM min (Go)],$B1311),"")</f>
        <v/>
      </c>
      <c r="P1311" s="19" t="str">
        <f>IF($D1311&lt;&gt;1,"",IF($G1311="ROKS",SUMIFS(TblApplications[Besoin ROKS CPU (vCPU)],TblApplications[Cluster ROKS cible],$F1311,TblApplications[Action],"À migrer",TblApplications[Déjà incluse ROKS],"Non",TblApplications[Mois prov (calc)],"&lt;="&amp;$E1311),SUMIFS(TblApplications[CPU IKS libérable (vCPU)],TblApplications[Cluster IKS source],$F1311,TblApplications[Mois lib (calc)],"&lt;="&amp;$E1311)))</f>
        <v/>
      </c>
      <c r="Q1311" s="19" t="str">
        <f>IF($D1311&lt;&gt;1,"",IF($G1311="ROKS",SUMIFS(TblApplications[Besoin ROKS RAM (Go)],TblApplications[Cluster ROKS cible],$F1311,TblApplications[Action],"À migrer",TblApplications[Déjà incluse ROKS],"Non",TblApplications[Mois prov (calc)],"&lt;="&amp;$E1311),SUMIFS(TblApplications[RAM IKS libérable (Go)],TblApplications[Cluster IKS source],$F1311,TblApplications[Mois lib (calc)],"&lt;="&amp;$E1311)))</f>
        <v/>
      </c>
      <c r="R1311" s="19" t="str">
        <f t="shared" si="343"/>
        <v/>
      </c>
      <c r="S1311" s="19" t="str">
        <f t="shared" si="344"/>
        <v/>
      </c>
      <c r="T1311" s="19" t="str">
        <f t="shared" si="345"/>
        <v/>
      </c>
      <c r="U1311" s="19" t="str">
        <f t="shared" si="346"/>
        <v/>
      </c>
      <c r="V1311" s="19" t="str">
        <f t="shared" si="347"/>
        <v/>
      </c>
      <c r="W1311" s="73" t="str">
        <f t="shared" si="348"/>
        <v/>
      </c>
      <c r="X1311" s="19" t="str">
        <f>IF($D1311&lt;&gt;1,"",IF($G1311="ROKS",$R1311,IF($AI1311=1,0,MAX($N1311,$L1311-SUMIFS(TblApplications[CPU IKS libérable (vCPU)],TblApplications[Cluster IKS source],$F1311,TblApplications[Action],"À migrer",TblApplications[Mois prov (calc)],"&lt;="&amp;$E1311)-SUMIFS(TblApplications[CPU IKS libérable (vCPU)],TblApplications[Cluster IKS source],$F1311,TblApplications[Action],"À décommissionner",TblApplications[Mois lib (calc)],"&lt;="&amp;$E1311)))))</f>
        <v/>
      </c>
      <c r="Y1311" s="19" t="str">
        <f>IF($D1311&lt;&gt;1,"",IF($G1311="ROKS",$S1311,IF($AI1311=1,0,MAX($O1311,$M1311-SUMIFS(TblApplications[RAM IKS libérable (Go)],TblApplications[Cluster IKS source],$F1311,TblApplications[Action],"À migrer",TblApplications[Mois prov (calc)],"&lt;="&amp;$E1311)-SUMIFS(TblApplications[RAM IKS libérable (Go)],TblApplications[Cluster IKS source],$F1311,TblApplications[Action],"À décommissionner",TblApplications[Mois lib (calc)],"&lt;="&amp;$E1311)))))</f>
        <v/>
      </c>
      <c r="Z1311" s="19" t="str">
        <f t="shared" si="349"/>
        <v/>
      </c>
      <c r="AA1311" s="73" t="str">
        <f t="shared" si="350"/>
        <v/>
      </c>
      <c r="AB1311" s="19" t="str">
        <f t="shared" si="351"/>
        <v/>
      </c>
      <c r="AC1311" s="73" t="str">
        <f t="shared" si="352"/>
        <v/>
      </c>
      <c r="AD1311" s="19" t="str">
        <f t="shared" si="353"/>
        <v/>
      </c>
      <c r="AE1311" s="19" t="str">
        <f t="shared" si="354"/>
        <v/>
      </c>
      <c r="AF1311" s="19" t="str">
        <f>IF($D1311&lt;&gt;1,"",IF(INDEX(TblClusters[Environnement],$B1311)="","(vide)",INDEX(TblClusters[Environnement],$B1311)))</f>
        <v/>
      </c>
      <c r="AG1311" s="19" t="str">
        <f t="shared" si="355"/>
        <v/>
      </c>
      <c r="AH1311" s="19" t="str">
        <f t="shared" si="356"/>
        <v/>
      </c>
      <c r="AI1311" s="19" t="str">
        <f>IF($D1311&lt;&gt;1,"",IF(AND($G1311="IKS",ISNUMBER(INDEX(TblClusters[Fermeture retenue],$B1311))),IF($E1311&gt;=INDEX(TblClusters[Fermeture retenue],$B1311),1,0),0))</f>
        <v/>
      </c>
    </row>
    <row r="1312" spans="1:35" x14ac:dyDescent="0.2">
      <c r="A1312" s="19">
        <v>1307</v>
      </c>
      <c r="B1312" s="19">
        <f t="shared" si="340"/>
        <v>37</v>
      </c>
      <c r="C1312" s="19">
        <f t="shared" si="341"/>
        <v>11</v>
      </c>
      <c r="D1312" s="19">
        <f>IF($C1312&gt;p_horizon,0,IFERROR(IF(AND(INDEX(TblClusters[Cluster],$B1312)&lt;&gt;"",ISNUMBER(INDEX(TblClusters[CPU initial (vCPU)],$B1312)),ISNUMBER(INDEX(TblClusters[CPU min (vCPU)],$B1312)),OR(INDEX(TblClusters[Plateforme],$B1312)="IKS",INDEX(TblClusters[Plateforme],$B1312)="ROKS")),1,0),0))</f>
        <v>0</v>
      </c>
      <c r="E1312" s="72" t="str">
        <f t="shared" si="342"/>
        <v/>
      </c>
      <c r="F1312" s="19" t="str">
        <f>IF($D1312=1,INDEX(TblClusters[Cluster],$B1312),"")</f>
        <v/>
      </c>
      <c r="G1312" s="19" t="str">
        <f>IF($D1312=1,INDEX(TblClusters[Plateforme],$B1312),"")</f>
        <v/>
      </c>
      <c r="H1312" s="19" t="str">
        <f>IF($D1312=1,INDEX(TblClusters[vCPU par nœud],$B1312),"")</f>
        <v/>
      </c>
      <c r="I1312" s="19" t="str">
        <f>IF($D1312=1,INDEX(TblClusters[RAM par nœud (Go)],$B1312),"")</f>
        <v/>
      </c>
      <c r="J1312" s="19" t="str">
        <f>IF($D1312=1,INDEX(TblClusters[Workers min],$B1312),"")</f>
        <v/>
      </c>
      <c r="K1312" s="73" t="str">
        <f>IF($D1312=1,INDEX(TblClusters[Tarif par nœud],$B1312),"")</f>
        <v/>
      </c>
      <c r="L1312" s="19" t="str">
        <f>IF($D1312=1,INDEX(TblClusters[CPU initial (vCPU)],$B1312),"")</f>
        <v/>
      </c>
      <c r="M1312" s="19" t="str">
        <f>IF($D1312=1,INDEX(TblClusters[RAM initiale (Go)],$B1312),"")</f>
        <v/>
      </c>
      <c r="N1312" s="19" t="str">
        <f>IF($D1312=1,INDEX(TblClusters[CPU min (vCPU)],$B1312),"")</f>
        <v/>
      </c>
      <c r="O1312" s="19" t="str">
        <f>IF($D1312=1,INDEX(TblClusters[RAM min (Go)],$B1312),"")</f>
        <v/>
      </c>
      <c r="P1312" s="19" t="str">
        <f>IF($D1312&lt;&gt;1,"",IF($G1312="ROKS",SUMIFS(TblApplications[Besoin ROKS CPU (vCPU)],TblApplications[Cluster ROKS cible],$F1312,TblApplications[Action],"À migrer",TblApplications[Déjà incluse ROKS],"Non",TblApplications[Mois prov (calc)],"&lt;="&amp;$E1312),SUMIFS(TblApplications[CPU IKS libérable (vCPU)],TblApplications[Cluster IKS source],$F1312,TblApplications[Mois lib (calc)],"&lt;="&amp;$E1312)))</f>
        <v/>
      </c>
      <c r="Q1312" s="19" t="str">
        <f>IF($D1312&lt;&gt;1,"",IF($G1312="ROKS",SUMIFS(TblApplications[Besoin ROKS RAM (Go)],TblApplications[Cluster ROKS cible],$F1312,TblApplications[Action],"À migrer",TblApplications[Déjà incluse ROKS],"Non",TblApplications[Mois prov (calc)],"&lt;="&amp;$E1312),SUMIFS(TblApplications[RAM IKS libérable (Go)],TblApplications[Cluster IKS source],$F1312,TblApplications[Mois lib (calc)],"&lt;="&amp;$E1312)))</f>
        <v/>
      </c>
      <c r="R1312" s="19" t="str">
        <f t="shared" si="343"/>
        <v/>
      </c>
      <c r="S1312" s="19" t="str">
        <f t="shared" si="344"/>
        <v/>
      </c>
      <c r="T1312" s="19" t="str">
        <f t="shared" si="345"/>
        <v/>
      </c>
      <c r="U1312" s="19" t="str">
        <f t="shared" si="346"/>
        <v/>
      </c>
      <c r="V1312" s="19" t="str">
        <f t="shared" si="347"/>
        <v/>
      </c>
      <c r="W1312" s="73" t="str">
        <f t="shared" si="348"/>
        <v/>
      </c>
      <c r="X1312" s="19" t="str">
        <f>IF($D1312&lt;&gt;1,"",IF($G1312="ROKS",$R1312,IF($AI1312=1,0,MAX($N1312,$L1312-SUMIFS(TblApplications[CPU IKS libérable (vCPU)],TblApplications[Cluster IKS source],$F1312,TblApplications[Action],"À migrer",TblApplications[Mois prov (calc)],"&lt;="&amp;$E1312)-SUMIFS(TblApplications[CPU IKS libérable (vCPU)],TblApplications[Cluster IKS source],$F1312,TblApplications[Action],"À décommissionner",TblApplications[Mois lib (calc)],"&lt;="&amp;$E1312)))))</f>
        <v/>
      </c>
      <c r="Y1312" s="19" t="str">
        <f>IF($D1312&lt;&gt;1,"",IF($G1312="ROKS",$S1312,IF($AI1312=1,0,MAX($O1312,$M1312-SUMIFS(TblApplications[RAM IKS libérable (Go)],TblApplications[Cluster IKS source],$F1312,TblApplications[Action],"À migrer",TblApplications[Mois prov (calc)],"&lt;="&amp;$E1312)-SUMIFS(TblApplications[RAM IKS libérable (Go)],TblApplications[Cluster IKS source],$F1312,TblApplications[Action],"À décommissionner",TblApplications[Mois lib (calc)],"&lt;="&amp;$E1312)))))</f>
        <v/>
      </c>
      <c r="Z1312" s="19" t="str">
        <f t="shared" si="349"/>
        <v/>
      </c>
      <c r="AA1312" s="73" t="str">
        <f t="shared" si="350"/>
        <v/>
      </c>
      <c r="AB1312" s="19" t="str">
        <f t="shared" si="351"/>
        <v/>
      </c>
      <c r="AC1312" s="73" t="str">
        <f t="shared" si="352"/>
        <v/>
      </c>
      <c r="AD1312" s="19" t="str">
        <f t="shared" si="353"/>
        <v/>
      </c>
      <c r="AE1312" s="19" t="str">
        <f t="shared" si="354"/>
        <v/>
      </c>
      <c r="AF1312" s="19" t="str">
        <f>IF($D1312&lt;&gt;1,"",IF(INDEX(TblClusters[Environnement],$B1312)="","(vide)",INDEX(TblClusters[Environnement],$B1312)))</f>
        <v/>
      </c>
      <c r="AG1312" s="19" t="str">
        <f t="shared" si="355"/>
        <v/>
      </c>
      <c r="AH1312" s="19" t="str">
        <f t="shared" si="356"/>
        <v/>
      </c>
      <c r="AI1312" s="19" t="str">
        <f>IF($D1312&lt;&gt;1,"",IF(AND($G1312="IKS",ISNUMBER(INDEX(TblClusters[Fermeture retenue],$B1312))),IF($E1312&gt;=INDEX(TblClusters[Fermeture retenue],$B1312),1,0),0))</f>
        <v/>
      </c>
    </row>
    <row r="1313" spans="1:35" x14ac:dyDescent="0.2">
      <c r="A1313" s="19">
        <v>1308</v>
      </c>
      <c r="B1313" s="19">
        <f t="shared" si="340"/>
        <v>37</v>
      </c>
      <c r="C1313" s="19">
        <f t="shared" si="341"/>
        <v>12</v>
      </c>
      <c r="D1313" s="19">
        <f>IF($C1313&gt;p_horizon,0,IFERROR(IF(AND(INDEX(TblClusters[Cluster],$B1313)&lt;&gt;"",ISNUMBER(INDEX(TblClusters[CPU initial (vCPU)],$B1313)),ISNUMBER(INDEX(TblClusters[CPU min (vCPU)],$B1313)),OR(INDEX(TblClusters[Plateforme],$B1313)="IKS",INDEX(TblClusters[Plateforme],$B1313)="ROKS")),1,0),0))</f>
        <v>0</v>
      </c>
      <c r="E1313" s="72" t="str">
        <f t="shared" si="342"/>
        <v/>
      </c>
      <c r="F1313" s="19" t="str">
        <f>IF($D1313=1,INDEX(TblClusters[Cluster],$B1313),"")</f>
        <v/>
      </c>
      <c r="G1313" s="19" t="str">
        <f>IF($D1313=1,INDEX(TblClusters[Plateforme],$B1313),"")</f>
        <v/>
      </c>
      <c r="H1313" s="19" t="str">
        <f>IF($D1313=1,INDEX(TblClusters[vCPU par nœud],$B1313),"")</f>
        <v/>
      </c>
      <c r="I1313" s="19" t="str">
        <f>IF($D1313=1,INDEX(TblClusters[RAM par nœud (Go)],$B1313),"")</f>
        <v/>
      </c>
      <c r="J1313" s="19" t="str">
        <f>IF($D1313=1,INDEX(TblClusters[Workers min],$B1313),"")</f>
        <v/>
      </c>
      <c r="K1313" s="73" t="str">
        <f>IF($D1313=1,INDEX(TblClusters[Tarif par nœud],$B1313),"")</f>
        <v/>
      </c>
      <c r="L1313" s="19" t="str">
        <f>IF($D1313=1,INDEX(TblClusters[CPU initial (vCPU)],$B1313),"")</f>
        <v/>
      </c>
      <c r="M1313" s="19" t="str">
        <f>IF($D1313=1,INDEX(TblClusters[RAM initiale (Go)],$B1313),"")</f>
        <v/>
      </c>
      <c r="N1313" s="19" t="str">
        <f>IF($D1313=1,INDEX(TblClusters[CPU min (vCPU)],$B1313),"")</f>
        <v/>
      </c>
      <c r="O1313" s="19" t="str">
        <f>IF($D1313=1,INDEX(TblClusters[RAM min (Go)],$B1313),"")</f>
        <v/>
      </c>
      <c r="P1313" s="19" t="str">
        <f>IF($D1313&lt;&gt;1,"",IF($G1313="ROKS",SUMIFS(TblApplications[Besoin ROKS CPU (vCPU)],TblApplications[Cluster ROKS cible],$F1313,TblApplications[Action],"À migrer",TblApplications[Déjà incluse ROKS],"Non",TblApplications[Mois prov (calc)],"&lt;="&amp;$E1313),SUMIFS(TblApplications[CPU IKS libérable (vCPU)],TblApplications[Cluster IKS source],$F1313,TblApplications[Mois lib (calc)],"&lt;="&amp;$E1313)))</f>
        <v/>
      </c>
      <c r="Q1313" s="19" t="str">
        <f>IF($D1313&lt;&gt;1,"",IF($G1313="ROKS",SUMIFS(TblApplications[Besoin ROKS RAM (Go)],TblApplications[Cluster ROKS cible],$F1313,TblApplications[Action],"À migrer",TblApplications[Déjà incluse ROKS],"Non",TblApplications[Mois prov (calc)],"&lt;="&amp;$E1313),SUMIFS(TblApplications[RAM IKS libérable (Go)],TblApplications[Cluster IKS source],$F1313,TblApplications[Mois lib (calc)],"&lt;="&amp;$E1313)))</f>
        <v/>
      </c>
      <c r="R1313" s="19" t="str">
        <f t="shared" si="343"/>
        <v/>
      </c>
      <c r="S1313" s="19" t="str">
        <f t="shared" si="344"/>
        <v/>
      </c>
      <c r="T1313" s="19" t="str">
        <f t="shared" si="345"/>
        <v/>
      </c>
      <c r="U1313" s="19" t="str">
        <f t="shared" si="346"/>
        <v/>
      </c>
      <c r="V1313" s="19" t="str">
        <f t="shared" si="347"/>
        <v/>
      </c>
      <c r="W1313" s="73" t="str">
        <f t="shared" si="348"/>
        <v/>
      </c>
      <c r="X1313" s="19" t="str">
        <f>IF($D1313&lt;&gt;1,"",IF($G1313="ROKS",$R1313,IF($AI1313=1,0,MAX($N1313,$L1313-SUMIFS(TblApplications[CPU IKS libérable (vCPU)],TblApplications[Cluster IKS source],$F1313,TblApplications[Action],"À migrer",TblApplications[Mois prov (calc)],"&lt;="&amp;$E1313)-SUMIFS(TblApplications[CPU IKS libérable (vCPU)],TblApplications[Cluster IKS source],$F1313,TblApplications[Action],"À décommissionner",TblApplications[Mois lib (calc)],"&lt;="&amp;$E1313)))))</f>
        <v/>
      </c>
      <c r="Y1313" s="19" t="str">
        <f>IF($D1313&lt;&gt;1,"",IF($G1313="ROKS",$S1313,IF($AI1313=1,0,MAX($O1313,$M1313-SUMIFS(TblApplications[RAM IKS libérable (Go)],TblApplications[Cluster IKS source],$F1313,TblApplications[Action],"À migrer",TblApplications[Mois prov (calc)],"&lt;="&amp;$E1313)-SUMIFS(TblApplications[RAM IKS libérable (Go)],TblApplications[Cluster IKS source],$F1313,TblApplications[Action],"À décommissionner",TblApplications[Mois lib (calc)],"&lt;="&amp;$E1313)))))</f>
        <v/>
      </c>
      <c r="Z1313" s="19" t="str">
        <f t="shared" si="349"/>
        <v/>
      </c>
      <c r="AA1313" s="73" t="str">
        <f t="shared" si="350"/>
        <v/>
      </c>
      <c r="AB1313" s="19" t="str">
        <f t="shared" si="351"/>
        <v/>
      </c>
      <c r="AC1313" s="73" t="str">
        <f t="shared" si="352"/>
        <v/>
      </c>
      <c r="AD1313" s="19" t="str">
        <f t="shared" si="353"/>
        <v/>
      </c>
      <c r="AE1313" s="19" t="str">
        <f t="shared" si="354"/>
        <v/>
      </c>
      <c r="AF1313" s="19" t="str">
        <f>IF($D1313&lt;&gt;1,"",IF(INDEX(TblClusters[Environnement],$B1313)="","(vide)",INDEX(TblClusters[Environnement],$B1313)))</f>
        <v/>
      </c>
      <c r="AG1313" s="19" t="str">
        <f t="shared" si="355"/>
        <v/>
      </c>
      <c r="AH1313" s="19" t="str">
        <f t="shared" si="356"/>
        <v/>
      </c>
      <c r="AI1313" s="19" t="str">
        <f>IF($D1313&lt;&gt;1,"",IF(AND($G1313="IKS",ISNUMBER(INDEX(TblClusters[Fermeture retenue],$B1313))),IF($E1313&gt;=INDEX(TblClusters[Fermeture retenue],$B1313),1,0),0))</f>
        <v/>
      </c>
    </row>
    <row r="1314" spans="1:35" x14ac:dyDescent="0.2">
      <c r="A1314" s="19">
        <v>1309</v>
      </c>
      <c r="B1314" s="19">
        <f t="shared" si="340"/>
        <v>37</v>
      </c>
      <c r="C1314" s="19">
        <f t="shared" si="341"/>
        <v>13</v>
      </c>
      <c r="D1314" s="19">
        <f>IF($C1314&gt;p_horizon,0,IFERROR(IF(AND(INDEX(TblClusters[Cluster],$B1314)&lt;&gt;"",ISNUMBER(INDEX(TblClusters[CPU initial (vCPU)],$B1314)),ISNUMBER(INDEX(TblClusters[CPU min (vCPU)],$B1314)),OR(INDEX(TblClusters[Plateforme],$B1314)="IKS",INDEX(TblClusters[Plateforme],$B1314)="ROKS")),1,0),0))</f>
        <v>0</v>
      </c>
      <c r="E1314" s="72" t="str">
        <f t="shared" si="342"/>
        <v/>
      </c>
      <c r="F1314" s="19" t="str">
        <f>IF($D1314=1,INDEX(TblClusters[Cluster],$B1314),"")</f>
        <v/>
      </c>
      <c r="G1314" s="19" t="str">
        <f>IF($D1314=1,INDEX(TblClusters[Plateforme],$B1314),"")</f>
        <v/>
      </c>
      <c r="H1314" s="19" t="str">
        <f>IF($D1314=1,INDEX(TblClusters[vCPU par nœud],$B1314),"")</f>
        <v/>
      </c>
      <c r="I1314" s="19" t="str">
        <f>IF($D1314=1,INDEX(TblClusters[RAM par nœud (Go)],$B1314),"")</f>
        <v/>
      </c>
      <c r="J1314" s="19" t="str">
        <f>IF($D1314=1,INDEX(TblClusters[Workers min],$B1314),"")</f>
        <v/>
      </c>
      <c r="K1314" s="73" t="str">
        <f>IF($D1314=1,INDEX(TblClusters[Tarif par nœud],$B1314),"")</f>
        <v/>
      </c>
      <c r="L1314" s="19" t="str">
        <f>IF($D1314=1,INDEX(TblClusters[CPU initial (vCPU)],$B1314),"")</f>
        <v/>
      </c>
      <c r="M1314" s="19" t="str">
        <f>IF($D1314=1,INDEX(TblClusters[RAM initiale (Go)],$B1314),"")</f>
        <v/>
      </c>
      <c r="N1314" s="19" t="str">
        <f>IF($D1314=1,INDEX(TblClusters[CPU min (vCPU)],$B1314),"")</f>
        <v/>
      </c>
      <c r="O1314" s="19" t="str">
        <f>IF($D1314=1,INDEX(TblClusters[RAM min (Go)],$B1314),"")</f>
        <v/>
      </c>
      <c r="P1314" s="19" t="str">
        <f>IF($D1314&lt;&gt;1,"",IF($G1314="ROKS",SUMIFS(TblApplications[Besoin ROKS CPU (vCPU)],TblApplications[Cluster ROKS cible],$F1314,TblApplications[Action],"À migrer",TblApplications[Déjà incluse ROKS],"Non",TblApplications[Mois prov (calc)],"&lt;="&amp;$E1314),SUMIFS(TblApplications[CPU IKS libérable (vCPU)],TblApplications[Cluster IKS source],$F1314,TblApplications[Mois lib (calc)],"&lt;="&amp;$E1314)))</f>
        <v/>
      </c>
      <c r="Q1314" s="19" t="str">
        <f>IF($D1314&lt;&gt;1,"",IF($G1314="ROKS",SUMIFS(TblApplications[Besoin ROKS RAM (Go)],TblApplications[Cluster ROKS cible],$F1314,TblApplications[Action],"À migrer",TblApplications[Déjà incluse ROKS],"Non",TblApplications[Mois prov (calc)],"&lt;="&amp;$E1314),SUMIFS(TblApplications[RAM IKS libérable (Go)],TblApplications[Cluster IKS source],$F1314,TblApplications[Mois lib (calc)],"&lt;="&amp;$E1314)))</f>
        <v/>
      </c>
      <c r="R1314" s="19" t="str">
        <f t="shared" si="343"/>
        <v/>
      </c>
      <c r="S1314" s="19" t="str">
        <f t="shared" si="344"/>
        <v/>
      </c>
      <c r="T1314" s="19" t="str">
        <f t="shared" si="345"/>
        <v/>
      </c>
      <c r="U1314" s="19" t="str">
        <f t="shared" si="346"/>
        <v/>
      </c>
      <c r="V1314" s="19" t="str">
        <f t="shared" si="347"/>
        <v/>
      </c>
      <c r="W1314" s="73" t="str">
        <f t="shared" si="348"/>
        <v/>
      </c>
      <c r="X1314" s="19" t="str">
        <f>IF($D1314&lt;&gt;1,"",IF($G1314="ROKS",$R1314,IF($AI1314=1,0,MAX($N1314,$L1314-SUMIFS(TblApplications[CPU IKS libérable (vCPU)],TblApplications[Cluster IKS source],$F1314,TblApplications[Action],"À migrer",TblApplications[Mois prov (calc)],"&lt;="&amp;$E1314)-SUMIFS(TblApplications[CPU IKS libérable (vCPU)],TblApplications[Cluster IKS source],$F1314,TblApplications[Action],"À décommissionner",TblApplications[Mois lib (calc)],"&lt;="&amp;$E1314)))))</f>
        <v/>
      </c>
      <c r="Y1314" s="19" t="str">
        <f>IF($D1314&lt;&gt;1,"",IF($G1314="ROKS",$S1314,IF($AI1314=1,0,MAX($O1314,$M1314-SUMIFS(TblApplications[RAM IKS libérable (Go)],TblApplications[Cluster IKS source],$F1314,TblApplications[Action],"À migrer",TblApplications[Mois prov (calc)],"&lt;="&amp;$E1314)-SUMIFS(TblApplications[RAM IKS libérable (Go)],TblApplications[Cluster IKS source],$F1314,TblApplications[Action],"À décommissionner",TblApplications[Mois lib (calc)],"&lt;="&amp;$E1314)))))</f>
        <v/>
      </c>
      <c r="Z1314" s="19" t="str">
        <f t="shared" si="349"/>
        <v/>
      </c>
      <c r="AA1314" s="73" t="str">
        <f t="shared" si="350"/>
        <v/>
      </c>
      <c r="AB1314" s="19" t="str">
        <f t="shared" si="351"/>
        <v/>
      </c>
      <c r="AC1314" s="73" t="str">
        <f t="shared" si="352"/>
        <v/>
      </c>
      <c r="AD1314" s="19" t="str">
        <f t="shared" si="353"/>
        <v/>
      </c>
      <c r="AE1314" s="19" t="str">
        <f t="shared" si="354"/>
        <v/>
      </c>
      <c r="AF1314" s="19" t="str">
        <f>IF($D1314&lt;&gt;1,"",IF(INDEX(TblClusters[Environnement],$B1314)="","(vide)",INDEX(TblClusters[Environnement],$B1314)))</f>
        <v/>
      </c>
      <c r="AG1314" s="19" t="str">
        <f t="shared" si="355"/>
        <v/>
      </c>
      <c r="AH1314" s="19" t="str">
        <f t="shared" si="356"/>
        <v/>
      </c>
      <c r="AI1314" s="19" t="str">
        <f>IF($D1314&lt;&gt;1,"",IF(AND($G1314="IKS",ISNUMBER(INDEX(TblClusters[Fermeture retenue],$B1314))),IF($E1314&gt;=INDEX(TblClusters[Fermeture retenue],$B1314),1,0),0))</f>
        <v/>
      </c>
    </row>
    <row r="1315" spans="1:35" x14ac:dyDescent="0.2">
      <c r="A1315" s="19">
        <v>1310</v>
      </c>
      <c r="B1315" s="19">
        <f t="shared" si="340"/>
        <v>37</v>
      </c>
      <c r="C1315" s="19">
        <f t="shared" si="341"/>
        <v>14</v>
      </c>
      <c r="D1315" s="19">
        <f>IF($C1315&gt;p_horizon,0,IFERROR(IF(AND(INDEX(TblClusters[Cluster],$B1315)&lt;&gt;"",ISNUMBER(INDEX(TblClusters[CPU initial (vCPU)],$B1315)),ISNUMBER(INDEX(TblClusters[CPU min (vCPU)],$B1315)),OR(INDEX(TblClusters[Plateforme],$B1315)="IKS",INDEX(TblClusters[Plateforme],$B1315)="ROKS")),1,0),0))</f>
        <v>0</v>
      </c>
      <c r="E1315" s="72" t="str">
        <f t="shared" si="342"/>
        <v/>
      </c>
      <c r="F1315" s="19" t="str">
        <f>IF($D1315=1,INDEX(TblClusters[Cluster],$B1315),"")</f>
        <v/>
      </c>
      <c r="G1315" s="19" t="str">
        <f>IF($D1315=1,INDEX(TblClusters[Plateforme],$B1315),"")</f>
        <v/>
      </c>
      <c r="H1315" s="19" t="str">
        <f>IF($D1315=1,INDEX(TblClusters[vCPU par nœud],$B1315),"")</f>
        <v/>
      </c>
      <c r="I1315" s="19" t="str">
        <f>IF($D1315=1,INDEX(TblClusters[RAM par nœud (Go)],$B1315),"")</f>
        <v/>
      </c>
      <c r="J1315" s="19" t="str">
        <f>IF($D1315=1,INDEX(TblClusters[Workers min],$B1315),"")</f>
        <v/>
      </c>
      <c r="K1315" s="73" t="str">
        <f>IF($D1315=1,INDEX(TblClusters[Tarif par nœud],$B1315),"")</f>
        <v/>
      </c>
      <c r="L1315" s="19" t="str">
        <f>IF($D1315=1,INDEX(TblClusters[CPU initial (vCPU)],$B1315),"")</f>
        <v/>
      </c>
      <c r="M1315" s="19" t="str">
        <f>IF($D1315=1,INDEX(TblClusters[RAM initiale (Go)],$B1315),"")</f>
        <v/>
      </c>
      <c r="N1315" s="19" t="str">
        <f>IF($D1315=1,INDEX(TblClusters[CPU min (vCPU)],$B1315),"")</f>
        <v/>
      </c>
      <c r="O1315" s="19" t="str">
        <f>IF($D1315=1,INDEX(TblClusters[RAM min (Go)],$B1315),"")</f>
        <v/>
      </c>
      <c r="P1315" s="19" t="str">
        <f>IF($D1315&lt;&gt;1,"",IF($G1315="ROKS",SUMIFS(TblApplications[Besoin ROKS CPU (vCPU)],TblApplications[Cluster ROKS cible],$F1315,TblApplications[Action],"À migrer",TblApplications[Déjà incluse ROKS],"Non",TblApplications[Mois prov (calc)],"&lt;="&amp;$E1315),SUMIFS(TblApplications[CPU IKS libérable (vCPU)],TblApplications[Cluster IKS source],$F1315,TblApplications[Mois lib (calc)],"&lt;="&amp;$E1315)))</f>
        <v/>
      </c>
      <c r="Q1315" s="19" t="str">
        <f>IF($D1315&lt;&gt;1,"",IF($G1315="ROKS",SUMIFS(TblApplications[Besoin ROKS RAM (Go)],TblApplications[Cluster ROKS cible],$F1315,TblApplications[Action],"À migrer",TblApplications[Déjà incluse ROKS],"Non",TblApplications[Mois prov (calc)],"&lt;="&amp;$E1315),SUMIFS(TblApplications[RAM IKS libérable (Go)],TblApplications[Cluster IKS source],$F1315,TblApplications[Mois lib (calc)],"&lt;="&amp;$E1315)))</f>
        <v/>
      </c>
      <c r="R1315" s="19" t="str">
        <f t="shared" si="343"/>
        <v/>
      </c>
      <c r="S1315" s="19" t="str">
        <f t="shared" si="344"/>
        <v/>
      </c>
      <c r="T1315" s="19" t="str">
        <f t="shared" si="345"/>
        <v/>
      </c>
      <c r="U1315" s="19" t="str">
        <f t="shared" si="346"/>
        <v/>
      </c>
      <c r="V1315" s="19" t="str">
        <f t="shared" si="347"/>
        <v/>
      </c>
      <c r="W1315" s="73" t="str">
        <f t="shared" si="348"/>
        <v/>
      </c>
      <c r="X1315" s="19" t="str">
        <f>IF($D1315&lt;&gt;1,"",IF($G1315="ROKS",$R1315,IF($AI1315=1,0,MAX($N1315,$L1315-SUMIFS(TblApplications[CPU IKS libérable (vCPU)],TblApplications[Cluster IKS source],$F1315,TblApplications[Action],"À migrer",TblApplications[Mois prov (calc)],"&lt;="&amp;$E1315)-SUMIFS(TblApplications[CPU IKS libérable (vCPU)],TblApplications[Cluster IKS source],$F1315,TblApplications[Action],"À décommissionner",TblApplications[Mois lib (calc)],"&lt;="&amp;$E1315)))))</f>
        <v/>
      </c>
      <c r="Y1315" s="19" t="str">
        <f>IF($D1315&lt;&gt;1,"",IF($G1315="ROKS",$S1315,IF($AI1315=1,0,MAX($O1315,$M1315-SUMIFS(TblApplications[RAM IKS libérable (Go)],TblApplications[Cluster IKS source],$F1315,TblApplications[Action],"À migrer",TblApplications[Mois prov (calc)],"&lt;="&amp;$E1315)-SUMIFS(TblApplications[RAM IKS libérable (Go)],TblApplications[Cluster IKS source],$F1315,TblApplications[Action],"À décommissionner",TblApplications[Mois lib (calc)],"&lt;="&amp;$E1315)))))</f>
        <v/>
      </c>
      <c r="Z1315" s="19" t="str">
        <f t="shared" si="349"/>
        <v/>
      </c>
      <c r="AA1315" s="73" t="str">
        <f t="shared" si="350"/>
        <v/>
      </c>
      <c r="AB1315" s="19" t="str">
        <f t="shared" si="351"/>
        <v/>
      </c>
      <c r="AC1315" s="73" t="str">
        <f t="shared" si="352"/>
        <v/>
      </c>
      <c r="AD1315" s="19" t="str">
        <f t="shared" si="353"/>
        <v/>
      </c>
      <c r="AE1315" s="19" t="str">
        <f t="shared" si="354"/>
        <v/>
      </c>
      <c r="AF1315" s="19" t="str">
        <f>IF($D1315&lt;&gt;1,"",IF(INDEX(TblClusters[Environnement],$B1315)="","(vide)",INDEX(TblClusters[Environnement],$B1315)))</f>
        <v/>
      </c>
      <c r="AG1315" s="19" t="str">
        <f t="shared" si="355"/>
        <v/>
      </c>
      <c r="AH1315" s="19" t="str">
        <f t="shared" si="356"/>
        <v/>
      </c>
      <c r="AI1315" s="19" t="str">
        <f>IF($D1315&lt;&gt;1,"",IF(AND($G1315="IKS",ISNUMBER(INDEX(TblClusters[Fermeture retenue],$B1315))),IF($E1315&gt;=INDEX(TblClusters[Fermeture retenue],$B1315),1,0),0))</f>
        <v/>
      </c>
    </row>
    <row r="1316" spans="1:35" x14ac:dyDescent="0.2">
      <c r="A1316" s="19">
        <v>1311</v>
      </c>
      <c r="B1316" s="19">
        <f t="shared" si="340"/>
        <v>37</v>
      </c>
      <c r="C1316" s="19">
        <f t="shared" si="341"/>
        <v>15</v>
      </c>
      <c r="D1316" s="19">
        <f>IF($C1316&gt;p_horizon,0,IFERROR(IF(AND(INDEX(TblClusters[Cluster],$B1316)&lt;&gt;"",ISNUMBER(INDEX(TblClusters[CPU initial (vCPU)],$B1316)),ISNUMBER(INDEX(TblClusters[CPU min (vCPU)],$B1316)),OR(INDEX(TblClusters[Plateforme],$B1316)="IKS",INDEX(TblClusters[Plateforme],$B1316)="ROKS")),1,0),0))</f>
        <v>0</v>
      </c>
      <c r="E1316" s="72" t="str">
        <f t="shared" si="342"/>
        <v/>
      </c>
      <c r="F1316" s="19" t="str">
        <f>IF($D1316=1,INDEX(TblClusters[Cluster],$B1316),"")</f>
        <v/>
      </c>
      <c r="G1316" s="19" t="str">
        <f>IF($D1316=1,INDEX(TblClusters[Plateforme],$B1316),"")</f>
        <v/>
      </c>
      <c r="H1316" s="19" t="str">
        <f>IF($D1316=1,INDEX(TblClusters[vCPU par nœud],$B1316),"")</f>
        <v/>
      </c>
      <c r="I1316" s="19" t="str">
        <f>IF($D1316=1,INDEX(TblClusters[RAM par nœud (Go)],$B1316),"")</f>
        <v/>
      </c>
      <c r="J1316" s="19" t="str">
        <f>IF($D1316=1,INDEX(TblClusters[Workers min],$B1316),"")</f>
        <v/>
      </c>
      <c r="K1316" s="73" t="str">
        <f>IF($D1316=1,INDEX(TblClusters[Tarif par nœud],$B1316),"")</f>
        <v/>
      </c>
      <c r="L1316" s="19" t="str">
        <f>IF($D1316=1,INDEX(TblClusters[CPU initial (vCPU)],$B1316),"")</f>
        <v/>
      </c>
      <c r="M1316" s="19" t="str">
        <f>IF($D1316=1,INDEX(TblClusters[RAM initiale (Go)],$B1316),"")</f>
        <v/>
      </c>
      <c r="N1316" s="19" t="str">
        <f>IF($D1316=1,INDEX(TblClusters[CPU min (vCPU)],$B1316),"")</f>
        <v/>
      </c>
      <c r="O1316" s="19" t="str">
        <f>IF($D1316=1,INDEX(TblClusters[RAM min (Go)],$B1316),"")</f>
        <v/>
      </c>
      <c r="P1316" s="19" t="str">
        <f>IF($D1316&lt;&gt;1,"",IF($G1316="ROKS",SUMIFS(TblApplications[Besoin ROKS CPU (vCPU)],TblApplications[Cluster ROKS cible],$F1316,TblApplications[Action],"À migrer",TblApplications[Déjà incluse ROKS],"Non",TblApplications[Mois prov (calc)],"&lt;="&amp;$E1316),SUMIFS(TblApplications[CPU IKS libérable (vCPU)],TblApplications[Cluster IKS source],$F1316,TblApplications[Mois lib (calc)],"&lt;="&amp;$E1316)))</f>
        <v/>
      </c>
      <c r="Q1316" s="19" t="str">
        <f>IF($D1316&lt;&gt;1,"",IF($G1316="ROKS",SUMIFS(TblApplications[Besoin ROKS RAM (Go)],TblApplications[Cluster ROKS cible],$F1316,TblApplications[Action],"À migrer",TblApplications[Déjà incluse ROKS],"Non",TblApplications[Mois prov (calc)],"&lt;="&amp;$E1316),SUMIFS(TblApplications[RAM IKS libérable (Go)],TblApplications[Cluster IKS source],$F1316,TblApplications[Mois lib (calc)],"&lt;="&amp;$E1316)))</f>
        <v/>
      </c>
      <c r="R1316" s="19" t="str">
        <f t="shared" si="343"/>
        <v/>
      </c>
      <c r="S1316" s="19" t="str">
        <f t="shared" si="344"/>
        <v/>
      </c>
      <c r="T1316" s="19" t="str">
        <f t="shared" si="345"/>
        <v/>
      </c>
      <c r="U1316" s="19" t="str">
        <f t="shared" si="346"/>
        <v/>
      </c>
      <c r="V1316" s="19" t="str">
        <f t="shared" si="347"/>
        <v/>
      </c>
      <c r="W1316" s="73" t="str">
        <f t="shared" si="348"/>
        <v/>
      </c>
      <c r="X1316" s="19" t="str">
        <f>IF($D1316&lt;&gt;1,"",IF($G1316="ROKS",$R1316,IF($AI1316=1,0,MAX($N1316,$L1316-SUMIFS(TblApplications[CPU IKS libérable (vCPU)],TblApplications[Cluster IKS source],$F1316,TblApplications[Action],"À migrer",TblApplications[Mois prov (calc)],"&lt;="&amp;$E1316)-SUMIFS(TblApplications[CPU IKS libérable (vCPU)],TblApplications[Cluster IKS source],$F1316,TblApplications[Action],"À décommissionner",TblApplications[Mois lib (calc)],"&lt;="&amp;$E1316)))))</f>
        <v/>
      </c>
      <c r="Y1316" s="19" t="str">
        <f>IF($D1316&lt;&gt;1,"",IF($G1316="ROKS",$S1316,IF($AI1316=1,0,MAX($O1316,$M1316-SUMIFS(TblApplications[RAM IKS libérable (Go)],TblApplications[Cluster IKS source],$F1316,TblApplications[Action],"À migrer",TblApplications[Mois prov (calc)],"&lt;="&amp;$E1316)-SUMIFS(TblApplications[RAM IKS libérable (Go)],TblApplications[Cluster IKS source],$F1316,TblApplications[Action],"À décommissionner",TblApplications[Mois lib (calc)],"&lt;="&amp;$E1316)))))</f>
        <v/>
      </c>
      <c r="Z1316" s="19" t="str">
        <f t="shared" si="349"/>
        <v/>
      </c>
      <c r="AA1316" s="73" t="str">
        <f t="shared" si="350"/>
        <v/>
      </c>
      <c r="AB1316" s="19" t="str">
        <f t="shared" si="351"/>
        <v/>
      </c>
      <c r="AC1316" s="73" t="str">
        <f t="shared" si="352"/>
        <v/>
      </c>
      <c r="AD1316" s="19" t="str">
        <f t="shared" si="353"/>
        <v/>
      </c>
      <c r="AE1316" s="19" t="str">
        <f t="shared" si="354"/>
        <v/>
      </c>
      <c r="AF1316" s="19" t="str">
        <f>IF($D1316&lt;&gt;1,"",IF(INDEX(TblClusters[Environnement],$B1316)="","(vide)",INDEX(TblClusters[Environnement],$B1316)))</f>
        <v/>
      </c>
      <c r="AG1316" s="19" t="str">
        <f t="shared" si="355"/>
        <v/>
      </c>
      <c r="AH1316" s="19" t="str">
        <f t="shared" si="356"/>
        <v/>
      </c>
      <c r="AI1316" s="19" t="str">
        <f>IF($D1316&lt;&gt;1,"",IF(AND($G1316="IKS",ISNUMBER(INDEX(TblClusters[Fermeture retenue],$B1316))),IF($E1316&gt;=INDEX(TblClusters[Fermeture retenue],$B1316),1,0),0))</f>
        <v/>
      </c>
    </row>
    <row r="1317" spans="1:35" x14ac:dyDescent="0.2">
      <c r="A1317" s="19">
        <v>1312</v>
      </c>
      <c r="B1317" s="19">
        <f t="shared" si="340"/>
        <v>37</v>
      </c>
      <c r="C1317" s="19">
        <f t="shared" si="341"/>
        <v>16</v>
      </c>
      <c r="D1317" s="19">
        <f>IF($C1317&gt;p_horizon,0,IFERROR(IF(AND(INDEX(TblClusters[Cluster],$B1317)&lt;&gt;"",ISNUMBER(INDEX(TblClusters[CPU initial (vCPU)],$B1317)),ISNUMBER(INDEX(TblClusters[CPU min (vCPU)],$B1317)),OR(INDEX(TblClusters[Plateforme],$B1317)="IKS",INDEX(TblClusters[Plateforme],$B1317)="ROKS")),1,0),0))</f>
        <v>0</v>
      </c>
      <c r="E1317" s="72" t="str">
        <f t="shared" si="342"/>
        <v/>
      </c>
      <c r="F1317" s="19" t="str">
        <f>IF($D1317=1,INDEX(TblClusters[Cluster],$B1317),"")</f>
        <v/>
      </c>
      <c r="G1317" s="19" t="str">
        <f>IF($D1317=1,INDEX(TblClusters[Plateforme],$B1317),"")</f>
        <v/>
      </c>
      <c r="H1317" s="19" t="str">
        <f>IF($D1317=1,INDEX(TblClusters[vCPU par nœud],$B1317),"")</f>
        <v/>
      </c>
      <c r="I1317" s="19" t="str">
        <f>IF($D1317=1,INDEX(TblClusters[RAM par nœud (Go)],$B1317),"")</f>
        <v/>
      </c>
      <c r="J1317" s="19" t="str">
        <f>IF($D1317=1,INDEX(TblClusters[Workers min],$B1317),"")</f>
        <v/>
      </c>
      <c r="K1317" s="73" t="str">
        <f>IF($D1317=1,INDEX(TblClusters[Tarif par nœud],$B1317),"")</f>
        <v/>
      </c>
      <c r="L1317" s="19" t="str">
        <f>IF($D1317=1,INDEX(TblClusters[CPU initial (vCPU)],$B1317),"")</f>
        <v/>
      </c>
      <c r="M1317" s="19" t="str">
        <f>IF($D1317=1,INDEX(TblClusters[RAM initiale (Go)],$B1317),"")</f>
        <v/>
      </c>
      <c r="N1317" s="19" t="str">
        <f>IF($D1317=1,INDEX(TblClusters[CPU min (vCPU)],$B1317),"")</f>
        <v/>
      </c>
      <c r="O1317" s="19" t="str">
        <f>IF($D1317=1,INDEX(TblClusters[RAM min (Go)],$B1317),"")</f>
        <v/>
      </c>
      <c r="P1317" s="19" t="str">
        <f>IF($D1317&lt;&gt;1,"",IF($G1317="ROKS",SUMIFS(TblApplications[Besoin ROKS CPU (vCPU)],TblApplications[Cluster ROKS cible],$F1317,TblApplications[Action],"À migrer",TblApplications[Déjà incluse ROKS],"Non",TblApplications[Mois prov (calc)],"&lt;="&amp;$E1317),SUMIFS(TblApplications[CPU IKS libérable (vCPU)],TblApplications[Cluster IKS source],$F1317,TblApplications[Mois lib (calc)],"&lt;="&amp;$E1317)))</f>
        <v/>
      </c>
      <c r="Q1317" s="19" t="str">
        <f>IF($D1317&lt;&gt;1,"",IF($G1317="ROKS",SUMIFS(TblApplications[Besoin ROKS RAM (Go)],TblApplications[Cluster ROKS cible],$F1317,TblApplications[Action],"À migrer",TblApplications[Déjà incluse ROKS],"Non",TblApplications[Mois prov (calc)],"&lt;="&amp;$E1317),SUMIFS(TblApplications[RAM IKS libérable (Go)],TblApplications[Cluster IKS source],$F1317,TblApplications[Mois lib (calc)],"&lt;="&amp;$E1317)))</f>
        <v/>
      </c>
      <c r="R1317" s="19" t="str">
        <f t="shared" si="343"/>
        <v/>
      </c>
      <c r="S1317" s="19" t="str">
        <f t="shared" si="344"/>
        <v/>
      </c>
      <c r="T1317" s="19" t="str">
        <f t="shared" si="345"/>
        <v/>
      </c>
      <c r="U1317" s="19" t="str">
        <f t="shared" si="346"/>
        <v/>
      </c>
      <c r="V1317" s="19" t="str">
        <f t="shared" si="347"/>
        <v/>
      </c>
      <c r="W1317" s="73" t="str">
        <f t="shared" si="348"/>
        <v/>
      </c>
      <c r="X1317" s="19" t="str">
        <f>IF($D1317&lt;&gt;1,"",IF($G1317="ROKS",$R1317,IF($AI1317=1,0,MAX($N1317,$L1317-SUMIFS(TblApplications[CPU IKS libérable (vCPU)],TblApplications[Cluster IKS source],$F1317,TblApplications[Action],"À migrer",TblApplications[Mois prov (calc)],"&lt;="&amp;$E1317)-SUMIFS(TblApplications[CPU IKS libérable (vCPU)],TblApplications[Cluster IKS source],$F1317,TblApplications[Action],"À décommissionner",TblApplications[Mois lib (calc)],"&lt;="&amp;$E1317)))))</f>
        <v/>
      </c>
      <c r="Y1317" s="19" t="str">
        <f>IF($D1317&lt;&gt;1,"",IF($G1317="ROKS",$S1317,IF($AI1317=1,0,MAX($O1317,$M1317-SUMIFS(TblApplications[RAM IKS libérable (Go)],TblApplications[Cluster IKS source],$F1317,TblApplications[Action],"À migrer",TblApplications[Mois prov (calc)],"&lt;="&amp;$E1317)-SUMIFS(TblApplications[RAM IKS libérable (Go)],TblApplications[Cluster IKS source],$F1317,TblApplications[Action],"À décommissionner",TblApplications[Mois lib (calc)],"&lt;="&amp;$E1317)))))</f>
        <v/>
      </c>
      <c r="Z1317" s="19" t="str">
        <f t="shared" si="349"/>
        <v/>
      </c>
      <c r="AA1317" s="73" t="str">
        <f t="shared" si="350"/>
        <v/>
      </c>
      <c r="AB1317" s="19" t="str">
        <f t="shared" si="351"/>
        <v/>
      </c>
      <c r="AC1317" s="73" t="str">
        <f t="shared" si="352"/>
        <v/>
      </c>
      <c r="AD1317" s="19" t="str">
        <f t="shared" si="353"/>
        <v/>
      </c>
      <c r="AE1317" s="19" t="str">
        <f t="shared" si="354"/>
        <v/>
      </c>
      <c r="AF1317" s="19" t="str">
        <f>IF($D1317&lt;&gt;1,"",IF(INDEX(TblClusters[Environnement],$B1317)="","(vide)",INDEX(TblClusters[Environnement],$B1317)))</f>
        <v/>
      </c>
      <c r="AG1317" s="19" t="str">
        <f t="shared" si="355"/>
        <v/>
      </c>
      <c r="AH1317" s="19" t="str">
        <f t="shared" si="356"/>
        <v/>
      </c>
      <c r="AI1317" s="19" t="str">
        <f>IF($D1317&lt;&gt;1,"",IF(AND($G1317="IKS",ISNUMBER(INDEX(TblClusters[Fermeture retenue],$B1317))),IF($E1317&gt;=INDEX(TblClusters[Fermeture retenue],$B1317),1,0),0))</f>
        <v/>
      </c>
    </row>
    <row r="1318" spans="1:35" x14ac:dyDescent="0.2">
      <c r="A1318" s="19">
        <v>1313</v>
      </c>
      <c r="B1318" s="19">
        <f t="shared" si="340"/>
        <v>37</v>
      </c>
      <c r="C1318" s="19">
        <f t="shared" si="341"/>
        <v>17</v>
      </c>
      <c r="D1318" s="19">
        <f>IF($C1318&gt;p_horizon,0,IFERROR(IF(AND(INDEX(TblClusters[Cluster],$B1318)&lt;&gt;"",ISNUMBER(INDEX(TblClusters[CPU initial (vCPU)],$B1318)),ISNUMBER(INDEX(TblClusters[CPU min (vCPU)],$B1318)),OR(INDEX(TblClusters[Plateforme],$B1318)="IKS",INDEX(TblClusters[Plateforme],$B1318)="ROKS")),1,0),0))</f>
        <v>0</v>
      </c>
      <c r="E1318" s="72" t="str">
        <f t="shared" si="342"/>
        <v/>
      </c>
      <c r="F1318" s="19" t="str">
        <f>IF($D1318=1,INDEX(TblClusters[Cluster],$B1318),"")</f>
        <v/>
      </c>
      <c r="G1318" s="19" t="str">
        <f>IF($D1318=1,INDEX(TblClusters[Plateforme],$B1318),"")</f>
        <v/>
      </c>
      <c r="H1318" s="19" t="str">
        <f>IF($D1318=1,INDEX(TblClusters[vCPU par nœud],$B1318),"")</f>
        <v/>
      </c>
      <c r="I1318" s="19" t="str">
        <f>IF($D1318=1,INDEX(TblClusters[RAM par nœud (Go)],$B1318),"")</f>
        <v/>
      </c>
      <c r="J1318" s="19" t="str">
        <f>IF($D1318=1,INDEX(TblClusters[Workers min],$B1318),"")</f>
        <v/>
      </c>
      <c r="K1318" s="73" t="str">
        <f>IF($D1318=1,INDEX(TblClusters[Tarif par nœud],$B1318),"")</f>
        <v/>
      </c>
      <c r="L1318" s="19" t="str">
        <f>IF($D1318=1,INDEX(TblClusters[CPU initial (vCPU)],$B1318),"")</f>
        <v/>
      </c>
      <c r="M1318" s="19" t="str">
        <f>IF($D1318=1,INDEX(TblClusters[RAM initiale (Go)],$B1318),"")</f>
        <v/>
      </c>
      <c r="N1318" s="19" t="str">
        <f>IF($D1318=1,INDEX(TblClusters[CPU min (vCPU)],$B1318),"")</f>
        <v/>
      </c>
      <c r="O1318" s="19" t="str">
        <f>IF($D1318=1,INDEX(TblClusters[RAM min (Go)],$B1318),"")</f>
        <v/>
      </c>
      <c r="P1318" s="19" t="str">
        <f>IF($D1318&lt;&gt;1,"",IF($G1318="ROKS",SUMIFS(TblApplications[Besoin ROKS CPU (vCPU)],TblApplications[Cluster ROKS cible],$F1318,TblApplications[Action],"À migrer",TblApplications[Déjà incluse ROKS],"Non",TblApplications[Mois prov (calc)],"&lt;="&amp;$E1318),SUMIFS(TblApplications[CPU IKS libérable (vCPU)],TblApplications[Cluster IKS source],$F1318,TblApplications[Mois lib (calc)],"&lt;="&amp;$E1318)))</f>
        <v/>
      </c>
      <c r="Q1318" s="19" t="str">
        <f>IF($D1318&lt;&gt;1,"",IF($G1318="ROKS",SUMIFS(TblApplications[Besoin ROKS RAM (Go)],TblApplications[Cluster ROKS cible],$F1318,TblApplications[Action],"À migrer",TblApplications[Déjà incluse ROKS],"Non",TblApplications[Mois prov (calc)],"&lt;="&amp;$E1318),SUMIFS(TblApplications[RAM IKS libérable (Go)],TblApplications[Cluster IKS source],$F1318,TblApplications[Mois lib (calc)],"&lt;="&amp;$E1318)))</f>
        <v/>
      </c>
      <c r="R1318" s="19" t="str">
        <f t="shared" si="343"/>
        <v/>
      </c>
      <c r="S1318" s="19" t="str">
        <f t="shared" si="344"/>
        <v/>
      </c>
      <c r="T1318" s="19" t="str">
        <f t="shared" si="345"/>
        <v/>
      </c>
      <c r="U1318" s="19" t="str">
        <f t="shared" si="346"/>
        <v/>
      </c>
      <c r="V1318" s="19" t="str">
        <f t="shared" si="347"/>
        <v/>
      </c>
      <c r="W1318" s="73" t="str">
        <f t="shared" si="348"/>
        <v/>
      </c>
      <c r="X1318" s="19" t="str">
        <f>IF($D1318&lt;&gt;1,"",IF($G1318="ROKS",$R1318,IF($AI1318=1,0,MAX($N1318,$L1318-SUMIFS(TblApplications[CPU IKS libérable (vCPU)],TblApplications[Cluster IKS source],$F1318,TblApplications[Action],"À migrer",TblApplications[Mois prov (calc)],"&lt;="&amp;$E1318)-SUMIFS(TblApplications[CPU IKS libérable (vCPU)],TblApplications[Cluster IKS source],$F1318,TblApplications[Action],"À décommissionner",TblApplications[Mois lib (calc)],"&lt;="&amp;$E1318)))))</f>
        <v/>
      </c>
      <c r="Y1318" s="19" t="str">
        <f>IF($D1318&lt;&gt;1,"",IF($G1318="ROKS",$S1318,IF($AI1318=1,0,MAX($O1318,$M1318-SUMIFS(TblApplications[RAM IKS libérable (Go)],TblApplications[Cluster IKS source],$F1318,TblApplications[Action],"À migrer",TblApplications[Mois prov (calc)],"&lt;="&amp;$E1318)-SUMIFS(TblApplications[RAM IKS libérable (Go)],TblApplications[Cluster IKS source],$F1318,TblApplications[Action],"À décommissionner",TblApplications[Mois lib (calc)],"&lt;="&amp;$E1318)))))</f>
        <v/>
      </c>
      <c r="Z1318" s="19" t="str">
        <f t="shared" si="349"/>
        <v/>
      </c>
      <c r="AA1318" s="73" t="str">
        <f t="shared" si="350"/>
        <v/>
      </c>
      <c r="AB1318" s="19" t="str">
        <f t="shared" si="351"/>
        <v/>
      </c>
      <c r="AC1318" s="73" t="str">
        <f t="shared" si="352"/>
        <v/>
      </c>
      <c r="AD1318" s="19" t="str">
        <f t="shared" si="353"/>
        <v/>
      </c>
      <c r="AE1318" s="19" t="str">
        <f t="shared" si="354"/>
        <v/>
      </c>
      <c r="AF1318" s="19" t="str">
        <f>IF($D1318&lt;&gt;1,"",IF(INDEX(TblClusters[Environnement],$B1318)="","(vide)",INDEX(TblClusters[Environnement],$B1318)))</f>
        <v/>
      </c>
      <c r="AG1318" s="19" t="str">
        <f t="shared" si="355"/>
        <v/>
      </c>
      <c r="AH1318" s="19" t="str">
        <f t="shared" si="356"/>
        <v/>
      </c>
      <c r="AI1318" s="19" t="str">
        <f>IF($D1318&lt;&gt;1,"",IF(AND($G1318="IKS",ISNUMBER(INDEX(TblClusters[Fermeture retenue],$B1318))),IF($E1318&gt;=INDEX(TblClusters[Fermeture retenue],$B1318),1,0),0))</f>
        <v/>
      </c>
    </row>
    <row r="1319" spans="1:35" x14ac:dyDescent="0.2">
      <c r="A1319" s="19">
        <v>1314</v>
      </c>
      <c r="B1319" s="19">
        <f t="shared" si="340"/>
        <v>37</v>
      </c>
      <c r="C1319" s="19">
        <f t="shared" si="341"/>
        <v>18</v>
      </c>
      <c r="D1319" s="19">
        <f>IF($C1319&gt;p_horizon,0,IFERROR(IF(AND(INDEX(TblClusters[Cluster],$B1319)&lt;&gt;"",ISNUMBER(INDEX(TblClusters[CPU initial (vCPU)],$B1319)),ISNUMBER(INDEX(TblClusters[CPU min (vCPU)],$B1319)),OR(INDEX(TblClusters[Plateforme],$B1319)="IKS",INDEX(TblClusters[Plateforme],$B1319)="ROKS")),1,0),0))</f>
        <v>0</v>
      </c>
      <c r="E1319" s="72" t="str">
        <f t="shared" si="342"/>
        <v/>
      </c>
      <c r="F1319" s="19" t="str">
        <f>IF($D1319=1,INDEX(TblClusters[Cluster],$B1319),"")</f>
        <v/>
      </c>
      <c r="G1319" s="19" t="str">
        <f>IF($D1319=1,INDEX(TblClusters[Plateforme],$B1319),"")</f>
        <v/>
      </c>
      <c r="H1319" s="19" t="str">
        <f>IF($D1319=1,INDEX(TblClusters[vCPU par nœud],$B1319),"")</f>
        <v/>
      </c>
      <c r="I1319" s="19" t="str">
        <f>IF($D1319=1,INDEX(TblClusters[RAM par nœud (Go)],$B1319),"")</f>
        <v/>
      </c>
      <c r="J1319" s="19" t="str">
        <f>IF($D1319=1,INDEX(TblClusters[Workers min],$B1319),"")</f>
        <v/>
      </c>
      <c r="K1319" s="73" t="str">
        <f>IF($D1319=1,INDEX(TblClusters[Tarif par nœud],$B1319),"")</f>
        <v/>
      </c>
      <c r="L1319" s="19" t="str">
        <f>IF($D1319=1,INDEX(TblClusters[CPU initial (vCPU)],$B1319),"")</f>
        <v/>
      </c>
      <c r="M1319" s="19" t="str">
        <f>IF($D1319=1,INDEX(TblClusters[RAM initiale (Go)],$B1319),"")</f>
        <v/>
      </c>
      <c r="N1319" s="19" t="str">
        <f>IF($D1319=1,INDEX(TblClusters[CPU min (vCPU)],$B1319),"")</f>
        <v/>
      </c>
      <c r="O1319" s="19" t="str">
        <f>IF($D1319=1,INDEX(TblClusters[RAM min (Go)],$B1319),"")</f>
        <v/>
      </c>
      <c r="P1319" s="19" t="str">
        <f>IF($D1319&lt;&gt;1,"",IF($G1319="ROKS",SUMIFS(TblApplications[Besoin ROKS CPU (vCPU)],TblApplications[Cluster ROKS cible],$F1319,TblApplications[Action],"À migrer",TblApplications[Déjà incluse ROKS],"Non",TblApplications[Mois prov (calc)],"&lt;="&amp;$E1319),SUMIFS(TblApplications[CPU IKS libérable (vCPU)],TblApplications[Cluster IKS source],$F1319,TblApplications[Mois lib (calc)],"&lt;="&amp;$E1319)))</f>
        <v/>
      </c>
      <c r="Q1319" s="19" t="str">
        <f>IF($D1319&lt;&gt;1,"",IF($G1319="ROKS",SUMIFS(TblApplications[Besoin ROKS RAM (Go)],TblApplications[Cluster ROKS cible],$F1319,TblApplications[Action],"À migrer",TblApplications[Déjà incluse ROKS],"Non",TblApplications[Mois prov (calc)],"&lt;="&amp;$E1319),SUMIFS(TblApplications[RAM IKS libérable (Go)],TblApplications[Cluster IKS source],$F1319,TblApplications[Mois lib (calc)],"&lt;="&amp;$E1319)))</f>
        <v/>
      </c>
      <c r="R1319" s="19" t="str">
        <f t="shared" si="343"/>
        <v/>
      </c>
      <c r="S1319" s="19" t="str">
        <f t="shared" si="344"/>
        <v/>
      </c>
      <c r="T1319" s="19" t="str">
        <f t="shared" si="345"/>
        <v/>
      </c>
      <c r="U1319" s="19" t="str">
        <f t="shared" si="346"/>
        <v/>
      </c>
      <c r="V1319" s="19" t="str">
        <f t="shared" si="347"/>
        <v/>
      </c>
      <c r="W1319" s="73" t="str">
        <f t="shared" si="348"/>
        <v/>
      </c>
      <c r="X1319" s="19" t="str">
        <f>IF($D1319&lt;&gt;1,"",IF($G1319="ROKS",$R1319,IF($AI1319=1,0,MAX($N1319,$L1319-SUMIFS(TblApplications[CPU IKS libérable (vCPU)],TblApplications[Cluster IKS source],$F1319,TblApplications[Action],"À migrer",TblApplications[Mois prov (calc)],"&lt;="&amp;$E1319)-SUMIFS(TblApplications[CPU IKS libérable (vCPU)],TblApplications[Cluster IKS source],$F1319,TblApplications[Action],"À décommissionner",TblApplications[Mois lib (calc)],"&lt;="&amp;$E1319)))))</f>
        <v/>
      </c>
      <c r="Y1319" s="19" t="str">
        <f>IF($D1319&lt;&gt;1,"",IF($G1319="ROKS",$S1319,IF($AI1319=1,0,MAX($O1319,$M1319-SUMIFS(TblApplications[RAM IKS libérable (Go)],TblApplications[Cluster IKS source],$F1319,TblApplications[Action],"À migrer",TblApplications[Mois prov (calc)],"&lt;="&amp;$E1319)-SUMIFS(TblApplications[RAM IKS libérable (Go)],TblApplications[Cluster IKS source],$F1319,TblApplications[Action],"À décommissionner",TblApplications[Mois lib (calc)],"&lt;="&amp;$E1319)))))</f>
        <v/>
      </c>
      <c r="Z1319" s="19" t="str">
        <f t="shared" si="349"/>
        <v/>
      </c>
      <c r="AA1319" s="73" t="str">
        <f t="shared" si="350"/>
        <v/>
      </c>
      <c r="AB1319" s="19" t="str">
        <f t="shared" si="351"/>
        <v/>
      </c>
      <c r="AC1319" s="73" t="str">
        <f t="shared" si="352"/>
        <v/>
      </c>
      <c r="AD1319" s="19" t="str">
        <f t="shared" si="353"/>
        <v/>
      </c>
      <c r="AE1319" s="19" t="str">
        <f t="shared" si="354"/>
        <v/>
      </c>
      <c r="AF1319" s="19" t="str">
        <f>IF($D1319&lt;&gt;1,"",IF(INDEX(TblClusters[Environnement],$B1319)="","(vide)",INDEX(TblClusters[Environnement],$B1319)))</f>
        <v/>
      </c>
      <c r="AG1319" s="19" t="str">
        <f t="shared" si="355"/>
        <v/>
      </c>
      <c r="AH1319" s="19" t="str">
        <f t="shared" si="356"/>
        <v/>
      </c>
      <c r="AI1319" s="19" t="str">
        <f>IF($D1319&lt;&gt;1,"",IF(AND($G1319="IKS",ISNUMBER(INDEX(TblClusters[Fermeture retenue],$B1319))),IF($E1319&gt;=INDEX(TblClusters[Fermeture retenue],$B1319),1,0),0))</f>
        <v/>
      </c>
    </row>
    <row r="1320" spans="1:35" x14ac:dyDescent="0.2">
      <c r="A1320" s="19">
        <v>1315</v>
      </c>
      <c r="B1320" s="19">
        <f t="shared" si="340"/>
        <v>37</v>
      </c>
      <c r="C1320" s="19">
        <f t="shared" si="341"/>
        <v>19</v>
      </c>
      <c r="D1320" s="19">
        <f>IF($C1320&gt;p_horizon,0,IFERROR(IF(AND(INDEX(TblClusters[Cluster],$B1320)&lt;&gt;"",ISNUMBER(INDEX(TblClusters[CPU initial (vCPU)],$B1320)),ISNUMBER(INDEX(TblClusters[CPU min (vCPU)],$B1320)),OR(INDEX(TblClusters[Plateforme],$B1320)="IKS",INDEX(TblClusters[Plateforme],$B1320)="ROKS")),1,0),0))</f>
        <v>0</v>
      </c>
      <c r="E1320" s="72" t="str">
        <f t="shared" si="342"/>
        <v/>
      </c>
      <c r="F1320" s="19" t="str">
        <f>IF($D1320=1,INDEX(TblClusters[Cluster],$B1320),"")</f>
        <v/>
      </c>
      <c r="G1320" s="19" t="str">
        <f>IF($D1320=1,INDEX(TblClusters[Plateforme],$B1320),"")</f>
        <v/>
      </c>
      <c r="H1320" s="19" t="str">
        <f>IF($D1320=1,INDEX(TblClusters[vCPU par nœud],$B1320),"")</f>
        <v/>
      </c>
      <c r="I1320" s="19" t="str">
        <f>IF($D1320=1,INDEX(TblClusters[RAM par nœud (Go)],$B1320),"")</f>
        <v/>
      </c>
      <c r="J1320" s="19" t="str">
        <f>IF($D1320=1,INDEX(TblClusters[Workers min],$B1320),"")</f>
        <v/>
      </c>
      <c r="K1320" s="73" t="str">
        <f>IF($D1320=1,INDEX(TblClusters[Tarif par nœud],$B1320),"")</f>
        <v/>
      </c>
      <c r="L1320" s="19" t="str">
        <f>IF($D1320=1,INDEX(TblClusters[CPU initial (vCPU)],$B1320),"")</f>
        <v/>
      </c>
      <c r="M1320" s="19" t="str">
        <f>IF($D1320=1,INDEX(TblClusters[RAM initiale (Go)],$B1320),"")</f>
        <v/>
      </c>
      <c r="N1320" s="19" t="str">
        <f>IF($D1320=1,INDEX(TblClusters[CPU min (vCPU)],$B1320),"")</f>
        <v/>
      </c>
      <c r="O1320" s="19" t="str">
        <f>IF($D1320=1,INDEX(TblClusters[RAM min (Go)],$B1320),"")</f>
        <v/>
      </c>
      <c r="P1320" s="19" t="str">
        <f>IF($D1320&lt;&gt;1,"",IF($G1320="ROKS",SUMIFS(TblApplications[Besoin ROKS CPU (vCPU)],TblApplications[Cluster ROKS cible],$F1320,TblApplications[Action],"À migrer",TblApplications[Déjà incluse ROKS],"Non",TblApplications[Mois prov (calc)],"&lt;="&amp;$E1320),SUMIFS(TblApplications[CPU IKS libérable (vCPU)],TblApplications[Cluster IKS source],$F1320,TblApplications[Mois lib (calc)],"&lt;="&amp;$E1320)))</f>
        <v/>
      </c>
      <c r="Q1320" s="19" t="str">
        <f>IF($D1320&lt;&gt;1,"",IF($G1320="ROKS",SUMIFS(TblApplications[Besoin ROKS RAM (Go)],TblApplications[Cluster ROKS cible],$F1320,TblApplications[Action],"À migrer",TblApplications[Déjà incluse ROKS],"Non",TblApplications[Mois prov (calc)],"&lt;="&amp;$E1320),SUMIFS(TblApplications[RAM IKS libérable (Go)],TblApplications[Cluster IKS source],$F1320,TblApplications[Mois lib (calc)],"&lt;="&amp;$E1320)))</f>
        <v/>
      </c>
      <c r="R1320" s="19" t="str">
        <f t="shared" si="343"/>
        <v/>
      </c>
      <c r="S1320" s="19" t="str">
        <f t="shared" si="344"/>
        <v/>
      </c>
      <c r="T1320" s="19" t="str">
        <f t="shared" si="345"/>
        <v/>
      </c>
      <c r="U1320" s="19" t="str">
        <f t="shared" si="346"/>
        <v/>
      </c>
      <c r="V1320" s="19" t="str">
        <f t="shared" si="347"/>
        <v/>
      </c>
      <c r="W1320" s="73" t="str">
        <f t="shared" si="348"/>
        <v/>
      </c>
      <c r="X1320" s="19" t="str">
        <f>IF($D1320&lt;&gt;1,"",IF($G1320="ROKS",$R1320,IF($AI1320=1,0,MAX($N1320,$L1320-SUMIFS(TblApplications[CPU IKS libérable (vCPU)],TblApplications[Cluster IKS source],$F1320,TblApplications[Action],"À migrer",TblApplications[Mois prov (calc)],"&lt;="&amp;$E1320)-SUMIFS(TblApplications[CPU IKS libérable (vCPU)],TblApplications[Cluster IKS source],$F1320,TblApplications[Action],"À décommissionner",TblApplications[Mois lib (calc)],"&lt;="&amp;$E1320)))))</f>
        <v/>
      </c>
      <c r="Y1320" s="19" t="str">
        <f>IF($D1320&lt;&gt;1,"",IF($G1320="ROKS",$S1320,IF($AI1320=1,0,MAX($O1320,$M1320-SUMIFS(TblApplications[RAM IKS libérable (Go)],TblApplications[Cluster IKS source],$F1320,TblApplications[Action],"À migrer",TblApplications[Mois prov (calc)],"&lt;="&amp;$E1320)-SUMIFS(TblApplications[RAM IKS libérable (Go)],TblApplications[Cluster IKS source],$F1320,TblApplications[Action],"À décommissionner",TblApplications[Mois lib (calc)],"&lt;="&amp;$E1320)))))</f>
        <v/>
      </c>
      <c r="Z1320" s="19" t="str">
        <f t="shared" si="349"/>
        <v/>
      </c>
      <c r="AA1320" s="73" t="str">
        <f t="shared" si="350"/>
        <v/>
      </c>
      <c r="AB1320" s="19" t="str">
        <f t="shared" si="351"/>
        <v/>
      </c>
      <c r="AC1320" s="73" t="str">
        <f t="shared" si="352"/>
        <v/>
      </c>
      <c r="AD1320" s="19" t="str">
        <f t="shared" si="353"/>
        <v/>
      </c>
      <c r="AE1320" s="19" t="str">
        <f t="shared" si="354"/>
        <v/>
      </c>
      <c r="AF1320" s="19" t="str">
        <f>IF($D1320&lt;&gt;1,"",IF(INDEX(TblClusters[Environnement],$B1320)="","(vide)",INDEX(TblClusters[Environnement],$B1320)))</f>
        <v/>
      </c>
      <c r="AG1320" s="19" t="str">
        <f t="shared" si="355"/>
        <v/>
      </c>
      <c r="AH1320" s="19" t="str">
        <f t="shared" si="356"/>
        <v/>
      </c>
      <c r="AI1320" s="19" t="str">
        <f>IF($D1320&lt;&gt;1,"",IF(AND($G1320="IKS",ISNUMBER(INDEX(TblClusters[Fermeture retenue],$B1320))),IF($E1320&gt;=INDEX(TblClusters[Fermeture retenue],$B1320),1,0),0))</f>
        <v/>
      </c>
    </row>
    <row r="1321" spans="1:35" x14ac:dyDescent="0.2">
      <c r="A1321" s="19">
        <v>1316</v>
      </c>
      <c r="B1321" s="19">
        <f t="shared" si="340"/>
        <v>37</v>
      </c>
      <c r="C1321" s="19">
        <f t="shared" si="341"/>
        <v>20</v>
      </c>
      <c r="D1321" s="19">
        <f>IF($C1321&gt;p_horizon,0,IFERROR(IF(AND(INDEX(TblClusters[Cluster],$B1321)&lt;&gt;"",ISNUMBER(INDEX(TblClusters[CPU initial (vCPU)],$B1321)),ISNUMBER(INDEX(TblClusters[CPU min (vCPU)],$B1321)),OR(INDEX(TblClusters[Plateforme],$B1321)="IKS",INDEX(TblClusters[Plateforme],$B1321)="ROKS")),1,0),0))</f>
        <v>0</v>
      </c>
      <c r="E1321" s="72" t="str">
        <f t="shared" si="342"/>
        <v/>
      </c>
      <c r="F1321" s="19" t="str">
        <f>IF($D1321=1,INDEX(TblClusters[Cluster],$B1321),"")</f>
        <v/>
      </c>
      <c r="G1321" s="19" t="str">
        <f>IF($D1321=1,INDEX(TblClusters[Plateforme],$B1321),"")</f>
        <v/>
      </c>
      <c r="H1321" s="19" t="str">
        <f>IF($D1321=1,INDEX(TblClusters[vCPU par nœud],$B1321),"")</f>
        <v/>
      </c>
      <c r="I1321" s="19" t="str">
        <f>IF($D1321=1,INDEX(TblClusters[RAM par nœud (Go)],$B1321),"")</f>
        <v/>
      </c>
      <c r="J1321" s="19" t="str">
        <f>IF($D1321=1,INDEX(TblClusters[Workers min],$B1321),"")</f>
        <v/>
      </c>
      <c r="K1321" s="73" t="str">
        <f>IF($D1321=1,INDEX(TblClusters[Tarif par nœud],$B1321),"")</f>
        <v/>
      </c>
      <c r="L1321" s="19" t="str">
        <f>IF($D1321=1,INDEX(TblClusters[CPU initial (vCPU)],$B1321),"")</f>
        <v/>
      </c>
      <c r="M1321" s="19" t="str">
        <f>IF($D1321=1,INDEX(TblClusters[RAM initiale (Go)],$B1321),"")</f>
        <v/>
      </c>
      <c r="N1321" s="19" t="str">
        <f>IF($D1321=1,INDEX(TblClusters[CPU min (vCPU)],$B1321),"")</f>
        <v/>
      </c>
      <c r="O1321" s="19" t="str">
        <f>IF($D1321=1,INDEX(TblClusters[RAM min (Go)],$B1321),"")</f>
        <v/>
      </c>
      <c r="P1321" s="19" t="str">
        <f>IF($D1321&lt;&gt;1,"",IF($G1321="ROKS",SUMIFS(TblApplications[Besoin ROKS CPU (vCPU)],TblApplications[Cluster ROKS cible],$F1321,TblApplications[Action],"À migrer",TblApplications[Déjà incluse ROKS],"Non",TblApplications[Mois prov (calc)],"&lt;="&amp;$E1321),SUMIFS(TblApplications[CPU IKS libérable (vCPU)],TblApplications[Cluster IKS source],$F1321,TblApplications[Mois lib (calc)],"&lt;="&amp;$E1321)))</f>
        <v/>
      </c>
      <c r="Q1321" s="19" t="str">
        <f>IF($D1321&lt;&gt;1,"",IF($G1321="ROKS",SUMIFS(TblApplications[Besoin ROKS RAM (Go)],TblApplications[Cluster ROKS cible],$F1321,TblApplications[Action],"À migrer",TblApplications[Déjà incluse ROKS],"Non",TblApplications[Mois prov (calc)],"&lt;="&amp;$E1321),SUMIFS(TblApplications[RAM IKS libérable (Go)],TblApplications[Cluster IKS source],$F1321,TblApplications[Mois lib (calc)],"&lt;="&amp;$E1321)))</f>
        <v/>
      </c>
      <c r="R1321" s="19" t="str">
        <f t="shared" si="343"/>
        <v/>
      </c>
      <c r="S1321" s="19" t="str">
        <f t="shared" si="344"/>
        <v/>
      </c>
      <c r="T1321" s="19" t="str">
        <f t="shared" si="345"/>
        <v/>
      </c>
      <c r="U1321" s="19" t="str">
        <f t="shared" si="346"/>
        <v/>
      </c>
      <c r="V1321" s="19" t="str">
        <f t="shared" si="347"/>
        <v/>
      </c>
      <c r="W1321" s="73" t="str">
        <f t="shared" si="348"/>
        <v/>
      </c>
      <c r="X1321" s="19" t="str">
        <f>IF($D1321&lt;&gt;1,"",IF($G1321="ROKS",$R1321,IF($AI1321=1,0,MAX($N1321,$L1321-SUMIFS(TblApplications[CPU IKS libérable (vCPU)],TblApplications[Cluster IKS source],$F1321,TblApplications[Action],"À migrer",TblApplications[Mois prov (calc)],"&lt;="&amp;$E1321)-SUMIFS(TblApplications[CPU IKS libérable (vCPU)],TblApplications[Cluster IKS source],$F1321,TblApplications[Action],"À décommissionner",TblApplications[Mois lib (calc)],"&lt;="&amp;$E1321)))))</f>
        <v/>
      </c>
      <c r="Y1321" s="19" t="str">
        <f>IF($D1321&lt;&gt;1,"",IF($G1321="ROKS",$S1321,IF($AI1321=1,0,MAX($O1321,$M1321-SUMIFS(TblApplications[RAM IKS libérable (Go)],TblApplications[Cluster IKS source],$F1321,TblApplications[Action],"À migrer",TblApplications[Mois prov (calc)],"&lt;="&amp;$E1321)-SUMIFS(TblApplications[RAM IKS libérable (Go)],TblApplications[Cluster IKS source],$F1321,TblApplications[Action],"À décommissionner",TblApplications[Mois lib (calc)],"&lt;="&amp;$E1321)))))</f>
        <v/>
      </c>
      <c r="Z1321" s="19" t="str">
        <f t="shared" si="349"/>
        <v/>
      </c>
      <c r="AA1321" s="73" t="str">
        <f t="shared" si="350"/>
        <v/>
      </c>
      <c r="AB1321" s="19" t="str">
        <f t="shared" si="351"/>
        <v/>
      </c>
      <c r="AC1321" s="73" t="str">
        <f t="shared" si="352"/>
        <v/>
      </c>
      <c r="AD1321" s="19" t="str">
        <f t="shared" si="353"/>
        <v/>
      </c>
      <c r="AE1321" s="19" t="str">
        <f t="shared" si="354"/>
        <v/>
      </c>
      <c r="AF1321" s="19" t="str">
        <f>IF($D1321&lt;&gt;1,"",IF(INDEX(TblClusters[Environnement],$B1321)="","(vide)",INDEX(TblClusters[Environnement],$B1321)))</f>
        <v/>
      </c>
      <c r="AG1321" s="19" t="str">
        <f t="shared" si="355"/>
        <v/>
      </c>
      <c r="AH1321" s="19" t="str">
        <f t="shared" si="356"/>
        <v/>
      </c>
      <c r="AI1321" s="19" t="str">
        <f>IF($D1321&lt;&gt;1,"",IF(AND($G1321="IKS",ISNUMBER(INDEX(TblClusters[Fermeture retenue],$B1321))),IF($E1321&gt;=INDEX(TblClusters[Fermeture retenue],$B1321),1,0),0))</f>
        <v/>
      </c>
    </row>
    <row r="1322" spans="1:35" x14ac:dyDescent="0.2">
      <c r="A1322" s="19">
        <v>1317</v>
      </c>
      <c r="B1322" s="19">
        <f t="shared" si="340"/>
        <v>37</v>
      </c>
      <c r="C1322" s="19">
        <f t="shared" si="341"/>
        <v>21</v>
      </c>
      <c r="D1322" s="19">
        <f>IF($C1322&gt;p_horizon,0,IFERROR(IF(AND(INDEX(TblClusters[Cluster],$B1322)&lt;&gt;"",ISNUMBER(INDEX(TblClusters[CPU initial (vCPU)],$B1322)),ISNUMBER(INDEX(TblClusters[CPU min (vCPU)],$B1322)),OR(INDEX(TblClusters[Plateforme],$B1322)="IKS",INDEX(TblClusters[Plateforme],$B1322)="ROKS")),1,0),0))</f>
        <v>0</v>
      </c>
      <c r="E1322" s="72" t="str">
        <f t="shared" si="342"/>
        <v/>
      </c>
      <c r="F1322" s="19" t="str">
        <f>IF($D1322=1,INDEX(TblClusters[Cluster],$B1322),"")</f>
        <v/>
      </c>
      <c r="G1322" s="19" t="str">
        <f>IF($D1322=1,INDEX(TblClusters[Plateforme],$B1322),"")</f>
        <v/>
      </c>
      <c r="H1322" s="19" t="str">
        <f>IF($D1322=1,INDEX(TblClusters[vCPU par nœud],$B1322),"")</f>
        <v/>
      </c>
      <c r="I1322" s="19" t="str">
        <f>IF($D1322=1,INDEX(TblClusters[RAM par nœud (Go)],$B1322),"")</f>
        <v/>
      </c>
      <c r="J1322" s="19" t="str">
        <f>IF($D1322=1,INDEX(TblClusters[Workers min],$B1322),"")</f>
        <v/>
      </c>
      <c r="K1322" s="73" t="str">
        <f>IF($D1322=1,INDEX(TblClusters[Tarif par nœud],$B1322),"")</f>
        <v/>
      </c>
      <c r="L1322" s="19" t="str">
        <f>IF($D1322=1,INDEX(TblClusters[CPU initial (vCPU)],$B1322),"")</f>
        <v/>
      </c>
      <c r="M1322" s="19" t="str">
        <f>IF($D1322=1,INDEX(TblClusters[RAM initiale (Go)],$B1322),"")</f>
        <v/>
      </c>
      <c r="N1322" s="19" t="str">
        <f>IF($D1322=1,INDEX(TblClusters[CPU min (vCPU)],$B1322),"")</f>
        <v/>
      </c>
      <c r="O1322" s="19" t="str">
        <f>IF($D1322=1,INDEX(TblClusters[RAM min (Go)],$B1322),"")</f>
        <v/>
      </c>
      <c r="P1322" s="19" t="str">
        <f>IF($D1322&lt;&gt;1,"",IF($G1322="ROKS",SUMIFS(TblApplications[Besoin ROKS CPU (vCPU)],TblApplications[Cluster ROKS cible],$F1322,TblApplications[Action],"À migrer",TblApplications[Déjà incluse ROKS],"Non",TblApplications[Mois prov (calc)],"&lt;="&amp;$E1322),SUMIFS(TblApplications[CPU IKS libérable (vCPU)],TblApplications[Cluster IKS source],$F1322,TblApplications[Mois lib (calc)],"&lt;="&amp;$E1322)))</f>
        <v/>
      </c>
      <c r="Q1322" s="19" t="str">
        <f>IF($D1322&lt;&gt;1,"",IF($G1322="ROKS",SUMIFS(TblApplications[Besoin ROKS RAM (Go)],TblApplications[Cluster ROKS cible],$F1322,TblApplications[Action],"À migrer",TblApplications[Déjà incluse ROKS],"Non",TblApplications[Mois prov (calc)],"&lt;="&amp;$E1322),SUMIFS(TblApplications[RAM IKS libérable (Go)],TblApplications[Cluster IKS source],$F1322,TblApplications[Mois lib (calc)],"&lt;="&amp;$E1322)))</f>
        <v/>
      </c>
      <c r="R1322" s="19" t="str">
        <f t="shared" si="343"/>
        <v/>
      </c>
      <c r="S1322" s="19" t="str">
        <f t="shared" si="344"/>
        <v/>
      </c>
      <c r="T1322" s="19" t="str">
        <f t="shared" si="345"/>
        <v/>
      </c>
      <c r="U1322" s="19" t="str">
        <f t="shared" si="346"/>
        <v/>
      </c>
      <c r="V1322" s="19" t="str">
        <f t="shared" si="347"/>
        <v/>
      </c>
      <c r="W1322" s="73" t="str">
        <f t="shared" si="348"/>
        <v/>
      </c>
      <c r="X1322" s="19" t="str">
        <f>IF($D1322&lt;&gt;1,"",IF($G1322="ROKS",$R1322,IF($AI1322=1,0,MAX($N1322,$L1322-SUMIFS(TblApplications[CPU IKS libérable (vCPU)],TblApplications[Cluster IKS source],$F1322,TblApplications[Action],"À migrer",TblApplications[Mois prov (calc)],"&lt;="&amp;$E1322)-SUMIFS(TblApplications[CPU IKS libérable (vCPU)],TblApplications[Cluster IKS source],$F1322,TblApplications[Action],"À décommissionner",TblApplications[Mois lib (calc)],"&lt;="&amp;$E1322)))))</f>
        <v/>
      </c>
      <c r="Y1322" s="19" t="str">
        <f>IF($D1322&lt;&gt;1,"",IF($G1322="ROKS",$S1322,IF($AI1322=1,0,MAX($O1322,$M1322-SUMIFS(TblApplications[RAM IKS libérable (Go)],TblApplications[Cluster IKS source],$F1322,TblApplications[Action],"À migrer",TblApplications[Mois prov (calc)],"&lt;="&amp;$E1322)-SUMIFS(TblApplications[RAM IKS libérable (Go)],TblApplications[Cluster IKS source],$F1322,TblApplications[Action],"À décommissionner",TblApplications[Mois lib (calc)],"&lt;="&amp;$E1322)))))</f>
        <v/>
      </c>
      <c r="Z1322" s="19" t="str">
        <f t="shared" si="349"/>
        <v/>
      </c>
      <c r="AA1322" s="73" t="str">
        <f t="shared" si="350"/>
        <v/>
      </c>
      <c r="AB1322" s="19" t="str">
        <f t="shared" si="351"/>
        <v/>
      </c>
      <c r="AC1322" s="73" t="str">
        <f t="shared" si="352"/>
        <v/>
      </c>
      <c r="AD1322" s="19" t="str">
        <f t="shared" si="353"/>
        <v/>
      </c>
      <c r="AE1322" s="19" t="str">
        <f t="shared" si="354"/>
        <v/>
      </c>
      <c r="AF1322" s="19" t="str">
        <f>IF($D1322&lt;&gt;1,"",IF(INDEX(TblClusters[Environnement],$B1322)="","(vide)",INDEX(TblClusters[Environnement],$B1322)))</f>
        <v/>
      </c>
      <c r="AG1322" s="19" t="str">
        <f t="shared" si="355"/>
        <v/>
      </c>
      <c r="AH1322" s="19" t="str">
        <f t="shared" si="356"/>
        <v/>
      </c>
      <c r="AI1322" s="19" t="str">
        <f>IF($D1322&lt;&gt;1,"",IF(AND($G1322="IKS",ISNUMBER(INDEX(TblClusters[Fermeture retenue],$B1322))),IF($E1322&gt;=INDEX(TblClusters[Fermeture retenue],$B1322),1,0),0))</f>
        <v/>
      </c>
    </row>
    <row r="1323" spans="1:35" x14ac:dyDescent="0.2">
      <c r="A1323" s="19">
        <v>1318</v>
      </c>
      <c r="B1323" s="19">
        <f t="shared" si="340"/>
        <v>37</v>
      </c>
      <c r="C1323" s="19">
        <f t="shared" si="341"/>
        <v>22</v>
      </c>
      <c r="D1323" s="19">
        <f>IF($C1323&gt;p_horizon,0,IFERROR(IF(AND(INDEX(TblClusters[Cluster],$B1323)&lt;&gt;"",ISNUMBER(INDEX(TblClusters[CPU initial (vCPU)],$B1323)),ISNUMBER(INDEX(TblClusters[CPU min (vCPU)],$B1323)),OR(INDEX(TblClusters[Plateforme],$B1323)="IKS",INDEX(TblClusters[Plateforme],$B1323)="ROKS")),1,0),0))</f>
        <v>0</v>
      </c>
      <c r="E1323" s="72" t="str">
        <f t="shared" si="342"/>
        <v/>
      </c>
      <c r="F1323" s="19" t="str">
        <f>IF($D1323=1,INDEX(TblClusters[Cluster],$B1323),"")</f>
        <v/>
      </c>
      <c r="G1323" s="19" t="str">
        <f>IF($D1323=1,INDEX(TblClusters[Plateforme],$B1323),"")</f>
        <v/>
      </c>
      <c r="H1323" s="19" t="str">
        <f>IF($D1323=1,INDEX(TblClusters[vCPU par nœud],$B1323),"")</f>
        <v/>
      </c>
      <c r="I1323" s="19" t="str">
        <f>IF($D1323=1,INDEX(TblClusters[RAM par nœud (Go)],$B1323),"")</f>
        <v/>
      </c>
      <c r="J1323" s="19" t="str">
        <f>IF($D1323=1,INDEX(TblClusters[Workers min],$B1323),"")</f>
        <v/>
      </c>
      <c r="K1323" s="73" t="str">
        <f>IF($D1323=1,INDEX(TblClusters[Tarif par nœud],$B1323),"")</f>
        <v/>
      </c>
      <c r="L1323" s="19" t="str">
        <f>IF($D1323=1,INDEX(TblClusters[CPU initial (vCPU)],$B1323),"")</f>
        <v/>
      </c>
      <c r="M1323" s="19" t="str">
        <f>IF($D1323=1,INDEX(TblClusters[RAM initiale (Go)],$B1323),"")</f>
        <v/>
      </c>
      <c r="N1323" s="19" t="str">
        <f>IF($D1323=1,INDEX(TblClusters[CPU min (vCPU)],$B1323),"")</f>
        <v/>
      </c>
      <c r="O1323" s="19" t="str">
        <f>IF($D1323=1,INDEX(TblClusters[RAM min (Go)],$B1323),"")</f>
        <v/>
      </c>
      <c r="P1323" s="19" t="str">
        <f>IF($D1323&lt;&gt;1,"",IF($G1323="ROKS",SUMIFS(TblApplications[Besoin ROKS CPU (vCPU)],TblApplications[Cluster ROKS cible],$F1323,TblApplications[Action],"À migrer",TblApplications[Déjà incluse ROKS],"Non",TblApplications[Mois prov (calc)],"&lt;="&amp;$E1323),SUMIFS(TblApplications[CPU IKS libérable (vCPU)],TblApplications[Cluster IKS source],$F1323,TblApplications[Mois lib (calc)],"&lt;="&amp;$E1323)))</f>
        <v/>
      </c>
      <c r="Q1323" s="19" t="str">
        <f>IF($D1323&lt;&gt;1,"",IF($G1323="ROKS",SUMIFS(TblApplications[Besoin ROKS RAM (Go)],TblApplications[Cluster ROKS cible],$F1323,TblApplications[Action],"À migrer",TblApplications[Déjà incluse ROKS],"Non",TblApplications[Mois prov (calc)],"&lt;="&amp;$E1323),SUMIFS(TblApplications[RAM IKS libérable (Go)],TblApplications[Cluster IKS source],$F1323,TblApplications[Mois lib (calc)],"&lt;="&amp;$E1323)))</f>
        <v/>
      </c>
      <c r="R1323" s="19" t="str">
        <f t="shared" si="343"/>
        <v/>
      </c>
      <c r="S1323" s="19" t="str">
        <f t="shared" si="344"/>
        <v/>
      </c>
      <c r="T1323" s="19" t="str">
        <f t="shared" si="345"/>
        <v/>
      </c>
      <c r="U1323" s="19" t="str">
        <f t="shared" si="346"/>
        <v/>
      </c>
      <c r="V1323" s="19" t="str">
        <f t="shared" si="347"/>
        <v/>
      </c>
      <c r="W1323" s="73" t="str">
        <f t="shared" si="348"/>
        <v/>
      </c>
      <c r="X1323" s="19" t="str">
        <f>IF($D1323&lt;&gt;1,"",IF($G1323="ROKS",$R1323,IF($AI1323=1,0,MAX($N1323,$L1323-SUMIFS(TblApplications[CPU IKS libérable (vCPU)],TblApplications[Cluster IKS source],$F1323,TblApplications[Action],"À migrer",TblApplications[Mois prov (calc)],"&lt;="&amp;$E1323)-SUMIFS(TblApplications[CPU IKS libérable (vCPU)],TblApplications[Cluster IKS source],$F1323,TblApplications[Action],"À décommissionner",TblApplications[Mois lib (calc)],"&lt;="&amp;$E1323)))))</f>
        <v/>
      </c>
      <c r="Y1323" s="19" t="str">
        <f>IF($D1323&lt;&gt;1,"",IF($G1323="ROKS",$S1323,IF($AI1323=1,0,MAX($O1323,$M1323-SUMIFS(TblApplications[RAM IKS libérable (Go)],TblApplications[Cluster IKS source],$F1323,TblApplications[Action],"À migrer",TblApplications[Mois prov (calc)],"&lt;="&amp;$E1323)-SUMIFS(TblApplications[RAM IKS libérable (Go)],TblApplications[Cluster IKS source],$F1323,TblApplications[Action],"À décommissionner",TblApplications[Mois lib (calc)],"&lt;="&amp;$E1323)))))</f>
        <v/>
      </c>
      <c r="Z1323" s="19" t="str">
        <f t="shared" si="349"/>
        <v/>
      </c>
      <c r="AA1323" s="73" t="str">
        <f t="shared" si="350"/>
        <v/>
      </c>
      <c r="AB1323" s="19" t="str">
        <f t="shared" si="351"/>
        <v/>
      </c>
      <c r="AC1323" s="73" t="str">
        <f t="shared" si="352"/>
        <v/>
      </c>
      <c r="AD1323" s="19" t="str">
        <f t="shared" si="353"/>
        <v/>
      </c>
      <c r="AE1323" s="19" t="str">
        <f t="shared" si="354"/>
        <v/>
      </c>
      <c r="AF1323" s="19" t="str">
        <f>IF($D1323&lt;&gt;1,"",IF(INDEX(TblClusters[Environnement],$B1323)="","(vide)",INDEX(TblClusters[Environnement],$B1323)))</f>
        <v/>
      </c>
      <c r="AG1323" s="19" t="str">
        <f t="shared" si="355"/>
        <v/>
      </c>
      <c r="AH1323" s="19" t="str">
        <f t="shared" si="356"/>
        <v/>
      </c>
      <c r="AI1323" s="19" t="str">
        <f>IF($D1323&lt;&gt;1,"",IF(AND($G1323="IKS",ISNUMBER(INDEX(TblClusters[Fermeture retenue],$B1323))),IF($E1323&gt;=INDEX(TblClusters[Fermeture retenue],$B1323),1,0),0))</f>
        <v/>
      </c>
    </row>
    <row r="1324" spans="1:35" x14ac:dyDescent="0.2">
      <c r="A1324" s="19">
        <v>1319</v>
      </c>
      <c r="B1324" s="19">
        <f t="shared" si="340"/>
        <v>37</v>
      </c>
      <c r="C1324" s="19">
        <f t="shared" si="341"/>
        <v>23</v>
      </c>
      <c r="D1324" s="19">
        <f>IF($C1324&gt;p_horizon,0,IFERROR(IF(AND(INDEX(TblClusters[Cluster],$B1324)&lt;&gt;"",ISNUMBER(INDEX(TblClusters[CPU initial (vCPU)],$B1324)),ISNUMBER(INDEX(TblClusters[CPU min (vCPU)],$B1324)),OR(INDEX(TblClusters[Plateforme],$B1324)="IKS",INDEX(TblClusters[Plateforme],$B1324)="ROKS")),1,0),0))</f>
        <v>0</v>
      </c>
      <c r="E1324" s="72" t="str">
        <f t="shared" si="342"/>
        <v/>
      </c>
      <c r="F1324" s="19" t="str">
        <f>IF($D1324=1,INDEX(TblClusters[Cluster],$B1324),"")</f>
        <v/>
      </c>
      <c r="G1324" s="19" t="str">
        <f>IF($D1324=1,INDEX(TblClusters[Plateforme],$B1324),"")</f>
        <v/>
      </c>
      <c r="H1324" s="19" t="str">
        <f>IF($D1324=1,INDEX(TblClusters[vCPU par nœud],$B1324),"")</f>
        <v/>
      </c>
      <c r="I1324" s="19" t="str">
        <f>IF($D1324=1,INDEX(TblClusters[RAM par nœud (Go)],$B1324),"")</f>
        <v/>
      </c>
      <c r="J1324" s="19" t="str">
        <f>IF($D1324=1,INDEX(TblClusters[Workers min],$B1324),"")</f>
        <v/>
      </c>
      <c r="K1324" s="73" t="str">
        <f>IF($D1324=1,INDEX(TblClusters[Tarif par nœud],$B1324),"")</f>
        <v/>
      </c>
      <c r="L1324" s="19" t="str">
        <f>IF($D1324=1,INDEX(TblClusters[CPU initial (vCPU)],$B1324),"")</f>
        <v/>
      </c>
      <c r="M1324" s="19" t="str">
        <f>IF($D1324=1,INDEX(TblClusters[RAM initiale (Go)],$B1324),"")</f>
        <v/>
      </c>
      <c r="N1324" s="19" t="str">
        <f>IF($D1324=1,INDEX(TblClusters[CPU min (vCPU)],$B1324),"")</f>
        <v/>
      </c>
      <c r="O1324" s="19" t="str">
        <f>IF($D1324=1,INDEX(TblClusters[RAM min (Go)],$B1324),"")</f>
        <v/>
      </c>
      <c r="P1324" s="19" t="str">
        <f>IF($D1324&lt;&gt;1,"",IF($G1324="ROKS",SUMIFS(TblApplications[Besoin ROKS CPU (vCPU)],TblApplications[Cluster ROKS cible],$F1324,TblApplications[Action],"À migrer",TblApplications[Déjà incluse ROKS],"Non",TblApplications[Mois prov (calc)],"&lt;="&amp;$E1324),SUMIFS(TblApplications[CPU IKS libérable (vCPU)],TblApplications[Cluster IKS source],$F1324,TblApplications[Mois lib (calc)],"&lt;="&amp;$E1324)))</f>
        <v/>
      </c>
      <c r="Q1324" s="19" t="str">
        <f>IF($D1324&lt;&gt;1,"",IF($G1324="ROKS",SUMIFS(TblApplications[Besoin ROKS RAM (Go)],TblApplications[Cluster ROKS cible],$F1324,TblApplications[Action],"À migrer",TblApplications[Déjà incluse ROKS],"Non",TblApplications[Mois prov (calc)],"&lt;="&amp;$E1324),SUMIFS(TblApplications[RAM IKS libérable (Go)],TblApplications[Cluster IKS source],$F1324,TblApplications[Mois lib (calc)],"&lt;="&amp;$E1324)))</f>
        <v/>
      </c>
      <c r="R1324" s="19" t="str">
        <f t="shared" si="343"/>
        <v/>
      </c>
      <c r="S1324" s="19" t="str">
        <f t="shared" si="344"/>
        <v/>
      </c>
      <c r="T1324" s="19" t="str">
        <f t="shared" si="345"/>
        <v/>
      </c>
      <c r="U1324" s="19" t="str">
        <f t="shared" si="346"/>
        <v/>
      </c>
      <c r="V1324" s="19" t="str">
        <f t="shared" si="347"/>
        <v/>
      </c>
      <c r="W1324" s="73" t="str">
        <f t="shared" si="348"/>
        <v/>
      </c>
      <c r="X1324" s="19" t="str">
        <f>IF($D1324&lt;&gt;1,"",IF($G1324="ROKS",$R1324,IF($AI1324=1,0,MAX($N1324,$L1324-SUMIFS(TblApplications[CPU IKS libérable (vCPU)],TblApplications[Cluster IKS source],$F1324,TblApplications[Action],"À migrer",TblApplications[Mois prov (calc)],"&lt;="&amp;$E1324)-SUMIFS(TblApplications[CPU IKS libérable (vCPU)],TblApplications[Cluster IKS source],$F1324,TblApplications[Action],"À décommissionner",TblApplications[Mois lib (calc)],"&lt;="&amp;$E1324)))))</f>
        <v/>
      </c>
      <c r="Y1324" s="19" t="str">
        <f>IF($D1324&lt;&gt;1,"",IF($G1324="ROKS",$S1324,IF($AI1324=1,0,MAX($O1324,$M1324-SUMIFS(TblApplications[RAM IKS libérable (Go)],TblApplications[Cluster IKS source],$F1324,TblApplications[Action],"À migrer",TblApplications[Mois prov (calc)],"&lt;="&amp;$E1324)-SUMIFS(TblApplications[RAM IKS libérable (Go)],TblApplications[Cluster IKS source],$F1324,TblApplications[Action],"À décommissionner",TblApplications[Mois lib (calc)],"&lt;="&amp;$E1324)))))</f>
        <v/>
      </c>
      <c r="Z1324" s="19" t="str">
        <f t="shared" si="349"/>
        <v/>
      </c>
      <c r="AA1324" s="73" t="str">
        <f t="shared" si="350"/>
        <v/>
      </c>
      <c r="AB1324" s="19" t="str">
        <f t="shared" si="351"/>
        <v/>
      </c>
      <c r="AC1324" s="73" t="str">
        <f t="shared" si="352"/>
        <v/>
      </c>
      <c r="AD1324" s="19" t="str">
        <f t="shared" si="353"/>
        <v/>
      </c>
      <c r="AE1324" s="19" t="str">
        <f t="shared" si="354"/>
        <v/>
      </c>
      <c r="AF1324" s="19" t="str">
        <f>IF($D1324&lt;&gt;1,"",IF(INDEX(TblClusters[Environnement],$B1324)="","(vide)",INDEX(TblClusters[Environnement],$B1324)))</f>
        <v/>
      </c>
      <c r="AG1324" s="19" t="str">
        <f t="shared" si="355"/>
        <v/>
      </c>
      <c r="AH1324" s="19" t="str">
        <f t="shared" si="356"/>
        <v/>
      </c>
      <c r="AI1324" s="19" t="str">
        <f>IF($D1324&lt;&gt;1,"",IF(AND($G1324="IKS",ISNUMBER(INDEX(TblClusters[Fermeture retenue],$B1324))),IF($E1324&gt;=INDEX(TblClusters[Fermeture retenue],$B1324),1,0),0))</f>
        <v/>
      </c>
    </row>
    <row r="1325" spans="1:35" x14ac:dyDescent="0.2">
      <c r="A1325" s="19">
        <v>1320</v>
      </c>
      <c r="B1325" s="19">
        <f t="shared" si="340"/>
        <v>37</v>
      </c>
      <c r="C1325" s="19">
        <f t="shared" si="341"/>
        <v>24</v>
      </c>
      <c r="D1325" s="19">
        <f>IF($C1325&gt;p_horizon,0,IFERROR(IF(AND(INDEX(TblClusters[Cluster],$B1325)&lt;&gt;"",ISNUMBER(INDEX(TblClusters[CPU initial (vCPU)],$B1325)),ISNUMBER(INDEX(TblClusters[CPU min (vCPU)],$B1325)),OR(INDEX(TblClusters[Plateforme],$B1325)="IKS",INDEX(TblClusters[Plateforme],$B1325)="ROKS")),1,0),0))</f>
        <v>0</v>
      </c>
      <c r="E1325" s="72" t="str">
        <f t="shared" si="342"/>
        <v/>
      </c>
      <c r="F1325" s="19" t="str">
        <f>IF($D1325=1,INDEX(TblClusters[Cluster],$B1325),"")</f>
        <v/>
      </c>
      <c r="G1325" s="19" t="str">
        <f>IF($D1325=1,INDEX(TblClusters[Plateforme],$B1325),"")</f>
        <v/>
      </c>
      <c r="H1325" s="19" t="str">
        <f>IF($D1325=1,INDEX(TblClusters[vCPU par nœud],$B1325),"")</f>
        <v/>
      </c>
      <c r="I1325" s="19" t="str">
        <f>IF($D1325=1,INDEX(TblClusters[RAM par nœud (Go)],$B1325),"")</f>
        <v/>
      </c>
      <c r="J1325" s="19" t="str">
        <f>IF($D1325=1,INDEX(TblClusters[Workers min],$B1325),"")</f>
        <v/>
      </c>
      <c r="K1325" s="73" t="str">
        <f>IF($D1325=1,INDEX(TblClusters[Tarif par nœud],$B1325),"")</f>
        <v/>
      </c>
      <c r="L1325" s="19" t="str">
        <f>IF($D1325=1,INDEX(TblClusters[CPU initial (vCPU)],$B1325),"")</f>
        <v/>
      </c>
      <c r="M1325" s="19" t="str">
        <f>IF($D1325=1,INDEX(TblClusters[RAM initiale (Go)],$B1325),"")</f>
        <v/>
      </c>
      <c r="N1325" s="19" t="str">
        <f>IF($D1325=1,INDEX(TblClusters[CPU min (vCPU)],$B1325),"")</f>
        <v/>
      </c>
      <c r="O1325" s="19" t="str">
        <f>IF($D1325=1,INDEX(TblClusters[RAM min (Go)],$B1325),"")</f>
        <v/>
      </c>
      <c r="P1325" s="19" t="str">
        <f>IF($D1325&lt;&gt;1,"",IF($G1325="ROKS",SUMIFS(TblApplications[Besoin ROKS CPU (vCPU)],TblApplications[Cluster ROKS cible],$F1325,TblApplications[Action],"À migrer",TblApplications[Déjà incluse ROKS],"Non",TblApplications[Mois prov (calc)],"&lt;="&amp;$E1325),SUMIFS(TblApplications[CPU IKS libérable (vCPU)],TblApplications[Cluster IKS source],$F1325,TblApplications[Mois lib (calc)],"&lt;="&amp;$E1325)))</f>
        <v/>
      </c>
      <c r="Q1325" s="19" t="str">
        <f>IF($D1325&lt;&gt;1,"",IF($G1325="ROKS",SUMIFS(TblApplications[Besoin ROKS RAM (Go)],TblApplications[Cluster ROKS cible],$F1325,TblApplications[Action],"À migrer",TblApplications[Déjà incluse ROKS],"Non",TblApplications[Mois prov (calc)],"&lt;="&amp;$E1325),SUMIFS(TblApplications[RAM IKS libérable (Go)],TblApplications[Cluster IKS source],$F1325,TblApplications[Mois lib (calc)],"&lt;="&amp;$E1325)))</f>
        <v/>
      </c>
      <c r="R1325" s="19" t="str">
        <f t="shared" si="343"/>
        <v/>
      </c>
      <c r="S1325" s="19" t="str">
        <f t="shared" si="344"/>
        <v/>
      </c>
      <c r="T1325" s="19" t="str">
        <f t="shared" si="345"/>
        <v/>
      </c>
      <c r="U1325" s="19" t="str">
        <f t="shared" si="346"/>
        <v/>
      </c>
      <c r="V1325" s="19" t="str">
        <f t="shared" si="347"/>
        <v/>
      </c>
      <c r="W1325" s="73" t="str">
        <f t="shared" si="348"/>
        <v/>
      </c>
      <c r="X1325" s="19" t="str">
        <f>IF($D1325&lt;&gt;1,"",IF($G1325="ROKS",$R1325,IF($AI1325=1,0,MAX($N1325,$L1325-SUMIFS(TblApplications[CPU IKS libérable (vCPU)],TblApplications[Cluster IKS source],$F1325,TblApplications[Action],"À migrer",TblApplications[Mois prov (calc)],"&lt;="&amp;$E1325)-SUMIFS(TblApplications[CPU IKS libérable (vCPU)],TblApplications[Cluster IKS source],$F1325,TblApplications[Action],"À décommissionner",TblApplications[Mois lib (calc)],"&lt;="&amp;$E1325)))))</f>
        <v/>
      </c>
      <c r="Y1325" s="19" t="str">
        <f>IF($D1325&lt;&gt;1,"",IF($G1325="ROKS",$S1325,IF($AI1325=1,0,MAX($O1325,$M1325-SUMIFS(TblApplications[RAM IKS libérable (Go)],TblApplications[Cluster IKS source],$F1325,TblApplications[Action],"À migrer",TblApplications[Mois prov (calc)],"&lt;="&amp;$E1325)-SUMIFS(TblApplications[RAM IKS libérable (Go)],TblApplications[Cluster IKS source],$F1325,TblApplications[Action],"À décommissionner",TblApplications[Mois lib (calc)],"&lt;="&amp;$E1325)))))</f>
        <v/>
      </c>
      <c r="Z1325" s="19" t="str">
        <f t="shared" si="349"/>
        <v/>
      </c>
      <c r="AA1325" s="73" t="str">
        <f t="shared" si="350"/>
        <v/>
      </c>
      <c r="AB1325" s="19" t="str">
        <f t="shared" si="351"/>
        <v/>
      </c>
      <c r="AC1325" s="73" t="str">
        <f t="shared" si="352"/>
        <v/>
      </c>
      <c r="AD1325" s="19" t="str">
        <f t="shared" si="353"/>
        <v/>
      </c>
      <c r="AE1325" s="19" t="str">
        <f t="shared" si="354"/>
        <v/>
      </c>
      <c r="AF1325" s="19" t="str">
        <f>IF($D1325&lt;&gt;1,"",IF(INDEX(TblClusters[Environnement],$B1325)="","(vide)",INDEX(TblClusters[Environnement],$B1325)))</f>
        <v/>
      </c>
      <c r="AG1325" s="19" t="str">
        <f t="shared" si="355"/>
        <v/>
      </c>
      <c r="AH1325" s="19" t="str">
        <f t="shared" si="356"/>
        <v/>
      </c>
      <c r="AI1325" s="19" t="str">
        <f>IF($D1325&lt;&gt;1,"",IF(AND($G1325="IKS",ISNUMBER(INDEX(TblClusters[Fermeture retenue],$B1325))),IF($E1325&gt;=INDEX(TblClusters[Fermeture retenue],$B1325),1,0),0))</f>
        <v/>
      </c>
    </row>
    <row r="1326" spans="1:35" x14ac:dyDescent="0.2">
      <c r="A1326" s="19">
        <v>1321</v>
      </c>
      <c r="B1326" s="19">
        <f t="shared" si="340"/>
        <v>37</v>
      </c>
      <c r="C1326" s="19">
        <f t="shared" si="341"/>
        <v>25</v>
      </c>
      <c r="D1326" s="19">
        <f>IF($C1326&gt;p_horizon,0,IFERROR(IF(AND(INDEX(TblClusters[Cluster],$B1326)&lt;&gt;"",ISNUMBER(INDEX(TblClusters[CPU initial (vCPU)],$B1326)),ISNUMBER(INDEX(TblClusters[CPU min (vCPU)],$B1326)),OR(INDEX(TblClusters[Plateforme],$B1326)="IKS",INDEX(TblClusters[Plateforme],$B1326)="ROKS")),1,0),0))</f>
        <v>0</v>
      </c>
      <c r="E1326" s="72" t="str">
        <f t="shared" si="342"/>
        <v/>
      </c>
      <c r="F1326" s="19" t="str">
        <f>IF($D1326=1,INDEX(TblClusters[Cluster],$B1326),"")</f>
        <v/>
      </c>
      <c r="G1326" s="19" t="str">
        <f>IF($D1326=1,INDEX(TblClusters[Plateforme],$B1326),"")</f>
        <v/>
      </c>
      <c r="H1326" s="19" t="str">
        <f>IF($D1326=1,INDEX(TblClusters[vCPU par nœud],$B1326),"")</f>
        <v/>
      </c>
      <c r="I1326" s="19" t="str">
        <f>IF($D1326=1,INDEX(TblClusters[RAM par nœud (Go)],$B1326),"")</f>
        <v/>
      </c>
      <c r="J1326" s="19" t="str">
        <f>IF($D1326=1,INDEX(TblClusters[Workers min],$B1326),"")</f>
        <v/>
      </c>
      <c r="K1326" s="73" t="str">
        <f>IF($D1326=1,INDEX(TblClusters[Tarif par nœud],$B1326),"")</f>
        <v/>
      </c>
      <c r="L1326" s="19" t="str">
        <f>IF($D1326=1,INDEX(TblClusters[CPU initial (vCPU)],$B1326),"")</f>
        <v/>
      </c>
      <c r="M1326" s="19" t="str">
        <f>IF($D1326=1,INDEX(TblClusters[RAM initiale (Go)],$B1326),"")</f>
        <v/>
      </c>
      <c r="N1326" s="19" t="str">
        <f>IF($D1326=1,INDEX(TblClusters[CPU min (vCPU)],$B1326),"")</f>
        <v/>
      </c>
      <c r="O1326" s="19" t="str">
        <f>IF($D1326=1,INDEX(TblClusters[RAM min (Go)],$B1326),"")</f>
        <v/>
      </c>
      <c r="P1326" s="19" t="str">
        <f>IF($D1326&lt;&gt;1,"",IF($G1326="ROKS",SUMIFS(TblApplications[Besoin ROKS CPU (vCPU)],TblApplications[Cluster ROKS cible],$F1326,TblApplications[Action],"À migrer",TblApplications[Déjà incluse ROKS],"Non",TblApplications[Mois prov (calc)],"&lt;="&amp;$E1326),SUMIFS(TblApplications[CPU IKS libérable (vCPU)],TblApplications[Cluster IKS source],$F1326,TblApplications[Mois lib (calc)],"&lt;="&amp;$E1326)))</f>
        <v/>
      </c>
      <c r="Q1326" s="19" t="str">
        <f>IF($D1326&lt;&gt;1,"",IF($G1326="ROKS",SUMIFS(TblApplications[Besoin ROKS RAM (Go)],TblApplications[Cluster ROKS cible],$F1326,TblApplications[Action],"À migrer",TblApplications[Déjà incluse ROKS],"Non",TblApplications[Mois prov (calc)],"&lt;="&amp;$E1326),SUMIFS(TblApplications[RAM IKS libérable (Go)],TblApplications[Cluster IKS source],$F1326,TblApplications[Mois lib (calc)],"&lt;="&amp;$E1326)))</f>
        <v/>
      </c>
      <c r="R1326" s="19" t="str">
        <f t="shared" si="343"/>
        <v/>
      </c>
      <c r="S1326" s="19" t="str">
        <f t="shared" si="344"/>
        <v/>
      </c>
      <c r="T1326" s="19" t="str">
        <f t="shared" si="345"/>
        <v/>
      </c>
      <c r="U1326" s="19" t="str">
        <f t="shared" si="346"/>
        <v/>
      </c>
      <c r="V1326" s="19" t="str">
        <f t="shared" si="347"/>
        <v/>
      </c>
      <c r="W1326" s="73" t="str">
        <f t="shared" si="348"/>
        <v/>
      </c>
      <c r="X1326" s="19" t="str">
        <f>IF($D1326&lt;&gt;1,"",IF($G1326="ROKS",$R1326,IF($AI1326=1,0,MAX($N1326,$L1326-SUMIFS(TblApplications[CPU IKS libérable (vCPU)],TblApplications[Cluster IKS source],$F1326,TblApplications[Action],"À migrer",TblApplications[Mois prov (calc)],"&lt;="&amp;$E1326)-SUMIFS(TblApplications[CPU IKS libérable (vCPU)],TblApplications[Cluster IKS source],$F1326,TblApplications[Action],"À décommissionner",TblApplications[Mois lib (calc)],"&lt;="&amp;$E1326)))))</f>
        <v/>
      </c>
      <c r="Y1326" s="19" t="str">
        <f>IF($D1326&lt;&gt;1,"",IF($G1326="ROKS",$S1326,IF($AI1326=1,0,MAX($O1326,$M1326-SUMIFS(TblApplications[RAM IKS libérable (Go)],TblApplications[Cluster IKS source],$F1326,TblApplications[Action],"À migrer",TblApplications[Mois prov (calc)],"&lt;="&amp;$E1326)-SUMIFS(TblApplications[RAM IKS libérable (Go)],TblApplications[Cluster IKS source],$F1326,TblApplications[Action],"À décommissionner",TblApplications[Mois lib (calc)],"&lt;="&amp;$E1326)))))</f>
        <v/>
      </c>
      <c r="Z1326" s="19" t="str">
        <f t="shared" si="349"/>
        <v/>
      </c>
      <c r="AA1326" s="73" t="str">
        <f t="shared" si="350"/>
        <v/>
      </c>
      <c r="AB1326" s="19" t="str">
        <f t="shared" si="351"/>
        <v/>
      </c>
      <c r="AC1326" s="73" t="str">
        <f t="shared" si="352"/>
        <v/>
      </c>
      <c r="AD1326" s="19" t="str">
        <f t="shared" si="353"/>
        <v/>
      </c>
      <c r="AE1326" s="19" t="str">
        <f t="shared" si="354"/>
        <v/>
      </c>
      <c r="AF1326" s="19" t="str">
        <f>IF($D1326&lt;&gt;1,"",IF(INDEX(TblClusters[Environnement],$B1326)="","(vide)",INDEX(TblClusters[Environnement],$B1326)))</f>
        <v/>
      </c>
      <c r="AG1326" s="19" t="str">
        <f t="shared" si="355"/>
        <v/>
      </c>
      <c r="AH1326" s="19" t="str">
        <f t="shared" si="356"/>
        <v/>
      </c>
      <c r="AI1326" s="19" t="str">
        <f>IF($D1326&lt;&gt;1,"",IF(AND($G1326="IKS",ISNUMBER(INDEX(TblClusters[Fermeture retenue],$B1326))),IF($E1326&gt;=INDEX(TblClusters[Fermeture retenue],$B1326),1,0),0))</f>
        <v/>
      </c>
    </row>
    <row r="1327" spans="1:35" x14ac:dyDescent="0.2">
      <c r="A1327" s="19">
        <v>1322</v>
      </c>
      <c r="B1327" s="19">
        <f t="shared" si="340"/>
        <v>37</v>
      </c>
      <c r="C1327" s="19">
        <f t="shared" si="341"/>
        <v>26</v>
      </c>
      <c r="D1327" s="19">
        <f>IF($C1327&gt;p_horizon,0,IFERROR(IF(AND(INDEX(TblClusters[Cluster],$B1327)&lt;&gt;"",ISNUMBER(INDEX(TblClusters[CPU initial (vCPU)],$B1327)),ISNUMBER(INDEX(TblClusters[CPU min (vCPU)],$B1327)),OR(INDEX(TblClusters[Plateforme],$B1327)="IKS",INDEX(TblClusters[Plateforme],$B1327)="ROKS")),1,0),0))</f>
        <v>0</v>
      </c>
      <c r="E1327" s="72" t="str">
        <f t="shared" si="342"/>
        <v/>
      </c>
      <c r="F1327" s="19" t="str">
        <f>IF($D1327=1,INDEX(TblClusters[Cluster],$B1327),"")</f>
        <v/>
      </c>
      <c r="G1327" s="19" t="str">
        <f>IF($D1327=1,INDEX(TblClusters[Plateforme],$B1327),"")</f>
        <v/>
      </c>
      <c r="H1327" s="19" t="str">
        <f>IF($D1327=1,INDEX(TblClusters[vCPU par nœud],$B1327),"")</f>
        <v/>
      </c>
      <c r="I1327" s="19" t="str">
        <f>IF($D1327=1,INDEX(TblClusters[RAM par nœud (Go)],$B1327),"")</f>
        <v/>
      </c>
      <c r="J1327" s="19" t="str">
        <f>IF($D1327=1,INDEX(TblClusters[Workers min],$B1327),"")</f>
        <v/>
      </c>
      <c r="K1327" s="73" t="str">
        <f>IF($D1327=1,INDEX(TblClusters[Tarif par nœud],$B1327),"")</f>
        <v/>
      </c>
      <c r="L1327" s="19" t="str">
        <f>IF($D1327=1,INDEX(TblClusters[CPU initial (vCPU)],$B1327),"")</f>
        <v/>
      </c>
      <c r="M1327" s="19" t="str">
        <f>IF($D1327=1,INDEX(TblClusters[RAM initiale (Go)],$B1327),"")</f>
        <v/>
      </c>
      <c r="N1327" s="19" t="str">
        <f>IF($D1327=1,INDEX(TblClusters[CPU min (vCPU)],$B1327),"")</f>
        <v/>
      </c>
      <c r="O1327" s="19" t="str">
        <f>IF($D1327=1,INDEX(TblClusters[RAM min (Go)],$B1327),"")</f>
        <v/>
      </c>
      <c r="P1327" s="19" t="str">
        <f>IF($D1327&lt;&gt;1,"",IF($G1327="ROKS",SUMIFS(TblApplications[Besoin ROKS CPU (vCPU)],TblApplications[Cluster ROKS cible],$F1327,TblApplications[Action],"À migrer",TblApplications[Déjà incluse ROKS],"Non",TblApplications[Mois prov (calc)],"&lt;="&amp;$E1327),SUMIFS(TblApplications[CPU IKS libérable (vCPU)],TblApplications[Cluster IKS source],$F1327,TblApplications[Mois lib (calc)],"&lt;="&amp;$E1327)))</f>
        <v/>
      </c>
      <c r="Q1327" s="19" t="str">
        <f>IF($D1327&lt;&gt;1,"",IF($G1327="ROKS",SUMIFS(TblApplications[Besoin ROKS RAM (Go)],TblApplications[Cluster ROKS cible],$F1327,TblApplications[Action],"À migrer",TblApplications[Déjà incluse ROKS],"Non",TblApplications[Mois prov (calc)],"&lt;="&amp;$E1327),SUMIFS(TblApplications[RAM IKS libérable (Go)],TblApplications[Cluster IKS source],$F1327,TblApplications[Mois lib (calc)],"&lt;="&amp;$E1327)))</f>
        <v/>
      </c>
      <c r="R1327" s="19" t="str">
        <f t="shared" si="343"/>
        <v/>
      </c>
      <c r="S1327" s="19" t="str">
        <f t="shared" si="344"/>
        <v/>
      </c>
      <c r="T1327" s="19" t="str">
        <f t="shared" si="345"/>
        <v/>
      </c>
      <c r="U1327" s="19" t="str">
        <f t="shared" si="346"/>
        <v/>
      </c>
      <c r="V1327" s="19" t="str">
        <f t="shared" si="347"/>
        <v/>
      </c>
      <c r="W1327" s="73" t="str">
        <f t="shared" si="348"/>
        <v/>
      </c>
      <c r="X1327" s="19" t="str">
        <f>IF($D1327&lt;&gt;1,"",IF($G1327="ROKS",$R1327,IF($AI1327=1,0,MAX($N1327,$L1327-SUMIFS(TblApplications[CPU IKS libérable (vCPU)],TblApplications[Cluster IKS source],$F1327,TblApplications[Action],"À migrer",TblApplications[Mois prov (calc)],"&lt;="&amp;$E1327)-SUMIFS(TblApplications[CPU IKS libérable (vCPU)],TblApplications[Cluster IKS source],$F1327,TblApplications[Action],"À décommissionner",TblApplications[Mois lib (calc)],"&lt;="&amp;$E1327)))))</f>
        <v/>
      </c>
      <c r="Y1327" s="19" t="str">
        <f>IF($D1327&lt;&gt;1,"",IF($G1327="ROKS",$S1327,IF($AI1327=1,0,MAX($O1327,$M1327-SUMIFS(TblApplications[RAM IKS libérable (Go)],TblApplications[Cluster IKS source],$F1327,TblApplications[Action],"À migrer",TblApplications[Mois prov (calc)],"&lt;="&amp;$E1327)-SUMIFS(TblApplications[RAM IKS libérable (Go)],TblApplications[Cluster IKS source],$F1327,TblApplications[Action],"À décommissionner",TblApplications[Mois lib (calc)],"&lt;="&amp;$E1327)))))</f>
        <v/>
      </c>
      <c r="Z1327" s="19" t="str">
        <f t="shared" si="349"/>
        <v/>
      </c>
      <c r="AA1327" s="73" t="str">
        <f t="shared" si="350"/>
        <v/>
      </c>
      <c r="AB1327" s="19" t="str">
        <f t="shared" si="351"/>
        <v/>
      </c>
      <c r="AC1327" s="73" t="str">
        <f t="shared" si="352"/>
        <v/>
      </c>
      <c r="AD1327" s="19" t="str">
        <f t="shared" si="353"/>
        <v/>
      </c>
      <c r="AE1327" s="19" t="str">
        <f t="shared" si="354"/>
        <v/>
      </c>
      <c r="AF1327" s="19" t="str">
        <f>IF($D1327&lt;&gt;1,"",IF(INDEX(TblClusters[Environnement],$B1327)="","(vide)",INDEX(TblClusters[Environnement],$B1327)))</f>
        <v/>
      </c>
      <c r="AG1327" s="19" t="str">
        <f t="shared" si="355"/>
        <v/>
      </c>
      <c r="AH1327" s="19" t="str">
        <f t="shared" si="356"/>
        <v/>
      </c>
      <c r="AI1327" s="19" t="str">
        <f>IF($D1327&lt;&gt;1,"",IF(AND($G1327="IKS",ISNUMBER(INDEX(TblClusters[Fermeture retenue],$B1327))),IF($E1327&gt;=INDEX(TblClusters[Fermeture retenue],$B1327),1,0),0))</f>
        <v/>
      </c>
    </row>
    <row r="1328" spans="1:35" x14ac:dyDescent="0.2">
      <c r="A1328" s="19">
        <v>1323</v>
      </c>
      <c r="B1328" s="19">
        <f t="shared" si="340"/>
        <v>37</v>
      </c>
      <c r="C1328" s="19">
        <f t="shared" si="341"/>
        <v>27</v>
      </c>
      <c r="D1328" s="19">
        <f>IF($C1328&gt;p_horizon,0,IFERROR(IF(AND(INDEX(TblClusters[Cluster],$B1328)&lt;&gt;"",ISNUMBER(INDEX(TblClusters[CPU initial (vCPU)],$B1328)),ISNUMBER(INDEX(TblClusters[CPU min (vCPU)],$B1328)),OR(INDEX(TblClusters[Plateforme],$B1328)="IKS",INDEX(TblClusters[Plateforme],$B1328)="ROKS")),1,0),0))</f>
        <v>0</v>
      </c>
      <c r="E1328" s="72" t="str">
        <f t="shared" si="342"/>
        <v/>
      </c>
      <c r="F1328" s="19" t="str">
        <f>IF($D1328=1,INDEX(TblClusters[Cluster],$B1328),"")</f>
        <v/>
      </c>
      <c r="G1328" s="19" t="str">
        <f>IF($D1328=1,INDEX(TblClusters[Plateforme],$B1328),"")</f>
        <v/>
      </c>
      <c r="H1328" s="19" t="str">
        <f>IF($D1328=1,INDEX(TblClusters[vCPU par nœud],$B1328),"")</f>
        <v/>
      </c>
      <c r="I1328" s="19" t="str">
        <f>IF($D1328=1,INDEX(TblClusters[RAM par nœud (Go)],$B1328),"")</f>
        <v/>
      </c>
      <c r="J1328" s="19" t="str">
        <f>IF($D1328=1,INDEX(TblClusters[Workers min],$B1328),"")</f>
        <v/>
      </c>
      <c r="K1328" s="73" t="str">
        <f>IF($D1328=1,INDEX(TblClusters[Tarif par nœud],$B1328),"")</f>
        <v/>
      </c>
      <c r="L1328" s="19" t="str">
        <f>IF($D1328=1,INDEX(TblClusters[CPU initial (vCPU)],$B1328),"")</f>
        <v/>
      </c>
      <c r="M1328" s="19" t="str">
        <f>IF($D1328=1,INDEX(TblClusters[RAM initiale (Go)],$B1328),"")</f>
        <v/>
      </c>
      <c r="N1328" s="19" t="str">
        <f>IF($D1328=1,INDEX(TblClusters[CPU min (vCPU)],$B1328),"")</f>
        <v/>
      </c>
      <c r="O1328" s="19" t="str">
        <f>IF($D1328=1,INDEX(TblClusters[RAM min (Go)],$B1328),"")</f>
        <v/>
      </c>
      <c r="P1328" s="19" t="str">
        <f>IF($D1328&lt;&gt;1,"",IF($G1328="ROKS",SUMIFS(TblApplications[Besoin ROKS CPU (vCPU)],TblApplications[Cluster ROKS cible],$F1328,TblApplications[Action],"À migrer",TblApplications[Déjà incluse ROKS],"Non",TblApplications[Mois prov (calc)],"&lt;="&amp;$E1328),SUMIFS(TblApplications[CPU IKS libérable (vCPU)],TblApplications[Cluster IKS source],$F1328,TblApplications[Mois lib (calc)],"&lt;="&amp;$E1328)))</f>
        <v/>
      </c>
      <c r="Q1328" s="19" t="str">
        <f>IF($D1328&lt;&gt;1,"",IF($G1328="ROKS",SUMIFS(TblApplications[Besoin ROKS RAM (Go)],TblApplications[Cluster ROKS cible],$F1328,TblApplications[Action],"À migrer",TblApplications[Déjà incluse ROKS],"Non",TblApplications[Mois prov (calc)],"&lt;="&amp;$E1328),SUMIFS(TblApplications[RAM IKS libérable (Go)],TblApplications[Cluster IKS source],$F1328,TblApplications[Mois lib (calc)],"&lt;="&amp;$E1328)))</f>
        <v/>
      </c>
      <c r="R1328" s="19" t="str">
        <f t="shared" si="343"/>
        <v/>
      </c>
      <c r="S1328" s="19" t="str">
        <f t="shared" si="344"/>
        <v/>
      </c>
      <c r="T1328" s="19" t="str">
        <f t="shared" si="345"/>
        <v/>
      </c>
      <c r="U1328" s="19" t="str">
        <f t="shared" si="346"/>
        <v/>
      </c>
      <c r="V1328" s="19" t="str">
        <f t="shared" si="347"/>
        <v/>
      </c>
      <c r="W1328" s="73" t="str">
        <f t="shared" si="348"/>
        <v/>
      </c>
      <c r="X1328" s="19" t="str">
        <f>IF($D1328&lt;&gt;1,"",IF($G1328="ROKS",$R1328,IF($AI1328=1,0,MAX($N1328,$L1328-SUMIFS(TblApplications[CPU IKS libérable (vCPU)],TblApplications[Cluster IKS source],$F1328,TblApplications[Action],"À migrer",TblApplications[Mois prov (calc)],"&lt;="&amp;$E1328)-SUMIFS(TblApplications[CPU IKS libérable (vCPU)],TblApplications[Cluster IKS source],$F1328,TblApplications[Action],"À décommissionner",TblApplications[Mois lib (calc)],"&lt;="&amp;$E1328)))))</f>
        <v/>
      </c>
      <c r="Y1328" s="19" t="str">
        <f>IF($D1328&lt;&gt;1,"",IF($G1328="ROKS",$S1328,IF($AI1328=1,0,MAX($O1328,$M1328-SUMIFS(TblApplications[RAM IKS libérable (Go)],TblApplications[Cluster IKS source],$F1328,TblApplications[Action],"À migrer",TblApplications[Mois prov (calc)],"&lt;="&amp;$E1328)-SUMIFS(TblApplications[RAM IKS libérable (Go)],TblApplications[Cluster IKS source],$F1328,TblApplications[Action],"À décommissionner",TblApplications[Mois lib (calc)],"&lt;="&amp;$E1328)))))</f>
        <v/>
      </c>
      <c r="Z1328" s="19" t="str">
        <f t="shared" si="349"/>
        <v/>
      </c>
      <c r="AA1328" s="73" t="str">
        <f t="shared" si="350"/>
        <v/>
      </c>
      <c r="AB1328" s="19" t="str">
        <f t="shared" si="351"/>
        <v/>
      </c>
      <c r="AC1328" s="73" t="str">
        <f t="shared" si="352"/>
        <v/>
      </c>
      <c r="AD1328" s="19" t="str">
        <f t="shared" si="353"/>
        <v/>
      </c>
      <c r="AE1328" s="19" t="str">
        <f t="shared" si="354"/>
        <v/>
      </c>
      <c r="AF1328" s="19" t="str">
        <f>IF($D1328&lt;&gt;1,"",IF(INDEX(TblClusters[Environnement],$B1328)="","(vide)",INDEX(TblClusters[Environnement],$B1328)))</f>
        <v/>
      </c>
      <c r="AG1328" s="19" t="str">
        <f t="shared" si="355"/>
        <v/>
      </c>
      <c r="AH1328" s="19" t="str">
        <f t="shared" si="356"/>
        <v/>
      </c>
      <c r="AI1328" s="19" t="str">
        <f>IF($D1328&lt;&gt;1,"",IF(AND($G1328="IKS",ISNUMBER(INDEX(TblClusters[Fermeture retenue],$B1328))),IF($E1328&gt;=INDEX(TblClusters[Fermeture retenue],$B1328),1,0),0))</f>
        <v/>
      </c>
    </row>
    <row r="1329" spans="1:35" x14ac:dyDescent="0.2">
      <c r="A1329" s="19">
        <v>1324</v>
      </c>
      <c r="B1329" s="19">
        <f t="shared" si="340"/>
        <v>37</v>
      </c>
      <c r="C1329" s="19">
        <f t="shared" si="341"/>
        <v>28</v>
      </c>
      <c r="D1329" s="19">
        <f>IF($C1329&gt;p_horizon,0,IFERROR(IF(AND(INDEX(TblClusters[Cluster],$B1329)&lt;&gt;"",ISNUMBER(INDEX(TblClusters[CPU initial (vCPU)],$B1329)),ISNUMBER(INDEX(TblClusters[CPU min (vCPU)],$B1329)),OR(INDEX(TblClusters[Plateforme],$B1329)="IKS",INDEX(TblClusters[Plateforme],$B1329)="ROKS")),1,0),0))</f>
        <v>0</v>
      </c>
      <c r="E1329" s="72" t="str">
        <f t="shared" si="342"/>
        <v/>
      </c>
      <c r="F1329" s="19" t="str">
        <f>IF($D1329=1,INDEX(TblClusters[Cluster],$B1329),"")</f>
        <v/>
      </c>
      <c r="G1329" s="19" t="str">
        <f>IF($D1329=1,INDEX(TblClusters[Plateforme],$B1329),"")</f>
        <v/>
      </c>
      <c r="H1329" s="19" t="str">
        <f>IF($D1329=1,INDEX(TblClusters[vCPU par nœud],$B1329),"")</f>
        <v/>
      </c>
      <c r="I1329" s="19" t="str">
        <f>IF($D1329=1,INDEX(TblClusters[RAM par nœud (Go)],$B1329),"")</f>
        <v/>
      </c>
      <c r="J1329" s="19" t="str">
        <f>IF($D1329=1,INDEX(TblClusters[Workers min],$B1329),"")</f>
        <v/>
      </c>
      <c r="K1329" s="73" t="str">
        <f>IF($D1329=1,INDEX(TblClusters[Tarif par nœud],$B1329),"")</f>
        <v/>
      </c>
      <c r="L1329" s="19" t="str">
        <f>IF($D1329=1,INDEX(TblClusters[CPU initial (vCPU)],$B1329),"")</f>
        <v/>
      </c>
      <c r="M1329" s="19" t="str">
        <f>IF($D1329=1,INDEX(TblClusters[RAM initiale (Go)],$B1329),"")</f>
        <v/>
      </c>
      <c r="N1329" s="19" t="str">
        <f>IF($D1329=1,INDEX(TblClusters[CPU min (vCPU)],$B1329),"")</f>
        <v/>
      </c>
      <c r="O1329" s="19" t="str">
        <f>IF($D1329=1,INDEX(TblClusters[RAM min (Go)],$B1329),"")</f>
        <v/>
      </c>
      <c r="P1329" s="19" t="str">
        <f>IF($D1329&lt;&gt;1,"",IF($G1329="ROKS",SUMIFS(TblApplications[Besoin ROKS CPU (vCPU)],TblApplications[Cluster ROKS cible],$F1329,TblApplications[Action],"À migrer",TblApplications[Déjà incluse ROKS],"Non",TblApplications[Mois prov (calc)],"&lt;="&amp;$E1329),SUMIFS(TblApplications[CPU IKS libérable (vCPU)],TblApplications[Cluster IKS source],$F1329,TblApplications[Mois lib (calc)],"&lt;="&amp;$E1329)))</f>
        <v/>
      </c>
      <c r="Q1329" s="19" t="str">
        <f>IF($D1329&lt;&gt;1,"",IF($G1329="ROKS",SUMIFS(TblApplications[Besoin ROKS RAM (Go)],TblApplications[Cluster ROKS cible],$F1329,TblApplications[Action],"À migrer",TblApplications[Déjà incluse ROKS],"Non",TblApplications[Mois prov (calc)],"&lt;="&amp;$E1329),SUMIFS(TblApplications[RAM IKS libérable (Go)],TblApplications[Cluster IKS source],$F1329,TblApplications[Mois lib (calc)],"&lt;="&amp;$E1329)))</f>
        <v/>
      </c>
      <c r="R1329" s="19" t="str">
        <f t="shared" si="343"/>
        <v/>
      </c>
      <c r="S1329" s="19" t="str">
        <f t="shared" si="344"/>
        <v/>
      </c>
      <c r="T1329" s="19" t="str">
        <f t="shared" si="345"/>
        <v/>
      </c>
      <c r="U1329" s="19" t="str">
        <f t="shared" si="346"/>
        <v/>
      </c>
      <c r="V1329" s="19" t="str">
        <f t="shared" si="347"/>
        <v/>
      </c>
      <c r="W1329" s="73" t="str">
        <f t="shared" si="348"/>
        <v/>
      </c>
      <c r="X1329" s="19" t="str">
        <f>IF($D1329&lt;&gt;1,"",IF($G1329="ROKS",$R1329,IF($AI1329=1,0,MAX($N1329,$L1329-SUMIFS(TblApplications[CPU IKS libérable (vCPU)],TblApplications[Cluster IKS source],$F1329,TblApplications[Action],"À migrer",TblApplications[Mois prov (calc)],"&lt;="&amp;$E1329)-SUMIFS(TblApplications[CPU IKS libérable (vCPU)],TblApplications[Cluster IKS source],$F1329,TblApplications[Action],"À décommissionner",TblApplications[Mois lib (calc)],"&lt;="&amp;$E1329)))))</f>
        <v/>
      </c>
      <c r="Y1329" s="19" t="str">
        <f>IF($D1329&lt;&gt;1,"",IF($G1329="ROKS",$S1329,IF($AI1329=1,0,MAX($O1329,$M1329-SUMIFS(TblApplications[RAM IKS libérable (Go)],TblApplications[Cluster IKS source],$F1329,TblApplications[Action],"À migrer",TblApplications[Mois prov (calc)],"&lt;="&amp;$E1329)-SUMIFS(TblApplications[RAM IKS libérable (Go)],TblApplications[Cluster IKS source],$F1329,TblApplications[Action],"À décommissionner",TblApplications[Mois lib (calc)],"&lt;="&amp;$E1329)))))</f>
        <v/>
      </c>
      <c r="Z1329" s="19" t="str">
        <f t="shared" si="349"/>
        <v/>
      </c>
      <c r="AA1329" s="73" t="str">
        <f t="shared" si="350"/>
        <v/>
      </c>
      <c r="AB1329" s="19" t="str">
        <f t="shared" si="351"/>
        <v/>
      </c>
      <c r="AC1329" s="73" t="str">
        <f t="shared" si="352"/>
        <v/>
      </c>
      <c r="AD1329" s="19" t="str">
        <f t="shared" si="353"/>
        <v/>
      </c>
      <c r="AE1329" s="19" t="str">
        <f t="shared" si="354"/>
        <v/>
      </c>
      <c r="AF1329" s="19" t="str">
        <f>IF($D1329&lt;&gt;1,"",IF(INDEX(TblClusters[Environnement],$B1329)="","(vide)",INDEX(TblClusters[Environnement],$B1329)))</f>
        <v/>
      </c>
      <c r="AG1329" s="19" t="str">
        <f t="shared" si="355"/>
        <v/>
      </c>
      <c r="AH1329" s="19" t="str">
        <f t="shared" si="356"/>
        <v/>
      </c>
      <c r="AI1329" s="19" t="str">
        <f>IF($D1329&lt;&gt;1,"",IF(AND($G1329="IKS",ISNUMBER(INDEX(TblClusters[Fermeture retenue],$B1329))),IF($E1329&gt;=INDEX(TblClusters[Fermeture retenue],$B1329),1,0),0))</f>
        <v/>
      </c>
    </row>
    <row r="1330" spans="1:35" x14ac:dyDescent="0.2">
      <c r="A1330" s="19">
        <v>1325</v>
      </c>
      <c r="B1330" s="19">
        <f t="shared" si="340"/>
        <v>37</v>
      </c>
      <c r="C1330" s="19">
        <f t="shared" si="341"/>
        <v>29</v>
      </c>
      <c r="D1330" s="19">
        <f>IF($C1330&gt;p_horizon,0,IFERROR(IF(AND(INDEX(TblClusters[Cluster],$B1330)&lt;&gt;"",ISNUMBER(INDEX(TblClusters[CPU initial (vCPU)],$B1330)),ISNUMBER(INDEX(TblClusters[CPU min (vCPU)],$B1330)),OR(INDEX(TblClusters[Plateforme],$B1330)="IKS",INDEX(TblClusters[Plateforme],$B1330)="ROKS")),1,0),0))</f>
        <v>0</v>
      </c>
      <c r="E1330" s="72" t="str">
        <f t="shared" si="342"/>
        <v/>
      </c>
      <c r="F1330" s="19" t="str">
        <f>IF($D1330=1,INDEX(TblClusters[Cluster],$B1330),"")</f>
        <v/>
      </c>
      <c r="G1330" s="19" t="str">
        <f>IF($D1330=1,INDEX(TblClusters[Plateforme],$B1330),"")</f>
        <v/>
      </c>
      <c r="H1330" s="19" t="str">
        <f>IF($D1330=1,INDEX(TblClusters[vCPU par nœud],$B1330),"")</f>
        <v/>
      </c>
      <c r="I1330" s="19" t="str">
        <f>IF($D1330=1,INDEX(TblClusters[RAM par nœud (Go)],$B1330),"")</f>
        <v/>
      </c>
      <c r="J1330" s="19" t="str">
        <f>IF($D1330=1,INDEX(TblClusters[Workers min],$B1330),"")</f>
        <v/>
      </c>
      <c r="K1330" s="73" t="str">
        <f>IF($D1330=1,INDEX(TblClusters[Tarif par nœud],$B1330),"")</f>
        <v/>
      </c>
      <c r="L1330" s="19" t="str">
        <f>IF($D1330=1,INDEX(TblClusters[CPU initial (vCPU)],$B1330),"")</f>
        <v/>
      </c>
      <c r="M1330" s="19" t="str">
        <f>IF($D1330=1,INDEX(TblClusters[RAM initiale (Go)],$B1330),"")</f>
        <v/>
      </c>
      <c r="N1330" s="19" t="str">
        <f>IF($D1330=1,INDEX(TblClusters[CPU min (vCPU)],$B1330),"")</f>
        <v/>
      </c>
      <c r="O1330" s="19" t="str">
        <f>IF($D1330=1,INDEX(TblClusters[RAM min (Go)],$B1330),"")</f>
        <v/>
      </c>
      <c r="P1330" s="19" t="str">
        <f>IF($D1330&lt;&gt;1,"",IF($G1330="ROKS",SUMIFS(TblApplications[Besoin ROKS CPU (vCPU)],TblApplications[Cluster ROKS cible],$F1330,TblApplications[Action],"À migrer",TblApplications[Déjà incluse ROKS],"Non",TblApplications[Mois prov (calc)],"&lt;="&amp;$E1330),SUMIFS(TblApplications[CPU IKS libérable (vCPU)],TblApplications[Cluster IKS source],$F1330,TblApplications[Mois lib (calc)],"&lt;="&amp;$E1330)))</f>
        <v/>
      </c>
      <c r="Q1330" s="19" t="str">
        <f>IF($D1330&lt;&gt;1,"",IF($G1330="ROKS",SUMIFS(TblApplications[Besoin ROKS RAM (Go)],TblApplications[Cluster ROKS cible],$F1330,TblApplications[Action],"À migrer",TblApplications[Déjà incluse ROKS],"Non",TblApplications[Mois prov (calc)],"&lt;="&amp;$E1330),SUMIFS(TblApplications[RAM IKS libérable (Go)],TblApplications[Cluster IKS source],$F1330,TblApplications[Mois lib (calc)],"&lt;="&amp;$E1330)))</f>
        <v/>
      </c>
      <c r="R1330" s="19" t="str">
        <f t="shared" si="343"/>
        <v/>
      </c>
      <c r="S1330" s="19" t="str">
        <f t="shared" si="344"/>
        <v/>
      </c>
      <c r="T1330" s="19" t="str">
        <f t="shared" si="345"/>
        <v/>
      </c>
      <c r="U1330" s="19" t="str">
        <f t="shared" si="346"/>
        <v/>
      </c>
      <c r="V1330" s="19" t="str">
        <f t="shared" si="347"/>
        <v/>
      </c>
      <c r="W1330" s="73" t="str">
        <f t="shared" si="348"/>
        <v/>
      </c>
      <c r="X1330" s="19" t="str">
        <f>IF($D1330&lt;&gt;1,"",IF($G1330="ROKS",$R1330,IF($AI1330=1,0,MAX($N1330,$L1330-SUMIFS(TblApplications[CPU IKS libérable (vCPU)],TblApplications[Cluster IKS source],$F1330,TblApplications[Action],"À migrer",TblApplications[Mois prov (calc)],"&lt;="&amp;$E1330)-SUMIFS(TblApplications[CPU IKS libérable (vCPU)],TblApplications[Cluster IKS source],$F1330,TblApplications[Action],"À décommissionner",TblApplications[Mois lib (calc)],"&lt;="&amp;$E1330)))))</f>
        <v/>
      </c>
      <c r="Y1330" s="19" t="str">
        <f>IF($D1330&lt;&gt;1,"",IF($G1330="ROKS",$S1330,IF($AI1330=1,0,MAX($O1330,$M1330-SUMIFS(TblApplications[RAM IKS libérable (Go)],TblApplications[Cluster IKS source],$F1330,TblApplications[Action],"À migrer",TblApplications[Mois prov (calc)],"&lt;="&amp;$E1330)-SUMIFS(TblApplications[RAM IKS libérable (Go)],TblApplications[Cluster IKS source],$F1330,TblApplications[Action],"À décommissionner",TblApplications[Mois lib (calc)],"&lt;="&amp;$E1330)))))</f>
        <v/>
      </c>
      <c r="Z1330" s="19" t="str">
        <f t="shared" si="349"/>
        <v/>
      </c>
      <c r="AA1330" s="73" t="str">
        <f t="shared" si="350"/>
        <v/>
      </c>
      <c r="AB1330" s="19" t="str">
        <f t="shared" si="351"/>
        <v/>
      </c>
      <c r="AC1330" s="73" t="str">
        <f t="shared" si="352"/>
        <v/>
      </c>
      <c r="AD1330" s="19" t="str">
        <f t="shared" si="353"/>
        <v/>
      </c>
      <c r="AE1330" s="19" t="str">
        <f t="shared" si="354"/>
        <v/>
      </c>
      <c r="AF1330" s="19" t="str">
        <f>IF($D1330&lt;&gt;1,"",IF(INDEX(TblClusters[Environnement],$B1330)="","(vide)",INDEX(TblClusters[Environnement],$B1330)))</f>
        <v/>
      </c>
      <c r="AG1330" s="19" t="str">
        <f t="shared" si="355"/>
        <v/>
      </c>
      <c r="AH1330" s="19" t="str">
        <f t="shared" si="356"/>
        <v/>
      </c>
      <c r="AI1330" s="19" t="str">
        <f>IF($D1330&lt;&gt;1,"",IF(AND($G1330="IKS",ISNUMBER(INDEX(TblClusters[Fermeture retenue],$B1330))),IF($E1330&gt;=INDEX(TblClusters[Fermeture retenue],$B1330),1,0),0))</f>
        <v/>
      </c>
    </row>
    <row r="1331" spans="1:35" x14ac:dyDescent="0.2">
      <c r="A1331" s="19">
        <v>1326</v>
      </c>
      <c r="B1331" s="19">
        <f t="shared" si="340"/>
        <v>37</v>
      </c>
      <c r="C1331" s="19">
        <f t="shared" si="341"/>
        <v>30</v>
      </c>
      <c r="D1331" s="19">
        <f>IF($C1331&gt;p_horizon,0,IFERROR(IF(AND(INDEX(TblClusters[Cluster],$B1331)&lt;&gt;"",ISNUMBER(INDEX(TblClusters[CPU initial (vCPU)],$B1331)),ISNUMBER(INDEX(TblClusters[CPU min (vCPU)],$B1331)),OR(INDEX(TblClusters[Plateforme],$B1331)="IKS",INDEX(TblClusters[Plateforme],$B1331)="ROKS")),1,0),0))</f>
        <v>0</v>
      </c>
      <c r="E1331" s="72" t="str">
        <f t="shared" si="342"/>
        <v/>
      </c>
      <c r="F1331" s="19" t="str">
        <f>IF($D1331=1,INDEX(TblClusters[Cluster],$B1331),"")</f>
        <v/>
      </c>
      <c r="G1331" s="19" t="str">
        <f>IF($D1331=1,INDEX(TblClusters[Plateforme],$B1331),"")</f>
        <v/>
      </c>
      <c r="H1331" s="19" t="str">
        <f>IF($D1331=1,INDEX(TblClusters[vCPU par nœud],$B1331),"")</f>
        <v/>
      </c>
      <c r="I1331" s="19" t="str">
        <f>IF($D1331=1,INDEX(TblClusters[RAM par nœud (Go)],$B1331),"")</f>
        <v/>
      </c>
      <c r="J1331" s="19" t="str">
        <f>IF($D1331=1,INDEX(TblClusters[Workers min],$B1331),"")</f>
        <v/>
      </c>
      <c r="K1331" s="73" t="str">
        <f>IF($D1331=1,INDEX(TblClusters[Tarif par nœud],$B1331),"")</f>
        <v/>
      </c>
      <c r="L1331" s="19" t="str">
        <f>IF($D1331=1,INDEX(TblClusters[CPU initial (vCPU)],$B1331),"")</f>
        <v/>
      </c>
      <c r="M1331" s="19" t="str">
        <f>IF($D1331=1,INDEX(TblClusters[RAM initiale (Go)],$B1331),"")</f>
        <v/>
      </c>
      <c r="N1331" s="19" t="str">
        <f>IF($D1331=1,INDEX(TblClusters[CPU min (vCPU)],$B1331),"")</f>
        <v/>
      </c>
      <c r="O1331" s="19" t="str">
        <f>IF($D1331=1,INDEX(TblClusters[RAM min (Go)],$B1331),"")</f>
        <v/>
      </c>
      <c r="P1331" s="19" t="str">
        <f>IF($D1331&lt;&gt;1,"",IF($G1331="ROKS",SUMIFS(TblApplications[Besoin ROKS CPU (vCPU)],TblApplications[Cluster ROKS cible],$F1331,TblApplications[Action],"À migrer",TblApplications[Déjà incluse ROKS],"Non",TblApplications[Mois prov (calc)],"&lt;="&amp;$E1331),SUMIFS(TblApplications[CPU IKS libérable (vCPU)],TblApplications[Cluster IKS source],$F1331,TblApplications[Mois lib (calc)],"&lt;="&amp;$E1331)))</f>
        <v/>
      </c>
      <c r="Q1331" s="19" t="str">
        <f>IF($D1331&lt;&gt;1,"",IF($G1331="ROKS",SUMIFS(TblApplications[Besoin ROKS RAM (Go)],TblApplications[Cluster ROKS cible],$F1331,TblApplications[Action],"À migrer",TblApplications[Déjà incluse ROKS],"Non",TblApplications[Mois prov (calc)],"&lt;="&amp;$E1331),SUMIFS(TblApplications[RAM IKS libérable (Go)],TblApplications[Cluster IKS source],$F1331,TblApplications[Mois lib (calc)],"&lt;="&amp;$E1331)))</f>
        <v/>
      </c>
      <c r="R1331" s="19" t="str">
        <f t="shared" si="343"/>
        <v/>
      </c>
      <c r="S1331" s="19" t="str">
        <f t="shared" si="344"/>
        <v/>
      </c>
      <c r="T1331" s="19" t="str">
        <f t="shared" si="345"/>
        <v/>
      </c>
      <c r="U1331" s="19" t="str">
        <f t="shared" si="346"/>
        <v/>
      </c>
      <c r="V1331" s="19" t="str">
        <f t="shared" si="347"/>
        <v/>
      </c>
      <c r="W1331" s="73" t="str">
        <f t="shared" si="348"/>
        <v/>
      </c>
      <c r="X1331" s="19" t="str">
        <f>IF($D1331&lt;&gt;1,"",IF($G1331="ROKS",$R1331,IF($AI1331=1,0,MAX($N1331,$L1331-SUMIFS(TblApplications[CPU IKS libérable (vCPU)],TblApplications[Cluster IKS source],$F1331,TblApplications[Action],"À migrer",TblApplications[Mois prov (calc)],"&lt;="&amp;$E1331)-SUMIFS(TblApplications[CPU IKS libérable (vCPU)],TblApplications[Cluster IKS source],$F1331,TblApplications[Action],"À décommissionner",TblApplications[Mois lib (calc)],"&lt;="&amp;$E1331)))))</f>
        <v/>
      </c>
      <c r="Y1331" s="19" t="str">
        <f>IF($D1331&lt;&gt;1,"",IF($G1331="ROKS",$S1331,IF($AI1331=1,0,MAX($O1331,$M1331-SUMIFS(TblApplications[RAM IKS libérable (Go)],TblApplications[Cluster IKS source],$F1331,TblApplications[Action],"À migrer",TblApplications[Mois prov (calc)],"&lt;="&amp;$E1331)-SUMIFS(TblApplications[RAM IKS libérable (Go)],TblApplications[Cluster IKS source],$F1331,TblApplications[Action],"À décommissionner",TblApplications[Mois lib (calc)],"&lt;="&amp;$E1331)))))</f>
        <v/>
      </c>
      <c r="Z1331" s="19" t="str">
        <f t="shared" si="349"/>
        <v/>
      </c>
      <c r="AA1331" s="73" t="str">
        <f t="shared" si="350"/>
        <v/>
      </c>
      <c r="AB1331" s="19" t="str">
        <f t="shared" si="351"/>
        <v/>
      </c>
      <c r="AC1331" s="73" t="str">
        <f t="shared" si="352"/>
        <v/>
      </c>
      <c r="AD1331" s="19" t="str">
        <f t="shared" si="353"/>
        <v/>
      </c>
      <c r="AE1331" s="19" t="str">
        <f t="shared" si="354"/>
        <v/>
      </c>
      <c r="AF1331" s="19" t="str">
        <f>IF($D1331&lt;&gt;1,"",IF(INDEX(TblClusters[Environnement],$B1331)="","(vide)",INDEX(TblClusters[Environnement],$B1331)))</f>
        <v/>
      </c>
      <c r="AG1331" s="19" t="str">
        <f t="shared" si="355"/>
        <v/>
      </c>
      <c r="AH1331" s="19" t="str">
        <f t="shared" si="356"/>
        <v/>
      </c>
      <c r="AI1331" s="19" t="str">
        <f>IF($D1331&lt;&gt;1,"",IF(AND($G1331="IKS",ISNUMBER(INDEX(TblClusters[Fermeture retenue],$B1331))),IF($E1331&gt;=INDEX(TblClusters[Fermeture retenue],$B1331),1,0),0))</f>
        <v/>
      </c>
    </row>
    <row r="1332" spans="1:35" x14ac:dyDescent="0.2">
      <c r="A1332" s="19">
        <v>1327</v>
      </c>
      <c r="B1332" s="19">
        <f t="shared" si="340"/>
        <v>37</v>
      </c>
      <c r="C1332" s="19">
        <f t="shared" si="341"/>
        <v>31</v>
      </c>
      <c r="D1332" s="19">
        <f>IF($C1332&gt;p_horizon,0,IFERROR(IF(AND(INDEX(TblClusters[Cluster],$B1332)&lt;&gt;"",ISNUMBER(INDEX(TblClusters[CPU initial (vCPU)],$B1332)),ISNUMBER(INDEX(TblClusters[CPU min (vCPU)],$B1332)),OR(INDEX(TblClusters[Plateforme],$B1332)="IKS",INDEX(TblClusters[Plateforme],$B1332)="ROKS")),1,0),0))</f>
        <v>0</v>
      </c>
      <c r="E1332" s="72" t="str">
        <f t="shared" si="342"/>
        <v/>
      </c>
      <c r="F1332" s="19" t="str">
        <f>IF($D1332=1,INDEX(TblClusters[Cluster],$B1332),"")</f>
        <v/>
      </c>
      <c r="G1332" s="19" t="str">
        <f>IF($D1332=1,INDEX(TblClusters[Plateforme],$B1332),"")</f>
        <v/>
      </c>
      <c r="H1332" s="19" t="str">
        <f>IF($D1332=1,INDEX(TblClusters[vCPU par nœud],$B1332),"")</f>
        <v/>
      </c>
      <c r="I1332" s="19" t="str">
        <f>IF($D1332=1,INDEX(TblClusters[RAM par nœud (Go)],$B1332),"")</f>
        <v/>
      </c>
      <c r="J1332" s="19" t="str">
        <f>IF($D1332=1,INDEX(TblClusters[Workers min],$B1332),"")</f>
        <v/>
      </c>
      <c r="K1332" s="73" t="str">
        <f>IF($D1332=1,INDEX(TblClusters[Tarif par nœud],$B1332),"")</f>
        <v/>
      </c>
      <c r="L1332" s="19" t="str">
        <f>IF($D1332=1,INDEX(TblClusters[CPU initial (vCPU)],$B1332),"")</f>
        <v/>
      </c>
      <c r="M1332" s="19" t="str">
        <f>IF($D1332=1,INDEX(TblClusters[RAM initiale (Go)],$B1332),"")</f>
        <v/>
      </c>
      <c r="N1332" s="19" t="str">
        <f>IF($D1332=1,INDEX(TblClusters[CPU min (vCPU)],$B1332),"")</f>
        <v/>
      </c>
      <c r="O1332" s="19" t="str">
        <f>IF($D1332=1,INDEX(TblClusters[RAM min (Go)],$B1332),"")</f>
        <v/>
      </c>
      <c r="P1332" s="19" t="str">
        <f>IF($D1332&lt;&gt;1,"",IF($G1332="ROKS",SUMIFS(TblApplications[Besoin ROKS CPU (vCPU)],TblApplications[Cluster ROKS cible],$F1332,TblApplications[Action],"À migrer",TblApplications[Déjà incluse ROKS],"Non",TblApplications[Mois prov (calc)],"&lt;="&amp;$E1332),SUMIFS(TblApplications[CPU IKS libérable (vCPU)],TblApplications[Cluster IKS source],$F1332,TblApplications[Mois lib (calc)],"&lt;="&amp;$E1332)))</f>
        <v/>
      </c>
      <c r="Q1332" s="19" t="str">
        <f>IF($D1332&lt;&gt;1,"",IF($G1332="ROKS",SUMIFS(TblApplications[Besoin ROKS RAM (Go)],TblApplications[Cluster ROKS cible],$F1332,TblApplications[Action],"À migrer",TblApplications[Déjà incluse ROKS],"Non",TblApplications[Mois prov (calc)],"&lt;="&amp;$E1332),SUMIFS(TblApplications[RAM IKS libérable (Go)],TblApplications[Cluster IKS source],$F1332,TblApplications[Mois lib (calc)],"&lt;="&amp;$E1332)))</f>
        <v/>
      </c>
      <c r="R1332" s="19" t="str">
        <f t="shared" si="343"/>
        <v/>
      </c>
      <c r="S1332" s="19" t="str">
        <f t="shared" si="344"/>
        <v/>
      </c>
      <c r="T1332" s="19" t="str">
        <f t="shared" si="345"/>
        <v/>
      </c>
      <c r="U1332" s="19" t="str">
        <f t="shared" si="346"/>
        <v/>
      </c>
      <c r="V1332" s="19" t="str">
        <f t="shared" si="347"/>
        <v/>
      </c>
      <c r="W1332" s="73" t="str">
        <f t="shared" si="348"/>
        <v/>
      </c>
      <c r="X1332" s="19" t="str">
        <f>IF($D1332&lt;&gt;1,"",IF($G1332="ROKS",$R1332,IF($AI1332=1,0,MAX($N1332,$L1332-SUMIFS(TblApplications[CPU IKS libérable (vCPU)],TblApplications[Cluster IKS source],$F1332,TblApplications[Action],"À migrer",TblApplications[Mois prov (calc)],"&lt;="&amp;$E1332)-SUMIFS(TblApplications[CPU IKS libérable (vCPU)],TblApplications[Cluster IKS source],$F1332,TblApplications[Action],"À décommissionner",TblApplications[Mois lib (calc)],"&lt;="&amp;$E1332)))))</f>
        <v/>
      </c>
      <c r="Y1332" s="19" t="str">
        <f>IF($D1332&lt;&gt;1,"",IF($G1332="ROKS",$S1332,IF($AI1332=1,0,MAX($O1332,$M1332-SUMIFS(TblApplications[RAM IKS libérable (Go)],TblApplications[Cluster IKS source],$F1332,TblApplications[Action],"À migrer",TblApplications[Mois prov (calc)],"&lt;="&amp;$E1332)-SUMIFS(TblApplications[RAM IKS libérable (Go)],TblApplications[Cluster IKS source],$F1332,TblApplications[Action],"À décommissionner",TblApplications[Mois lib (calc)],"&lt;="&amp;$E1332)))))</f>
        <v/>
      </c>
      <c r="Z1332" s="19" t="str">
        <f t="shared" si="349"/>
        <v/>
      </c>
      <c r="AA1332" s="73" t="str">
        <f t="shared" si="350"/>
        <v/>
      </c>
      <c r="AB1332" s="19" t="str">
        <f t="shared" si="351"/>
        <v/>
      </c>
      <c r="AC1332" s="73" t="str">
        <f t="shared" si="352"/>
        <v/>
      </c>
      <c r="AD1332" s="19" t="str">
        <f t="shared" si="353"/>
        <v/>
      </c>
      <c r="AE1332" s="19" t="str">
        <f t="shared" si="354"/>
        <v/>
      </c>
      <c r="AF1332" s="19" t="str">
        <f>IF($D1332&lt;&gt;1,"",IF(INDEX(TblClusters[Environnement],$B1332)="","(vide)",INDEX(TblClusters[Environnement],$B1332)))</f>
        <v/>
      </c>
      <c r="AG1332" s="19" t="str">
        <f t="shared" si="355"/>
        <v/>
      </c>
      <c r="AH1332" s="19" t="str">
        <f t="shared" si="356"/>
        <v/>
      </c>
      <c r="AI1332" s="19" t="str">
        <f>IF($D1332&lt;&gt;1,"",IF(AND($G1332="IKS",ISNUMBER(INDEX(TblClusters[Fermeture retenue],$B1332))),IF($E1332&gt;=INDEX(TblClusters[Fermeture retenue],$B1332),1,0),0))</f>
        <v/>
      </c>
    </row>
    <row r="1333" spans="1:35" x14ac:dyDescent="0.2">
      <c r="A1333" s="19">
        <v>1328</v>
      </c>
      <c r="B1333" s="19">
        <f t="shared" si="340"/>
        <v>37</v>
      </c>
      <c r="C1333" s="19">
        <f t="shared" si="341"/>
        <v>32</v>
      </c>
      <c r="D1333" s="19">
        <f>IF($C1333&gt;p_horizon,0,IFERROR(IF(AND(INDEX(TblClusters[Cluster],$B1333)&lt;&gt;"",ISNUMBER(INDEX(TblClusters[CPU initial (vCPU)],$B1333)),ISNUMBER(INDEX(TblClusters[CPU min (vCPU)],$B1333)),OR(INDEX(TblClusters[Plateforme],$B1333)="IKS",INDEX(TblClusters[Plateforme],$B1333)="ROKS")),1,0),0))</f>
        <v>0</v>
      </c>
      <c r="E1333" s="72" t="str">
        <f t="shared" si="342"/>
        <v/>
      </c>
      <c r="F1333" s="19" t="str">
        <f>IF($D1333=1,INDEX(TblClusters[Cluster],$B1333),"")</f>
        <v/>
      </c>
      <c r="G1333" s="19" t="str">
        <f>IF($D1333=1,INDEX(TblClusters[Plateforme],$B1333),"")</f>
        <v/>
      </c>
      <c r="H1333" s="19" t="str">
        <f>IF($D1333=1,INDEX(TblClusters[vCPU par nœud],$B1333),"")</f>
        <v/>
      </c>
      <c r="I1333" s="19" t="str">
        <f>IF($D1333=1,INDEX(TblClusters[RAM par nœud (Go)],$B1333),"")</f>
        <v/>
      </c>
      <c r="J1333" s="19" t="str">
        <f>IF($D1333=1,INDEX(TblClusters[Workers min],$B1333),"")</f>
        <v/>
      </c>
      <c r="K1333" s="73" t="str">
        <f>IF($D1333=1,INDEX(TblClusters[Tarif par nœud],$B1333),"")</f>
        <v/>
      </c>
      <c r="L1333" s="19" t="str">
        <f>IF($D1333=1,INDEX(TblClusters[CPU initial (vCPU)],$B1333),"")</f>
        <v/>
      </c>
      <c r="M1333" s="19" t="str">
        <f>IF($D1333=1,INDEX(TblClusters[RAM initiale (Go)],$B1333),"")</f>
        <v/>
      </c>
      <c r="N1333" s="19" t="str">
        <f>IF($D1333=1,INDEX(TblClusters[CPU min (vCPU)],$B1333),"")</f>
        <v/>
      </c>
      <c r="O1333" s="19" t="str">
        <f>IF($D1333=1,INDEX(TblClusters[RAM min (Go)],$B1333),"")</f>
        <v/>
      </c>
      <c r="P1333" s="19" t="str">
        <f>IF($D1333&lt;&gt;1,"",IF($G1333="ROKS",SUMIFS(TblApplications[Besoin ROKS CPU (vCPU)],TblApplications[Cluster ROKS cible],$F1333,TblApplications[Action],"À migrer",TblApplications[Déjà incluse ROKS],"Non",TblApplications[Mois prov (calc)],"&lt;="&amp;$E1333),SUMIFS(TblApplications[CPU IKS libérable (vCPU)],TblApplications[Cluster IKS source],$F1333,TblApplications[Mois lib (calc)],"&lt;="&amp;$E1333)))</f>
        <v/>
      </c>
      <c r="Q1333" s="19" t="str">
        <f>IF($D1333&lt;&gt;1,"",IF($G1333="ROKS",SUMIFS(TblApplications[Besoin ROKS RAM (Go)],TblApplications[Cluster ROKS cible],$F1333,TblApplications[Action],"À migrer",TblApplications[Déjà incluse ROKS],"Non",TblApplications[Mois prov (calc)],"&lt;="&amp;$E1333),SUMIFS(TblApplications[RAM IKS libérable (Go)],TblApplications[Cluster IKS source],$F1333,TblApplications[Mois lib (calc)],"&lt;="&amp;$E1333)))</f>
        <v/>
      </c>
      <c r="R1333" s="19" t="str">
        <f t="shared" si="343"/>
        <v/>
      </c>
      <c r="S1333" s="19" t="str">
        <f t="shared" si="344"/>
        <v/>
      </c>
      <c r="T1333" s="19" t="str">
        <f t="shared" si="345"/>
        <v/>
      </c>
      <c r="U1333" s="19" t="str">
        <f t="shared" si="346"/>
        <v/>
      </c>
      <c r="V1333" s="19" t="str">
        <f t="shared" si="347"/>
        <v/>
      </c>
      <c r="W1333" s="73" t="str">
        <f t="shared" si="348"/>
        <v/>
      </c>
      <c r="X1333" s="19" t="str">
        <f>IF($D1333&lt;&gt;1,"",IF($G1333="ROKS",$R1333,IF($AI1333=1,0,MAX($N1333,$L1333-SUMIFS(TblApplications[CPU IKS libérable (vCPU)],TblApplications[Cluster IKS source],$F1333,TblApplications[Action],"À migrer",TblApplications[Mois prov (calc)],"&lt;="&amp;$E1333)-SUMIFS(TblApplications[CPU IKS libérable (vCPU)],TblApplications[Cluster IKS source],$F1333,TblApplications[Action],"À décommissionner",TblApplications[Mois lib (calc)],"&lt;="&amp;$E1333)))))</f>
        <v/>
      </c>
      <c r="Y1333" s="19" t="str">
        <f>IF($D1333&lt;&gt;1,"",IF($G1333="ROKS",$S1333,IF($AI1333=1,0,MAX($O1333,$M1333-SUMIFS(TblApplications[RAM IKS libérable (Go)],TblApplications[Cluster IKS source],$F1333,TblApplications[Action],"À migrer",TblApplications[Mois prov (calc)],"&lt;="&amp;$E1333)-SUMIFS(TblApplications[RAM IKS libérable (Go)],TblApplications[Cluster IKS source],$F1333,TblApplications[Action],"À décommissionner",TblApplications[Mois lib (calc)],"&lt;="&amp;$E1333)))))</f>
        <v/>
      </c>
      <c r="Z1333" s="19" t="str">
        <f t="shared" si="349"/>
        <v/>
      </c>
      <c r="AA1333" s="73" t="str">
        <f t="shared" si="350"/>
        <v/>
      </c>
      <c r="AB1333" s="19" t="str">
        <f t="shared" si="351"/>
        <v/>
      </c>
      <c r="AC1333" s="73" t="str">
        <f t="shared" si="352"/>
        <v/>
      </c>
      <c r="AD1333" s="19" t="str">
        <f t="shared" si="353"/>
        <v/>
      </c>
      <c r="AE1333" s="19" t="str">
        <f t="shared" si="354"/>
        <v/>
      </c>
      <c r="AF1333" s="19" t="str">
        <f>IF($D1333&lt;&gt;1,"",IF(INDEX(TblClusters[Environnement],$B1333)="","(vide)",INDEX(TblClusters[Environnement],$B1333)))</f>
        <v/>
      </c>
      <c r="AG1333" s="19" t="str">
        <f t="shared" si="355"/>
        <v/>
      </c>
      <c r="AH1333" s="19" t="str">
        <f t="shared" si="356"/>
        <v/>
      </c>
      <c r="AI1333" s="19" t="str">
        <f>IF($D1333&lt;&gt;1,"",IF(AND($G1333="IKS",ISNUMBER(INDEX(TblClusters[Fermeture retenue],$B1333))),IF($E1333&gt;=INDEX(TblClusters[Fermeture retenue],$B1333),1,0),0))</f>
        <v/>
      </c>
    </row>
    <row r="1334" spans="1:35" x14ac:dyDescent="0.2">
      <c r="A1334" s="19">
        <v>1329</v>
      </c>
      <c r="B1334" s="19">
        <f t="shared" si="340"/>
        <v>37</v>
      </c>
      <c r="C1334" s="19">
        <f t="shared" si="341"/>
        <v>33</v>
      </c>
      <c r="D1334" s="19">
        <f>IF($C1334&gt;p_horizon,0,IFERROR(IF(AND(INDEX(TblClusters[Cluster],$B1334)&lt;&gt;"",ISNUMBER(INDEX(TblClusters[CPU initial (vCPU)],$B1334)),ISNUMBER(INDEX(TblClusters[CPU min (vCPU)],$B1334)),OR(INDEX(TblClusters[Plateforme],$B1334)="IKS",INDEX(TblClusters[Plateforme],$B1334)="ROKS")),1,0),0))</f>
        <v>0</v>
      </c>
      <c r="E1334" s="72" t="str">
        <f t="shared" si="342"/>
        <v/>
      </c>
      <c r="F1334" s="19" t="str">
        <f>IF($D1334=1,INDEX(TblClusters[Cluster],$B1334),"")</f>
        <v/>
      </c>
      <c r="G1334" s="19" t="str">
        <f>IF($D1334=1,INDEX(TblClusters[Plateforme],$B1334),"")</f>
        <v/>
      </c>
      <c r="H1334" s="19" t="str">
        <f>IF($D1334=1,INDEX(TblClusters[vCPU par nœud],$B1334),"")</f>
        <v/>
      </c>
      <c r="I1334" s="19" t="str">
        <f>IF($D1334=1,INDEX(TblClusters[RAM par nœud (Go)],$B1334),"")</f>
        <v/>
      </c>
      <c r="J1334" s="19" t="str">
        <f>IF($D1334=1,INDEX(TblClusters[Workers min],$B1334),"")</f>
        <v/>
      </c>
      <c r="K1334" s="73" t="str">
        <f>IF($D1334=1,INDEX(TblClusters[Tarif par nœud],$B1334),"")</f>
        <v/>
      </c>
      <c r="L1334" s="19" t="str">
        <f>IF($D1334=1,INDEX(TblClusters[CPU initial (vCPU)],$B1334),"")</f>
        <v/>
      </c>
      <c r="M1334" s="19" t="str">
        <f>IF($D1334=1,INDEX(TblClusters[RAM initiale (Go)],$B1334),"")</f>
        <v/>
      </c>
      <c r="N1334" s="19" t="str">
        <f>IF($D1334=1,INDEX(TblClusters[CPU min (vCPU)],$B1334),"")</f>
        <v/>
      </c>
      <c r="O1334" s="19" t="str">
        <f>IF($D1334=1,INDEX(TblClusters[RAM min (Go)],$B1334),"")</f>
        <v/>
      </c>
      <c r="P1334" s="19" t="str">
        <f>IF($D1334&lt;&gt;1,"",IF($G1334="ROKS",SUMIFS(TblApplications[Besoin ROKS CPU (vCPU)],TblApplications[Cluster ROKS cible],$F1334,TblApplications[Action],"À migrer",TblApplications[Déjà incluse ROKS],"Non",TblApplications[Mois prov (calc)],"&lt;="&amp;$E1334),SUMIFS(TblApplications[CPU IKS libérable (vCPU)],TblApplications[Cluster IKS source],$F1334,TblApplications[Mois lib (calc)],"&lt;="&amp;$E1334)))</f>
        <v/>
      </c>
      <c r="Q1334" s="19" t="str">
        <f>IF($D1334&lt;&gt;1,"",IF($G1334="ROKS",SUMIFS(TblApplications[Besoin ROKS RAM (Go)],TblApplications[Cluster ROKS cible],$F1334,TblApplications[Action],"À migrer",TblApplications[Déjà incluse ROKS],"Non",TblApplications[Mois prov (calc)],"&lt;="&amp;$E1334),SUMIFS(TblApplications[RAM IKS libérable (Go)],TblApplications[Cluster IKS source],$F1334,TblApplications[Mois lib (calc)],"&lt;="&amp;$E1334)))</f>
        <v/>
      </c>
      <c r="R1334" s="19" t="str">
        <f t="shared" si="343"/>
        <v/>
      </c>
      <c r="S1334" s="19" t="str">
        <f t="shared" si="344"/>
        <v/>
      </c>
      <c r="T1334" s="19" t="str">
        <f t="shared" si="345"/>
        <v/>
      </c>
      <c r="U1334" s="19" t="str">
        <f t="shared" si="346"/>
        <v/>
      </c>
      <c r="V1334" s="19" t="str">
        <f t="shared" si="347"/>
        <v/>
      </c>
      <c r="W1334" s="73" t="str">
        <f t="shared" si="348"/>
        <v/>
      </c>
      <c r="X1334" s="19" t="str">
        <f>IF($D1334&lt;&gt;1,"",IF($G1334="ROKS",$R1334,IF($AI1334=1,0,MAX($N1334,$L1334-SUMIFS(TblApplications[CPU IKS libérable (vCPU)],TblApplications[Cluster IKS source],$F1334,TblApplications[Action],"À migrer",TblApplications[Mois prov (calc)],"&lt;="&amp;$E1334)-SUMIFS(TblApplications[CPU IKS libérable (vCPU)],TblApplications[Cluster IKS source],$F1334,TblApplications[Action],"À décommissionner",TblApplications[Mois lib (calc)],"&lt;="&amp;$E1334)))))</f>
        <v/>
      </c>
      <c r="Y1334" s="19" t="str">
        <f>IF($D1334&lt;&gt;1,"",IF($G1334="ROKS",$S1334,IF($AI1334=1,0,MAX($O1334,$M1334-SUMIFS(TblApplications[RAM IKS libérable (Go)],TblApplications[Cluster IKS source],$F1334,TblApplications[Action],"À migrer",TblApplications[Mois prov (calc)],"&lt;="&amp;$E1334)-SUMIFS(TblApplications[RAM IKS libérable (Go)],TblApplications[Cluster IKS source],$F1334,TblApplications[Action],"À décommissionner",TblApplications[Mois lib (calc)],"&lt;="&amp;$E1334)))))</f>
        <v/>
      </c>
      <c r="Z1334" s="19" t="str">
        <f t="shared" si="349"/>
        <v/>
      </c>
      <c r="AA1334" s="73" t="str">
        <f t="shared" si="350"/>
        <v/>
      </c>
      <c r="AB1334" s="19" t="str">
        <f t="shared" si="351"/>
        <v/>
      </c>
      <c r="AC1334" s="73" t="str">
        <f t="shared" si="352"/>
        <v/>
      </c>
      <c r="AD1334" s="19" t="str">
        <f t="shared" si="353"/>
        <v/>
      </c>
      <c r="AE1334" s="19" t="str">
        <f t="shared" si="354"/>
        <v/>
      </c>
      <c r="AF1334" s="19" t="str">
        <f>IF($D1334&lt;&gt;1,"",IF(INDEX(TblClusters[Environnement],$B1334)="","(vide)",INDEX(TblClusters[Environnement],$B1334)))</f>
        <v/>
      </c>
      <c r="AG1334" s="19" t="str">
        <f t="shared" si="355"/>
        <v/>
      </c>
      <c r="AH1334" s="19" t="str">
        <f t="shared" si="356"/>
        <v/>
      </c>
      <c r="AI1334" s="19" t="str">
        <f>IF($D1334&lt;&gt;1,"",IF(AND($G1334="IKS",ISNUMBER(INDEX(TblClusters[Fermeture retenue],$B1334))),IF($E1334&gt;=INDEX(TblClusters[Fermeture retenue],$B1334),1,0),0))</f>
        <v/>
      </c>
    </row>
    <row r="1335" spans="1:35" x14ac:dyDescent="0.2">
      <c r="A1335" s="19">
        <v>1330</v>
      </c>
      <c r="B1335" s="19">
        <f t="shared" si="340"/>
        <v>37</v>
      </c>
      <c r="C1335" s="19">
        <f t="shared" si="341"/>
        <v>34</v>
      </c>
      <c r="D1335" s="19">
        <f>IF($C1335&gt;p_horizon,0,IFERROR(IF(AND(INDEX(TblClusters[Cluster],$B1335)&lt;&gt;"",ISNUMBER(INDEX(TblClusters[CPU initial (vCPU)],$B1335)),ISNUMBER(INDEX(TblClusters[CPU min (vCPU)],$B1335)),OR(INDEX(TblClusters[Plateforme],$B1335)="IKS",INDEX(TblClusters[Plateforme],$B1335)="ROKS")),1,0),0))</f>
        <v>0</v>
      </c>
      <c r="E1335" s="72" t="str">
        <f t="shared" si="342"/>
        <v/>
      </c>
      <c r="F1335" s="19" t="str">
        <f>IF($D1335=1,INDEX(TblClusters[Cluster],$B1335),"")</f>
        <v/>
      </c>
      <c r="G1335" s="19" t="str">
        <f>IF($D1335=1,INDEX(TblClusters[Plateforme],$B1335),"")</f>
        <v/>
      </c>
      <c r="H1335" s="19" t="str">
        <f>IF($D1335=1,INDEX(TblClusters[vCPU par nœud],$B1335),"")</f>
        <v/>
      </c>
      <c r="I1335" s="19" t="str">
        <f>IF($D1335=1,INDEX(TblClusters[RAM par nœud (Go)],$B1335),"")</f>
        <v/>
      </c>
      <c r="J1335" s="19" t="str">
        <f>IF($D1335=1,INDEX(TblClusters[Workers min],$B1335),"")</f>
        <v/>
      </c>
      <c r="K1335" s="73" t="str">
        <f>IF($D1335=1,INDEX(TblClusters[Tarif par nœud],$B1335),"")</f>
        <v/>
      </c>
      <c r="L1335" s="19" t="str">
        <f>IF($D1335=1,INDEX(TblClusters[CPU initial (vCPU)],$B1335),"")</f>
        <v/>
      </c>
      <c r="M1335" s="19" t="str">
        <f>IF($D1335=1,INDEX(TblClusters[RAM initiale (Go)],$B1335),"")</f>
        <v/>
      </c>
      <c r="N1335" s="19" t="str">
        <f>IF($D1335=1,INDEX(TblClusters[CPU min (vCPU)],$B1335),"")</f>
        <v/>
      </c>
      <c r="O1335" s="19" t="str">
        <f>IF($D1335=1,INDEX(TblClusters[RAM min (Go)],$B1335),"")</f>
        <v/>
      </c>
      <c r="P1335" s="19" t="str">
        <f>IF($D1335&lt;&gt;1,"",IF($G1335="ROKS",SUMIFS(TblApplications[Besoin ROKS CPU (vCPU)],TblApplications[Cluster ROKS cible],$F1335,TblApplications[Action],"À migrer",TblApplications[Déjà incluse ROKS],"Non",TblApplications[Mois prov (calc)],"&lt;="&amp;$E1335),SUMIFS(TblApplications[CPU IKS libérable (vCPU)],TblApplications[Cluster IKS source],$F1335,TblApplications[Mois lib (calc)],"&lt;="&amp;$E1335)))</f>
        <v/>
      </c>
      <c r="Q1335" s="19" t="str">
        <f>IF($D1335&lt;&gt;1,"",IF($G1335="ROKS",SUMIFS(TblApplications[Besoin ROKS RAM (Go)],TblApplications[Cluster ROKS cible],$F1335,TblApplications[Action],"À migrer",TblApplications[Déjà incluse ROKS],"Non",TblApplications[Mois prov (calc)],"&lt;="&amp;$E1335),SUMIFS(TblApplications[RAM IKS libérable (Go)],TblApplications[Cluster IKS source],$F1335,TblApplications[Mois lib (calc)],"&lt;="&amp;$E1335)))</f>
        <v/>
      </c>
      <c r="R1335" s="19" t="str">
        <f t="shared" si="343"/>
        <v/>
      </c>
      <c r="S1335" s="19" t="str">
        <f t="shared" si="344"/>
        <v/>
      </c>
      <c r="T1335" s="19" t="str">
        <f t="shared" si="345"/>
        <v/>
      </c>
      <c r="U1335" s="19" t="str">
        <f t="shared" si="346"/>
        <v/>
      </c>
      <c r="V1335" s="19" t="str">
        <f t="shared" si="347"/>
        <v/>
      </c>
      <c r="W1335" s="73" t="str">
        <f t="shared" si="348"/>
        <v/>
      </c>
      <c r="X1335" s="19" t="str">
        <f>IF($D1335&lt;&gt;1,"",IF($G1335="ROKS",$R1335,IF($AI1335=1,0,MAX($N1335,$L1335-SUMIFS(TblApplications[CPU IKS libérable (vCPU)],TblApplications[Cluster IKS source],$F1335,TblApplications[Action],"À migrer",TblApplications[Mois prov (calc)],"&lt;="&amp;$E1335)-SUMIFS(TblApplications[CPU IKS libérable (vCPU)],TblApplications[Cluster IKS source],$F1335,TblApplications[Action],"À décommissionner",TblApplications[Mois lib (calc)],"&lt;="&amp;$E1335)))))</f>
        <v/>
      </c>
      <c r="Y1335" s="19" t="str">
        <f>IF($D1335&lt;&gt;1,"",IF($G1335="ROKS",$S1335,IF($AI1335=1,0,MAX($O1335,$M1335-SUMIFS(TblApplications[RAM IKS libérable (Go)],TblApplications[Cluster IKS source],$F1335,TblApplications[Action],"À migrer",TblApplications[Mois prov (calc)],"&lt;="&amp;$E1335)-SUMIFS(TblApplications[RAM IKS libérable (Go)],TblApplications[Cluster IKS source],$F1335,TblApplications[Action],"À décommissionner",TblApplications[Mois lib (calc)],"&lt;="&amp;$E1335)))))</f>
        <v/>
      </c>
      <c r="Z1335" s="19" t="str">
        <f t="shared" si="349"/>
        <v/>
      </c>
      <c r="AA1335" s="73" t="str">
        <f t="shared" si="350"/>
        <v/>
      </c>
      <c r="AB1335" s="19" t="str">
        <f t="shared" si="351"/>
        <v/>
      </c>
      <c r="AC1335" s="73" t="str">
        <f t="shared" si="352"/>
        <v/>
      </c>
      <c r="AD1335" s="19" t="str">
        <f t="shared" si="353"/>
        <v/>
      </c>
      <c r="AE1335" s="19" t="str">
        <f t="shared" si="354"/>
        <v/>
      </c>
      <c r="AF1335" s="19" t="str">
        <f>IF($D1335&lt;&gt;1,"",IF(INDEX(TblClusters[Environnement],$B1335)="","(vide)",INDEX(TblClusters[Environnement],$B1335)))</f>
        <v/>
      </c>
      <c r="AG1335" s="19" t="str">
        <f t="shared" si="355"/>
        <v/>
      </c>
      <c r="AH1335" s="19" t="str">
        <f t="shared" si="356"/>
        <v/>
      </c>
      <c r="AI1335" s="19" t="str">
        <f>IF($D1335&lt;&gt;1,"",IF(AND($G1335="IKS",ISNUMBER(INDEX(TblClusters[Fermeture retenue],$B1335))),IF($E1335&gt;=INDEX(TblClusters[Fermeture retenue],$B1335),1,0),0))</f>
        <v/>
      </c>
    </row>
    <row r="1336" spans="1:35" x14ac:dyDescent="0.2">
      <c r="A1336" s="19">
        <v>1331</v>
      </c>
      <c r="B1336" s="19">
        <f t="shared" si="340"/>
        <v>37</v>
      </c>
      <c r="C1336" s="19">
        <f t="shared" si="341"/>
        <v>35</v>
      </c>
      <c r="D1336" s="19">
        <f>IF($C1336&gt;p_horizon,0,IFERROR(IF(AND(INDEX(TblClusters[Cluster],$B1336)&lt;&gt;"",ISNUMBER(INDEX(TblClusters[CPU initial (vCPU)],$B1336)),ISNUMBER(INDEX(TblClusters[CPU min (vCPU)],$B1336)),OR(INDEX(TblClusters[Plateforme],$B1336)="IKS",INDEX(TblClusters[Plateforme],$B1336)="ROKS")),1,0),0))</f>
        <v>0</v>
      </c>
      <c r="E1336" s="72" t="str">
        <f t="shared" si="342"/>
        <v/>
      </c>
      <c r="F1336" s="19" t="str">
        <f>IF($D1336=1,INDEX(TblClusters[Cluster],$B1336),"")</f>
        <v/>
      </c>
      <c r="G1336" s="19" t="str">
        <f>IF($D1336=1,INDEX(TblClusters[Plateforme],$B1336),"")</f>
        <v/>
      </c>
      <c r="H1336" s="19" t="str">
        <f>IF($D1336=1,INDEX(TblClusters[vCPU par nœud],$B1336),"")</f>
        <v/>
      </c>
      <c r="I1336" s="19" t="str">
        <f>IF($D1336=1,INDEX(TblClusters[RAM par nœud (Go)],$B1336),"")</f>
        <v/>
      </c>
      <c r="J1336" s="19" t="str">
        <f>IF($D1336=1,INDEX(TblClusters[Workers min],$B1336),"")</f>
        <v/>
      </c>
      <c r="K1336" s="73" t="str">
        <f>IF($D1336=1,INDEX(TblClusters[Tarif par nœud],$B1336),"")</f>
        <v/>
      </c>
      <c r="L1336" s="19" t="str">
        <f>IF($D1336=1,INDEX(TblClusters[CPU initial (vCPU)],$B1336),"")</f>
        <v/>
      </c>
      <c r="M1336" s="19" t="str">
        <f>IF($D1336=1,INDEX(TblClusters[RAM initiale (Go)],$B1336),"")</f>
        <v/>
      </c>
      <c r="N1336" s="19" t="str">
        <f>IF($D1336=1,INDEX(TblClusters[CPU min (vCPU)],$B1336),"")</f>
        <v/>
      </c>
      <c r="O1336" s="19" t="str">
        <f>IF($D1336=1,INDEX(TblClusters[RAM min (Go)],$B1336),"")</f>
        <v/>
      </c>
      <c r="P1336" s="19" t="str">
        <f>IF($D1336&lt;&gt;1,"",IF($G1336="ROKS",SUMIFS(TblApplications[Besoin ROKS CPU (vCPU)],TblApplications[Cluster ROKS cible],$F1336,TblApplications[Action],"À migrer",TblApplications[Déjà incluse ROKS],"Non",TblApplications[Mois prov (calc)],"&lt;="&amp;$E1336),SUMIFS(TblApplications[CPU IKS libérable (vCPU)],TblApplications[Cluster IKS source],$F1336,TblApplications[Mois lib (calc)],"&lt;="&amp;$E1336)))</f>
        <v/>
      </c>
      <c r="Q1336" s="19" t="str">
        <f>IF($D1336&lt;&gt;1,"",IF($G1336="ROKS",SUMIFS(TblApplications[Besoin ROKS RAM (Go)],TblApplications[Cluster ROKS cible],$F1336,TblApplications[Action],"À migrer",TblApplications[Déjà incluse ROKS],"Non",TblApplications[Mois prov (calc)],"&lt;="&amp;$E1336),SUMIFS(TblApplications[RAM IKS libérable (Go)],TblApplications[Cluster IKS source],$F1336,TblApplications[Mois lib (calc)],"&lt;="&amp;$E1336)))</f>
        <v/>
      </c>
      <c r="R1336" s="19" t="str">
        <f t="shared" si="343"/>
        <v/>
      </c>
      <c r="S1336" s="19" t="str">
        <f t="shared" si="344"/>
        <v/>
      </c>
      <c r="T1336" s="19" t="str">
        <f t="shared" si="345"/>
        <v/>
      </c>
      <c r="U1336" s="19" t="str">
        <f t="shared" si="346"/>
        <v/>
      </c>
      <c r="V1336" s="19" t="str">
        <f t="shared" si="347"/>
        <v/>
      </c>
      <c r="W1336" s="73" t="str">
        <f t="shared" si="348"/>
        <v/>
      </c>
      <c r="X1336" s="19" t="str">
        <f>IF($D1336&lt;&gt;1,"",IF($G1336="ROKS",$R1336,IF($AI1336=1,0,MAX($N1336,$L1336-SUMIFS(TblApplications[CPU IKS libérable (vCPU)],TblApplications[Cluster IKS source],$F1336,TblApplications[Action],"À migrer",TblApplications[Mois prov (calc)],"&lt;="&amp;$E1336)-SUMIFS(TblApplications[CPU IKS libérable (vCPU)],TblApplications[Cluster IKS source],$F1336,TblApplications[Action],"À décommissionner",TblApplications[Mois lib (calc)],"&lt;="&amp;$E1336)))))</f>
        <v/>
      </c>
      <c r="Y1336" s="19" t="str">
        <f>IF($D1336&lt;&gt;1,"",IF($G1336="ROKS",$S1336,IF($AI1336=1,0,MAX($O1336,$M1336-SUMIFS(TblApplications[RAM IKS libérable (Go)],TblApplications[Cluster IKS source],$F1336,TblApplications[Action],"À migrer",TblApplications[Mois prov (calc)],"&lt;="&amp;$E1336)-SUMIFS(TblApplications[RAM IKS libérable (Go)],TblApplications[Cluster IKS source],$F1336,TblApplications[Action],"À décommissionner",TblApplications[Mois lib (calc)],"&lt;="&amp;$E1336)))))</f>
        <v/>
      </c>
      <c r="Z1336" s="19" t="str">
        <f t="shared" si="349"/>
        <v/>
      </c>
      <c r="AA1336" s="73" t="str">
        <f t="shared" si="350"/>
        <v/>
      </c>
      <c r="AB1336" s="19" t="str">
        <f t="shared" si="351"/>
        <v/>
      </c>
      <c r="AC1336" s="73" t="str">
        <f t="shared" si="352"/>
        <v/>
      </c>
      <c r="AD1336" s="19" t="str">
        <f t="shared" si="353"/>
        <v/>
      </c>
      <c r="AE1336" s="19" t="str">
        <f t="shared" si="354"/>
        <v/>
      </c>
      <c r="AF1336" s="19" t="str">
        <f>IF($D1336&lt;&gt;1,"",IF(INDEX(TblClusters[Environnement],$B1336)="","(vide)",INDEX(TblClusters[Environnement],$B1336)))</f>
        <v/>
      </c>
      <c r="AG1336" s="19" t="str">
        <f t="shared" si="355"/>
        <v/>
      </c>
      <c r="AH1336" s="19" t="str">
        <f t="shared" si="356"/>
        <v/>
      </c>
      <c r="AI1336" s="19" t="str">
        <f>IF($D1336&lt;&gt;1,"",IF(AND($G1336="IKS",ISNUMBER(INDEX(TblClusters[Fermeture retenue],$B1336))),IF($E1336&gt;=INDEX(TblClusters[Fermeture retenue],$B1336),1,0),0))</f>
        <v/>
      </c>
    </row>
    <row r="1337" spans="1:35" x14ac:dyDescent="0.2">
      <c r="A1337" s="19">
        <v>1332</v>
      </c>
      <c r="B1337" s="19">
        <f t="shared" si="340"/>
        <v>37</v>
      </c>
      <c r="C1337" s="19">
        <f t="shared" si="341"/>
        <v>36</v>
      </c>
      <c r="D1337" s="19">
        <f>IF($C1337&gt;p_horizon,0,IFERROR(IF(AND(INDEX(TblClusters[Cluster],$B1337)&lt;&gt;"",ISNUMBER(INDEX(TblClusters[CPU initial (vCPU)],$B1337)),ISNUMBER(INDEX(TblClusters[CPU min (vCPU)],$B1337)),OR(INDEX(TblClusters[Plateforme],$B1337)="IKS",INDEX(TblClusters[Plateforme],$B1337)="ROKS")),1,0),0))</f>
        <v>0</v>
      </c>
      <c r="E1337" s="72" t="str">
        <f t="shared" si="342"/>
        <v/>
      </c>
      <c r="F1337" s="19" t="str">
        <f>IF($D1337=1,INDEX(TblClusters[Cluster],$B1337),"")</f>
        <v/>
      </c>
      <c r="G1337" s="19" t="str">
        <f>IF($D1337=1,INDEX(TblClusters[Plateforme],$B1337),"")</f>
        <v/>
      </c>
      <c r="H1337" s="19" t="str">
        <f>IF($D1337=1,INDEX(TblClusters[vCPU par nœud],$B1337),"")</f>
        <v/>
      </c>
      <c r="I1337" s="19" t="str">
        <f>IF($D1337=1,INDEX(TblClusters[RAM par nœud (Go)],$B1337),"")</f>
        <v/>
      </c>
      <c r="J1337" s="19" t="str">
        <f>IF($D1337=1,INDEX(TblClusters[Workers min],$B1337),"")</f>
        <v/>
      </c>
      <c r="K1337" s="73" t="str">
        <f>IF($D1337=1,INDEX(TblClusters[Tarif par nœud],$B1337),"")</f>
        <v/>
      </c>
      <c r="L1337" s="19" t="str">
        <f>IF($D1337=1,INDEX(TblClusters[CPU initial (vCPU)],$B1337),"")</f>
        <v/>
      </c>
      <c r="M1337" s="19" t="str">
        <f>IF($D1337=1,INDEX(TblClusters[RAM initiale (Go)],$B1337),"")</f>
        <v/>
      </c>
      <c r="N1337" s="19" t="str">
        <f>IF($D1337=1,INDEX(TblClusters[CPU min (vCPU)],$B1337),"")</f>
        <v/>
      </c>
      <c r="O1337" s="19" t="str">
        <f>IF($D1337=1,INDEX(TblClusters[RAM min (Go)],$B1337),"")</f>
        <v/>
      </c>
      <c r="P1337" s="19" t="str">
        <f>IF($D1337&lt;&gt;1,"",IF($G1337="ROKS",SUMIFS(TblApplications[Besoin ROKS CPU (vCPU)],TblApplications[Cluster ROKS cible],$F1337,TblApplications[Action],"À migrer",TblApplications[Déjà incluse ROKS],"Non",TblApplications[Mois prov (calc)],"&lt;="&amp;$E1337),SUMIFS(TblApplications[CPU IKS libérable (vCPU)],TblApplications[Cluster IKS source],$F1337,TblApplications[Mois lib (calc)],"&lt;="&amp;$E1337)))</f>
        <v/>
      </c>
      <c r="Q1337" s="19" t="str">
        <f>IF($D1337&lt;&gt;1,"",IF($G1337="ROKS",SUMIFS(TblApplications[Besoin ROKS RAM (Go)],TblApplications[Cluster ROKS cible],$F1337,TblApplications[Action],"À migrer",TblApplications[Déjà incluse ROKS],"Non",TblApplications[Mois prov (calc)],"&lt;="&amp;$E1337),SUMIFS(TblApplications[RAM IKS libérable (Go)],TblApplications[Cluster IKS source],$F1337,TblApplications[Mois lib (calc)],"&lt;="&amp;$E1337)))</f>
        <v/>
      </c>
      <c r="R1337" s="19" t="str">
        <f t="shared" si="343"/>
        <v/>
      </c>
      <c r="S1337" s="19" t="str">
        <f t="shared" si="344"/>
        <v/>
      </c>
      <c r="T1337" s="19" t="str">
        <f t="shared" si="345"/>
        <v/>
      </c>
      <c r="U1337" s="19" t="str">
        <f t="shared" si="346"/>
        <v/>
      </c>
      <c r="V1337" s="19" t="str">
        <f t="shared" si="347"/>
        <v/>
      </c>
      <c r="W1337" s="73" t="str">
        <f t="shared" si="348"/>
        <v/>
      </c>
      <c r="X1337" s="19" t="str">
        <f>IF($D1337&lt;&gt;1,"",IF($G1337="ROKS",$R1337,IF($AI1337=1,0,MAX($N1337,$L1337-SUMIFS(TblApplications[CPU IKS libérable (vCPU)],TblApplications[Cluster IKS source],$F1337,TblApplications[Action],"À migrer",TblApplications[Mois prov (calc)],"&lt;="&amp;$E1337)-SUMIFS(TblApplications[CPU IKS libérable (vCPU)],TblApplications[Cluster IKS source],$F1337,TblApplications[Action],"À décommissionner",TblApplications[Mois lib (calc)],"&lt;="&amp;$E1337)))))</f>
        <v/>
      </c>
      <c r="Y1337" s="19" t="str">
        <f>IF($D1337&lt;&gt;1,"",IF($G1337="ROKS",$S1337,IF($AI1337=1,0,MAX($O1337,$M1337-SUMIFS(TblApplications[RAM IKS libérable (Go)],TblApplications[Cluster IKS source],$F1337,TblApplications[Action],"À migrer",TblApplications[Mois prov (calc)],"&lt;="&amp;$E1337)-SUMIFS(TblApplications[RAM IKS libérable (Go)],TblApplications[Cluster IKS source],$F1337,TblApplications[Action],"À décommissionner",TblApplications[Mois lib (calc)],"&lt;="&amp;$E1337)))))</f>
        <v/>
      </c>
      <c r="Z1337" s="19" t="str">
        <f t="shared" si="349"/>
        <v/>
      </c>
      <c r="AA1337" s="73" t="str">
        <f t="shared" si="350"/>
        <v/>
      </c>
      <c r="AB1337" s="19" t="str">
        <f t="shared" si="351"/>
        <v/>
      </c>
      <c r="AC1337" s="73" t="str">
        <f t="shared" si="352"/>
        <v/>
      </c>
      <c r="AD1337" s="19" t="str">
        <f t="shared" si="353"/>
        <v/>
      </c>
      <c r="AE1337" s="19" t="str">
        <f t="shared" si="354"/>
        <v/>
      </c>
      <c r="AF1337" s="19" t="str">
        <f>IF($D1337&lt;&gt;1,"",IF(INDEX(TblClusters[Environnement],$B1337)="","(vide)",INDEX(TblClusters[Environnement],$B1337)))</f>
        <v/>
      </c>
      <c r="AG1337" s="19" t="str">
        <f t="shared" si="355"/>
        <v/>
      </c>
      <c r="AH1337" s="19" t="str">
        <f t="shared" si="356"/>
        <v/>
      </c>
      <c r="AI1337" s="19" t="str">
        <f>IF($D1337&lt;&gt;1,"",IF(AND($G1337="IKS",ISNUMBER(INDEX(TblClusters[Fermeture retenue],$B1337))),IF($E1337&gt;=INDEX(TblClusters[Fermeture retenue],$B1337),1,0),0))</f>
        <v/>
      </c>
    </row>
    <row r="1338" spans="1:35" x14ac:dyDescent="0.2">
      <c r="A1338" s="19">
        <v>1333</v>
      </c>
      <c r="B1338" s="19">
        <f t="shared" si="340"/>
        <v>38</v>
      </c>
      <c r="C1338" s="19">
        <f t="shared" si="341"/>
        <v>1</v>
      </c>
      <c r="D1338" s="19">
        <f>IF($C1338&gt;p_horizon,0,IFERROR(IF(AND(INDEX(TblClusters[Cluster],$B1338)&lt;&gt;"",ISNUMBER(INDEX(TblClusters[CPU initial (vCPU)],$B1338)),ISNUMBER(INDEX(TblClusters[CPU min (vCPU)],$B1338)),OR(INDEX(TblClusters[Plateforme],$B1338)="IKS",INDEX(TblClusters[Plateforme],$B1338)="ROKS")),1,0),0))</f>
        <v>0</v>
      </c>
      <c r="E1338" s="72" t="str">
        <f t="shared" si="342"/>
        <v/>
      </c>
      <c r="F1338" s="19" t="str">
        <f>IF($D1338=1,INDEX(TblClusters[Cluster],$B1338),"")</f>
        <v/>
      </c>
      <c r="G1338" s="19" t="str">
        <f>IF($D1338=1,INDEX(TblClusters[Plateforme],$B1338),"")</f>
        <v/>
      </c>
      <c r="H1338" s="19" t="str">
        <f>IF($D1338=1,INDEX(TblClusters[vCPU par nœud],$B1338),"")</f>
        <v/>
      </c>
      <c r="I1338" s="19" t="str">
        <f>IF($D1338=1,INDEX(TblClusters[RAM par nœud (Go)],$B1338),"")</f>
        <v/>
      </c>
      <c r="J1338" s="19" t="str">
        <f>IF($D1338=1,INDEX(TblClusters[Workers min],$B1338),"")</f>
        <v/>
      </c>
      <c r="K1338" s="73" t="str">
        <f>IF($D1338=1,INDEX(TblClusters[Tarif par nœud],$B1338),"")</f>
        <v/>
      </c>
      <c r="L1338" s="19" t="str">
        <f>IF($D1338=1,INDEX(TblClusters[CPU initial (vCPU)],$B1338),"")</f>
        <v/>
      </c>
      <c r="M1338" s="19" t="str">
        <f>IF($D1338=1,INDEX(TblClusters[RAM initiale (Go)],$B1338),"")</f>
        <v/>
      </c>
      <c r="N1338" s="19" t="str">
        <f>IF($D1338=1,INDEX(TblClusters[CPU min (vCPU)],$B1338),"")</f>
        <v/>
      </c>
      <c r="O1338" s="19" t="str">
        <f>IF($D1338=1,INDEX(TblClusters[RAM min (Go)],$B1338),"")</f>
        <v/>
      </c>
      <c r="P1338" s="19" t="str">
        <f>IF($D1338&lt;&gt;1,"",IF($G1338="ROKS",SUMIFS(TblApplications[Besoin ROKS CPU (vCPU)],TblApplications[Cluster ROKS cible],$F1338,TblApplications[Action],"À migrer",TblApplications[Déjà incluse ROKS],"Non",TblApplications[Mois prov (calc)],"&lt;="&amp;$E1338),SUMIFS(TblApplications[CPU IKS libérable (vCPU)],TblApplications[Cluster IKS source],$F1338,TblApplications[Mois lib (calc)],"&lt;="&amp;$E1338)))</f>
        <v/>
      </c>
      <c r="Q1338" s="19" t="str">
        <f>IF($D1338&lt;&gt;1,"",IF($G1338="ROKS",SUMIFS(TblApplications[Besoin ROKS RAM (Go)],TblApplications[Cluster ROKS cible],$F1338,TblApplications[Action],"À migrer",TblApplications[Déjà incluse ROKS],"Non",TblApplications[Mois prov (calc)],"&lt;="&amp;$E1338),SUMIFS(TblApplications[RAM IKS libérable (Go)],TblApplications[Cluster IKS source],$F1338,TblApplications[Mois lib (calc)],"&lt;="&amp;$E1338)))</f>
        <v/>
      </c>
      <c r="R1338" s="19" t="str">
        <f t="shared" si="343"/>
        <v/>
      </c>
      <c r="S1338" s="19" t="str">
        <f t="shared" si="344"/>
        <v/>
      </c>
      <c r="T1338" s="19" t="str">
        <f t="shared" si="345"/>
        <v/>
      </c>
      <c r="U1338" s="19" t="str">
        <f t="shared" si="346"/>
        <v/>
      </c>
      <c r="V1338" s="19" t="str">
        <f t="shared" si="347"/>
        <v/>
      </c>
      <c r="W1338" s="73" t="str">
        <f t="shared" si="348"/>
        <v/>
      </c>
      <c r="X1338" s="19" t="str">
        <f>IF($D1338&lt;&gt;1,"",IF($G1338="ROKS",$R1338,IF($AI1338=1,0,MAX($N1338,$L1338-SUMIFS(TblApplications[CPU IKS libérable (vCPU)],TblApplications[Cluster IKS source],$F1338,TblApplications[Action],"À migrer",TblApplications[Mois prov (calc)],"&lt;="&amp;$E1338)-SUMIFS(TblApplications[CPU IKS libérable (vCPU)],TblApplications[Cluster IKS source],$F1338,TblApplications[Action],"À décommissionner",TblApplications[Mois lib (calc)],"&lt;="&amp;$E1338)))))</f>
        <v/>
      </c>
      <c r="Y1338" s="19" t="str">
        <f>IF($D1338&lt;&gt;1,"",IF($G1338="ROKS",$S1338,IF($AI1338=1,0,MAX($O1338,$M1338-SUMIFS(TblApplications[RAM IKS libérable (Go)],TblApplications[Cluster IKS source],$F1338,TblApplications[Action],"À migrer",TblApplications[Mois prov (calc)],"&lt;="&amp;$E1338)-SUMIFS(TblApplications[RAM IKS libérable (Go)],TblApplications[Cluster IKS source],$F1338,TblApplications[Action],"À décommissionner",TblApplications[Mois lib (calc)],"&lt;="&amp;$E1338)))))</f>
        <v/>
      </c>
      <c r="Z1338" s="19" t="str">
        <f t="shared" si="349"/>
        <v/>
      </c>
      <c r="AA1338" s="73" t="str">
        <f t="shared" si="350"/>
        <v/>
      </c>
      <c r="AB1338" s="19" t="str">
        <f t="shared" si="351"/>
        <v/>
      </c>
      <c r="AC1338" s="73" t="str">
        <f t="shared" si="352"/>
        <v/>
      </c>
      <c r="AD1338" s="19" t="str">
        <f t="shared" si="353"/>
        <v/>
      </c>
      <c r="AE1338" s="19" t="str">
        <f t="shared" si="354"/>
        <v/>
      </c>
      <c r="AF1338" s="19" t="str">
        <f>IF($D1338&lt;&gt;1,"",IF(INDEX(TblClusters[Environnement],$B1338)="","(vide)",INDEX(TblClusters[Environnement],$B1338)))</f>
        <v/>
      </c>
      <c r="AG1338" s="19" t="str">
        <f t="shared" si="355"/>
        <v/>
      </c>
      <c r="AH1338" s="19" t="str">
        <f t="shared" si="356"/>
        <v/>
      </c>
      <c r="AI1338" s="19" t="str">
        <f>IF($D1338&lt;&gt;1,"",IF(AND($G1338="IKS",ISNUMBER(INDEX(TblClusters[Fermeture retenue],$B1338))),IF($E1338&gt;=INDEX(TblClusters[Fermeture retenue],$B1338),1,0),0))</f>
        <v/>
      </c>
    </row>
    <row r="1339" spans="1:35" x14ac:dyDescent="0.2">
      <c r="A1339" s="19">
        <v>1334</v>
      </c>
      <c r="B1339" s="19">
        <f t="shared" si="340"/>
        <v>38</v>
      </c>
      <c r="C1339" s="19">
        <f t="shared" si="341"/>
        <v>2</v>
      </c>
      <c r="D1339" s="19">
        <f>IF($C1339&gt;p_horizon,0,IFERROR(IF(AND(INDEX(TblClusters[Cluster],$B1339)&lt;&gt;"",ISNUMBER(INDEX(TblClusters[CPU initial (vCPU)],$B1339)),ISNUMBER(INDEX(TblClusters[CPU min (vCPU)],$B1339)),OR(INDEX(TblClusters[Plateforme],$B1339)="IKS",INDEX(TblClusters[Plateforme],$B1339)="ROKS")),1,0),0))</f>
        <v>0</v>
      </c>
      <c r="E1339" s="72" t="str">
        <f t="shared" si="342"/>
        <v/>
      </c>
      <c r="F1339" s="19" t="str">
        <f>IF($D1339=1,INDEX(TblClusters[Cluster],$B1339),"")</f>
        <v/>
      </c>
      <c r="G1339" s="19" t="str">
        <f>IF($D1339=1,INDEX(TblClusters[Plateforme],$B1339),"")</f>
        <v/>
      </c>
      <c r="H1339" s="19" t="str">
        <f>IF($D1339=1,INDEX(TblClusters[vCPU par nœud],$B1339),"")</f>
        <v/>
      </c>
      <c r="I1339" s="19" t="str">
        <f>IF($D1339=1,INDEX(TblClusters[RAM par nœud (Go)],$B1339),"")</f>
        <v/>
      </c>
      <c r="J1339" s="19" t="str">
        <f>IF($D1339=1,INDEX(TblClusters[Workers min],$B1339),"")</f>
        <v/>
      </c>
      <c r="K1339" s="73" t="str">
        <f>IF($D1339=1,INDEX(TblClusters[Tarif par nœud],$B1339),"")</f>
        <v/>
      </c>
      <c r="L1339" s="19" t="str">
        <f>IF($D1339=1,INDEX(TblClusters[CPU initial (vCPU)],$B1339),"")</f>
        <v/>
      </c>
      <c r="M1339" s="19" t="str">
        <f>IF($D1339=1,INDEX(TblClusters[RAM initiale (Go)],$B1339),"")</f>
        <v/>
      </c>
      <c r="N1339" s="19" t="str">
        <f>IF($D1339=1,INDEX(TblClusters[CPU min (vCPU)],$B1339),"")</f>
        <v/>
      </c>
      <c r="O1339" s="19" t="str">
        <f>IF($D1339=1,INDEX(TblClusters[RAM min (Go)],$B1339),"")</f>
        <v/>
      </c>
      <c r="P1339" s="19" t="str">
        <f>IF($D1339&lt;&gt;1,"",IF($G1339="ROKS",SUMIFS(TblApplications[Besoin ROKS CPU (vCPU)],TblApplications[Cluster ROKS cible],$F1339,TblApplications[Action],"À migrer",TblApplications[Déjà incluse ROKS],"Non",TblApplications[Mois prov (calc)],"&lt;="&amp;$E1339),SUMIFS(TblApplications[CPU IKS libérable (vCPU)],TblApplications[Cluster IKS source],$F1339,TblApplications[Mois lib (calc)],"&lt;="&amp;$E1339)))</f>
        <v/>
      </c>
      <c r="Q1339" s="19" t="str">
        <f>IF($D1339&lt;&gt;1,"",IF($G1339="ROKS",SUMIFS(TblApplications[Besoin ROKS RAM (Go)],TblApplications[Cluster ROKS cible],$F1339,TblApplications[Action],"À migrer",TblApplications[Déjà incluse ROKS],"Non",TblApplications[Mois prov (calc)],"&lt;="&amp;$E1339),SUMIFS(TblApplications[RAM IKS libérable (Go)],TblApplications[Cluster IKS source],$F1339,TblApplications[Mois lib (calc)],"&lt;="&amp;$E1339)))</f>
        <v/>
      </c>
      <c r="R1339" s="19" t="str">
        <f t="shared" si="343"/>
        <v/>
      </c>
      <c r="S1339" s="19" t="str">
        <f t="shared" si="344"/>
        <v/>
      </c>
      <c r="T1339" s="19" t="str">
        <f t="shared" si="345"/>
        <v/>
      </c>
      <c r="U1339" s="19" t="str">
        <f t="shared" si="346"/>
        <v/>
      </c>
      <c r="V1339" s="19" t="str">
        <f t="shared" si="347"/>
        <v/>
      </c>
      <c r="W1339" s="73" t="str">
        <f t="shared" si="348"/>
        <v/>
      </c>
      <c r="X1339" s="19" t="str">
        <f>IF($D1339&lt;&gt;1,"",IF($G1339="ROKS",$R1339,IF($AI1339=1,0,MAX($N1339,$L1339-SUMIFS(TblApplications[CPU IKS libérable (vCPU)],TblApplications[Cluster IKS source],$F1339,TblApplications[Action],"À migrer",TblApplications[Mois prov (calc)],"&lt;="&amp;$E1339)-SUMIFS(TblApplications[CPU IKS libérable (vCPU)],TblApplications[Cluster IKS source],$F1339,TblApplications[Action],"À décommissionner",TblApplications[Mois lib (calc)],"&lt;="&amp;$E1339)))))</f>
        <v/>
      </c>
      <c r="Y1339" s="19" t="str">
        <f>IF($D1339&lt;&gt;1,"",IF($G1339="ROKS",$S1339,IF($AI1339=1,0,MAX($O1339,$M1339-SUMIFS(TblApplications[RAM IKS libérable (Go)],TblApplications[Cluster IKS source],$F1339,TblApplications[Action],"À migrer",TblApplications[Mois prov (calc)],"&lt;="&amp;$E1339)-SUMIFS(TblApplications[RAM IKS libérable (Go)],TblApplications[Cluster IKS source],$F1339,TblApplications[Action],"À décommissionner",TblApplications[Mois lib (calc)],"&lt;="&amp;$E1339)))))</f>
        <v/>
      </c>
      <c r="Z1339" s="19" t="str">
        <f t="shared" si="349"/>
        <v/>
      </c>
      <c r="AA1339" s="73" t="str">
        <f t="shared" si="350"/>
        <v/>
      </c>
      <c r="AB1339" s="19" t="str">
        <f t="shared" si="351"/>
        <v/>
      </c>
      <c r="AC1339" s="73" t="str">
        <f t="shared" si="352"/>
        <v/>
      </c>
      <c r="AD1339" s="19" t="str">
        <f t="shared" si="353"/>
        <v/>
      </c>
      <c r="AE1339" s="19" t="str">
        <f t="shared" si="354"/>
        <v/>
      </c>
      <c r="AF1339" s="19" t="str">
        <f>IF($D1339&lt;&gt;1,"",IF(INDEX(TblClusters[Environnement],$B1339)="","(vide)",INDEX(TblClusters[Environnement],$B1339)))</f>
        <v/>
      </c>
      <c r="AG1339" s="19" t="str">
        <f t="shared" si="355"/>
        <v/>
      </c>
      <c r="AH1339" s="19" t="str">
        <f t="shared" si="356"/>
        <v/>
      </c>
      <c r="AI1339" s="19" t="str">
        <f>IF($D1339&lt;&gt;1,"",IF(AND($G1339="IKS",ISNUMBER(INDEX(TblClusters[Fermeture retenue],$B1339))),IF($E1339&gt;=INDEX(TblClusters[Fermeture retenue],$B1339),1,0),0))</f>
        <v/>
      </c>
    </row>
    <row r="1340" spans="1:35" x14ac:dyDescent="0.2">
      <c r="A1340" s="19">
        <v>1335</v>
      </c>
      <c r="B1340" s="19">
        <f t="shared" si="340"/>
        <v>38</v>
      </c>
      <c r="C1340" s="19">
        <f t="shared" si="341"/>
        <v>3</v>
      </c>
      <c r="D1340" s="19">
        <f>IF($C1340&gt;p_horizon,0,IFERROR(IF(AND(INDEX(TblClusters[Cluster],$B1340)&lt;&gt;"",ISNUMBER(INDEX(TblClusters[CPU initial (vCPU)],$B1340)),ISNUMBER(INDEX(TblClusters[CPU min (vCPU)],$B1340)),OR(INDEX(TblClusters[Plateforme],$B1340)="IKS",INDEX(TblClusters[Plateforme],$B1340)="ROKS")),1,0),0))</f>
        <v>0</v>
      </c>
      <c r="E1340" s="72" t="str">
        <f t="shared" si="342"/>
        <v/>
      </c>
      <c r="F1340" s="19" t="str">
        <f>IF($D1340=1,INDEX(TblClusters[Cluster],$B1340),"")</f>
        <v/>
      </c>
      <c r="G1340" s="19" t="str">
        <f>IF($D1340=1,INDEX(TblClusters[Plateforme],$B1340),"")</f>
        <v/>
      </c>
      <c r="H1340" s="19" t="str">
        <f>IF($D1340=1,INDEX(TblClusters[vCPU par nœud],$B1340),"")</f>
        <v/>
      </c>
      <c r="I1340" s="19" t="str">
        <f>IF($D1340=1,INDEX(TblClusters[RAM par nœud (Go)],$B1340),"")</f>
        <v/>
      </c>
      <c r="J1340" s="19" t="str">
        <f>IF($D1340=1,INDEX(TblClusters[Workers min],$B1340),"")</f>
        <v/>
      </c>
      <c r="K1340" s="73" t="str">
        <f>IF($D1340=1,INDEX(TblClusters[Tarif par nœud],$B1340),"")</f>
        <v/>
      </c>
      <c r="L1340" s="19" t="str">
        <f>IF($D1340=1,INDEX(TblClusters[CPU initial (vCPU)],$B1340),"")</f>
        <v/>
      </c>
      <c r="M1340" s="19" t="str">
        <f>IF($D1340=1,INDEX(TblClusters[RAM initiale (Go)],$B1340),"")</f>
        <v/>
      </c>
      <c r="N1340" s="19" t="str">
        <f>IF($D1340=1,INDEX(TblClusters[CPU min (vCPU)],$B1340),"")</f>
        <v/>
      </c>
      <c r="O1340" s="19" t="str">
        <f>IF($D1340=1,INDEX(TblClusters[RAM min (Go)],$B1340),"")</f>
        <v/>
      </c>
      <c r="P1340" s="19" t="str">
        <f>IF($D1340&lt;&gt;1,"",IF($G1340="ROKS",SUMIFS(TblApplications[Besoin ROKS CPU (vCPU)],TblApplications[Cluster ROKS cible],$F1340,TblApplications[Action],"À migrer",TblApplications[Déjà incluse ROKS],"Non",TblApplications[Mois prov (calc)],"&lt;="&amp;$E1340),SUMIFS(TblApplications[CPU IKS libérable (vCPU)],TblApplications[Cluster IKS source],$F1340,TblApplications[Mois lib (calc)],"&lt;="&amp;$E1340)))</f>
        <v/>
      </c>
      <c r="Q1340" s="19" t="str">
        <f>IF($D1340&lt;&gt;1,"",IF($G1340="ROKS",SUMIFS(TblApplications[Besoin ROKS RAM (Go)],TblApplications[Cluster ROKS cible],$F1340,TblApplications[Action],"À migrer",TblApplications[Déjà incluse ROKS],"Non",TblApplications[Mois prov (calc)],"&lt;="&amp;$E1340),SUMIFS(TblApplications[RAM IKS libérable (Go)],TblApplications[Cluster IKS source],$F1340,TblApplications[Mois lib (calc)],"&lt;="&amp;$E1340)))</f>
        <v/>
      </c>
      <c r="R1340" s="19" t="str">
        <f t="shared" si="343"/>
        <v/>
      </c>
      <c r="S1340" s="19" t="str">
        <f t="shared" si="344"/>
        <v/>
      </c>
      <c r="T1340" s="19" t="str">
        <f t="shared" si="345"/>
        <v/>
      </c>
      <c r="U1340" s="19" t="str">
        <f t="shared" si="346"/>
        <v/>
      </c>
      <c r="V1340" s="19" t="str">
        <f t="shared" si="347"/>
        <v/>
      </c>
      <c r="W1340" s="73" t="str">
        <f t="shared" si="348"/>
        <v/>
      </c>
      <c r="X1340" s="19" t="str">
        <f>IF($D1340&lt;&gt;1,"",IF($G1340="ROKS",$R1340,IF($AI1340=1,0,MAX($N1340,$L1340-SUMIFS(TblApplications[CPU IKS libérable (vCPU)],TblApplications[Cluster IKS source],$F1340,TblApplications[Action],"À migrer",TblApplications[Mois prov (calc)],"&lt;="&amp;$E1340)-SUMIFS(TblApplications[CPU IKS libérable (vCPU)],TblApplications[Cluster IKS source],$F1340,TblApplications[Action],"À décommissionner",TblApplications[Mois lib (calc)],"&lt;="&amp;$E1340)))))</f>
        <v/>
      </c>
      <c r="Y1340" s="19" t="str">
        <f>IF($D1340&lt;&gt;1,"",IF($G1340="ROKS",$S1340,IF($AI1340=1,0,MAX($O1340,$M1340-SUMIFS(TblApplications[RAM IKS libérable (Go)],TblApplications[Cluster IKS source],$F1340,TblApplications[Action],"À migrer",TblApplications[Mois prov (calc)],"&lt;="&amp;$E1340)-SUMIFS(TblApplications[RAM IKS libérable (Go)],TblApplications[Cluster IKS source],$F1340,TblApplications[Action],"À décommissionner",TblApplications[Mois lib (calc)],"&lt;="&amp;$E1340)))))</f>
        <v/>
      </c>
      <c r="Z1340" s="19" t="str">
        <f t="shared" si="349"/>
        <v/>
      </c>
      <c r="AA1340" s="73" t="str">
        <f t="shared" si="350"/>
        <v/>
      </c>
      <c r="AB1340" s="19" t="str">
        <f t="shared" si="351"/>
        <v/>
      </c>
      <c r="AC1340" s="73" t="str">
        <f t="shared" si="352"/>
        <v/>
      </c>
      <c r="AD1340" s="19" t="str">
        <f t="shared" si="353"/>
        <v/>
      </c>
      <c r="AE1340" s="19" t="str">
        <f t="shared" si="354"/>
        <v/>
      </c>
      <c r="AF1340" s="19" t="str">
        <f>IF($D1340&lt;&gt;1,"",IF(INDEX(TblClusters[Environnement],$B1340)="","(vide)",INDEX(TblClusters[Environnement],$B1340)))</f>
        <v/>
      </c>
      <c r="AG1340" s="19" t="str">
        <f t="shared" si="355"/>
        <v/>
      </c>
      <c r="AH1340" s="19" t="str">
        <f t="shared" si="356"/>
        <v/>
      </c>
      <c r="AI1340" s="19" t="str">
        <f>IF($D1340&lt;&gt;1,"",IF(AND($G1340="IKS",ISNUMBER(INDEX(TblClusters[Fermeture retenue],$B1340))),IF($E1340&gt;=INDEX(TblClusters[Fermeture retenue],$B1340),1,0),0))</f>
        <v/>
      </c>
    </row>
    <row r="1341" spans="1:35" x14ac:dyDescent="0.2">
      <c r="A1341" s="19">
        <v>1336</v>
      </c>
      <c r="B1341" s="19">
        <f t="shared" si="340"/>
        <v>38</v>
      </c>
      <c r="C1341" s="19">
        <f t="shared" si="341"/>
        <v>4</v>
      </c>
      <c r="D1341" s="19">
        <f>IF($C1341&gt;p_horizon,0,IFERROR(IF(AND(INDEX(TblClusters[Cluster],$B1341)&lt;&gt;"",ISNUMBER(INDEX(TblClusters[CPU initial (vCPU)],$B1341)),ISNUMBER(INDEX(TblClusters[CPU min (vCPU)],$B1341)),OR(INDEX(TblClusters[Plateforme],$B1341)="IKS",INDEX(TblClusters[Plateforme],$B1341)="ROKS")),1,0),0))</f>
        <v>0</v>
      </c>
      <c r="E1341" s="72" t="str">
        <f t="shared" si="342"/>
        <v/>
      </c>
      <c r="F1341" s="19" t="str">
        <f>IF($D1341=1,INDEX(TblClusters[Cluster],$B1341),"")</f>
        <v/>
      </c>
      <c r="G1341" s="19" t="str">
        <f>IF($D1341=1,INDEX(TblClusters[Plateforme],$B1341),"")</f>
        <v/>
      </c>
      <c r="H1341" s="19" t="str">
        <f>IF($D1341=1,INDEX(TblClusters[vCPU par nœud],$B1341),"")</f>
        <v/>
      </c>
      <c r="I1341" s="19" t="str">
        <f>IF($D1341=1,INDEX(TblClusters[RAM par nœud (Go)],$B1341),"")</f>
        <v/>
      </c>
      <c r="J1341" s="19" t="str">
        <f>IF($D1341=1,INDEX(TblClusters[Workers min],$B1341),"")</f>
        <v/>
      </c>
      <c r="K1341" s="73" t="str">
        <f>IF($D1341=1,INDEX(TblClusters[Tarif par nœud],$B1341),"")</f>
        <v/>
      </c>
      <c r="L1341" s="19" t="str">
        <f>IF($D1341=1,INDEX(TblClusters[CPU initial (vCPU)],$B1341),"")</f>
        <v/>
      </c>
      <c r="M1341" s="19" t="str">
        <f>IF($D1341=1,INDEX(TblClusters[RAM initiale (Go)],$B1341),"")</f>
        <v/>
      </c>
      <c r="N1341" s="19" t="str">
        <f>IF($D1341=1,INDEX(TblClusters[CPU min (vCPU)],$B1341),"")</f>
        <v/>
      </c>
      <c r="O1341" s="19" t="str">
        <f>IF($D1341=1,INDEX(TblClusters[RAM min (Go)],$B1341),"")</f>
        <v/>
      </c>
      <c r="P1341" s="19" t="str">
        <f>IF($D1341&lt;&gt;1,"",IF($G1341="ROKS",SUMIFS(TblApplications[Besoin ROKS CPU (vCPU)],TblApplications[Cluster ROKS cible],$F1341,TblApplications[Action],"À migrer",TblApplications[Déjà incluse ROKS],"Non",TblApplications[Mois prov (calc)],"&lt;="&amp;$E1341),SUMIFS(TblApplications[CPU IKS libérable (vCPU)],TblApplications[Cluster IKS source],$F1341,TblApplications[Mois lib (calc)],"&lt;="&amp;$E1341)))</f>
        <v/>
      </c>
      <c r="Q1341" s="19" t="str">
        <f>IF($D1341&lt;&gt;1,"",IF($G1341="ROKS",SUMIFS(TblApplications[Besoin ROKS RAM (Go)],TblApplications[Cluster ROKS cible],$F1341,TblApplications[Action],"À migrer",TblApplications[Déjà incluse ROKS],"Non",TblApplications[Mois prov (calc)],"&lt;="&amp;$E1341),SUMIFS(TblApplications[RAM IKS libérable (Go)],TblApplications[Cluster IKS source],$F1341,TblApplications[Mois lib (calc)],"&lt;="&amp;$E1341)))</f>
        <v/>
      </c>
      <c r="R1341" s="19" t="str">
        <f t="shared" si="343"/>
        <v/>
      </c>
      <c r="S1341" s="19" t="str">
        <f t="shared" si="344"/>
        <v/>
      </c>
      <c r="T1341" s="19" t="str">
        <f t="shared" si="345"/>
        <v/>
      </c>
      <c r="U1341" s="19" t="str">
        <f t="shared" si="346"/>
        <v/>
      </c>
      <c r="V1341" s="19" t="str">
        <f t="shared" si="347"/>
        <v/>
      </c>
      <c r="W1341" s="73" t="str">
        <f t="shared" si="348"/>
        <v/>
      </c>
      <c r="X1341" s="19" t="str">
        <f>IF($D1341&lt;&gt;1,"",IF($G1341="ROKS",$R1341,IF($AI1341=1,0,MAX($N1341,$L1341-SUMIFS(TblApplications[CPU IKS libérable (vCPU)],TblApplications[Cluster IKS source],$F1341,TblApplications[Action],"À migrer",TblApplications[Mois prov (calc)],"&lt;="&amp;$E1341)-SUMIFS(TblApplications[CPU IKS libérable (vCPU)],TblApplications[Cluster IKS source],$F1341,TblApplications[Action],"À décommissionner",TblApplications[Mois lib (calc)],"&lt;="&amp;$E1341)))))</f>
        <v/>
      </c>
      <c r="Y1341" s="19" t="str">
        <f>IF($D1341&lt;&gt;1,"",IF($G1341="ROKS",$S1341,IF($AI1341=1,0,MAX($O1341,$M1341-SUMIFS(TblApplications[RAM IKS libérable (Go)],TblApplications[Cluster IKS source],$F1341,TblApplications[Action],"À migrer",TblApplications[Mois prov (calc)],"&lt;="&amp;$E1341)-SUMIFS(TblApplications[RAM IKS libérable (Go)],TblApplications[Cluster IKS source],$F1341,TblApplications[Action],"À décommissionner",TblApplications[Mois lib (calc)],"&lt;="&amp;$E1341)))))</f>
        <v/>
      </c>
      <c r="Z1341" s="19" t="str">
        <f t="shared" si="349"/>
        <v/>
      </c>
      <c r="AA1341" s="73" t="str">
        <f t="shared" si="350"/>
        <v/>
      </c>
      <c r="AB1341" s="19" t="str">
        <f t="shared" si="351"/>
        <v/>
      </c>
      <c r="AC1341" s="73" t="str">
        <f t="shared" si="352"/>
        <v/>
      </c>
      <c r="AD1341" s="19" t="str">
        <f t="shared" si="353"/>
        <v/>
      </c>
      <c r="AE1341" s="19" t="str">
        <f t="shared" si="354"/>
        <v/>
      </c>
      <c r="AF1341" s="19" t="str">
        <f>IF($D1341&lt;&gt;1,"",IF(INDEX(TblClusters[Environnement],$B1341)="","(vide)",INDEX(TblClusters[Environnement],$B1341)))</f>
        <v/>
      </c>
      <c r="AG1341" s="19" t="str">
        <f t="shared" si="355"/>
        <v/>
      </c>
      <c r="AH1341" s="19" t="str">
        <f t="shared" si="356"/>
        <v/>
      </c>
      <c r="AI1341" s="19" t="str">
        <f>IF($D1341&lt;&gt;1,"",IF(AND($G1341="IKS",ISNUMBER(INDEX(TblClusters[Fermeture retenue],$B1341))),IF($E1341&gt;=INDEX(TblClusters[Fermeture retenue],$B1341),1,0),0))</f>
        <v/>
      </c>
    </row>
    <row r="1342" spans="1:35" x14ac:dyDescent="0.2">
      <c r="A1342" s="19">
        <v>1337</v>
      </c>
      <c r="B1342" s="19">
        <f t="shared" si="340"/>
        <v>38</v>
      </c>
      <c r="C1342" s="19">
        <f t="shared" si="341"/>
        <v>5</v>
      </c>
      <c r="D1342" s="19">
        <f>IF($C1342&gt;p_horizon,0,IFERROR(IF(AND(INDEX(TblClusters[Cluster],$B1342)&lt;&gt;"",ISNUMBER(INDEX(TblClusters[CPU initial (vCPU)],$B1342)),ISNUMBER(INDEX(TblClusters[CPU min (vCPU)],$B1342)),OR(INDEX(TblClusters[Plateforme],$B1342)="IKS",INDEX(TblClusters[Plateforme],$B1342)="ROKS")),1,0),0))</f>
        <v>0</v>
      </c>
      <c r="E1342" s="72" t="str">
        <f t="shared" si="342"/>
        <v/>
      </c>
      <c r="F1342" s="19" t="str">
        <f>IF($D1342=1,INDEX(TblClusters[Cluster],$B1342),"")</f>
        <v/>
      </c>
      <c r="G1342" s="19" t="str">
        <f>IF($D1342=1,INDEX(TblClusters[Plateforme],$B1342),"")</f>
        <v/>
      </c>
      <c r="H1342" s="19" t="str">
        <f>IF($D1342=1,INDEX(TblClusters[vCPU par nœud],$B1342),"")</f>
        <v/>
      </c>
      <c r="I1342" s="19" t="str">
        <f>IF($D1342=1,INDEX(TblClusters[RAM par nœud (Go)],$B1342),"")</f>
        <v/>
      </c>
      <c r="J1342" s="19" t="str">
        <f>IF($D1342=1,INDEX(TblClusters[Workers min],$B1342),"")</f>
        <v/>
      </c>
      <c r="K1342" s="73" t="str">
        <f>IF($D1342=1,INDEX(TblClusters[Tarif par nœud],$B1342),"")</f>
        <v/>
      </c>
      <c r="L1342" s="19" t="str">
        <f>IF($D1342=1,INDEX(TblClusters[CPU initial (vCPU)],$B1342),"")</f>
        <v/>
      </c>
      <c r="M1342" s="19" t="str">
        <f>IF($D1342=1,INDEX(TblClusters[RAM initiale (Go)],$B1342),"")</f>
        <v/>
      </c>
      <c r="N1342" s="19" t="str">
        <f>IF($D1342=1,INDEX(TblClusters[CPU min (vCPU)],$B1342),"")</f>
        <v/>
      </c>
      <c r="O1342" s="19" t="str">
        <f>IF($D1342=1,INDEX(TblClusters[RAM min (Go)],$B1342),"")</f>
        <v/>
      </c>
      <c r="P1342" s="19" t="str">
        <f>IF($D1342&lt;&gt;1,"",IF($G1342="ROKS",SUMIFS(TblApplications[Besoin ROKS CPU (vCPU)],TblApplications[Cluster ROKS cible],$F1342,TblApplications[Action],"À migrer",TblApplications[Déjà incluse ROKS],"Non",TblApplications[Mois prov (calc)],"&lt;="&amp;$E1342),SUMIFS(TblApplications[CPU IKS libérable (vCPU)],TblApplications[Cluster IKS source],$F1342,TblApplications[Mois lib (calc)],"&lt;="&amp;$E1342)))</f>
        <v/>
      </c>
      <c r="Q1342" s="19" t="str">
        <f>IF($D1342&lt;&gt;1,"",IF($G1342="ROKS",SUMIFS(TblApplications[Besoin ROKS RAM (Go)],TblApplications[Cluster ROKS cible],$F1342,TblApplications[Action],"À migrer",TblApplications[Déjà incluse ROKS],"Non",TblApplications[Mois prov (calc)],"&lt;="&amp;$E1342),SUMIFS(TblApplications[RAM IKS libérable (Go)],TblApplications[Cluster IKS source],$F1342,TblApplications[Mois lib (calc)],"&lt;="&amp;$E1342)))</f>
        <v/>
      </c>
      <c r="R1342" s="19" t="str">
        <f t="shared" si="343"/>
        <v/>
      </c>
      <c r="S1342" s="19" t="str">
        <f t="shared" si="344"/>
        <v/>
      </c>
      <c r="T1342" s="19" t="str">
        <f t="shared" si="345"/>
        <v/>
      </c>
      <c r="U1342" s="19" t="str">
        <f t="shared" si="346"/>
        <v/>
      </c>
      <c r="V1342" s="19" t="str">
        <f t="shared" si="347"/>
        <v/>
      </c>
      <c r="W1342" s="73" t="str">
        <f t="shared" si="348"/>
        <v/>
      </c>
      <c r="X1342" s="19" t="str">
        <f>IF($D1342&lt;&gt;1,"",IF($G1342="ROKS",$R1342,IF($AI1342=1,0,MAX($N1342,$L1342-SUMIFS(TblApplications[CPU IKS libérable (vCPU)],TblApplications[Cluster IKS source],$F1342,TblApplications[Action],"À migrer",TblApplications[Mois prov (calc)],"&lt;="&amp;$E1342)-SUMIFS(TblApplications[CPU IKS libérable (vCPU)],TblApplications[Cluster IKS source],$F1342,TblApplications[Action],"À décommissionner",TblApplications[Mois lib (calc)],"&lt;="&amp;$E1342)))))</f>
        <v/>
      </c>
      <c r="Y1342" s="19" t="str">
        <f>IF($D1342&lt;&gt;1,"",IF($G1342="ROKS",$S1342,IF($AI1342=1,0,MAX($O1342,$M1342-SUMIFS(TblApplications[RAM IKS libérable (Go)],TblApplications[Cluster IKS source],$F1342,TblApplications[Action],"À migrer",TblApplications[Mois prov (calc)],"&lt;="&amp;$E1342)-SUMIFS(TblApplications[RAM IKS libérable (Go)],TblApplications[Cluster IKS source],$F1342,TblApplications[Action],"À décommissionner",TblApplications[Mois lib (calc)],"&lt;="&amp;$E1342)))))</f>
        <v/>
      </c>
      <c r="Z1342" s="19" t="str">
        <f t="shared" si="349"/>
        <v/>
      </c>
      <c r="AA1342" s="73" t="str">
        <f t="shared" si="350"/>
        <v/>
      </c>
      <c r="AB1342" s="19" t="str">
        <f t="shared" si="351"/>
        <v/>
      </c>
      <c r="AC1342" s="73" t="str">
        <f t="shared" si="352"/>
        <v/>
      </c>
      <c r="AD1342" s="19" t="str">
        <f t="shared" si="353"/>
        <v/>
      </c>
      <c r="AE1342" s="19" t="str">
        <f t="shared" si="354"/>
        <v/>
      </c>
      <c r="AF1342" s="19" t="str">
        <f>IF($D1342&lt;&gt;1,"",IF(INDEX(TblClusters[Environnement],$B1342)="","(vide)",INDEX(TblClusters[Environnement],$B1342)))</f>
        <v/>
      </c>
      <c r="AG1342" s="19" t="str">
        <f t="shared" si="355"/>
        <v/>
      </c>
      <c r="AH1342" s="19" t="str">
        <f t="shared" si="356"/>
        <v/>
      </c>
      <c r="AI1342" s="19" t="str">
        <f>IF($D1342&lt;&gt;1,"",IF(AND($G1342="IKS",ISNUMBER(INDEX(TblClusters[Fermeture retenue],$B1342))),IF($E1342&gt;=INDEX(TblClusters[Fermeture retenue],$B1342),1,0),0))</f>
        <v/>
      </c>
    </row>
    <row r="1343" spans="1:35" x14ac:dyDescent="0.2">
      <c r="A1343" s="19">
        <v>1338</v>
      </c>
      <c r="B1343" s="19">
        <f t="shared" si="340"/>
        <v>38</v>
      </c>
      <c r="C1343" s="19">
        <f t="shared" si="341"/>
        <v>6</v>
      </c>
      <c r="D1343" s="19">
        <f>IF($C1343&gt;p_horizon,0,IFERROR(IF(AND(INDEX(TblClusters[Cluster],$B1343)&lt;&gt;"",ISNUMBER(INDEX(TblClusters[CPU initial (vCPU)],$B1343)),ISNUMBER(INDEX(TblClusters[CPU min (vCPU)],$B1343)),OR(INDEX(TblClusters[Plateforme],$B1343)="IKS",INDEX(TblClusters[Plateforme],$B1343)="ROKS")),1,0),0))</f>
        <v>0</v>
      </c>
      <c r="E1343" s="72" t="str">
        <f t="shared" si="342"/>
        <v/>
      </c>
      <c r="F1343" s="19" t="str">
        <f>IF($D1343=1,INDEX(TblClusters[Cluster],$B1343),"")</f>
        <v/>
      </c>
      <c r="G1343" s="19" t="str">
        <f>IF($D1343=1,INDEX(TblClusters[Plateforme],$B1343),"")</f>
        <v/>
      </c>
      <c r="H1343" s="19" t="str">
        <f>IF($D1343=1,INDEX(TblClusters[vCPU par nœud],$B1343),"")</f>
        <v/>
      </c>
      <c r="I1343" s="19" t="str">
        <f>IF($D1343=1,INDEX(TblClusters[RAM par nœud (Go)],$B1343),"")</f>
        <v/>
      </c>
      <c r="J1343" s="19" t="str">
        <f>IF($D1343=1,INDEX(TblClusters[Workers min],$B1343),"")</f>
        <v/>
      </c>
      <c r="K1343" s="73" t="str">
        <f>IF($D1343=1,INDEX(TblClusters[Tarif par nœud],$B1343),"")</f>
        <v/>
      </c>
      <c r="L1343" s="19" t="str">
        <f>IF($D1343=1,INDEX(TblClusters[CPU initial (vCPU)],$B1343),"")</f>
        <v/>
      </c>
      <c r="M1343" s="19" t="str">
        <f>IF($D1343=1,INDEX(TblClusters[RAM initiale (Go)],$B1343),"")</f>
        <v/>
      </c>
      <c r="N1343" s="19" t="str">
        <f>IF($D1343=1,INDEX(TblClusters[CPU min (vCPU)],$B1343),"")</f>
        <v/>
      </c>
      <c r="O1343" s="19" t="str">
        <f>IF($D1343=1,INDEX(TblClusters[RAM min (Go)],$B1343),"")</f>
        <v/>
      </c>
      <c r="P1343" s="19" t="str">
        <f>IF($D1343&lt;&gt;1,"",IF($G1343="ROKS",SUMIFS(TblApplications[Besoin ROKS CPU (vCPU)],TblApplications[Cluster ROKS cible],$F1343,TblApplications[Action],"À migrer",TblApplications[Déjà incluse ROKS],"Non",TblApplications[Mois prov (calc)],"&lt;="&amp;$E1343),SUMIFS(TblApplications[CPU IKS libérable (vCPU)],TblApplications[Cluster IKS source],$F1343,TblApplications[Mois lib (calc)],"&lt;="&amp;$E1343)))</f>
        <v/>
      </c>
      <c r="Q1343" s="19" t="str">
        <f>IF($D1343&lt;&gt;1,"",IF($G1343="ROKS",SUMIFS(TblApplications[Besoin ROKS RAM (Go)],TblApplications[Cluster ROKS cible],$F1343,TblApplications[Action],"À migrer",TblApplications[Déjà incluse ROKS],"Non",TblApplications[Mois prov (calc)],"&lt;="&amp;$E1343),SUMIFS(TblApplications[RAM IKS libérable (Go)],TblApplications[Cluster IKS source],$F1343,TblApplications[Mois lib (calc)],"&lt;="&amp;$E1343)))</f>
        <v/>
      </c>
      <c r="R1343" s="19" t="str">
        <f t="shared" si="343"/>
        <v/>
      </c>
      <c r="S1343" s="19" t="str">
        <f t="shared" si="344"/>
        <v/>
      </c>
      <c r="T1343" s="19" t="str">
        <f t="shared" si="345"/>
        <v/>
      </c>
      <c r="U1343" s="19" t="str">
        <f t="shared" si="346"/>
        <v/>
      </c>
      <c r="V1343" s="19" t="str">
        <f t="shared" si="347"/>
        <v/>
      </c>
      <c r="W1343" s="73" t="str">
        <f t="shared" si="348"/>
        <v/>
      </c>
      <c r="X1343" s="19" t="str">
        <f>IF($D1343&lt;&gt;1,"",IF($G1343="ROKS",$R1343,IF($AI1343=1,0,MAX($N1343,$L1343-SUMIFS(TblApplications[CPU IKS libérable (vCPU)],TblApplications[Cluster IKS source],$F1343,TblApplications[Action],"À migrer",TblApplications[Mois prov (calc)],"&lt;="&amp;$E1343)-SUMIFS(TblApplications[CPU IKS libérable (vCPU)],TblApplications[Cluster IKS source],$F1343,TblApplications[Action],"À décommissionner",TblApplications[Mois lib (calc)],"&lt;="&amp;$E1343)))))</f>
        <v/>
      </c>
      <c r="Y1343" s="19" t="str">
        <f>IF($D1343&lt;&gt;1,"",IF($G1343="ROKS",$S1343,IF($AI1343=1,0,MAX($O1343,$M1343-SUMIFS(TblApplications[RAM IKS libérable (Go)],TblApplications[Cluster IKS source],$F1343,TblApplications[Action],"À migrer",TblApplications[Mois prov (calc)],"&lt;="&amp;$E1343)-SUMIFS(TblApplications[RAM IKS libérable (Go)],TblApplications[Cluster IKS source],$F1343,TblApplications[Action],"À décommissionner",TblApplications[Mois lib (calc)],"&lt;="&amp;$E1343)))))</f>
        <v/>
      </c>
      <c r="Z1343" s="19" t="str">
        <f t="shared" si="349"/>
        <v/>
      </c>
      <c r="AA1343" s="73" t="str">
        <f t="shared" si="350"/>
        <v/>
      </c>
      <c r="AB1343" s="19" t="str">
        <f t="shared" si="351"/>
        <v/>
      </c>
      <c r="AC1343" s="73" t="str">
        <f t="shared" si="352"/>
        <v/>
      </c>
      <c r="AD1343" s="19" t="str">
        <f t="shared" si="353"/>
        <v/>
      </c>
      <c r="AE1343" s="19" t="str">
        <f t="shared" si="354"/>
        <v/>
      </c>
      <c r="AF1343" s="19" t="str">
        <f>IF($D1343&lt;&gt;1,"",IF(INDEX(TblClusters[Environnement],$B1343)="","(vide)",INDEX(TblClusters[Environnement],$B1343)))</f>
        <v/>
      </c>
      <c r="AG1343" s="19" t="str">
        <f t="shared" si="355"/>
        <v/>
      </c>
      <c r="AH1343" s="19" t="str">
        <f t="shared" si="356"/>
        <v/>
      </c>
      <c r="AI1343" s="19" t="str">
        <f>IF($D1343&lt;&gt;1,"",IF(AND($G1343="IKS",ISNUMBER(INDEX(TblClusters[Fermeture retenue],$B1343))),IF($E1343&gt;=INDEX(TblClusters[Fermeture retenue],$B1343),1,0),0))</f>
        <v/>
      </c>
    </row>
    <row r="1344" spans="1:35" x14ac:dyDescent="0.2">
      <c r="A1344" s="19">
        <v>1339</v>
      </c>
      <c r="B1344" s="19">
        <f t="shared" si="340"/>
        <v>38</v>
      </c>
      <c r="C1344" s="19">
        <f t="shared" si="341"/>
        <v>7</v>
      </c>
      <c r="D1344" s="19">
        <f>IF($C1344&gt;p_horizon,0,IFERROR(IF(AND(INDEX(TblClusters[Cluster],$B1344)&lt;&gt;"",ISNUMBER(INDEX(TblClusters[CPU initial (vCPU)],$B1344)),ISNUMBER(INDEX(TblClusters[CPU min (vCPU)],$B1344)),OR(INDEX(TblClusters[Plateforme],$B1344)="IKS",INDEX(TblClusters[Plateforme],$B1344)="ROKS")),1,0),0))</f>
        <v>0</v>
      </c>
      <c r="E1344" s="72" t="str">
        <f t="shared" si="342"/>
        <v/>
      </c>
      <c r="F1344" s="19" t="str">
        <f>IF($D1344=1,INDEX(TblClusters[Cluster],$B1344),"")</f>
        <v/>
      </c>
      <c r="G1344" s="19" t="str">
        <f>IF($D1344=1,INDEX(TblClusters[Plateforme],$B1344),"")</f>
        <v/>
      </c>
      <c r="H1344" s="19" t="str">
        <f>IF($D1344=1,INDEX(TblClusters[vCPU par nœud],$B1344),"")</f>
        <v/>
      </c>
      <c r="I1344" s="19" t="str">
        <f>IF($D1344=1,INDEX(TblClusters[RAM par nœud (Go)],$B1344),"")</f>
        <v/>
      </c>
      <c r="J1344" s="19" t="str">
        <f>IF($D1344=1,INDEX(TblClusters[Workers min],$B1344),"")</f>
        <v/>
      </c>
      <c r="K1344" s="73" t="str">
        <f>IF($D1344=1,INDEX(TblClusters[Tarif par nœud],$B1344),"")</f>
        <v/>
      </c>
      <c r="L1344" s="19" t="str">
        <f>IF($D1344=1,INDEX(TblClusters[CPU initial (vCPU)],$B1344),"")</f>
        <v/>
      </c>
      <c r="M1344" s="19" t="str">
        <f>IF($D1344=1,INDEX(TblClusters[RAM initiale (Go)],$B1344),"")</f>
        <v/>
      </c>
      <c r="N1344" s="19" t="str">
        <f>IF($D1344=1,INDEX(TblClusters[CPU min (vCPU)],$B1344),"")</f>
        <v/>
      </c>
      <c r="O1344" s="19" t="str">
        <f>IF($D1344=1,INDEX(TblClusters[RAM min (Go)],$B1344),"")</f>
        <v/>
      </c>
      <c r="P1344" s="19" t="str">
        <f>IF($D1344&lt;&gt;1,"",IF($G1344="ROKS",SUMIFS(TblApplications[Besoin ROKS CPU (vCPU)],TblApplications[Cluster ROKS cible],$F1344,TblApplications[Action],"À migrer",TblApplications[Déjà incluse ROKS],"Non",TblApplications[Mois prov (calc)],"&lt;="&amp;$E1344),SUMIFS(TblApplications[CPU IKS libérable (vCPU)],TblApplications[Cluster IKS source],$F1344,TblApplications[Mois lib (calc)],"&lt;="&amp;$E1344)))</f>
        <v/>
      </c>
      <c r="Q1344" s="19" t="str">
        <f>IF($D1344&lt;&gt;1,"",IF($G1344="ROKS",SUMIFS(TblApplications[Besoin ROKS RAM (Go)],TblApplications[Cluster ROKS cible],$F1344,TblApplications[Action],"À migrer",TblApplications[Déjà incluse ROKS],"Non",TblApplications[Mois prov (calc)],"&lt;="&amp;$E1344),SUMIFS(TblApplications[RAM IKS libérable (Go)],TblApplications[Cluster IKS source],$F1344,TblApplications[Mois lib (calc)],"&lt;="&amp;$E1344)))</f>
        <v/>
      </c>
      <c r="R1344" s="19" t="str">
        <f t="shared" si="343"/>
        <v/>
      </c>
      <c r="S1344" s="19" t="str">
        <f t="shared" si="344"/>
        <v/>
      </c>
      <c r="T1344" s="19" t="str">
        <f t="shared" si="345"/>
        <v/>
      </c>
      <c r="U1344" s="19" t="str">
        <f t="shared" si="346"/>
        <v/>
      </c>
      <c r="V1344" s="19" t="str">
        <f t="shared" si="347"/>
        <v/>
      </c>
      <c r="W1344" s="73" t="str">
        <f t="shared" si="348"/>
        <v/>
      </c>
      <c r="X1344" s="19" t="str">
        <f>IF($D1344&lt;&gt;1,"",IF($G1344="ROKS",$R1344,IF($AI1344=1,0,MAX($N1344,$L1344-SUMIFS(TblApplications[CPU IKS libérable (vCPU)],TblApplications[Cluster IKS source],$F1344,TblApplications[Action],"À migrer",TblApplications[Mois prov (calc)],"&lt;="&amp;$E1344)-SUMIFS(TblApplications[CPU IKS libérable (vCPU)],TblApplications[Cluster IKS source],$F1344,TblApplications[Action],"À décommissionner",TblApplications[Mois lib (calc)],"&lt;="&amp;$E1344)))))</f>
        <v/>
      </c>
      <c r="Y1344" s="19" t="str">
        <f>IF($D1344&lt;&gt;1,"",IF($G1344="ROKS",$S1344,IF($AI1344=1,0,MAX($O1344,$M1344-SUMIFS(TblApplications[RAM IKS libérable (Go)],TblApplications[Cluster IKS source],$F1344,TblApplications[Action],"À migrer",TblApplications[Mois prov (calc)],"&lt;="&amp;$E1344)-SUMIFS(TblApplications[RAM IKS libérable (Go)],TblApplications[Cluster IKS source],$F1344,TblApplications[Action],"À décommissionner",TblApplications[Mois lib (calc)],"&lt;="&amp;$E1344)))))</f>
        <v/>
      </c>
      <c r="Z1344" s="19" t="str">
        <f t="shared" si="349"/>
        <v/>
      </c>
      <c r="AA1344" s="73" t="str">
        <f t="shared" si="350"/>
        <v/>
      </c>
      <c r="AB1344" s="19" t="str">
        <f t="shared" si="351"/>
        <v/>
      </c>
      <c r="AC1344" s="73" t="str">
        <f t="shared" si="352"/>
        <v/>
      </c>
      <c r="AD1344" s="19" t="str">
        <f t="shared" si="353"/>
        <v/>
      </c>
      <c r="AE1344" s="19" t="str">
        <f t="shared" si="354"/>
        <v/>
      </c>
      <c r="AF1344" s="19" t="str">
        <f>IF($D1344&lt;&gt;1,"",IF(INDEX(TblClusters[Environnement],$B1344)="","(vide)",INDEX(TblClusters[Environnement],$B1344)))</f>
        <v/>
      </c>
      <c r="AG1344" s="19" t="str">
        <f t="shared" si="355"/>
        <v/>
      </c>
      <c r="AH1344" s="19" t="str">
        <f t="shared" si="356"/>
        <v/>
      </c>
      <c r="AI1344" s="19" t="str">
        <f>IF($D1344&lt;&gt;1,"",IF(AND($G1344="IKS",ISNUMBER(INDEX(TblClusters[Fermeture retenue],$B1344))),IF($E1344&gt;=INDEX(TblClusters[Fermeture retenue],$B1344),1,0),0))</f>
        <v/>
      </c>
    </row>
    <row r="1345" spans="1:35" x14ac:dyDescent="0.2">
      <c r="A1345" s="19">
        <v>1340</v>
      </c>
      <c r="B1345" s="19">
        <f t="shared" si="340"/>
        <v>38</v>
      </c>
      <c r="C1345" s="19">
        <f t="shared" si="341"/>
        <v>8</v>
      </c>
      <c r="D1345" s="19">
        <f>IF($C1345&gt;p_horizon,0,IFERROR(IF(AND(INDEX(TblClusters[Cluster],$B1345)&lt;&gt;"",ISNUMBER(INDEX(TblClusters[CPU initial (vCPU)],$B1345)),ISNUMBER(INDEX(TblClusters[CPU min (vCPU)],$B1345)),OR(INDEX(TblClusters[Plateforme],$B1345)="IKS",INDEX(TblClusters[Plateforme],$B1345)="ROKS")),1,0),0))</f>
        <v>0</v>
      </c>
      <c r="E1345" s="72" t="str">
        <f t="shared" si="342"/>
        <v/>
      </c>
      <c r="F1345" s="19" t="str">
        <f>IF($D1345=1,INDEX(TblClusters[Cluster],$B1345),"")</f>
        <v/>
      </c>
      <c r="G1345" s="19" t="str">
        <f>IF($D1345=1,INDEX(TblClusters[Plateforme],$B1345),"")</f>
        <v/>
      </c>
      <c r="H1345" s="19" t="str">
        <f>IF($D1345=1,INDEX(TblClusters[vCPU par nœud],$B1345),"")</f>
        <v/>
      </c>
      <c r="I1345" s="19" t="str">
        <f>IF($D1345=1,INDEX(TblClusters[RAM par nœud (Go)],$B1345),"")</f>
        <v/>
      </c>
      <c r="J1345" s="19" t="str">
        <f>IF($D1345=1,INDEX(TblClusters[Workers min],$B1345),"")</f>
        <v/>
      </c>
      <c r="K1345" s="73" t="str">
        <f>IF($D1345=1,INDEX(TblClusters[Tarif par nœud],$B1345),"")</f>
        <v/>
      </c>
      <c r="L1345" s="19" t="str">
        <f>IF($D1345=1,INDEX(TblClusters[CPU initial (vCPU)],$B1345),"")</f>
        <v/>
      </c>
      <c r="M1345" s="19" t="str">
        <f>IF($D1345=1,INDEX(TblClusters[RAM initiale (Go)],$B1345),"")</f>
        <v/>
      </c>
      <c r="N1345" s="19" t="str">
        <f>IF($D1345=1,INDEX(TblClusters[CPU min (vCPU)],$B1345),"")</f>
        <v/>
      </c>
      <c r="O1345" s="19" t="str">
        <f>IF($D1345=1,INDEX(TblClusters[RAM min (Go)],$B1345),"")</f>
        <v/>
      </c>
      <c r="P1345" s="19" t="str">
        <f>IF($D1345&lt;&gt;1,"",IF($G1345="ROKS",SUMIFS(TblApplications[Besoin ROKS CPU (vCPU)],TblApplications[Cluster ROKS cible],$F1345,TblApplications[Action],"À migrer",TblApplications[Déjà incluse ROKS],"Non",TblApplications[Mois prov (calc)],"&lt;="&amp;$E1345),SUMIFS(TblApplications[CPU IKS libérable (vCPU)],TblApplications[Cluster IKS source],$F1345,TblApplications[Mois lib (calc)],"&lt;="&amp;$E1345)))</f>
        <v/>
      </c>
      <c r="Q1345" s="19" t="str">
        <f>IF($D1345&lt;&gt;1,"",IF($G1345="ROKS",SUMIFS(TblApplications[Besoin ROKS RAM (Go)],TblApplications[Cluster ROKS cible],$F1345,TblApplications[Action],"À migrer",TblApplications[Déjà incluse ROKS],"Non",TblApplications[Mois prov (calc)],"&lt;="&amp;$E1345),SUMIFS(TblApplications[RAM IKS libérable (Go)],TblApplications[Cluster IKS source],$F1345,TblApplications[Mois lib (calc)],"&lt;="&amp;$E1345)))</f>
        <v/>
      </c>
      <c r="R1345" s="19" t="str">
        <f t="shared" si="343"/>
        <v/>
      </c>
      <c r="S1345" s="19" t="str">
        <f t="shared" si="344"/>
        <v/>
      </c>
      <c r="T1345" s="19" t="str">
        <f t="shared" si="345"/>
        <v/>
      </c>
      <c r="U1345" s="19" t="str">
        <f t="shared" si="346"/>
        <v/>
      </c>
      <c r="V1345" s="19" t="str">
        <f t="shared" si="347"/>
        <v/>
      </c>
      <c r="W1345" s="73" t="str">
        <f t="shared" si="348"/>
        <v/>
      </c>
      <c r="X1345" s="19" t="str">
        <f>IF($D1345&lt;&gt;1,"",IF($G1345="ROKS",$R1345,IF($AI1345=1,0,MAX($N1345,$L1345-SUMIFS(TblApplications[CPU IKS libérable (vCPU)],TblApplications[Cluster IKS source],$F1345,TblApplications[Action],"À migrer",TblApplications[Mois prov (calc)],"&lt;="&amp;$E1345)-SUMIFS(TblApplications[CPU IKS libérable (vCPU)],TblApplications[Cluster IKS source],$F1345,TblApplications[Action],"À décommissionner",TblApplications[Mois lib (calc)],"&lt;="&amp;$E1345)))))</f>
        <v/>
      </c>
      <c r="Y1345" s="19" t="str">
        <f>IF($D1345&lt;&gt;1,"",IF($G1345="ROKS",$S1345,IF($AI1345=1,0,MAX($O1345,$M1345-SUMIFS(TblApplications[RAM IKS libérable (Go)],TblApplications[Cluster IKS source],$F1345,TblApplications[Action],"À migrer",TblApplications[Mois prov (calc)],"&lt;="&amp;$E1345)-SUMIFS(TblApplications[RAM IKS libérable (Go)],TblApplications[Cluster IKS source],$F1345,TblApplications[Action],"À décommissionner",TblApplications[Mois lib (calc)],"&lt;="&amp;$E1345)))))</f>
        <v/>
      </c>
      <c r="Z1345" s="19" t="str">
        <f t="shared" si="349"/>
        <v/>
      </c>
      <c r="AA1345" s="73" t="str">
        <f t="shared" si="350"/>
        <v/>
      </c>
      <c r="AB1345" s="19" t="str">
        <f t="shared" si="351"/>
        <v/>
      </c>
      <c r="AC1345" s="73" t="str">
        <f t="shared" si="352"/>
        <v/>
      </c>
      <c r="AD1345" s="19" t="str">
        <f t="shared" si="353"/>
        <v/>
      </c>
      <c r="AE1345" s="19" t="str">
        <f t="shared" si="354"/>
        <v/>
      </c>
      <c r="AF1345" s="19" t="str">
        <f>IF($D1345&lt;&gt;1,"",IF(INDEX(TblClusters[Environnement],$B1345)="","(vide)",INDEX(TblClusters[Environnement],$B1345)))</f>
        <v/>
      </c>
      <c r="AG1345" s="19" t="str">
        <f t="shared" si="355"/>
        <v/>
      </c>
      <c r="AH1345" s="19" t="str">
        <f t="shared" si="356"/>
        <v/>
      </c>
      <c r="AI1345" s="19" t="str">
        <f>IF($D1345&lt;&gt;1,"",IF(AND($G1345="IKS",ISNUMBER(INDEX(TblClusters[Fermeture retenue],$B1345))),IF($E1345&gt;=INDEX(TblClusters[Fermeture retenue],$B1345),1,0),0))</f>
        <v/>
      </c>
    </row>
    <row r="1346" spans="1:35" x14ac:dyDescent="0.2">
      <c r="A1346" s="19">
        <v>1341</v>
      </c>
      <c r="B1346" s="19">
        <f t="shared" si="340"/>
        <v>38</v>
      </c>
      <c r="C1346" s="19">
        <f t="shared" si="341"/>
        <v>9</v>
      </c>
      <c r="D1346" s="19">
        <f>IF($C1346&gt;p_horizon,0,IFERROR(IF(AND(INDEX(TblClusters[Cluster],$B1346)&lt;&gt;"",ISNUMBER(INDEX(TblClusters[CPU initial (vCPU)],$B1346)),ISNUMBER(INDEX(TblClusters[CPU min (vCPU)],$B1346)),OR(INDEX(TblClusters[Plateforme],$B1346)="IKS",INDEX(TblClusters[Plateforme],$B1346)="ROKS")),1,0),0))</f>
        <v>0</v>
      </c>
      <c r="E1346" s="72" t="str">
        <f t="shared" si="342"/>
        <v/>
      </c>
      <c r="F1346" s="19" t="str">
        <f>IF($D1346=1,INDEX(TblClusters[Cluster],$B1346),"")</f>
        <v/>
      </c>
      <c r="G1346" s="19" t="str">
        <f>IF($D1346=1,INDEX(TblClusters[Plateforme],$B1346),"")</f>
        <v/>
      </c>
      <c r="H1346" s="19" t="str">
        <f>IF($D1346=1,INDEX(TblClusters[vCPU par nœud],$B1346),"")</f>
        <v/>
      </c>
      <c r="I1346" s="19" t="str">
        <f>IF($D1346=1,INDEX(TblClusters[RAM par nœud (Go)],$B1346),"")</f>
        <v/>
      </c>
      <c r="J1346" s="19" t="str">
        <f>IF($D1346=1,INDEX(TblClusters[Workers min],$B1346),"")</f>
        <v/>
      </c>
      <c r="K1346" s="73" t="str">
        <f>IF($D1346=1,INDEX(TblClusters[Tarif par nœud],$B1346),"")</f>
        <v/>
      </c>
      <c r="L1346" s="19" t="str">
        <f>IF($D1346=1,INDEX(TblClusters[CPU initial (vCPU)],$B1346),"")</f>
        <v/>
      </c>
      <c r="M1346" s="19" t="str">
        <f>IF($D1346=1,INDEX(TblClusters[RAM initiale (Go)],$B1346),"")</f>
        <v/>
      </c>
      <c r="N1346" s="19" t="str">
        <f>IF($D1346=1,INDEX(TblClusters[CPU min (vCPU)],$B1346),"")</f>
        <v/>
      </c>
      <c r="O1346" s="19" t="str">
        <f>IF($D1346=1,INDEX(TblClusters[RAM min (Go)],$B1346),"")</f>
        <v/>
      </c>
      <c r="P1346" s="19" t="str">
        <f>IF($D1346&lt;&gt;1,"",IF($G1346="ROKS",SUMIFS(TblApplications[Besoin ROKS CPU (vCPU)],TblApplications[Cluster ROKS cible],$F1346,TblApplications[Action],"À migrer",TblApplications[Déjà incluse ROKS],"Non",TblApplications[Mois prov (calc)],"&lt;="&amp;$E1346),SUMIFS(TblApplications[CPU IKS libérable (vCPU)],TblApplications[Cluster IKS source],$F1346,TblApplications[Mois lib (calc)],"&lt;="&amp;$E1346)))</f>
        <v/>
      </c>
      <c r="Q1346" s="19" t="str">
        <f>IF($D1346&lt;&gt;1,"",IF($G1346="ROKS",SUMIFS(TblApplications[Besoin ROKS RAM (Go)],TblApplications[Cluster ROKS cible],$F1346,TblApplications[Action],"À migrer",TblApplications[Déjà incluse ROKS],"Non",TblApplications[Mois prov (calc)],"&lt;="&amp;$E1346),SUMIFS(TblApplications[RAM IKS libérable (Go)],TblApplications[Cluster IKS source],$F1346,TblApplications[Mois lib (calc)],"&lt;="&amp;$E1346)))</f>
        <v/>
      </c>
      <c r="R1346" s="19" t="str">
        <f t="shared" si="343"/>
        <v/>
      </c>
      <c r="S1346" s="19" t="str">
        <f t="shared" si="344"/>
        <v/>
      </c>
      <c r="T1346" s="19" t="str">
        <f t="shared" si="345"/>
        <v/>
      </c>
      <c r="U1346" s="19" t="str">
        <f t="shared" si="346"/>
        <v/>
      </c>
      <c r="V1346" s="19" t="str">
        <f t="shared" si="347"/>
        <v/>
      </c>
      <c r="W1346" s="73" t="str">
        <f t="shared" si="348"/>
        <v/>
      </c>
      <c r="X1346" s="19" t="str">
        <f>IF($D1346&lt;&gt;1,"",IF($G1346="ROKS",$R1346,IF($AI1346=1,0,MAX($N1346,$L1346-SUMIFS(TblApplications[CPU IKS libérable (vCPU)],TblApplications[Cluster IKS source],$F1346,TblApplications[Action],"À migrer",TblApplications[Mois prov (calc)],"&lt;="&amp;$E1346)-SUMIFS(TblApplications[CPU IKS libérable (vCPU)],TblApplications[Cluster IKS source],$F1346,TblApplications[Action],"À décommissionner",TblApplications[Mois lib (calc)],"&lt;="&amp;$E1346)))))</f>
        <v/>
      </c>
      <c r="Y1346" s="19" t="str">
        <f>IF($D1346&lt;&gt;1,"",IF($G1346="ROKS",$S1346,IF($AI1346=1,0,MAX($O1346,$M1346-SUMIFS(TblApplications[RAM IKS libérable (Go)],TblApplications[Cluster IKS source],$F1346,TblApplications[Action],"À migrer",TblApplications[Mois prov (calc)],"&lt;="&amp;$E1346)-SUMIFS(TblApplications[RAM IKS libérable (Go)],TblApplications[Cluster IKS source],$F1346,TblApplications[Action],"À décommissionner",TblApplications[Mois lib (calc)],"&lt;="&amp;$E1346)))))</f>
        <v/>
      </c>
      <c r="Z1346" s="19" t="str">
        <f t="shared" si="349"/>
        <v/>
      </c>
      <c r="AA1346" s="73" t="str">
        <f t="shared" si="350"/>
        <v/>
      </c>
      <c r="AB1346" s="19" t="str">
        <f t="shared" si="351"/>
        <v/>
      </c>
      <c r="AC1346" s="73" t="str">
        <f t="shared" si="352"/>
        <v/>
      </c>
      <c r="AD1346" s="19" t="str">
        <f t="shared" si="353"/>
        <v/>
      </c>
      <c r="AE1346" s="19" t="str">
        <f t="shared" si="354"/>
        <v/>
      </c>
      <c r="AF1346" s="19" t="str">
        <f>IF($D1346&lt;&gt;1,"",IF(INDEX(TblClusters[Environnement],$B1346)="","(vide)",INDEX(TblClusters[Environnement],$B1346)))</f>
        <v/>
      </c>
      <c r="AG1346" s="19" t="str">
        <f t="shared" si="355"/>
        <v/>
      </c>
      <c r="AH1346" s="19" t="str">
        <f t="shared" si="356"/>
        <v/>
      </c>
      <c r="AI1346" s="19" t="str">
        <f>IF($D1346&lt;&gt;1,"",IF(AND($G1346="IKS",ISNUMBER(INDEX(TblClusters[Fermeture retenue],$B1346))),IF($E1346&gt;=INDEX(TblClusters[Fermeture retenue],$B1346),1,0),0))</f>
        <v/>
      </c>
    </row>
    <row r="1347" spans="1:35" x14ac:dyDescent="0.2">
      <c r="A1347" s="19">
        <v>1342</v>
      </c>
      <c r="B1347" s="19">
        <f t="shared" si="340"/>
        <v>38</v>
      </c>
      <c r="C1347" s="19">
        <f t="shared" si="341"/>
        <v>10</v>
      </c>
      <c r="D1347" s="19">
        <f>IF($C1347&gt;p_horizon,0,IFERROR(IF(AND(INDEX(TblClusters[Cluster],$B1347)&lt;&gt;"",ISNUMBER(INDEX(TblClusters[CPU initial (vCPU)],$B1347)),ISNUMBER(INDEX(TblClusters[CPU min (vCPU)],$B1347)),OR(INDEX(TblClusters[Plateforme],$B1347)="IKS",INDEX(TblClusters[Plateforme],$B1347)="ROKS")),1,0),0))</f>
        <v>0</v>
      </c>
      <c r="E1347" s="72" t="str">
        <f t="shared" si="342"/>
        <v/>
      </c>
      <c r="F1347" s="19" t="str">
        <f>IF($D1347=1,INDEX(TblClusters[Cluster],$B1347),"")</f>
        <v/>
      </c>
      <c r="G1347" s="19" t="str">
        <f>IF($D1347=1,INDEX(TblClusters[Plateforme],$B1347),"")</f>
        <v/>
      </c>
      <c r="H1347" s="19" t="str">
        <f>IF($D1347=1,INDEX(TblClusters[vCPU par nœud],$B1347),"")</f>
        <v/>
      </c>
      <c r="I1347" s="19" t="str">
        <f>IF($D1347=1,INDEX(TblClusters[RAM par nœud (Go)],$B1347),"")</f>
        <v/>
      </c>
      <c r="J1347" s="19" t="str">
        <f>IF($D1347=1,INDEX(TblClusters[Workers min],$B1347),"")</f>
        <v/>
      </c>
      <c r="K1347" s="73" t="str">
        <f>IF($D1347=1,INDEX(TblClusters[Tarif par nœud],$B1347),"")</f>
        <v/>
      </c>
      <c r="L1347" s="19" t="str">
        <f>IF($D1347=1,INDEX(TblClusters[CPU initial (vCPU)],$B1347),"")</f>
        <v/>
      </c>
      <c r="M1347" s="19" t="str">
        <f>IF($D1347=1,INDEX(TblClusters[RAM initiale (Go)],$B1347),"")</f>
        <v/>
      </c>
      <c r="N1347" s="19" t="str">
        <f>IF($D1347=1,INDEX(TblClusters[CPU min (vCPU)],$B1347),"")</f>
        <v/>
      </c>
      <c r="O1347" s="19" t="str">
        <f>IF($D1347=1,INDEX(TblClusters[RAM min (Go)],$B1347),"")</f>
        <v/>
      </c>
      <c r="P1347" s="19" t="str">
        <f>IF($D1347&lt;&gt;1,"",IF($G1347="ROKS",SUMIFS(TblApplications[Besoin ROKS CPU (vCPU)],TblApplications[Cluster ROKS cible],$F1347,TblApplications[Action],"À migrer",TblApplications[Déjà incluse ROKS],"Non",TblApplications[Mois prov (calc)],"&lt;="&amp;$E1347),SUMIFS(TblApplications[CPU IKS libérable (vCPU)],TblApplications[Cluster IKS source],$F1347,TblApplications[Mois lib (calc)],"&lt;="&amp;$E1347)))</f>
        <v/>
      </c>
      <c r="Q1347" s="19" t="str">
        <f>IF($D1347&lt;&gt;1,"",IF($G1347="ROKS",SUMIFS(TblApplications[Besoin ROKS RAM (Go)],TblApplications[Cluster ROKS cible],$F1347,TblApplications[Action],"À migrer",TblApplications[Déjà incluse ROKS],"Non",TblApplications[Mois prov (calc)],"&lt;="&amp;$E1347),SUMIFS(TblApplications[RAM IKS libérable (Go)],TblApplications[Cluster IKS source],$F1347,TblApplications[Mois lib (calc)],"&lt;="&amp;$E1347)))</f>
        <v/>
      </c>
      <c r="R1347" s="19" t="str">
        <f t="shared" si="343"/>
        <v/>
      </c>
      <c r="S1347" s="19" t="str">
        <f t="shared" si="344"/>
        <v/>
      </c>
      <c r="T1347" s="19" t="str">
        <f t="shared" si="345"/>
        <v/>
      </c>
      <c r="U1347" s="19" t="str">
        <f t="shared" si="346"/>
        <v/>
      </c>
      <c r="V1347" s="19" t="str">
        <f t="shared" si="347"/>
        <v/>
      </c>
      <c r="W1347" s="73" t="str">
        <f t="shared" si="348"/>
        <v/>
      </c>
      <c r="X1347" s="19" t="str">
        <f>IF($D1347&lt;&gt;1,"",IF($G1347="ROKS",$R1347,IF($AI1347=1,0,MAX($N1347,$L1347-SUMIFS(TblApplications[CPU IKS libérable (vCPU)],TblApplications[Cluster IKS source],$F1347,TblApplications[Action],"À migrer",TblApplications[Mois prov (calc)],"&lt;="&amp;$E1347)-SUMIFS(TblApplications[CPU IKS libérable (vCPU)],TblApplications[Cluster IKS source],$F1347,TblApplications[Action],"À décommissionner",TblApplications[Mois lib (calc)],"&lt;="&amp;$E1347)))))</f>
        <v/>
      </c>
      <c r="Y1347" s="19" t="str">
        <f>IF($D1347&lt;&gt;1,"",IF($G1347="ROKS",$S1347,IF($AI1347=1,0,MAX($O1347,$M1347-SUMIFS(TblApplications[RAM IKS libérable (Go)],TblApplications[Cluster IKS source],$F1347,TblApplications[Action],"À migrer",TblApplications[Mois prov (calc)],"&lt;="&amp;$E1347)-SUMIFS(TblApplications[RAM IKS libérable (Go)],TblApplications[Cluster IKS source],$F1347,TblApplications[Action],"À décommissionner",TblApplications[Mois lib (calc)],"&lt;="&amp;$E1347)))))</f>
        <v/>
      </c>
      <c r="Z1347" s="19" t="str">
        <f t="shared" si="349"/>
        <v/>
      </c>
      <c r="AA1347" s="73" t="str">
        <f t="shared" si="350"/>
        <v/>
      </c>
      <c r="AB1347" s="19" t="str">
        <f t="shared" si="351"/>
        <v/>
      </c>
      <c r="AC1347" s="73" t="str">
        <f t="shared" si="352"/>
        <v/>
      </c>
      <c r="AD1347" s="19" t="str">
        <f t="shared" si="353"/>
        <v/>
      </c>
      <c r="AE1347" s="19" t="str">
        <f t="shared" si="354"/>
        <v/>
      </c>
      <c r="AF1347" s="19" t="str">
        <f>IF($D1347&lt;&gt;1,"",IF(INDEX(TblClusters[Environnement],$B1347)="","(vide)",INDEX(TblClusters[Environnement],$B1347)))</f>
        <v/>
      </c>
      <c r="AG1347" s="19" t="str">
        <f t="shared" si="355"/>
        <v/>
      </c>
      <c r="AH1347" s="19" t="str">
        <f t="shared" si="356"/>
        <v/>
      </c>
      <c r="AI1347" s="19" t="str">
        <f>IF($D1347&lt;&gt;1,"",IF(AND($G1347="IKS",ISNUMBER(INDEX(TblClusters[Fermeture retenue],$B1347))),IF($E1347&gt;=INDEX(TblClusters[Fermeture retenue],$B1347),1,0),0))</f>
        <v/>
      </c>
    </row>
    <row r="1348" spans="1:35" x14ac:dyDescent="0.2">
      <c r="A1348" s="19">
        <v>1343</v>
      </c>
      <c r="B1348" s="19">
        <f t="shared" si="340"/>
        <v>38</v>
      </c>
      <c r="C1348" s="19">
        <f t="shared" si="341"/>
        <v>11</v>
      </c>
      <c r="D1348" s="19">
        <f>IF($C1348&gt;p_horizon,0,IFERROR(IF(AND(INDEX(TblClusters[Cluster],$B1348)&lt;&gt;"",ISNUMBER(INDEX(TblClusters[CPU initial (vCPU)],$B1348)),ISNUMBER(INDEX(TblClusters[CPU min (vCPU)],$B1348)),OR(INDEX(TblClusters[Plateforme],$B1348)="IKS",INDEX(TblClusters[Plateforme],$B1348)="ROKS")),1,0),0))</f>
        <v>0</v>
      </c>
      <c r="E1348" s="72" t="str">
        <f t="shared" si="342"/>
        <v/>
      </c>
      <c r="F1348" s="19" t="str">
        <f>IF($D1348=1,INDEX(TblClusters[Cluster],$B1348),"")</f>
        <v/>
      </c>
      <c r="G1348" s="19" t="str">
        <f>IF($D1348=1,INDEX(TblClusters[Plateforme],$B1348),"")</f>
        <v/>
      </c>
      <c r="H1348" s="19" t="str">
        <f>IF($D1348=1,INDEX(TblClusters[vCPU par nœud],$B1348),"")</f>
        <v/>
      </c>
      <c r="I1348" s="19" t="str">
        <f>IF($D1348=1,INDEX(TblClusters[RAM par nœud (Go)],$B1348),"")</f>
        <v/>
      </c>
      <c r="J1348" s="19" t="str">
        <f>IF($D1348=1,INDEX(TblClusters[Workers min],$B1348),"")</f>
        <v/>
      </c>
      <c r="K1348" s="73" t="str">
        <f>IF($D1348=1,INDEX(TblClusters[Tarif par nœud],$B1348),"")</f>
        <v/>
      </c>
      <c r="L1348" s="19" t="str">
        <f>IF($D1348=1,INDEX(TblClusters[CPU initial (vCPU)],$B1348),"")</f>
        <v/>
      </c>
      <c r="M1348" s="19" t="str">
        <f>IF($D1348=1,INDEX(TblClusters[RAM initiale (Go)],$B1348),"")</f>
        <v/>
      </c>
      <c r="N1348" s="19" t="str">
        <f>IF($D1348=1,INDEX(TblClusters[CPU min (vCPU)],$B1348),"")</f>
        <v/>
      </c>
      <c r="O1348" s="19" t="str">
        <f>IF($D1348=1,INDEX(TblClusters[RAM min (Go)],$B1348),"")</f>
        <v/>
      </c>
      <c r="P1348" s="19" t="str">
        <f>IF($D1348&lt;&gt;1,"",IF($G1348="ROKS",SUMIFS(TblApplications[Besoin ROKS CPU (vCPU)],TblApplications[Cluster ROKS cible],$F1348,TblApplications[Action],"À migrer",TblApplications[Déjà incluse ROKS],"Non",TblApplications[Mois prov (calc)],"&lt;="&amp;$E1348),SUMIFS(TblApplications[CPU IKS libérable (vCPU)],TblApplications[Cluster IKS source],$F1348,TblApplications[Mois lib (calc)],"&lt;="&amp;$E1348)))</f>
        <v/>
      </c>
      <c r="Q1348" s="19" t="str">
        <f>IF($D1348&lt;&gt;1,"",IF($G1348="ROKS",SUMIFS(TblApplications[Besoin ROKS RAM (Go)],TblApplications[Cluster ROKS cible],$F1348,TblApplications[Action],"À migrer",TblApplications[Déjà incluse ROKS],"Non",TblApplications[Mois prov (calc)],"&lt;="&amp;$E1348),SUMIFS(TblApplications[RAM IKS libérable (Go)],TblApplications[Cluster IKS source],$F1348,TblApplications[Mois lib (calc)],"&lt;="&amp;$E1348)))</f>
        <v/>
      </c>
      <c r="R1348" s="19" t="str">
        <f t="shared" si="343"/>
        <v/>
      </c>
      <c r="S1348" s="19" t="str">
        <f t="shared" si="344"/>
        <v/>
      </c>
      <c r="T1348" s="19" t="str">
        <f t="shared" si="345"/>
        <v/>
      </c>
      <c r="U1348" s="19" t="str">
        <f t="shared" si="346"/>
        <v/>
      </c>
      <c r="V1348" s="19" t="str">
        <f t="shared" si="347"/>
        <v/>
      </c>
      <c r="W1348" s="73" t="str">
        <f t="shared" si="348"/>
        <v/>
      </c>
      <c r="X1348" s="19" t="str">
        <f>IF($D1348&lt;&gt;1,"",IF($G1348="ROKS",$R1348,IF($AI1348=1,0,MAX($N1348,$L1348-SUMIFS(TblApplications[CPU IKS libérable (vCPU)],TblApplications[Cluster IKS source],$F1348,TblApplications[Action],"À migrer",TblApplications[Mois prov (calc)],"&lt;="&amp;$E1348)-SUMIFS(TblApplications[CPU IKS libérable (vCPU)],TblApplications[Cluster IKS source],$F1348,TblApplications[Action],"À décommissionner",TblApplications[Mois lib (calc)],"&lt;="&amp;$E1348)))))</f>
        <v/>
      </c>
      <c r="Y1348" s="19" t="str">
        <f>IF($D1348&lt;&gt;1,"",IF($G1348="ROKS",$S1348,IF($AI1348=1,0,MAX($O1348,$M1348-SUMIFS(TblApplications[RAM IKS libérable (Go)],TblApplications[Cluster IKS source],$F1348,TblApplications[Action],"À migrer",TblApplications[Mois prov (calc)],"&lt;="&amp;$E1348)-SUMIFS(TblApplications[RAM IKS libérable (Go)],TblApplications[Cluster IKS source],$F1348,TblApplications[Action],"À décommissionner",TblApplications[Mois lib (calc)],"&lt;="&amp;$E1348)))))</f>
        <v/>
      </c>
      <c r="Z1348" s="19" t="str">
        <f t="shared" si="349"/>
        <v/>
      </c>
      <c r="AA1348" s="73" t="str">
        <f t="shared" si="350"/>
        <v/>
      </c>
      <c r="AB1348" s="19" t="str">
        <f t="shared" si="351"/>
        <v/>
      </c>
      <c r="AC1348" s="73" t="str">
        <f t="shared" si="352"/>
        <v/>
      </c>
      <c r="AD1348" s="19" t="str">
        <f t="shared" si="353"/>
        <v/>
      </c>
      <c r="AE1348" s="19" t="str">
        <f t="shared" si="354"/>
        <v/>
      </c>
      <c r="AF1348" s="19" t="str">
        <f>IF($D1348&lt;&gt;1,"",IF(INDEX(TblClusters[Environnement],$B1348)="","(vide)",INDEX(TblClusters[Environnement],$B1348)))</f>
        <v/>
      </c>
      <c r="AG1348" s="19" t="str">
        <f t="shared" si="355"/>
        <v/>
      </c>
      <c r="AH1348" s="19" t="str">
        <f t="shared" si="356"/>
        <v/>
      </c>
      <c r="AI1348" s="19" t="str">
        <f>IF($D1348&lt;&gt;1,"",IF(AND($G1348="IKS",ISNUMBER(INDEX(TblClusters[Fermeture retenue],$B1348))),IF($E1348&gt;=INDEX(TblClusters[Fermeture retenue],$B1348),1,0),0))</f>
        <v/>
      </c>
    </row>
    <row r="1349" spans="1:35" x14ac:dyDescent="0.2">
      <c r="A1349" s="19">
        <v>1344</v>
      </c>
      <c r="B1349" s="19">
        <f t="shared" si="340"/>
        <v>38</v>
      </c>
      <c r="C1349" s="19">
        <f t="shared" si="341"/>
        <v>12</v>
      </c>
      <c r="D1349" s="19">
        <f>IF($C1349&gt;p_horizon,0,IFERROR(IF(AND(INDEX(TblClusters[Cluster],$B1349)&lt;&gt;"",ISNUMBER(INDEX(TblClusters[CPU initial (vCPU)],$B1349)),ISNUMBER(INDEX(TblClusters[CPU min (vCPU)],$B1349)),OR(INDEX(TblClusters[Plateforme],$B1349)="IKS",INDEX(TblClusters[Plateforme],$B1349)="ROKS")),1,0),0))</f>
        <v>0</v>
      </c>
      <c r="E1349" s="72" t="str">
        <f t="shared" si="342"/>
        <v/>
      </c>
      <c r="F1349" s="19" t="str">
        <f>IF($D1349=1,INDEX(TblClusters[Cluster],$B1349),"")</f>
        <v/>
      </c>
      <c r="G1349" s="19" t="str">
        <f>IF($D1349=1,INDEX(TblClusters[Plateforme],$B1349),"")</f>
        <v/>
      </c>
      <c r="H1349" s="19" t="str">
        <f>IF($D1349=1,INDEX(TblClusters[vCPU par nœud],$B1349),"")</f>
        <v/>
      </c>
      <c r="I1349" s="19" t="str">
        <f>IF($D1349=1,INDEX(TblClusters[RAM par nœud (Go)],$B1349),"")</f>
        <v/>
      </c>
      <c r="J1349" s="19" t="str">
        <f>IF($D1349=1,INDEX(TblClusters[Workers min],$B1349),"")</f>
        <v/>
      </c>
      <c r="K1349" s="73" t="str">
        <f>IF($D1349=1,INDEX(TblClusters[Tarif par nœud],$B1349),"")</f>
        <v/>
      </c>
      <c r="L1349" s="19" t="str">
        <f>IF($D1349=1,INDEX(TblClusters[CPU initial (vCPU)],$B1349),"")</f>
        <v/>
      </c>
      <c r="M1349" s="19" t="str">
        <f>IF($D1349=1,INDEX(TblClusters[RAM initiale (Go)],$B1349),"")</f>
        <v/>
      </c>
      <c r="N1349" s="19" t="str">
        <f>IF($D1349=1,INDEX(TblClusters[CPU min (vCPU)],$B1349),"")</f>
        <v/>
      </c>
      <c r="O1349" s="19" t="str">
        <f>IF($D1349=1,INDEX(TblClusters[RAM min (Go)],$B1349),"")</f>
        <v/>
      </c>
      <c r="P1349" s="19" t="str">
        <f>IF($D1349&lt;&gt;1,"",IF($G1349="ROKS",SUMIFS(TblApplications[Besoin ROKS CPU (vCPU)],TblApplications[Cluster ROKS cible],$F1349,TblApplications[Action],"À migrer",TblApplications[Déjà incluse ROKS],"Non",TblApplications[Mois prov (calc)],"&lt;="&amp;$E1349),SUMIFS(TblApplications[CPU IKS libérable (vCPU)],TblApplications[Cluster IKS source],$F1349,TblApplications[Mois lib (calc)],"&lt;="&amp;$E1349)))</f>
        <v/>
      </c>
      <c r="Q1349" s="19" t="str">
        <f>IF($D1349&lt;&gt;1,"",IF($G1349="ROKS",SUMIFS(TblApplications[Besoin ROKS RAM (Go)],TblApplications[Cluster ROKS cible],$F1349,TblApplications[Action],"À migrer",TblApplications[Déjà incluse ROKS],"Non",TblApplications[Mois prov (calc)],"&lt;="&amp;$E1349),SUMIFS(TblApplications[RAM IKS libérable (Go)],TblApplications[Cluster IKS source],$F1349,TblApplications[Mois lib (calc)],"&lt;="&amp;$E1349)))</f>
        <v/>
      </c>
      <c r="R1349" s="19" t="str">
        <f t="shared" si="343"/>
        <v/>
      </c>
      <c r="S1349" s="19" t="str">
        <f t="shared" si="344"/>
        <v/>
      </c>
      <c r="T1349" s="19" t="str">
        <f t="shared" si="345"/>
        <v/>
      </c>
      <c r="U1349" s="19" t="str">
        <f t="shared" si="346"/>
        <v/>
      </c>
      <c r="V1349" s="19" t="str">
        <f t="shared" si="347"/>
        <v/>
      </c>
      <c r="W1349" s="73" t="str">
        <f t="shared" si="348"/>
        <v/>
      </c>
      <c r="X1349" s="19" t="str">
        <f>IF($D1349&lt;&gt;1,"",IF($G1349="ROKS",$R1349,IF($AI1349=1,0,MAX($N1349,$L1349-SUMIFS(TblApplications[CPU IKS libérable (vCPU)],TblApplications[Cluster IKS source],$F1349,TblApplications[Action],"À migrer",TblApplications[Mois prov (calc)],"&lt;="&amp;$E1349)-SUMIFS(TblApplications[CPU IKS libérable (vCPU)],TblApplications[Cluster IKS source],$F1349,TblApplications[Action],"À décommissionner",TblApplications[Mois lib (calc)],"&lt;="&amp;$E1349)))))</f>
        <v/>
      </c>
      <c r="Y1349" s="19" t="str">
        <f>IF($D1349&lt;&gt;1,"",IF($G1349="ROKS",$S1349,IF($AI1349=1,0,MAX($O1349,$M1349-SUMIFS(TblApplications[RAM IKS libérable (Go)],TblApplications[Cluster IKS source],$F1349,TblApplications[Action],"À migrer",TblApplications[Mois prov (calc)],"&lt;="&amp;$E1349)-SUMIFS(TblApplications[RAM IKS libérable (Go)],TblApplications[Cluster IKS source],$F1349,TblApplications[Action],"À décommissionner",TblApplications[Mois lib (calc)],"&lt;="&amp;$E1349)))))</f>
        <v/>
      </c>
      <c r="Z1349" s="19" t="str">
        <f t="shared" si="349"/>
        <v/>
      </c>
      <c r="AA1349" s="73" t="str">
        <f t="shared" si="350"/>
        <v/>
      </c>
      <c r="AB1349" s="19" t="str">
        <f t="shared" si="351"/>
        <v/>
      </c>
      <c r="AC1349" s="73" t="str">
        <f t="shared" si="352"/>
        <v/>
      </c>
      <c r="AD1349" s="19" t="str">
        <f t="shared" si="353"/>
        <v/>
      </c>
      <c r="AE1349" s="19" t="str">
        <f t="shared" si="354"/>
        <v/>
      </c>
      <c r="AF1349" s="19" t="str">
        <f>IF($D1349&lt;&gt;1,"",IF(INDEX(TblClusters[Environnement],$B1349)="","(vide)",INDEX(TblClusters[Environnement],$B1349)))</f>
        <v/>
      </c>
      <c r="AG1349" s="19" t="str">
        <f t="shared" si="355"/>
        <v/>
      </c>
      <c r="AH1349" s="19" t="str">
        <f t="shared" si="356"/>
        <v/>
      </c>
      <c r="AI1349" s="19" t="str">
        <f>IF($D1349&lt;&gt;1,"",IF(AND($G1349="IKS",ISNUMBER(INDEX(TblClusters[Fermeture retenue],$B1349))),IF($E1349&gt;=INDEX(TblClusters[Fermeture retenue],$B1349),1,0),0))</f>
        <v/>
      </c>
    </row>
    <row r="1350" spans="1:35" x14ac:dyDescent="0.2">
      <c r="A1350" s="19">
        <v>1345</v>
      </c>
      <c r="B1350" s="19">
        <f t="shared" ref="B1350:B1413" si="357">INT(($A1350-1)/36)+1</f>
        <v>38</v>
      </c>
      <c r="C1350" s="19">
        <f t="shared" ref="C1350:C1413" si="358">MOD($A1350-1,36)+1</f>
        <v>13</v>
      </c>
      <c r="D1350" s="19">
        <f>IF($C1350&gt;p_horizon,0,IFERROR(IF(AND(INDEX(TblClusters[Cluster],$B1350)&lt;&gt;"",ISNUMBER(INDEX(TblClusters[CPU initial (vCPU)],$B1350)),ISNUMBER(INDEX(TblClusters[CPU min (vCPU)],$B1350)),OR(INDEX(TblClusters[Plateforme],$B1350)="IKS",INDEX(TblClusters[Plateforme],$B1350)="ROKS")),1,0),0))</f>
        <v>0</v>
      </c>
      <c r="E1350" s="72" t="str">
        <f t="shared" ref="E1350:E1413" si="359">IF($D1350=1,EDATE(p_debut,$C1350-1),"")</f>
        <v/>
      </c>
      <c r="F1350" s="19" t="str">
        <f>IF($D1350=1,INDEX(TblClusters[Cluster],$B1350),"")</f>
        <v/>
      </c>
      <c r="G1350" s="19" t="str">
        <f>IF($D1350=1,INDEX(TblClusters[Plateforme],$B1350),"")</f>
        <v/>
      </c>
      <c r="H1350" s="19" t="str">
        <f>IF($D1350=1,INDEX(TblClusters[vCPU par nœud],$B1350),"")</f>
        <v/>
      </c>
      <c r="I1350" s="19" t="str">
        <f>IF($D1350=1,INDEX(TblClusters[RAM par nœud (Go)],$B1350),"")</f>
        <v/>
      </c>
      <c r="J1350" s="19" t="str">
        <f>IF($D1350=1,INDEX(TblClusters[Workers min],$B1350),"")</f>
        <v/>
      </c>
      <c r="K1350" s="73" t="str">
        <f>IF($D1350=1,INDEX(TblClusters[Tarif par nœud],$B1350),"")</f>
        <v/>
      </c>
      <c r="L1350" s="19" t="str">
        <f>IF($D1350=1,INDEX(TblClusters[CPU initial (vCPU)],$B1350),"")</f>
        <v/>
      </c>
      <c r="M1350" s="19" t="str">
        <f>IF($D1350=1,INDEX(TblClusters[RAM initiale (Go)],$B1350),"")</f>
        <v/>
      </c>
      <c r="N1350" s="19" t="str">
        <f>IF($D1350=1,INDEX(TblClusters[CPU min (vCPU)],$B1350),"")</f>
        <v/>
      </c>
      <c r="O1350" s="19" t="str">
        <f>IF($D1350=1,INDEX(TblClusters[RAM min (Go)],$B1350),"")</f>
        <v/>
      </c>
      <c r="P1350" s="19" t="str">
        <f>IF($D1350&lt;&gt;1,"",IF($G1350="ROKS",SUMIFS(TblApplications[Besoin ROKS CPU (vCPU)],TblApplications[Cluster ROKS cible],$F1350,TblApplications[Action],"À migrer",TblApplications[Déjà incluse ROKS],"Non",TblApplications[Mois prov (calc)],"&lt;="&amp;$E1350),SUMIFS(TblApplications[CPU IKS libérable (vCPU)],TblApplications[Cluster IKS source],$F1350,TblApplications[Mois lib (calc)],"&lt;="&amp;$E1350)))</f>
        <v/>
      </c>
      <c r="Q1350" s="19" t="str">
        <f>IF($D1350&lt;&gt;1,"",IF($G1350="ROKS",SUMIFS(TblApplications[Besoin ROKS RAM (Go)],TblApplications[Cluster ROKS cible],$F1350,TblApplications[Action],"À migrer",TblApplications[Déjà incluse ROKS],"Non",TblApplications[Mois prov (calc)],"&lt;="&amp;$E1350),SUMIFS(TblApplications[RAM IKS libérable (Go)],TblApplications[Cluster IKS source],$F1350,TblApplications[Mois lib (calc)],"&lt;="&amp;$E1350)))</f>
        <v/>
      </c>
      <c r="R1350" s="19" t="str">
        <f t="shared" ref="R1350:R1413" si="360">IF($D1350&lt;&gt;1,"",IF($G1350="ROKS",$L1350+$P1350,IF($AI1350=1,0,MAX($N1350,$L1350-$P1350))))</f>
        <v/>
      </c>
      <c r="S1350" s="19" t="str">
        <f t="shared" ref="S1350:S1413" si="361">IF($D1350&lt;&gt;1,"",IF($G1350="ROKS",$M1350+$Q1350,IF($AI1350=1,0,MAX($O1350,$M1350-$Q1350))))</f>
        <v/>
      </c>
      <c r="T1350" s="19" t="str">
        <f t="shared" ref="T1350:T1413" si="362">IF($D1350&lt;&gt;1,"",IF($AI1350=1,0,MAX($J1350,ROUNDUP(MAX($R1350/$H1350,$S1350/$I1350),0))))</f>
        <v/>
      </c>
      <c r="U1350" s="19" t="str">
        <f t="shared" ref="U1350:U1413" si="363">IF($D1350&lt;&gt;1,"",IF(p_mode="Nœud",$T1350*$H1350,$R1350))</f>
        <v/>
      </c>
      <c r="V1350" s="19" t="str">
        <f t="shared" ref="V1350:V1413" si="364">IF($D1350&lt;&gt;1,"",IF(p_mode="Nœud",$T1350*$I1350,$S1350))</f>
        <v/>
      </c>
      <c r="W1350" s="73" t="str">
        <f t="shared" ref="W1350:W1413" si="365">IF($D1350&lt;&gt;1,"",IF(p_mode="Nœud",$T1350*$K1350,$R1350*IF($G1350="IKS",p_iks_cpu,p_roks_cpu)+$S1350*IF($G1350="IKS",p_iks_ram,p_roks_ram))*p_facteur)</f>
        <v/>
      </c>
      <c r="X1350" s="19" t="str">
        <f>IF($D1350&lt;&gt;1,"",IF($G1350="ROKS",$R1350,IF($AI1350=1,0,MAX($N1350,$L1350-SUMIFS(TblApplications[CPU IKS libérable (vCPU)],TblApplications[Cluster IKS source],$F1350,TblApplications[Action],"À migrer",TblApplications[Mois prov (calc)],"&lt;="&amp;$E1350)-SUMIFS(TblApplications[CPU IKS libérable (vCPU)],TblApplications[Cluster IKS source],$F1350,TblApplications[Action],"À décommissionner",TblApplications[Mois lib (calc)],"&lt;="&amp;$E1350)))))</f>
        <v/>
      </c>
      <c r="Y1350" s="19" t="str">
        <f>IF($D1350&lt;&gt;1,"",IF($G1350="ROKS",$S1350,IF($AI1350=1,0,MAX($O1350,$M1350-SUMIFS(TblApplications[RAM IKS libérable (Go)],TblApplications[Cluster IKS source],$F1350,TblApplications[Action],"À migrer",TblApplications[Mois prov (calc)],"&lt;="&amp;$E1350)-SUMIFS(TblApplications[RAM IKS libérable (Go)],TblApplications[Cluster IKS source],$F1350,TblApplications[Action],"À décommissionner",TblApplications[Mois lib (calc)],"&lt;="&amp;$E1350)))))</f>
        <v/>
      </c>
      <c r="Z1350" s="19" t="str">
        <f t="shared" ref="Z1350:Z1413" si="366">IF($D1350&lt;&gt;1,"",IF($AI1350=1,0,MAX($J1350,ROUNDUP(MAX($X1350/$H1350,$Y1350/$I1350),0))))</f>
        <v/>
      </c>
      <c r="AA1350" s="73" t="str">
        <f t="shared" ref="AA1350:AA1413" si="367">IF($D1350&lt;&gt;1,"",IF(p_mode="Nœud",$Z1350*$K1350,$X1350*IF($G1350="IKS",p_iks_cpu,p_roks_cpu)+$Y1350*IF($G1350="IKS",p_iks_ram,p_roks_ram))*p_facteur)</f>
        <v/>
      </c>
      <c r="AB1350" s="19" t="str">
        <f t="shared" ref="AB1350:AB1413" si="368">IF($D1350&lt;&gt;1,"",MAX($J1350,ROUNDUP(MAX($L1350/$H1350,$M1350/$I1350),0)))</f>
        <v/>
      </c>
      <c r="AC1350" s="73" t="str">
        <f t="shared" ref="AC1350:AC1413" si="369">IF($D1350&lt;&gt;1,"",IF(p_mode="Nœud",$AB1350*$K1350,$L1350*IF($G1350="IKS",p_iks_cpu,p_roks_cpu)+$M1350*IF($G1350="IKS",p_iks_ram,p_roks_ram))*p_facteur)</f>
        <v/>
      </c>
      <c r="AD1350" s="19" t="str">
        <f t="shared" ref="AD1350:AD1413" si="370">IF($D1350&lt;&gt;1,"",IF(AND($G1350="IKS",$AI1350&lt;&gt;1,OR($L1350-$P1350&lt;$N1350,$M1350-$Q1350&lt;$O1350)),1,0))</f>
        <v/>
      </c>
      <c r="AE1350" s="19" t="str">
        <f t="shared" ref="AE1350:AE1413" si="371">IF($D1350&lt;&gt;1,"",IF(AND($G1350="ROKS",$T1350&gt;p_maxworkers),1,0))</f>
        <v/>
      </c>
      <c r="AF1350" s="19" t="str">
        <f>IF($D1350&lt;&gt;1,"",IF(INDEX(TblClusters[Environnement],$B1350)="","(vide)",INDEX(TblClusters[Environnement],$B1350)))</f>
        <v/>
      </c>
      <c r="AG1350" s="19" t="str">
        <f t="shared" ref="AG1350:AG1413" si="372">IF($D1350&lt;&gt;1,"",$R1350+p_poidsram*$S1350)</f>
        <v/>
      </c>
      <c r="AH1350" s="19" t="str">
        <f t="shared" ref="AH1350:AH1413" si="373">IF($D1350&lt;&gt;1,"",IFERROR($W1350/$AG1350,0))</f>
        <v/>
      </c>
      <c r="AI1350" s="19" t="str">
        <f>IF($D1350&lt;&gt;1,"",IF(AND($G1350="IKS",ISNUMBER(INDEX(TblClusters[Fermeture retenue],$B1350))),IF($E1350&gt;=INDEX(TblClusters[Fermeture retenue],$B1350),1,0),0))</f>
        <v/>
      </c>
    </row>
    <row r="1351" spans="1:35" x14ac:dyDescent="0.2">
      <c r="A1351" s="19">
        <v>1346</v>
      </c>
      <c r="B1351" s="19">
        <f t="shared" si="357"/>
        <v>38</v>
      </c>
      <c r="C1351" s="19">
        <f t="shared" si="358"/>
        <v>14</v>
      </c>
      <c r="D1351" s="19">
        <f>IF($C1351&gt;p_horizon,0,IFERROR(IF(AND(INDEX(TblClusters[Cluster],$B1351)&lt;&gt;"",ISNUMBER(INDEX(TblClusters[CPU initial (vCPU)],$B1351)),ISNUMBER(INDEX(TblClusters[CPU min (vCPU)],$B1351)),OR(INDEX(TblClusters[Plateforme],$B1351)="IKS",INDEX(TblClusters[Plateforme],$B1351)="ROKS")),1,0),0))</f>
        <v>0</v>
      </c>
      <c r="E1351" s="72" t="str">
        <f t="shared" si="359"/>
        <v/>
      </c>
      <c r="F1351" s="19" t="str">
        <f>IF($D1351=1,INDEX(TblClusters[Cluster],$B1351),"")</f>
        <v/>
      </c>
      <c r="G1351" s="19" t="str">
        <f>IF($D1351=1,INDEX(TblClusters[Plateforme],$B1351),"")</f>
        <v/>
      </c>
      <c r="H1351" s="19" t="str">
        <f>IF($D1351=1,INDEX(TblClusters[vCPU par nœud],$B1351),"")</f>
        <v/>
      </c>
      <c r="I1351" s="19" t="str">
        <f>IF($D1351=1,INDEX(TblClusters[RAM par nœud (Go)],$B1351),"")</f>
        <v/>
      </c>
      <c r="J1351" s="19" t="str">
        <f>IF($D1351=1,INDEX(TblClusters[Workers min],$B1351),"")</f>
        <v/>
      </c>
      <c r="K1351" s="73" t="str">
        <f>IF($D1351=1,INDEX(TblClusters[Tarif par nœud],$B1351),"")</f>
        <v/>
      </c>
      <c r="L1351" s="19" t="str">
        <f>IF($D1351=1,INDEX(TblClusters[CPU initial (vCPU)],$B1351),"")</f>
        <v/>
      </c>
      <c r="M1351" s="19" t="str">
        <f>IF($D1351=1,INDEX(TblClusters[RAM initiale (Go)],$B1351),"")</f>
        <v/>
      </c>
      <c r="N1351" s="19" t="str">
        <f>IF($D1351=1,INDEX(TblClusters[CPU min (vCPU)],$B1351),"")</f>
        <v/>
      </c>
      <c r="O1351" s="19" t="str">
        <f>IF($D1351=1,INDEX(TblClusters[RAM min (Go)],$B1351),"")</f>
        <v/>
      </c>
      <c r="P1351" s="19" t="str">
        <f>IF($D1351&lt;&gt;1,"",IF($G1351="ROKS",SUMIFS(TblApplications[Besoin ROKS CPU (vCPU)],TblApplications[Cluster ROKS cible],$F1351,TblApplications[Action],"À migrer",TblApplications[Déjà incluse ROKS],"Non",TblApplications[Mois prov (calc)],"&lt;="&amp;$E1351),SUMIFS(TblApplications[CPU IKS libérable (vCPU)],TblApplications[Cluster IKS source],$F1351,TblApplications[Mois lib (calc)],"&lt;="&amp;$E1351)))</f>
        <v/>
      </c>
      <c r="Q1351" s="19" t="str">
        <f>IF($D1351&lt;&gt;1,"",IF($G1351="ROKS",SUMIFS(TblApplications[Besoin ROKS RAM (Go)],TblApplications[Cluster ROKS cible],$F1351,TblApplications[Action],"À migrer",TblApplications[Déjà incluse ROKS],"Non",TblApplications[Mois prov (calc)],"&lt;="&amp;$E1351),SUMIFS(TblApplications[RAM IKS libérable (Go)],TblApplications[Cluster IKS source],$F1351,TblApplications[Mois lib (calc)],"&lt;="&amp;$E1351)))</f>
        <v/>
      </c>
      <c r="R1351" s="19" t="str">
        <f t="shared" si="360"/>
        <v/>
      </c>
      <c r="S1351" s="19" t="str">
        <f t="shared" si="361"/>
        <v/>
      </c>
      <c r="T1351" s="19" t="str">
        <f t="shared" si="362"/>
        <v/>
      </c>
      <c r="U1351" s="19" t="str">
        <f t="shared" si="363"/>
        <v/>
      </c>
      <c r="V1351" s="19" t="str">
        <f t="shared" si="364"/>
        <v/>
      </c>
      <c r="W1351" s="73" t="str">
        <f t="shared" si="365"/>
        <v/>
      </c>
      <c r="X1351" s="19" t="str">
        <f>IF($D1351&lt;&gt;1,"",IF($G1351="ROKS",$R1351,IF($AI1351=1,0,MAX($N1351,$L1351-SUMIFS(TblApplications[CPU IKS libérable (vCPU)],TblApplications[Cluster IKS source],$F1351,TblApplications[Action],"À migrer",TblApplications[Mois prov (calc)],"&lt;="&amp;$E1351)-SUMIFS(TblApplications[CPU IKS libérable (vCPU)],TblApplications[Cluster IKS source],$F1351,TblApplications[Action],"À décommissionner",TblApplications[Mois lib (calc)],"&lt;="&amp;$E1351)))))</f>
        <v/>
      </c>
      <c r="Y1351" s="19" t="str">
        <f>IF($D1351&lt;&gt;1,"",IF($G1351="ROKS",$S1351,IF($AI1351=1,0,MAX($O1351,$M1351-SUMIFS(TblApplications[RAM IKS libérable (Go)],TblApplications[Cluster IKS source],$F1351,TblApplications[Action],"À migrer",TblApplications[Mois prov (calc)],"&lt;="&amp;$E1351)-SUMIFS(TblApplications[RAM IKS libérable (Go)],TblApplications[Cluster IKS source],$F1351,TblApplications[Action],"À décommissionner",TblApplications[Mois lib (calc)],"&lt;="&amp;$E1351)))))</f>
        <v/>
      </c>
      <c r="Z1351" s="19" t="str">
        <f t="shared" si="366"/>
        <v/>
      </c>
      <c r="AA1351" s="73" t="str">
        <f t="shared" si="367"/>
        <v/>
      </c>
      <c r="AB1351" s="19" t="str">
        <f t="shared" si="368"/>
        <v/>
      </c>
      <c r="AC1351" s="73" t="str">
        <f t="shared" si="369"/>
        <v/>
      </c>
      <c r="AD1351" s="19" t="str">
        <f t="shared" si="370"/>
        <v/>
      </c>
      <c r="AE1351" s="19" t="str">
        <f t="shared" si="371"/>
        <v/>
      </c>
      <c r="AF1351" s="19" t="str">
        <f>IF($D1351&lt;&gt;1,"",IF(INDEX(TblClusters[Environnement],$B1351)="","(vide)",INDEX(TblClusters[Environnement],$B1351)))</f>
        <v/>
      </c>
      <c r="AG1351" s="19" t="str">
        <f t="shared" si="372"/>
        <v/>
      </c>
      <c r="AH1351" s="19" t="str">
        <f t="shared" si="373"/>
        <v/>
      </c>
      <c r="AI1351" s="19" t="str">
        <f>IF($D1351&lt;&gt;1,"",IF(AND($G1351="IKS",ISNUMBER(INDEX(TblClusters[Fermeture retenue],$B1351))),IF($E1351&gt;=INDEX(TblClusters[Fermeture retenue],$B1351),1,0),0))</f>
        <v/>
      </c>
    </row>
    <row r="1352" spans="1:35" x14ac:dyDescent="0.2">
      <c r="A1352" s="19">
        <v>1347</v>
      </c>
      <c r="B1352" s="19">
        <f t="shared" si="357"/>
        <v>38</v>
      </c>
      <c r="C1352" s="19">
        <f t="shared" si="358"/>
        <v>15</v>
      </c>
      <c r="D1352" s="19">
        <f>IF($C1352&gt;p_horizon,0,IFERROR(IF(AND(INDEX(TblClusters[Cluster],$B1352)&lt;&gt;"",ISNUMBER(INDEX(TblClusters[CPU initial (vCPU)],$B1352)),ISNUMBER(INDEX(TblClusters[CPU min (vCPU)],$B1352)),OR(INDEX(TblClusters[Plateforme],$B1352)="IKS",INDEX(TblClusters[Plateforme],$B1352)="ROKS")),1,0),0))</f>
        <v>0</v>
      </c>
      <c r="E1352" s="72" t="str">
        <f t="shared" si="359"/>
        <v/>
      </c>
      <c r="F1352" s="19" t="str">
        <f>IF($D1352=1,INDEX(TblClusters[Cluster],$B1352),"")</f>
        <v/>
      </c>
      <c r="G1352" s="19" t="str">
        <f>IF($D1352=1,INDEX(TblClusters[Plateforme],$B1352),"")</f>
        <v/>
      </c>
      <c r="H1352" s="19" t="str">
        <f>IF($D1352=1,INDEX(TblClusters[vCPU par nœud],$B1352),"")</f>
        <v/>
      </c>
      <c r="I1352" s="19" t="str">
        <f>IF($D1352=1,INDEX(TblClusters[RAM par nœud (Go)],$B1352),"")</f>
        <v/>
      </c>
      <c r="J1352" s="19" t="str">
        <f>IF($D1352=1,INDEX(TblClusters[Workers min],$B1352),"")</f>
        <v/>
      </c>
      <c r="K1352" s="73" t="str">
        <f>IF($D1352=1,INDEX(TblClusters[Tarif par nœud],$B1352),"")</f>
        <v/>
      </c>
      <c r="L1352" s="19" t="str">
        <f>IF($D1352=1,INDEX(TblClusters[CPU initial (vCPU)],$B1352),"")</f>
        <v/>
      </c>
      <c r="M1352" s="19" t="str">
        <f>IF($D1352=1,INDEX(TblClusters[RAM initiale (Go)],$B1352),"")</f>
        <v/>
      </c>
      <c r="N1352" s="19" t="str">
        <f>IF($D1352=1,INDEX(TblClusters[CPU min (vCPU)],$B1352),"")</f>
        <v/>
      </c>
      <c r="O1352" s="19" t="str">
        <f>IF($D1352=1,INDEX(TblClusters[RAM min (Go)],$B1352),"")</f>
        <v/>
      </c>
      <c r="P1352" s="19" t="str">
        <f>IF($D1352&lt;&gt;1,"",IF($G1352="ROKS",SUMIFS(TblApplications[Besoin ROKS CPU (vCPU)],TblApplications[Cluster ROKS cible],$F1352,TblApplications[Action],"À migrer",TblApplications[Déjà incluse ROKS],"Non",TblApplications[Mois prov (calc)],"&lt;="&amp;$E1352),SUMIFS(TblApplications[CPU IKS libérable (vCPU)],TblApplications[Cluster IKS source],$F1352,TblApplications[Mois lib (calc)],"&lt;="&amp;$E1352)))</f>
        <v/>
      </c>
      <c r="Q1352" s="19" t="str">
        <f>IF($D1352&lt;&gt;1,"",IF($G1352="ROKS",SUMIFS(TblApplications[Besoin ROKS RAM (Go)],TblApplications[Cluster ROKS cible],$F1352,TblApplications[Action],"À migrer",TblApplications[Déjà incluse ROKS],"Non",TblApplications[Mois prov (calc)],"&lt;="&amp;$E1352),SUMIFS(TblApplications[RAM IKS libérable (Go)],TblApplications[Cluster IKS source],$F1352,TblApplications[Mois lib (calc)],"&lt;="&amp;$E1352)))</f>
        <v/>
      </c>
      <c r="R1352" s="19" t="str">
        <f t="shared" si="360"/>
        <v/>
      </c>
      <c r="S1352" s="19" t="str">
        <f t="shared" si="361"/>
        <v/>
      </c>
      <c r="T1352" s="19" t="str">
        <f t="shared" si="362"/>
        <v/>
      </c>
      <c r="U1352" s="19" t="str">
        <f t="shared" si="363"/>
        <v/>
      </c>
      <c r="V1352" s="19" t="str">
        <f t="shared" si="364"/>
        <v/>
      </c>
      <c r="W1352" s="73" t="str">
        <f t="shared" si="365"/>
        <v/>
      </c>
      <c r="X1352" s="19" t="str">
        <f>IF($D1352&lt;&gt;1,"",IF($G1352="ROKS",$R1352,IF($AI1352=1,0,MAX($N1352,$L1352-SUMIFS(TblApplications[CPU IKS libérable (vCPU)],TblApplications[Cluster IKS source],$F1352,TblApplications[Action],"À migrer",TblApplications[Mois prov (calc)],"&lt;="&amp;$E1352)-SUMIFS(TblApplications[CPU IKS libérable (vCPU)],TblApplications[Cluster IKS source],$F1352,TblApplications[Action],"À décommissionner",TblApplications[Mois lib (calc)],"&lt;="&amp;$E1352)))))</f>
        <v/>
      </c>
      <c r="Y1352" s="19" t="str">
        <f>IF($D1352&lt;&gt;1,"",IF($G1352="ROKS",$S1352,IF($AI1352=1,0,MAX($O1352,$M1352-SUMIFS(TblApplications[RAM IKS libérable (Go)],TblApplications[Cluster IKS source],$F1352,TblApplications[Action],"À migrer",TblApplications[Mois prov (calc)],"&lt;="&amp;$E1352)-SUMIFS(TblApplications[RAM IKS libérable (Go)],TblApplications[Cluster IKS source],$F1352,TblApplications[Action],"À décommissionner",TblApplications[Mois lib (calc)],"&lt;="&amp;$E1352)))))</f>
        <v/>
      </c>
      <c r="Z1352" s="19" t="str">
        <f t="shared" si="366"/>
        <v/>
      </c>
      <c r="AA1352" s="73" t="str">
        <f t="shared" si="367"/>
        <v/>
      </c>
      <c r="AB1352" s="19" t="str">
        <f t="shared" si="368"/>
        <v/>
      </c>
      <c r="AC1352" s="73" t="str">
        <f t="shared" si="369"/>
        <v/>
      </c>
      <c r="AD1352" s="19" t="str">
        <f t="shared" si="370"/>
        <v/>
      </c>
      <c r="AE1352" s="19" t="str">
        <f t="shared" si="371"/>
        <v/>
      </c>
      <c r="AF1352" s="19" t="str">
        <f>IF($D1352&lt;&gt;1,"",IF(INDEX(TblClusters[Environnement],$B1352)="","(vide)",INDEX(TblClusters[Environnement],$B1352)))</f>
        <v/>
      </c>
      <c r="AG1352" s="19" t="str">
        <f t="shared" si="372"/>
        <v/>
      </c>
      <c r="AH1352" s="19" t="str">
        <f t="shared" si="373"/>
        <v/>
      </c>
      <c r="AI1352" s="19" t="str">
        <f>IF($D1352&lt;&gt;1,"",IF(AND($G1352="IKS",ISNUMBER(INDEX(TblClusters[Fermeture retenue],$B1352))),IF($E1352&gt;=INDEX(TblClusters[Fermeture retenue],$B1352),1,0),0))</f>
        <v/>
      </c>
    </row>
    <row r="1353" spans="1:35" x14ac:dyDescent="0.2">
      <c r="A1353" s="19">
        <v>1348</v>
      </c>
      <c r="B1353" s="19">
        <f t="shared" si="357"/>
        <v>38</v>
      </c>
      <c r="C1353" s="19">
        <f t="shared" si="358"/>
        <v>16</v>
      </c>
      <c r="D1353" s="19">
        <f>IF($C1353&gt;p_horizon,0,IFERROR(IF(AND(INDEX(TblClusters[Cluster],$B1353)&lt;&gt;"",ISNUMBER(INDEX(TblClusters[CPU initial (vCPU)],$B1353)),ISNUMBER(INDEX(TblClusters[CPU min (vCPU)],$B1353)),OR(INDEX(TblClusters[Plateforme],$B1353)="IKS",INDEX(TblClusters[Plateforme],$B1353)="ROKS")),1,0),0))</f>
        <v>0</v>
      </c>
      <c r="E1353" s="72" t="str">
        <f t="shared" si="359"/>
        <v/>
      </c>
      <c r="F1353" s="19" t="str">
        <f>IF($D1353=1,INDEX(TblClusters[Cluster],$B1353),"")</f>
        <v/>
      </c>
      <c r="G1353" s="19" t="str">
        <f>IF($D1353=1,INDEX(TblClusters[Plateforme],$B1353),"")</f>
        <v/>
      </c>
      <c r="H1353" s="19" t="str">
        <f>IF($D1353=1,INDEX(TblClusters[vCPU par nœud],$B1353),"")</f>
        <v/>
      </c>
      <c r="I1353" s="19" t="str">
        <f>IF($D1353=1,INDEX(TblClusters[RAM par nœud (Go)],$B1353),"")</f>
        <v/>
      </c>
      <c r="J1353" s="19" t="str">
        <f>IF($D1353=1,INDEX(TblClusters[Workers min],$B1353),"")</f>
        <v/>
      </c>
      <c r="K1353" s="73" t="str">
        <f>IF($D1353=1,INDEX(TblClusters[Tarif par nœud],$B1353),"")</f>
        <v/>
      </c>
      <c r="L1353" s="19" t="str">
        <f>IF($D1353=1,INDEX(TblClusters[CPU initial (vCPU)],$B1353),"")</f>
        <v/>
      </c>
      <c r="M1353" s="19" t="str">
        <f>IF($D1353=1,INDEX(TblClusters[RAM initiale (Go)],$B1353),"")</f>
        <v/>
      </c>
      <c r="N1353" s="19" t="str">
        <f>IF($D1353=1,INDEX(TblClusters[CPU min (vCPU)],$B1353),"")</f>
        <v/>
      </c>
      <c r="O1353" s="19" t="str">
        <f>IF($D1353=1,INDEX(TblClusters[RAM min (Go)],$B1353),"")</f>
        <v/>
      </c>
      <c r="P1353" s="19" t="str">
        <f>IF($D1353&lt;&gt;1,"",IF($G1353="ROKS",SUMIFS(TblApplications[Besoin ROKS CPU (vCPU)],TblApplications[Cluster ROKS cible],$F1353,TblApplications[Action],"À migrer",TblApplications[Déjà incluse ROKS],"Non",TblApplications[Mois prov (calc)],"&lt;="&amp;$E1353),SUMIFS(TblApplications[CPU IKS libérable (vCPU)],TblApplications[Cluster IKS source],$F1353,TblApplications[Mois lib (calc)],"&lt;="&amp;$E1353)))</f>
        <v/>
      </c>
      <c r="Q1353" s="19" t="str">
        <f>IF($D1353&lt;&gt;1,"",IF($G1353="ROKS",SUMIFS(TblApplications[Besoin ROKS RAM (Go)],TblApplications[Cluster ROKS cible],$F1353,TblApplications[Action],"À migrer",TblApplications[Déjà incluse ROKS],"Non",TblApplications[Mois prov (calc)],"&lt;="&amp;$E1353),SUMIFS(TblApplications[RAM IKS libérable (Go)],TblApplications[Cluster IKS source],$F1353,TblApplications[Mois lib (calc)],"&lt;="&amp;$E1353)))</f>
        <v/>
      </c>
      <c r="R1353" s="19" t="str">
        <f t="shared" si="360"/>
        <v/>
      </c>
      <c r="S1353" s="19" t="str">
        <f t="shared" si="361"/>
        <v/>
      </c>
      <c r="T1353" s="19" t="str">
        <f t="shared" si="362"/>
        <v/>
      </c>
      <c r="U1353" s="19" t="str">
        <f t="shared" si="363"/>
        <v/>
      </c>
      <c r="V1353" s="19" t="str">
        <f t="shared" si="364"/>
        <v/>
      </c>
      <c r="W1353" s="73" t="str">
        <f t="shared" si="365"/>
        <v/>
      </c>
      <c r="X1353" s="19" t="str">
        <f>IF($D1353&lt;&gt;1,"",IF($G1353="ROKS",$R1353,IF($AI1353=1,0,MAX($N1353,$L1353-SUMIFS(TblApplications[CPU IKS libérable (vCPU)],TblApplications[Cluster IKS source],$F1353,TblApplications[Action],"À migrer",TblApplications[Mois prov (calc)],"&lt;="&amp;$E1353)-SUMIFS(TblApplications[CPU IKS libérable (vCPU)],TblApplications[Cluster IKS source],$F1353,TblApplications[Action],"À décommissionner",TblApplications[Mois lib (calc)],"&lt;="&amp;$E1353)))))</f>
        <v/>
      </c>
      <c r="Y1353" s="19" t="str">
        <f>IF($D1353&lt;&gt;1,"",IF($G1353="ROKS",$S1353,IF($AI1353=1,0,MAX($O1353,$M1353-SUMIFS(TblApplications[RAM IKS libérable (Go)],TblApplications[Cluster IKS source],$F1353,TblApplications[Action],"À migrer",TblApplications[Mois prov (calc)],"&lt;="&amp;$E1353)-SUMIFS(TblApplications[RAM IKS libérable (Go)],TblApplications[Cluster IKS source],$F1353,TblApplications[Action],"À décommissionner",TblApplications[Mois lib (calc)],"&lt;="&amp;$E1353)))))</f>
        <v/>
      </c>
      <c r="Z1353" s="19" t="str">
        <f t="shared" si="366"/>
        <v/>
      </c>
      <c r="AA1353" s="73" t="str">
        <f t="shared" si="367"/>
        <v/>
      </c>
      <c r="AB1353" s="19" t="str">
        <f t="shared" si="368"/>
        <v/>
      </c>
      <c r="AC1353" s="73" t="str">
        <f t="shared" si="369"/>
        <v/>
      </c>
      <c r="AD1353" s="19" t="str">
        <f t="shared" si="370"/>
        <v/>
      </c>
      <c r="AE1353" s="19" t="str">
        <f t="shared" si="371"/>
        <v/>
      </c>
      <c r="AF1353" s="19" t="str">
        <f>IF($D1353&lt;&gt;1,"",IF(INDEX(TblClusters[Environnement],$B1353)="","(vide)",INDEX(TblClusters[Environnement],$B1353)))</f>
        <v/>
      </c>
      <c r="AG1353" s="19" t="str">
        <f t="shared" si="372"/>
        <v/>
      </c>
      <c r="AH1353" s="19" t="str">
        <f t="shared" si="373"/>
        <v/>
      </c>
      <c r="AI1353" s="19" t="str">
        <f>IF($D1353&lt;&gt;1,"",IF(AND($G1353="IKS",ISNUMBER(INDEX(TblClusters[Fermeture retenue],$B1353))),IF($E1353&gt;=INDEX(TblClusters[Fermeture retenue],$B1353),1,0),0))</f>
        <v/>
      </c>
    </row>
    <row r="1354" spans="1:35" x14ac:dyDescent="0.2">
      <c r="A1354" s="19">
        <v>1349</v>
      </c>
      <c r="B1354" s="19">
        <f t="shared" si="357"/>
        <v>38</v>
      </c>
      <c r="C1354" s="19">
        <f t="shared" si="358"/>
        <v>17</v>
      </c>
      <c r="D1354" s="19">
        <f>IF($C1354&gt;p_horizon,0,IFERROR(IF(AND(INDEX(TblClusters[Cluster],$B1354)&lt;&gt;"",ISNUMBER(INDEX(TblClusters[CPU initial (vCPU)],$B1354)),ISNUMBER(INDEX(TblClusters[CPU min (vCPU)],$B1354)),OR(INDEX(TblClusters[Plateforme],$B1354)="IKS",INDEX(TblClusters[Plateforme],$B1354)="ROKS")),1,0),0))</f>
        <v>0</v>
      </c>
      <c r="E1354" s="72" t="str">
        <f t="shared" si="359"/>
        <v/>
      </c>
      <c r="F1354" s="19" t="str">
        <f>IF($D1354=1,INDEX(TblClusters[Cluster],$B1354),"")</f>
        <v/>
      </c>
      <c r="G1354" s="19" t="str">
        <f>IF($D1354=1,INDEX(TblClusters[Plateforme],$B1354),"")</f>
        <v/>
      </c>
      <c r="H1354" s="19" t="str">
        <f>IF($D1354=1,INDEX(TblClusters[vCPU par nœud],$B1354),"")</f>
        <v/>
      </c>
      <c r="I1354" s="19" t="str">
        <f>IF($D1354=1,INDEX(TblClusters[RAM par nœud (Go)],$B1354),"")</f>
        <v/>
      </c>
      <c r="J1354" s="19" t="str">
        <f>IF($D1354=1,INDEX(TblClusters[Workers min],$B1354),"")</f>
        <v/>
      </c>
      <c r="K1354" s="73" t="str">
        <f>IF($D1354=1,INDEX(TblClusters[Tarif par nœud],$B1354),"")</f>
        <v/>
      </c>
      <c r="L1354" s="19" t="str">
        <f>IF($D1354=1,INDEX(TblClusters[CPU initial (vCPU)],$B1354),"")</f>
        <v/>
      </c>
      <c r="M1354" s="19" t="str">
        <f>IF($D1354=1,INDEX(TblClusters[RAM initiale (Go)],$B1354),"")</f>
        <v/>
      </c>
      <c r="N1354" s="19" t="str">
        <f>IF($D1354=1,INDEX(TblClusters[CPU min (vCPU)],$B1354),"")</f>
        <v/>
      </c>
      <c r="O1354" s="19" t="str">
        <f>IF($D1354=1,INDEX(TblClusters[RAM min (Go)],$B1354),"")</f>
        <v/>
      </c>
      <c r="P1354" s="19" t="str">
        <f>IF($D1354&lt;&gt;1,"",IF($G1354="ROKS",SUMIFS(TblApplications[Besoin ROKS CPU (vCPU)],TblApplications[Cluster ROKS cible],$F1354,TblApplications[Action],"À migrer",TblApplications[Déjà incluse ROKS],"Non",TblApplications[Mois prov (calc)],"&lt;="&amp;$E1354),SUMIFS(TblApplications[CPU IKS libérable (vCPU)],TblApplications[Cluster IKS source],$F1354,TblApplications[Mois lib (calc)],"&lt;="&amp;$E1354)))</f>
        <v/>
      </c>
      <c r="Q1354" s="19" t="str">
        <f>IF($D1354&lt;&gt;1,"",IF($G1354="ROKS",SUMIFS(TblApplications[Besoin ROKS RAM (Go)],TblApplications[Cluster ROKS cible],$F1354,TblApplications[Action],"À migrer",TblApplications[Déjà incluse ROKS],"Non",TblApplications[Mois prov (calc)],"&lt;="&amp;$E1354),SUMIFS(TblApplications[RAM IKS libérable (Go)],TblApplications[Cluster IKS source],$F1354,TblApplications[Mois lib (calc)],"&lt;="&amp;$E1354)))</f>
        <v/>
      </c>
      <c r="R1354" s="19" t="str">
        <f t="shared" si="360"/>
        <v/>
      </c>
      <c r="S1354" s="19" t="str">
        <f t="shared" si="361"/>
        <v/>
      </c>
      <c r="T1354" s="19" t="str">
        <f t="shared" si="362"/>
        <v/>
      </c>
      <c r="U1354" s="19" t="str">
        <f t="shared" si="363"/>
        <v/>
      </c>
      <c r="V1354" s="19" t="str">
        <f t="shared" si="364"/>
        <v/>
      </c>
      <c r="W1354" s="73" t="str">
        <f t="shared" si="365"/>
        <v/>
      </c>
      <c r="X1354" s="19" t="str">
        <f>IF($D1354&lt;&gt;1,"",IF($G1354="ROKS",$R1354,IF($AI1354=1,0,MAX($N1354,$L1354-SUMIFS(TblApplications[CPU IKS libérable (vCPU)],TblApplications[Cluster IKS source],$F1354,TblApplications[Action],"À migrer",TblApplications[Mois prov (calc)],"&lt;="&amp;$E1354)-SUMIFS(TblApplications[CPU IKS libérable (vCPU)],TblApplications[Cluster IKS source],$F1354,TblApplications[Action],"À décommissionner",TblApplications[Mois lib (calc)],"&lt;="&amp;$E1354)))))</f>
        <v/>
      </c>
      <c r="Y1354" s="19" t="str">
        <f>IF($D1354&lt;&gt;1,"",IF($G1354="ROKS",$S1354,IF($AI1354=1,0,MAX($O1354,$M1354-SUMIFS(TblApplications[RAM IKS libérable (Go)],TblApplications[Cluster IKS source],$F1354,TblApplications[Action],"À migrer",TblApplications[Mois prov (calc)],"&lt;="&amp;$E1354)-SUMIFS(TblApplications[RAM IKS libérable (Go)],TblApplications[Cluster IKS source],$F1354,TblApplications[Action],"À décommissionner",TblApplications[Mois lib (calc)],"&lt;="&amp;$E1354)))))</f>
        <v/>
      </c>
      <c r="Z1354" s="19" t="str">
        <f t="shared" si="366"/>
        <v/>
      </c>
      <c r="AA1354" s="73" t="str">
        <f t="shared" si="367"/>
        <v/>
      </c>
      <c r="AB1354" s="19" t="str">
        <f t="shared" si="368"/>
        <v/>
      </c>
      <c r="AC1354" s="73" t="str">
        <f t="shared" si="369"/>
        <v/>
      </c>
      <c r="AD1354" s="19" t="str">
        <f t="shared" si="370"/>
        <v/>
      </c>
      <c r="AE1354" s="19" t="str">
        <f t="shared" si="371"/>
        <v/>
      </c>
      <c r="AF1354" s="19" t="str">
        <f>IF($D1354&lt;&gt;1,"",IF(INDEX(TblClusters[Environnement],$B1354)="","(vide)",INDEX(TblClusters[Environnement],$B1354)))</f>
        <v/>
      </c>
      <c r="AG1354" s="19" t="str">
        <f t="shared" si="372"/>
        <v/>
      </c>
      <c r="AH1354" s="19" t="str">
        <f t="shared" si="373"/>
        <v/>
      </c>
      <c r="AI1354" s="19" t="str">
        <f>IF($D1354&lt;&gt;1,"",IF(AND($G1354="IKS",ISNUMBER(INDEX(TblClusters[Fermeture retenue],$B1354))),IF($E1354&gt;=INDEX(TblClusters[Fermeture retenue],$B1354),1,0),0))</f>
        <v/>
      </c>
    </row>
    <row r="1355" spans="1:35" x14ac:dyDescent="0.2">
      <c r="A1355" s="19">
        <v>1350</v>
      </c>
      <c r="B1355" s="19">
        <f t="shared" si="357"/>
        <v>38</v>
      </c>
      <c r="C1355" s="19">
        <f t="shared" si="358"/>
        <v>18</v>
      </c>
      <c r="D1355" s="19">
        <f>IF($C1355&gt;p_horizon,0,IFERROR(IF(AND(INDEX(TblClusters[Cluster],$B1355)&lt;&gt;"",ISNUMBER(INDEX(TblClusters[CPU initial (vCPU)],$B1355)),ISNUMBER(INDEX(TblClusters[CPU min (vCPU)],$B1355)),OR(INDEX(TblClusters[Plateforme],$B1355)="IKS",INDEX(TblClusters[Plateforme],$B1355)="ROKS")),1,0),0))</f>
        <v>0</v>
      </c>
      <c r="E1355" s="72" t="str">
        <f t="shared" si="359"/>
        <v/>
      </c>
      <c r="F1355" s="19" t="str">
        <f>IF($D1355=1,INDEX(TblClusters[Cluster],$B1355),"")</f>
        <v/>
      </c>
      <c r="G1355" s="19" t="str">
        <f>IF($D1355=1,INDEX(TblClusters[Plateforme],$B1355),"")</f>
        <v/>
      </c>
      <c r="H1355" s="19" t="str">
        <f>IF($D1355=1,INDEX(TblClusters[vCPU par nœud],$B1355),"")</f>
        <v/>
      </c>
      <c r="I1355" s="19" t="str">
        <f>IF($D1355=1,INDEX(TblClusters[RAM par nœud (Go)],$B1355),"")</f>
        <v/>
      </c>
      <c r="J1355" s="19" t="str">
        <f>IF($D1355=1,INDEX(TblClusters[Workers min],$B1355),"")</f>
        <v/>
      </c>
      <c r="K1355" s="73" t="str">
        <f>IF($D1355=1,INDEX(TblClusters[Tarif par nœud],$B1355),"")</f>
        <v/>
      </c>
      <c r="L1355" s="19" t="str">
        <f>IF($D1355=1,INDEX(TblClusters[CPU initial (vCPU)],$B1355),"")</f>
        <v/>
      </c>
      <c r="M1355" s="19" t="str">
        <f>IF($D1355=1,INDEX(TblClusters[RAM initiale (Go)],$B1355),"")</f>
        <v/>
      </c>
      <c r="N1355" s="19" t="str">
        <f>IF($D1355=1,INDEX(TblClusters[CPU min (vCPU)],$B1355),"")</f>
        <v/>
      </c>
      <c r="O1355" s="19" t="str">
        <f>IF($D1355=1,INDEX(TblClusters[RAM min (Go)],$B1355),"")</f>
        <v/>
      </c>
      <c r="P1355" s="19" t="str">
        <f>IF($D1355&lt;&gt;1,"",IF($G1355="ROKS",SUMIFS(TblApplications[Besoin ROKS CPU (vCPU)],TblApplications[Cluster ROKS cible],$F1355,TblApplications[Action],"À migrer",TblApplications[Déjà incluse ROKS],"Non",TblApplications[Mois prov (calc)],"&lt;="&amp;$E1355),SUMIFS(TblApplications[CPU IKS libérable (vCPU)],TblApplications[Cluster IKS source],$F1355,TblApplications[Mois lib (calc)],"&lt;="&amp;$E1355)))</f>
        <v/>
      </c>
      <c r="Q1355" s="19" t="str">
        <f>IF($D1355&lt;&gt;1,"",IF($G1355="ROKS",SUMIFS(TblApplications[Besoin ROKS RAM (Go)],TblApplications[Cluster ROKS cible],$F1355,TblApplications[Action],"À migrer",TblApplications[Déjà incluse ROKS],"Non",TblApplications[Mois prov (calc)],"&lt;="&amp;$E1355),SUMIFS(TblApplications[RAM IKS libérable (Go)],TblApplications[Cluster IKS source],$F1355,TblApplications[Mois lib (calc)],"&lt;="&amp;$E1355)))</f>
        <v/>
      </c>
      <c r="R1355" s="19" t="str">
        <f t="shared" si="360"/>
        <v/>
      </c>
      <c r="S1355" s="19" t="str">
        <f t="shared" si="361"/>
        <v/>
      </c>
      <c r="T1355" s="19" t="str">
        <f t="shared" si="362"/>
        <v/>
      </c>
      <c r="U1355" s="19" t="str">
        <f t="shared" si="363"/>
        <v/>
      </c>
      <c r="V1355" s="19" t="str">
        <f t="shared" si="364"/>
        <v/>
      </c>
      <c r="W1355" s="73" t="str">
        <f t="shared" si="365"/>
        <v/>
      </c>
      <c r="X1355" s="19" t="str">
        <f>IF($D1355&lt;&gt;1,"",IF($G1355="ROKS",$R1355,IF($AI1355=1,0,MAX($N1355,$L1355-SUMIFS(TblApplications[CPU IKS libérable (vCPU)],TblApplications[Cluster IKS source],$F1355,TblApplications[Action],"À migrer",TblApplications[Mois prov (calc)],"&lt;="&amp;$E1355)-SUMIFS(TblApplications[CPU IKS libérable (vCPU)],TblApplications[Cluster IKS source],$F1355,TblApplications[Action],"À décommissionner",TblApplications[Mois lib (calc)],"&lt;="&amp;$E1355)))))</f>
        <v/>
      </c>
      <c r="Y1355" s="19" t="str">
        <f>IF($D1355&lt;&gt;1,"",IF($G1355="ROKS",$S1355,IF($AI1355=1,0,MAX($O1355,$M1355-SUMIFS(TblApplications[RAM IKS libérable (Go)],TblApplications[Cluster IKS source],$F1355,TblApplications[Action],"À migrer",TblApplications[Mois prov (calc)],"&lt;="&amp;$E1355)-SUMIFS(TblApplications[RAM IKS libérable (Go)],TblApplications[Cluster IKS source],$F1355,TblApplications[Action],"À décommissionner",TblApplications[Mois lib (calc)],"&lt;="&amp;$E1355)))))</f>
        <v/>
      </c>
      <c r="Z1355" s="19" t="str">
        <f t="shared" si="366"/>
        <v/>
      </c>
      <c r="AA1355" s="73" t="str">
        <f t="shared" si="367"/>
        <v/>
      </c>
      <c r="AB1355" s="19" t="str">
        <f t="shared" si="368"/>
        <v/>
      </c>
      <c r="AC1355" s="73" t="str">
        <f t="shared" si="369"/>
        <v/>
      </c>
      <c r="AD1355" s="19" t="str">
        <f t="shared" si="370"/>
        <v/>
      </c>
      <c r="AE1355" s="19" t="str">
        <f t="shared" si="371"/>
        <v/>
      </c>
      <c r="AF1355" s="19" t="str">
        <f>IF($D1355&lt;&gt;1,"",IF(INDEX(TblClusters[Environnement],$B1355)="","(vide)",INDEX(TblClusters[Environnement],$B1355)))</f>
        <v/>
      </c>
      <c r="AG1355" s="19" t="str">
        <f t="shared" si="372"/>
        <v/>
      </c>
      <c r="AH1355" s="19" t="str">
        <f t="shared" si="373"/>
        <v/>
      </c>
      <c r="AI1355" s="19" t="str">
        <f>IF($D1355&lt;&gt;1,"",IF(AND($G1355="IKS",ISNUMBER(INDEX(TblClusters[Fermeture retenue],$B1355))),IF($E1355&gt;=INDEX(TblClusters[Fermeture retenue],$B1355),1,0),0))</f>
        <v/>
      </c>
    </row>
    <row r="1356" spans="1:35" x14ac:dyDescent="0.2">
      <c r="A1356" s="19">
        <v>1351</v>
      </c>
      <c r="B1356" s="19">
        <f t="shared" si="357"/>
        <v>38</v>
      </c>
      <c r="C1356" s="19">
        <f t="shared" si="358"/>
        <v>19</v>
      </c>
      <c r="D1356" s="19">
        <f>IF($C1356&gt;p_horizon,0,IFERROR(IF(AND(INDEX(TblClusters[Cluster],$B1356)&lt;&gt;"",ISNUMBER(INDEX(TblClusters[CPU initial (vCPU)],$B1356)),ISNUMBER(INDEX(TblClusters[CPU min (vCPU)],$B1356)),OR(INDEX(TblClusters[Plateforme],$B1356)="IKS",INDEX(TblClusters[Plateforme],$B1356)="ROKS")),1,0),0))</f>
        <v>0</v>
      </c>
      <c r="E1356" s="72" t="str">
        <f t="shared" si="359"/>
        <v/>
      </c>
      <c r="F1356" s="19" t="str">
        <f>IF($D1356=1,INDEX(TblClusters[Cluster],$B1356),"")</f>
        <v/>
      </c>
      <c r="G1356" s="19" t="str">
        <f>IF($D1356=1,INDEX(TblClusters[Plateforme],$B1356),"")</f>
        <v/>
      </c>
      <c r="H1356" s="19" t="str">
        <f>IF($D1356=1,INDEX(TblClusters[vCPU par nœud],$B1356),"")</f>
        <v/>
      </c>
      <c r="I1356" s="19" t="str">
        <f>IF($D1356=1,INDEX(TblClusters[RAM par nœud (Go)],$B1356),"")</f>
        <v/>
      </c>
      <c r="J1356" s="19" t="str">
        <f>IF($D1356=1,INDEX(TblClusters[Workers min],$B1356),"")</f>
        <v/>
      </c>
      <c r="K1356" s="73" t="str">
        <f>IF($D1356=1,INDEX(TblClusters[Tarif par nœud],$B1356),"")</f>
        <v/>
      </c>
      <c r="L1356" s="19" t="str">
        <f>IF($D1356=1,INDEX(TblClusters[CPU initial (vCPU)],$B1356),"")</f>
        <v/>
      </c>
      <c r="M1356" s="19" t="str">
        <f>IF($D1356=1,INDEX(TblClusters[RAM initiale (Go)],$B1356),"")</f>
        <v/>
      </c>
      <c r="N1356" s="19" t="str">
        <f>IF($D1356=1,INDEX(TblClusters[CPU min (vCPU)],$B1356),"")</f>
        <v/>
      </c>
      <c r="O1356" s="19" t="str">
        <f>IF($D1356=1,INDEX(TblClusters[RAM min (Go)],$B1356),"")</f>
        <v/>
      </c>
      <c r="P1356" s="19" t="str">
        <f>IF($D1356&lt;&gt;1,"",IF($G1356="ROKS",SUMIFS(TblApplications[Besoin ROKS CPU (vCPU)],TblApplications[Cluster ROKS cible],$F1356,TblApplications[Action],"À migrer",TblApplications[Déjà incluse ROKS],"Non",TblApplications[Mois prov (calc)],"&lt;="&amp;$E1356),SUMIFS(TblApplications[CPU IKS libérable (vCPU)],TblApplications[Cluster IKS source],$F1356,TblApplications[Mois lib (calc)],"&lt;="&amp;$E1356)))</f>
        <v/>
      </c>
      <c r="Q1356" s="19" t="str">
        <f>IF($D1356&lt;&gt;1,"",IF($G1356="ROKS",SUMIFS(TblApplications[Besoin ROKS RAM (Go)],TblApplications[Cluster ROKS cible],$F1356,TblApplications[Action],"À migrer",TblApplications[Déjà incluse ROKS],"Non",TblApplications[Mois prov (calc)],"&lt;="&amp;$E1356),SUMIFS(TblApplications[RAM IKS libérable (Go)],TblApplications[Cluster IKS source],$F1356,TblApplications[Mois lib (calc)],"&lt;="&amp;$E1356)))</f>
        <v/>
      </c>
      <c r="R1356" s="19" t="str">
        <f t="shared" si="360"/>
        <v/>
      </c>
      <c r="S1356" s="19" t="str">
        <f t="shared" si="361"/>
        <v/>
      </c>
      <c r="T1356" s="19" t="str">
        <f t="shared" si="362"/>
        <v/>
      </c>
      <c r="U1356" s="19" t="str">
        <f t="shared" si="363"/>
        <v/>
      </c>
      <c r="V1356" s="19" t="str">
        <f t="shared" si="364"/>
        <v/>
      </c>
      <c r="W1356" s="73" t="str">
        <f t="shared" si="365"/>
        <v/>
      </c>
      <c r="X1356" s="19" t="str">
        <f>IF($D1356&lt;&gt;1,"",IF($G1356="ROKS",$R1356,IF($AI1356=1,0,MAX($N1356,$L1356-SUMIFS(TblApplications[CPU IKS libérable (vCPU)],TblApplications[Cluster IKS source],$F1356,TblApplications[Action],"À migrer",TblApplications[Mois prov (calc)],"&lt;="&amp;$E1356)-SUMIFS(TblApplications[CPU IKS libérable (vCPU)],TblApplications[Cluster IKS source],$F1356,TblApplications[Action],"À décommissionner",TblApplications[Mois lib (calc)],"&lt;="&amp;$E1356)))))</f>
        <v/>
      </c>
      <c r="Y1356" s="19" t="str">
        <f>IF($D1356&lt;&gt;1,"",IF($G1356="ROKS",$S1356,IF($AI1356=1,0,MAX($O1356,$M1356-SUMIFS(TblApplications[RAM IKS libérable (Go)],TblApplications[Cluster IKS source],$F1356,TblApplications[Action],"À migrer",TblApplications[Mois prov (calc)],"&lt;="&amp;$E1356)-SUMIFS(TblApplications[RAM IKS libérable (Go)],TblApplications[Cluster IKS source],$F1356,TblApplications[Action],"À décommissionner",TblApplications[Mois lib (calc)],"&lt;="&amp;$E1356)))))</f>
        <v/>
      </c>
      <c r="Z1356" s="19" t="str">
        <f t="shared" si="366"/>
        <v/>
      </c>
      <c r="AA1356" s="73" t="str">
        <f t="shared" si="367"/>
        <v/>
      </c>
      <c r="AB1356" s="19" t="str">
        <f t="shared" si="368"/>
        <v/>
      </c>
      <c r="AC1356" s="73" t="str">
        <f t="shared" si="369"/>
        <v/>
      </c>
      <c r="AD1356" s="19" t="str">
        <f t="shared" si="370"/>
        <v/>
      </c>
      <c r="AE1356" s="19" t="str">
        <f t="shared" si="371"/>
        <v/>
      </c>
      <c r="AF1356" s="19" t="str">
        <f>IF($D1356&lt;&gt;1,"",IF(INDEX(TblClusters[Environnement],$B1356)="","(vide)",INDEX(TblClusters[Environnement],$B1356)))</f>
        <v/>
      </c>
      <c r="AG1356" s="19" t="str">
        <f t="shared" si="372"/>
        <v/>
      </c>
      <c r="AH1356" s="19" t="str">
        <f t="shared" si="373"/>
        <v/>
      </c>
      <c r="AI1356" s="19" t="str">
        <f>IF($D1356&lt;&gt;1,"",IF(AND($G1356="IKS",ISNUMBER(INDEX(TblClusters[Fermeture retenue],$B1356))),IF($E1356&gt;=INDEX(TblClusters[Fermeture retenue],$B1356),1,0),0))</f>
        <v/>
      </c>
    </row>
    <row r="1357" spans="1:35" x14ac:dyDescent="0.2">
      <c r="A1357" s="19">
        <v>1352</v>
      </c>
      <c r="B1357" s="19">
        <f t="shared" si="357"/>
        <v>38</v>
      </c>
      <c r="C1357" s="19">
        <f t="shared" si="358"/>
        <v>20</v>
      </c>
      <c r="D1357" s="19">
        <f>IF($C1357&gt;p_horizon,0,IFERROR(IF(AND(INDEX(TblClusters[Cluster],$B1357)&lt;&gt;"",ISNUMBER(INDEX(TblClusters[CPU initial (vCPU)],$B1357)),ISNUMBER(INDEX(TblClusters[CPU min (vCPU)],$B1357)),OR(INDEX(TblClusters[Plateforme],$B1357)="IKS",INDEX(TblClusters[Plateforme],$B1357)="ROKS")),1,0),0))</f>
        <v>0</v>
      </c>
      <c r="E1357" s="72" t="str">
        <f t="shared" si="359"/>
        <v/>
      </c>
      <c r="F1357" s="19" t="str">
        <f>IF($D1357=1,INDEX(TblClusters[Cluster],$B1357),"")</f>
        <v/>
      </c>
      <c r="G1357" s="19" t="str">
        <f>IF($D1357=1,INDEX(TblClusters[Plateforme],$B1357),"")</f>
        <v/>
      </c>
      <c r="H1357" s="19" t="str">
        <f>IF($D1357=1,INDEX(TblClusters[vCPU par nœud],$B1357),"")</f>
        <v/>
      </c>
      <c r="I1357" s="19" t="str">
        <f>IF($D1357=1,INDEX(TblClusters[RAM par nœud (Go)],$B1357),"")</f>
        <v/>
      </c>
      <c r="J1357" s="19" t="str">
        <f>IF($D1357=1,INDEX(TblClusters[Workers min],$B1357),"")</f>
        <v/>
      </c>
      <c r="K1357" s="73" t="str">
        <f>IF($D1357=1,INDEX(TblClusters[Tarif par nœud],$B1357),"")</f>
        <v/>
      </c>
      <c r="L1357" s="19" t="str">
        <f>IF($D1357=1,INDEX(TblClusters[CPU initial (vCPU)],$B1357),"")</f>
        <v/>
      </c>
      <c r="M1357" s="19" t="str">
        <f>IF($D1357=1,INDEX(TblClusters[RAM initiale (Go)],$B1357),"")</f>
        <v/>
      </c>
      <c r="N1357" s="19" t="str">
        <f>IF($D1357=1,INDEX(TblClusters[CPU min (vCPU)],$B1357),"")</f>
        <v/>
      </c>
      <c r="O1357" s="19" t="str">
        <f>IF($D1357=1,INDEX(TblClusters[RAM min (Go)],$B1357),"")</f>
        <v/>
      </c>
      <c r="P1357" s="19" t="str">
        <f>IF($D1357&lt;&gt;1,"",IF($G1357="ROKS",SUMIFS(TblApplications[Besoin ROKS CPU (vCPU)],TblApplications[Cluster ROKS cible],$F1357,TblApplications[Action],"À migrer",TblApplications[Déjà incluse ROKS],"Non",TblApplications[Mois prov (calc)],"&lt;="&amp;$E1357),SUMIFS(TblApplications[CPU IKS libérable (vCPU)],TblApplications[Cluster IKS source],$F1357,TblApplications[Mois lib (calc)],"&lt;="&amp;$E1357)))</f>
        <v/>
      </c>
      <c r="Q1357" s="19" t="str">
        <f>IF($D1357&lt;&gt;1,"",IF($G1357="ROKS",SUMIFS(TblApplications[Besoin ROKS RAM (Go)],TblApplications[Cluster ROKS cible],$F1357,TblApplications[Action],"À migrer",TblApplications[Déjà incluse ROKS],"Non",TblApplications[Mois prov (calc)],"&lt;="&amp;$E1357),SUMIFS(TblApplications[RAM IKS libérable (Go)],TblApplications[Cluster IKS source],$F1357,TblApplications[Mois lib (calc)],"&lt;="&amp;$E1357)))</f>
        <v/>
      </c>
      <c r="R1357" s="19" t="str">
        <f t="shared" si="360"/>
        <v/>
      </c>
      <c r="S1357" s="19" t="str">
        <f t="shared" si="361"/>
        <v/>
      </c>
      <c r="T1357" s="19" t="str">
        <f t="shared" si="362"/>
        <v/>
      </c>
      <c r="U1357" s="19" t="str">
        <f t="shared" si="363"/>
        <v/>
      </c>
      <c r="V1357" s="19" t="str">
        <f t="shared" si="364"/>
        <v/>
      </c>
      <c r="W1357" s="73" t="str">
        <f t="shared" si="365"/>
        <v/>
      </c>
      <c r="X1357" s="19" t="str">
        <f>IF($D1357&lt;&gt;1,"",IF($G1357="ROKS",$R1357,IF($AI1357=1,0,MAX($N1357,$L1357-SUMIFS(TblApplications[CPU IKS libérable (vCPU)],TblApplications[Cluster IKS source],$F1357,TblApplications[Action],"À migrer",TblApplications[Mois prov (calc)],"&lt;="&amp;$E1357)-SUMIFS(TblApplications[CPU IKS libérable (vCPU)],TblApplications[Cluster IKS source],$F1357,TblApplications[Action],"À décommissionner",TblApplications[Mois lib (calc)],"&lt;="&amp;$E1357)))))</f>
        <v/>
      </c>
      <c r="Y1357" s="19" t="str">
        <f>IF($D1357&lt;&gt;1,"",IF($G1357="ROKS",$S1357,IF($AI1357=1,0,MAX($O1357,$M1357-SUMIFS(TblApplications[RAM IKS libérable (Go)],TblApplications[Cluster IKS source],$F1357,TblApplications[Action],"À migrer",TblApplications[Mois prov (calc)],"&lt;="&amp;$E1357)-SUMIFS(TblApplications[RAM IKS libérable (Go)],TblApplications[Cluster IKS source],$F1357,TblApplications[Action],"À décommissionner",TblApplications[Mois lib (calc)],"&lt;="&amp;$E1357)))))</f>
        <v/>
      </c>
      <c r="Z1357" s="19" t="str">
        <f t="shared" si="366"/>
        <v/>
      </c>
      <c r="AA1357" s="73" t="str">
        <f t="shared" si="367"/>
        <v/>
      </c>
      <c r="AB1357" s="19" t="str">
        <f t="shared" si="368"/>
        <v/>
      </c>
      <c r="AC1357" s="73" t="str">
        <f t="shared" si="369"/>
        <v/>
      </c>
      <c r="AD1357" s="19" t="str">
        <f t="shared" si="370"/>
        <v/>
      </c>
      <c r="AE1357" s="19" t="str">
        <f t="shared" si="371"/>
        <v/>
      </c>
      <c r="AF1357" s="19" t="str">
        <f>IF($D1357&lt;&gt;1,"",IF(INDEX(TblClusters[Environnement],$B1357)="","(vide)",INDEX(TblClusters[Environnement],$B1357)))</f>
        <v/>
      </c>
      <c r="AG1357" s="19" t="str">
        <f t="shared" si="372"/>
        <v/>
      </c>
      <c r="AH1357" s="19" t="str">
        <f t="shared" si="373"/>
        <v/>
      </c>
      <c r="AI1357" s="19" t="str">
        <f>IF($D1357&lt;&gt;1,"",IF(AND($G1357="IKS",ISNUMBER(INDEX(TblClusters[Fermeture retenue],$B1357))),IF($E1357&gt;=INDEX(TblClusters[Fermeture retenue],$B1357),1,0),0))</f>
        <v/>
      </c>
    </row>
    <row r="1358" spans="1:35" x14ac:dyDescent="0.2">
      <c r="A1358" s="19">
        <v>1353</v>
      </c>
      <c r="B1358" s="19">
        <f t="shared" si="357"/>
        <v>38</v>
      </c>
      <c r="C1358" s="19">
        <f t="shared" si="358"/>
        <v>21</v>
      </c>
      <c r="D1358" s="19">
        <f>IF($C1358&gt;p_horizon,0,IFERROR(IF(AND(INDEX(TblClusters[Cluster],$B1358)&lt;&gt;"",ISNUMBER(INDEX(TblClusters[CPU initial (vCPU)],$B1358)),ISNUMBER(INDEX(TblClusters[CPU min (vCPU)],$B1358)),OR(INDEX(TblClusters[Plateforme],$B1358)="IKS",INDEX(TblClusters[Plateforme],$B1358)="ROKS")),1,0),0))</f>
        <v>0</v>
      </c>
      <c r="E1358" s="72" t="str">
        <f t="shared" si="359"/>
        <v/>
      </c>
      <c r="F1358" s="19" t="str">
        <f>IF($D1358=1,INDEX(TblClusters[Cluster],$B1358),"")</f>
        <v/>
      </c>
      <c r="G1358" s="19" t="str">
        <f>IF($D1358=1,INDEX(TblClusters[Plateforme],$B1358),"")</f>
        <v/>
      </c>
      <c r="H1358" s="19" t="str">
        <f>IF($D1358=1,INDEX(TblClusters[vCPU par nœud],$B1358),"")</f>
        <v/>
      </c>
      <c r="I1358" s="19" t="str">
        <f>IF($D1358=1,INDEX(TblClusters[RAM par nœud (Go)],$B1358),"")</f>
        <v/>
      </c>
      <c r="J1358" s="19" t="str">
        <f>IF($D1358=1,INDEX(TblClusters[Workers min],$B1358),"")</f>
        <v/>
      </c>
      <c r="K1358" s="73" t="str">
        <f>IF($D1358=1,INDEX(TblClusters[Tarif par nœud],$B1358),"")</f>
        <v/>
      </c>
      <c r="L1358" s="19" t="str">
        <f>IF($D1358=1,INDEX(TblClusters[CPU initial (vCPU)],$B1358),"")</f>
        <v/>
      </c>
      <c r="M1358" s="19" t="str">
        <f>IF($D1358=1,INDEX(TblClusters[RAM initiale (Go)],$B1358),"")</f>
        <v/>
      </c>
      <c r="N1358" s="19" t="str">
        <f>IF($D1358=1,INDEX(TblClusters[CPU min (vCPU)],$B1358),"")</f>
        <v/>
      </c>
      <c r="O1358" s="19" t="str">
        <f>IF($D1358=1,INDEX(TblClusters[RAM min (Go)],$B1358),"")</f>
        <v/>
      </c>
      <c r="P1358" s="19" t="str">
        <f>IF($D1358&lt;&gt;1,"",IF($G1358="ROKS",SUMIFS(TblApplications[Besoin ROKS CPU (vCPU)],TblApplications[Cluster ROKS cible],$F1358,TblApplications[Action],"À migrer",TblApplications[Déjà incluse ROKS],"Non",TblApplications[Mois prov (calc)],"&lt;="&amp;$E1358),SUMIFS(TblApplications[CPU IKS libérable (vCPU)],TblApplications[Cluster IKS source],$F1358,TblApplications[Mois lib (calc)],"&lt;="&amp;$E1358)))</f>
        <v/>
      </c>
      <c r="Q1358" s="19" t="str">
        <f>IF($D1358&lt;&gt;1,"",IF($G1358="ROKS",SUMIFS(TblApplications[Besoin ROKS RAM (Go)],TblApplications[Cluster ROKS cible],$F1358,TblApplications[Action],"À migrer",TblApplications[Déjà incluse ROKS],"Non",TblApplications[Mois prov (calc)],"&lt;="&amp;$E1358),SUMIFS(TblApplications[RAM IKS libérable (Go)],TblApplications[Cluster IKS source],$F1358,TblApplications[Mois lib (calc)],"&lt;="&amp;$E1358)))</f>
        <v/>
      </c>
      <c r="R1358" s="19" t="str">
        <f t="shared" si="360"/>
        <v/>
      </c>
      <c r="S1358" s="19" t="str">
        <f t="shared" si="361"/>
        <v/>
      </c>
      <c r="T1358" s="19" t="str">
        <f t="shared" si="362"/>
        <v/>
      </c>
      <c r="U1358" s="19" t="str">
        <f t="shared" si="363"/>
        <v/>
      </c>
      <c r="V1358" s="19" t="str">
        <f t="shared" si="364"/>
        <v/>
      </c>
      <c r="W1358" s="73" t="str">
        <f t="shared" si="365"/>
        <v/>
      </c>
      <c r="X1358" s="19" t="str">
        <f>IF($D1358&lt;&gt;1,"",IF($G1358="ROKS",$R1358,IF($AI1358=1,0,MAX($N1358,$L1358-SUMIFS(TblApplications[CPU IKS libérable (vCPU)],TblApplications[Cluster IKS source],$F1358,TblApplications[Action],"À migrer",TblApplications[Mois prov (calc)],"&lt;="&amp;$E1358)-SUMIFS(TblApplications[CPU IKS libérable (vCPU)],TblApplications[Cluster IKS source],$F1358,TblApplications[Action],"À décommissionner",TblApplications[Mois lib (calc)],"&lt;="&amp;$E1358)))))</f>
        <v/>
      </c>
      <c r="Y1358" s="19" t="str">
        <f>IF($D1358&lt;&gt;1,"",IF($G1358="ROKS",$S1358,IF($AI1358=1,0,MAX($O1358,$M1358-SUMIFS(TblApplications[RAM IKS libérable (Go)],TblApplications[Cluster IKS source],$F1358,TblApplications[Action],"À migrer",TblApplications[Mois prov (calc)],"&lt;="&amp;$E1358)-SUMIFS(TblApplications[RAM IKS libérable (Go)],TblApplications[Cluster IKS source],$F1358,TblApplications[Action],"À décommissionner",TblApplications[Mois lib (calc)],"&lt;="&amp;$E1358)))))</f>
        <v/>
      </c>
      <c r="Z1358" s="19" t="str">
        <f t="shared" si="366"/>
        <v/>
      </c>
      <c r="AA1358" s="73" t="str">
        <f t="shared" si="367"/>
        <v/>
      </c>
      <c r="AB1358" s="19" t="str">
        <f t="shared" si="368"/>
        <v/>
      </c>
      <c r="AC1358" s="73" t="str">
        <f t="shared" si="369"/>
        <v/>
      </c>
      <c r="AD1358" s="19" t="str">
        <f t="shared" si="370"/>
        <v/>
      </c>
      <c r="AE1358" s="19" t="str">
        <f t="shared" si="371"/>
        <v/>
      </c>
      <c r="AF1358" s="19" t="str">
        <f>IF($D1358&lt;&gt;1,"",IF(INDEX(TblClusters[Environnement],$B1358)="","(vide)",INDEX(TblClusters[Environnement],$B1358)))</f>
        <v/>
      </c>
      <c r="AG1358" s="19" t="str">
        <f t="shared" si="372"/>
        <v/>
      </c>
      <c r="AH1358" s="19" t="str">
        <f t="shared" si="373"/>
        <v/>
      </c>
      <c r="AI1358" s="19" t="str">
        <f>IF($D1358&lt;&gt;1,"",IF(AND($G1358="IKS",ISNUMBER(INDEX(TblClusters[Fermeture retenue],$B1358))),IF($E1358&gt;=INDEX(TblClusters[Fermeture retenue],$B1358),1,0),0))</f>
        <v/>
      </c>
    </row>
    <row r="1359" spans="1:35" x14ac:dyDescent="0.2">
      <c r="A1359" s="19">
        <v>1354</v>
      </c>
      <c r="B1359" s="19">
        <f t="shared" si="357"/>
        <v>38</v>
      </c>
      <c r="C1359" s="19">
        <f t="shared" si="358"/>
        <v>22</v>
      </c>
      <c r="D1359" s="19">
        <f>IF($C1359&gt;p_horizon,0,IFERROR(IF(AND(INDEX(TblClusters[Cluster],$B1359)&lt;&gt;"",ISNUMBER(INDEX(TblClusters[CPU initial (vCPU)],$B1359)),ISNUMBER(INDEX(TblClusters[CPU min (vCPU)],$B1359)),OR(INDEX(TblClusters[Plateforme],$B1359)="IKS",INDEX(TblClusters[Plateforme],$B1359)="ROKS")),1,0),0))</f>
        <v>0</v>
      </c>
      <c r="E1359" s="72" t="str">
        <f t="shared" si="359"/>
        <v/>
      </c>
      <c r="F1359" s="19" t="str">
        <f>IF($D1359=1,INDEX(TblClusters[Cluster],$B1359),"")</f>
        <v/>
      </c>
      <c r="G1359" s="19" t="str">
        <f>IF($D1359=1,INDEX(TblClusters[Plateforme],$B1359),"")</f>
        <v/>
      </c>
      <c r="H1359" s="19" t="str">
        <f>IF($D1359=1,INDEX(TblClusters[vCPU par nœud],$B1359),"")</f>
        <v/>
      </c>
      <c r="I1359" s="19" t="str">
        <f>IF($D1359=1,INDEX(TblClusters[RAM par nœud (Go)],$B1359),"")</f>
        <v/>
      </c>
      <c r="J1359" s="19" t="str">
        <f>IF($D1359=1,INDEX(TblClusters[Workers min],$B1359),"")</f>
        <v/>
      </c>
      <c r="K1359" s="73" t="str">
        <f>IF($D1359=1,INDEX(TblClusters[Tarif par nœud],$B1359),"")</f>
        <v/>
      </c>
      <c r="L1359" s="19" t="str">
        <f>IF($D1359=1,INDEX(TblClusters[CPU initial (vCPU)],$B1359),"")</f>
        <v/>
      </c>
      <c r="M1359" s="19" t="str">
        <f>IF($D1359=1,INDEX(TblClusters[RAM initiale (Go)],$B1359),"")</f>
        <v/>
      </c>
      <c r="N1359" s="19" t="str">
        <f>IF($D1359=1,INDEX(TblClusters[CPU min (vCPU)],$B1359),"")</f>
        <v/>
      </c>
      <c r="O1359" s="19" t="str">
        <f>IF($D1359=1,INDEX(TblClusters[RAM min (Go)],$B1359),"")</f>
        <v/>
      </c>
      <c r="P1359" s="19" t="str">
        <f>IF($D1359&lt;&gt;1,"",IF($G1359="ROKS",SUMIFS(TblApplications[Besoin ROKS CPU (vCPU)],TblApplications[Cluster ROKS cible],$F1359,TblApplications[Action],"À migrer",TblApplications[Déjà incluse ROKS],"Non",TblApplications[Mois prov (calc)],"&lt;="&amp;$E1359),SUMIFS(TblApplications[CPU IKS libérable (vCPU)],TblApplications[Cluster IKS source],$F1359,TblApplications[Mois lib (calc)],"&lt;="&amp;$E1359)))</f>
        <v/>
      </c>
      <c r="Q1359" s="19" t="str">
        <f>IF($D1359&lt;&gt;1,"",IF($G1359="ROKS",SUMIFS(TblApplications[Besoin ROKS RAM (Go)],TblApplications[Cluster ROKS cible],$F1359,TblApplications[Action],"À migrer",TblApplications[Déjà incluse ROKS],"Non",TblApplications[Mois prov (calc)],"&lt;="&amp;$E1359),SUMIFS(TblApplications[RAM IKS libérable (Go)],TblApplications[Cluster IKS source],$F1359,TblApplications[Mois lib (calc)],"&lt;="&amp;$E1359)))</f>
        <v/>
      </c>
      <c r="R1359" s="19" t="str">
        <f t="shared" si="360"/>
        <v/>
      </c>
      <c r="S1359" s="19" t="str">
        <f t="shared" si="361"/>
        <v/>
      </c>
      <c r="T1359" s="19" t="str">
        <f t="shared" si="362"/>
        <v/>
      </c>
      <c r="U1359" s="19" t="str">
        <f t="shared" si="363"/>
        <v/>
      </c>
      <c r="V1359" s="19" t="str">
        <f t="shared" si="364"/>
        <v/>
      </c>
      <c r="W1359" s="73" t="str">
        <f t="shared" si="365"/>
        <v/>
      </c>
      <c r="X1359" s="19" t="str">
        <f>IF($D1359&lt;&gt;1,"",IF($G1359="ROKS",$R1359,IF($AI1359=1,0,MAX($N1359,$L1359-SUMIFS(TblApplications[CPU IKS libérable (vCPU)],TblApplications[Cluster IKS source],$F1359,TblApplications[Action],"À migrer",TblApplications[Mois prov (calc)],"&lt;="&amp;$E1359)-SUMIFS(TblApplications[CPU IKS libérable (vCPU)],TblApplications[Cluster IKS source],$F1359,TblApplications[Action],"À décommissionner",TblApplications[Mois lib (calc)],"&lt;="&amp;$E1359)))))</f>
        <v/>
      </c>
      <c r="Y1359" s="19" t="str">
        <f>IF($D1359&lt;&gt;1,"",IF($G1359="ROKS",$S1359,IF($AI1359=1,0,MAX($O1359,$M1359-SUMIFS(TblApplications[RAM IKS libérable (Go)],TblApplications[Cluster IKS source],$F1359,TblApplications[Action],"À migrer",TblApplications[Mois prov (calc)],"&lt;="&amp;$E1359)-SUMIFS(TblApplications[RAM IKS libérable (Go)],TblApplications[Cluster IKS source],$F1359,TblApplications[Action],"À décommissionner",TblApplications[Mois lib (calc)],"&lt;="&amp;$E1359)))))</f>
        <v/>
      </c>
      <c r="Z1359" s="19" t="str">
        <f t="shared" si="366"/>
        <v/>
      </c>
      <c r="AA1359" s="73" t="str">
        <f t="shared" si="367"/>
        <v/>
      </c>
      <c r="AB1359" s="19" t="str">
        <f t="shared" si="368"/>
        <v/>
      </c>
      <c r="AC1359" s="73" t="str">
        <f t="shared" si="369"/>
        <v/>
      </c>
      <c r="AD1359" s="19" t="str">
        <f t="shared" si="370"/>
        <v/>
      </c>
      <c r="AE1359" s="19" t="str">
        <f t="shared" si="371"/>
        <v/>
      </c>
      <c r="AF1359" s="19" t="str">
        <f>IF($D1359&lt;&gt;1,"",IF(INDEX(TblClusters[Environnement],$B1359)="","(vide)",INDEX(TblClusters[Environnement],$B1359)))</f>
        <v/>
      </c>
      <c r="AG1359" s="19" t="str">
        <f t="shared" si="372"/>
        <v/>
      </c>
      <c r="AH1359" s="19" t="str">
        <f t="shared" si="373"/>
        <v/>
      </c>
      <c r="AI1359" s="19" t="str">
        <f>IF($D1359&lt;&gt;1,"",IF(AND($G1359="IKS",ISNUMBER(INDEX(TblClusters[Fermeture retenue],$B1359))),IF($E1359&gt;=INDEX(TblClusters[Fermeture retenue],$B1359),1,0),0))</f>
        <v/>
      </c>
    </row>
    <row r="1360" spans="1:35" x14ac:dyDescent="0.2">
      <c r="A1360" s="19">
        <v>1355</v>
      </c>
      <c r="B1360" s="19">
        <f t="shared" si="357"/>
        <v>38</v>
      </c>
      <c r="C1360" s="19">
        <f t="shared" si="358"/>
        <v>23</v>
      </c>
      <c r="D1360" s="19">
        <f>IF($C1360&gt;p_horizon,0,IFERROR(IF(AND(INDEX(TblClusters[Cluster],$B1360)&lt;&gt;"",ISNUMBER(INDEX(TblClusters[CPU initial (vCPU)],$B1360)),ISNUMBER(INDEX(TblClusters[CPU min (vCPU)],$B1360)),OR(INDEX(TblClusters[Plateforme],$B1360)="IKS",INDEX(TblClusters[Plateforme],$B1360)="ROKS")),1,0),0))</f>
        <v>0</v>
      </c>
      <c r="E1360" s="72" t="str">
        <f t="shared" si="359"/>
        <v/>
      </c>
      <c r="F1360" s="19" t="str">
        <f>IF($D1360=1,INDEX(TblClusters[Cluster],$B1360),"")</f>
        <v/>
      </c>
      <c r="G1360" s="19" t="str">
        <f>IF($D1360=1,INDEX(TblClusters[Plateforme],$B1360),"")</f>
        <v/>
      </c>
      <c r="H1360" s="19" t="str">
        <f>IF($D1360=1,INDEX(TblClusters[vCPU par nœud],$B1360),"")</f>
        <v/>
      </c>
      <c r="I1360" s="19" t="str">
        <f>IF($D1360=1,INDEX(TblClusters[RAM par nœud (Go)],$B1360),"")</f>
        <v/>
      </c>
      <c r="J1360" s="19" t="str">
        <f>IF($D1360=1,INDEX(TblClusters[Workers min],$B1360),"")</f>
        <v/>
      </c>
      <c r="K1360" s="73" t="str">
        <f>IF($D1360=1,INDEX(TblClusters[Tarif par nœud],$B1360),"")</f>
        <v/>
      </c>
      <c r="L1360" s="19" t="str">
        <f>IF($D1360=1,INDEX(TblClusters[CPU initial (vCPU)],$B1360),"")</f>
        <v/>
      </c>
      <c r="M1360" s="19" t="str">
        <f>IF($D1360=1,INDEX(TblClusters[RAM initiale (Go)],$B1360),"")</f>
        <v/>
      </c>
      <c r="N1360" s="19" t="str">
        <f>IF($D1360=1,INDEX(TblClusters[CPU min (vCPU)],$B1360),"")</f>
        <v/>
      </c>
      <c r="O1360" s="19" t="str">
        <f>IF($D1360=1,INDEX(TblClusters[RAM min (Go)],$B1360),"")</f>
        <v/>
      </c>
      <c r="P1360" s="19" t="str">
        <f>IF($D1360&lt;&gt;1,"",IF($G1360="ROKS",SUMIFS(TblApplications[Besoin ROKS CPU (vCPU)],TblApplications[Cluster ROKS cible],$F1360,TblApplications[Action],"À migrer",TblApplications[Déjà incluse ROKS],"Non",TblApplications[Mois prov (calc)],"&lt;="&amp;$E1360),SUMIFS(TblApplications[CPU IKS libérable (vCPU)],TblApplications[Cluster IKS source],$F1360,TblApplications[Mois lib (calc)],"&lt;="&amp;$E1360)))</f>
        <v/>
      </c>
      <c r="Q1360" s="19" t="str">
        <f>IF($D1360&lt;&gt;1,"",IF($G1360="ROKS",SUMIFS(TblApplications[Besoin ROKS RAM (Go)],TblApplications[Cluster ROKS cible],$F1360,TblApplications[Action],"À migrer",TblApplications[Déjà incluse ROKS],"Non",TblApplications[Mois prov (calc)],"&lt;="&amp;$E1360),SUMIFS(TblApplications[RAM IKS libérable (Go)],TblApplications[Cluster IKS source],$F1360,TblApplications[Mois lib (calc)],"&lt;="&amp;$E1360)))</f>
        <v/>
      </c>
      <c r="R1360" s="19" t="str">
        <f t="shared" si="360"/>
        <v/>
      </c>
      <c r="S1360" s="19" t="str">
        <f t="shared" si="361"/>
        <v/>
      </c>
      <c r="T1360" s="19" t="str">
        <f t="shared" si="362"/>
        <v/>
      </c>
      <c r="U1360" s="19" t="str">
        <f t="shared" si="363"/>
        <v/>
      </c>
      <c r="V1360" s="19" t="str">
        <f t="shared" si="364"/>
        <v/>
      </c>
      <c r="W1360" s="73" t="str">
        <f t="shared" si="365"/>
        <v/>
      </c>
      <c r="X1360" s="19" t="str">
        <f>IF($D1360&lt;&gt;1,"",IF($G1360="ROKS",$R1360,IF($AI1360=1,0,MAX($N1360,$L1360-SUMIFS(TblApplications[CPU IKS libérable (vCPU)],TblApplications[Cluster IKS source],$F1360,TblApplications[Action],"À migrer",TblApplications[Mois prov (calc)],"&lt;="&amp;$E1360)-SUMIFS(TblApplications[CPU IKS libérable (vCPU)],TblApplications[Cluster IKS source],$F1360,TblApplications[Action],"À décommissionner",TblApplications[Mois lib (calc)],"&lt;="&amp;$E1360)))))</f>
        <v/>
      </c>
      <c r="Y1360" s="19" t="str">
        <f>IF($D1360&lt;&gt;1,"",IF($G1360="ROKS",$S1360,IF($AI1360=1,0,MAX($O1360,$M1360-SUMIFS(TblApplications[RAM IKS libérable (Go)],TblApplications[Cluster IKS source],$F1360,TblApplications[Action],"À migrer",TblApplications[Mois prov (calc)],"&lt;="&amp;$E1360)-SUMIFS(TblApplications[RAM IKS libérable (Go)],TblApplications[Cluster IKS source],$F1360,TblApplications[Action],"À décommissionner",TblApplications[Mois lib (calc)],"&lt;="&amp;$E1360)))))</f>
        <v/>
      </c>
      <c r="Z1360" s="19" t="str">
        <f t="shared" si="366"/>
        <v/>
      </c>
      <c r="AA1360" s="73" t="str">
        <f t="shared" si="367"/>
        <v/>
      </c>
      <c r="AB1360" s="19" t="str">
        <f t="shared" si="368"/>
        <v/>
      </c>
      <c r="AC1360" s="73" t="str">
        <f t="shared" si="369"/>
        <v/>
      </c>
      <c r="AD1360" s="19" t="str">
        <f t="shared" si="370"/>
        <v/>
      </c>
      <c r="AE1360" s="19" t="str">
        <f t="shared" si="371"/>
        <v/>
      </c>
      <c r="AF1360" s="19" t="str">
        <f>IF($D1360&lt;&gt;1,"",IF(INDEX(TblClusters[Environnement],$B1360)="","(vide)",INDEX(TblClusters[Environnement],$B1360)))</f>
        <v/>
      </c>
      <c r="AG1360" s="19" t="str">
        <f t="shared" si="372"/>
        <v/>
      </c>
      <c r="AH1360" s="19" t="str">
        <f t="shared" si="373"/>
        <v/>
      </c>
      <c r="AI1360" s="19" t="str">
        <f>IF($D1360&lt;&gt;1,"",IF(AND($G1360="IKS",ISNUMBER(INDEX(TblClusters[Fermeture retenue],$B1360))),IF($E1360&gt;=INDEX(TblClusters[Fermeture retenue],$B1360),1,0),0))</f>
        <v/>
      </c>
    </row>
    <row r="1361" spans="1:35" x14ac:dyDescent="0.2">
      <c r="A1361" s="19">
        <v>1356</v>
      </c>
      <c r="B1361" s="19">
        <f t="shared" si="357"/>
        <v>38</v>
      </c>
      <c r="C1361" s="19">
        <f t="shared" si="358"/>
        <v>24</v>
      </c>
      <c r="D1361" s="19">
        <f>IF($C1361&gt;p_horizon,0,IFERROR(IF(AND(INDEX(TblClusters[Cluster],$B1361)&lt;&gt;"",ISNUMBER(INDEX(TblClusters[CPU initial (vCPU)],$B1361)),ISNUMBER(INDEX(TblClusters[CPU min (vCPU)],$B1361)),OR(INDEX(TblClusters[Plateforme],$B1361)="IKS",INDEX(TblClusters[Plateforme],$B1361)="ROKS")),1,0),0))</f>
        <v>0</v>
      </c>
      <c r="E1361" s="72" t="str">
        <f t="shared" si="359"/>
        <v/>
      </c>
      <c r="F1361" s="19" t="str">
        <f>IF($D1361=1,INDEX(TblClusters[Cluster],$B1361),"")</f>
        <v/>
      </c>
      <c r="G1361" s="19" t="str">
        <f>IF($D1361=1,INDEX(TblClusters[Plateforme],$B1361),"")</f>
        <v/>
      </c>
      <c r="H1361" s="19" t="str">
        <f>IF($D1361=1,INDEX(TblClusters[vCPU par nœud],$B1361),"")</f>
        <v/>
      </c>
      <c r="I1361" s="19" t="str">
        <f>IF($D1361=1,INDEX(TblClusters[RAM par nœud (Go)],$B1361),"")</f>
        <v/>
      </c>
      <c r="J1361" s="19" t="str">
        <f>IF($D1361=1,INDEX(TblClusters[Workers min],$B1361),"")</f>
        <v/>
      </c>
      <c r="K1361" s="73" t="str">
        <f>IF($D1361=1,INDEX(TblClusters[Tarif par nœud],$B1361),"")</f>
        <v/>
      </c>
      <c r="L1361" s="19" t="str">
        <f>IF($D1361=1,INDEX(TblClusters[CPU initial (vCPU)],$B1361),"")</f>
        <v/>
      </c>
      <c r="M1361" s="19" t="str">
        <f>IF($D1361=1,INDEX(TblClusters[RAM initiale (Go)],$B1361),"")</f>
        <v/>
      </c>
      <c r="N1361" s="19" t="str">
        <f>IF($D1361=1,INDEX(TblClusters[CPU min (vCPU)],$B1361),"")</f>
        <v/>
      </c>
      <c r="O1361" s="19" t="str">
        <f>IF($D1361=1,INDEX(TblClusters[RAM min (Go)],$B1361),"")</f>
        <v/>
      </c>
      <c r="P1361" s="19" t="str">
        <f>IF($D1361&lt;&gt;1,"",IF($G1361="ROKS",SUMIFS(TblApplications[Besoin ROKS CPU (vCPU)],TblApplications[Cluster ROKS cible],$F1361,TblApplications[Action],"À migrer",TblApplications[Déjà incluse ROKS],"Non",TblApplications[Mois prov (calc)],"&lt;="&amp;$E1361),SUMIFS(TblApplications[CPU IKS libérable (vCPU)],TblApplications[Cluster IKS source],$F1361,TblApplications[Mois lib (calc)],"&lt;="&amp;$E1361)))</f>
        <v/>
      </c>
      <c r="Q1361" s="19" t="str">
        <f>IF($D1361&lt;&gt;1,"",IF($G1361="ROKS",SUMIFS(TblApplications[Besoin ROKS RAM (Go)],TblApplications[Cluster ROKS cible],$F1361,TblApplications[Action],"À migrer",TblApplications[Déjà incluse ROKS],"Non",TblApplications[Mois prov (calc)],"&lt;="&amp;$E1361),SUMIFS(TblApplications[RAM IKS libérable (Go)],TblApplications[Cluster IKS source],$F1361,TblApplications[Mois lib (calc)],"&lt;="&amp;$E1361)))</f>
        <v/>
      </c>
      <c r="R1361" s="19" t="str">
        <f t="shared" si="360"/>
        <v/>
      </c>
      <c r="S1361" s="19" t="str">
        <f t="shared" si="361"/>
        <v/>
      </c>
      <c r="T1361" s="19" t="str">
        <f t="shared" si="362"/>
        <v/>
      </c>
      <c r="U1361" s="19" t="str">
        <f t="shared" si="363"/>
        <v/>
      </c>
      <c r="V1361" s="19" t="str">
        <f t="shared" si="364"/>
        <v/>
      </c>
      <c r="W1361" s="73" t="str">
        <f t="shared" si="365"/>
        <v/>
      </c>
      <c r="X1361" s="19" t="str">
        <f>IF($D1361&lt;&gt;1,"",IF($G1361="ROKS",$R1361,IF($AI1361=1,0,MAX($N1361,$L1361-SUMIFS(TblApplications[CPU IKS libérable (vCPU)],TblApplications[Cluster IKS source],$F1361,TblApplications[Action],"À migrer",TblApplications[Mois prov (calc)],"&lt;="&amp;$E1361)-SUMIFS(TblApplications[CPU IKS libérable (vCPU)],TblApplications[Cluster IKS source],$F1361,TblApplications[Action],"À décommissionner",TblApplications[Mois lib (calc)],"&lt;="&amp;$E1361)))))</f>
        <v/>
      </c>
      <c r="Y1361" s="19" t="str">
        <f>IF($D1361&lt;&gt;1,"",IF($G1361="ROKS",$S1361,IF($AI1361=1,0,MAX($O1361,$M1361-SUMIFS(TblApplications[RAM IKS libérable (Go)],TblApplications[Cluster IKS source],$F1361,TblApplications[Action],"À migrer",TblApplications[Mois prov (calc)],"&lt;="&amp;$E1361)-SUMIFS(TblApplications[RAM IKS libérable (Go)],TblApplications[Cluster IKS source],$F1361,TblApplications[Action],"À décommissionner",TblApplications[Mois lib (calc)],"&lt;="&amp;$E1361)))))</f>
        <v/>
      </c>
      <c r="Z1361" s="19" t="str">
        <f t="shared" si="366"/>
        <v/>
      </c>
      <c r="AA1361" s="73" t="str">
        <f t="shared" si="367"/>
        <v/>
      </c>
      <c r="AB1361" s="19" t="str">
        <f t="shared" si="368"/>
        <v/>
      </c>
      <c r="AC1361" s="73" t="str">
        <f t="shared" si="369"/>
        <v/>
      </c>
      <c r="AD1361" s="19" t="str">
        <f t="shared" si="370"/>
        <v/>
      </c>
      <c r="AE1361" s="19" t="str">
        <f t="shared" si="371"/>
        <v/>
      </c>
      <c r="AF1361" s="19" t="str">
        <f>IF($D1361&lt;&gt;1,"",IF(INDEX(TblClusters[Environnement],$B1361)="","(vide)",INDEX(TblClusters[Environnement],$B1361)))</f>
        <v/>
      </c>
      <c r="AG1361" s="19" t="str">
        <f t="shared" si="372"/>
        <v/>
      </c>
      <c r="AH1361" s="19" t="str">
        <f t="shared" si="373"/>
        <v/>
      </c>
      <c r="AI1361" s="19" t="str">
        <f>IF($D1361&lt;&gt;1,"",IF(AND($G1361="IKS",ISNUMBER(INDEX(TblClusters[Fermeture retenue],$B1361))),IF($E1361&gt;=INDEX(TblClusters[Fermeture retenue],$B1361),1,0),0))</f>
        <v/>
      </c>
    </row>
    <row r="1362" spans="1:35" x14ac:dyDescent="0.2">
      <c r="A1362" s="19">
        <v>1357</v>
      </c>
      <c r="B1362" s="19">
        <f t="shared" si="357"/>
        <v>38</v>
      </c>
      <c r="C1362" s="19">
        <f t="shared" si="358"/>
        <v>25</v>
      </c>
      <c r="D1362" s="19">
        <f>IF($C1362&gt;p_horizon,0,IFERROR(IF(AND(INDEX(TblClusters[Cluster],$B1362)&lt;&gt;"",ISNUMBER(INDEX(TblClusters[CPU initial (vCPU)],$B1362)),ISNUMBER(INDEX(TblClusters[CPU min (vCPU)],$B1362)),OR(INDEX(TblClusters[Plateforme],$B1362)="IKS",INDEX(TblClusters[Plateforme],$B1362)="ROKS")),1,0),0))</f>
        <v>0</v>
      </c>
      <c r="E1362" s="72" t="str">
        <f t="shared" si="359"/>
        <v/>
      </c>
      <c r="F1362" s="19" t="str">
        <f>IF($D1362=1,INDEX(TblClusters[Cluster],$B1362),"")</f>
        <v/>
      </c>
      <c r="G1362" s="19" t="str">
        <f>IF($D1362=1,INDEX(TblClusters[Plateforme],$B1362),"")</f>
        <v/>
      </c>
      <c r="H1362" s="19" t="str">
        <f>IF($D1362=1,INDEX(TblClusters[vCPU par nœud],$B1362),"")</f>
        <v/>
      </c>
      <c r="I1362" s="19" t="str">
        <f>IF($D1362=1,INDEX(TblClusters[RAM par nœud (Go)],$B1362),"")</f>
        <v/>
      </c>
      <c r="J1362" s="19" t="str">
        <f>IF($D1362=1,INDEX(TblClusters[Workers min],$B1362),"")</f>
        <v/>
      </c>
      <c r="K1362" s="73" t="str">
        <f>IF($D1362=1,INDEX(TblClusters[Tarif par nœud],$B1362),"")</f>
        <v/>
      </c>
      <c r="L1362" s="19" t="str">
        <f>IF($D1362=1,INDEX(TblClusters[CPU initial (vCPU)],$B1362),"")</f>
        <v/>
      </c>
      <c r="M1362" s="19" t="str">
        <f>IF($D1362=1,INDEX(TblClusters[RAM initiale (Go)],$B1362),"")</f>
        <v/>
      </c>
      <c r="N1362" s="19" t="str">
        <f>IF($D1362=1,INDEX(TblClusters[CPU min (vCPU)],$B1362),"")</f>
        <v/>
      </c>
      <c r="O1362" s="19" t="str">
        <f>IF($D1362=1,INDEX(TblClusters[RAM min (Go)],$B1362),"")</f>
        <v/>
      </c>
      <c r="P1362" s="19" t="str">
        <f>IF($D1362&lt;&gt;1,"",IF($G1362="ROKS",SUMIFS(TblApplications[Besoin ROKS CPU (vCPU)],TblApplications[Cluster ROKS cible],$F1362,TblApplications[Action],"À migrer",TblApplications[Déjà incluse ROKS],"Non",TblApplications[Mois prov (calc)],"&lt;="&amp;$E1362),SUMIFS(TblApplications[CPU IKS libérable (vCPU)],TblApplications[Cluster IKS source],$F1362,TblApplications[Mois lib (calc)],"&lt;="&amp;$E1362)))</f>
        <v/>
      </c>
      <c r="Q1362" s="19" t="str">
        <f>IF($D1362&lt;&gt;1,"",IF($G1362="ROKS",SUMIFS(TblApplications[Besoin ROKS RAM (Go)],TblApplications[Cluster ROKS cible],$F1362,TblApplications[Action],"À migrer",TblApplications[Déjà incluse ROKS],"Non",TblApplications[Mois prov (calc)],"&lt;="&amp;$E1362),SUMIFS(TblApplications[RAM IKS libérable (Go)],TblApplications[Cluster IKS source],$F1362,TblApplications[Mois lib (calc)],"&lt;="&amp;$E1362)))</f>
        <v/>
      </c>
      <c r="R1362" s="19" t="str">
        <f t="shared" si="360"/>
        <v/>
      </c>
      <c r="S1362" s="19" t="str">
        <f t="shared" si="361"/>
        <v/>
      </c>
      <c r="T1362" s="19" t="str">
        <f t="shared" si="362"/>
        <v/>
      </c>
      <c r="U1362" s="19" t="str">
        <f t="shared" si="363"/>
        <v/>
      </c>
      <c r="V1362" s="19" t="str">
        <f t="shared" si="364"/>
        <v/>
      </c>
      <c r="W1362" s="73" t="str">
        <f t="shared" si="365"/>
        <v/>
      </c>
      <c r="X1362" s="19" t="str">
        <f>IF($D1362&lt;&gt;1,"",IF($G1362="ROKS",$R1362,IF($AI1362=1,0,MAX($N1362,$L1362-SUMIFS(TblApplications[CPU IKS libérable (vCPU)],TblApplications[Cluster IKS source],$F1362,TblApplications[Action],"À migrer",TblApplications[Mois prov (calc)],"&lt;="&amp;$E1362)-SUMIFS(TblApplications[CPU IKS libérable (vCPU)],TblApplications[Cluster IKS source],$F1362,TblApplications[Action],"À décommissionner",TblApplications[Mois lib (calc)],"&lt;="&amp;$E1362)))))</f>
        <v/>
      </c>
      <c r="Y1362" s="19" t="str">
        <f>IF($D1362&lt;&gt;1,"",IF($G1362="ROKS",$S1362,IF($AI1362=1,0,MAX($O1362,$M1362-SUMIFS(TblApplications[RAM IKS libérable (Go)],TblApplications[Cluster IKS source],$F1362,TblApplications[Action],"À migrer",TblApplications[Mois prov (calc)],"&lt;="&amp;$E1362)-SUMIFS(TblApplications[RAM IKS libérable (Go)],TblApplications[Cluster IKS source],$F1362,TblApplications[Action],"À décommissionner",TblApplications[Mois lib (calc)],"&lt;="&amp;$E1362)))))</f>
        <v/>
      </c>
      <c r="Z1362" s="19" t="str">
        <f t="shared" si="366"/>
        <v/>
      </c>
      <c r="AA1362" s="73" t="str">
        <f t="shared" si="367"/>
        <v/>
      </c>
      <c r="AB1362" s="19" t="str">
        <f t="shared" si="368"/>
        <v/>
      </c>
      <c r="AC1362" s="73" t="str">
        <f t="shared" si="369"/>
        <v/>
      </c>
      <c r="AD1362" s="19" t="str">
        <f t="shared" si="370"/>
        <v/>
      </c>
      <c r="AE1362" s="19" t="str">
        <f t="shared" si="371"/>
        <v/>
      </c>
      <c r="AF1362" s="19" t="str">
        <f>IF($D1362&lt;&gt;1,"",IF(INDEX(TblClusters[Environnement],$B1362)="","(vide)",INDEX(TblClusters[Environnement],$B1362)))</f>
        <v/>
      </c>
      <c r="AG1362" s="19" t="str">
        <f t="shared" si="372"/>
        <v/>
      </c>
      <c r="AH1362" s="19" t="str">
        <f t="shared" si="373"/>
        <v/>
      </c>
      <c r="AI1362" s="19" t="str">
        <f>IF($D1362&lt;&gt;1,"",IF(AND($G1362="IKS",ISNUMBER(INDEX(TblClusters[Fermeture retenue],$B1362))),IF($E1362&gt;=INDEX(TblClusters[Fermeture retenue],$B1362),1,0),0))</f>
        <v/>
      </c>
    </row>
    <row r="1363" spans="1:35" x14ac:dyDescent="0.2">
      <c r="A1363" s="19">
        <v>1358</v>
      </c>
      <c r="B1363" s="19">
        <f t="shared" si="357"/>
        <v>38</v>
      </c>
      <c r="C1363" s="19">
        <f t="shared" si="358"/>
        <v>26</v>
      </c>
      <c r="D1363" s="19">
        <f>IF($C1363&gt;p_horizon,0,IFERROR(IF(AND(INDEX(TblClusters[Cluster],$B1363)&lt;&gt;"",ISNUMBER(INDEX(TblClusters[CPU initial (vCPU)],$B1363)),ISNUMBER(INDEX(TblClusters[CPU min (vCPU)],$B1363)),OR(INDEX(TblClusters[Plateforme],$B1363)="IKS",INDEX(TblClusters[Plateforme],$B1363)="ROKS")),1,0),0))</f>
        <v>0</v>
      </c>
      <c r="E1363" s="72" t="str">
        <f t="shared" si="359"/>
        <v/>
      </c>
      <c r="F1363" s="19" t="str">
        <f>IF($D1363=1,INDEX(TblClusters[Cluster],$B1363),"")</f>
        <v/>
      </c>
      <c r="G1363" s="19" t="str">
        <f>IF($D1363=1,INDEX(TblClusters[Plateforme],$B1363),"")</f>
        <v/>
      </c>
      <c r="H1363" s="19" t="str">
        <f>IF($D1363=1,INDEX(TblClusters[vCPU par nœud],$B1363),"")</f>
        <v/>
      </c>
      <c r="I1363" s="19" t="str">
        <f>IF($D1363=1,INDEX(TblClusters[RAM par nœud (Go)],$B1363),"")</f>
        <v/>
      </c>
      <c r="J1363" s="19" t="str">
        <f>IF($D1363=1,INDEX(TblClusters[Workers min],$B1363),"")</f>
        <v/>
      </c>
      <c r="K1363" s="73" t="str">
        <f>IF($D1363=1,INDEX(TblClusters[Tarif par nœud],$B1363),"")</f>
        <v/>
      </c>
      <c r="L1363" s="19" t="str">
        <f>IF($D1363=1,INDEX(TblClusters[CPU initial (vCPU)],$B1363),"")</f>
        <v/>
      </c>
      <c r="M1363" s="19" t="str">
        <f>IF($D1363=1,INDEX(TblClusters[RAM initiale (Go)],$B1363),"")</f>
        <v/>
      </c>
      <c r="N1363" s="19" t="str">
        <f>IF($D1363=1,INDEX(TblClusters[CPU min (vCPU)],$B1363),"")</f>
        <v/>
      </c>
      <c r="O1363" s="19" t="str">
        <f>IF($D1363=1,INDEX(TblClusters[RAM min (Go)],$B1363),"")</f>
        <v/>
      </c>
      <c r="P1363" s="19" t="str">
        <f>IF($D1363&lt;&gt;1,"",IF($G1363="ROKS",SUMIFS(TblApplications[Besoin ROKS CPU (vCPU)],TblApplications[Cluster ROKS cible],$F1363,TblApplications[Action],"À migrer",TblApplications[Déjà incluse ROKS],"Non",TblApplications[Mois prov (calc)],"&lt;="&amp;$E1363),SUMIFS(TblApplications[CPU IKS libérable (vCPU)],TblApplications[Cluster IKS source],$F1363,TblApplications[Mois lib (calc)],"&lt;="&amp;$E1363)))</f>
        <v/>
      </c>
      <c r="Q1363" s="19" t="str">
        <f>IF($D1363&lt;&gt;1,"",IF($G1363="ROKS",SUMIFS(TblApplications[Besoin ROKS RAM (Go)],TblApplications[Cluster ROKS cible],$F1363,TblApplications[Action],"À migrer",TblApplications[Déjà incluse ROKS],"Non",TblApplications[Mois prov (calc)],"&lt;="&amp;$E1363),SUMIFS(TblApplications[RAM IKS libérable (Go)],TblApplications[Cluster IKS source],$F1363,TblApplications[Mois lib (calc)],"&lt;="&amp;$E1363)))</f>
        <v/>
      </c>
      <c r="R1363" s="19" t="str">
        <f t="shared" si="360"/>
        <v/>
      </c>
      <c r="S1363" s="19" t="str">
        <f t="shared" si="361"/>
        <v/>
      </c>
      <c r="T1363" s="19" t="str">
        <f t="shared" si="362"/>
        <v/>
      </c>
      <c r="U1363" s="19" t="str">
        <f t="shared" si="363"/>
        <v/>
      </c>
      <c r="V1363" s="19" t="str">
        <f t="shared" si="364"/>
        <v/>
      </c>
      <c r="W1363" s="73" t="str">
        <f t="shared" si="365"/>
        <v/>
      </c>
      <c r="X1363" s="19" t="str">
        <f>IF($D1363&lt;&gt;1,"",IF($G1363="ROKS",$R1363,IF($AI1363=1,0,MAX($N1363,$L1363-SUMIFS(TblApplications[CPU IKS libérable (vCPU)],TblApplications[Cluster IKS source],$F1363,TblApplications[Action],"À migrer",TblApplications[Mois prov (calc)],"&lt;="&amp;$E1363)-SUMIFS(TblApplications[CPU IKS libérable (vCPU)],TblApplications[Cluster IKS source],$F1363,TblApplications[Action],"À décommissionner",TblApplications[Mois lib (calc)],"&lt;="&amp;$E1363)))))</f>
        <v/>
      </c>
      <c r="Y1363" s="19" t="str">
        <f>IF($D1363&lt;&gt;1,"",IF($G1363="ROKS",$S1363,IF($AI1363=1,0,MAX($O1363,$M1363-SUMIFS(TblApplications[RAM IKS libérable (Go)],TblApplications[Cluster IKS source],$F1363,TblApplications[Action],"À migrer",TblApplications[Mois prov (calc)],"&lt;="&amp;$E1363)-SUMIFS(TblApplications[RAM IKS libérable (Go)],TblApplications[Cluster IKS source],$F1363,TblApplications[Action],"À décommissionner",TblApplications[Mois lib (calc)],"&lt;="&amp;$E1363)))))</f>
        <v/>
      </c>
      <c r="Z1363" s="19" t="str">
        <f t="shared" si="366"/>
        <v/>
      </c>
      <c r="AA1363" s="73" t="str">
        <f t="shared" si="367"/>
        <v/>
      </c>
      <c r="AB1363" s="19" t="str">
        <f t="shared" si="368"/>
        <v/>
      </c>
      <c r="AC1363" s="73" t="str">
        <f t="shared" si="369"/>
        <v/>
      </c>
      <c r="AD1363" s="19" t="str">
        <f t="shared" si="370"/>
        <v/>
      </c>
      <c r="AE1363" s="19" t="str">
        <f t="shared" si="371"/>
        <v/>
      </c>
      <c r="AF1363" s="19" t="str">
        <f>IF($D1363&lt;&gt;1,"",IF(INDEX(TblClusters[Environnement],$B1363)="","(vide)",INDEX(TblClusters[Environnement],$B1363)))</f>
        <v/>
      </c>
      <c r="AG1363" s="19" t="str">
        <f t="shared" si="372"/>
        <v/>
      </c>
      <c r="AH1363" s="19" t="str">
        <f t="shared" si="373"/>
        <v/>
      </c>
      <c r="AI1363" s="19" t="str">
        <f>IF($D1363&lt;&gt;1,"",IF(AND($G1363="IKS",ISNUMBER(INDEX(TblClusters[Fermeture retenue],$B1363))),IF($E1363&gt;=INDEX(TblClusters[Fermeture retenue],$B1363),1,0),0))</f>
        <v/>
      </c>
    </row>
    <row r="1364" spans="1:35" x14ac:dyDescent="0.2">
      <c r="A1364" s="19">
        <v>1359</v>
      </c>
      <c r="B1364" s="19">
        <f t="shared" si="357"/>
        <v>38</v>
      </c>
      <c r="C1364" s="19">
        <f t="shared" si="358"/>
        <v>27</v>
      </c>
      <c r="D1364" s="19">
        <f>IF($C1364&gt;p_horizon,0,IFERROR(IF(AND(INDEX(TblClusters[Cluster],$B1364)&lt;&gt;"",ISNUMBER(INDEX(TblClusters[CPU initial (vCPU)],$B1364)),ISNUMBER(INDEX(TblClusters[CPU min (vCPU)],$B1364)),OR(INDEX(TblClusters[Plateforme],$B1364)="IKS",INDEX(TblClusters[Plateforme],$B1364)="ROKS")),1,0),0))</f>
        <v>0</v>
      </c>
      <c r="E1364" s="72" t="str">
        <f t="shared" si="359"/>
        <v/>
      </c>
      <c r="F1364" s="19" t="str">
        <f>IF($D1364=1,INDEX(TblClusters[Cluster],$B1364),"")</f>
        <v/>
      </c>
      <c r="G1364" s="19" t="str">
        <f>IF($D1364=1,INDEX(TblClusters[Plateforme],$B1364),"")</f>
        <v/>
      </c>
      <c r="H1364" s="19" t="str">
        <f>IF($D1364=1,INDEX(TblClusters[vCPU par nœud],$B1364),"")</f>
        <v/>
      </c>
      <c r="I1364" s="19" t="str">
        <f>IF($D1364=1,INDEX(TblClusters[RAM par nœud (Go)],$B1364),"")</f>
        <v/>
      </c>
      <c r="J1364" s="19" t="str">
        <f>IF($D1364=1,INDEX(TblClusters[Workers min],$B1364),"")</f>
        <v/>
      </c>
      <c r="K1364" s="73" t="str">
        <f>IF($D1364=1,INDEX(TblClusters[Tarif par nœud],$B1364),"")</f>
        <v/>
      </c>
      <c r="L1364" s="19" t="str">
        <f>IF($D1364=1,INDEX(TblClusters[CPU initial (vCPU)],$B1364),"")</f>
        <v/>
      </c>
      <c r="M1364" s="19" t="str">
        <f>IF($D1364=1,INDEX(TblClusters[RAM initiale (Go)],$B1364),"")</f>
        <v/>
      </c>
      <c r="N1364" s="19" t="str">
        <f>IF($D1364=1,INDEX(TblClusters[CPU min (vCPU)],$B1364),"")</f>
        <v/>
      </c>
      <c r="O1364" s="19" t="str">
        <f>IF($D1364=1,INDEX(TblClusters[RAM min (Go)],$B1364),"")</f>
        <v/>
      </c>
      <c r="P1364" s="19" t="str">
        <f>IF($D1364&lt;&gt;1,"",IF($G1364="ROKS",SUMIFS(TblApplications[Besoin ROKS CPU (vCPU)],TblApplications[Cluster ROKS cible],$F1364,TblApplications[Action],"À migrer",TblApplications[Déjà incluse ROKS],"Non",TblApplications[Mois prov (calc)],"&lt;="&amp;$E1364),SUMIFS(TblApplications[CPU IKS libérable (vCPU)],TblApplications[Cluster IKS source],$F1364,TblApplications[Mois lib (calc)],"&lt;="&amp;$E1364)))</f>
        <v/>
      </c>
      <c r="Q1364" s="19" t="str">
        <f>IF($D1364&lt;&gt;1,"",IF($G1364="ROKS",SUMIFS(TblApplications[Besoin ROKS RAM (Go)],TblApplications[Cluster ROKS cible],$F1364,TblApplications[Action],"À migrer",TblApplications[Déjà incluse ROKS],"Non",TblApplications[Mois prov (calc)],"&lt;="&amp;$E1364),SUMIFS(TblApplications[RAM IKS libérable (Go)],TblApplications[Cluster IKS source],$F1364,TblApplications[Mois lib (calc)],"&lt;="&amp;$E1364)))</f>
        <v/>
      </c>
      <c r="R1364" s="19" t="str">
        <f t="shared" si="360"/>
        <v/>
      </c>
      <c r="S1364" s="19" t="str">
        <f t="shared" si="361"/>
        <v/>
      </c>
      <c r="T1364" s="19" t="str">
        <f t="shared" si="362"/>
        <v/>
      </c>
      <c r="U1364" s="19" t="str">
        <f t="shared" si="363"/>
        <v/>
      </c>
      <c r="V1364" s="19" t="str">
        <f t="shared" si="364"/>
        <v/>
      </c>
      <c r="W1364" s="73" t="str">
        <f t="shared" si="365"/>
        <v/>
      </c>
      <c r="X1364" s="19" t="str">
        <f>IF($D1364&lt;&gt;1,"",IF($G1364="ROKS",$R1364,IF($AI1364=1,0,MAX($N1364,$L1364-SUMIFS(TblApplications[CPU IKS libérable (vCPU)],TblApplications[Cluster IKS source],$F1364,TblApplications[Action],"À migrer",TblApplications[Mois prov (calc)],"&lt;="&amp;$E1364)-SUMIFS(TblApplications[CPU IKS libérable (vCPU)],TblApplications[Cluster IKS source],$F1364,TblApplications[Action],"À décommissionner",TblApplications[Mois lib (calc)],"&lt;="&amp;$E1364)))))</f>
        <v/>
      </c>
      <c r="Y1364" s="19" t="str">
        <f>IF($D1364&lt;&gt;1,"",IF($G1364="ROKS",$S1364,IF($AI1364=1,0,MAX($O1364,$M1364-SUMIFS(TblApplications[RAM IKS libérable (Go)],TblApplications[Cluster IKS source],$F1364,TblApplications[Action],"À migrer",TblApplications[Mois prov (calc)],"&lt;="&amp;$E1364)-SUMIFS(TblApplications[RAM IKS libérable (Go)],TblApplications[Cluster IKS source],$F1364,TblApplications[Action],"À décommissionner",TblApplications[Mois lib (calc)],"&lt;="&amp;$E1364)))))</f>
        <v/>
      </c>
      <c r="Z1364" s="19" t="str">
        <f t="shared" si="366"/>
        <v/>
      </c>
      <c r="AA1364" s="73" t="str">
        <f t="shared" si="367"/>
        <v/>
      </c>
      <c r="AB1364" s="19" t="str">
        <f t="shared" si="368"/>
        <v/>
      </c>
      <c r="AC1364" s="73" t="str">
        <f t="shared" si="369"/>
        <v/>
      </c>
      <c r="AD1364" s="19" t="str">
        <f t="shared" si="370"/>
        <v/>
      </c>
      <c r="AE1364" s="19" t="str">
        <f t="shared" si="371"/>
        <v/>
      </c>
      <c r="AF1364" s="19" t="str">
        <f>IF($D1364&lt;&gt;1,"",IF(INDEX(TblClusters[Environnement],$B1364)="","(vide)",INDEX(TblClusters[Environnement],$B1364)))</f>
        <v/>
      </c>
      <c r="AG1364" s="19" t="str">
        <f t="shared" si="372"/>
        <v/>
      </c>
      <c r="AH1364" s="19" t="str">
        <f t="shared" si="373"/>
        <v/>
      </c>
      <c r="AI1364" s="19" t="str">
        <f>IF($D1364&lt;&gt;1,"",IF(AND($G1364="IKS",ISNUMBER(INDEX(TblClusters[Fermeture retenue],$B1364))),IF($E1364&gt;=INDEX(TblClusters[Fermeture retenue],$B1364),1,0),0))</f>
        <v/>
      </c>
    </row>
    <row r="1365" spans="1:35" x14ac:dyDescent="0.2">
      <c r="A1365" s="19">
        <v>1360</v>
      </c>
      <c r="B1365" s="19">
        <f t="shared" si="357"/>
        <v>38</v>
      </c>
      <c r="C1365" s="19">
        <f t="shared" si="358"/>
        <v>28</v>
      </c>
      <c r="D1365" s="19">
        <f>IF($C1365&gt;p_horizon,0,IFERROR(IF(AND(INDEX(TblClusters[Cluster],$B1365)&lt;&gt;"",ISNUMBER(INDEX(TblClusters[CPU initial (vCPU)],$B1365)),ISNUMBER(INDEX(TblClusters[CPU min (vCPU)],$B1365)),OR(INDEX(TblClusters[Plateforme],$B1365)="IKS",INDEX(TblClusters[Plateforme],$B1365)="ROKS")),1,0),0))</f>
        <v>0</v>
      </c>
      <c r="E1365" s="72" t="str">
        <f t="shared" si="359"/>
        <v/>
      </c>
      <c r="F1365" s="19" t="str">
        <f>IF($D1365=1,INDEX(TblClusters[Cluster],$B1365),"")</f>
        <v/>
      </c>
      <c r="G1365" s="19" t="str">
        <f>IF($D1365=1,INDEX(TblClusters[Plateforme],$B1365),"")</f>
        <v/>
      </c>
      <c r="H1365" s="19" t="str">
        <f>IF($D1365=1,INDEX(TblClusters[vCPU par nœud],$B1365),"")</f>
        <v/>
      </c>
      <c r="I1365" s="19" t="str">
        <f>IF($D1365=1,INDEX(TblClusters[RAM par nœud (Go)],$B1365),"")</f>
        <v/>
      </c>
      <c r="J1365" s="19" t="str">
        <f>IF($D1365=1,INDEX(TblClusters[Workers min],$B1365),"")</f>
        <v/>
      </c>
      <c r="K1365" s="73" t="str">
        <f>IF($D1365=1,INDEX(TblClusters[Tarif par nœud],$B1365),"")</f>
        <v/>
      </c>
      <c r="L1365" s="19" t="str">
        <f>IF($D1365=1,INDEX(TblClusters[CPU initial (vCPU)],$B1365),"")</f>
        <v/>
      </c>
      <c r="M1365" s="19" t="str">
        <f>IF($D1365=1,INDEX(TblClusters[RAM initiale (Go)],$B1365),"")</f>
        <v/>
      </c>
      <c r="N1365" s="19" t="str">
        <f>IF($D1365=1,INDEX(TblClusters[CPU min (vCPU)],$B1365),"")</f>
        <v/>
      </c>
      <c r="O1365" s="19" t="str">
        <f>IF($D1365=1,INDEX(TblClusters[RAM min (Go)],$B1365),"")</f>
        <v/>
      </c>
      <c r="P1365" s="19" t="str">
        <f>IF($D1365&lt;&gt;1,"",IF($G1365="ROKS",SUMIFS(TblApplications[Besoin ROKS CPU (vCPU)],TblApplications[Cluster ROKS cible],$F1365,TblApplications[Action],"À migrer",TblApplications[Déjà incluse ROKS],"Non",TblApplications[Mois prov (calc)],"&lt;="&amp;$E1365),SUMIFS(TblApplications[CPU IKS libérable (vCPU)],TblApplications[Cluster IKS source],$F1365,TblApplications[Mois lib (calc)],"&lt;="&amp;$E1365)))</f>
        <v/>
      </c>
      <c r="Q1365" s="19" t="str">
        <f>IF($D1365&lt;&gt;1,"",IF($G1365="ROKS",SUMIFS(TblApplications[Besoin ROKS RAM (Go)],TblApplications[Cluster ROKS cible],$F1365,TblApplications[Action],"À migrer",TblApplications[Déjà incluse ROKS],"Non",TblApplications[Mois prov (calc)],"&lt;="&amp;$E1365),SUMIFS(TblApplications[RAM IKS libérable (Go)],TblApplications[Cluster IKS source],$F1365,TblApplications[Mois lib (calc)],"&lt;="&amp;$E1365)))</f>
        <v/>
      </c>
      <c r="R1365" s="19" t="str">
        <f t="shared" si="360"/>
        <v/>
      </c>
      <c r="S1365" s="19" t="str">
        <f t="shared" si="361"/>
        <v/>
      </c>
      <c r="T1365" s="19" t="str">
        <f t="shared" si="362"/>
        <v/>
      </c>
      <c r="U1365" s="19" t="str">
        <f t="shared" si="363"/>
        <v/>
      </c>
      <c r="V1365" s="19" t="str">
        <f t="shared" si="364"/>
        <v/>
      </c>
      <c r="W1365" s="73" t="str">
        <f t="shared" si="365"/>
        <v/>
      </c>
      <c r="X1365" s="19" t="str">
        <f>IF($D1365&lt;&gt;1,"",IF($G1365="ROKS",$R1365,IF($AI1365=1,0,MAX($N1365,$L1365-SUMIFS(TblApplications[CPU IKS libérable (vCPU)],TblApplications[Cluster IKS source],$F1365,TblApplications[Action],"À migrer",TblApplications[Mois prov (calc)],"&lt;="&amp;$E1365)-SUMIFS(TblApplications[CPU IKS libérable (vCPU)],TblApplications[Cluster IKS source],$F1365,TblApplications[Action],"À décommissionner",TblApplications[Mois lib (calc)],"&lt;="&amp;$E1365)))))</f>
        <v/>
      </c>
      <c r="Y1365" s="19" t="str">
        <f>IF($D1365&lt;&gt;1,"",IF($G1365="ROKS",$S1365,IF($AI1365=1,0,MAX($O1365,$M1365-SUMIFS(TblApplications[RAM IKS libérable (Go)],TblApplications[Cluster IKS source],$F1365,TblApplications[Action],"À migrer",TblApplications[Mois prov (calc)],"&lt;="&amp;$E1365)-SUMIFS(TblApplications[RAM IKS libérable (Go)],TblApplications[Cluster IKS source],$F1365,TblApplications[Action],"À décommissionner",TblApplications[Mois lib (calc)],"&lt;="&amp;$E1365)))))</f>
        <v/>
      </c>
      <c r="Z1365" s="19" t="str">
        <f t="shared" si="366"/>
        <v/>
      </c>
      <c r="AA1365" s="73" t="str">
        <f t="shared" si="367"/>
        <v/>
      </c>
      <c r="AB1365" s="19" t="str">
        <f t="shared" si="368"/>
        <v/>
      </c>
      <c r="AC1365" s="73" t="str">
        <f t="shared" si="369"/>
        <v/>
      </c>
      <c r="AD1365" s="19" t="str">
        <f t="shared" si="370"/>
        <v/>
      </c>
      <c r="AE1365" s="19" t="str">
        <f t="shared" si="371"/>
        <v/>
      </c>
      <c r="AF1365" s="19" t="str">
        <f>IF($D1365&lt;&gt;1,"",IF(INDEX(TblClusters[Environnement],$B1365)="","(vide)",INDEX(TblClusters[Environnement],$B1365)))</f>
        <v/>
      </c>
      <c r="AG1365" s="19" t="str">
        <f t="shared" si="372"/>
        <v/>
      </c>
      <c r="AH1365" s="19" t="str">
        <f t="shared" si="373"/>
        <v/>
      </c>
      <c r="AI1365" s="19" t="str">
        <f>IF($D1365&lt;&gt;1,"",IF(AND($G1365="IKS",ISNUMBER(INDEX(TblClusters[Fermeture retenue],$B1365))),IF($E1365&gt;=INDEX(TblClusters[Fermeture retenue],$B1365),1,0),0))</f>
        <v/>
      </c>
    </row>
    <row r="1366" spans="1:35" x14ac:dyDescent="0.2">
      <c r="A1366" s="19">
        <v>1361</v>
      </c>
      <c r="B1366" s="19">
        <f t="shared" si="357"/>
        <v>38</v>
      </c>
      <c r="C1366" s="19">
        <f t="shared" si="358"/>
        <v>29</v>
      </c>
      <c r="D1366" s="19">
        <f>IF($C1366&gt;p_horizon,0,IFERROR(IF(AND(INDEX(TblClusters[Cluster],$B1366)&lt;&gt;"",ISNUMBER(INDEX(TblClusters[CPU initial (vCPU)],$B1366)),ISNUMBER(INDEX(TblClusters[CPU min (vCPU)],$B1366)),OR(INDEX(TblClusters[Plateforme],$B1366)="IKS",INDEX(TblClusters[Plateforme],$B1366)="ROKS")),1,0),0))</f>
        <v>0</v>
      </c>
      <c r="E1366" s="72" t="str">
        <f t="shared" si="359"/>
        <v/>
      </c>
      <c r="F1366" s="19" t="str">
        <f>IF($D1366=1,INDEX(TblClusters[Cluster],$B1366),"")</f>
        <v/>
      </c>
      <c r="G1366" s="19" t="str">
        <f>IF($D1366=1,INDEX(TblClusters[Plateforme],$B1366),"")</f>
        <v/>
      </c>
      <c r="H1366" s="19" t="str">
        <f>IF($D1366=1,INDEX(TblClusters[vCPU par nœud],$B1366),"")</f>
        <v/>
      </c>
      <c r="I1366" s="19" t="str">
        <f>IF($D1366=1,INDEX(TblClusters[RAM par nœud (Go)],$B1366),"")</f>
        <v/>
      </c>
      <c r="J1366" s="19" t="str">
        <f>IF($D1366=1,INDEX(TblClusters[Workers min],$B1366),"")</f>
        <v/>
      </c>
      <c r="K1366" s="73" t="str">
        <f>IF($D1366=1,INDEX(TblClusters[Tarif par nœud],$B1366),"")</f>
        <v/>
      </c>
      <c r="L1366" s="19" t="str">
        <f>IF($D1366=1,INDEX(TblClusters[CPU initial (vCPU)],$B1366),"")</f>
        <v/>
      </c>
      <c r="M1366" s="19" t="str">
        <f>IF($D1366=1,INDEX(TblClusters[RAM initiale (Go)],$B1366),"")</f>
        <v/>
      </c>
      <c r="N1366" s="19" t="str">
        <f>IF($D1366=1,INDEX(TblClusters[CPU min (vCPU)],$B1366),"")</f>
        <v/>
      </c>
      <c r="O1366" s="19" t="str">
        <f>IF($D1366=1,INDEX(TblClusters[RAM min (Go)],$B1366),"")</f>
        <v/>
      </c>
      <c r="P1366" s="19" t="str">
        <f>IF($D1366&lt;&gt;1,"",IF($G1366="ROKS",SUMIFS(TblApplications[Besoin ROKS CPU (vCPU)],TblApplications[Cluster ROKS cible],$F1366,TblApplications[Action],"À migrer",TblApplications[Déjà incluse ROKS],"Non",TblApplications[Mois prov (calc)],"&lt;="&amp;$E1366),SUMIFS(TblApplications[CPU IKS libérable (vCPU)],TblApplications[Cluster IKS source],$F1366,TblApplications[Mois lib (calc)],"&lt;="&amp;$E1366)))</f>
        <v/>
      </c>
      <c r="Q1366" s="19" t="str">
        <f>IF($D1366&lt;&gt;1,"",IF($G1366="ROKS",SUMIFS(TblApplications[Besoin ROKS RAM (Go)],TblApplications[Cluster ROKS cible],$F1366,TblApplications[Action],"À migrer",TblApplications[Déjà incluse ROKS],"Non",TblApplications[Mois prov (calc)],"&lt;="&amp;$E1366),SUMIFS(TblApplications[RAM IKS libérable (Go)],TblApplications[Cluster IKS source],$F1366,TblApplications[Mois lib (calc)],"&lt;="&amp;$E1366)))</f>
        <v/>
      </c>
      <c r="R1366" s="19" t="str">
        <f t="shared" si="360"/>
        <v/>
      </c>
      <c r="S1366" s="19" t="str">
        <f t="shared" si="361"/>
        <v/>
      </c>
      <c r="T1366" s="19" t="str">
        <f t="shared" si="362"/>
        <v/>
      </c>
      <c r="U1366" s="19" t="str">
        <f t="shared" si="363"/>
        <v/>
      </c>
      <c r="V1366" s="19" t="str">
        <f t="shared" si="364"/>
        <v/>
      </c>
      <c r="W1366" s="73" t="str">
        <f t="shared" si="365"/>
        <v/>
      </c>
      <c r="X1366" s="19" t="str">
        <f>IF($D1366&lt;&gt;1,"",IF($G1366="ROKS",$R1366,IF($AI1366=1,0,MAX($N1366,$L1366-SUMIFS(TblApplications[CPU IKS libérable (vCPU)],TblApplications[Cluster IKS source],$F1366,TblApplications[Action],"À migrer",TblApplications[Mois prov (calc)],"&lt;="&amp;$E1366)-SUMIFS(TblApplications[CPU IKS libérable (vCPU)],TblApplications[Cluster IKS source],$F1366,TblApplications[Action],"À décommissionner",TblApplications[Mois lib (calc)],"&lt;="&amp;$E1366)))))</f>
        <v/>
      </c>
      <c r="Y1366" s="19" t="str">
        <f>IF($D1366&lt;&gt;1,"",IF($G1366="ROKS",$S1366,IF($AI1366=1,0,MAX($O1366,$M1366-SUMIFS(TblApplications[RAM IKS libérable (Go)],TblApplications[Cluster IKS source],$F1366,TblApplications[Action],"À migrer",TblApplications[Mois prov (calc)],"&lt;="&amp;$E1366)-SUMIFS(TblApplications[RAM IKS libérable (Go)],TblApplications[Cluster IKS source],$F1366,TblApplications[Action],"À décommissionner",TblApplications[Mois lib (calc)],"&lt;="&amp;$E1366)))))</f>
        <v/>
      </c>
      <c r="Z1366" s="19" t="str">
        <f t="shared" si="366"/>
        <v/>
      </c>
      <c r="AA1366" s="73" t="str">
        <f t="shared" si="367"/>
        <v/>
      </c>
      <c r="AB1366" s="19" t="str">
        <f t="shared" si="368"/>
        <v/>
      </c>
      <c r="AC1366" s="73" t="str">
        <f t="shared" si="369"/>
        <v/>
      </c>
      <c r="AD1366" s="19" t="str">
        <f t="shared" si="370"/>
        <v/>
      </c>
      <c r="AE1366" s="19" t="str">
        <f t="shared" si="371"/>
        <v/>
      </c>
      <c r="AF1366" s="19" t="str">
        <f>IF($D1366&lt;&gt;1,"",IF(INDEX(TblClusters[Environnement],$B1366)="","(vide)",INDEX(TblClusters[Environnement],$B1366)))</f>
        <v/>
      </c>
      <c r="AG1366" s="19" t="str">
        <f t="shared" si="372"/>
        <v/>
      </c>
      <c r="AH1366" s="19" t="str">
        <f t="shared" si="373"/>
        <v/>
      </c>
      <c r="AI1366" s="19" t="str">
        <f>IF($D1366&lt;&gt;1,"",IF(AND($G1366="IKS",ISNUMBER(INDEX(TblClusters[Fermeture retenue],$B1366))),IF($E1366&gt;=INDEX(TblClusters[Fermeture retenue],$B1366),1,0),0))</f>
        <v/>
      </c>
    </row>
    <row r="1367" spans="1:35" x14ac:dyDescent="0.2">
      <c r="A1367" s="19">
        <v>1362</v>
      </c>
      <c r="B1367" s="19">
        <f t="shared" si="357"/>
        <v>38</v>
      </c>
      <c r="C1367" s="19">
        <f t="shared" si="358"/>
        <v>30</v>
      </c>
      <c r="D1367" s="19">
        <f>IF($C1367&gt;p_horizon,0,IFERROR(IF(AND(INDEX(TblClusters[Cluster],$B1367)&lt;&gt;"",ISNUMBER(INDEX(TblClusters[CPU initial (vCPU)],$B1367)),ISNUMBER(INDEX(TblClusters[CPU min (vCPU)],$B1367)),OR(INDEX(TblClusters[Plateforme],$B1367)="IKS",INDEX(TblClusters[Plateforme],$B1367)="ROKS")),1,0),0))</f>
        <v>0</v>
      </c>
      <c r="E1367" s="72" t="str">
        <f t="shared" si="359"/>
        <v/>
      </c>
      <c r="F1367" s="19" t="str">
        <f>IF($D1367=1,INDEX(TblClusters[Cluster],$B1367),"")</f>
        <v/>
      </c>
      <c r="G1367" s="19" t="str">
        <f>IF($D1367=1,INDEX(TblClusters[Plateforme],$B1367),"")</f>
        <v/>
      </c>
      <c r="H1367" s="19" t="str">
        <f>IF($D1367=1,INDEX(TblClusters[vCPU par nœud],$B1367),"")</f>
        <v/>
      </c>
      <c r="I1367" s="19" t="str">
        <f>IF($D1367=1,INDEX(TblClusters[RAM par nœud (Go)],$B1367),"")</f>
        <v/>
      </c>
      <c r="J1367" s="19" t="str">
        <f>IF($D1367=1,INDEX(TblClusters[Workers min],$B1367),"")</f>
        <v/>
      </c>
      <c r="K1367" s="73" t="str">
        <f>IF($D1367=1,INDEX(TblClusters[Tarif par nœud],$B1367),"")</f>
        <v/>
      </c>
      <c r="L1367" s="19" t="str">
        <f>IF($D1367=1,INDEX(TblClusters[CPU initial (vCPU)],$B1367),"")</f>
        <v/>
      </c>
      <c r="M1367" s="19" t="str">
        <f>IF($D1367=1,INDEX(TblClusters[RAM initiale (Go)],$B1367),"")</f>
        <v/>
      </c>
      <c r="N1367" s="19" t="str">
        <f>IF($D1367=1,INDEX(TblClusters[CPU min (vCPU)],$B1367),"")</f>
        <v/>
      </c>
      <c r="O1367" s="19" t="str">
        <f>IF($D1367=1,INDEX(TblClusters[RAM min (Go)],$B1367),"")</f>
        <v/>
      </c>
      <c r="P1367" s="19" t="str">
        <f>IF($D1367&lt;&gt;1,"",IF($G1367="ROKS",SUMIFS(TblApplications[Besoin ROKS CPU (vCPU)],TblApplications[Cluster ROKS cible],$F1367,TblApplications[Action],"À migrer",TblApplications[Déjà incluse ROKS],"Non",TblApplications[Mois prov (calc)],"&lt;="&amp;$E1367),SUMIFS(TblApplications[CPU IKS libérable (vCPU)],TblApplications[Cluster IKS source],$F1367,TblApplications[Mois lib (calc)],"&lt;="&amp;$E1367)))</f>
        <v/>
      </c>
      <c r="Q1367" s="19" t="str">
        <f>IF($D1367&lt;&gt;1,"",IF($G1367="ROKS",SUMIFS(TblApplications[Besoin ROKS RAM (Go)],TblApplications[Cluster ROKS cible],$F1367,TblApplications[Action],"À migrer",TblApplications[Déjà incluse ROKS],"Non",TblApplications[Mois prov (calc)],"&lt;="&amp;$E1367),SUMIFS(TblApplications[RAM IKS libérable (Go)],TblApplications[Cluster IKS source],$F1367,TblApplications[Mois lib (calc)],"&lt;="&amp;$E1367)))</f>
        <v/>
      </c>
      <c r="R1367" s="19" t="str">
        <f t="shared" si="360"/>
        <v/>
      </c>
      <c r="S1367" s="19" t="str">
        <f t="shared" si="361"/>
        <v/>
      </c>
      <c r="T1367" s="19" t="str">
        <f t="shared" si="362"/>
        <v/>
      </c>
      <c r="U1367" s="19" t="str">
        <f t="shared" si="363"/>
        <v/>
      </c>
      <c r="V1367" s="19" t="str">
        <f t="shared" si="364"/>
        <v/>
      </c>
      <c r="W1367" s="73" t="str">
        <f t="shared" si="365"/>
        <v/>
      </c>
      <c r="X1367" s="19" t="str">
        <f>IF($D1367&lt;&gt;1,"",IF($G1367="ROKS",$R1367,IF($AI1367=1,0,MAX($N1367,$L1367-SUMIFS(TblApplications[CPU IKS libérable (vCPU)],TblApplications[Cluster IKS source],$F1367,TblApplications[Action],"À migrer",TblApplications[Mois prov (calc)],"&lt;="&amp;$E1367)-SUMIFS(TblApplications[CPU IKS libérable (vCPU)],TblApplications[Cluster IKS source],$F1367,TblApplications[Action],"À décommissionner",TblApplications[Mois lib (calc)],"&lt;="&amp;$E1367)))))</f>
        <v/>
      </c>
      <c r="Y1367" s="19" t="str">
        <f>IF($D1367&lt;&gt;1,"",IF($G1367="ROKS",$S1367,IF($AI1367=1,0,MAX($O1367,$M1367-SUMIFS(TblApplications[RAM IKS libérable (Go)],TblApplications[Cluster IKS source],$F1367,TblApplications[Action],"À migrer",TblApplications[Mois prov (calc)],"&lt;="&amp;$E1367)-SUMIFS(TblApplications[RAM IKS libérable (Go)],TblApplications[Cluster IKS source],$F1367,TblApplications[Action],"À décommissionner",TblApplications[Mois lib (calc)],"&lt;="&amp;$E1367)))))</f>
        <v/>
      </c>
      <c r="Z1367" s="19" t="str">
        <f t="shared" si="366"/>
        <v/>
      </c>
      <c r="AA1367" s="73" t="str">
        <f t="shared" si="367"/>
        <v/>
      </c>
      <c r="AB1367" s="19" t="str">
        <f t="shared" si="368"/>
        <v/>
      </c>
      <c r="AC1367" s="73" t="str">
        <f t="shared" si="369"/>
        <v/>
      </c>
      <c r="AD1367" s="19" t="str">
        <f t="shared" si="370"/>
        <v/>
      </c>
      <c r="AE1367" s="19" t="str">
        <f t="shared" si="371"/>
        <v/>
      </c>
      <c r="AF1367" s="19" t="str">
        <f>IF($D1367&lt;&gt;1,"",IF(INDEX(TblClusters[Environnement],$B1367)="","(vide)",INDEX(TblClusters[Environnement],$B1367)))</f>
        <v/>
      </c>
      <c r="AG1367" s="19" t="str">
        <f t="shared" si="372"/>
        <v/>
      </c>
      <c r="AH1367" s="19" t="str">
        <f t="shared" si="373"/>
        <v/>
      </c>
      <c r="AI1367" s="19" t="str">
        <f>IF($D1367&lt;&gt;1,"",IF(AND($G1367="IKS",ISNUMBER(INDEX(TblClusters[Fermeture retenue],$B1367))),IF($E1367&gt;=INDEX(TblClusters[Fermeture retenue],$B1367),1,0),0))</f>
        <v/>
      </c>
    </row>
    <row r="1368" spans="1:35" x14ac:dyDescent="0.2">
      <c r="A1368" s="19">
        <v>1363</v>
      </c>
      <c r="B1368" s="19">
        <f t="shared" si="357"/>
        <v>38</v>
      </c>
      <c r="C1368" s="19">
        <f t="shared" si="358"/>
        <v>31</v>
      </c>
      <c r="D1368" s="19">
        <f>IF($C1368&gt;p_horizon,0,IFERROR(IF(AND(INDEX(TblClusters[Cluster],$B1368)&lt;&gt;"",ISNUMBER(INDEX(TblClusters[CPU initial (vCPU)],$B1368)),ISNUMBER(INDEX(TblClusters[CPU min (vCPU)],$B1368)),OR(INDEX(TblClusters[Plateforme],$B1368)="IKS",INDEX(TblClusters[Plateforme],$B1368)="ROKS")),1,0),0))</f>
        <v>0</v>
      </c>
      <c r="E1368" s="72" t="str">
        <f t="shared" si="359"/>
        <v/>
      </c>
      <c r="F1368" s="19" t="str">
        <f>IF($D1368=1,INDEX(TblClusters[Cluster],$B1368),"")</f>
        <v/>
      </c>
      <c r="G1368" s="19" t="str">
        <f>IF($D1368=1,INDEX(TblClusters[Plateforme],$B1368),"")</f>
        <v/>
      </c>
      <c r="H1368" s="19" t="str">
        <f>IF($D1368=1,INDEX(TblClusters[vCPU par nœud],$B1368),"")</f>
        <v/>
      </c>
      <c r="I1368" s="19" t="str">
        <f>IF($D1368=1,INDEX(TblClusters[RAM par nœud (Go)],$B1368),"")</f>
        <v/>
      </c>
      <c r="J1368" s="19" t="str">
        <f>IF($D1368=1,INDEX(TblClusters[Workers min],$B1368),"")</f>
        <v/>
      </c>
      <c r="K1368" s="73" t="str">
        <f>IF($D1368=1,INDEX(TblClusters[Tarif par nœud],$B1368),"")</f>
        <v/>
      </c>
      <c r="L1368" s="19" t="str">
        <f>IF($D1368=1,INDEX(TblClusters[CPU initial (vCPU)],$B1368),"")</f>
        <v/>
      </c>
      <c r="M1368" s="19" t="str">
        <f>IF($D1368=1,INDEX(TblClusters[RAM initiale (Go)],$B1368),"")</f>
        <v/>
      </c>
      <c r="N1368" s="19" t="str">
        <f>IF($D1368=1,INDEX(TblClusters[CPU min (vCPU)],$B1368),"")</f>
        <v/>
      </c>
      <c r="O1368" s="19" t="str">
        <f>IF($D1368=1,INDEX(TblClusters[RAM min (Go)],$B1368),"")</f>
        <v/>
      </c>
      <c r="P1368" s="19" t="str">
        <f>IF($D1368&lt;&gt;1,"",IF($G1368="ROKS",SUMIFS(TblApplications[Besoin ROKS CPU (vCPU)],TblApplications[Cluster ROKS cible],$F1368,TblApplications[Action],"À migrer",TblApplications[Déjà incluse ROKS],"Non",TblApplications[Mois prov (calc)],"&lt;="&amp;$E1368),SUMIFS(TblApplications[CPU IKS libérable (vCPU)],TblApplications[Cluster IKS source],$F1368,TblApplications[Mois lib (calc)],"&lt;="&amp;$E1368)))</f>
        <v/>
      </c>
      <c r="Q1368" s="19" t="str">
        <f>IF($D1368&lt;&gt;1,"",IF($G1368="ROKS",SUMIFS(TblApplications[Besoin ROKS RAM (Go)],TblApplications[Cluster ROKS cible],$F1368,TblApplications[Action],"À migrer",TblApplications[Déjà incluse ROKS],"Non",TblApplications[Mois prov (calc)],"&lt;="&amp;$E1368),SUMIFS(TblApplications[RAM IKS libérable (Go)],TblApplications[Cluster IKS source],$F1368,TblApplications[Mois lib (calc)],"&lt;="&amp;$E1368)))</f>
        <v/>
      </c>
      <c r="R1368" s="19" t="str">
        <f t="shared" si="360"/>
        <v/>
      </c>
      <c r="S1368" s="19" t="str">
        <f t="shared" si="361"/>
        <v/>
      </c>
      <c r="T1368" s="19" t="str">
        <f t="shared" si="362"/>
        <v/>
      </c>
      <c r="U1368" s="19" t="str">
        <f t="shared" si="363"/>
        <v/>
      </c>
      <c r="V1368" s="19" t="str">
        <f t="shared" si="364"/>
        <v/>
      </c>
      <c r="W1368" s="73" t="str">
        <f t="shared" si="365"/>
        <v/>
      </c>
      <c r="X1368" s="19" t="str">
        <f>IF($D1368&lt;&gt;1,"",IF($G1368="ROKS",$R1368,IF($AI1368=1,0,MAX($N1368,$L1368-SUMIFS(TblApplications[CPU IKS libérable (vCPU)],TblApplications[Cluster IKS source],$F1368,TblApplications[Action],"À migrer",TblApplications[Mois prov (calc)],"&lt;="&amp;$E1368)-SUMIFS(TblApplications[CPU IKS libérable (vCPU)],TblApplications[Cluster IKS source],$F1368,TblApplications[Action],"À décommissionner",TblApplications[Mois lib (calc)],"&lt;="&amp;$E1368)))))</f>
        <v/>
      </c>
      <c r="Y1368" s="19" t="str">
        <f>IF($D1368&lt;&gt;1,"",IF($G1368="ROKS",$S1368,IF($AI1368=1,0,MAX($O1368,$M1368-SUMIFS(TblApplications[RAM IKS libérable (Go)],TblApplications[Cluster IKS source],$F1368,TblApplications[Action],"À migrer",TblApplications[Mois prov (calc)],"&lt;="&amp;$E1368)-SUMIFS(TblApplications[RAM IKS libérable (Go)],TblApplications[Cluster IKS source],$F1368,TblApplications[Action],"À décommissionner",TblApplications[Mois lib (calc)],"&lt;="&amp;$E1368)))))</f>
        <v/>
      </c>
      <c r="Z1368" s="19" t="str">
        <f t="shared" si="366"/>
        <v/>
      </c>
      <c r="AA1368" s="73" t="str">
        <f t="shared" si="367"/>
        <v/>
      </c>
      <c r="AB1368" s="19" t="str">
        <f t="shared" si="368"/>
        <v/>
      </c>
      <c r="AC1368" s="73" t="str">
        <f t="shared" si="369"/>
        <v/>
      </c>
      <c r="AD1368" s="19" t="str">
        <f t="shared" si="370"/>
        <v/>
      </c>
      <c r="AE1368" s="19" t="str">
        <f t="shared" si="371"/>
        <v/>
      </c>
      <c r="AF1368" s="19" t="str">
        <f>IF($D1368&lt;&gt;1,"",IF(INDEX(TblClusters[Environnement],$B1368)="","(vide)",INDEX(TblClusters[Environnement],$B1368)))</f>
        <v/>
      </c>
      <c r="AG1368" s="19" t="str">
        <f t="shared" si="372"/>
        <v/>
      </c>
      <c r="AH1368" s="19" t="str">
        <f t="shared" si="373"/>
        <v/>
      </c>
      <c r="AI1368" s="19" t="str">
        <f>IF($D1368&lt;&gt;1,"",IF(AND($G1368="IKS",ISNUMBER(INDEX(TblClusters[Fermeture retenue],$B1368))),IF($E1368&gt;=INDEX(TblClusters[Fermeture retenue],$B1368),1,0),0))</f>
        <v/>
      </c>
    </row>
    <row r="1369" spans="1:35" x14ac:dyDescent="0.2">
      <c r="A1369" s="19">
        <v>1364</v>
      </c>
      <c r="B1369" s="19">
        <f t="shared" si="357"/>
        <v>38</v>
      </c>
      <c r="C1369" s="19">
        <f t="shared" si="358"/>
        <v>32</v>
      </c>
      <c r="D1369" s="19">
        <f>IF($C1369&gt;p_horizon,0,IFERROR(IF(AND(INDEX(TblClusters[Cluster],$B1369)&lt;&gt;"",ISNUMBER(INDEX(TblClusters[CPU initial (vCPU)],$B1369)),ISNUMBER(INDEX(TblClusters[CPU min (vCPU)],$B1369)),OR(INDEX(TblClusters[Plateforme],$B1369)="IKS",INDEX(TblClusters[Plateforme],$B1369)="ROKS")),1,0),0))</f>
        <v>0</v>
      </c>
      <c r="E1369" s="72" t="str">
        <f t="shared" si="359"/>
        <v/>
      </c>
      <c r="F1369" s="19" t="str">
        <f>IF($D1369=1,INDEX(TblClusters[Cluster],$B1369),"")</f>
        <v/>
      </c>
      <c r="G1369" s="19" t="str">
        <f>IF($D1369=1,INDEX(TblClusters[Plateforme],$B1369),"")</f>
        <v/>
      </c>
      <c r="H1369" s="19" t="str">
        <f>IF($D1369=1,INDEX(TblClusters[vCPU par nœud],$B1369),"")</f>
        <v/>
      </c>
      <c r="I1369" s="19" t="str">
        <f>IF($D1369=1,INDEX(TblClusters[RAM par nœud (Go)],$B1369),"")</f>
        <v/>
      </c>
      <c r="J1369" s="19" t="str">
        <f>IF($D1369=1,INDEX(TblClusters[Workers min],$B1369),"")</f>
        <v/>
      </c>
      <c r="K1369" s="73" t="str">
        <f>IF($D1369=1,INDEX(TblClusters[Tarif par nœud],$B1369),"")</f>
        <v/>
      </c>
      <c r="L1369" s="19" t="str">
        <f>IF($D1369=1,INDEX(TblClusters[CPU initial (vCPU)],$B1369),"")</f>
        <v/>
      </c>
      <c r="M1369" s="19" t="str">
        <f>IF($D1369=1,INDEX(TblClusters[RAM initiale (Go)],$B1369),"")</f>
        <v/>
      </c>
      <c r="N1369" s="19" t="str">
        <f>IF($D1369=1,INDEX(TblClusters[CPU min (vCPU)],$B1369),"")</f>
        <v/>
      </c>
      <c r="O1369" s="19" t="str">
        <f>IF($D1369=1,INDEX(TblClusters[RAM min (Go)],$B1369),"")</f>
        <v/>
      </c>
      <c r="P1369" s="19" t="str">
        <f>IF($D1369&lt;&gt;1,"",IF($G1369="ROKS",SUMIFS(TblApplications[Besoin ROKS CPU (vCPU)],TblApplications[Cluster ROKS cible],$F1369,TblApplications[Action],"À migrer",TblApplications[Déjà incluse ROKS],"Non",TblApplications[Mois prov (calc)],"&lt;="&amp;$E1369),SUMIFS(TblApplications[CPU IKS libérable (vCPU)],TblApplications[Cluster IKS source],$F1369,TblApplications[Mois lib (calc)],"&lt;="&amp;$E1369)))</f>
        <v/>
      </c>
      <c r="Q1369" s="19" t="str">
        <f>IF($D1369&lt;&gt;1,"",IF($G1369="ROKS",SUMIFS(TblApplications[Besoin ROKS RAM (Go)],TblApplications[Cluster ROKS cible],$F1369,TblApplications[Action],"À migrer",TblApplications[Déjà incluse ROKS],"Non",TblApplications[Mois prov (calc)],"&lt;="&amp;$E1369),SUMIFS(TblApplications[RAM IKS libérable (Go)],TblApplications[Cluster IKS source],$F1369,TblApplications[Mois lib (calc)],"&lt;="&amp;$E1369)))</f>
        <v/>
      </c>
      <c r="R1369" s="19" t="str">
        <f t="shared" si="360"/>
        <v/>
      </c>
      <c r="S1369" s="19" t="str">
        <f t="shared" si="361"/>
        <v/>
      </c>
      <c r="T1369" s="19" t="str">
        <f t="shared" si="362"/>
        <v/>
      </c>
      <c r="U1369" s="19" t="str">
        <f t="shared" si="363"/>
        <v/>
      </c>
      <c r="V1369" s="19" t="str">
        <f t="shared" si="364"/>
        <v/>
      </c>
      <c r="W1369" s="73" t="str">
        <f t="shared" si="365"/>
        <v/>
      </c>
      <c r="X1369" s="19" t="str">
        <f>IF($D1369&lt;&gt;1,"",IF($G1369="ROKS",$R1369,IF($AI1369=1,0,MAX($N1369,$L1369-SUMIFS(TblApplications[CPU IKS libérable (vCPU)],TblApplications[Cluster IKS source],$F1369,TblApplications[Action],"À migrer",TblApplications[Mois prov (calc)],"&lt;="&amp;$E1369)-SUMIFS(TblApplications[CPU IKS libérable (vCPU)],TblApplications[Cluster IKS source],$F1369,TblApplications[Action],"À décommissionner",TblApplications[Mois lib (calc)],"&lt;="&amp;$E1369)))))</f>
        <v/>
      </c>
      <c r="Y1369" s="19" t="str">
        <f>IF($D1369&lt;&gt;1,"",IF($G1369="ROKS",$S1369,IF($AI1369=1,0,MAX($O1369,$M1369-SUMIFS(TblApplications[RAM IKS libérable (Go)],TblApplications[Cluster IKS source],$F1369,TblApplications[Action],"À migrer",TblApplications[Mois prov (calc)],"&lt;="&amp;$E1369)-SUMIFS(TblApplications[RAM IKS libérable (Go)],TblApplications[Cluster IKS source],$F1369,TblApplications[Action],"À décommissionner",TblApplications[Mois lib (calc)],"&lt;="&amp;$E1369)))))</f>
        <v/>
      </c>
      <c r="Z1369" s="19" t="str">
        <f t="shared" si="366"/>
        <v/>
      </c>
      <c r="AA1369" s="73" t="str">
        <f t="shared" si="367"/>
        <v/>
      </c>
      <c r="AB1369" s="19" t="str">
        <f t="shared" si="368"/>
        <v/>
      </c>
      <c r="AC1369" s="73" t="str">
        <f t="shared" si="369"/>
        <v/>
      </c>
      <c r="AD1369" s="19" t="str">
        <f t="shared" si="370"/>
        <v/>
      </c>
      <c r="AE1369" s="19" t="str">
        <f t="shared" si="371"/>
        <v/>
      </c>
      <c r="AF1369" s="19" t="str">
        <f>IF($D1369&lt;&gt;1,"",IF(INDEX(TblClusters[Environnement],$B1369)="","(vide)",INDEX(TblClusters[Environnement],$B1369)))</f>
        <v/>
      </c>
      <c r="AG1369" s="19" t="str">
        <f t="shared" si="372"/>
        <v/>
      </c>
      <c r="AH1369" s="19" t="str">
        <f t="shared" si="373"/>
        <v/>
      </c>
      <c r="AI1369" s="19" t="str">
        <f>IF($D1369&lt;&gt;1,"",IF(AND($G1369="IKS",ISNUMBER(INDEX(TblClusters[Fermeture retenue],$B1369))),IF($E1369&gt;=INDEX(TblClusters[Fermeture retenue],$B1369),1,0),0))</f>
        <v/>
      </c>
    </row>
    <row r="1370" spans="1:35" x14ac:dyDescent="0.2">
      <c r="A1370" s="19">
        <v>1365</v>
      </c>
      <c r="B1370" s="19">
        <f t="shared" si="357"/>
        <v>38</v>
      </c>
      <c r="C1370" s="19">
        <f t="shared" si="358"/>
        <v>33</v>
      </c>
      <c r="D1370" s="19">
        <f>IF($C1370&gt;p_horizon,0,IFERROR(IF(AND(INDEX(TblClusters[Cluster],$B1370)&lt;&gt;"",ISNUMBER(INDEX(TblClusters[CPU initial (vCPU)],$B1370)),ISNUMBER(INDEX(TblClusters[CPU min (vCPU)],$B1370)),OR(INDEX(TblClusters[Plateforme],$B1370)="IKS",INDEX(TblClusters[Plateforme],$B1370)="ROKS")),1,0),0))</f>
        <v>0</v>
      </c>
      <c r="E1370" s="72" t="str">
        <f t="shared" si="359"/>
        <v/>
      </c>
      <c r="F1370" s="19" t="str">
        <f>IF($D1370=1,INDEX(TblClusters[Cluster],$B1370),"")</f>
        <v/>
      </c>
      <c r="G1370" s="19" t="str">
        <f>IF($D1370=1,INDEX(TblClusters[Plateforme],$B1370),"")</f>
        <v/>
      </c>
      <c r="H1370" s="19" t="str">
        <f>IF($D1370=1,INDEX(TblClusters[vCPU par nœud],$B1370),"")</f>
        <v/>
      </c>
      <c r="I1370" s="19" t="str">
        <f>IF($D1370=1,INDEX(TblClusters[RAM par nœud (Go)],$B1370),"")</f>
        <v/>
      </c>
      <c r="J1370" s="19" t="str">
        <f>IF($D1370=1,INDEX(TblClusters[Workers min],$B1370),"")</f>
        <v/>
      </c>
      <c r="K1370" s="73" t="str">
        <f>IF($D1370=1,INDEX(TblClusters[Tarif par nœud],$B1370),"")</f>
        <v/>
      </c>
      <c r="L1370" s="19" t="str">
        <f>IF($D1370=1,INDEX(TblClusters[CPU initial (vCPU)],$B1370),"")</f>
        <v/>
      </c>
      <c r="M1370" s="19" t="str">
        <f>IF($D1370=1,INDEX(TblClusters[RAM initiale (Go)],$B1370),"")</f>
        <v/>
      </c>
      <c r="N1370" s="19" t="str">
        <f>IF($D1370=1,INDEX(TblClusters[CPU min (vCPU)],$B1370),"")</f>
        <v/>
      </c>
      <c r="O1370" s="19" t="str">
        <f>IF($D1370=1,INDEX(TblClusters[RAM min (Go)],$B1370),"")</f>
        <v/>
      </c>
      <c r="P1370" s="19" t="str">
        <f>IF($D1370&lt;&gt;1,"",IF($G1370="ROKS",SUMIFS(TblApplications[Besoin ROKS CPU (vCPU)],TblApplications[Cluster ROKS cible],$F1370,TblApplications[Action],"À migrer",TblApplications[Déjà incluse ROKS],"Non",TblApplications[Mois prov (calc)],"&lt;="&amp;$E1370),SUMIFS(TblApplications[CPU IKS libérable (vCPU)],TblApplications[Cluster IKS source],$F1370,TblApplications[Mois lib (calc)],"&lt;="&amp;$E1370)))</f>
        <v/>
      </c>
      <c r="Q1370" s="19" t="str">
        <f>IF($D1370&lt;&gt;1,"",IF($G1370="ROKS",SUMIFS(TblApplications[Besoin ROKS RAM (Go)],TblApplications[Cluster ROKS cible],$F1370,TblApplications[Action],"À migrer",TblApplications[Déjà incluse ROKS],"Non",TblApplications[Mois prov (calc)],"&lt;="&amp;$E1370),SUMIFS(TblApplications[RAM IKS libérable (Go)],TblApplications[Cluster IKS source],$F1370,TblApplications[Mois lib (calc)],"&lt;="&amp;$E1370)))</f>
        <v/>
      </c>
      <c r="R1370" s="19" t="str">
        <f t="shared" si="360"/>
        <v/>
      </c>
      <c r="S1370" s="19" t="str">
        <f t="shared" si="361"/>
        <v/>
      </c>
      <c r="T1370" s="19" t="str">
        <f t="shared" si="362"/>
        <v/>
      </c>
      <c r="U1370" s="19" t="str">
        <f t="shared" si="363"/>
        <v/>
      </c>
      <c r="V1370" s="19" t="str">
        <f t="shared" si="364"/>
        <v/>
      </c>
      <c r="W1370" s="73" t="str">
        <f t="shared" si="365"/>
        <v/>
      </c>
      <c r="X1370" s="19" t="str">
        <f>IF($D1370&lt;&gt;1,"",IF($G1370="ROKS",$R1370,IF($AI1370=1,0,MAX($N1370,$L1370-SUMIFS(TblApplications[CPU IKS libérable (vCPU)],TblApplications[Cluster IKS source],$F1370,TblApplications[Action],"À migrer",TblApplications[Mois prov (calc)],"&lt;="&amp;$E1370)-SUMIFS(TblApplications[CPU IKS libérable (vCPU)],TblApplications[Cluster IKS source],$F1370,TblApplications[Action],"À décommissionner",TblApplications[Mois lib (calc)],"&lt;="&amp;$E1370)))))</f>
        <v/>
      </c>
      <c r="Y1370" s="19" t="str">
        <f>IF($D1370&lt;&gt;1,"",IF($G1370="ROKS",$S1370,IF($AI1370=1,0,MAX($O1370,$M1370-SUMIFS(TblApplications[RAM IKS libérable (Go)],TblApplications[Cluster IKS source],$F1370,TblApplications[Action],"À migrer",TblApplications[Mois prov (calc)],"&lt;="&amp;$E1370)-SUMIFS(TblApplications[RAM IKS libérable (Go)],TblApplications[Cluster IKS source],$F1370,TblApplications[Action],"À décommissionner",TblApplications[Mois lib (calc)],"&lt;="&amp;$E1370)))))</f>
        <v/>
      </c>
      <c r="Z1370" s="19" t="str">
        <f t="shared" si="366"/>
        <v/>
      </c>
      <c r="AA1370" s="73" t="str">
        <f t="shared" si="367"/>
        <v/>
      </c>
      <c r="AB1370" s="19" t="str">
        <f t="shared" si="368"/>
        <v/>
      </c>
      <c r="AC1370" s="73" t="str">
        <f t="shared" si="369"/>
        <v/>
      </c>
      <c r="AD1370" s="19" t="str">
        <f t="shared" si="370"/>
        <v/>
      </c>
      <c r="AE1370" s="19" t="str">
        <f t="shared" si="371"/>
        <v/>
      </c>
      <c r="AF1370" s="19" t="str">
        <f>IF($D1370&lt;&gt;1,"",IF(INDEX(TblClusters[Environnement],$B1370)="","(vide)",INDEX(TblClusters[Environnement],$B1370)))</f>
        <v/>
      </c>
      <c r="AG1370" s="19" t="str">
        <f t="shared" si="372"/>
        <v/>
      </c>
      <c r="AH1370" s="19" t="str">
        <f t="shared" si="373"/>
        <v/>
      </c>
      <c r="AI1370" s="19" t="str">
        <f>IF($D1370&lt;&gt;1,"",IF(AND($G1370="IKS",ISNUMBER(INDEX(TblClusters[Fermeture retenue],$B1370))),IF($E1370&gt;=INDEX(TblClusters[Fermeture retenue],$B1370),1,0),0))</f>
        <v/>
      </c>
    </row>
    <row r="1371" spans="1:35" x14ac:dyDescent="0.2">
      <c r="A1371" s="19">
        <v>1366</v>
      </c>
      <c r="B1371" s="19">
        <f t="shared" si="357"/>
        <v>38</v>
      </c>
      <c r="C1371" s="19">
        <f t="shared" si="358"/>
        <v>34</v>
      </c>
      <c r="D1371" s="19">
        <f>IF($C1371&gt;p_horizon,0,IFERROR(IF(AND(INDEX(TblClusters[Cluster],$B1371)&lt;&gt;"",ISNUMBER(INDEX(TblClusters[CPU initial (vCPU)],$B1371)),ISNUMBER(INDEX(TblClusters[CPU min (vCPU)],$B1371)),OR(INDEX(TblClusters[Plateforme],$B1371)="IKS",INDEX(TblClusters[Plateforme],$B1371)="ROKS")),1,0),0))</f>
        <v>0</v>
      </c>
      <c r="E1371" s="72" t="str">
        <f t="shared" si="359"/>
        <v/>
      </c>
      <c r="F1371" s="19" t="str">
        <f>IF($D1371=1,INDEX(TblClusters[Cluster],$B1371),"")</f>
        <v/>
      </c>
      <c r="G1371" s="19" t="str">
        <f>IF($D1371=1,INDEX(TblClusters[Plateforme],$B1371),"")</f>
        <v/>
      </c>
      <c r="H1371" s="19" t="str">
        <f>IF($D1371=1,INDEX(TblClusters[vCPU par nœud],$B1371),"")</f>
        <v/>
      </c>
      <c r="I1371" s="19" t="str">
        <f>IF($D1371=1,INDEX(TblClusters[RAM par nœud (Go)],$B1371),"")</f>
        <v/>
      </c>
      <c r="J1371" s="19" t="str">
        <f>IF($D1371=1,INDEX(TblClusters[Workers min],$B1371),"")</f>
        <v/>
      </c>
      <c r="K1371" s="73" t="str">
        <f>IF($D1371=1,INDEX(TblClusters[Tarif par nœud],$B1371),"")</f>
        <v/>
      </c>
      <c r="L1371" s="19" t="str">
        <f>IF($D1371=1,INDEX(TblClusters[CPU initial (vCPU)],$B1371),"")</f>
        <v/>
      </c>
      <c r="M1371" s="19" t="str">
        <f>IF($D1371=1,INDEX(TblClusters[RAM initiale (Go)],$B1371),"")</f>
        <v/>
      </c>
      <c r="N1371" s="19" t="str">
        <f>IF($D1371=1,INDEX(TblClusters[CPU min (vCPU)],$B1371),"")</f>
        <v/>
      </c>
      <c r="O1371" s="19" t="str">
        <f>IF($D1371=1,INDEX(TblClusters[RAM min (Go)],$B1371),"")</f>
        <v/>
      </c>
      <c r="P1371" s="19" t="str">
        <f>IF($D1371&lt;&gt;1,"",IF($G1371="ROKS",SUMIFS(TblApplications[Besoin ROKS CPU (vCPU)],TblApplications[Cluster ROKS cible],$F1371,TblApplications[Action],"À migrer",TblApplications[Déjà incluse ROKS],"Non",TblApplications[Mois prov (calc)],"&lt;="&amp;$E1371),SUMIFS(TblApplications[CPU IKS libérable (vCPU)],TblApplications[Cluster IKS source],$F1371,TblApplications[Mois lib (calc)],"&lt;="&amp;$E1371)))</f>
        <v/>
      </c>
      <c r="Q1371" s="19" t="str">
        <f>IF($D1371&lt;&gt;1,"",IF($G1371="ROKS",SUMIFS(TblApplications[Besoin ROKS RAM (Go)],TblApplications[Cluster ROKS cible],$F1371,TblApplications[Action],"À migrer",TblApplications[Déjà incluse ROKS],"Non",TblApplications[Mois prov (calc)],"&lt;="&amp;$E1371),SUMIFS(TblApplications[RAM IKS libérable (Go)],TblApplications[Cluster IKS source],$F1371,TblApplications[Mois lib (calc)],"&lt;="&amp;$E1371)))</f>
        <v/>
      </c>
      <c r="R1371" s="19" t="str">
        <f t="shared" si="360"/>
        <v/>
      </c>
      <c r="S1371" s="19" t="str">
        <f t="shared" si="361"/>
        <v/>
      </c>
      <c r="T1371" s="19" t="str">
        <f t="shared" si="362"/>
        <v/>
      </c>
      <c r="U1371" s="19" t="str">
        <f t="shared" si="363"/>
        <v/>
      </c>
      <c r="V1371" s="19" t="str">
        <f t="shared" si="364"/>
        <v/>
      </c>
      <c r="W1371" s="73" t="str">
        <f t="shared" si="365"/>
        <v/>
      </c>
      <c r="X1371" s="19" t="str">
        <f>IF($D1371&lt;&gt;1,"",IF($G1371="ROKS",$R1371,IF($AI1371=1,0,MAX($N1371,$L1371-SUMIFS(TblApplications[CPU IKS libérable (vCPU)],TblApplications[Cluster IKS source],$F1371,TblApplications[Action],"À migrer",TblApplications[Mois prov (calc)],"&lt;="&amp;$E1371)-SUMIFS(TblApplications[CPU IKS libérable (vCPU)],TblApplications[Cluster IKS source],$F1371,TblApplications[Action],"À décommissionner",TblApplications[Mois lib (calc)],"&lt;="&amp;$E1371)))))</f>
        <v/>
      </c>
      <c r="Y1371" s="19" t="str">
        <f>IF($D1371&lt;&gt;1,"",IF($G1371="ROKS",$S1371,IF($AI1371=1,0,MAX($O1371,$M1371-SUMIFS(TblApplications[RAM IKS libérable (Go)],TblApplications[Cluster IKS source],$F1371,TblApplications[Action],"À migrer",TblApplications[Mois prov (calc)],"&lt;="&amp;$E1371)-SUMIFS(TblApplications[RAM IKS libérable (Go)],TblApplications[Cluster IKS source],$F1371,TblApplications[Action],"À décommissionner",TblApplications[Mois lib (calc)],"&lt;="&amp;$E1371)))))</f>
        <v/>
      </c>
      <c r="Z1371" s="19" t="str">
        <f t="shared" si="366"/>
        <v/>
      </c>
      <c r="AA1371" s="73" t="str">
        <f t="shared" si="367"/>
        <v/>
      </c>
      <c r="AB1371" s="19" t="str">
        <f t="shared" si="368"/>
        <v/>
      </c>
      <c r="AC1371" s="73" t="str">
        <f t="shared" si="369"/>
        <v/>
      </c>
      <c r="AD1371" s="19" t="str">
        <f t="shared" si="370"/>
        <v/>
      </c>
      <c r="AE1371" s="19" t="str">
        <f t="shared" si="371"/>
        <v/>
      </c>
      <c r="AF1371" s="19" t="str">
        <f>IF($D1371&lt;&gt;1,"",IF(INDEX(TblClusters[Environnement],$B1371)="","(vide)",INDEX(TblClusters[Environnement],$B1371)))</f>
        <v/>
      </c>
      <c r="AG1371" s="19" t="str">
        <f t="shared" si="372"/>
        <v/>
      </c>
      <c r="AH1371" s="19" t="str">
        <f t="shared" si="373"/>
        <v/>
      </c>
      <c r="AI1371" s="19" t="str">
        <f>IF($D1371&lt;&gt;1,"",IF(AND($G1371="IKS",ISNUMBER(INDEX(TblClusters[Fermeture retenue],$B1371))),IF($E1371&gt;=INDEX(TblClusters[Fermeture retenue],$B1371),1,0),0))</f>
        <v/>
      </c>
    </row>
    <row r="1372" spans="1:35" x14ac:dyDescent="0.2">
      <c r="A1372" s="19">
        <v>1367</v>
      </c>
      <c r="B1372" s="19">
        <f t="shared" si="357"/>
        <v>38</v>
      </c>
      <c r="C1372" s="19">
        <f t="shared" si="358"/>
        <v>35</v>
      </c>
      <c r="D1372" s="19">
        <f>IF($C1372&gt;p_horizon,0,IFERROR(IF(AND(INDEX(TblClusters[Cluster],$B1372)&lt;&gt;"",ISNUMBER(INDEX(TblClusters[CPU initial (vCPU)],$B1372)),ISNUMBER(INDEX(TblClusters[CPU min (vCPU)],$B1372)),OR(INDEX(TblClusters[Plateforme],$B1372)="IKS",INDEX(TblClusters[Plateforme],$B1372)="ROKS")),1,0),0))</f>
        <v>0</v>
      </c>
      <c r="E1372" s="72" t="str">
        <f t="shared" si="359"/>
        <v/>
      </c>
      <c r="F1372" s="19" t="str">
        <f>IF($D1372=1,INDEX(TblClusters[Cluster],$B1372),"")</f>
        <v/>
      </c>
      <c r="G1372" s="19" t="str">
        <f>IF($D1372=1,INDEX(TblClusters[Plateforme],$B1372),"")</f>
        <v/>
      </c>
      <c r="H1372" s="19" t="str">
        <f>IF($D1372=1,INDEX(TblClusters[vCPU par nœud],$B1372),"")</f>
        <v/>
      </c>
      <c r="I1372" s="19" t="str">
        <f>IF($D1372=1,INDEX(TblClusters[RAM par nœud (Go)],$B1372),"")</f>
        <v/>
      </c>
      <c r="J1372" s="19" t="str">
        <f>IF($D1372=1,INDEX(TblClusters[Workers min],$B1372),"")</f>
        <v/>
      </c>
      <c r="K1372" s="73" t="str">
        <f>IF($D1372=1,INDEX(TblClusters[Tarif par nœud],$B1372),"")</f>
        <v/>
      </c>
      <c r="L1372" s="19" t="str">
        <f>IF($D1372=1,INDEX(TblClusters[CPU initial (vCPU)],$B1372),"")</f>
        <v/>
      </c>
      <c r="M1372" s="19" t="str">
        <f>IF($D1372=1,INDEX(TblClusters[RAM initiale (Go)],$B1372),"")</f>
        <v/>
      </c>
      <c r="N1372" s="19" t="str">
        <f>IF($D1372=1,INDEX(TblClusters[CPU min (vCPU)],$B1372),"")</f>
        <v/>
      </c>
      <c r="O1372" s="19" t="str">
        <f>IF($D1372=1,INDEX(TblClusters[RAM min (Go)],$B1372),"")</f>
        <v/>
      </c>
      <c r="P1372" s="19" t="str">
        <f>IF($D1372&lt;&gt;1,"",IF($G1372="ROKS",SUMIFS(TblApplications[Besoin ROKS CPU (vCPU)],TblApplications[Cluster ROKS cible],$F1372,TblApplications[Action],"À migrer",TblApplications[Déjà incluse ROKS],"Non",TblApplications[Mois prov (calc)],"&lt;="&amp;$E1372),SUMIFS(TblApplications[CPU IKS libérable (vCPU)],TblApplications[Cluster IKS source],$F1372,TblApplications[Mois lib (calc)],"&lt;="&amp;$E1372)))</f>
        <v/>
      </c>
      <c r="Q1372" s="19" t="str">
        <f>IF($D1372&lt;&gt;1,"",IF($G1372="ROKS",SUMIFS(TblApplications[Besoin ROKS RAM (Go)],TblApplications[Cluster ROKS cible],$F1372,TblApplications[Action],"À migrer",TblApplications[Déjà incluse ROKS],"Non",TblApplications[Mois prov (calc)],"&lt;="&amp;$E1372),SUMIFS(TblApplications[RAM IKS libérable (Go)],TblApplications[Cluster IKS source],$F1372,TblApplications[Mois lib (calc)],"&lt;="&amp;$E1372)))</f>
        <v/>
      </c>
      <c r="R1372" s="19" t="str">
        <f t="shared" si="360"/>
        <v/>
      </c>
      <c r="S1372" s="19" t="str">
        <f t="shared" si="361"/>
        <v/>
      </c>
      <c r="T1372" s="19" t="str">
        <f t="shared" si="362"/>
        <v/>
      </c>
      <c r="U1372" s="19" t="str">
        <f t="shared" si="363"/>
        <v/>
      </c>
      <c r="V1372" s="19" t="str">
        <f t="shared" si="364"/>
        <v/>
      </c>
      <c r="W1372" s="73" t="str">
        <f t="shared" si="365"/>
        <v/>
      </c>
      <c r="X1372" s="19" t="str">
        <f>IF($D1372&lt;&gt;1,"",IF($G1372="ROKS",$R1372,IF($AI1372=1,0,MAX($N1372,$L1372-SUMIFS(TblApplications[CPU IKS libérable (vCPU)],TblApplications[Cluster IKS source],$F1372,TblApplications[Action],"À migrer",TblApplications[Mois prov (calc)],"&lt;="&amp;$E1372)-SUMIFS(TblApplications[CPU IKS libérable (vCPU)],TblApplications[Cluster IKS source],$F1372,TblApplications[Action],"À décommissionner",TblApplications[Mois lib (calc)],"&lt;="&amp;$E1372)))))</f>
        <v/>
      </c>
      <c r="Y1372" s="19" t="str">
        <f>IF($D1372&lt;&gt;1,"",IF($G1372="ROKS",$S1372,IF($AI1372=1,0,MAX($O1372,$M1372-SUMIFS(TblApplications[RAM IKS libérable (Go)],TblApplications[Cluster IKS source],$F1372,TblApplications[Action],"À migrer",TblApplications[Mois prov (calc)],"&lt;="&amp;$E1372)-SUMIFS(TblApplications[RAM IKS libérable (Go)],TblApplications[Cluster IKS source],$F1372,TblApplications[Action],"À décommissionner",TblApplications[Mois lib (calc)],"&lt;="&amp;$E1372)))))</f>
        <v/>
      </c>
      <c r="Z1372" s="19" t="str">
        <f t="shared" si="366"/>
        <v/>
      </c>
      <c r="AA1372" s="73" t="str">
        <f t="shared" si="367"/>
        <v/>
      </c>
      <c r="AB1372" s="19" t="str">
        <f t="shared" si="368"/>
        <v/>
      </c>
      <c r="AC1372" s="73" t="str">
        <f t="shared" si="369"/>
        <v/>
      </c>
      <c r="AD1372" s="19" t="str">
        <f t="shared" si="370"/>
        <v/>
      </c>
      <c r="AE1372" s="19" t="str">
        <f t="shared" si="371"/>
        <v/>
      </c>
      <c r="AF1372" s="19" t="str">
        <f>IF($D1372&lt;&gt;1,"",IF(INDEX(TblClusters[Environnement],$B1372)="","(vide)",INDEX(TblClusters[Environnement],$B1372)))</f>
        <v/>
      </c>
      <c r="AG1372" s="19" t="str">
        <f t="shared" si="372"/>
        <v/>
      </c>
      <c r="AH1372" s="19" t="str">
        <f t="shared" si="373"/>
        <v/>
      </c>
      <c r="AI1372" s="19" t="str">
        <f>IF($D1372&lt;&gt;1,"",IF(AND($G1372="IKS",ISNUMBER(INDEX(TblClusters[Fermeture retenue],$B1372))),IF($E1372&gt;=INDEX(TblClusters[Fermeture retenue],$B1372),1,0),0))</f>
        <v/>
      </c>
    </row>
    <row r="1373" spans="1:35" x14ac:dyDescent="0.2">
      <c r="A1373" s="19">
        <v>1368</v>
      </c>
      <c r="B1373" s="19">
        <f t="shared" si="357"/>
        <v>38</v>
      </c>
      <c r="C1373" s="19">
        <f t="shared" si="358"/>
        <v>36</v>
      </c>
      <c r="D1373" s="19">
        <f>IF($C1373&gt;p_horizon,0,IFERROR(IF(AND(INDEX(TblClusters[Cluster],$B1373)&lt;&gt;"",ISNUMBER(INDEX(TblClusters[CPU initial (vCPU)],$B1373)),ISNUMBER(INDEX(TblClusters[CPU min (vCPU)],$B1373)),OR(INDEX(TblClusters[Plateforme],$B1373)="IKS",INDEX(TblClusters[Plateforme],$B1373)="ROKS")),1,0),0))</f>
        <v>0</v>
      </c>
      <c r="E1373" s="72" t="str">
        <f t="shared" si="359"/>
        <v/>
      </c>
      <c r="F1373" s="19" t="str">
        <f>IF($D1373=1,INDEX(TblClusters[Cluster],$B1373),"")</f>
        <v/>
      </c>
      <c r="G1373" s="19" t="str">
        <f>IF($D1373=1,INDEX(TblClusters[Plateforme],$B1373),"")</f>
        <v/>
      </c>
      <c r="H1373" s="19" t="str">
        <f>IF($D1373=1,INDEX(TblClusters[vCPU par nœud],$B1373),"")</f>
        <v/>
      </c>
      <c r="I1373" s="19" t="str">
        <f>IF($D1373=1,INDEX(TblClusters[RAM par nœud (Go)],$B1373),"")</f>
        <v/>
      </c>
      <c r="J1373" s="19" t="str">
        <f>IF($D1373=1,INDEX(TblClusters[Workers min],$B1373),"")</f>
        <v/>
      </c>
      <c r="K1373" s="73" t="str">
        <f>IF($D1373=1,INDEX(TblClusters[Tarif par nœud],$B1373),"")</f>
        <v/>
      </c>
      <c r="L1373" s="19" t="str">
        <f>IF($D1373=1,INDEX(TblClusters[CPU initial (vCPU)],$B1373),"")</f>
        <v/>
      </c>
      <c r="M1373" s="19" t="str">
        <f>IF($D1373=1,INDEX(TblClusters[RAM initiale (Go)],$B1373),"")</f>
        <v/>
      </c>
      <c r="N1373" s="19" t="str">
        <f>IF($D1373=1,INDEX(TblClusters[CPU min (vCPU)],$B1373),"")</f>
        <v/>
      </c>
      <c r="O1373" s="19" t="str">
        <f>IF($D1373=1,INDEX(TblClusters[RAM min (Go)],$B1373),"")</f>
        <v/>
      </c>
      <c r="P1373" s="19" t="str">
        <f>IF($D1373&lt;&gt;1,"",IF($G1373="ROKS",SUMIFS(TblApplications[Besoin ROKS CPU (vCPU)],TblApplications[Cluster ROKS cible],$F1373,TblApplications[Action],"À migrer",TblApplications[Déjà incluse ROKS],"Non",TblApplications[Mois prov (calc)],"&lt;="&amp;$E1373),SUMIFS(TblApplications[CPU IKS libérable (vCPU)],TblApplications[Cluster IKS source],$F1373,TblApplications[Mois lib (calc)],"&lt;="&amp;$E1373)))</f>
        <v/>
      </c>
      <c r="Q1373" s="19" t="str">
        <f>IF($D1373&lt;&gt;1,"",IF($G1373="ROKS",SUMIFS(TblApplications[Besoin ROKS RAM (Go)],TblApplications[Cluster ROKS cible],$F1373,TblApplications[Action],"À migrer",TblApplications[Déjà incluse ROKS],"Non",TblApplications[Mois prov (calc)],"&lt;="&amp;$E1373),SUMIFS(TblApplications[RAM IKS libérable (Go)],TblApplications[Cluster IKS source],$F1373,TblApplications[Mois lib (calc)],"&lt;="&amp;$E1373)))</f>
        <v/>
      </c>
      <c r="R1373" s="19" t="str">
        <f t="shared" si="360"/>
        <v/>
      </c>
      <c r="S1373" s="19" t="str">
        <f t="shared" si="361"/>
        <v/>
      </c>
      <c r="T1373" s="19" t="str">
        <f t="shared" si="362"/>
        <v/>
      </c>
      <c r="U1373" s="19" t="str">
        <f t="shared" si="363"/>
        <v/>
      </c>
      <c r="V1373" s="19" t="str">
        <f t="shared" si="364"/>
        <v/>
      </c>
      <c r="W1373" s="73" t="str">
        <f t="shared" si="365"/>
        <v/>
      </c>
      <c r="X1373" s="19" t="str">
        <f>IF($D1373&lt;&gt;1,"",IF($G1373="ROKS",$R1373,IF($AI1373=1,0,MAX($N1373,$L1373-SUMIFS(TblApplications[CPU IKS libérable (vCPU)],TblApplications[Cluster IKS source],$F1373,TblApplications[Action],"À migrer",TblApplications[Mois prov (calc)],"&lt;="&amp;$E1373)-SUMIFS(TblApplications[CPU IKS libérable (vCPU)],TblApplications[Cluster IKS source],$F1373,TblApplications[Action],"À décommissionner",TblApplications[Mois lib (calc)],"&lt;="&amp;$E1373)))))</f>
        <v/>
      </c>
      <c r="Y1373" s="19" t="str">
        <f>IF($D1373&lt;&gt;1,"",IF($G1373="ROKS",$S1373,IF($AI1373=1,0,MAX($O1373,$M1373-SUMIFS(TblApplications[RAM IKS libérable (Go)],TblApplications[Cluster IKS source],$F1373,TblApplications[Action],"À migrer",TblApplications[Mois prov (calc)],"&lt;="&amp;$E1373)-SUMIFS(TblApplications[RAM IKS libérable (Go)],TblApplications[Cluster IKS source],$F1373,TblApplications[Action],"À décommissionner",TblApplications[Mois lib (calc)],"&lt;="&amp;$E1373)))))</f>
        <v/>
      </c>
      <c r="Z1373" s="19" t="str">
        <f t="shared" si="366"/>
        <v/>
      </c>
      <c r="AA1373" s="73" t="str">
        <f t="shared" si="367"/>
        <v/>
      </c>
      <c r="AB1373" s="19" t="str">
        <f t="shared" si="368"/>
        <v/>
      </c>
      <c r="AC1373" s="73" t="str">
        <f t="shared" si="369"/>
        <v/>
      </c>
      <c r="AD1373" s="19" t="str">
        <f t="shared" si="370"/>
        <v/>
      </c>
      <c r="AE1373" s="19" t="str">
        <f t="shared" si="371"/>
        <v/>
      </c>
      <c r="AF1373" s="19" t="str">
        <f>IF($D1373&lt;&gt;1,"",IF(INDEX(TblClusters[Environnement],$B1373)="","(vide)",INDEX(TblClusters[Environnement],$B1373)))</f>
        <v/>
      </c>
      <c r="AG1373" s="19" t="str">
        <f t="shared" si="372"/>
        <v/>
      </c>
      <c r="AH1373" s="19" t="str">
        <f t="shared" si="373"/>
        <v/>
      </c>
      <c r="AI1373" s="19" t="str">
        <f>IF($D1373&lt;&gt;1,"",IF(AND($G1373="IKS",ISNUMBER(INDEX(TblClusters[Fermeture retenue],$B1373))),IF($E1373&gt;=INDEX(TblClusters[Fermeture retenue],$B1373),1,0),0))</f>
        <v/>
      </c>
    </row>
    <row r="1374" spans="1:35" x14ac:dyDescent="0.2">
      <c r="A1374" s="19">
        <v>1369</v>
      </c>
      <c r="B1374" s="19">
        <f t="shared" si="357"/>
        <v>39</v>
      </c>
      <c r="C1374" s="19">
        <f t="shared" si="358"/>
        <v>1</v>
      </c>
      <c r="D1374" s="19">
        <f>IF($C1374&gt;p_horizon,0,IFERROR(IF(AND(INDEX(TblClusters[Cluster],$B1374)&lt;&gt;"",ISNUMBER(INDEX(TblClusters[CPU initial (vCPU)],$B1374)),ISNUMBER(INDEX(TblClusters[CPU min (vCPU)],$B1374)),OR(INDEX(TblClusters[Plateforme],$B1374)="IKS",INDEX(TblClusters[Plateforme],$B1374)="ROKS")),1,0),0))</f>
        <v>0</v>
      </c>
      <c r="E1374" s="72" t="str">
        <f t="shared" si="359"/>
        <v/>
      </c>
      <c r="F1374" s="19" t="str">
        <f>IF($D1374=1,INDEX(TblClusters[Cluster],$B1374),"")</f>
        <v/>
      </c>
      <c r="G1374" s="19" t="str">
        <f>IF($D1374=1,INDEX(TblClusters[Plateforme],$B1374),"")</f>
        <v/>
      </c>
      <c r="H1374" s="19" t="str">
        <f>IF($D1374=1,INDEX(TblClusters[vCPU par nœud],$B1374),"")</f>
        <v/>
      </c>
      <c r="I1374" s="19" t="str">
        <f>IF($D1374=1,INDEX(TblClusters[RAM par nœud (Go)],$B1374),"")</f>
        <v/>
      </c>
      <c r="J1374" s="19" t="str">
        <f>IF($D1374=1,INDEX(TblClusters[Workers min],$B1374),"")</f>
        <v/>
      </c>
      <c r="K1374" s="73" t="str">
        <f>IF($D1374=1,INDEX(TblClusters[Tarif par nœud],$B1374),"")</f>
        <v/>
      </c>
      <c r="L1374" s="19" t="str">
        <f>IF($D1374=1,INDEX(TblClusters[CPU initial (vCPU)],$B1374),"")</f>
        <v/>
      </c>
      <c r="M1374" s="19" t="str">
        <f>IF($D1374=1,INDEX(TblClusters[RAM initiale (Go)],$B1374),"")</f>
        <v/>
      </c>
      <c r="N1374" s="19" t="str">
        <f>IF($D1374=1,INDEX(TblClusters[CPU min (vCPU)],$B1374),"")</f>
        <v/>
      </c>
      <c r="O1374" s="19" t="str">
        <f>IF($D1374=1,INDEX(TblClusters[RAM min (Go)],$B1374),"")</f>
        <v/>
      </c>
      <c r="P1374" s="19" t="str">
        <f>IF($D1374&lt;&gt;1,"",IF($G1374="ROKS",SUMIFS(TblApplications[Besoin ROKS CPU (vCPU)],TblApplications[Cluster ROKS cible],$F1374,TblApplications[Action],"À migrer",TblApplications[Déjà incluse ROKS],"Non",TblApplications[Mois prov (calc)],"&lt;="&amp;$E1374),SUMIFS(TblApplications[CPU IKS libérable (vCPU)],TblApplications[Cluster IKS source],$F1374,TblApplications[Mois lib (calc)],"&lt;="&amp;$E1374)))</f>
        <v/>
      </c>
      <c r="Q1374" s="19" t="str">
        <f>IF($D1374&lt;&gt;1,"",IF($G1374="ROKS",SUMIFS(TblApplications[Besoin ROKS RAM (Go)],TblApplications[Cluster ROKS cible],$F1374,TblApplications[Action],"À migrer",TblApplications[Déjà incluse ROKS],"Non",TblApplications[Mois prov (calc)],"&lt;="&amp;$E1374),SUMIFS(TblApplications[RAM IKS libérable (Go)],TblApplications[Cluster IKS source],$F1374,TblApplications[Mois lib (calc)],"&lt;="&amp;$E1374)))</f>
        <v/>
      </c>
      <c r="R1374" s="19" t="str">
        <f t="shared" si="360"/>
        <v/>
      </c>
      <c r="S1374" s="19" t="str">
        <f t="shared" si="361"/>
        <v/>
      </c>
      <c r="T1374" s="19" t="str">
        <f t="shared" si="362"/>
        <v/>
      </c>
      <c r="U1374" s="19" t="str">
        <f t="shared" si="363"/>
        <v/>
      </c>
      <c r="V1374" s="19" t="str">
        <f t="shared" si="364"/>
        <v/>
      </c>
      <c r="W1374" s="73" t="str">
        <f t="shared" si="365"/>
        <v/>
      </c>
      <c r="X1374" s="19" t="str">
        <f>IF($D1374&lt;&gt;1,"",IF($G1374="ROKS",$R1374,IF($AI1374=1,0,MAX($N1374,$L1374-SUMIFS(TblApplications[CPU IKS libérable (vCPU)],TblApplications[Cluster IKS source],$F1374,TblApplications[Action],"À migrer",TblApplications[Mois prov (calc)],"&lt;="&amp;$E1374)-SUMIFS(TblApplications[CPU IKS libérable (vCPU)],TblApplications[Cluster IKS source],$F1374,TblApplications[Action],"À décommissionner",TblApplications[Mois lib (calc)],"&lt;="&amp;$E1374)))))</f>
        <v/>
      </c>
      <c r="Y1374" s="19" t="str">
        <f>IF($D1374&lt;&gt;1,"",IF($G1374="ROKS",$S1374,IF($AI1374=1,0,MAX($O1374,$M1374-SUMIFS(TblApplications[RAM IKS libérable (Go)],TblApplications[Cluster IKS source],$F1374,TblApplications[Action],"À migrer",TblApplications[Mois prov (calc)],"&lt;="&amp;$E1374)-SUMIFS(TblApplications[RAM IKS libérable (Go)],TblApplications[Cluster IKS source],$F1374,TblApplications[Action],"À décommissionner",TblApplications[Mois lib (calc)],"&lt;="&amp;$E1374)))))</f>
        <v/>
      </c>
      <c r="Z1374" s="19" t="str">
        <f t="shared" si="366"/>
        <v/>
      </c>
      <c r="AA1374" s="73" t="str">
        <f t="shared" si="367"/>
        <v/>
      </c>
      <c r="AB1374" s="19" t="str">
        <f t="shared" si="368"/>
        <v/>
      </c>
      <c r="AC1374" s="73" t="str">
        <f t="shared" si="369"/>
        <v/>
      </c>
      <c r="AD1374" s="19" t="str">
        <f t="shared" si="370"/>
        <v/>
      </c>
      <c r="AE1374" s="19" t="str">
        <f t="shared" si="371"/>
        <v/>
      </c>
      <c r="AF1374" s="19" t="str">
        <f>IF($D1374&lt;&gt;1,"",IF(INDEX(TblClusters[Environnement],$B1374)="","(vide)",INDEX(TblClusters[Environnement],$B1374)))</f>
        <v/>
      </c>
      <c r="AG1374" s="19" t="str">
        <f t="shared" si="372"/>
        <v/>
      </c>
      <c r="AH1374" s="19" t="str">
        <f t="shared" si="373"/>
        <v/>
      </c>
      <c r="AI1374" s="19" t="str">
        <f>IF($D1374&lt;&gt;1,"",IF(AND($G1374="IKS",ISNUMBER(INDEX(TblClusters[Fermeture retenue],$B1374))),IF($E1374&gt;=INDEX(TblClusters[Fermeture retenue],$B1374),1,0),0))</f>
        <v/>
      </c>
    </row>
    <row r="1375" spans="1:35" x14ac:dyDescent="0.2">
      <c r="A1375" s="19">
        <v>1370</v>
      </c>
      <c r="B1375" s="19">
        <f t="shared" si="357"/>
        <v>39</v>
      </c>
      <c r="C1375" s="19">
        <f t="shared" si="358"/>
        <v>2</v>
      </c>
      <c r="D1375" s="19">
        <f>IF($C1375&gt;p_horizon,0,IFERROR(IF(AND(INDEX(TblClusters[Cluster],$B1375)&lt;&gt;"",ISNUMBER(INDEX(TblClusters[CPU initial (vCPU)],$B1375)),ISNUMBER(INDEX(TblClusters[CPU min (vCPU)],$B1375)),OR(INDEX(TblClusters[Plateforme],$B1375)="IKS",INDEX(TblClusters[Plateforme],$B1375)="ROKS")),1,0),0))</f>
        <v>0</v>
      </c>
      <c r="E1375" s="72" t="str">
        <f t="shared" si="359"/>
        <v/>
      </c>
      <c r="F1375" s="19" t="str">
        <f>IF($D1375=1,INDEX(TblClusters[Cluster],$B1375),"")</f>
        <v/>
      </c>
      <c r="G1375" s="19" t="str">
        <f>IF($D1375=1,INDEX(TblClusters[Plateforme],$B1375),"")</f>
        <v/>
      </c>
      <c r="H1375" s="19" t="str">
        <f>IF($D1375=1,INDEX(TblClusters[vCPU par nœud],$B1375),"")</f>
        <v/>
      </c>
      <c r="I1375" s="19" t="str">
        <f>IF($D1375=1,INDEX(TblClusters[RAM par nœud (Go)],$B1375),"")</f>
        <v/>
      </c>
      <c r="J1375" s="19" t="str">
        <f>IF($D1375=1,INDEX(TblClusters[Workers min],$B1375),"")</f>
        <v/>
      </c>
      <c r="K1375" s="73" t="str">
        <f>IF($D1375=1,INDEX(TblClusters[Tarif par nœud],$B1375),"")</f>
        <v/>
      </c>
      <c r="L1375" s="19" t="str">
        <f>IF($D1375=1,INDEX(TblClusters[CPU initial (vCPU)],$B1375),"")</f>
        <v/>
      </c>
      <c r="M1375" s="19" t="str">
        <f>IF($D1375=1,INDEX(TblClusters[RAM initiale (Go)],$B1375),"")</f>
        <v/>
      </c>
      <c r="N1375" s="19" t="str">
        <f>IF($D1375=1,INDEX(TblClusters[CPU min (vCPU)],$B1375),"")</f>
        <v/>
      </c>
      <c r="O1375" s="19" t="str">
        <f>IF($D1375=1,INDEX(TblClusters[RAM min (Go)],$B1375),"")</f>
        <v/>
      </c>
      <c r="P1375" s="19" t="str">
        <f>IF($D1375&lt;&gt;1,"",IF($G1375="ROKS",SUMIFS(TblApplications[Besoin ROKS CPU (vCPU)],TblApplications[Cluster ROKS cible],$F1375,TblApplications[Action],"À migrer",TblApplications[Déjà incluse ROKS],"Non",TblApplications[Mois prov (calc)],"&lt;="&amp;$E1375),SUMIFS(TblApplications[CPU IKS libérable (vCPU)],TblApplications[Cluster IKS source],$F1375,TblApplications[Mois lib (calc)],"&lt;="&amp;$E1375)))</f>
        <v/>
      </c>
      <c r="Q1375" s="19" t="str">
        <f>IF($D1375&lt;&gt;1,"",IF($G1375="ROKS",SUMIFS(TblApplications[Besoin ROKS RAM (Go)],TblApplications[Cluster ROKS cible],$F1375,TblApplications[Action],"À migrer",TblApplications[Déjà incluse ROKS],"Non",TblApplications[Mois prov (calc)],"&lt;="&amp;$E1375),SUMIFS(TblApplications[RAM IKS libérable (Go)],TblApplications[Cluster IKS source],$F1375,TblApplications[Mois lib (calc)],"&lt;="&amp;$E1375)))</f>
        <v/>
      </c>
      <c r="R1375" s="19" t="str">
        <f t="shared" si="360"/>
        <v/>
      </c>
      <c r="S1375" s="19" t="str">
        <f t="shared" si="361"/>
        <v/>
      </c>
      <c r="T1375" s="19" t="str">
        <f t="shared" si="362"/>
        <v/>
      </c>
      <c r="U1375" s="19" t="str">
        <f t="shared" si="363"/>
        <v/>
      </c>
      <c r="V1375" s="19" t="str">
        <f t="shared" si="364"/>
        <v/>
      </c>
      <c r="W1375" s="73" t="str">
        <f t="shared" si="365"/>
        <v/>
      </c>
      <c r="X1375" s="19" t="str">
        <f>IF($D1375&lt;&gt;1,"",IF($G1375="ROKS",$R1375,IF($AI1375=1,0,MAX($N1375,$L1375-SUMIFS(TblApplications[CPU IKS libérable (vCPU)],TblApplications[Cluster IKS source],$F1375,TblApplications[Action],"À migrer",TblApplications[Mois prov (calc)],"&lt;="&amp;$E1375)-SUMIFS(TblApplications[CPU IKS libérable (vCPU)],TblApplications[Cluster IKS source],$F1375,TblApplications[Action],"À décommissionner",TblApplications[Mois lib (calc)],"&lt;="&amp;$E1375)))))</f>
        <v/>
      </c>
      <c r="Y1375" s="19" t="str">
        <f>IF($D1375&lt;&gt;1,"",IF($G1375="ROKS",$S1375,IF($AI1375=1,0,MAX($O1375,$M1375-SUMIFS(TblApplications[RAM IKS libérable (Go)],TblApplications[Cluster IKS source],$F1375,TblApplications[Action],"À migrer",TblApplications[Mois prov (calc)],"&lt;="&amp;$E1375)-SUMIFS(TblApplications[RAM IKS libérable (Go)],TblApplications[Cluster IKS source],$F1375,TblApplications[Action],"À décommissionner",TblApplications[Mois lib (calc)],"&lt;="&amp;$E1375)))))</f>
        <v/>
      </c>
      <c r="Z1375" s="19" t="str">
        <f t="shared" si="366"/>
        <v/>
      </c>
      <c r="AA1375" s="73" t="str">
        <f t="shared" si="367"/>
        <v/>
      </c>
      <c r="AB1375" s="19" t="str">
        <f t="shared" si="368"/>
        <v/>
      </c>
      <c r="AC1375" s="73" t="str">
        <f t="shared" si="369"/>
        <v/>
      </c>
      <c r="AD1375" s="19" t="str">
        <f t="shared" si="370"/>
        <v/>
      </c>
      <c r="AE1375" s="19" t="str">
        <f t="shared" si="371"/>
        <v/>
      </c>
      <c r="AF1375" s="19" t="str">
        <f>IF($D1375&lt;&gt;1,"",IF(INDEX(TblClusters[Environnement],$B1375)="","(vide)",INDEX(TblClusters[Environnement],$B1375)))</f>
        <v/>
      </c>
      <c r="AG1375" s="19" t="str">
        <f t="shared" si="372"/>
        <v/>
      </c>
      <c r="AH1375" s="19" t="str">
        <f t="shared" si="373"/>
        <v/>
      </c>
      <c r="AI1375" s="19" t="str">
        <f>IF($D1375&lt;&gt;1,"",IF(AND($G1375="IKS",ISNUMBER(INDEX(TblClusters[Fermeture retenue],$B1375))),IF($E1375&gt;=INDEX(TblClusters[Fermeture retenue],$B1375),1,0),0))</f>
        <v/>
      </c>
    </row>
    <row r="1376" spans="1:35" x14ac:dyDescent="0.2">
      <c r="A1376" s="19">
        <v>1371</v>
      </c>
      <c r="B1376" s="19">
        <f t="shared" si="357"/>
        <v>39</v>
      </c>
      <c r="C1376" s="19">
        <f t="shared" si="358"/>
        <v>3</v>
      </c>
      <c r="D1376" s="19">
        <f>IF($C1376&gt;p_horizon,0,IFERROR(IF(AND(INDEX(TblClusters[Cluster],$B1376)&lt;&gt;"",ISNUMBER(INDEX(TblClusters[CPU initial (vCPU)],$B1376)),ISNUMBER(INDEX(TblClusters[CPU min (vCPU)],$B1376)),OR(INDEX(TblClusters[Plateforme],$B1376)="IKS",INDEX(TblClusters[Plateforme],$B1376)="ROKS")),1,0),0))</f>
        <v>0</v>
      </c>
      <c r="E1376" s="72" t="str">
        <f t="shared" si="359"/>
        <v/>
      </c>
      <c r="F1376" s="19" t="str">
        <f>IF($D1376=1,INDEX(TblClusters[Cluster],$B1376),"")</f>
        <v/>
      </c>
      <c r="G1376" s="19" t="str">
        <f>IF($D1376=1,INDEX(TblClusters[Plateforme],$B1376),"")</f>
        <v/>
      </c>
      <c r="H1376" s="19" t="str">
        <f>IF($D1376=1,INDEX(TblClusters[vCPU par nœud],$B1376),"")</f>
        <v/>
      </c>
      <c r="I1376" s="19" t="str">
        <f>IF($D1376=1,INDEX(TblClusters[RAM par nœud (Go)],$B1376),"")</f>
        <v/>
      </c>
      <c r="J1376" s="19" t="str">
        <f>IF($D1376=1,INDEX(TblClusters[Workers min],$B1376),"")</f>
        <v/>
      </c>
      <c r="K1376" s="73" t="str">
        <f>IF($D1376=1,INDEX(TblClusters[Tarif par nœud],$B1376),"")</f>
        <v/>
      </c>
      <c r="L1376" s="19" t="str">
        <f>IF($D1376=1,INDEX(TblClusters[CPU initial (vCPU)],$B1376),"")</f>
        <v/>
      </c>
      <c r="M1376" s="19" t="str">
        <f>IF($D1376=1,INDEX(TblClusters[RAM initiale (Go)],$B1376),"")</f>
        <v/>
      </c>
      <c r="N1376" s="19" t="str">
        <f>IF($D1376=1,INDEX(TblClusters[CPU min (vCPU)],$B1376),"")</f>
        <v/>
      </c>
      <c r="O1376" s="19" t="str">
        <f>IF($D1376=1,INDEX(TblClusters[RAM min (Go)],$B1376),"")</f>
        <v/>
      </c>
      <c r="P1376" s="19" t="str">
        <f>IF($D1376&lt;&gt;1,"",IF($G1376="ROKS",SUMIFS(TblApplications[Besoin ROKS CPU (vCPU)],TblApplications[Cluster ROKS cible],$F1376,TblApplications[Action],"À migrer",TblApplications[Déjà incluse ROKS],"Non",TblApplications[Mois prov (calc)],"&lt;="&amp;$E1376),SUMIFS(TblApplications[CPU IKS libérable (vCPU)],TblApplications[Cluster IKS source],$F1376,TblApplications[Mois lib (calc)],"&lt;="&amp;$E1376)))</f>
        <v/>
      </c>
      <c r="Q1376" s="19" t="str">
        <f>IF($D1376&lt;&gt;1,"",IF($G1376="ROKS",SUMIFS(TblApplications[Besoin ROKS RAM (Go)],TblApplications[Cluster ROKS cible],$F1376,TblApplications[Action],"À migrer",TblApplications[Déjà incluse ROKS],"Non",TblApplications[Mois prov (calc)],"&lt;="&amp;$E1376),SUMIFS(TblApplications[RAM IKS libérable (Go)],TblApplications[Cluster IKS source],$F1376,TblApplications[Mois lib (calc)],"&lt;="&amp;$E1376)))</f>
        <v/>
      </c>
      <c r="R1376" s="19" t="str">
        <f t="shared" si="360"/>
        <v/>
      </c>
      <c r="S1376" s="19" t="str">
        <f t="shared" si="361"/>
        <v/>
      </c>
      <c r="T1376" s="19" t="str">
        <f t="shared" si="362"/>
        <v/>
      </c>
      <c r="U1376" s="19" t="str">
        <f t="shared" si="363"/>
        <v/>
      </c>
      <c r="V1376" s="19" t="str">
        <f t="shared" si="364"/>
        <v/>
      </c>
      <c r="W1376" s="73" t="str">
        <f t="shared" si="365"/>
        <v/>
      </c>
      <c r="X1376" s="19" t="str">
        <f>IF($D1376&lt;&gt;1,"",IF($G1376="ROKS",$R1376,IF($AI1376=1,0,MAX($N1376,$L1376-SUMIFS(TblApplications[CPU IKS libérable (vCPU)],TblApplications[Cluster IKS source],$F1376,TblApplications[Action],"À migrer",TblApplications[Mois prov (calc)],"&lt;="&amp;$E1376)-SUMIFS(TblApplications[CPU IKS libérable (vCPU)],TblApplications[Cluster IKS source],$F1376,TblApplications[Action],"À décommissionner",TblApplications[Mois lib (calc)],"&lt;="&amp;$E1376)))))</f>
        <v/>
      </c>
      <c r="Y1376" s="19" t="str">
        <f>IF($D1376&lt;&gt;1,"",IF($G1376="ROKS",$S1376,IF($AI1376=1,0,MAX($O1376,$M1376-SUMIFS(TblApplications[RAM IKS libérable (Go)],TblApplications[Cluster IKS source],$F1376,TblApplications[Action],"À migrer",TblApplications[Mois prov (calc)],"&lt;="&amp;$E1376)-SUMIFS(TblApplications[RAM IKS libérable (Go)],TblApplications[Cluster IKS source],$F1376,TblApplications[Action],"À décommissionner",TblApplications[Mois lib (calc)],"&lt;="&amp;$E1376)))))</f>
        <v/>
      </c>
      <c r="Z1376" s="19" t="str">
        <f t="shared" si="366"/>
        <v/>
      </c>
      <c r="AA1376" s="73" t="str">
        <f t="shared" si="367"/>
        <v/>
      </c>
      <c r="AB1376" s="19" t="str">
        <f t="shared" si="368"/>
        <v/>
      </c>
      <c r="AC1376" s="73" t="str">
        <f t="shared" si="369"/>
        <v/>
      </c>
      <c r="AD1376" s="19" t="str">
        <f t="shared" si="370"/>
        <v/>
      </c>
      <c r="AE1376" s="19" t="str">
        <f t="shared" si="371"/>
        <v/>
      </c>
      <c r="AF1376" s="19" t="str">
        <f>IF($D1376&lt;&gt;1,"",IF(INDEX(TblClusters[Environnement],$B1376)="","(vide)",INDEX(TblClusters[Environnement],$B1376)))</f>
        <v/>
      </c>
      <c r="AG1376" s="19" t="str">
        <f t="shared" si="372"/>
        <v/>
      </c>
      <c r="AH1376" s="19" t="str">
        <f t="shared" si="373"/>
        <v/>
      </c>
      <c r="AI1376" s="19" t="str">
        <f>IF($D1376&lt;&gt;1,"",IF(AND($G1376="IKS",ISNUMBER(INDEX(TblClusters[Fermeture retenue],$B1376))),IF($E1376&gt;=INDEX(TblClusters[Fermeture retenue],$B1376),1,0),0))</f>
        <v/>
      </c>
    </row>
    <row r="1377" spans="1:35" x14ac:dyDescent="0.2">
      <c r="A1377" s="19">
        <v>1372</v>
      </c>
      <c r="B1377" s="19">
        <f t="shared" si="357"/>
        <v>39</v>
      </c>
      <c r="C1377" s="19">
        <f t="shared" si="358"/>
        <v>4</v>
      </c>
      <c r="D1377" s="19">
        <f>IF($C1377&gt;p_horizon,0,IFERROR(IF(AND(INDEX(TblClusters[Cluster],$B1377)&lt;&gt;"",ISNUMBER(INDEX(TblClusters[CPU initial (vCPU)],$B1377)),ISNUMBER(INDEX(TblClusters[CPU min (vCPU)],$B1377)),OR(INDEX(TblClusters[Plateforme],$B1377)="IKS",INDEX(TblClusters[Plateforme],$B1377)="ROKS")),1,0),0))</f>
        <v>0</v>
      </c>
      <c r="E1377" s="72" t="str">
        <f t="shared" si="359"/>
        <v/>
      </c>
      <c r="F1377" s="19" t="str">
        <f>IF($D1377=1,INDEX(TblClusters[Cluster],$B1377),"")</f>
        <v/>
      </c>
      <c r="G1377" s="19" t="str">
        <f>IF($D1377=1,INDEX(TblClusters[Plateforme],$B1377),"")</f>
        <v/>
      </c>
      <c r="H1377" s="19" t="str">
        <f>IF($D1377=1,INDEX(TblClusters[vCPU par nœud],$B1377),"")</f>
        <v/>
      </c>
      <c r="I1377" s="19" t="str">
        <f>IF($D1377=1,INDEX(TblClusters[RAM par nœud (Go)],$B1377),"")</f>
        <v/>
      </c>
      <c r="J1377" s="19" t="str">
        <f>IF($D1377=1,INDEX(TblClusters[Workers min],$B1377),"")</f>
        <v/>
      </c>
      <c r="K1377" s="73" t="str">
        <f>IF($D1377=1,INDEX(TblClusters[Tarif par nœud],$B1377),"")</f>
        <v/>
      </c>
      <c r="L1377" s="19" t="str">
        <f>IF($D1377=1,INDEX(TblClusters[CPU initial (vCPU)],$B1377),"")</f>
        <v/>
      </c>
      <c r="M1377" s="19" t="str">
        <f>IF($D1377=1,INDEX(TblClusters[RAM initiale (Go)],$B1377),"")</f>
        <v/>
      </c>
      <c r="N1377" s="19" t="str">
        <f>IF($D1377=1,INDEX(TblClusters[CPU min (vCPU)],$B1377),"")</f>
        <v/>
      </c>
      <c r="O1377" s="19" t="str">
        <f>IF($D1377=1,INDEX(TblClusters[RAM min (Go)],$B1377),"")</f>
        <v/>
      </c>
      <c r="P1377" s="19" t="str">
        <f>IF($D1377&lt;&gt;1,"",IF($G1377="ROKS",SUMIFS(TblApplications[Besoin ROKS CPU (vCPU)],TblApplications[Cluster ROKS cible],$F1377,TblApplications[Action],"À migrer",TblApplications[Déjà incluse ROKS],"Non",TblApplications[Mois prov (calc)],"&lt;="&amp;$E1377),SUMIFS(TblApplications[CPU IKS libérable (vCPU)],TblApplications[Cluster IKS source],$F1377,TblApplications[Mois lib (calc)],"&lt;="&amp;$E1377)))</f>
        <v/>
      </c>
      <c r="Q1377" s="19" t="str">
        <f>IF($D1377&lt;&gt;1,"",IF($G1377="ROKS",SUMIFS(TblApplications[Besoin ROKS RAM (Go)],TblApplications[Cluster ROKS cible],$F1377,TblApplications[Action],"À migrer",TblApplications[Déjà incluse ROKS],"Non",TblApplications[Mois prov (calc)],"&lt;="&amp;$E1377),SUMIFS(TblApplications[RAM IKS libérable (Go)],TblApplications[Cluster IKS source],$F1377,TblApplications[Mois lib (calc)],"&lt;="&amp;$E1377)))</f>
        <v/>
      </c>
      <c r="R1377" s="19" t="str">
        <f t="shared" si="360"/>
        <v/>
      </c>
      <c r="S1377" s="19" t="str">
        <f t="shared" si="361"/>
        <v/>
      </c>
      <c r="T1377" s="19" t="str">
        <f t="shared" si="362"/>
        <v/>
      </c>
      <c r="U1377" s="19" t="str">
        <f t="shared" si="363"/>
        <v/>
      </c>
      <c r="V1377" s="19" t="str">
        <f t="shared" si="364"/>
        <v/>
      </c>
      <c r="W1377" s="73" t="str">
        <f t="shared" si="365"/>
        <v/>
      </c>
      <c r="X1377" s="19" t="str">
        <f>IF($D1377&lt;&gt;1,"",IF($G1377="ROKS",$R1377,IF($AI1377=1,0,MAX($N1377,$L1377-SUMIFS(TblApplications[CPU IKS libérable (vCPU)],TblApplications[Cluster IKS source],$F1377,TblApplications[Action],"À migrer",TblApplications[Mois prov (calc)],"&lt;="&amp;$E1377)-SUMIFS(TblApplications[CPU IKS libérable (vCPU)],TblApplications[Cluster IKS source],$F1377,TblApplications[Action],"À décommissionner",TblApplications[Mois lib (calc)],"&lt;="&amp;$E1377)))))</f>
        <v/>
      </c>
      <c r="Y1377" s="19" t="str">
        <f>IF($D1377&lt;&gt;1,"",IF($G1377="ROKS",$S1377,IF($AI1377=1,0,MAX($O1377,$M1377-SUMIFS(TblApplications[RAM IKS libérable (Go)],TblApplications[Cluster IKS source],$F1377,TblApplications[Action],"À migrer",TblApplications[Mois prov (calc)],"&lt;="&amp;$E1377)-SUMIFS(TblApplications[RAM IKS libérable (Go)],TblApplications[Cluster IKS source],$F1377,TblApplications[Action],"À décommissionner",TblApplications[Mois lib (calc)],"&lt;="&amp;$E1377)))))</f>
        <v/>
      </c>
      <c r="Z1377" s="19" t="str">
        <f t="shared" si="366"/>
        <v/>
      </c>
      <c r="AA1377" s="73" t="str">
        <f t="shared" si="367"/>
        <v/>
      </c>
      <c r="AB1377" s="19" t="str">
        <f t="shared" si="368"/>
        <v/>
      </c>
      <c r="AC1377" s="73" t="str">
        <f t="shared" si="369"/>
        <v/>
      </c>
      <c r="AD1377" s="19" t="str">
        <f t="shared" si="370"/>
        <v/>
      </c>
      <c r="AE1377" s="19" t="str">
        <f t="shared" si="371"/>
        <v/>
      </c>
      <c r="AF1377" s="19" t="str">
        <f>IF($D1377&lt;&gt;1,"",IF(INDEX(TblClusters[Environnement],$B1377)="","(vide)",INDEX(TblClusters[Environnement],$B1377)))</f>
        <v/>
      </c>
      <c r="AG1377" s="19" t="str">
        <f t="shared" si="372"/>
        <v/>
      </c>
      <c r="AH1377" s="19" t="str">
        <f t="shared" si="373"/>
        <v/>
      </c>
      <c r="AI1377" s="19" t="str">
        <f>IF($D1377&lt;&gt;1,"",IF(AND($G1377="IKS",ISNUMBER(INDEX(TblClusters[Fermeture retenue],$B1377))),IF($E1377&gt;=INDEX(TblClusters[Fermeture retenue],$B1377),1,0),0))</f>
        <v/>
      </c>
    </row>
    <row r="1378" spans="1:35" x14ac:dyDescent="0.2">
      <c r="A1378" s="19">
        <v>1373</v>
      </c>
      <c r="B1378" s="19">
        <f t="shared" si="357"/>
        <v>39</v>
      </c>
      <c r="C1378" s="19">
        <f t="shared" si="358"/>
        <v>5</v>
      </c>
      <c r="D1378" s="19">
        <f>IF($C1378&gt;p_horizon,0,IFERROR(IF(AND(INDEX(TblClusters[Cluster],$B1378)&lt;&gt;"",ISNUMBER(INDEX(TblClusters[CPU initial (vCPU)],$B1378)),ISNUMBER(INDEX(TblClusters[CPU min (vCPU)],$B1378)),OR(INDEX(TblClusters[Plateforme],$B1378)="IKS",INDEX(TblClusters[Plateforme],$B1378)="ROKS")),1,0),0))</f>
        <v>0</v>
      </c>
      <c r="E1378" s="72" t="str">
        <f t="shared" si="359"/>
        <v/>
      </c>
      <c r="F1378" s="19" t="str">
        <f>IF($D1378=1,INDEX(TblClusters[Cluster],$B1378),"")</f>
        <v/>
      </c>
      <c r="G1378" s="19" t="str">
        <f>IF($D1378=1,INDEX(TblClusters[Plateforme],$B1378),"")</f>
        <v/>
      </c>
      <c r="H1378" s="19" t="str">
        <f>IF($D1378=1,INDEX(TblClusters[vCPU par nœud],$B1378),"")</f>
        <v/>
      </c>
      <c r="I1378" s="19" t="str">
        <f>IF($D1378=1,INDEX(TblClusters[RAM par nœud (Go)],$B1378),"")</f>
        <v/>
      </c>
      <c r="J1378" s="19" t="str">
        <f>IF($D1378=1,INDEX(TblClusters[Workers min],$B1378),"")</f>
        <v/>
      </c>
      <c r="K1378" s="73" t="str">
        <f>IF($D1378=1,INDEX(TblClusters[Tarif par nœud],$B1378),"")</f>
        <v/>
      </c>
      <c r="L1378" s="19" t="str">
        <f>IF($D1378=1,INDEX(TblClusters[CPU initial (vCPU)],$B1378),"")</f>
        <v/>
      </c>
      <c r="M1378" s="19" t="str">
        <f>IF($D1378=1,INDEX(TblClusters[RAM initiale (Go)],$B1378),"")</f>
        <v/>
      </c>
      <c r="N1378" s="19" t="str">
        <f>IF($D1378=1,INDEX(TblClusters[CPU min (vCPU)],$B1378),"")</f>
        <v/>
      </c>
      <c r="O1378" s="19" t="str">
        <f>IF($D1378=1,INDEX(TblClusters[RAM min (Go)],$B1378),"")</f>
        <v/>
      </c>
      <c r="P1378" s="19" t="str">
        <f>IF($D1378&lt;&gt;1,"",IF($G1378="ROKS",SUMIFS(TblApplications[Besoin ROKS CPU (vCPU)],TblApplications[Cluster ROKS cible],$F1378,TblApplications[Action],"À migrer",TblApplications[Déjà incluse ROKS],"Non",TblApplications[Mois prov (calc)],"&lt;="&amp;$E1378),SUMIFS(TblApplications[CPU IKS libérable (vCPU)],TblApplications[Cluster IKS source],$F1378,TblApplications[Mois lib (calc)],"&lt;="&amp;$E1378)))</f>
        <v/>
      </c>
      <c r="Q1378" s="19" t="str">
        <f>IF($D1378&lt;&gt;1,"",IF($G1378="ROKS",SUMIFS(TblApplications[Besoin ROKS RAM (Go)],TblApplications[Cluster ROKS cible],$F1378,TblApplications[Action],"À migrer",TblApplications[Déjà incluse ROKS],"Non",TblApplications[Mois prov (calc)],"&lt;="&amp;$E1378),SUMIFS(TblApplications[RAM IKS libérable (Go)],TblApplications[Cluster IKS source],$F1378,TblApplications[Mois lib (calc)],"&lt;="&amp;$E1378)))</f>
        <v/>
      </c>
      <c r="R1378" s="19" t="str">
        <f t="shared" si="360"/>
        <v/>
      </c>
      <c r="S1378" s="19" t="str">
        <f t="shared" si="361"/>
        <v/>
      </c>
      <c r="T1378" s="19" t="str">
        <f t="shared" si="362"/>
        <v/>
      </c>
      <c r="U1378" s="19" t="str">
        <f t="shared" si="363"/>
        <v/>
      </c>
      <c r="V1378" s="19" t="str">
        <f t="shared" si="364"/>
        <v/>
      </c>
      <c r="W1378" s="73" t="str">
        <f t="shared" si="365"/>
        <v/>
      </c>
      <c r="X1378" s="19" t="str">
        <f>IF($D1378&lt;&gt;1,"",IF($G1378="ROKS",$R1378,IF($AI1378=1,0,MAX($N1378,$L1378-SUMIFS(TblApplications[CPU IKS libérable (vCPU)],TblApplications[Cluster IKS source],$F1378,TblApplications[Action],"À migrer",TblApplications[Mois prov (calc)],"&lt;="&amp;$E1378)-SUMIFS(TblApplications[CPU IKS libérable (vCPU)],TblApplications[Cluster IKS source],$F1378,TblApplications[Action],"À décommissionner",TblApplications[Mois lib (calc)],"&lt;="&amp;$E1378)))))</f>
        <v/>
      </c>
      <c r="Y1378" s="19" t="str">
        <f>IF($D1378&lt;&gt;1,"",IF($G1378="ROKS",$S1378,IF($AI1378=1,0,MAX($O1378,$M1378-SUMIFS(TblApplications[RAM IKS libérable (Go)],TblApplications[Cluster IKS source],$F1378,TblApplications[Action],"À migrer",TblApplications[Mois prov (calc)],"&lt;="&amp;$E1378)-SUMIFS(TblApplications[RAM IKS libérable (Go)],TblApplications[Cluster IKS source],$F1378,TblApplications[Action],"À décommissionner",TblApplications[Mois lib (calc)],"&lt;="&amp;$E1378)))))</f>
        <v/>
      </c>
      <c r="Z1378" s="19" t="str">
        <f t="shared" si="366"/>
        <v/>
      </c>
      <c r="AA1378" s="73" t="str">
        <f t="shared" si="367"/>
        <v/>
      </c>
      <c r="AB1378" s="19" t="str">
        <f t="shared" si="368"/>
        <v/>
      </c>
      <c r="AC1378" s="73" t="str">
        <f t="shared" si="369"/>
        <v/>
      </c>
      <c r="AD1378" s="19" t="str">
        <f t="shared" si="370"/>
        <v/>
      </c>
      <c r="AE1378" s="19" t="str">
        <f t="shared" si="371"/>
        <v/>
      </c>
      <c r="AF1378" s="19" t="str">
        <f>IF($D1378&lt;&gt;1,"",IF(INDEX(TblClusters[Environnement],$B1378)="","(vide)",INDEX(TblClusters[Environnement],$B1378)))</f>
        <v/>
      </c>
      <c r="AG1378" s="19" t="str">
        <f t="shared" si="372"/>
        <v/>
      </c>
      <c r="AH1378" s="19" t="str">
        <f t="shared" si="373"/>
        <v/>
      </c>
      <c r="AI1378" s="19" t="str">
        <f>IF($D1378&lt;&gt;1,"",IF(AND($G1378="IKS",ISNUMBER(INDEX(TblClusters[Fermeture retenue],$B1378))),IF($E1378&gt;=INDEX(TblClusters[Fermeture retenue],$B1378),1,0),0))</f>
        <v/>
      </c>
    </row>
    <row r="1379" spans="1:35" x14ac:dyDescent="0.2">
      <c r="A1379" s="19">
        <v>1374</v>
      </c>
      <c r="B1379" s="19">
        <f t="shared" si="357"/>
        <v>39</v>
      </c>
      <c r="C1379" s="19">
        <f t="shared" si="358"/>
        <v>6</v>
      </c>
      <c r="D1379" s="19">
        <f>IF($C1379&gt;p_horizon,0,IFERROR(IF(AND(INDEX(TblClusters[Cluster],$B1379)&lt;&gt;"",ISNUMBER(INDEX(TblClusters[CPU initial (vCPU)],$B1379)),ISNUMBER(INDEX(TblClusters[CPU min (vCPU)],$B1379)),OR(INDEX(TblClusters[Plateforme],$B1379)="IKS",INDEX(TblClusters[Plateforme],$B1379)="ROKS")),1,0),0))</f>
        <v>0</v>
      </c>
      <c r="E1379" s="72" t="str">
        <f t="shared" si="359"/>
        <v/>
      </c>
      <c r="F1379" s="19" t="str">
        <f>IF($D1379=1,INDEX(TblClusters[Cluster],$B1379),"")</f>
        <v/>
      </c>
      <c r="G1379" s="19" t="str">
        <f>IF($D1379=1,INDEX(TblClusters[Plateforme],$B1379),"")</f>
        <v/>
      </c>
      <c r="H1379" s="19" t="str">
        <f>IF($D1379=1,INDEX(TblClusters[vCPU par nœud],$B1379),"")</f>
        <v/>
      </c>
      <c r="I1379" s="19" t="str">
        <f>IF($D1379=1,INDEX(TblClusters[RAM par nœud (Go)],$B1379),"")</f>
        <v/>
      </c>
      <c r="J1379" s="19" t="str">
        <f>IF($D1379=1,INDEX(TblClusters[Workers min],$B1379),"")</f>
        <v/>
      </c>
      <c r="K1379" s="73" t="str">
        <f>IF($D1379=1,INDEX(TblClusters[Tarif par nœud],$B1379),"")</f>
        <v/>
      </c>
      <c r="L1379" s="19" t="str">
        <f>IF($D1379=1,INDEX(TblClusters[CPU initial (vCPU)],$B1379),"")</f>
        <v/>
      </c>
      <c r="M1379" s="19" t="str">
        <f>IF($D1379=1,INDEX(TblClusters[RAM initiale (Go)],$B1379),"")</f>
        <v/>
      </c>
      <c r="N1379" s="19" t="str">
        <f>IF($D1379=1,INDEX(TblClusters[CPU min (vCPU)],$B1379),"")</f>
        <v/>
      </c>
      <c r="O1379" s="19" t="str">
        <f>IF($D1379=1,INDEX(TblClusters[RAM min (Go)],$B1379),"")</f>
        <v/>
      </c>
      <c r="P1379" s="19" t="str">
        <f>IF($D1379&lt;&gt;1,"",IF($G1379="ROKS",SUMIFS(TblApplications[Besoin ROKS CPU (vCPU)],TblApplications[Cluster ROKS cible],$F1379,TblApplications[Action],"À migrer",TblApplications[Déjà incluse ROKS],"Non",TblApplications[Mois prov (calc)],"&lt;="&amp;$E1379),SUMIFS(TblApplications[CPU IKS libérable (vCPU)],TblApplications[Cluster IKS source],$F1379,TblApplications[Mois lib (calc)],"&lt;="&amp;$E1379)))</f>
        <v/>
      </c>
      <c r="Q1379" s="19" t="str">
        <f>IF($D1379&lt;&gt;1,"",IF($G1379="ROKS",SUMIFS(TblApplications[Besoin ROKS RAM (Go)],TblApplications[Cluster ROKS cible],$F1379,TblApplications[Action],"À migrer",TblApplications[Déjà incluse ROKS],"Non",TblApplications[Mois prov (calc)],"&lt;="&amp;$E1379),SUMIFS(TblApplications[RAM IKS libérable (Go)],TblApplications[Cluster IKS source],$F1379,TblApplications[Mois lib (calc)],"&lt;="&amp;$E1379)))</f>
        <v/>
      </c>
      <c r="R1379" s="19" t="str">
        <f t="shared" si="360"/>
        <v/>
      </c>
      <c r="S1379" s="19" t="str">
        <f t="shared" si="361"/>
        <v/>
      </c>
      <c r="T1379" s="19" t="str">
        <f t="shared" si="362"/>
        <v/>
      </c>
      <c r="U1379" s="19" t="str">
        <f t="shared" si="363"/>
        <v/>
      </c>
      <c r="V1379" s="19" t="str">
        <f t="shared" si="364"/>
        <v/>
      </c>
      <c r="W1379" s="73" t="str">
        <f t="shared" si="365"/>
        <v/>
      </c>
      <c r="X1379" s="19" t="str">
        <f>IF($D1379&lt;&gt;1,"",IF($G1379="ROKS",$R1379,IF($AI1379=1,0,MAX($N1379,$L1379-SUMIFS(TblApplications[CPU IKS libérable (vCPU)],TblApplications[Cluster IKS source],$F1379,TblApplications[Action],"À migrer",TblApplications[Mois prov (calc)],"&lt;="&amp;$E1379)-SUMIFS(TblApplications[CPU IKS libérable (vCPU)],TblApplications[Cluster IKS source],$F1379,TblApplications[Action],"À décommissionner",TblApplications[Mois lib (calc)],"&lt;="&amp;$E1379)))))</f>
        <v/>
      </c>
      <c r="Y1379" s="19" t="str">
        <f>IF($D1379&lt;&gt;1,"",IF($G1379="ROKS",$S1379,IF($AI1379=1,0,MAX($O1379,$M1379-SUMIFS(TblApplications[RAM IKS libérable (Go)],TblApplications[Cluster IKS source],$F1379,TblApplications[Action],"À migrer",TblApplications[Mois prov (calc)],"&lt;="&amp;$E1379)-SUMIFS(TblApplications[RAM IKS libérable (Go)],TblApplications[Cluster IKS source],$F1379,TblApplications[Action],"À décommissionner",TblApplications[Mois lib (calc)],"&lt;="&amp;$E1379)))))</f>
        <v/>
      </c>
      <c r="Z1379" s="19" t="str">
        <f t="shared" si="366"/>
        <v/>
      </c>
      <c r="AA1379" s="73" t="str">
        <f t="shared" si="367"/>
        <v/>
      </c>
      <c r="AB1379" s="19" t="str">
        <f t="shared" si="368"/>
        <v/>
      </c>
      <c r="AC1379" s="73" t="str">
        <f t="shared" si="369"/>
        <v/>
      </c>
      <c r="AD1379" s="19" t="str">
        <f t="shared" si="370"/>
        <v/>
      </c>
      <c r="AE1379" s="19" t="str">
        <f t="shared" si="371"/>
        <v/>
      </c>
      <c r="AF1379" s="19" t="str">
        <f>IF($D1379&lt;&gt;1,"",IF(INDEX(TblClusters[Environnement],$B1379)="","(vide)",INDEX(TblClusters[Environnement],$B1379)))</f>
        <v/>
      </c>
      <c r="AG1379" s="19" t="str">
        <f t="shared" si="372"/>
        <v/>
      </c>
      <c r="AH1379" s="19" t="str">
        <f t="shared" si="373"/>
        <v/>
      </c>
      <c r="AI1379" s="19" t="str">
        <f>IF($D1379&lt;&gt;1,"",IF(AND($G1379="IKS",ISNUMBER(INDEX(TblClusters[Fermeture retenue],$B1379))),IF($E1379&gt;=INDEX(TblClusters[Fermeture retenue],$B1379),1,0),0))</f>
        <v/>
      </c>
    </row>
    <row r="1380" spans="1:35" x14ac:dyDescent="0.2">
      <c r="A1380" s="19">
        <v>1375</v>
      </c>
      <c r="B1380" s="19">
        <f t="shared" si="357"/>
        <v>39</v>
      </c>
      <c r="C1380" s="19">
        <f t="shared" si="358"/>
        <v>7</v>
      </c>
      <c r="D1380" s="19">
        <f>IF($C1380&gt;p_horizon,0,IFERROR(IF(AND(INDEX(TblClusters[Cluster],$B1380)&lt;&gt;"",ISNUMBER(INDEX(TblClusters[CPU initial (vCPU)],$B1380)),ISNUMBER(INDEX(TblClusters[CPU min (vCPU)],$B1380)),OR(INDEX(TblClusters[Plateforme],$B1380)="IKS",INDEX(TblClusters[Plateforme],$B1380)="ROKS")),1,0),0))</f>
        <v>0</v>
      </c>
      <c r="E1380" s="72" t="str">
        <f t="shared" si="359"/>
        <v/>
      </c>
      <c r="F1380" s="19" t="str">
        <f>IF($D1380=1,INDEX(TblClusters[Cluster],$B1380),"")</f>
        <v/>
      </c>
      <c r="G1380" s="19" t="str">
        <f>IF($D1380=1,INDEX(TblClusters[Plateforme],$B1380),"")</f>
        <v/>
      </c>
      <c r="H1380" s="19" t="str">
        <f>IF($D1380=1,INDEX(TblClusters[vCPU par nœud],$B1380),"")</f>
        <v/>
      </c>
      <c r="I1380" s="19" t="str">
        <f>IF($D1380=1,INDEX(TblClusters[RAM par nœud (Go)],$B1380),"")</f>
        <v/>
      </c>
      <c r="J1380" s="19" t="str">
        <f>IF($D1380=1,INDEX(TblClusters[Workers min],$B1380),"")</f>
        <v/>
      </c>
      <c r="K1380" s="73" t="str">
        <f>IF($D1380=1,INDEX(TblClusters[Tarif par nœud],$B1380),"")</f>
        <v/>
      </c>
      <c r="L1380" s="19" t="str">
        <f>IF($D1380=1,INDEX(TblClusters[CPU initial (vCPU)],$B1380),"")</f>
        <v/>
      </c>
      <c r="M1380" s="19" t="str">
        <f>IF($D1380=1,INDEX(TblClusters[RAM initiale (Go)],$B1380),"")</f>
        <v/>
      </c>
      <c r="N1380" s="19" t="str">
        <f>IF($D1380=1,INDEX(TblClusters[CPU min (vCPU)],$B1380),"")</f>
        <v/>
      </c>
      <c r="O1380" s="19" t="str">
        <f>IF($D1380=1,INDEX(TblClusters[RAM min (Go)],$B1380),"")</f>
        <v/>
      </c>
      <c r="P1380" s="19" t="str">
        <f>IF($D1380&lt;&gt;1,"",IF($G1380="ROKS",SUMIFS(TblApplications[Besoin ROKS CPU (vCPU)],TblApplications[Cluster ROKS cible],$F1380,TblApplications[Action],"À migrer",TblApplications[Déjà incluse ROKS],"Non",TblApplications[Mois prov (calc)],"&lt;="&amp;$E1380),SUMIFS(TblApplications[CPU IKS libérable (vCPU)],TblApplications[Cluster IKS source],$F1380,TblApplications[Mois lib (calc)],"&lt;="&amp;$E1380)))</f>
        <v/>
      </c>
      <c r="Q1380" s="19" t="str">
        <f>IF($D1380&lt;&gt;1,"",IF($G1380="ROKS",SUMIFS(TblApplications[Besoin ROKS RAM (Go)],TblApplications[Cluster ROKS cible],$F1380,TblApplications[Action],"À migrer",TblApplications[Déjà incluse ROKS],"Non",TblApplications[Mois prov (calc)],"&lt;="&amp;$E1380),SUMIFS(TblApplications[RAM IKS libérable (Go)],TblApplications[Cluster IKS source],$F1380,TblApplications[Mois lib (calc)],"&lt;="&amp;$E1380)))</f>
        <v/>
      </c>
      <c r="R1380" s="19" t="str">
        <f t="shared" si="360"/>
        <v/>
      </c>
      <c r="S1380" s="19" t="str">
        <f t="shared" si="361"/>
        <v/>
      </c>
      <c r="T1380" s="19" t="str">
        <f t="shared" si="362"/>
        <v/>
      </c>
      <c r="U1380" s="19" t="str">
        <f t="shared" si="363"/>
        <v/>
      </c>
      <c r="V1380" s="19" t="str">
        <f t="shared" si="364"/>
        <v/>
      </c>
      <c r="W1380" s="73" t="str">
        <f t="shared" si="365"/>
        <v/>
      </c>
      <c r="X1380" s="19" t="str">
        <f>IF($D1380&lt;&gt;1,"",IF($G1380="ROKS",$R1380,IF($AI1380=1,0,MAX($N1380,$L1380-SUMIFS(TblApplications[CPU IKS libérable (vCPU)],TblApplications[Cluster IKS source],$F1380,TblApplications[Action],"À migrer",TblApplications[Mois prov (calc)],"&lt;="&amp;$E1380)-SUMIFS(TblApplications[CPU IKS libérable (vCPU)],TblApplications[Cluster IKS source],$F1380,TblApplications[Action],"À décommissionner",TblApplications[Mois lib (calc)],"&lt;="&amp;$E1380)))))</f>
        <v/>
      </c>
      <c r="Y1380" s="19" t="str">
        <f>IF($D1380&lt;&gt;1,"",IF($G1380="ROKS",$S1380,IF($AI1380=1,0,MAX($O1380,$M1380-SUMIFS(TblApplications[RAM IKS libérable (Go)],TblApplications[Cluster IKS source],$F1380,TblApplications[Action],"À migrer",TblApplications[Mois prov (calc)],"&lt;="&amp;$E1380)-SUMIFS(TblApplications[RAM IKS libérable (Go)],TblApplications[Cluster IKS source],$F1380,TblApplications[Action],"À décommissionner",TblApplications[Mois lib (calc)],"&lt;="&amp;$E1380)))))</f>
        <v/>
      </c>
      <c r="Z1380" s="19" t="str">
        <f t="shared" si="366"/>
        <v/>
      </c>
      <c r="AA1380" s="73" t="str">
        <f t="shared" si="367"/>
        <v/>
      </c>
      <c r="AB1380" s="19" t="str">
        <f t="shared" si="368"/>
        <v/>
      </c>
      <c r="AC1380" s="73" t="str">
        <f t="shared" si="369"/>
        <v/>
      </c>
      <c r="AD1380" s="19" t="str">
        <f t="shared" si="370"/>
        <v/>
      </c>
      <c r="AE1380" s="19" t="str">
        <f t="shared" si="371"/>
        <v/>
      </c>
      <c r="AF1380" s="19" t="str">
        <f>IF($D1380&lt;&gt;1,"",IF(INDEX(TblClusters[Environnement],$B1380)="","(vide)",INDEX(TblClusters[Environnement],$B1380)))</f>
        <v/>
      </c>
      <c r="AG1380" s="19" t="str">
        <f t="shared" si="372"/>
        <v/>
      </c>
      <c r="AH1380" s="19" t="str">
        <f t="shared" si="373"/>
        <v/>
      </c>
      <c r="AI1380" s="19" t="str">
        <f>IF($D1380&lt;&gt;1,"",IF(AND($G1380="IKS",ISNUMBER(INDEX(TblClusters[Fermeture retenue],$B1380))),IF($E1380&gt;=INDEX(TblClusters[Fermeture retenue],$B1380),1,0),0))</f>
        <v/>
      </c>
    </row>
    <row r="1381" spans="1:35" x14ac:dyDescent="0.2">
      <c r="A1381" s="19">
        <v>1376</v>
      </c>
      <c r="B1381" s="19">
        <f t="shared" si="357"/>
        <v>39</v>
      </c>
      <c r="C1381" s="19">
        <f t="shared" si="358"/>
        <v>8</v>
      </c>
      <c r="D1381" s="19">
        <f>IF($C1381&gt;p_horizon,0,IFERROR(IF(AND(INDEX(TblClusters[Cluster],$B1381)&lt;&gt;"",ISNUMBER(INDEX(TblClusters[CPU initial (vCPU)],$B1381)),ISNUMBER(INDEX(TblClusters[CPU min (vCPU)],$B1381)),OR(INDEX(TblClusters[Plateforme],$B1381)="IKS",INDEX(TblClusters[Plateforme],$B1381)="ROKS")),1,0),0))</f>
        <v>0</v>
      </c>
      <c r="E1381" s="72" t="str">
        <f t="shared" si="359"/>
        <v/>
      </c>
      <c r="F1381" s="19" t="str">
        <f>IF($D1381=1,INDEX(TblClusters[Cluster],$B1381),"")</f>
        <v/>
      </c>
      <c r="G1381" s="19" t="str">
        <f>IF($D1381=1,INDEX(TblClusters[Plateforme],$B1381),"")</f>
        <v/>
      </c>
      <c r="H1381" s="19" t="str">
        <f>IF($D1381=1,INDEX(TblClusters[vCPU par nœud],$B1381),"")</f>
        <v/>
      </c>
      <c r="I1381" s="19" t="str">
        <f>IF($D1381=1,INDEX(TblClusters[RAM par nœud (Go)],$B1381),"")</f>
        <v/>
      </c>
      <c r="J1381" s="19" t="str">
        <f>IF($D1381=1,INDEX(TblClusters[Workers min],$B1381),"")</f>
        <v/>
      </c>
      <c r="K1381" s="73" t="str">
        <f>IF($D1381=1,INDEX(TblClusters[Tarif par nœud],$B1381),"")</f>
        <v/>
      </c>
      <c r="L1381" s="19" t="str">
        <f>IF($D1381=1,INDEX(TblClusters[CPU initial (vCPU)],$B1381),"")</f>
        <v/>
      </c>
      <c r="M1381" s="19" t="str">
        <f>IF($D1381=1,INDEX(TblClusters[RAM initiale (Go)],$B1381),"")</f>
        <v/>
      </c>
      <c r="N1381" s="19" t="str">
        <f>IF($D1381=1,INDEX(TblClusters[CPU min (vCPU)],$B1381),"")</f>
        <v/>
      </c>
      <c r="O1381" s="19" t="str">
        <f>IF($D1381=1,INDEX(TblClusters[RAM min (Go)],$B1381),"")</f>
        <v/>
      </c>
      <c r="P1381" s="19" t="str">
        <f>IF($D1381&lt;&gt;1,"",IF($G1381="ROKS",SUMIFS(TblApplications[Besoin ROKS CPU (vCPU)],TblApplications[Cluster ROKS cible],$F1381,TblApplications[Action],"À migrer",TblApplications[Déjà incluse ROKS],"Non",TblApplications[Mois prov (calc)],"&lt;="&amp;$E1381),SUMIFS(TblApplications[CPU IKS libérable (vCPU)],TblApplications[Cluster IKS source],$F1381,TblApplications[Mois lib (calc)],"&lt;="&amp;$E1381)))</f>
        <v/>
      </c>
      <c r="Q1381" s="19" t="str">
        <f>IF($D1381&lt;&gt;1,"",IF($G1381="ROKS",SUMIFS(TblApplications[Besoin ROKS RAM (Go)],TblApplications[Cluster ROKS cible],$F1381,TblApplications[Action],"À migrer",TblApplications[Déjà incluse ROKS],"Non",TblApplications[Mois prov (calc)],"&lt;="&amp;$E1381),SUMIFS(TblApplications[RAM IKS libérable (Go)],TblApplications[Cluster IKS source],$F1381,TblApplications[Mois lib (calc)],"&lt;="&amp;$E1381)))</f>
        <v/>
      </c>
      <c r="R1381" s="19" t="str">
        <f t="shared" si="360"/>
        <v/>
      </c>
      <c r="S1381" s="19" t="str">
        <f t="shared" si="361"/>
        <v/>
      </c>
      <c r="T1381" s="19" t="str">
        <f t="shared" si="362"/>
        <v/>
      </c>
      <c r="U1381" s="19" t="str">
        <f t="shared" si="363"/>
        <v/>
      </c>
      <c r="V1381" s="19" t="str">
        <f t="shared" si="364"/>
        <v/>
      </c>
      <c r="W1381" s="73" t="str">
        <f t="shared" si="365"/>
        <v/>
      </c>
      <c r="X1381" s="19" t="str">
        <f>IF($D1381&lt;&gt;1,"",IF($G1381="ROKS",$R1381,IF($AI1381=1,0,MAX($N1381,$L1381-SUMIFS(TblApplications[CPU IKS libérable (vCPU)],TblApplications[Cluster IKS source],$F1381,TblApplications[Action],"À migrer",TblApplications[Mois prov (calc)],"&lt;="&amp;$E1381)-SUMIFS(TblApplications[CPU IKS libérable (vCPU)],TblApplications[Cluster IKS source],$F1381,TblApplications[Action],"À décommissionner",TblApplications[Mois lib (calc)],"&lt;="&amp;$E1381)))))</f>
        <v/>
      </c>
      <c r="Y1381" s="19" t="str">
        <f>IF($D1381&lt;&gt;1,"",IF($G1381="ROKS",$S1381,IF($AI1381=1,0,MAX($O1381,$M1381-SUMIFS(TblApplications[RAM IKS libérable (Go)],TblApplications[Cluster IKS source],$F1381,TblApplications[Action],"À migrer",TblApplications[Mois prov (calc)],"&lt;="&amp;$E1381)-SUMIFS(TblApplications[RAM IKS libérable (Go)],TblApplications[Cluster IKS source],$F1381,TblApplications[Action],"À décommissionner",TblApplications[Mois lib (calc)],"&lt;="&amp;$E1381)))))</f>
        <v/>
      </c>
      <c r="Z1381" s="19" t="str">
        <f t="shared" si="366"/>
        <v/>
      </c>
      <c r="AA1381" s="73" t="str">
        <f t="shared" si="367"/>
        <v/>
      </c>
      <c r="AB1381" s="19" t="str">
        <f t="shared" si="368"/>
        <v/>
      </c>
      <c r="AC1381" s="73" t="str">
        <f t="shared" si="369"/>
        <v/>
      </c>
      <c r="AD1381" s="19" t="str">
        <f t="shared" si="370"/>
        <v/>
      </c>
      <c r="AE1381" s="19" t="str">
        <f t="shared" si="371"/>
        <v/>
      </c>
      <c r="AF1381" s="19" t="str">
        <f>IF($D1381&lt;&gt;1,"",IF(INDEX(TblClusters[Environnement],$B1381)="","(vide)",INDEX(TblClusters[Environnement],$B1381)))</f>
        <v/>
      </c>
      <c r="AG1381" s="19" t="str">
        <f t="shared" si="372"/>
        <v/>
      </c>
      <c r="AH1381" s="19" t="str">
        <f t="shared" si="373"/>
        <v/>
      </c>
      <c r="AI1381" s="19" t="str">
        <f>IF($D1381&lt;&gt;1,"",IF(AND($G1381="IKS",ISNUMBER(INDEX(TblClusters[Fermeture retenue],$B1381))),IF($E1381&gt;=INDEX(TblClusters[Fermeture retenue],$B1381),1,0),0))</f>
        <v/>
      </c>
    </row>
    <row r="1382" spans="1:35" x14ac:dyDescent="0.2">
      <c r="A1382" s="19">
        <v>1377</v>
      </c>
      <c r="B1382" s="19">
        <f t="shared" si="357"/>
        <v>39</v>
      </c>
      <c r="C1382" s="19">
        <f t="shared" si="358"/>
        <v>9</v>
      </c>
      <c r="D1382" s="19">
        <f>IF($C1382&gt;p_horizon,0,IFERROR(IF(AND(INDEX(TblClusters[Cluster],$B1382)&lt;&gt;"",ISNUMBER(INDEX(TblClusters[CPU initial (vCPU)],$B1382)),ISNUMBER(INDEX(TblClusters[CPU min (vCPU)],$B1382)),OR(INDEX(TblClusters[Plateforme],$B1382)="IKS",INDEX(TblClusters[Plateforme],$B1382)="ROKS")),1,0),0))</f>
        <v>0</v>
      </c>
      <c r="E1382" s="72" t="str">
        <f t="shared" si="359"/>
        <v/>
      </c>
      <c r="F1382" s="19" t="str">
        <f>IF($D1382=1,INDEX(TblClusters[Cluster],$B1382),"")</f>
        <v/>
      </c>
      <c r="G1382" s="19" t="str">
        <f>IF($D1382=1,INDEX(TblClusters[Plateforme],$B1382),"")</f>
        <v/>
      </c>
      <c r="H1382" s="19" t="str">
        <f>IF($D1382=1,INDEX(TblClusters[vCPU par nœud],$B1382),"")</f>
        <v/>
      </c>
      <c r="I1382" s="19" t="str">
        <f>IF($D1382=1,INDEX(TblClusters[RAM par nœud (Go)],$B1382),"")</f>
        <v/>
      </c>
      <c r="J1382" s="19" t="str">
        <f>IF($D1382=1,INDEX(TblClusters[Workers min],$B1382),"")</f>
        <v/>
      </c>
      <c r="K1382" s="73" t="str">
        <f>IF($D1382=1,INDEX(TblClusters[Tarif par nœud],$B1382),"")</f>
        <v/>
      </c>
      <c r="L1382" s="19" t="str">
        <f>IF($D1382=1,INDEX(TblClusters[CPU initial (vCPU)],$B1382),"")</f>
        <v/>
      </c>
      <c r="M1382" s="19" t="str">
        <f>IF($D1382=1,INDEX(TblClusters[RAM initiale (Go)],$B1382),"")</f>
        <v/>
      </c>
      <c r="N1382" s="19" t="str">
        <f>IF($D1382=1,INDEX(TblClusters[CPU min (vCPU)],$B1382),"")</f>
        <v/>
      </c>
      <c r="O1382" s="19" t="str">
        <f>IF($D1382=1,INDEX(TblClusters[RAM min (Go)],$B1382),"")</f>
        <v/>
      </c>
      <c r="P1382" s="19" t="str">
        <f>IF($D1382&lt;&gt;1,"",IF($G1382="ROKS",SUMIFS(TblApplications[Besoin ROKS CPU (vCPU)],TblApplications[Cluster ROKS cible],$F1382,TblApplications[Action],"À migrer",TblApplications[Déjà incluse ROKS],"Non",TblApplications[Mois prov (calc)],"&lt;="&amp;$E1382),SUMIFS(TblApplications[CPU IKS libérable (vCPU)],TblApplications[Cluster IKS source],$F1382,TblApplications[Mois lib (calc)],"&lt;="&amp;$E1382)))</f>
        <v/>
      </c>
      <c r="Q1382" s="19" t="str">
        <f>IF($D1382&lt;&gt;1,"",IF($G1382="ROKS",SUMIFS(TblApplications[Besoin ROKS RAM (Go)],TblApplications[Cluster ROKS cible],$F1382,TblApplications[Action],"À migrer",TblApplications[Déjà incluse ROKS],"Non",TblApplications[Mois prov (calc)],"&lt;="&amp;$E1382),SUMIFS(TblApplications[RAM IKS libérable (Go)],TblApplications[Cluster IKS source],$F1382,TblApplications[Mois lib (calc)],"&lt;="&amp;$E1382)))</f>
        <v/>
      </c>
      <c r="R1382" s="19" t="str">
        <f t="shared" si="360"/>
        <v/>
      </c>
      <c r="S1382" s="19" t="str">
        <f t="shared" si="361"/>
        <v/>
      </c>
      <c r="T1382" s="19" t="str">
        <f t="shared" si="362"/>
        <v/>
      </c>
      <c r="U1382" s="19" t="str">
        <f t="shared" si="363"/>
        <v/>
      </c>
      <c r="V1382" s="19" t="str">
        <f t="shared" si="364"/>
        <v/>
      </c>
      <c r="W1382" s="73" t="str">
        <f t="shared" si="365"/>
        <v/>
      </c>
      <c r="X1382" s="19" t="str">
        <f>IF($D1382&lt;&gt;1,"",IF($G1382="ROKS",$R1382,IF($AI1382=1,0,MAX($N1382,$L1382-SUMIFS(TblApplications[CPU IKS libérable (vCPU)],TblApplications[Cluster IKS source],$F1382,TblApplications[Action],"À migrer",TblApplications[Mois prov (calc)],"&lt;="&amp;$E1382)-SUMIFS(TblApplications[CPU IKS libérable (vCPU)],TblApplications[Cluster IKS source],$F1382,TblApplications[Action],"À décommissionner",TblApplications[Mois lib (calc)],"&lt;="&amp;$E1382)))))</f>
        <v/>
      </c>
      <c r="Y1382" s="19" t="str">
        <f>IF($D1382&lt;&gt;1,"",IF($G1382="ROKS",$S1382,IF($AI1382=1,0,MAX($O1382,$M1382-SUMIFS(TblApplications[RAM IKS libérable (Go)],TblApplications[Cluster IKS source],$F1382,TblApplications[Action],"À migrer",TblApplications[Mois prov (calc)],"&lt;="&amp;$E1382)-SUMIFS(TblApplications[RAM IKS libérable (Go)],TblApplications[Cluster IKS source],$F1382,TblApplications[Action],"À décommissionner",TblApplications[Mois lib (calc)],"&lt;="&amp;$E1382)))))</f>
        <v/>
      </c>
      <c r="Z1382" s="19" t="str">
        <f t="shared" si="366"/>
        <v/>
      </c>
      <c r="AA1382" s="73" t="str">
        <f t="shared" si="367"/>
        <v/>
      </c>
      <c r="AB1382" s="19" t="str">
        <f t="shared" si="368"/>
        <v/>
      </c>
      <c r="AC1382" s="73" t="str">
        <f t="shared" si="369"/>
        <v/>
      </c>
      <c r="AD1382" s="19" t="str">
        <f t="shared" si="370"/>
        <v/>
      </c>
      <c r="AE1382" s="19" t="str">
        <f t="shared" si="371"/>
        <v/>
      </c>
      <c r="AF1382" s="19" t="str">
        <f>IF($D1382&lt;&gt;1,"",IF(INDEX(TblClusters[Environnement],$B1382)="","(vide)",INDEX(TblClusters[Environnement],$B1382)))</f>
        <v/>
      </c>
      <c r="AG1382" s="19" t="str">
        <f t="shared" si="372"/>
        <v/>
      </c>
      <c r="AH1382" s="19" t="str">
        <f t="shared" si="373"/>
        <v/>
      </c>
      <c r="AI1382" s="19" t="str">
        <f>IF($D1382&lt;&gt;1,"",IF(AND($G1382="IKS",ISNUMBER(INDEX(TblClusters[Fermeture retenue],$B1382))),IF($E1382&gt;=INDEX(TblClusters[Fermeture retenue],$B1382),1,0),0))</f>
        <v/>
      </c>
    </row>
    <row r="1383" spans="1:35" x14ac:dyDescent="0.2">
      <c r="A1383" s="19">
        <v>1378</v>
      </c>
      <c r="B1383" s="19">
        <f t="shared" si="357"/>
        <v>39</v>
      </c>
      <c r="C1383" s="19">
        <f t="shared" si="358"/>
        <v>10</v>
      </c>
      <c r="D1383" s="19">
        <f>IF($C1383&gt;p_horizon,0,IFERROR(IF(AND(INDEX(TblClusters[Cluster],$B1383)&lt;&gt;"",ISNUMBER(INDEX(TblClusters[CPU initial (vCPU)],$B1383)),ISNUMBER(INDEX(TblClusters[CPU min (vCPU)],$B1383)),OR(INDEX(TblClusters[Plateforme],$B1383)="IKS",INDEX(TblClusters[Plateforme],$B1383)="ROKS")),1,0),0))</f>
        <v>0</v>
      </c>
      <c r="E1383" s="72" t="str">
        <f t="shared" si="359"/>
        <v/>
      </c>
      <c r="F1383" s="19" t="str">
        <f>IF($D1383=1,INDEX(TblClusters[Cluster],$B1383),"")</f>
        <v/>
      </c>
      <c r="G1383" s="19" t="str">
        <f>IF($D1383=1,INDEX(TblClusters[Plateforme],$B1383),"")</f>
        <v/>
      </c>
      <c r="H1383" s="19" t="str">
        <f>IF($D1383=1,INDEX(TblClusters[vCPU par nœud],$B1383),"")</f>
        <v/>
      </c>
      <c r="I1383" s="19" t="str">
        <f>IF($D1383=1,INDEX(TblClusters[RAM par nœud (Go)],$B1383),"")</f>
        <v/>
      </c>
      <c r="J1383" s="19" t="str">
        <f>IF($D1383=1,INDEX(TblClusters[Workers min],$B1383),"")</f>
        <v/>
      </c>
      <c r="K1383" s="73" t="str">
        <f>IF($D1383=1,INDEX(TblClusters[Tarif par nœud],$B1383),"")</f>
        <v/>
      </c>
      <c r="L1383" s="19" t="str">
        <f>IF($D1383=1,INDEX(TblClusters[CPU initial (vCPU)],$B1383),"")</f>
        <v/>
      </c>
      <c r="M1383" s="19" t="str">
        <f>IF($D1383=1,INDEX(TblClusters[RAM initiale (Go)],$B1383),"")</f>
        <v/>
      </c>
      <c r="N1383" s="19" t="str">
        <f>IF($D1383=1,INDEX(TblClusters[CPU min (vCPU)],$B1383),"")</f>
        <v/>
      </c>
      <c r="O1383" s="19" t="str">
        <f>IF($D1383=1,INDEX(TblClusters[RAM min (Go)],$B1383),"")</f>
        <v/>
      </c>
      <c r="P1383" s="19" t="str">
        <f>IF($D1383&lt;&gt;1,"",IF($G1383="ROKS",SUMIFS(TblApplications[Besoin ROKS CPU (vCPU)],TblApplications[Cluster ROKS cible],$F1383,TblApplications[Action],"À migrer",TblApplications[Déjà incluse ROKS],"Non",TblApplications[Mois prov (calc)],"&lt;="&amp;$E1383),SUMIFS(TblApplications[CPU IKS libérable (vCPU)],TblApplications[Cluster IKS source],$F1383,TblApplications[Mois lib (calc)],"&lt;="&amp;$E1383)))</f>
        <v/>
      </c>
      <c r="Q1383" s="19" t="str">
        <f>IF($D1383&lt;&gt;1,"",IF($G1383="ROKS",SUMIFS(TblApplications[Besoin ROKS RAM (Go)],TblApplications[Cluster ROKS cible],$F1383,TblApplications[Action],"À migrer",TblApplications[Déjà incluse ROKS],"Non",TblApplications[Mois prov (calc)],"&lt;="&amp;$E1383),SUMIFS(TblApplications[RAM IKS libérable (Go)],TblApplications[Cluster IKS source],$F1383,TblApplications[Mois lib (calc)],"&lt;="&amp;$E1383)))</f>
        <v/>
      </c>
      <c r="R1383" s="19" t="str">
        <f t="shared" si="360"/>
        <v/>
      </c>
      <c r="S1383" s="19" t="str">
        <f t="shared" si="361"/>
        <v/>
      </c>
      <c r="T1383" s="19" t="str">
        <f t="shared" si="362"/>
        <v/>
      </c>
      <c r="U1383" s="19" t="str">
        <f t="shared" si="363"/>
        <v/>
      </c>
      <c r="V1383" s="19" t="str">
        <f t="shared" si="364"/>
        <v/>
      </c>
      <c r="W1383" s="73" t="str">
        <f t="shared" si="365"/>
        <v/>
      </c>
      <c r="X1383" s="19" t="str">
        <f>IF($D1383&lt;&gt;1,"",IF($G1383="ROKS",$R1383,IF($AI1383=1,0,MAX($N1383,$L1383-SUMIFS(TblApplications[CPU IKS libérable (vCPU)],TblApplications[Cluster IKS source],$F1383,TblApplications[Action],"À migrer",TblApplications[Mois prov (calc)],"&lt;="&amp;$E1383)-SUMIFS(TblApplications[CPU IKS libérable (vCPU)],TblApplications[Cluster IKS source],$F1383,TblApplications[Action],"À décommissionner",TblApplications[Mois lib (calc)],"&lt;="&amp;$E1383)))))</f>
        <v/>
      </c>
      <c r="Y1383" s="19" t="str">
        <f>IF($D1383&lt;&gt;1,"",IF($G1383="ROKS",$S1383,IF($AI1383=1,0,MAX($O1383,$M1383-SUMIFS(TblApplications[RAM IKS libérable (Go)],TblApplications[Cluster IKS source],$F1383,TblApplications[Action],"À migrer",TblApplications[Mois prov (calc)],"&lt;="&amp;$E1383)-SUMIFS(TblApplications[RAM IKS libérable (Go)],TblApplications[Cluster IKS source],$F1383,TblApplications[Action],"À décommissionner",TblApplications[Mois lib (calc)],"&lt;="&amp;$E1383)))))</f>
        <v/>
      </c>
      <c r="Z1383" s="19" t="str">
        <f t="shared" si="366"/>
        <v/>
      </c>
      <c r="AA1383" s="73" t="str">
        <f t="shared" si="367"/>
        <v/>
      </c>
      <c r="AB1383" s="19" t="str">
        <f t="shared" si="368"/>
        <v/>
      </c>
      <c r="AC1383" s="73" t="str">
        <f t="shared" si="369"/>
        <v/>
      </c>
      <c r="AD1383" s="19" t="str">
        <f t="shared" si="370"/>
        <v/>
      </c>
      <c r="AE1383" s="19" t="str">
        <f t="shared" si="371"/>
        <v/>
      </c>
      <c r="AF1383" s="19" t="str">
        <f>IF($D1383&lt;&gt;1,"",IF(INDEX(TblClusters[Environnement],$B1383)="","(vide)",INDEX(TblClusters[Environnement],$B1383)))</f>
        <v/>
      </c>
      <c r="AG1383" s="19" t="str">
        <f t="shared" si="372"/>
        <v/>
      </c>
      <c r="AH1383" s="19" t="str">
        <f t="shared" si="373"/>
        <v/>
      </c>
      <c r="AI1383" s="19" t="str">
        <f>IF($D1383&lt;&gt;1,"",IF(AND($G1383="IKS",ISNUMBER(INDEX(TblClusters[Fermeture retenue],$B1383))),IF($E1383&gt;=INDEX(TblClusters[Fermeture retenue],$B1383),1,0),0))</f>
        <v/>
      </c>
    </row>
    <row r="1384" spans="1:35" x14ac:dyDescent="0.2">
      <c r="A1384" s="19">
        <v>1379</v>
      </c>
      <c r="B1384" s="19">
        <f t="shared" si="357"/>
        <v>39</v>
      </c>
      <c r="C1384" s="19">
        <f t="shared" si="358"/>
        <v>11</v>
      </c>
      <c r="D1384" s="19">
        <f>IF($C1384&gt;p_horizon,0,IFERROR(IF(AND(INDEX(TblClusters[Cluster],$B1384)&lt;&gt;"",ISNUMBER(INDEX(TblClusters[CPU initial (vCPU)],$B1384)),ISNUMBER(INDEX(TblClusters[CPU min (vCPU)],$B1384)),OR(INDEX(TblClusters[Plateforme],$B1384)="IKS",INDEX(TblClusters[Plateforme],$B1384)="ROKS")),1,0),0))</f>
        <v>0</v>
      </c>
      <c r="E1384" s="72" t="str">
        <f t="shared" si="359"/>
        <v/>
      </c>
      <c r="F1384" s="19" t="str">
        <f>IF($D1384=1,INDEX(TblClusters[Cluster],$B1384),"")</f>
        <v/>
      </c>
      <c r="G1384" s="19" t="str">
        <f>IF($D1384=1,INDEX(TblClusters[Plateforme],$B1384),"")</f>
        <v/>
      </c>
      <c r="H1384" s="19" t="str">
        <f>IF($D1384=1,INDEX(TblClusters[vCPU par nœud],$B1384),"")</f>
        <v/>
      </c>
      <c r="I1384" s="19" t="str">
        <f>IF($D1384=1,INDEX(TblClusters[RAM par nœud (Go)],$B1384),"")</f>
        <v/>
      </c>
      <c r="J1384" s="19" t="str">
        <f>IF($D1384=1,INDEX(TblClusters[Workers min],$B1384),"")</f>
        <v/>
      </c>
      <c r="K1384" s="73" t="str">
        <f>IF($D1384=1,INDEX(TblClusters[Tarif par nœud],$B1384),"")</f>
        <v/>
      </c>
      <c r="L1384" s="19" t="str">
        <f>IF($D1384=1,INDEX(TblClusters[CPU initial (vCPU)],$B1384),"")</f>
        <v/>
      </c>
      <c r="M1384" s="19" t="str">
        <f>IF($D1384=1,INDEX(TblClusters[RAM initiale (Go)],$B1384),"")</f>
        <v/>
      </c>
      <c r="N1384" s="19" t="str">
        <f>IF($D1384=1,INDEX(TblClusters[CPU min (vCPU)],$B1384),"")</f>
        <v/>
      </c>
      <c r="O1384" s="19" t="str">
        <f>IF($D1384=1,INDEX(TblClusters[RAM min (Go)],$B1384),"")</f>
        <v/>
      </c>
      <c r="P1384" s="19" t="str">
        <f>IF($D1384&lt;&gt;1,"",IF($G1384="ROKS",SUMIFS(TblApplications[Besoin ROKS CPU (vCPU)],TblApplications[Cluster ROKS cible],$F1384,TblApplications[Action],"À migrer",TblApplications[Déjà incluse ROKS],"Non",TblApplications[Mois prov (calc)],"&lt;="&amp;$E1384),SUMIFS(TblApplications[CPU IKS libérable (vCPU)],TblApplications[Cluster IKS source],$F1384,TblApplications[Mois lib (calc)],"&lt;="&amp;$E1384)))</f>
        <v/>
      </c>
      <c r="Q1384" s="19" t="str">
        <f>IF($D1384&lt;&gt;1,"",IF($G1384="ROKS",SUMIFS(TblApplications[Besoin ROKS RAM (Go)],TblApplications[Cluster ROKS cible],$F1384,TblApplications[Action],"À migrer",TblApplications[Déjà incluse ROKS],"Non",TblApplications[Mois prov (calc)],"&lt;="&amp;$E1384),SUMIFS(TblApplications[RAM IKS libérable (Go)],TblApplications[Cluster IKS source],$F1384,TblApplications[Mois lib (calc)],"&lt;="&amp;$E1384)))</f>
        <v/>
      </c>
      <c r="R1384" s="19" t="str">
        <f t="shared" si="360"/>
        <v/>
      </c>
      <c r="S1384" s="19" t="str">
        <f t="shared" si="361"/>
        <v/>
      </c>
      <c r="T1384" s="19" t="str">
        <f t="shared" si="362"/>
        <v/>
      </c>
      <c r="U1384" s="19" t="str">
        <f t="shared" si="363"/>
        <v/>
      </c>
      <c r="V1384" s="19" t="str">
        <f t="shared" si="364"/>
        <v/>
      </c>
      <c r="W1384" s="73" t="str">
        <f t="shared" si="365"/>
        <v/>
      </c>
      <c r="X1384" s="19" t="str">
        <f>IF($D1384&lt;&gt;1,"",IF($G1384="ROKS",$R1384,IF($AI1384=1,0,MAX($N1384,$L1384-SUMIFS(TblApplications[CPU IKS libérable (vCPU)],TblApplications[Cluster IKS source],$F1384,TblApplications[Action],"À migrer",TblApplications[Mois prov (calc)],"&lt;="&amp;$E1384)-SUMIFS(TblApplications[CPU IKS libérable (vCPU)],TblApplications[Cluster IKS source],$F1384,TblApplications[Action],"À décommissionner",TblApplications[Mois lib (calc)],"&lt;="&amp;$E1384)))))</f>
        <v/>
      </c>
      <c r="Y1384" s="19" t="str">
        <f>IF($D1384&lt;&gt;1,"",IF($G1384="ROKS",$S1384,IF($AI1384=1,0,MAX($O1384,$M1384-SUMIFS(TblApplications[RAM IKS libérable (Go)],TblApplications[Cluster IKS source],$F1384,TblApplications[Action],"À migrer",TblApplications[Mois prov (calc)],"&lt;="&amp;$E1384)-SUMIFS(TblApplications[RAM IKS libérable (Go)],TblApplications[Cluster IKS source],$F1384,TblApplications[Action],"À décommissionner",TblApplications[Mois lib (calc)],"&lt;="&amp;$E1384)))))</f>
        <v/>
      </c>
      <c r="Z1384" s="19" t="str">
        <f t="shared" si="366"/>
        <v/>
      </c>
      <c r="AA1384" s="73" t="str">
        <f t="shared" si="367"/>
        <v/>
      </c>
      <c r="AB1384" s="19" t="str">
        <f t="shared" si="368"/>
        <v/>
      </c>
      <c r="AC1384" s="73" t="str">
        <f t="shared" si="369"/>
        <v/>
      </c>
      <c r="AD1384" s="19" t="str">
        <f t="shared" si="370"/>
        <v/>
      </c>
      <c r="AE1384" s="19" t="str">
        <f t="shared" si="371"/>
        <v/>
      </c>
      <c r="AF1384" s="19" t="str">
        <f>IF($D1384&lt;&gt;1,"",IF(INDEX(TblClusters[Environnement],$B1384)="","(vide)",INDEX(TblClusters[Environnement],$B1384)))</f>
        <v/>
      </c>
      <c r="AG1384" s="19" t="str">
        <f t="shared" si="372"/>
        <v/>
      </c>
      <c r="AH1384" s="19" t="str">
        <f t="shared" si="373"/>
        <v/>
      </c>
      <c r="AI1384" s="19" t="str">
        <f>IF($D1384&lt;&gt;1,"",IF(AND($G1384="IKS",ISNUMBER(INDEX(TblClusters[Fermeture retenue],$B1384))),IF($E1384&gt;=INDEX(TblClusters[Fermeture retenue],$B1384),1,0),0))</f>
        <v/>
      </c>
    </row>
    <row r="1385" spans="1:35" x14ac:dyDescent="0.2">
      <c r="A1385" s="19">
        <v>1380</v>
      </c>
      <c r="B1385" s="19">
        <f t="shared" si="357"/>
        <v>39</v>
      </c>
      <c r="C1385" s="19">
        <f t="shared" si="358"/>
        <v>12</v>
      </c>
      <c r="D1385" s="19">
        <f>IF($C1385&gt;p_horizon,0,IFERROR(IF(AND(INDEX(TblClusters[Cluster],$B1385)&lt;&gt;"",ISNUMBER(INDEX(TblClusters[CPU initial (vCPU)],$B1385)),ISNUMBER(INDEX(TblClusters[CPU min (vCPU)],$B1385)),OR(INDEX(TblClusters[Plateforme],$B1385)="IKS",INDEX(TblClusters[Plateforme],$B1385)="ROKS")),1,0),0))</f>
        <v>0</v>
      </c>
      <c r="E1385" s="72" t="str">
        <f t="shared" si="359"/>
        <v/>
      </c>
      <c r="F1385" s="19" t="str">
        <f>IF($D1385=1,INDEX(TblClusters[Cluster],$B1385),"")</f>
        <v/>
      </c>
      <c r="G1385" s="19" t="str">
        <f>IF($D1385=1,INDEX(TblClusters[Plateforme],$B1385),"")</f>
        <v/>
      </c>
      <c r="H1385" s="19" t="str">
        <f>IF($D1385=1,INDEX(TblClusters[vCPU par nœud],$B1385),"")</f>
        <v/>
      </c>
      <c r="I1385" s="19" t="str">
        <f>IF($D1385=1,INDEX(TblClusters[RAM par nœud (Go)],$B1385),"")</f>
        <v/>
      </c>
      <c r="J1385" s="19" t="str">
        <f>IF($D1385=1,INDEX(TblClusters[Workers min],$B1385),"")</f>
        <v/>
      </c>
      <c r="K1385" s="73" t="str">
        <f>IF($D1385=1,INDEX(TblClusters[Tarif par nœud],$B1385),"")</f>
        <v/>
      </c>
      <c r="L1385" s="19" t="str">
        <f>IF($D1385=1,INDEX(TblClusters[CPU initial (vCPU)],$B1385),"")</f>
        <v/>
      </c>
      <c r="M1385" s="19" t="str">
        <f>IF($D1385=1,INDEX(TblClusters[RAM initiale (Go)],$B1385),"")</f>
        <v/>
      </c>
      <c r="N1385" s="19" t="str">
        <f>IF($D1385=1,INDEX(TblClusters[CPU min (vCPU)],$B1385),"")</f>
        <v/>
      </c>
      <c r="O1385" s="19" t="str">
        <f>IF($D1385=1,INDEX(TblClusters[RAM min (Go)],$B1385),"")</f>
        <v/>
      </c>
      <c r="P1385" s="19" t="str">
        <f>IF($D1385&lt;&gt;1,"",IF($G1385="ROKS",SUMIFS(TblApplications[Besoin ROKS CPU (vCPU)],TblApplications[Cluster ROKS cible],$F1385,TblApplications[Action],"À migrer",TblApplications[Déjà incluse ROKS],"Non",TblApplications[Mois prov (calc)],"&lt;="&amp;$E1385),SUMIFS(TblApplications[CPU IKS libérable (vCPU)],TblApplications[Cluster IKS source],$F1385,TblApplications[Mois lib (calc)],"&lt;="&amp;$E1385)))</f>
        <v/>
      </c>
      <c r="Q1385" s="19" t="str">
        <f>IF($D1385&lt;&gt;1,"",IF($G1385="ROKS",SUMIFS(TblApplications[Besoin ROKS RAM (Go)],TblApplications[Cluster ROKS cible],$F1385,TblApplications[Action],"À migrer",TblApplications[Déjà incluse ROKS],"Non",TblApplications[Mois prov (calc)],"&lt;="&amp;$E1385),SUMIFS(TblApplications[RAM IKS libérable (Go)],TblApplications[Cluster IKS source],$F1385,TblApplications[Mois lib (calc)],"&lt;="&amp;$E1385)))</f>
        <v/>
      </c>
      <c r="R1385" s="19" t="str">
        <f t="shared" si="360"/>
        <v/>
      </c>
      <c r="S1385" s="19" t="str">
        <f t="shared" si="361"/>
        <v/>
      </c>
      <c r="T1385" s="19" t="str">
        <f t="shared" si="362"/>
        <v/>
      </c>
      <c r="U1385" s="19" t="str">
        <f t="shared" si="363"/>
        <v/>
      </c>
      <c r="V1385" s="19" t="str">
        <f t="shared" si="364"/>
        <v/>
      </c>
      <c r="W1385" s="73" t="str">
        <f t="shared" si="365"/>
        <v/>
      </c>
      <c r="X1385" s="19" t="str">
        <f>IF($D1385&lt;&gt;1,"",IF($G1385="ROKS",$R1385,IF($AI1385=1,0,MAX($N1385,$L1385-SUMIFS(TblApplications[CPU IKS libérable (vCPU)],TblApplications[Cluster IKS source],$F1385,TblApplications[Action],"À migrer",TblApplications[Mois prov (calc)],"&lt;="&amp;$E1385)-SUMIFS(TblApplications[CPU IKS libérable (vCPU)],TblApplications[Cluster IKS source],$F1385,TblApplications[Action],"À décommissionner",TblApplications[Mois lib (calc)],"&lt;="&amp;$E1385)))))</f>
        <v/>
      </c>
      <c r="Y1385" s="19" t="str">
        <f>IF($D1385&lt;&gt;1,"",IF($G1385="ROKS",$S1385,IF($AI1385=1,0,MAX($O1385,$M1385-SUMIFS(TblApplications[RAM IKS libérable (Go)],TblApplications[Cluster IKS source],$F1385,TblApplications[Action],"À migrer",TblApplications[Mois prov (calc)],"&lt;="&amp;$E1385)-SUMIFS(TblApplications[RAM IKS libérable (Go)],TblApplications[Cluster IKS source],$F1385,TblApplications[Action],"À décommissionner",TblApplications[Mois lib (calc)],"&lt;="&amp;$E1385)))))</f>
        <v/>
      </c>
      <c r="Z1385" s="19" t="str">
        <f t="shared" si="366"/>
        <v/>
      </c>
      <c r="AA1385" s="73" t="str">
        <f t="shared" si="367"/>
        <v/>
      </c>
      <c r="AB1385" s="19" t="str">
        <f t="shared" si="368"/>
        <v/>
      </c>
      <c r="AC1385" s="73" t="str">
        <f t="shared" si="369"/>
        <v/>
      </c>
      <c r="AD1385" s="19" t="str">
        <f t="shared" si="370"/>
        <v/>
      </c>
      <c r="AE1385" s="19" t="str">
        <f t="shared" si="371"/>
        <v/>
      </c>
      <c r="AF1385" s="19" t="str">
        <f>IF($D1385&lt;&gt;1,"",IF(INDEX(TblClusters[Environnement],$B1385)="","(vide)",INDEX(TblClusters[Environnement],$B1385)))</f>
        <v/>
      </c>
      <c r="AG1385" s="19" t="str">
        <f t="shared" si="372"/>
        <v/>
      </c>
      <c r="AH1385" s="19" t="str">
        <f t="shared" si="373"/>
        <v/>
      </c>
      <c r="AI1385" s="19" t="str">
        <f>IF($D1385&lt;&gt;1,"",IF(AND($G1385="IKS",ISNUMBER(INDEX(TblClusters[Fermeture retenue],$B1385))),IF($E1385&gt;=INDEX(TblClusters[Fermeture retenue],$B1385),1,0),0))</f>
        <v/>
      </c>
    </row>
    <row r="1386" spans="1:35" x14ac:dyDescent="0.2">
      <c r="A1386" s="19">
        <v>1381</v>
      </c>
      <c r="B1386" s="19">
        <f t="shared" si="357"/>
        <v>39</v>
      </c>
      <c r="C1386" s="19">
        <f t="shared" si="358"/>
        <v>13</v>
      </c>
      <c r="D1386" s="19">
        <f>IF($C1386&gt;p_horizon,0,IFERROR(IF(AND(INDEX(TblClusters[Cluster],$B1386)&lt;&gt;"",ISNUMBER(INDEX(TblClusters[CPU initial (vCPU)],$B1386)),ISNUMBER(INDEX(TblClusters[CPU min (vCPU)],$B1386)),OR(INDEX(TblClusters[Plateforme],$B1386)="IKS",INDEX(TblClusters[Plateforme],$B1386)="ROKS")),1,0),0))</f>
        <v>0</v>
      </c>
      <c r="E1386" s="72" t="str">
        <f t="shared" si="359"/>
        <v/>
      </c>
      <c r="F1386" s="19" t="str">
        <f>IF($D1386=1,INDEX(TblClusters[Cluster],$B1386),"")</f>
        <v/>
      </c>
      <c r="G1386" s="19" t="str">
        <f>IF($D1386=1,INDEX(TblClusters[Plateforme],$B1386),"")</f>
        <v/>
      </c>
      <c r="H1386" s="19" t="str">
        <f>IF($D1386=1,INDEX(TblClusters[vCPU par nœud],$B1386),"")</f>
        <v/>
      </c>
      <c r="I1386" s="19" t="str">
        <f>IF($D1386=1,INDEX(TblClusters[RAM par nœud (Go)],$B1386),"")</f>
        <v/>
      </c>
      <c r="J1386" s="19" t="str">
        <f>IF($D1386=1,INDEX(TblClusters[Workers min],$B1386),"")</f>
        <v/>
      </c>
      <c r="K1386" s="73" t="str">
        <f>IF($D1386=1,INDEX(TblClusters[Tarif par nœud],$B1386),"")</f>
        <v/>
      </c>
      <c r="L1386" s="19" t="str">
        <f>IF($D1386=1,INDEX(TblClusters[CPU initial (vCPU)],$B1386),"")</f>
        <v/>
      </c>
      <c r="M1386" s="19" t="str">
        <f>IF($D1386=1,INDEX(TblClusters[RAM initiale (Go)],$B1386),"")</f>
        <v/>
      </c>
      <c r="N1386" s="19" t="str">
        <f>IF($D1386=1,INDEX(TblClusters[CPU min (vCPU)],$B1386),"")</f>
        <v/>
      </c>
      <c r="O1386" s="19" t="str">
        <f>IF($D1386=1,INDEX(TblClusters[RAM min (Go)],$B1386),"")</f>
        <v/>
      </c>
      <c r="P1386" s="19" t="str">
        <f>IF($D1386&lt;&gt;1,"",IF($G1386="ROKS",SUMIFS(TblApplications[Besoin ROKS CPU (vCPU)],TblApplications[Cluster ROKS cible],$F1386,TblApplications[Action],"À migrer",TblApplications[Déjà incluse ROKS],"Non",TblApplications[Mois prov (calc)],"&lt;="&amp;$E1386),SUMIFS(TblApplications[CPU IKS libérable (vCPU)],TblApplications[Cluster IKS source],$F1386,TblApplications[Mois lib (calc)],"&lt;="&amp;$E1386)))</f>
        <v/>
      </c>
      <c r="Q1386" s="19" t="str">
        <f>IF($D1386&lt;&gt;1,"",IF($G1386="ROKS",SUMIFS(TblApplications[Besoin ROKS RAM (Go)],TblApplications[Cluster ROKS cible],$F1386,TblApplications[Action],"À migrer",TblApplications[Déjà incluse ROKS],"Non",TblApplications[Mois prov (calc)],"&lt;="&amp;$E1386),SUMIFS(TblApplications[RAM IKS libérable (Go)],TblApplications[Cluster IKS source],$F1386,TblApplications[Mois lib (calc)],"&lt;="&amp;$E1386)))</f>
        <v/>
      </c>
      <c r="R1386" s="19" t="str">
        <f t="shared" si="360"/>
        <v/>
      </c>
      <c r="S1386" s="19" t="str">
        <f t="shared" si="361"/>
        <v/>
      </c>
      <c r="T1386" s="19" t="str">
        <f t="shared" si="362"/>
        <v/>
      </c>
      <c r="U1386" s="19" t="str">
        <f t="shared" si="363"/>
        <v/>
      </c>
      <c r="V1386" s="19" t="str">
        <f t="shared" si="364"/>
        <v/>
      </c>
      <c r="W1386" s="73" t="str">
        <f t="shared" si="365"/>
        <v/>
      </c>
      <c r="X1386" s="19" t="str">
        <f>IF($D1386&lt;&gt;1,"",IF($G1386="ROKS",$R1386,IF($AI1386=1,0,MAX($N1386,$L1386-SUMIFS(TblApplications[CPU IKS libérable (vCPU)],TblApplications[Cluster IKS source],$F1386,TblApplications[Action],"À migrer",TblApplications[Mois prov (calc)],"&lt;="&amp;$E1386)-SUMIFS(TblApplications[CPU IKS libérable (vCPU)],TblApplications[Cluster IKS source],$F1386,TblApplications[Action],"À décommissionner",TblApplications[Mois lib (calc)],"&lt;="&amp;$E1386)))))</f>
        <v/>
      </c>
      <c r="Y1386" s="19" t="str">
        <f>IF($D1386&lt;&gt;1,"",IF($G1386="ROKS",$S1386,IF($AI1386=1,0,MAX($O1386,$M1386-SUMIFS(TblApplications[RAM IKS libérable (Go)],TblApplications[Cluster IKS source],$F1386,TblApplications[Action],"À migrer",TblApplications[Mois prov (calc)],"&lt;="&amp;$E1386)-SUMIFS(TblApplications[RAM IKS libérable (Go)],TblApplications[Cluster IKS source],$F1386,TblApplications[Action],"À décommissionner",TblApplications[Mois lib (calc)],"&lt;="&amp;$E1386)))))</f>
        <v/>
      </c>
      <c r="Z1386" s="19" t="str">
        <f t="shared" si="366"/>
        <v/>
      </c>
      <c r="AA1386" s="73" t="str">
        <f t="shared" si="367"/>
        <v/>
      </c>
      <c r="AB1386" s="19" t="str">
        <f t="shared" si="368"/>
        <v/>
      </c>
      <c r="AC1386" s="73" t="str">
        <f t="shared" si="369"/>
        <v/>
      </c>
      <c r="AD1386" s="19" t="str">
        <f t="shared" si="370"/>
        <v/>
      </c>
      <c r="AE1386" s="19" t="str">
        <f t="shared" si="371"/>
        <v/>
      </c>
      <c r="AF1386" s="19" t="str">
        <f>IF($D1386&lt;&gt;1,"",IF(INDEX(TblClusters[Environnement],$B1386)="","(vide)",INDEX(TblClusters[Environnement],$B1386)))</f>
        <v/>
      </c>
      <c r="AG1386" s="19" t="str">
        <f t="shared" si="372"/>
        <v/>
      </c>
      <c r="AH1386" s="19" t="str">
        <f t="shared" si="373"/>
        <v/>
      </c>
      <c r="AI1386" s="19" t="str">
        <f>IF($D1386&lt;&gt;1,"",IF(AND($G1386="IKS",ISNUMBER(INDEX(TblClusters[Fermeture retenue],$B1386))),IF($E1386&gt;=INDEX(TblClusters[Fermeture retenue],$B1386),1,0),0))</f>
        <v/>
      </c>
    </row>
    <row r="1387" spans="1:35" x14ac:dyDescent="0.2">
      <c r="A1387" s="19">
        <v>1382</v>
      </c>
      <c r="B1387" s="19">
        <f t="shared" si="357"/>
        <v>39</v>
      </c>
      <c r="C1387" s="19">
        <f t="shared" si="358"/>
        <v>14</v>
      </c>
      <c r="D1387" s="19">
        <f>IF($C1387&gt;p_horizon,0,IFERROR(IF(AND(INDEX(TblClusters[Cluster],$B1387)&lt;&gt;"",ISNUMBER(INDEX(TblClusters[CPU initial (vCPU)],$B1387)),ISNUMBER(INDEX(TblClusters[CPU min (vCPU)],$B1387)),OR(INDEX(TblClusters[Plateforme],$B1387)="IKS",INDEX(TblClusters[Plateforme],$B1387)="ROKS")),1,0),0))</f>
        <v>0</v>
      </c>
      <c r="E1387" s="72" t="str">
        <f t="shared" si="359"/>
        <v/>
      </c>
      <c r="F1387" s="19" t="str">
        <f>IF($D1387=1,INDEX(TblClusters[Cluster],$B1387),"")</f>
        <v/>
      </c>
      <c r="G1387" s="19" t="str">
        <f>IF($D1387=1,INDEX(TblClusters[Plateforme],$B1387),"")</f>
        <v/>
      </c>
      <c r="H1387" s="19" t="str">
        <f>IF($D1387=1,INDEX(TblClusters[vCPU par nœud],$B1387),"")</f>
        <v/>
      </c>
      <c r="I1387" s="19" t="str">
        <f>IF($D1387=1,INDEX(TblClusters[RAM par nœud (Go)],$B1387),"")</f>
        <v/>
      </c>
      <c r="J1387" s="19" t="str">
        <f>IF($D1387=1,INDEX(TblClusters[Workers min],$B1387),"")</f>
        <v/>
      </c>
      <c r="K1387" s="73" t="str">
        <f>IF($D1387=1,INDEX(TblClusters[Tarif par nœud],$B1387),"")</f>
        <v/>
      </c>
      <c r="L1387" s="19" t="str">
        <f>IF($D1387=1,INDEX(TblClusters[CPU initial (vCPU)],$B1387),"")</f>
        <v/>
      </c>
      <c r="M1387" s="19" t="str">
        <f>IF($D1387=1,INDEX(TblClusters[RAM initiale (Go)],$B1387),"")</f>
        <v/>
      </c>
      <c r="N1387" s="19" t="str">
        <f>IF($D1387=1,INDEX(TblClusters[CPU min (vCPU)],$B1387),"")</f>
        <v/>
      </c>
      <c r="O1387" s="19" t="str">
        <f>IF($D1387=1,INDEX(TblClusters[RAM min (Go)],$B1387),"")</f>
        <v/>
      </c>
      <c r="P1387" s="19" t="str">
        <f>IF($D1387&lt;&gt;1,"",IF($G1387="ROKS",SUMIFS(TblApplications[Besoin ROKS CPU (vCPU)],TblApplications[Cluster ROKS cible],$F1387,TblApplications[Action],"À migrer",TblApplications[Déjà incluse ROKS],"Non",TblApplications[Mois prov (calc)],"&lt;="&amp;$E1387),SUMIFS(TblApplications[CPU IKS libérable (vCPU)],TblApplications[Cluster IKS source],$F1387,TblApplications[Mois lib (calc)],"&lt;="&amp;$E1387)))</f>
        <v/>
      </c>
      <c r="Q1387" s="19" t="str">
        <f>IF($D1387&lt;&gt;1,"",IF($G1387="ROKS",SUMIFS(TblApplications[Besoin ROKS RAM (Go)],TblApplications[Cluster ROKS cible],$F1387,TblApplications[Action],"À migrer",TblApplications[Déjà incluse ROKS],"Non",TblApplications[Mois prov (calc)],"&lt;="&amp;$E1387),SUMIFS(TblApplications[RAM IKS libérable (Go)],TblApplications[Cluster IKS source],$F1387,TblApplications[Mois lib (calc)],"&lt;="&amp;$E1387)))</f>
        <v/>
      </c>
      <c r="R1387" s="19" t="str">
        <f t="shared" si="360"/>
        <v/>
      </c>
      <c r="S1387" s="19" t="str">
        <f t="shared" si="361"/>
        <v/>
      </c>
      <c r="T1387" s="19" t="str">
        <f t="shared" si="362"/>
        <v/>
      </c>
      <c r="U1387" s="19" t="str">
        <f t="shared" si="363"/>
        <v/>
      </c>
      <c r="V1387" s="19" t="str">
        <f t="shared" si="364"/>
        <v/>
      </c>
      <c r="W1387" s="73" t="str">
        <f t="shared" si="365"/>
        <v/>
      </c>
      <c r="X1387" s="19" t="str">
        <f>IF($D1387&lt;&gt;1,"",IF($G1387="ROKS",$R1387,IF($AI1387=1,0,MAX($N1387,$L1387-SUMIFS(TblApplications[CPU IKS libérable (vCPU)],TblApplications[Cluster IKS source],$F1387,TblApplications[Action],"À migrer",TblApplications[Mois prov (calc)],"&lt;="&amp;$E1387)-SUMIFS(TblApplications[CPU IKS libérable (vCPU)],TblApplications[Cluster IKS source],$F1387,TblApplications[Action],"À décommissionner",TblApplications[Mois lib (calc)],"&lt;="&amp;$E1387)))))</f>
        <v/>
      </c>
      <c r="Y1387" s="19" t="str">
        <f>IF($D1387&lt;&gt;1,"",IF($G1387="ROKS",$S1387,IF($AI1387=1,0,MAX($O1387,$M1387-SUMIFS(TblApplications[RAM IKS libérable (Go)],TblApplications[Cluster IKS source],$F1387,TblApplications[Action],"À migrer",TblApplications[Mois prov (calc)],"&lt;="&amp;$E1387)-SUMIFS(TblApplications[RAM IKS libérable (Go)],TblApplications[Cluster IKS source],$F1387,TblApplications[Action],"À décommissionner",TblApplications[Mois lib (calc)],"&lt;="&amp;$E1387)))))</f>
        <v/>
      </c>
      <c r="Z1387" s="19" t="str">
        <f t="shared" si="366"/>
        <v/>
      </c>
      <c r="AA1387" s="73" t="str">
        <f t="shared" si="367"/>
        <v/>
      </c>
      <c r="AB1387" s="19" t="str">
        <f t="shared" si="368"/>
        <v/>
      </c>
      <c r="AC1387" s="73" t="str">
        <f t="shared" si="369"/>
        <v/>
      </c>
      <c r="AD1387" s="19" t="str">
        <f t="shared" si="370"/>
        <v/>
      </c>
      <c r="AE1387" s="19" t="str">
        <f t="shared" si="371"/>
        <v/>
      </c>
      <c r="AF1387" s="19" t="str">
        <f>IF($D1387&lt;&gt;1,"",IF(INDEX(TblClusters[Environnement],$B1387)="","(vide)",INDEX(TblClusters[Environnement],$B1387)))</f>
        <v/>
      </c>
      <c r="AG1387" s="19" t="str">
        <f t="shared" si="372"/>
        <v/>
      </c>
      <c r="AH1387" s="19" t="str">
        <f t="shared" si="373"/>
        <v/>
      </c>
      <c r="AI1387" s="19" t="str">
        <f>IF($D1387&lt;&gt;1,"",IF(AND($G1387="IKS",ISNUMBER(INDEX(TblClusters[Fermeture retenue],$B1387))),IF($E1387&gt;=INDEX(TblClusters[Fermeture retenue],$B1387),1,0),0))</f>
        <v/>
      </c>
    </row>
    <row r="1388" spans="1:35" x14ac:dyDescent="0.2">
      <c r="A1388" s="19">
        <v>1383</v>
      </c>
      <c r="B1388" s="19">
        <f t="shared" si="357"/>
        <v>39</v>
      </c>
      <c r="C1388" s="19">
        <f t="shared" si="358"/>
        <v>15</v>
      </c>
      <c r="D1388" s="19">
        <f>IF($C1388&gt;p_horizon,0,IFERROR(IF(AND(INDEX(TblClusters[Cluster],$B1388)&lt;&gt;"",ISNUMBER(INDEX(TblClusters[CPU initial (vCPU)],$B1388)),ISNUMBER(INDEX(TblClusters[CPU min (vCPU)],$B1388)),OR(INDEX(TblClusters[Plateforme],$B1388)="IKS",INDEX(TblClusters[Plateforme],$B1388)="ROKS")),1,0),0))</f>
        <v>0</v>
      </c>
      <c r="E1388" s="72" t="str">
        <f t="shared" si="359"/>
        <v/>
      </c>
      <c r="F1388" s="19" t="str">
        <f>IF($D1388=1,INDEX(TblClusters[Cluster],$B1388),"")</f>
        <v/>
      </c>
      <c r="G1388" s="19" t="str">
        <f>IF($D1388=1,INDEX(TblClusters[Plateforme],$B1388),"")</f>
        <v/>
      </c>
      <c r="H1388" s="19" t="str">
        <f>IF($D1388=1,INDEX(TblClusters[vCPU par nœud],$B1388),"")</f>
        <v/>
      </c>
      <c r="I1388" s="19" t="str">
        <f>IF($D1388=1,INDEX(TblClusters[RAM par nœud (Go)],$B1388),"")</f>
        <v/>
      </c>
      <c r="J1388" s="19" t="str">
        <f>IF($D1388=1,INDEX(TblClusters[Workers min],$B1388),"")</f>
        <v/>
      </c>
      <c r="K1388" s="73" t="str">
        <f>IF($D1388=1,INDEX(TblClusters[Tarif par nœud],$B1388),"")</f>
        <v/>
      </c>
      <c r="L1388" s="19" t="str">
        <f>IF($D1388=1,INDEX(TblClusters[CPU initial (vCPU)],$B1388),"")</f>
        <v/>
      </c>
      <c r="M1388" s="19" t="str">
        <f>IF($D1388=1,INDEX(TblClusters[RAM initiale (Go)],$B1388),"")</f>
        <v/>
      </c>
      <c r="N1388" s="19" t="str">
        <f>IF($D1388=1,INDEX(TblClusters[CPU min (vCPU)],$B1388),"")</f>
        <v/>
      </c>
      <c r="O1388" s="19" t="str">
        <f>IF($D1388=1,INDEX(TblClusters[RAM min (Go)],$B1388),"")</f>
        <v/>
      </c>
      <c r="P1388" s="19" t="str">
        <f>IF($D1388&lt;&gt;1,"",IF($G1388="ROKS",SUMIFS(TblApplications[Besoin ROKS CPU (vCPU)],TblApplications[Cluster ROKS cible],$F1388,TblApplications[Action],"À migrer",TblApplications[Déjà incluse ROKS],"Non",TblApplications[Mois prov (calc)],"&lt;="&amp;$E1388),SUMIFS(TblApplications[CPU IKS libérable (vCPU)],TblApplications[Cluster IKS source],$F1388,TblApplications[Mois lib (calc)],"&lt;="&amp;$E1388)))</f>
        <v/>
      </c>
      <c r="Q1388" s="19" t="str">
        <f>IF($D1388&lt;&gt;1,"",IF($G1388="ROKS",SUMIFS(TblApplications[Besoin ROKS RAM (Go)],TblApplications[Cluster ROKS cible],$F1388,TblApplications[Action],"À migrer",TblApplications[Déjà incluse ROKS],"Non",TblApplications[Mois prov (calc)],"&lt;="&amp;$E1388),SUMIFS(TblApplications[RAM IKS libérable (Go)],TblApplications[Cluster IKS source],$F1388,TblApplications[Mois lib (calc)],"&lt;="&amp;$E1388)))</f>
        <v/>
      </c>
      <c r="R1388" s="19" t="str">
        <f t="shared" si="360"/>
        <v/>
      </c>
      <c r="S1388" s="19" t="str">
        <f t="shared" si="361"/>
        <v/>
      </c>
      <c r="T1388" s="19" t="str">
        <f t="shared" si="362"/>
        <v/>
      </c>
      <c r="U1388" s="19" t="str">
        <f t="shared" si="363"/>
        <v/>
      </c>
      <c r="V1388" s="19" t="str">
        <f t="shared" si="364"/>
        <v/>
      </c>
      <c r="W1388" s="73" t="str">
        <f t="shared" si="365"/>
        <v/>
      </c>
      <c r="X1388" s="19" t="str">
        <f>IF($D1388&lt;&gt;1,"",IF($G1388="ROKS",$R1388,IF($AI1388=1,0,MAX($N1388,$L1388-SUMIFS(TblApplications[CPU IKS libérable (vCPU)],TblApplications[Cluster IKS source],$F1388,TblApplications[Action],"À migrer",TblApplications[Mois prov (calc)],"&lt;="&amp;$E1388)-SUMIFS(TblApplications[CPU IKS libérable (vCPU)],TblApplications[Cluster IKS source],$F1388,TblApplications[Action],"À décommissionner",TblApplications[Mois lib (calc)],"&lt;="&amp;$E1388)))))</f>
        <v/>
      </c>
      <c r="Y1388" s="19" t="str">
        <f>IF($D1388&lt;&gt;1,"",IF($G1388="ROKS",$S1388,IF($AI1388=1,0,MAX($O1388,$M1388-SUMIFS(TblApplications[RAM IKS libérable (Go)],TblApplications[Cluster IKS source],$F1388,TblApplications[Action],"À migrer",TblApplications[Mois prov (calc)],"&lt;="&amp;$E1388)-SUMIFS(TblApplications[RAM IKS libérable (Go)],TblApplications[Cluster IKS source],$F1388,TblApplications[Action],"À décommissionner",TblApplications[Mois lib (calc)],"&lt;="&amp;$E1388)))))</f>
        <v/>
      </c>
      <c r="Z1388" s="19" t="str">
        <f t="shared" si="366"/>
        <v/>
      </c>
      <c r="AA1388" s="73" t="str">
        <f t="shared" si="367"/>
        <v/>
      </c>
      <c r="AB1388" s="19" t="str">
        <f t="shared" si="368"/>
        <v/>
      </c>
      <c r="AC1388" s="73" t="str">
        <f t="shared" si="369"/>
        <v/>
      </c>
      <c r="AD1388" s="19" t="str">
        <f t="shared" si="370"/>
        <v/>
      </c>
      <c r="AE1388" s="19" t="str">
        <f t="shared" si="371"/>
        <v/>
      </c>
      <c r="AF1388" s="19" t="str">
        <f>IF($D1388&lt;&gt;1,"",IF(INDEX(TblClusters[Environnement],$B1388)="","(vide)",INDEX(TblClusters[Environnement],$B1388)))</f>
        <v/>
      </c>
      <c r="AG1388" s="19" t="str">
        <f t="shared" si="372"/>
        <v/>
      </c>
      <c r="AH1388" s="19" t="str">
        <f t="shared" si="373"/>
        <v/>
      </c>
      <c r="AI1388" s="19" t="str">
        <f>IF($D1388&lt;&gt;1,"",IF(AND($G1388="IKS",ISNUMBER(INDEX(TblClusters[Fermeture retenue],$B1388))),IF($E1388&gt;=INDEX(TblClusters[Fermeture retenue],$B1388),1,0),0))</f>
        <v/>
      </c>
    </row>
    <row r="1389" spans="1:35" x14ac:dyDescent="0.2">
      <c r="A1389" s="19">
        <v>1384</v>
      </c>
      <c r="B1389" s="19">
        <f t="shared" si="357"/>
        <v>39</v>
      </c>
      <c r="C1389" s="19">
        <f t="shared" si="358"/>
        <v>16</v>
      </c>
      <c r="D1389" s="19">
        <f>IF($C1389&gt;p_horizon,0,IFERROR(IF(AND(INDEX(TblClusters[Cluster],$B1389)&lt;&gt;"",ISNUMBER(INDEX(TblClusters[CPU initial (vCPU)],$B1389)),ISNUMBER(INDEX(TblClusters[CPU min (vCPU)],$B1389)),OR(INDEX(TblClusters[Plateforme],$B1389)="IKS",INDEX(TblClusters[Plateforme],$B1389)="ROKS")),1,0),0))</f>
        <v>0</v>
      </c>
      <c r="E1389" s="72" t="str">
        <f t="shared" si="359"/>
        <v/>
      </c>
      <c r="F1389" s="19" t="str">
        <f>IF($D1389=1,INDEX(TblClusters[Cluster],$B1389),"")</f>
        <v/>
      </c>
      <c r="G1389" s="19" t="str">
        <f>IF($D1389=1,INDEX(TblClusters[Plateforme],$B1389),"")</f>
        <v/>
      </c>
      <c r="H1389" s="19" t="str">
        <f>IF($D1389=1,INDEX(TblClusters[vCPU par nœud],$B1389),"")</f>
        <v/>
      </c>
      <c r="I1389" s="19" t="str">
        <f>IF($D1389=1,INDEX(TblClusters[RAM par nœud (Go)],$B1389),"")</f>
        <v/>
      </c>
      <c r="J1389" s="19" t="str">
        <f>IF($D1389=1,INDEX(TblClusters[Workers min],$B1389),"")</f>
        <v/>
      </c>
      <c r="K1389" s="73" t="str">
        <f>IF($D1389=1,INDEX(TblClusters[Tarif par nœud],$B1389),"")</f>
        <v/>
      </c>
      <c r="L1389" s="19" t="str">
        <f>IF($D1389=1,INDEX(TblClusters[CPU initial (vCPU)],$B1389),"")</f>
        <v/>
      </c>
      <c r="M1389" s="19" t="str">
        <f>IF($D1389=1,INDEX(TblClusters[RAM initiale (Go)],$B1389),"")</f>
        <v/>
      </c>
      <c r="N1389" s="19" t="str">
        <f>IF($D1389=1,INDEX(TblClusters[CPU min (vCPU)],$B1389),"")</f>
        <v/>
      </c>
      <c r="O1389" s="19" t="str">
        <f>IF($D1389=1,INDEX(TblClusters[RAM min (Go)],$B1389),"")</f>
        <v/>
      </c>
      <c r="P1389" s="19" t="str">
        <f>IF($D1389&lt;&gt;1,"",IF($G1389="ROKS",SUMIFS(TblApplications[Besoin ROKS CPU (vCPU)],TblApplications[Cluster ROKS cible],$F1389,TblApplications[Action],"À migrer",TblApplications[Déjà incluse ROKS],"Non",TblApplications[Mois prov (calc)],"&lt;="&amp;$E1389),SUMIFS(TblApplications[CPU IKS libérable (vCPU)],TblApplications[Cluster IKS source],$F1389,TblApplications[Mois lib (calc)],"&lt;="&amp;$E1389)))</f>
        <v/>
      </c>
      <c r="Q1389" s="19" t="str">
        <f>IF($D1389&lt;&gt;1,"",IF($G1389="ROKS",SUMIFS(TblApplications[Besoin ROKS RAM (Go)],TblApplications[Cluster ROKS cible],$F1389,TblApplications[Action],"À migrer",TblApplications[Déjà incluse ROKS],"Non",TblApplications[Mois prov (calc)],"&lt;="&amp;$E1389),SUMIFS(TblApplications[RAM IKS libérable (Go)],TblApplications[Cluster IKS source],$F1389,TblApplications[Mois lib (calc)],"&lt;="&amp;$E1389)))</f>
        <v/>
      </c>
      <c r="R1389" s="19" t="str">
        <f t="shared" si="360"/>
        <v/>
      </c>
      <c r="S1389" s="19" t="str">
        <f t="shared" si="361"/>
        <v/>
      </c>
      <c r="T1389" s="19" t="str">
        <f t="shared" si="362"/>
        <v/>
      </c>
      <c r="U1389" s="19" t="str">
        <f t="shared" si="363"/>
        <v/>
      </c>
      <c r="V1389" s="19" t="str">
        <f t="shared" si="364"/>
        <v/>
      </c>
      <c r="W1389" s="73" t="str">
        <f t="shared" si="365"/>
        <v/>
      </c>
      <c r="X1389" s="19" t="str">
        <f>IF($D1389&lt;&gt;1,"",IF($G1389="ROKS",$R1389,IF($AI1389=1,0,MAX($N1389,$L1389-SUMIFS(TblApplications[CPU IKS libérable (vCPU)],TblApplications[Cluster IKS source],$F1389,TblApplications[Action],"À migrer",TblApplications[Mois prov (calc)],"&lt;="&amp;$E1389)-SUMIFS(TblApplications[CPU IKS libérable (vCPU)],TblApplications[Cluster IKS source],$F1389,TblApplications[Action],"À décommissionner",TblApplications[Mois lib (calc)],"&lt;="&amp;$E1389)))))</f>
        <v/>
      </c>
      <c r="Y1389" s="19" t="str">
        <f>IF($D1389&lt;&gt;1,"",IF($G1389="ROKS",$S1389,IF($AI1389=1,0,MAX($O1389,$M1389-SUMIFS(TblApplications[RAM IKS libérable (Go)],TblApplications[Cluster IKS source],$F1389,TblApplications[Action],"À migrer",TblApplications[Mois prov (calc)],"&lt;="&amp;$E1389)-SUMIFS(TblApplications[RAM IKS libérable (Go)],TblApplications[Cluster IKS source],$F1389,TblApplications[Action],"À décommissionner",TblApplications[Mois lib (calc)],"&lt;="&amp;$E1389)))))</f>
        <v/>
      </c>
      <c r="Z1389" s="19" t="str">
        <f t="shared" si="366"/>
        <v/>
      </c>
      <c r="AA1389" s="73" t="str">
        <f t="shared" si="367"/>
        <v/>
      </c>
      <c r="AB1389" s="19" t="str">
        <f t="shared" si="368"/>
        <v/>
      </c>
      <c r="AC1389" s="73" t="str">
        <f t="shared" si="369"/>
        <v/>
      </c>
      <c r="AD1389" s="19" t="str">
        <f t="shared" si="370"/>
        <v/>
      </c>
      <c r="AE1389" s="19" t="str">
        <f t="shared" si="371"/>
        <v/>
      </c>
      <c r="AF1389" s="19" t="str">
        <f>IF($D1389&lt;&gt;1,"",IF(INDEX(TblClusters[Environnement],$B1389)="","(vide)",INDEX(TblClusters[Environnement],$B1389)))</f>
        <v/>
      </c>
      <c r="AG1389" s="19" t="str">
        <f t="shared" si="372"/>
        <v/>
      </c>
      <c r="AH1389" s="19" t="str">
        <f t="shared" si="373"/>
        <v/>
      </c>
      <c r="AI1389" s="19" t="str">
        <f>IF($D1389&lt;&gt;1,"",IF(AND($G1389="IKS",ISNUMBER(INDEX(TblClusters[Fermeture retenue],$B1389))),IF($E1389&gt;=INDEX(TblClusters[Fermeture retenue],$B1389),1,0),0))</f>
        <v/>
      </c>
    </row>
    <row r="1390" spans="1:35" x14ac:dyDescent="0.2">
      <c r="A1390" s="19">
        <v>1385</v>
      </c>
      <c r="B1390" s="19">
        <f t="shared" si="357"/>
        <v>39</v>
      </c>
      <c r="C1390" s="19">
        <f t="shared" si="358"/>
        <v>17</v>
      </c>
      <c r="D1390" s="19">
        <f>IF($C1390&gt;p_horizon,0,IFERROR(IF(AND(INDEX(TblClusters[Cluster],$B1390)&lt;&gt;"",ISNUMBER(INDEX(TblClusters[CPU initial (vCPU)],$B1390)),ISNUMBER(INDEX(TblClusters[CPU min (vCPU)],$B1390)),OR(INDEX(TblClusters[Plateforme],$B1390)="IKS",INDEX(TblClusters[Plateforme],$B1390)="ROKS")),1,0),0))</f>
        <v>0</v>
      </c>
      <c r="E1390" s="72" t="str">
        <f t="shared" si="359"/>
        <v/>
      </c>
      <c r="F1390" s="19" t="str">
        <f>IF($D1390=1,INDEX(TblClusters[Cluster],$B1390),"")</f>
        <v/>
      </c>
      <c r="G1390" s="19" t="str">
        <f>IF($D1390=1,INDEX(TblClusters[Plateforme],$B1390),"")</f>
        <v/>
      </c>
      <c r="H1390" s="19" t="str">
        <f>IF($D1390=1,INDEX(TblClusters[vCPU par nœud],$B1390),"")</f>
        <v/>
      </c>
      <c r="I1390" s="19" t="str">
        <f>IF($D1390=1,INDEX(TblClusters[RAM par nœud (Go)],$B1390),"")</f>
        <v/>
      </c>
      <c r="J1390" s="19" t="str">
        <f>IF($D1390=1,INDEX(TblClusters[Workers min],$B1390),"")</f>
        <v/>
      </c>
      <c r="K1390" s="73" t="str">
        <f>IF($D1390=1,INDEX(TblClusters[Tarif par nœud],$B1390),"")</f>
        <v/>
      </c>
      <c r="L1390" s="19" t="str">
        <f>IF($D1390=1,INDEX(TblClusters[CPU initial (vCPU)],$B1390),"")</f>
        <v/>
      </c>
      <c r="M1390" s="19" t="str">
        <f>IF($D1390=1,INDEX(TblClusters[RAM initiale (Go)],$B1390),"")</f>
        <v/>
      </c>
      <c r="N1390" s="19" t="str">
        <f>IF($D1390=1,INDEX(TblClusters[CPU min (vCPU)],$B1390),"")</f>
        <v/>
      </c>
      <c r="O1390" s="19" t="str">
        <f>IF($D1390=1,INDEX(TblClusters[RAM min (Go)],$B1390),"")</f>
        <v/>
      </c>
      <c r="P1390" s="19" t="str">
        <f>IF($D1390&lt;&gt;1,"",IF($G1390="ROKS",SUMIFS(TblApplications[Besoin ROKS CPU (vCPU)],TblApplications[Cluster ROKS cible],$F1390,TblApplications[Action],"À migrer",TblApplications[Déjà incluse ROKS],"Non",TblApplications[Mois prov (calc)],"&lt;="&amp;$E1390),SUMIFS(TblApplications[CPU IKS libérable (vCPU)],TblApplications[Cluster IKS source],$F1390,TblApplications[Mois lib (calc)],"&lt;="&amp;$E1390)))</f>
        <v/>
      </c>
      <c r="Q1390" s="19" t="str">
        <f>IF($D1390&lt;&gt;1,"",IF($G1390="ROKS",SUMIFS(TblApplications[Besoin ROKS RAM (Go)],TblApplications[Cluster ROKS cible],$F1390,TblApplications[Action],"À migrer",TblApplications[Déjà incluse ROKS],"Non",TblApplications[Mois prov (calc)],"&lt;="&amp;$E1390),SUMIFS(TblApplications[RAM IKS libérable (Go)],TblApplications[Cluster IKS source],$F1390,TblApplications[Mois lib (calc)],"&lt;="&amp;$E1390)))</f>
        <v/>
      </c>
      <c r="R1390" s="19" t="str">
        <f t="shared" si="360"/>
        <v/>
      </c>
      <c r="S1390" s="19" t="str">
        <f t="shared" si="361"/>
        <v/>
      </c>
      <c r="T1390" s="19" t="str">
        <f t="shared" si="362"/>
        <v/>
      </c>
      <c r="U1390" s="19" t="str">
        <f t="shared" si="363"/>
        <v/>
      </c>
      <c r="V1390" s="19" t="str">
        <f t="shared" si="364"/>
        <v/>
      </c>
      <c r="W1390" s="73" t="str">
        <f t="shared" si="365"/>
        <v/>
      </c>
      <c r="X1390" s="19" t="str">
        <f>IF($D1390&lt;&gt;1,"",IF($G1390="ROKS",$R1390,IF($AI1390=1,0,MAX($N1390,$L1390-SUMIFS(TblApplications[CPU IKS libérable (vCPU)],TblApplications[Cluster IKS source],$F1390,TblApplications[Action],"À migrer",TblApplications[Mois prov (calc)],"&lt;="&amp;$E1390)-SUMIFS(TblApplications[CPU IKS libérable (vCPU)],TblApplications[Cluster IKS source],$F1390,TblApplications[Action],"À décommissionner",TblApplications[Mois lib (calc)],"&lt;="&amp;$E1390)))))</f>
        <v/>
      </c>
      <c r="Y1390" s="19" t="str">
        <f>IF($D1390&lt;&gt;1,"",IF($G1390="ROKS",$S1390,IF($AI1390=1,0,MAX($O1390,$M1390-SUMIFS(TblApplications[RAM IKS libérable (Go)],TblApplications[Cluster IKS source],$F1390,TblApplications[Action],"À migrer",TblApplications[Mois prov (calc)],"&lt;="&amp;$E1390)-SUMIFS(TblApplications[RAM IKS libérable (Go)],TblApplications[Cluster IKS source],$F1390,TblApplications[Action],"À décommissionner",TblApplications[Mois lib (calc)],"&lt;="&amp;$E1390)))))</f>
        <v/>
      </c>
      <c r="Z1390" s="19" t="str">
        <f t="shared" si="366"/>
        <v/>
      </c>
      <c r="AA1390" s="73" t="str">
        <f t="shared" si="367"/>
        <v/>
      </c>
      <c r="AB1390" s="19" t="str">
        <f t="shared" si="368"/>
        <v/>
      </c>
      <c r="AC1390" s="73" t="str">
        <f t="shared" si="369"/>
        <v/>
      </c>
      <c r="AD1390" s="19" t="str">
        <f t="shared" si="370"/>
        <v/>
      </c>
      <c r="AE1390" s="19" t="str">
        <f t="shared" si="371"/>
        <v/>
      </c>
      <c r="AF1390" s="19" t="str">
        <f>IF($D1390&lt;&gt;1,"",IF(INDEX(TblClusters[Environnement],$B1390)="","(vide)",INDEX(TblClusters[Environnement],$B1390)))</f>
        <v/>
      </c>
      <c r="AG1390" s="19" t="str">
        <f t="shared" si="372"/>
        <v/>
      </c>
      <c r="AH1390" s="19" t="str">
        <f t="shared" si="373"/>
        <v/>
      </c>
      <c r="AI1390" s="19" t="str">
        <f>IF($D1390&lt;&gt;1,"",IF(AND($G1390="IKS",ISNUMBER(INDEX(TblClusters[Fermeture retenue],$B1390))),IF($E1390&gt;=INDEX(TblClusters[Fermeture retenue],$B1390),1,0),0))</f>
        <v/>
      </c>
    </row>
    <row r="1391" spans="1:35" x14ac:dyDescent="0.2">
      <c r="A1391" s="19">
        <v>1386</v>
      </c>
      <c r="B1391" s="19">
        <f t="shared" si="357"/>
        <v>39</v>
      </c>
      <c r="C1391" s="19">
        <f t="shared" si="358"/>
        <v>18</v>
      </c>
      <c r="D1391" s="19">
        <f>IF($C1391&gt;p_horizon,0,IFERROR(IF(AND(INDEX(TblClusters[Cluster],$B1391)&lt;&gt;"",ISNUMBER(INDEX(TblClusters[CPU initial (vCPU)],$B1391)),ISNUMBER(INDEX(TblClusters[CPU min (vCPU)],$B1391)),OR(INDEX(TblClusters[Plateforme],$B1391)="IKS",INDEX(TblClusters[Plateforme],$B1391)="ROKS")),1,0),0))</f>
        <v>0</v>
      </c>
      <c r="E1391" s="72" t="str">
        <f t="shared" si="359"/>
        <v/>
      </c>
      <c r="F1391" s="19" t="str">
        <f>IF($D1391=1,INDEX(TblClusters[Cluster],$B1391),"")</f>
        <v/>
      </c>
      <c r="G1391" s="19" t="str">
        <f>IF($D1391=1,INDEX(TblClusters[Plateforme],$B1391),"")</f>
        <v/>
      </c>
      <c r="H1391" s="19" t="str">
        <f>IF($D1391=1,INDEX(TblClusters[vCPU par nœud],$B1391),"")</f>
        <v/>
      </c>
      <c r="I1391" s="19" t="str">
        <f>IF($D1391=1,INDEX(TblClusters[RAM par nœud (Go)],$B1391),"")</f>
        <v/>
      </c>
      <c r="J1391" s="19" t="str">
        <f>IF($D1391=1,INDEX(TblClusters[Workers min],$B1391),"")</f>
        <v/>
      </c>
      <c r="K1391" s="73" t="str">
        <f>IF($D1391=1,INDEX(TblClusters[Tarif par nœud],$B1391),"")</f>
        <v/>
      </c>
      <c r="L1391" s="19" t="str">
        <f>IF($D1391=1,INDEX(TblClusters[CPU initial (vCPU)],$B1391),"")</f>
        <v/>
      </c>
      <c r="M1391" s="19" t="str">
        <f>IF($D1391=1,INDEX(TblClusters[RAM initiale (Go)],$B1391),"")</f>
        <v/>
      </c>
      <c r="N1391" s="19" t="str">
        <f>IF($D1391=1,INDEX(TblClusters[CPU min (vCPU)],$B1391),"")</f>
        <v/>
      </c>
      <c r="O1391" s="19" t="str">
        <f>IF($D1391=1,INDEX(TblClusters[RAM min (Go)],$B1391),"")</f>
        <v/>
      </c>
      <c r="P1391" s="19" t="str">
        <f>IF($D1391&lt;&gt;1,"",IF($G1391="ROKS",SUMIFS(TblApplications[Besoin ROKS CPU (vCPU)],TblApplications[Cluster ROKS cible],$F1391,TblApplications[Action],"À migrer",TblApplications[Déjà incluse ROKS],"Non",TblApplications[Mois prov (calc)],"&lt;="&amp;$E1391),SUMIFS(TblApplications[CPU IKS libérable (vCPU)],TblApplications[Cluster IKS source],$F1391,TblApplications[Mois lib (calc)],"&lt;="&amp;$E1391)))</f>
        <v/>
      </c>
      <c r="Q1391" s="19" t="str">
        <f>IF($D1391&lt;&gt;1,"",IF($G1391="ROKS",SUMIFS(TblApplications[Besoin ROKS RAM (Go)],TblApplications[Cluster ROKS cible],$F1391,TblApplications[Action],"À migrer",TblApplications[Déjà incluse ROKS],"Non",TblApplications[Mois prov (calc)],"&lt;="&amp;$E1391),SUMIFS(TblApplications[RAM IKS libérable (Go)],TblApplications[Cluster IKS source],$F1391,TblApplications[Mois lib (calc)],"&lt;="&amp;$E1391)))</f>
        <v/>
      </c>
      <c r="R1391" s="19" t="str">
        <f t="shared" si="360"/>
        <v/>
      </c>
      <c r="S1391" s="19" t="str">
        <f t="shared" si="361"/>
        <v/>
      </c>
      <c r="T1391" s="19" t="str">
        <f t="shared" si="362"/>
        <v/>
      </c>
      <c r="U1391" s="19" t="str">
        <f t="shared" si="363"/>
        <v/>
      </c>
      <c r="V1391" s="19" t="str">
        <f t="shared" si="364"/>
        <v/>
      </c>
      <c r="W1391" s="73" t="str">
        <f t="shared" si="365"/>
        <v/>
      </c>
      <c r="X1391" s="19" t="str">
        <f>IF($D1391&lt;&gt;1,"",IF($G1391="ROKS",$R1391,IF($AI1391=1,0,MAX($N1391,$L1391-SUMIFS(TblApplications[CPU IKS libérable (vCPU)],TblApplications[Cluster IKS source],$F1391,TblApplications[Action],"À migrer",TblApplications[Mois prov (calc)],"&lt;="&amp;$E1391)-SUMIFS(TblApplications[CPU IKS libérable (vCPU)],TblApplications[Cluster IKS source],$F1391,TblApplications[Action],"À décommissionner",TblApplications[Mois lib (calc)],"&lt;="&amp;$E1391)))))</f>
        <v/>
      </c>
      <c r="Y1391" s="19" t="str">
        <f>IF($D1391&lt;&gt;1,"",IF($G1391="ROKS",$S1391,IF($AI1391=1,0,MAX($O1391,$M1391-SUMIFS(TblApplications[RAM IKS libérable (Go)],TblApplications[Cluster IKS source],$F1391,TblApplications[Action],"À migrer",TblApplications[Mois prov (calc)],"&lt;="&amp;$E1391)-SUMIFS(TblApplications[RAM IKS libérable (Go)],TblApplications[Cluster IKS source],$F1391,TblApplications[Action],"À décommissionner",TblApplications[Mois lib (calc)],"&lt;="&amp;$E1391)))))</f>
        <v/>
      </c>
      <c r="Z1391" s="19" t="str">
        <f t="shared" si="366"/>
        <v/>
      </c>
      <c r="AA1391" s="73" t="str">
        <f t="shared" si="367"/>
        <v/>
      </c>
      <c r="AB1391" s="19" t="str">
        <f t="shared" si="368"/>
        <v/>
      </c>
      <c r="AC1391" s="73" t="str">
        <f t="shared" si="369"/>
        <v/>
      </c>
      <c r="AD1391" s="19" t="str">
        <f t="shared" si="370"/>
        <v/>
      </c>
      <c r="AE1391" s="19" t="str">
        <f t="shared" si="371"/>
        <v/>
      </c>
      <c r="AF1391" s="19" t="str">
        <f>IF($D1391&lt;&gt;1,"",IF(INDEX(TblClusters[Environnement],$B1391)="","(vide)",INDEX(TblClusters[Environnement],$B1391)))</f>
        <v/>
      </c>
      <c r="AG1391" s="19" t="str">
        <f t="shared" si="372"/>
        <v/>
      </c>
      <c r="AH1391" s="19" t="str">
        <f t="shared" si="373"/>
        <v/>
      </c>
      <c r="AI1391" s="19" t="str">
        <f>IF($D1391&lt;&gt;1,"",IF(AND($G1391="IKS",ISNUMBER(INDEX(TblClusters[Fermeture retenue],$B1391))),IF($E1391&gt;=INDEX(TblClusters[Fermeture retenue],$B1391),1,0),0))</f>
        <v/>
      </c>
    </row>
    <row r="1392" spans="1:35" x14ac:dyDescent="0.2">
      <c r="A1392" s="19">
        <v>1387</v>
      </c>
      <c r="B1392" s="19">
        <f t="shared" si="357"/>
        <v>39</v>
      </c>
      <c r="C1392" s="19">
        <f t="shared" si="358"/>
        <v>19</v>
      </c>
      <c r="D1392" s="19">
        <f>IF($C1392&gt;p_horizon,0,IFERROR(IF(AND(INDEX(TblClusters[Cluster],$B1392)&lt;&gt;"",ISNUMBER(INDEX(TblClusters[CPU initial (vCPU)],$B1392)),ISNUMBER(INDEX(TblClusters[CPU min (vCPU)],$B1392)),OR(INDEX(TblClusters[Plateforme],$B1392)="IKS",INDEX(TblClusters[Plateforme],$B1392)="ROKS")),1,0),0))</f>
        <v>0</v>
      </c>
      <c r="E1392" s="72" t="str">
        <f t="shared" si="359"/>
        <v/>
      </c>
      <c r="F1392" s="19" t="str">
        <f>IF($D1392=1,INDEX(TblClusters[Cluster],$B1392),"")</f>
        <v/>
      </c>
      <c r="G1392" s="19" t="str">
        <f>IF($D1392=1,INDEX(TblClusters[Plateforme],$B1392),"")</f>
        <v/>
      </c>
      <c r="H1392" s="19" t="str">
        <f>IF($D1392=1,INDEX(TblClusters[vCPU par nœud],$B1392),"")</f>
        <v/>
      </c>
      <c r="I1392" s="19" t="str">
        <f>IF($D1392=1,INDEX(TblClusters[RAM par nœud (Go)],$B1392),"")</f>
        <v/>
      </c>
      <c r="J1392" s="19" t="str">
        <f>IF($D1392=1,INDEX(TblClusters[Workers min],$B1392),"")</f>
        <v/>
      </c>
      <c r="K1392" s="73" t="str">
        <f>IF($D1392=1,INDEX(TblClusters[Tarif par nœud],$B1392),"")</f>
        <v/>
      </c>
      <c r="L1392" s="19" t="str">
        <f>IF($D1392=1,INDEX(TblClusters[CPU initial (vCPU)],$B1392),"")</f>
        <v/>
      </c>
      <c r="M1392" s="19" t="str">
        <f>IF($D1392=1,INDEX(TblClusters[RAM initiale (Go)],$B1392),"")</f>
        <v/>
      </c>
      <c r="N1392" s="19" t="str">
        <f>IF($D1392=1,INDEX(TblClusters[CPU min (vCPU)],$B1392),"")</f>
        <v/>
      </c>
      <c r="O1392" s="19" t="str">
        <f>IF($D1392=1,INDEX(TblClusters[RAM min (Go)],$B1392),"")</f>
        <v/>
      </c>
      <c r="P1392" s="19" t="str">
        <f>IF($D1392&lt;&gt;1,"",IF($G1392="ROKS",SUMIFS(TblApplications[Besoin ROKS CPU (vCPU)],TblApplications[Cluster ROKS cible],$F1392,TblApplications[Action],"À migrer",TblApplications[Déjà incluse ROKS],"Non",TblApplications[Mois prov (calc)],"&lt;="&amp;$E1392),SUMIFS(TblApplications[CPU IKS libérable (vCPU)],TblApplications[Cluster IKS source],$F1392,TblApplications[Mois lib (calc)],"&lt;="&amp;$E1392)))</f>
        <v/>
      </c>
      <c r="Q1392" s="19" t="str">
        <f>IF($D1392&lt;&gt;1,"",IF($G1392="ROKS",SUMIFS(TblApplications[Besoin ROKS RAM (Go)],TblApplications[Cluster ROKS cible],$F1392,TblApplications[Action],"À migrer",TblApplications[Déjà incluse ROKS],"Non",TblApplications[Mois prov (calc)],"&lt;="&amp;$E1392),SUMIFS(TblApplications[RAM IKS libérable (Go)],TblApplications[Cluster IKS source],$F1392,TblApplications[Mois lib (calc)],"&lt;="&amp;$E1392)))</f>
        <v/>
      </c>
      <c r="R1392" s="19" t="str">
        <f t="shared" si="360"/>
        <v/>
      </c>
      <c r="S1392" s="19" t="str">
        <f t="shared" si="361"/>
        <v/>
      </c>
      <c r="T1392" s="19" t="str">
        <f t="shared" si="362"/>
        <v/>
      </c>
      <c r="U1392" s="19" t="str">
        <f t="shared" si="363"/>
        <v/>
      </c>
      <c r="V1392" s="19" t="str">
        <f t="shared" si="364"/>
        <v/>
      </c>
      <c r="W1392" s="73" t="str">
        <f t="shared" si="365"/>
        <v/>
      </c>
      <c r="X1392" s="19" t="str">
        <f>IF($D1392&lt;&gt;1,"",IF($G1392="ROKS",$R1392,IF($AI1392=1,0,MAX($N1392,$L1392-SUMIFS(TblApplications[CPU IKS libérable (vCPU)],TblApplications[Cluster IKS source],$F1392,TblApplications[Action],"À migrer",TblApplications[Mois prov (calc)],"&lt;="&amp;$E1392)-SUMIFS(TblApplications[CPU IKS libérable (vCPU)],TblApplications[Cluster IKS source],$F1392,TblApplications[Action],"À décommissionner",TblApplications[Mois lib (calc)],"&lt;="&amp;$E1392)))))</f>
        <v/>
      </c>
      <c r="Y1392" s="19" t="str">
        <f>IF($D1392&lt;&gt;1,"",IF($G1392="ROKS",$S1392,IF($AI1392=1,0,MAX($O1392,$M1392-SUMIFS(TblApplications[RAM IKS libérable (Go)],TblApplications[Cluster IKS source],$F1392,TblApplications[Action],"À migrer",TblApplications[Mois prov (calc)],"&lt;="&amp;$E1392)-SUMIFS(TblApplications[RAM IKS libérable (Go)],TblApplications[Cluster IKS source],$F1392,TblApplications[Action],"À décommissionner",TblApplications[Mois lib (calc)],"&lt;="&amp;$E1392)))))</f>
        <v/>
      </c>
      <c r="Z1392" s="19" t="str">
        <f t="shared" si="366"/>
        <v/>
      </c>
      <c r="AA1392" s="73" t="str">
        <f t="shared" si="367"/>
        <v/>
      </c>
      <c r="AB1392" s="19" t="str">
        <f t="shared" si="368"/>
        <v/>
      </c>
      <c r="AC1392" s="73" t="str">
        <f t="shared" si="369"/>
        <v/>
      </c>
      <c r="AD1392" s="19" t="str">
        <f t="shared" si="370"/>
        <v/>
      </c>
      <c r="AE1392" s="19" t="str">
        <f t="shared" si="371"/>
        <v/>
      </c>
      <c r="AF1392" s="19" t="str">
        <f>IF($D1392&lt;&gt;1,"",IF(INDEX(TblClusters[Environnement],$B1392)="","(vide)",INDEX(TblClusters[Environnement],$B1392)))</f>
        <v/>
      </c>
      <c r="AG1392" s="19" t="str">
        <f t="shared" si="372"/>
        <v/>
      </c>
      <c r="AH1392" s="19" t="str">
        <f t="shared" si="373"/>
        <v/>
      </c>
      <c r="AI1392" s="19" t="str">
        <f>IF($D1392&lt;&gt;1,"",IF(AND($G1392="IKS",ISNUMBER(INDEX(TblClusters[Fermeture retenue],$B1392))),IF($E1392&gt;=INDEX(TblClusters[Fermeture retenue],$B1392),1,0),0))</f>
        <v/>
      </c>
    </row>
    <row r="1393" spans="1:35" x14ac:dyDescent="0.2">
      <c r="A1393" s="19">
        <v>1388</v>
      </c>
      <c r="B1393" s="19">
        <f t="shared" si="357"/>
        <v>39</v>
      </c>
      <c r="C1393" s="19">
        <f t="shared" si="358"/>
        <v>20</v>
      </c>
      <c r="D1393" s="19">
        <f>IF($C1393&gt;p_horizon,0,IFERROR(IF(AND(INDEX(TblClusters[Cluster],$B1393)&lt;&gt;"",ISNUMBER(INDEX(TblClusters[CPU initial (vCPU)],$B1393)),ISNUMBER(INDEX(TblClusters[CPU min (vCPU)],$B1393)),OR(INDEX(TblClusters[Plateforme],$B1393)="IKS",INDEX(TblClusters[Plateforme],$B1393)="ROKS")),1,0),0))</f>
        <v>0</v>
      </c>
      <c r="E1393" s="72" t="str">
        <f t="shared" si="359"/>
        <v/>
      </c>
      <c r="F1393" s="19" t="str">
        <f>IF($D1393=1,INDEX(TblClusters[Cluster],$B1393),"")</f>
        <v/>
      </c>
      <c r="G1393" s="19" t="str">
        <f>IF($D1393=1,INDEX(TblClusters[Plateforme],$B1393),"")</f>
        <v/>
      </c>
      <c r="H1393" s="19" t="str">
        <f>IF($D1393=1,INDEX(TblClusters[vCPU par nœud],$B1393),"")</f>
        <v/>
      </c>
      <c r="I1393" s="19" t="str">
        <f>IF($D1393=1,INDEX(TblClusters[RAM par nœud (Go)],$B1393),"")</f>
        <v/>
      </c>
      <c r="J1393" s="19" t="str">
        <f>IF($D1393=1,INDEX(TblClusters[Workers min],$B1393),"")</f>
        <v/>
      </c>
      <c r="K1393" s="73" t="str">
        <f>IF($D1393=1,INDEX(TblClusters[Tarif par nœud],$B1393),"")</f>
        <v/>
      </c>
      <c r="L1393" s="19" t="str">
        <f>IF($D1393=1,INDEX(TblClusters[CPU initial (vCPU)],$B1393),"")</f>
        <v/>
      </c>
      <c r="M1393" s="19" t="str">
        <f>IF($D1393=1,INDEX(TblClusters[RAM initiale (Go)],$B1393),"")</f>
        <v/>
      </c>
      <c r="N1393" s="19" t="str">
        <f>IF($D1393=1,INDEX(TblClusters[CPU min (vCPU)],$B1393),"")</f>
        <v/>
      </c>
      <c r="O1393" s="19" t="str">
        <f>IF($D1393=1,INDEX(TblClusters[RAM min (Go)],$B1393),"")</f>
        <v/>
      </c>
      <c r="P1393" s="19" t="str">
        <f>IF($D1393&lt;&gt;1,"",IF($G1393="ROKS",SUMIFS(TblApplications[Besoin ROKS CPU (vCPU)],TblApplications[Cluster ROKS cible],$F1393,TblApplications[Action],"À migrer",TblApplications[Déjà incluse ROKS],"Non",TblApplications[Mois prov (calc)],"&lt;="&amp;$E1393),SUMIFS(TblApplications[CPU IKS libérable (vCPU)],TblApplications[Cluster IKS source],$F1393,TblApplications[Mois lib (calc)],"&lt;="&amp;$E1393)))</f>
        <v/>
      </c>
      <c r="Q1393" s="19" t="str">
        <f>IF($D1393&lt;&gt;1,"",IF($G1393="ROKS",SUMIFS(TblApplications[Besoin ROKS RAM (Go)],TblApplications[Cluster ROKS cible],$F1393,TblApplications[Action],"À migrer",TblApplications[Déjà incluse ROKS],"Non",TblApplications[Mois prov (calc)],"&lt;="&amp;$E1393),SUMIFS(TblApplications[RAM IKS libérable (Go)],TblApplications[Cluster IKS source],$F1393,TblApplications[Mois lib (calc)],"&lt;="&amp;$E1393)))</f>
        <v/>
      </c>
      <c r="R1393" s="19" t="str">
        <f t="shared" si="360"/>
        <v/>
      </c>
      <c r="S1393" s="19" t="str">
        <f t="shared" si="361"/>
        <v/>
      </c>
      <c r="T1393" s="19" t="str">
        <f t="shared" si="362"/>
        <v/>
      </c>
      <c r="U1393" s="19" t="str">
        <f t="shared" si="363"/>
        <v/>
      </c>
      <c r="V1393" s="19" t="str">
        <f t="shared" si="364"/>
        <v/>
      </c>
      <c r="W1393" s="73" t="str">
        <f t="shared" si="365"/>
        <v/>
      </c>
      <c r="X1393" s="19" t="str">
        <f>IF($D1393&lt;&gt;1,"",IF($G1393="ROKS",$R1393,IF($AI1393=1,0,MAX($N1393,$L1393-SUMIFS(TblApplications[CPU IKS libérable (vCPU)],TblApplications[Cluster IKS source],$F1393,TblApplications[Action],"À migrer",TblApplications[Mois prov (calc)],"&lt;="&amp;$E1393)-SUMIFS(TblApplications[CPU IKS libérable (vCPU)],TblApplications[Cluster IKS source],$F1393,TblApplications[Action],"À décommissionner",TblApplications[Mois lib (calc)],"&lt;="&amp;$E1393)))))</f>
        <v/>
      </c>
      <c r="Y1393" s="19" t="str">
        <f>IF($D1393&lt;&gt;1,"",IF($G1393="ROKS",$S1393,IF($AI1393=1,0,MAX($O1393,$M1393-SUMIFS(TblApplications[RAM IKS libérable (Go)],TblApplications[Cluster IKS source],$F1393,TblApplications[Action],"À migrer",TblApplications[Mois prov (calc)],"&lt;="&amp;$E1393)-SUMIFS(TblApplications[RAM IKS libérable (Go)],TblApplications[Cluster IKS source],$F1393,TblApplications[Action],"À décommissionner",TblApplications[Mois lib (calc)],"&lt;="&amp;$E1393)))))</f>
        <v/>
      </c>
      <c r="Z1393" s="19" t="str">
        <f t="shared" si="366"/>
        <v/>
      </c>
      <c r="AA1393" s="73" t="str">
        <f t="shared" si="367"/>
        <v/>
      </c>
      <c r="AB1393" s="19" t="str">
        <f t="shared" si="368"/>
        <v/>
      </c>
      <c r="AC1393" s="73" t="str">
        <f t="shared" si="369"/>
        <v/>
      </c>
      <c r="AD1393" s="19" t="str">
        <f t="shared" si="370"/>
        <v/>
      </c>
      <c r="AE1393" s="19" t="str">
        <f t="shared" si="371"/>
        <v/>
      </c>
      <c r="AF1393" s="19" t="str">
        <f>IF($D1393&lt;&gt;1,"",IF(INDEX(TblClusters[Environnement],$B1393)="","(vide)",INDEX(TblClusters[Environnement],$B1393)))</f>
        <v/>
      </c>
      <c r="AG1393" s="19" t="str">
        <f t="shared" si="372"/>
        <v/>
      </c>
      <c r="AH1393" s="19" t="str">
        <f t="shared" si="373"/>
        <v/>
      </c>
      <c r="AI1393" s="19" t="str">
        <f>IF($D1393&lt;&gt;1,"",IF(AND($G1393="IKS",ISNUMBER(INDEX(TblClusters[Fermeture retenue],$B1393))),IF($E1393&gt;=INDEX(TblClusters[Fermeture retenue],$B1393),1,0),0))</f>
        <v/>
      </c>
    </row>
    <row r="1394" spans="1:35" x14ac:dyDescent="0.2">
      <c r="A1394" s="19">
        <v>1389</v>
      </c>
      <c r="B1394" s="19">
        <f t="shared" si="357"/>
        <v>39</v>
      </c>
      <c r="C1394" s="19">
        <f t="shared" si="358"/>
        <v>21</v>
      </c>
      <c r="D1394" s="19">
        <f>IF($C1394&gt;p_horizon,0,IFERROR(IF(AND(INDEX(TblClusters[Cluster],$B1394)&lt;&gt;"",ISNUMBER(INDEX(TblClusters[CPU initial (vCPU)],$B1394)),ISNUMBER(INDEX(TblClusters[CPU min (vCPU)],$B1394)),OR(INDEX(TblClusters[Plateforme],$B1394)="IKS",INDEX(TblClusters[Plateforme],$B1394)="ROKS")),1,0),0))</f>
        <v>0</v>
      </c>
      <c r="E1394" s="72" t="str">
        <f t="shared" si="359"/>
        <v/>
      </c>
      <c r="F1394" s="19" t="str">
        <f>IF($D1394=1,INDEX(TblClusters[Cluster],$B1394),"")</f>
        <v/>
      </c>
      <c r="G1394" s="19" t="str">
        <f>IF($D1394=1,INDEX(TblClusters[Plateforme],$B1394),"")</f>
        <v/>
      </c>
      <c r="H1394" s="19" t="str">
        <f>IF($D1394=1,INDEX(TblClusters[vCPU par nœud],$B1394),"")</f>
        <v/>
      </c>
      <c r="I1394" s="19" t="str">
        <f>IF($D1394=1,INDEX(TblClusters[RAM par nœud (Go)],$B1394),"")</f>
        <v/>
      </c>
      <c r="J1394" s="19" t="str">
        <f>IF($D1394=1,INDEX(TblClusters[Workers min],$B1394),"")</f>
        <v/>
      </c>
      <c r="K1394" s="73" t="str">
        <f>IF($D1394=1,INDEX(TblClusters[Tarif par nœud],$B1394),"")</f>
        <v/>
      </c>
      <c r="L1394" s="19" t="str">
        <f>IF($D1394=1,INDEX(TblClusters[CPU initial (vCPU)],$B1394),"")</f>
        <v/>
      </c>
      <c r="M1394" s="19" t="str">
        <f>IF($D1394=1,INDEX(TblClusters[RAM initiale (Go)],$B1394),"")</f>
        <v/>
      </c>
      <c r="N1394" s="19" t="str">
        <f>IF($D1394=1,INDEX(TblClusters[CPU min (vCPU)],$B1394),"")</f>
        <v/>
      </c>
      <c r="O1394" s="19" t="str">
        <f>IF($D1394=1,INDEX(TblClusters[RAM min (Go)],$B1394),"")</f>
        <v/>
      </c>
      <c r="P1394" s="19" t="str">
        <f>IF($D1394&lt;&gt;1,"",IF($G1394="ROKS",SUMIFS(TblApplications[Besoin ROKS CPU (vCPU)],TblApplications[Cluster ROKS cible],$F1394,TblApplications[Action],"À migrer",TblApplications[Déjà incluse ROKS],"Non",TblApplications[Mois prov (calc)],"&lt;="&amp;$E1394),SUMIFS(TblApplications[CPU IKS libérable (vCPU)],TblApplications[Cluster IKS source],$F1394,TblApplications[Mois lib (calc)],"&lt;="&amp;$E1394)))</f>
        <v/>
      </c>
      <c r="Q1394" s="19" t="str">
        <f>IF($D1394&lt;&gt;1,"",IF($G1394="ROKS",SUMIFS(TblApplications[Besoin ROKS RAM (Go)],TblApplications[Cluster ROKS cible],$F1394,TblApplications[Action],"À migrer",TblApplications[Déjà incluse ROKS],"Non",TblApplications[Mois prov (calc)],"&lt;="&amp;$E1394),SUMIFS(TblApplications[RAM IKS libérable (Go)],TblApplications[Cluster IKS source],$F1394,TblApplications[Mois lib (calc)],"&lt;="&amp;$E1394)))</f>
        <v/>
      </c>
      <c r="R1394" s="19" t="str">
        <f t="shared" si="360"/>
        <v/>
      </c>
      <c r="S1394" s="19" t="str">
        <f t="shared" si="361"/>
        <v/>
      </c>
      <c r="T1394" s="19" t="str">
        <f t="shared" si="362"/>
        <v/>
      </c>
      <c r="U1394" s="19" t="str">
        <f t="shared" si="363"/>
        <v/>
      </c>
      <c r="V1394" s="19" t="str">
        <f t="shared" si="364"/>
        <v/>
      </c>
      <c r="W1394" s="73" t="str">
        <f t="shared" si="365"/>
        <v/>
      </c>
      <c r="X1394" s="19" t="str">
        <f>IF($D1394&lt;&gt;1,"",IF($G1394="ROKS",$R1394,IF($AI1394=1,0,MAX($N1394,$L1394-SUMIFS(TblApplications[CPU IKS libérable (vCPU)],TblApplications[Cluster IKS source],$F1394,TblApplications[Action],"À migrer",TblApplications[Mois prov (calc)],"&lt;="&amp;$E1394)-SUMIFS(TblApplications[CPU IKS libérable (vCPU)],TblApplications[Cluster IKS source],$F1394,TblApplications[Action],"À décommissionner",TblApplications[Mois lib (calc)],"&lt;="&amp;$E1394)))))</f>
        <v/>
      </c>
      <c r="Y1394" s="19" t="str">
        <f>IF($D1394&lt;&gt;1,"",IF($G1394="ROKS",$S1394,IF($AI1394=1,0,MAX($O1394,$M1394-SUMIFS(TblApplications[RAM IKS libérable (Go)],TblApplications[Cluster IKS source],$F1394,TblApplications[Action],"À migrer",TblApplications[Mois prov (calc)],"&lt;="&amp;$E1394)-SUMIFS(TblApplications[RAM IKS libérable (Go)],TblApplications[Cluster IKS source],$F1394,TblApplications[Action],"À décommissionner",TblApplications[Mois lib (calc)],"&lt;="&amp;$E1394)))))</f>
        <v/>
      </c>
      <c r="Z1394" s="19" t="str">
        <f t="shared" si="366"/>
        <v/>
      </c>
      <c r="AA1394" s="73" t="str">
        <f t="shared" si="367"/>
        <v/>
      </c>
      <c r="AB1394" s="19" t="str">
        <f t="shared" si="368"/>
        <v/>
      </c>
      <c r="AC1394" s="73" t="str">
        <f t="shared" si="369"/>
        <v/>
      </c>
      <c r="AD1394" s="19" t="str">
        <f t="shared" si="370"/>
        <v/>
      </c>
      <c r="AE1394" s="19" t="str">
        <f t="shared" si="371"/>
        <v/>
      </c>
      <c r="AF1394" s="19" t="str">
        <f>IF($D1394&lt;&gt;1,"",IF(INDEX(TblClusters[Environnement],$B1394)="","(vide)",INDEX(TblClusters[Environnement],$B1394)))</f>
        <v/>
      </c>
      <c r="AG1394" s="19" t="str">
        <f t="shared" si="372"/>
        <v/>
      </c>
      <c r="AH1394" s="19" t="str">
        <f t="shared" si="373"/>
        <v/>
      </c>
      <c r="AI1394" s="19" t="str">
        <f>IF($D1394&lt;&gt;1,"",IF(AND($G1394="IKS",ISNUMBER(INDEX(TblClusters[Fermeture retenue],$B1394))),IF($E1394&gt;=INDEX(TblClusters[Fermeture retenue],$B1394),1,0),0))</f>
        <v/>
      </c>
    </row>
    <row r="1395" spans="1:35" x14ac:dyDescent="0.2">
      <c r="A1395" s="19">
        <v>1390</v>
      </c>
      <c r="B1395" s="19">
        <f t="shared" si="357"/>
        <v>39</v>
      </c>
      <c r="C1395" s="19">
        <f t="shared" si="358"/>
        <v>22</v>
      </c>
      <c r="D1395" s="19">
        <f>IF($C1395&gt;p_horizon,0,IFERROR(IF(AND(INDEX(TblClusters[Cluster],$B1395)&lt;&gt;"",ISNUMBER(INDEX(TblClusters[CPU initial (vCPU)],$B1395)),ISNUMBER(INDEX(TblClusters[CPU min (vCPU)],$B1395)),OR(INDEX(TblClusters[Plateforme],$B1395)="IKS",INDEX(TblClusters[Plateforme],$B1395)="ROKS")),1,0),0))</f>
        <v>0</v>
      </c>
      <c r="E1395" s="72" t="str">
        <f t="shared" si="359"/>
        <v/>
      </c>
      <c r="F1395" s="19" t="str">
        <f>IF($D1395=1,INDEX(TblClusters[Cluster],$B1395),"")</f>
        <v/>
      </c>
      <c r="G1395" s="19" t="str">
        <f>IF($D1395=1,INDEX(TblClusters[Plateforme],$B1395),"")</f>
        <v/>
      </c>
      <c r="H1395" s="19" t="str">
        <f>IF($D1395=1,INDEX(TblClusters[vCPU par nœud],$B1395),"")</f>
        <v/>
      </c>
      <c r="I1395" s="19" t="str">
        <f>IF($D1395=1,INDEX(TblClusters[RAM par nœud (Go)],$B1395),"")</f>
        <v/>
      </c>
      <c r="J1395" s="19" t="str">
        <f>IF($D1395=1,INDEX(TblClusters[Workers min],$B1395),"")</f>
        <v/>
      </c>
      <c r="K1395" s="73" t="str">
        <f>IF($D1395=1,INDEX(TblClusters[Tarif par nœud],$B1395),"")</f>
        <v/>
      </c>
      <c r="L1395" s="19" t="str">
        <f>IF($D1395=1,INDEX(TblClusters[CPU initial (vCPU)],$B1395),"")</f>
        <v/>
      </c>
      <c r="M1395" s="19" t="str">
        <f>IF($D1395=1,INDEX(TblClusters[RAM initiale (Go)],$B1395),"")</f>
        <v/>
      </c>
      <c r="N1395" s="19" t="str">
        <f>IF($D1395=1,INDEX(TblClusters[CPU min (vCPU)],$B1395),"")</f>
        <v/>
      </c>
      <c r="O1395" s="19" t="str">
        <f>IF($D1395=1,INDEX(TblClusters[RAM min (Go)],$B1395),"")</f>
        <v/>
      </c>
      <c r="P1395" s="19" t="str">
        <f>IF($D1395&lt;&gt;1,"",IF($G1395="ROKS",SUMIFS(TblApplications[Besoin ROKS CPU (vCPU)],TblApplications[Cluster ROKS cible],$F1395,TblApplications[Action],"À migrer",TblApplications[Déjà incluse ROKS],"Non",TblApplications[Mois prov (calc)],"&lt;="&amp;$E1395),SUMIFS(TblApplications[CPU IKS libérable (vCPU)],TblApplications[Cluster IKS source],$F1395,TblApplications[Mois lib (calc)],"&lt;="&amp;$E1395)))</f>
        <v/>
      </c>
      <c r="Q1395" s="19" t="str">
        <f>IF($D1395&lt;&gt;1,"",IF($G1395="ROKS",SUMIFS(TblApplications[Besoin ROKS RAM (Go)],TblApplications[Cluster ROKS cible],$F1395,TblApplications[Action],"À migrer",TblApplications[Déjà incluse ROKS],"Non",TblApplications[Mois prov (calc)],"&lt;="&amp;$E1395),SUMIFS(TblApplications[RAM IKS libérable (Go)],TblApplications[Cluster IKS source],$F1395,TblApplications[Mois lib (calc)],"&lt;="&amp;$E1395)))</f>
        <v/>
      </c>
      <c r="R1395" s="19" t="str">
        <f t="shared" si="360"/>
        <v/>
      </c>
      <c r="S1395" s="19" t="str">
        <f t="shared" si="361"/>
        <v/>
      </c>
      <c r="T1395" s="19" t="str">
        <f t="shared" si="362"/>
        <v/>
      </c>
      <c r="U1395" s="19" t="str">
        <f t="shared" si="363"/>
        <v/>
      </c>
      <c r="V1395" s="19" t="str">
        <f t="shared" si="364"/>
        <v/>
      </c>
      <c r="W1395" s="73" t="str">
        <f t="shared" si="365"/>
        <v/>
      </c>
      <c r="X1395" s="19" t="str">
        <f>IF($D1395&lt;&gt;1,"",IF($G1395="ROKS",$R1395,IF($AI1395=1,0,MAX($N1395,$L1395-SUMIFS(TblApplications[CPU IKS libérable (vCPU)],TblApplications[Cluster IKS source],$F1395,TblApplications[Action],"À migrer",TblApplications[Mois prov (calc)],"&lt;="&amp;$E1395)-SUMIFS(TblApplications[CPU IKS libérable (vCPU)],TblApplications[Cluster IKS source],$F1395,TblApplications[Action],"À décommissionner",TblApplications[Mois lib (calc)],"&lt;="&amp;$E1395)))))</f>
        <v/>
      </c>
      <c r="Y1395" s="19" t="str">
        <f>IF($D1395&lt;&gt;1,"",IF($G1395="ROKS",$S1395,IF($AI1395=1,0,MAX($O1395,$M1395-SUMIFS(TblApplications[RAM IKS libérable (Go)],TblApplications[Cluster IKS source],$F1395,TblApplications[Action],"À migrer",TblApplications[Mois prov (calc)],"&lt;="&amp;$E1395)-SUMIFS(TblApplications[RAM IKS libérable (Go)],TblApplications[Cluster IKS source],$F1395,TblApplications[Action],"À décommissionner",TblApplications[Mois lib (calc)],"&lt;="&amp;$E1395)))))</f>
        <v/>
      </c>
      <c r="Z1395" s="19" t="str">
        <f t="shared" si="366"/>
        <v/>
      </c>
      <c r="AA1395" s="73" t="str">
        <f t="shared" si="367"/>
        <v/>
      </c>
      <c r="AB1395" s="19" t="str">
        <f t="shared" si="368"/>
        <v/>
      </c>
      <c r="AC1395" s="73" t="str">
        <f t="shared" si="369"/>
        <v/>
      </c>
      <c r="AD1395" s="19" t="str">
        <f t="shared" si="370"/>
        <v/>
      </c>
      <c r="AE1395" s="19" t="str">
        <f t="shared" si="371"/>
        <v/>
      </c>
      <c r="AF1395" s="19" t="str">
        <f>IF($D1395&lt;&gt;1,"",IF(INDEX(TblClusters[Environnement],$B1395)="","(vide)",INDEX(TblClusters[Environnement],$B1395)))</f>
        <v/>
      </c>
      <c r="AG1395" s="19" t="str">
        <f t="shared" si="372"/>
        <v/>
      </c>
      <c r="AH1395" s="19" t="str">
        <f t="shared" si="373"/>
        <v/>
      </c>
      <c r="AI1395" s="19" t="str">
        <f>IF($D1395&lt;&gt;1,"",IF(AND($G1395="IKS",ISNUMBER(INDEX(TblClusters[Fermeture retenue],$B1395))),IF($E1395&gt;=INDEX(TblClusters[Fermeture retenue],$B1395),1,0),0))</f>
        <v/>
      </c>
    </row>
    <row r="1396" spans="1:35" x14ac:dyDescent="0.2">
      <c r="A1396" s="19">
        <v>1391</v>
      </c>
      <c r="B1396" s="19">
        <f t="shared" si="357"/>
        <v>39</v>
      </c>
      <c r="C1396" s="19">
        <f t="shared" si="358"/>
        <v>23</v>
      </c>
      <c r="D1396" s="19">
        <f>IF($C1396&gt;p_horizon,0,IFERROR(IF(AND(INDEX(TblClusters[Cluster],$B1396)&lt;&gt;"",ISNUMBER(INDEX(TblClusters[CPU initial (vCPU)],$B1396)),ISNUMBER(INDEX(TblClusters[CPU min (vCPU)],$B1396)),OR(INDEX(TblClusters[Plateforme],$B1396)="IKS",INDEX(TblClusters[Plateforme],$B1396)="ROKS")),1,0),0))</f>
        <v>0</v>
      </c>
      <c r="E1396" s="72" t="str">
        <f t="shared" si="359"/>
        <v/>
      </c>
      <c r="F1396" s="19" t="str">
        <f>IF($D1396=1,INDEX(TblClusters[Cluster],$B1396),"")</f>
        <v/>
      </c>
      <c r="G1396" s="19" t="str">
        <f>IF($D1396=1,INDEX(TblClusters[Plateforme],$B1396),"")</f>
        <v/>
      </c>
      <c r="H1396" s="19" t="str">
        <f>IF($D1396=1,INDEX(TblClusters[vCPU par nœud],$B1396),"")</f>
        <v/>
      </c>
      <c r="I1396" s="19" t="str">
        <f>IF($D1396=1,INDEX(TblClusters[RAM par nœud (Go)],$B1396),"")</f>
        <v/>
      </c>
      <c r="J1396" s="19" t="str">
        <f>IF($D1396=1,INDEX(TblClusters[Workers min],$B1396),"")</f>
        <v/>
      </c>
      <c r="K1396" s="73" t="str">
        <f>IF($D1396=1,INDEX(TblClusters[Tarif par nœud],$B1396),"")</f>
        <v/>
      </c>
      <c r="L1396" s="19" t="str">
        <f>IF($D1396=1,INDEX(TblClusters[CPU initial (vCPU)],$B1396),"")</f>
        <v/>
      </c>
      <c r="M1396" s="19" t="str">
        <f>IF($D1396=1,INDEX(TblClusters[RAM initiale (Go)],$B1396),"")</f>
        <v/>
      </c>
      <c r="N1396" s="19" t="str">
        <f>IF($D1396=1,INDEX(TblClusters[CPU min (vCPU)],$B1396),"")</f>
        <v/>
      </c>
      <c r="O1396" s="19" t="str">
        <f>IF($D1396=1,INDEX(TblClusters[RAM min (Go)],$B1396),"")</f>
        <v/>
      </c>
      <c r="P1396" s="19" t="str">
        <f>IF($D1396&lt;&gt;1,"",IF($G1396="ROKS",SUMIFS(TblApplications[Besoin ROKS CPU (vCPU)],TblApplications[Cluster ROKS cible],$F1396,TblApplications[Action],"À migrer",TblApplications[Déjà incluse ROKS],"Non",TblApplications[Mois prov (calc)],"&lt;="&amp;$E1396),SUMIFS(TblApplications[CPU IKS libérable (vCPU)],TblApplications[Cluster IKS source],$F1396,TblApplications[Mois lib (calc)],"&lt;="&amp;$E1396)))</f>
        <v/>
      </c>
      <c r="Q1396" s="19" t="str">
        <f>IF($D1396&lt;&gt;1,"",IF($G1396="ROKS",SUMIFS(TblApplications[Besoin ROKS RAM (Go)],TblApplications[Cluster ROKS cible],$F1396,TblApplications[Action],"À migrer",TblApplications[Déjà incluse ROKS],"Non",TblApplications[Mois prov (calc)],"&lt;="&amp;$E1396),SUMIFS(TblApplications[RAM IKS libérable (Go)],TblApplications[Cluster IKS source],$F1396,TblApplications[Mois lib (calc)],"&lt;="&amp;$E1396)))</f>
        <v/>
      </c>
      <c r="R1396" s="19" t="str">
        <f t="shared" si="360"/>
        <v/>
      </c>
      <c r="S1396" s="19" t="str">
        <f t="shared" si="361"/>
        <v/>
      </c>
      <c r="T1396" s="19" t="str">
        <f t="shared" si="362"/>
        <v/>
      </c>
      <c r="U1396" s="19" t="str">
        <f t="shared" si="363"/>
        <v/>
      </c>
      <c r="V1396" s="19" t="str">
        <f t="shared" si="364"/>
        <v/>
      </c>
      <c r="W1396" s="73" t="str">
        <f t="shared" si="365"/>
        <v/>
      </c>
      <c r="X1396" s="19" t="str">
        <f>IF($D1396&lt;&gt;1,"",IF($G1396="ROKS",$R1396,IF($AI1396=1,0,MAX($N1396,$L1396-SUMIFS(TblApplications[CPU IKS libérable (vCPU)],TblApplications[Cluster IKS source],$F1396,TblApplications[Action],"À migrer",TblApplications[Mois prov (calc)],"&lt;="&amp;$E1396)-SUMIFS(TblApplications[CPU IKS libérable (vCPU)],TblApplications[Cluster IKS source],$F1396,TblApplications[Action],"À décommissionner",TblApplications[Mois lib (calc)],"&lt;="&amp;$E1396)))))</f>
        <v/>
      </c>
      <c r="Y1396" s="19" t="str">
        <f>IF($D1396&lt;&gt;1,"",IF($G1396="ROKS",$S1396,IF($AI1396=1,0,MAX($O1396,$M1396-SUMIFS(TblApplications[RAM IKS libérable (Go)],TblApplications[Cluster IKS source],$F1396,TblApplications[Action],"À migrer",TblApplications[Mois prov (calc)],"&lt;="&amp;$E1396)-SUMIFS(TblApplications[RAM IKS libérable (Go)],TblApplications[Cluster IKS source],$F1396,TblApplications[Action],"À décommissionner",TblApplications[Mois lib (calc)],"&lt;="&amp;$E1396)))))</f>
        <v/>
      </c>
      <c r="Z1396" s="19" t="str">
        <f t="shared" si="366"/>
        <v/>
      </c>
      <c r="AA1396" s="73" t="str">
        <f t="shared" si="367"/>
        <v/>
      </c>
      <c r="AB1396" s="19" t="str">
        <f t="shared" si="368"/>
        <v/>
      </c>
      <c r="AC1396" s="73" t="str">
        <f t="shared" si="369"/>
        <v/>
      </c>
      <c r="AD1396" s="19" t="str">
        <f t="shared" si="370"/>
        <v/>
      </c>
      <c r="AE1396" s="19" t="str">
        <f t="shared" si="371"/>
        <v/>
      </c>
      <c r="AF1396" s="19" t="str">
        <f>IF($D1396&lt;&gt;1,"",IF(INDEX(TblClusters[Environnement],$B1396)="","(vide)",INDEX(TblClusters[Environnement],$B1396)))</f>
        <v/>
      </c>
      <c r="AG1396" s="19" t="str">
        <f t="shared" si="372"/>
        <v/>
      </c>
      <c r="AH1396" s="19" t="str">
        <f t="shared" si="373"/>
        <v/>
      </c>
      <c r="AI1396" s="19" t="str">
        <f>IF($D1396&lt;&gt;1,"",IF(AND($G1396="IKS",ISNUMBER(INDEX(TblClusters[Fermeture retenue],$B1396))),IF($E1396&gt;=INDEX(TblClusters[Fermeture retenue],$B1396),1,0),0))</f>
        <v/>
      </c>
    </row>
    <row r="1397" spans="1:35" x14ac:dyDescent="0.2">
      <c r="A1397" s="19">
        <v>1392</v>
      </c>
      <c r="B1397" s="19">
        <f t="shared" si="357"/>
        <v>39</v>
      </c>
      <c r="C1397" s="19">
        <f t="shared" si="358"/>
        <v>24</v>
      </c>
      <c r="D1397" s="19">
        <f>IF($C1397&gt;p_horizon,0,IFERROR(IF(AND(INDEX(TblClusters[Cluster],$B1397)&lt;&gt;"",ISNUMBER(INDEX(TblClusters[CPU initial (vCPU)],$B1397)),ISNUMBER(INDEX(TblClusters[CPU min (vCPU)],$B1397)),OR(INDEX(TblClusters[Plateforme],$B1397)="IKS",INDEX(TblClusters[Plateforme],$B1397)="ROKS")),1,0),0))</f>
        <v>0</v>
      </c>
      <c r="E1397" s="72" t="str">
        <f t="shared" si="359"/>
        <v/>
      </c>
      <c r="F1397" s="19" t="str">
        <f>IF($D1397=1,INDEX(TblClusters[Cluster],$B1397),"")</f>
        <v/>
      </c>
      <c r="G1397" s="19" t="str">
        <f>IF($D1397=1,INDEX(TblClusters[Plateforme],$B1397),"")</f>
        <v/>
      </c>
      <c r="H1397" s="19" t="str">
        <f>IF($D1397=1,INDEX(TblClusters[vCPU par nœud],$B1397),"")</f>
        <v/>
      </c>
      <c r="I1397" s="19" t="str">
        <f>IF($D1397=1,INDEX(TblClusters[RAM par nœud (Go)],$B1397),"")</f>
        <v/>
      </c>
      <c r="J1397" s="19" t="str">
        <f>IF($D1397=1,INDEX(TblClusters[Workers min],$B1397),"")</f>
        <v/>
      </c>
      <c r="K1397" s="73" t="str">
        <f>IF($D1397=1,INDEX(TblClusters[Tarif par nœud],$B1397),"")</f>
        <v/>
      </c>
      <c r="L1397" s="19" t="str">
        <f>IF($D1397=1,INDEX(TblClusters[CPU initial (vCPU)],$B1397),"")</f>
        <v/>
      </c>
      <c r="M1397" s="19" t="str">
        <f>IF($D1397=1,INDEX(TblClusters[RAM initiale (Go)],$B1397),"")</f>
        <v/>
      </c>
      <c r="N1397" s="19" t="str">
        <f>IF($D1397=1,INDEX(TblClusters[CPU min (vCPU)],$B1397),"")</f>
        <v/>
      </c>
      <c r="O1397" s="19" t="str">
        <f>IF($D1397=1,INDEX(TblClusters[RAM min (Go)],$B1397),"")</f>
        <v/>
      </c>
      <c r="P1397" s="19" t="str">
        <f>IF($D1397&lt;&gt;1,"",IF($G1397="ROKS",SUMIFS(TblApplications[Besoin ROKS CPU (vCPU)],TblApplications[Cluster ROKS cible],$F1397,TblApplications[Action],"À migrer",TblApplications[Déjà incluse ROKS],"Non",TblApplications[Mois prov (calc)],"&lt;="&amp;$E1397),SUMIFS(TblApplications[CPU IKS libérable (vCPU)],TblApplications[Cluster IKS source],$F1397,TblApplications[Mois lib (calc)],"&lt;="&amp;$E1397)))</f>
        <v/>
      </c>
      <c r="Q1397" s="19" t="str">
        <f>IF($D1397&lt;&gt;1,"",IF($G1397="ROKS",SUMIFS(TblApplications[Besoin ROKS RAM (Go)],TblApplications[Cluster ROKS cible],$F1397,TblApplications[Action],"À migrer",TblApplications[Déjà incluse ROKS],"Non",TblApplications[Mois prov (calc)],"&lt;="&amp;$E1397),SUMIFS(TblApplications[RAM IKS libérable (Go)],TblApplications[Cluster IKS source],$F1397,TblApplications[Mois lib (calc)],"&lt;="&amp;$E1397)))</f>
        <v/>
      </c>
      <c r="R1397" s="19" t="str">
        <f t="shared" si="360"/>
        <v/>
      </c>
      <c r="S1397" s="19" t="str">
        <f t="shared" si="361"/>
        <v/>
      </c>
      <c r="T1397" s="19" t="str">
        <f t="shared" si="362"/>
        <v/>
      </c>
      <c r="U1397" s="19" t="str">
        <f t="shared" si="363"/>
        <v/>
      </c>
      <c r="V1397" s="19" t="str">
        <f t="shared" si="364"/>
        <v/>
      </c>
      <c r="W1397" s="73" t="str">
        <f t="shared" si="365"/>
        <v/>
      </c>
      <c r="X1397" s="19" t="str">
        <f>IF($D1397&lt;&gt;1,"",IF($G1397="ROKS",$R1397,IF($AI1397=1,0,MAX($N1397,$L1397-SUMIFS(TblApplications[CPU IKS libérable (vCPU)],TblApplications[Cluster IKS source],$F1397,TblApplications[Action],"À migrer",TblApplications[Mois prov (calc)],"&lt;="&amp;$E1397)-SUMIFS(TblApplications[CPU IKS libérable (vCPU)],TblApplications[Cluster IKS source],$F1397,TblApplications[Action],"À décommissionner",TblApplications[Mois lib (calc)],"&lt;="&amp;$E1397)))))</f>
        <v/>
      </c>
      <c r="Y1397" s="19" t="str">
        <f>IF($D1397&lt;&gt;1,"",IF($G1397="ROKS",$S1397,IF($AI1397=1,0,MAX($O1397,$M1397-SUMIFS(TblApplications[RAM IKS libérable (Go)],TblApplications[Cluster IKS source],$F1397,TblApplications[Action],"À migrer",TblApplications[Mois prov (calc)],"&lt;="&amp;$E1397)-SUMIFS(TblApplications[RAM IKS libérable (Go)],TblApplications[Cluster IKS source],$F1397,TblApplications[Action],"À décommissionner",TblApplications[Mois lib (calc)],"&lt;="&amp;$E1397)))))</f>
        <v/>
      </c>
      <c r="Z1397" s="19" t="str">
        <f t="shared" si="366"/>
        <v/>
      </c>
      <c r="AA1397" s="73" t="str">
        <f t="shared" si="367"/>
        <v/>
      </c>
      <c r="AB1397" s="19" t="str">
        <f t="shared" si="368"/>
        <v/>
      </c>
      <c r="AC1397" s="73" t="str">
        <f t="shared" si="369"/>
        <v/>
      </c>
      <c r="AD1397" s="19" t="str">
        <f t="shared" si="370"/>
        <v/>
      </c>
      <c r="AE1397" s="19" t="str">
        <f t="shared" si="371"/>
        <v/>
      </c>
      <c r="AF1397" s="19" t="str">
        <f>IF($D1397&lt;&gt;1,"",IF(INDEX(TblClusters[Environnement],$B1397)="","(vide)",INDEX(TblClusters[Environnement],$B1397)))</f>
        <v/>
      </c>
      <c r="AG1397" s="19" t="str">
        <f t="shared" si="372"/>
        <v/>
      </c>
      <c r="AH1397" s="19" t="str">
        <f t="shared" si="373"/>
        <v/>
      </c>
      <c r="AI1397" s="19" t="str">
        <f>IF($D1397&lt;&gt;1,"",IF(AND($G1397="IKS",ISNUMBER(INDEX(TblClusters[Fermeture retenue],$B1397))),IF($E1397&gt;=INDEX(TblClusters[Fermeture retenue],$B1397),1,0),0))</f>
        <v/>
      </c>
    </row>
    <row r="1398" spans="1:35" x14ac:dyDescent="0.2">
      <c r="A1398" s="19">
        <v>1393</v>
      </c>
      <c r="B1398" s="19">
        <f t="shared" si="357"/>
        <v>39</v>
      </c>
      <c r="C1398" s="19">
        <f t="shared" si="358"/>
        <v>25</v>
      </c>
      <c r="D1398" s="19">
        <f>IF($C1398&gt;p_horizon,0,IFERROR(IF(AND(INDEX(TblClusters[Cluster],$B1398)&lt;&gt;"",ISNUMBER(INDEX(TblClusters[CPU initial (vCPU)],$B1398)),ISNUMBER(INDEX(TblClusters[CPU min (vCPU)],$B1398)),OR(INDEX(TblClusters[Plateforme],$B1398)="IKS",INDEX(TblClusters[Plateforme],$B1398)="ROKS")),1,0),0))</f>
        <v>0</v>
      </c>
      <c r="E1398" s="72" t="str">
        <f t="shared" si="359"/>
        <v/>
      </c>
      <c r="F1398" s="19" t="str">
        <f>IF($D1398=1,INDEX(TblClusters[Cluster],$B1398),"")</f>
        <v/>
      </c>
      <c r="G1398" s="19" t="str">
        <f>IF($D1398=1,INDEX(TblClusters[Plateforme],$B1398),"")</f>
        <v/>
      </c>
      <c r="H1398" s="19" t="str">
        <f>IF($D1398=1,INDEX(TblClusters[vCPU par nœud],$B1398),"")</f>
        <v/>
      </c>
      <c r="I1398" s="19" t="str">
        <f>IF($D1398=1,INDEX(TblClusters[RAM par nœud (Go)],$B1398),"")</f>
        <v/>
      </c>
      <c r="J1398" s="19" t="str">
        <f>IF($D1398=1,INDEX(TblClusters[Workers min],$B1398),"")</f>
        <v/>
      </c>
      <c r="K1398" s="73" t="str">
        <f>IF($D1398=1,INDEX(TblClusters[Tarif par nœud],$B1398),"")</f>
        <v/>
      </c>
      <c r="L1398" s="19" t="str">
        <f>IF($D1398=1,INDEX(TblClusters[CPU initial (vCPU)],$B1398),"")</f>
        <v/>
      </c>
      <c r="M1398" s="19" t="str">
        <f>IF($D1398=1,INDEX(TblClusters[RAM initiale (Go)],$B1398),"")</f>
        <v/>
      </c>
      <c r="N1398" s="19" t="str">
        <f>IF($D1398=1,INDEX(TblClusters[CPU min (vCPU)],$B1398),"")</f>
        <v/>
      </c>
      <c r="O1398" s="19" t="str">
        <f>IF($D1398=1,INDEX(TblClusters[RAM min (Go)],$B1398),"")</f>
        <v/>
      </c>
      <c r="P1398" s="19" t="str">
        <f>IF($D1398&lt;&gt;1,"",IF($G1398="ROKS",SUMIFS(TblApplications[Besoin ROKS CPU (vCPU)],TblApplications[Cluster ROKS cible],$F1398,TblApplications[Action],"À migrer",TblApplications[Déjà incluse ROKS],"Non",TblApplications[Mois prov (calc)],"&lt;="&amp;$E1398),SUMIFS(TblApplications[CPU IKS libérable (vCPU)],TblApplications[Cluster IKS source],$F1398,TblApplications[Mois lib (calc)],"&lt;="&amp;$E1398)))</f>
        <v/>
      </c>
      <c r="Q1398" s="19" t="str">
        <f>IF($D1398&lt;&gt;1,"",IF($G1398="ROKS",SUMIFS(TblApplications[Besoin ROKS RAM (Go)],TblApplications[Cluster ROKS cible],$F1398,TblApplications[Action],"À migrer",TblApplications[Déjà incluse ROKS],"Non",TblApplications[Mois prov (calc)],"&lt;="&amp;$E1398),SUMIFS(TblApplications[RAM IKS libérable (Go)],TblApplications[Cluster IKS source],$F1398,TblApplications[Mois lib (calc)],"&lt;="&amp;$E1398)))</f>
        <v/>
      </c>
      <c r="R1398" s="19" t="str">
        <f t="shared" si="360"/>
        <v/>
      </c>
      <c r="S1398" s="19" t="str">
        <f t="shared" si="361"/>
        <v/>
      </c>
      <c r="T1398" s="19" t="str">
        <f t="shared" si="362"/>
        <v/>
      </c>
      <c r="U1398" s="19" t="str">
        <f t="shared" si="363"/>
        <v/>
      </c>
      <c r="V1398" s="19" t="str">
        <f t="shared" si="364"/>
        <v/>
      </c>
      <c r="W1398" s="73" t="str">
        <f t="shared" si="365"/>
        <v/>
      </c>
      <c r="X1398" s="19" t="str">
        <f>IF($D1398&lt;&gt;1,"",IF($G1398="ROKS",$R1398,IF($AI1398=1,0,MAX($N1398,$L1398-SUMIFS(TblApplications[CPU IKS libérable (vCPU)],TblApplications[Cluster IKS source],$F1398,TblApplications[Action],"À migrer",TblApplications[Mois prov (calc)],"&lt;="&amp;$E1398)-SUMIFS(TblApplications[CPU IKS libérable (vCPU)],TblApplications[Cluster IKS source],$F1398,TblApplications[Action],"À décommissionner",TblApplications[Mois lib (calc)],"&lt;="&amp;$E1398)))))</f>
        <v/>
      </c>
      <c r="Y1398" s="19" t="str">
        <f>IF($D1398&lt;&gt;1,"",IF($G1398="ROKS",$S1398,IF($AI1398=1,0,MAX($O1398,$M1398-SUMIFS(TblApplications[RAM IKS libérable (Go)],TblApplications[Cluster IKS source],$F1398,TblApplications[Action],"À migrer",TblApplications[Mois prov (calc)],"&lt;="&amp;$E1398)-SUMIFS(TblApplications[RAM IKS libérable (Go)],TblApplications[Cluster IKS source],$F1398,TblApplications[Action],"À décommissionner",TblApplications[Mois lib (calc)],"&lt;="&amp;$E1398)))))</f>
        <v/>
      </c>
      <c r="Z1398" s="19" t="str">
        <f t="shared" si="366"/>
        <v/>
      </c>
      <c r="AA1398" s="73" t="str">
        <f t="shared" si="367"/>
        <v/>
      </c>
      <c r="AB1398" s="19" t="str">
        <f t="shared" si="368"/>
        <v/>
      </c>
      <c r="AC1398" s="73" t="str">
        <f t="shared" si="369"/>
        <v/>
      </c>
      <c r="AD1398" s="19" t="str">
        <f t="shared" si="370"/>
        <v/>
      </c>
      <c r="AE1398" s="19" t="str">
        <f t="shared" si="371"/>
        <v/>
      </c>
      <c r="AF1398" s="19" t="str">
        <f>IF($D1398&lt;&gt;1,"",IF(INDEX(TblClusters[Environnement],$B1398)="","(vide)",INDEX(TblClusters[Environnement],$B1398)))</f>
        <v/>
      </c>
      <c r="AG1398" s="19" t="str">
        <f t="shared" si="372"/>
        <v/>
      </c>
      <c r="AH1398" s="19" t="str">
        <f t="shared" si="373"/>
        <v/>
      </c>
      <c r="AI1398" s="19" t="str">
        <f>IF($D1398&lt;&gt;1,"",IF(AND($G1398="IKS",ISNUMBER(INDEX(TblClusters[Fermeture retenue],$B1398))),IF($E1398&gt;=INDEX(TblClusters[Fermeture retenue],$B1398),1,0),0))</f>
        <v/>
      </c>
    </row>
    <row r="1399" spans="1:35" x14ac:dyDescent="0.2">
      <c r="A1399" s="19">
        <v>1394</v>
      </c>
      <c r="B1399" s="19">
        <f t="shared" si="357"/>
        <v>39</v>
      </c>
      <c r="C1399" s="19">
        <f t="shared" si="358"/>
        <v>26</v>
      </c>
      <c r="D1399" s="19">
        <f>IF($C1399&gt;p_horizon,0,IFERROR(IF(AND(INDEX(TblClusters[Cluster],$B1399)&lt;&gt;"",ISNUMBER(INDEX(TblClusters[CPU initial (vCPU)],$B1399)),ISNUMBER(INDEX(TblClusters[CPU min (vCPU)],$B1399)),OR(INDEX(TblClusters[Plateforme],$B1399)="IKS",INDEX(TblClusters[Plateforme],$B1399)="ROKS")),1,0),0))</f>
        <v>0</v>
      </c>
      <c r="E1399" s="72" t="str">
        <f t="shared" si="359"/>
        <v/>
      </c>
      <c r="F1399" s="19" t="str">
        <f>IF($D1399=1,INDEX(TblClusters[Cluster],$B1399),"")</f>
        <v/>
      </c>
      <c r="G1399" s="19" t="str">
        <f>IF($D1399=1,INDEX(TblClusters[Plateforme],$B1399),"")</f>
        <v/>
      </c>
      <c r="H1399" s="19" t="str">
        <f>IF($D1399=1,INDEX(TblClusters[vCPU par nœud],$B1399),"")</f>
        <v/>
      </c>
      <c r="I1399" s="19" t="str">
        <f>IF($D1399=1,INDEX(TblClusters[RAM par nœud (Go)],$B1399),"")</f>
        <v/>
      </c>
      <c r="J1399" s="19" t="str">
        <f>IF($D1399=1,INDEX(TblClusters[Workers min],$B1399),"")</f>
        <v/>
      </c>
      <c r="K1399" s="73" t="str">
        <f>IF($D1399=1,INDEX(TblClusters[Tarif par nœud],$B1399),"")</f>
        <v/>
      </c>
      <c r="L1399" s="19" t="str">
        <f>IF($D1399=1,INDEX(TblClusters[CPU initial (vCPU)],$B1399),"")</f>
        <v/>
      </c>
      <c r="M1399" s="19" t="str">
        <f>IF($D1399=1,INDEX(TblClusters[RAM initiale (Go)],$B1399),"")</f>
        <v/>
      </c>
      <c r="N1399" s="19" t="str">
        <f>IF($D1399=1,INDEX(TblClusters[CPU min (vCPU)],$B1399),"")</f>
        <v/>
      </c>
      <c r="O1399" s="19" t="str">
        <f>IF($D1399=1,INDEX(TblClusters[RAM min (Go)],$B1399),"")</f>
        <v/>
      </c>
      <c r="P1399" s="19" t="str">
        <f>IF($D1399&lt;&gt;1,"",IF($G1399="ROKS",SUMIFS(TblApplications[Besoin ROKS CPU (vCPU)],TblApplications[Cluster ROKS cible],$F1399,TblApplications[Action],"À migrer",TblApplications[Déjà incluse ROKS],"Non",TblApplications[Mois prov (calc)],"&lt;="&amp;$E1399),SUMIFS(TblApplications[CPU IKS libérable (vCPU)],TblApplications[Cluster IKS source],$F1399,TblApplications[Mois lib (calc)],"&lt;="&amp;$E1399)))</f>
        <v/>
      </c>
      <c r="Q1399" s="19" t="str">
        <f>IF($D1399&lt;&gt;1,"",IF($G1399="ROKS",SUMIFS(TblApplications[Besoin ROKS RAM (Go)],TblApplications[Cluster ROKS cible],$F1399,TblApplications[Action],"À migrer",TblApplications[Déjà incluse ROKS],"Non",TblApplications[Mois prov (calc)],"&lt;="&amp;$E1399),SUMIFS(TblApplications[RAM IKS libérable (Go)],TblApplications[Cluster IKS source],$F1399,TblApplications[Mois lib (calc)],"&lt;="&amp;$E1399)))</f>
        <v/>
      </c>
      <c r="R1399" s="19" t="str">
        <f t="shared" si="360"/>
        <v/>
      </c>
      <c r="S1399" s="19" t="str">
        <f t="shared" si="361"/>
        <v/>
      </c>
      <c r="T1399" s="19" t="str">
        <f t="shared" si="362"/>
        <v/>
      </c>
      <c r="U1399" s="19" t="str">
        <f t="shared" si="363"/>
        <v/>
      </c>
      <c r="V1399" s="19" t="str">
        <f t="shared" si="364"/>
        <v/>
      </c>
      <c r="W1399" s="73" t="str">
        <f t="shared" si="365"/>
        <v/>
      </c>
      <c r="X1399" s="19" t="str">
        <f>IF($D1399&lt;&gt;1,"",IF($G1399="ROKS",$R1399,IF($AI1399=1,0,MAX($N1399,$L1399-SUMIFS(TblApplications[CPU IKS libérable (vCPU)],TblApplications[Cluster IKS source],$F1399,TblApplications[Action],"À migrer",TblApplications[Mois prov (calc)],"&lt;="&amp;$E1399)-SUMIFS(TblApplications[CPU IKS libérable (vCPU)],TblApplications[Cluster IKS source],$F1399,TblApplications[Action],"À décommissionner",TblApplications[Mois lib (calc)],"&lt;="&amp;$E1399)))))</f>
        <v/>
      </c>
      <c r="Y1399" s="19" t="str">
        <f>IF($D1399&lt;&gt;1,"",IF($G1399="ROKS",$S1399,IF($AI1399=1,0,MAX($O1399,$M1399-SUMIFS(TblApplications[RAM IKS libérable (Go)],TblApplications[Cluster IKS source],$F1399,TblApplications[Action],"À migrer",TblApplications[Mois prov (calc)],"&lt;="&amp;$E1399)-SUMIFS(TblApplications[RAM IKS libérable (Go)],TblApplications[Cluster IKS source],$F1399,TblApplications[Action],"À décommissionner",TblApplications[Mois lib (calc)],"&lt;="&amp;$E1399)))))</f>
        <v/>
      </c>
      <c r="Z1399" s="19" t="str">
        <f t="shared" si="366"/>
        <v/>
      </c>
      <c r="AA1399" s="73" t="str">
        <f t="shared" si="367"/>
        <v/>
      </c>
      <c r="AB1399" s="19" t="str">
        <f t="shared" si="368"/>
        <v/>
      </c>
      <c r="AC1399" s="73" t="str">
        <f t="shared" si="369"/>
        <v/>
      </c>
      <c r="AD1399" s="19" t="str">
        <f t="shared" si="370"/>
        <v/>
      </c>
      <c r="AE1399" s="19" t="str">
        <f t="shared" si="371"/>
        <v/>
      </c>
      <c r="AF1399" s="19" t="str">
        <f>IF($D1399&lt;&gt;1,"",IF(INDEX(TblClusters[Environnement],$B1399)="","(vide)",INDEX(TblClusters[Environnement],$B1399)))</f>
        <v/>
      </c>
      <c r="AG1399" s="19" t="str">
        <f t="shared" si="372"/>
        <v/>
      </c>
      <c r="AH1399" s="19" t="str">
        <f t="shared" si="373"/>
        <v/>
      </c>
      <c r="AI1399" s="19" t="str">
        <f>IF($D1399&lt;&gt;1,"",IF(AND($G1399="IKS",ISNUMBER(INDEX(TblClusters[Fermeture retenue],$B1399))),IF($E1399&gt;=INDEX(TblClusters[Fermeture retenue],$B1399),1,0),0))</f>
        <v/>
      </c>
    </row>
    <row r="1400" spans="1:35" x14ac:dyDescent="0.2">
      <c r="A1400" s="19">
        <v>1395</v>
      </c>
      <c r="B1400" s="19">
        <f t="shared" si="357"/>
        <v>39</v>
      </c>
      <c r="C1400" s="19">
        <f t="shared" si="358"/>
        <v>27</v>
      </c>
      <c r="D1400" s="19">
        <f>IF($C1400&gt;p_horizon,0,IFERROR(IF(AND(INDEX(TblClusters[Cluster],$B1400)&lt;&gt;"",ISNUMBER(INDEX(TblClusters[CPU initial (vCPU)],$B1400)),ISNUMBER(INDEX(TblClusters[CPU min (vCPU)],$B1400)),OR(INDEX(TblClusters[Plateforme],$B1400)="IKS",INDEX(TblClusters[Plateforme],$B1400)="ROKS")),1,0),0))</f>
        <v>0</v>
      </c>
      <c r="E1400" s="72" t="str">
        <f t="shared" si="359"/>
        <v/>
      </c>
      <c r="F1400" s="19" t="str">
        <f>IF($D1400=1,INDEX(TblClusters[Cluster],$B1400),"")</f>
        <v/>
      </c>
      <c r="G1400" s="19" t="str">
        <f>IF($D1400=1,INDEX(TblClusters[Plateforme],$B1400),"")</f>
        <v/>
      </c>
      <c r="H1400" s="19" t="str">
        <f>IF($D1400=1,INDEX(TblClusters[vCPU par nœud],$B1400),"")</f>
        <v/>
      </c>
      <c r="I1400" s="19" t="str">
        <f>IF($D1400=1,INDEX(TblClusters[RAM par nœud (Go)],$B1400),"")</f>
        <v/>
      </c>
      <c r="J1400" s="19" t="str">
        <f>IF($D1400=1,INDEX(TblClusters[Workers min],$B1400),"")</f>
        <v/>
      </c>
      <c r="K1400" s="73" t="str">
        <f>IF($D1400=1,INDEX(TblClusters[Tarif par nœud],$B1400),"")</f>
        <v/>
      </c>
      <c r="L1400" s="19" t="str">
        <f>IF($D1400=1,INDEX(TblClusters[CPU initial (vCPU)],$B1400),"")</f>
        <v/>
      </c>
      <c r="M1400" s="19" t="str">
        <f>IF($D1400=1,INDEX(TblClusters[RAM initiale (Go)],$B1400),"")</f>
        <v/>
      </c>
      <c r="N1400" s="19" t="str">
        <f>IF($D1400=1,INDEX(TblClusters[CPU min (vCPU)],$B1400),"")</f>
        <v/>
      </c>
      <c r="O1400" s="19" t="str">
        <f>IF($D1400=1,INDEX(TblClusters[RAM min (Go)],$B1400),"")</f>
        <v/>
      </c>
      <c r="P1400" s="19" t="str">
        <f>IF($D1400&lt;&gt;1,"",IF($G1400="ROKS",SUMIFS(TblApplications[Besoin ROKS CPU (vCPU)],TblApplications[Cluster ROKS cible],$F1400,TblApplications[Action],"À migrer",TblApplications[Déjà incluse ROKS],"Non",TblApplications[Mois prov (calc)],"&lt;="&amp;$E1400),SUMIFS(TblApplications[CPU IKS libérable (vCPU)],TblApplications[Cluster IKS source],$F1400,TblApplications[Mois lib (calc)],"&lt;="&amp;$E1400)))</f>
        <v/>
      </c>
      <c r="Q1400" s="19" t="str">
        <f>IF($D1400&lt;&gt;1,"",IF($G1400="ROKS",SUMIFS(TblApplications[Besoin ROKS RAM (Go)],TblApplications[Cluster ROKS cible],$F1400,TblApplications[Action],"À migrer",TblApplications[Déjà incluse ROKS],"Non",TblApplications[Mois prov (calc)],"&lt;="&amp;$E1400),SUMIFS(TblApplications[RAM IKS libérable (Go)],TblApplications[Cluster IKS source],$F1400,TblApplications[Mois lib (calc)],"&lt;="&amp;$E1400)))</f>
        <v/>
      </c>
      <c r="R1400" s="19" t="str">
        <f t="shared" si="360"/>
        <v/>
      </c>
      <c r="S1400" s="19" t="str">
        <f t="shared" si="361"/>
        <v/>
      </c>
      <c r="T1400" s="19" t="str">
        <f t="shared" si="362"/>
        <v/>
      </c>
      <c r="U1400" s="19" t="str">
        <f t="shared" si="363"/>
        <v/>
      </c>
      <c r="V1400" s="19" t="str">
        <f t="shared" si="364"/>
        <v/>
      </c>
      <c r="W1400" s="73" t="str">
        <f t="shared" si="365"/>
        <v/>
      </c>
      <c r="X1400" s="19" t="str">
        <f>IF($D1400&lt;&gt;1,"",IF($G1400="ROKS",$R1400,IF($AI1400=1,0,MAX($N1400,$L1400-SUMIFS(TblApplications[CPU IKS libérable (vCPU)],TblApplications[Cluster IKS source],$F1400,TblApplications[Action],"À migrer",TblApplications[Mois prov (calc)],"&lt;="&amp;$E1400)-SUMIFS(TblApplications[CPU IKS libérable (vCPU)],TblApplications[Cluster IKS source],$F1400,TblApplications[Action],"À décommissionner",TblApplications[Mois lib (calc)],"&lt;="&amp;$E1400)))))</f>
        <v/>
      </c>
      <c r="Y1400" s="19" t="str">
        <f>IF($D1400&lt;&gt;1,"",IF($G1400="ROKS",$S1400,IF($AI1400=1,0,MAX($O1400,$M1400-SUMIFS(TblApplications[RAM IKS libérable (Go)],TblApplications[Cluster IKS source],$F1400,TblApplications[Action],"À migrer",TblApplications[Mois prov (calc)],"&lt;="&amp;$E1400)-SUMIFS(TblApplications[RAM IKS libérable (Go)],TblApplications[Cluster IKS source],$F1400,TblApplications[Action],"À décommissionner",TblApplications[Mois lib (calc)],"&lt;="&amp;$E1400)))))</f>
        <v/>
      </c>
      <c r="Z1400" s="19" t="str">
        <f t="shared" si="366"/>
        <v/>
      </c>
      <c r="AA1400" s="73" t="str">
        <f t="shared" si="367"/>
        <v/>
      </c>
      <c r="AB1400" s="19" t="str">
        <f t="shared" si="368"/>
        <v/>
      </c>
      <c r="AC1400" s="73" t="str">
        <f t="shared" si="369"/>
        <v/>
      </c>
      <c r="AD1400" s="19" t="str">
        <f t="shared" si="370"/>
        <v/>
      </c>
      <c r="AE1400" s="19" t="str">
        <f t="shared" si="371"/>
        <v/>
      </c>
      <c r="AF1400" s="19" t="str">
        <f>IF($D1400&lt;&gt;1,"",IF(INDEX(TblClusters[Environnement],$B1400)="","(vide)",INDEX(TblClusters[Environnement],$B1400)))</f>
        <v/>
      </c>
      <c r="AG1400" s="19" t="str">
        <f t="shared" si="372"/>
        <v/>
      </c>
      <c r="AH1400" s="19" t="str">
        <f t="shared" si="373"/>
        <v/>
      </c>
      <c r="AI1400" s="19" t="str">
        <f>IF($D1400&lt;&gt;1,"",IF(AND($G1400="IKS",ISNUMBER(INDEX(TblClusters[Fermeture retenue],$B1400))),IF($E1400&gt;=INDEX(TblClusters[Fermeture retenue],$B1400),1,0),0))</f>
        <v/>
      </c>
    </row>
    <row r="1401" spans="1:35" x14ac:dyDescent="0.2">
      <c r="A1401" s="19">
        <v>1396</v>
      </c>
      <c r="B1401" s="19">
        <f t="shared" si="357"/>
        <v>39</v>
      </c>
      <c r="C1401" s="19">
        <f t="shared" si="358"/>
        <v>28</v>
      </c>
      <c r="D1401" s="19">
        <f>IF($C1401&gt;p_horizon,0,IFERROR(IF(AND(INDEX(TblClusters[Cluster],$B1401)&lt;&gt;"",ISNUMBER(INDEX(TblClusters[CPU initial (vCPU)],$B1401)),ISNUMBER(INDEX(TblClusters[CPU min (vCPU)],$B1401)),OR(INDEX(TblClusters[Plateforme],$B1401)="IKS",INDEX(TblClusters[Plateforme],$B1401)="ROKS")),1,0),0))</f>
        <v>0</v>
      </c>
      <c r="E1401" s="72" t="str">
        <f t="shared" si="359"/>
        <v/>
      </c>
      <c r="F1401" s="19" t="str">
        <f>IF($D1401=1,INDEX(TblClusters[Cluster],$B1401),"")</f>
        <v/>
      </c>
      <c r="G1401" s="19" t="str">
        <f>IF($D1401=1,INDEX(TblClusters[Plateforme],$B1401),"")</f>
        <v/>
      </c>
      <c r="H1401" s="19" t="str">
        <f>IF($D1401=1,INDEX(TblClusters[vCPU par nœud],$B1401),"")</f>
        <v/>
      </c>
      <c r="I1401" s="19" t="str">
        <f>IF($D1401=1,INDEX(TblClusters[RAM par nœud (Go)],$B1401),"")</f>
        <v/>
      </c>
      <c r="J1401" s="19" t="str">
        <f>IF($D1401=1,INDEX(TblClusters[Workers min],$B1401),"")</f>
        <v/>
      </c>
      <c r="K1401" s="73" t="str">
        <f>IF($D1401=1,INDEX(TblClusters[Tarif par nœud],$B1401),"")</f>
        <v/>
      </c>
      <c r="L1401" s="19" t="str">
        <f>IF($D1401=1,INDEX(TblClusters[CPU initial (vCPU)],$B1401),"")</f>
        <v/>
      </c>
      <c r="M1401" s="19" t="str">
        <f>IF($D1401=1,INDEX(TblClusters[RAM initiale (Go)],$B1401),"")</f>
        <v/>
      </c>
      <c r="N1401" s="19" t="str">
        <f>IF($D1401=1,INDEX(TblClusters[CPU min (vCPU)],$B1401),"")</f>
        <v/>
      </c>
      <c r="O1401" s="19" t="str">
        <f>IF($D1401=1,INDEX(TblClusters[RAM min (Go)],$B1401),"")</f>
        <v/>
      </c>
      <c r="P1401" s="19" t="str">
        <f>IF($D1401&lt;&gt;1,"",IF($G1401="ROKS",SUMIFS(TblApplications[Besoin ROKS CPU (vCPU)],TblApplications[Cluster ROKS cible],$F1401,TblApplications[Action],"À migrer",TblApplications[Déjà incluse ROKS],"Non",TblApplications[Mois prov (calc)],"&lt;="&amp;$E1401),SUMIFS(TblApplications[CPU IKS libérable (vCPU)],TblApplications[Cluster IKS source],$F1401,TblApplications[Mois lib (calc)],"&lt;="&amp;$E1401)))</f>
        <v/>
      </c>
      <c r="Q1401" s="19" t="str">
        <f>IF($D1401&lt;&gt;1,"",IF($G1401="ROKS",SUMIFS(TblApplications[Besoin ROKS RAM (Go)],TblApplications[Cluster ROKS cible],$F1401,TblApplications[Action],"À migrer",TblApplications[Déjà incluse ROKS],"Non",TblApplications[Mois prov (calc)],"&lt;="&amp;$E1401),SUMIFS(TblApplications[RAM IKS libérable (Go)],TblApplications[Cluster IKS source],$F1401,TblApplications[Mois lib (calc)],"&lt;="&amp;$E1401)))</f>
        <v/>
      </c>
      <c r="R1401" s="19" t="str">
        <f t="shared" si="360"/>
        <v/>
      </c>
      <c r="S1401" s="19" t="str">
        <f t="shared" si="361"/>
        <v/>
      </c>
      <c r="T1401" s="19" t="str">
        <f t="shared" si="362"/>
        <v/>
      </c>
      <c r="U1401" s="19" t="str">
        <f t="shared" si="363"/>
        <v/>
      </c>
      <c r="V1401" s="19" t="str">
        <f t="shared" si="364"/>
        <v/>
      </c>
      <c r="W1401" s="73" t="str">
        <f t="shared" si="365"/>
        <v/>
      </c>
      <c r="X1401" s="19" t="str">
        <f>IF($D1401&lt;&gt;1,"",IF($G1401="ROKS",$R1401,IF($AI1401=1,0,MAX($N1401,$L1401-SUMIFS(TblApplications[CPU IKS libérable (vCPU)],TblApplications[Cluster IKS source],$F1401,TblApplications[Action],"À migrer",TblApplications[Mois prov (calc)],"&lt;="&amp;$E1401)-SUMIFS(TblApplications[CPU IKS libérable (vCPU)],TblApplications[Cluster IKS source],$F1401,TblApplications[Action],"À décommissionner",TblApplications[Mois lib (calc)],"&lt;="&amp;$E1401)))))</f>
        <v/>
      </c>
      <c r="Y1401" s="19" t="str">
        <f>IF($D1401&lt;&gt;1,"",IF($G1401="ROKS",$S1401,IF($AI1401=1,0,MAX($O1401,$M1401-SUMIFS(TblApplications[RAM IKS libérable (Go)],TblApplications[Cluster IKS source],$F1401,TblApplications[Action],"À migrer",TblApplications[Mois prov (calc)],"&lt;="&amp;$E1401)-SUMIFS(TblApplications[RAM IKS libérable (Go)],TblApplications[Cluster IKS source],$F1401,TblApplications[Action],"À décommissionner",TblApplications[Mois lib (calc)],"&lt;="&amp;$E1401)))))</f>
        <v/>
      </c>
      <c r="Z1401" s="19" t="str">
        <f t="shared" si="366"/>
        <v/>
      </c>
      <c r="AA1401" s="73" t="str">
        <f t="shared" si="367"/>
        <v/>
      </c>
      <c r="AB1401" s="19" t="str">
        <f t="shared" si="368"/>
        <v/>
      </c>
      <c r="AC1401" s="73" t="str">
        <f t="shared" si="369"/>
        <v/>
      </c>
      <c r="AD1401" s="19" t="str">
        <f t="shared" si="370"/>
        <v/>
      </c>
      <c r="AE1401" s="19" t="str">
        <f t="shared" si="371"/>
        <v/>
      </c>
      <c r="AF1401" s="19" t="str">
        <f>IF($D1401&lt;&gt;1,"",IF(INDEX(TblClusters[Environnement],$B1401)="","(vide)",INDEX(TblClusters[Environnement],$B1401)))</f>
        <v/>
      </c>
      <c r="AG1401" s="19" t="str">
        <f t="shared" si="372"/>
        <v/>
      </c>
      <c r="AH1401" s="19" t="str">
        <f t="shared" si="373"/>
        <v/>
      </c>
      <c r="AI1401" s="19" t="str">
        <f>IF($D1401&lt;&gt;1,"",IF(AND($G1401="IKS",ISNUMBER(INDEX(TblClusters[Fermeture retenue],$B1401))),IF($E1401&gt;=INDEX(TblClusters[Fermeture retenue],$B1401),1,0),0))</f>
        <v/>
      </c>
    </row>
    <row r="1402" spans="1:35" x14ac:dyDescent="0.2">
      <c r="A1402" s="19">
        <v>1397</v>
      </c>
      <c r="B1402" s="19">
        <f t="shared" si="357"/>
        <v>39</v>
      </c>
      <c r="C1402" s="19">
        <f t="shared" si="358"/>
        <v>29</v>
      </c>
      <c r="D1402" s="19">
        <f>IF($C1402&gt;p_horizon,0,IFERROR(IF(AND(INDEX(TblClusters[Cluster],$B1402)&lt;&gt;"",ISNUMBER(INDEX(TblClusters[CPU initial (vCPU)],$B1402)),ISNUMBER(INDEX(TblClusters[CPU min (vCPU)],$B1402)),OR(INDEX(TblClusters[Plateforme],$B1402)="IKS",INDEX(TblClusters[Plateforme],$B1402)="ROKS")),1,0),0))</f>
        <v>0</v>
      </c>
      <c r="E1402" s="72" t="str">
        <f t="shared" si="359"/>
        <v/>
      </c>
      <c r="F1402" s="19" t="str">
        <f>IF($D1402=1,INDEX(TblClusters[Cluster],$B1402),"")</f>
        <v/>
      </c>
      <c r="G1402" s="19" t="str">
        <f>IF($D1402=1,INDEX(TblClusters[Plateforme],$B1402),"")</f>
        <v/>
      </c>
      <c r="H1402" s="19" t="str">
        <f>IF($D1402=1,INDEX(TblClusters[vCPU par nœud],$B1402),"")</f>
        <v/>
      </c>
      <c r="I1402" s="19" t="str">
        <f>IF($D1402=1,INDEX(TblClusters[RAM par nœud (Go)],$B1402),"")</f>
        <v/>
      </c>
      <c r="J1402" s="19" t="str">
        <f>IF($D1402=1,INDEX(TblClusters[Workers min],$B1402),"")</f>
        <v/>
      </c>
      <c r="K1402" s="73" t="str">
        <f>IF($D1402=1,INDEX(TblClusters[Tarif par nœud],$B1402),"")</f>
        <v/>
      </c>
      <c r="L1402" s="19" t="str">
        <f>IF($D1402=1,INDEX(TblClusters[CPU initial (vCPU)],$B1402),"")</f>
        <v/>
      </c>
      <c r="M1402" s="19" t="str">
        <f>IF($D1402=1,INDEX(TblClusters[RAM initiale (Go)],$B1402),"")</f>
        <v/>
      </c>
      <c r="N1402" s="19" t="str">
        <f>IF($D1402=1,INDEX(TblClusters[CPU min (vCPU)],$B1402),"")</f>
        <v/>
      </c>
      <c r="O1402" s="19" t="str">
        <f>IF($D1402=1,INDEX(TblClusters[RAM min (Go)],$B1402),"")</f>
        <v/>
      </c>
      <c r="P1402" s="19" t="str">
        <f>IF($D1402&lt;&gt;1,"",IF($G1402="ROKS",SUMIFS(TblApplications[Besoin ROKS CPU (vCPU)],TblApplications[Cluster ROKS cible],$F1402,TblApplications[Action],"À migrer",TblApplications[Déjà incluse ROKS],"Non",TblApplications[Mois prov (calc)],"&lt;="&amp;$E1402),SUMIFS(TblApplications[CPU IKS libérable (vCPU)],TblApplications[Cluster IKS source],$F1402,TblApplications[Mois lib (calc)],"&lt;="&amp;$E1402)))</f>
        <v/>
      </c>
      <c r="Q1402" s="19" t="str">
        <f>IF($D1402&lt;&gt;1,"",IF($G1402="ROKS",SUMIFS(TblApplications[Besoin ROKS RAM (Go)],TblApplications[Cluster ROKS cible],$F1402,TblApplications[Action],"À migrer",TblApplications[Déjà incluse ROKS],"Non",TblApplications[Mois prov (calc)],"&lt;="&amp;$E1402),SUMIFS(TblApplications[RAM IKS libérable (Go)],TblApplications[Cluster IKS source],$F1402,TblApplications[Mois lib (calc)],"&lt;="&amp;$E1402)))</f>
        <v/>
      </c>
      <c r="R1402" s="19" t="str">
        <f t="shared" si="360"/>
        <v/>
      </c>
      <c r="S1402" s="19" t="str">
        <f t="shared" si="361"/>
        <v/>
      </c>
      <c r="T1402" s="19" t="str">
        <f t="shared" si="362"/>
        <v/>
      </c>
      <c r="U1402" s="19" t="str">
        <f t="shared" si="363"/>
        <v/>
      </c>
      <c r="V1402" s="19" t="str">
        <f t="shared" si="364"/>
        <v/>
      </c>
      <c r="W1402" s="73" t="str">
        <f t="shared" si="365"/>
        <v/>
      </c>
      <c r="X1402" s="19" t="str">
        <f>IF($D1402&lt;&gt;1,"",IF($G1402="ROKS",$R1402,IF($AI1402=1,0,MAX($N1402,$L1402-SUMIFS(TblApplications[CPU IKS libérable (vCPU)],TblApplications[Cluster IKS source],$F1402,TblApplications[Action],"À migrer",TblApplications[Mois prov (calc)],"&lt;="&amp;$E1402)-SUMIFS(TblApplications[CPU IKS libérable (vCPU)],TblApplications[Cluster IKS source],$F1402,TblApplications[Action],"À décommissionner",TblApplications[Mois lib (calc)],"&lt;="&amp;$E1402)))))</f>
        <v/>
      </c>
      <c r="Y1402" s="19" t="str">
        <f>IF($D1402&lt;&gt;1,"",IF($G1402="ROKS",$S1402,IF($AI1402=1,0,MAX($O1402,$M1402-SUMIFS(TblApplications[RAM IKS libérable (Go)],TblApplications[Cluster IKS source],$F1402,TblApplications[Action],"À migrer",TblApplications[Mois prov (calc)],"&lt;="&amp;$E1402)-SUMIFS(TblApplications[RAM IKS libérable (Go)],TblApplications[Cluster IKS source],$F1402,TblApplications[Action],"À décommissionner",TblApplications[Mois lib (calc)],"&lt;="&amp;$E1402)))))</f>
        <v/>
      </c>
      <c r="Z1402" s="19" t="str">
        <f t="shared" si="366"/>
        <v/>
      </c>
      <c r="AA1402" s="73" t="str">
        <f t="shared" si="367"/>
        <v/>
      </c>
      <c r="AB1402" s="19" t="str">
        <f t="shared" si="368"/>
        <v/>
      </c>
      <c r="AC1402" s="73" t="str">
        <f t="shared" si="369"/>
        <v/>
      </c>
      <c r="AD1402" s="19" t="str">
        <f t="shared" si="370"/>
        <v/>
      </c>
      <c r="AE1402" s="19" t="str">
        <f t="shared" si="371"/>
        <v/>
      </c>
      <c r="AF1402" s="19" t="str">
        <f>IF($D1402&lt;&gt;1,"",IF(INDEX(TblClusters[Environnement],$B1402)="","(vide)",INDEX(TblClusters[Environnement],$B1402)))</f>
        <v/>
      </c>
      <c r="AG1402" s="19" t="str">
        <f t="shared" si="372"/>
        <v/>
      </c>
      <c r="AH1402" s="19" t="str">
        <f t="shared" si="373"/>
        <v/>
      </c>
      <c r="AI1402" s="19" t="str">
        <f>IF($D1402&lt;&gt;1,"",IF(AND($G1402="IKS",ISNUMBER(INDEX(TblClusters[Fermeture retenue],$B1402))),IF($E1402&gt;=INDEX(TblClusters[Fermeture retenue],$B1402),1,0),0))</f>
        <v/>
      </c>
    </row>
    <row r="1403" spans="1:35" x14ac:dyDescent="0.2">
      <c r="A1403" s="19">
        <v>1398</v>
      </c>
      <c r="B1403" s="19">
        <f t="shared" si="357"/>
        <v>39</v>
      </c>
      <c r="C1403" s="19">
        <f t="shared" si="358"/>
        <v>30</v>
      </c>
      <c r="D1403" s="19">
        <f>IF($C1403&gt;p_horizon,0,IFERROR(IF(AND(INDEX(TblClusters[Cluster],$B1403)&lt;&gt;"",ISNUMBER(INDEX(TblClusters[CPU initial (vCPU)],$B1403)),ISNUMBER(INDEX(TblClusters[CPU min (vCPU)],$B1403)),OR(INDEX(TblClusters[Plateforme],$B1403)="IKS",INDEX(TblClusters[Plateforme],$B1403)="ROKS")),1,0),0))</f>
        <v>0</v>
      </c>
      <c r="E1403" s="72" t="str">
        <f t="shared" si="359"/>
        <v/>
      </c>
      <c r="F1403" s="19" t="str">
        <f>IF($D1403=1,INDEX(TblClusters[Cluster],$B1403),"")</f>
        <v/>
      </c>
      <c r="G1403" s="19" t="str">
        <f>IF($D1403=1,INDEX(TblClusters[Plateforme],$B1403),"")</f>
        <v/>
      </c>
      <c r="H1403" s="19" t="str">
        <f>IF($D1403=1,INDEX(TblClusters[vCPU par nœud],$B1403),"")</f>
        <v/>
      </c>
      <c r="I1403" s="19" t="str">
        <f>IF($D1403=1,INDEX(TblClusters[RAM par nœud (Go)],$B1403),"")</f>
        <v/>
      </c>
      <c r="J1403" s="19" t="str">
        <f>IF($D1403=1,INDEX(TblClusters[Workers min],$B1403),"")</f>
        <v/>
      </c>
      <c r="K1403" s="73" t="str">
        <f>IF($D1403=1,INDEX(TblClusters[Tarif par nœud],$B1403),"")</f>
        <v/>
      </c>
      <c r="L1403" s="19" t="str">
        <f>IF($D1403=1,INDEX(TblClusters[CPU initial (vCPU)],$B1403),"")</f>
        <v/>
      </c>
      <c r="M1403" s="19" t="str">
        <f>IF($D1403=1,INDEX(TblClusters[RAM initiale (Go)],$B1403),"")</f>
        <v/>
      </c>
      <c r="N1403" s="19" t="str">
        <f>IF($D1403=1,INDEX(TblClusters[CPU min (vCPU)],$B1403),"")</f>
        <v/>
      </c>
      <c r="O1403" s="19" t="str">
        <f>IF($D1403=1,INDEX(TblClusters[RAM min (Go)],$B1403),"")</f>
        <v/>
      </c>
      <c r="P1403" s="19" t="str">
        <f>IF($D1403&lt;&gt;1,"",IF($G1403="ROKS",SUMIFS(TblApplications[Besoin ROKS CPU (vCPU)],TblApplications[Cluster ROKS cible],$F1403,TblApplications[Action],"À migrer",TblApplications[Déjà incluse ROKS],"Non",TblApplications[Mois prov (calc)],"&lt;="&amp;$E1403),SUMIFS(TblApplications[CPU IKS libérable (vCPU)],TblApplications[Cluster IKS source],$F1403,TblApplications[Mois lib (calc)],"&lt;="&amp;$E1403)))</f>
        <v/>
      </c>
      <c r="Q1403" s="19" t="str">
        <f>IF($D1403&lt;&gt;1,"",IF($G1403="ROKS",SUMIFS(TblApplications[Besoin ROKS RAM (Go)],TblApplications[Cluster ROKS cible],$F1403,TblApplications[Action],"À migrer",TblApplications[Déjà incluse ROKS],"Non",TblApplications[Mois prov (calc)],"&lt;="&amp;$E1403),SUMIFS(TblApplications[RAM IKS libérable (Go)],TblApplications[Cluster IKS source],$F1403,TblApplications[Mois lib (calc)],"&lt;="&amp;$E1403)))</f>
        <v/>
      </c>
      <c r="R1403" s="19" t="str">
        <f t="shared" si="360"/>
        <v/>
      </c>
      <c r="S1403" s="19" t="str">
        <f t="shared" si="361"/>
        <v/>
      </c>
      <c r="T1403" s="19" t="str">
        <f t="shared" si="362"/>
        <v/>
      </c>
      <c r="U1403" s="19" t="str">
        <f t="shared" si="363"/>
        <v/>
      </c>
      <c r="V1403" s="19" t="str">
        <f t="shared" si="364"/>
        <v/>
      </c>
      <c r="W1403" s="73" t="str">
        <f t="shared" si="365"/>
        <v/>
      </c>
      <c r="X1403" s="19" t="str">
        <f>IF($D1403&lt;&gt;1,"",IF($G1403="ROKS",$R1403,IF($AI1403=1,0,MAX($N1403,$L1403-SUMIFS(TblApplications[CPU IKS libérable (vCPU)],TblApplications[Cluster IKS source],$F1403,TblApplications[Action],"À migrer",TblApplications[Mois prov (calc)],"&lt;="&amp;$E1403)-SUMIFS(TblApplications[CPU IKS libérable (vCPU)],TblApplications[Cluster IKS source],$F1403,TblApplications[Action],"À décommissionner",TblApplications[Mois lib (calc)],"&lt;="&amp;$E1403)))))</f>
        <v/>
      </c>
      <c r="Y1403" s="19" t="str">
        <f>IF($D1403&lt;&gt;1,"",IF($G1403="ROKS",$S1403,IF($AI1403=1,0,MAX($O1403,$M1403-SUMIFS(TblApplications[RAM IKS libérable (Go)],TblApplications[Cluster IKS source],$F1403,TblApplications[Action],"À migrer",TblApplications[Mois prov (calc)],"&lt;="&amp;$E1403)-SUMIFS(TblApplications[RAM IKS libérable (Go)],TblApplications[Cluster IKS source],$F1403,TblApplications[Action],"À décommissionner",TblApplications[Mois lib (calc)],"&lt;="&amp;$E1403)))))</f>
        <v/>
      </c>
      <c r="Z1403" s="19" t="str">
        <f t="shared" si="366"/>
        <v/>
      </c>
      <c r="AA1403" s="73" t="str">
        <f t="shared" si="367"/>
        <v/>
      </c>
      <c r="AB1403" s="19" t="str">
        <f t="shared" si="368"/>
        <v/>
      </c>
      <c r="AC1403" s="73" t="str">
        <f t="shared" si="369"/>
        <v/>
      </c>
      <c r="AD1403" s="19" t="str">
        <f t="shared" si="370"/>
        <v/>
      </c>
      <c r="AE1403" s="19" t="str">
        <f t="shared" si="371"/>
        <v/>
      </c>
      <c r="AF1403" s="19" t="str">
        <f>IF($D1403&lt;&gt;1,"",IF(INDEX(TblClusters[Environnement],$B1403)="","(vide)",INDEX(TblClusters[Environnement],$B1403)))</f>
        <v/>
      </c>
      <c r="AG1403" s="19" t="str">
        <f t="shared" si="372"/>
        <v/>
      </c>
      <c r="AH1403" s="19" t="str">
        <f t="shared" si="373"/>
        <v/>
      </c>
      <c r="AI1403" s="19" t="str">
        <f>IF($D1403&lt;&gt;1,"",IF(AND($G1403="IKS",ISNUMBER(INDEX(TblClusters[Fermeture retenue],$B1403))),IF($E1403&gt;=INDEX(TblClusters[Fermeture retenue],$B1403),1,0),0))</f>
        <v/>
      </c>
    </row>
    <row r="1404" spans="1:35" x14ac:dyDescent="0.2">
      <c r="A1404" s="19">
        <v>1399</v>
      </c>
      <c r="B1404" s="19">
        <f t="shared" si="357"/>
        <v>39</v>
      </c>
      <c r="C1404" s="19">
        <f t="shared" si="358"/>
        <v>31</v>
      </c>
      <c r="D1404" s="19">
        <f>IF($C1404&gt;p_horizon,0,IFERROR(IF(AND(INDEX(TblClusters[Cluster],$B1404)&lt;&gt;"",ISNUMBER(INDEX(TblClusters[CPU initial (vCPU)],$B1404)),ISNUMBER(INDEX(TblClusters[CPU min (vCPU)],$B1404)),OR(INDEX(TblClusters[Plateforme],$B1404)="IKS",INDEX(TblClusters[Plateforme],$B1404)="ROKS")),1,0),0))</f>
        <v>0</v>
      </c>
      <c r="E1404" s="72" t="str">
        <f t="shared" si="359"/>
        <v/>
      </c>
      <c r="F1404" s="19" t="str">
        <f>IF($D1404=1,INDEX(TblClusters[Cluster],$B1404),"")</f>
        <v/>
      </c>
      <c r="G1404" s="19" t="str">
        <f>IF($D1404=1,INDEX(TblClusters[Plateforme],$B1404),"")</f>
        <v/>
      </c>
      <c r="H1404" s="19" t="str">
        <f>IF($D1404=1,INDEX(TblClusters[vCPU par nœud],$B1404),"")</f>
        <v/>
      </c>
      <c r="I1404" s="19" t="str">
        <f>IF($D1404=1,INDEX(TblClusters[RAM par nœud (Go)],$B1404),"")</f>
        <v/>
      </c>
      <c r="J1404" s="19" t="str">
        <f>IF($D1404=1,INDEX(TblClusters[Workers min],$B1404),"")</f>
        <v/>
      </c>
      <c r="K1404" s="73" t="str">
        <f>IF($D1404=1,INDEX(TblClusters[Tarif par nœud],$B1404),"")</f>
        <v/>
      </c>
      <c r="L1404" s="19" t="str">
        <f>IF($D1404=1,INDEX(TblClusters[CPU initial (vCPU)],$B1404),"")</f>
        <v/>
      </c>
      <c r="M1404" s="19" t="str">
        <f>IF($D1404=1,INDEX(TblClusters[RAM initiale (Go)],$B1404),"")</f>
        <v/>
      </c>
      <c r="N1404" s="19" t="str">
        <f>IF($D1404=1,INDEX(TblClusters[CPU min (vCPU)],$B1404),"")</f>
        <v/>
      </c>
      <c r="O1404" s="19" t="str">
        <f>IF($D1404=1,INDEX(TblClusters[RAM min (Go)],$B1404),"")</f>
        <v/>
      </c>
      <c r="P1404" s="19" t="str">
        <f>IF($D1404&lt;&gt;1,"",IF($G1404="ROKS",SUMIFS(TblApplications[Besoin ROKS CPU (vCPU)],TblApplications[Cluster ROKS cible],$F1404,TblApplications[Action],"À migrer",TblApplications[Déjà incluse ROKS],"Non",TblApplications[Mois prov (calc)],"&lt;="&amp;$E1404),SUMIFS(TblApplications[CPU IKS libérable (vCPU)],TblApplications[Cluster IKS source],$F1404,TblApplications[Mois lib (calc)],"&lt;="&amp;$E1404)))</f>
        <v/>
      </c>
      <c r="Q1404" s="19" t="str">
        <f>IF($D1404&lt;&gt;1,"",IF($G1404="ROKS",SUMIFS(TblApplications[Besoin ROKS RAM (Go)],TblApplications[Cluster ROKS cible],$F1404,TblApplications[Action],"À migrer",TblApplications[Déjà incluse ROKS],"Non",TblApplications[Mois prov (calc)],"&lt;="&amp;$E1404),SUMIFS(TblApplications[RAM IKS libérable (Go)],TblApplications[Cluster IKS source],$F1404,TblApplications[Mois lib (calc)],"&lt;="&amp;$E1404)))</f>
        <v/>
      </c>
      <c r="R1404" s="19" t="str">
        <f t="shared" si="360"/>
        <v/>
      </c>
      <c r="S1404" s="19" t="str">
        <f t="shared" si="361"/>
        <v/>
      </c>
      <c r="T1404" s="19" t="str">
        <f t="shared" si="362"/>
        <v/>
      </c>
      <c r="U1404" s="19" t="str">
        <f t="shared" si="363"/>
        <v/>
      </c>
      <c r="V1404" s="19" t="str">
        <f t="shared" si="364"/>
        <v/>
      </c>
      <c r="W1404" s="73" t="str">
        <f t="shared" si="365"/>
        <v/>
      </c>
      <c r="X1404" s="19" t="str">
        <f>IF($D1404&lt;&gt;1,"",IF($G1404="ROKS",$R1404,IF($AI1404=1,0,MAX($N1404,$L1404-SUMIFS(TblApplications[CPU IKS libérable (vCPU)],TblApplications[Cluster IKS source],$F1404,TblApplications[Action],"À migrer",TblApplications[Mois prov (calc)],"&lt;="&amp;$E1404)-SUMIFS(TblApplications[CPU IKS libérable (vCPU)],TblApplications[Cluster IKS source],$F1404,TblApplications[Action],"À décommissionner",TblApplications[Mois lib (calc)],"&lt;="&amp;$E1404)))))</f>
        <v/>
      </c>
      <c r="Y1404" s="19" t="str">
        <f>IF($D1404&lt;&gt;1,"",IF($G1404="ROKS",$S1404,IF($AI1404=1,0,MAX($O1404,$M1404-SUMIFS(TblApplications[RAM IKS libérable (Go)],TblApplications[Cluster IKS source],$F1404,TblApplications[Action],"À migrer",TblApplications[Mois prov (calc)],"&lt;="&amp;$E1404)-SUMIFS(TblApplications[RAM IKS libérable (Go)],TblApplications[Cluster IKS source],$F1404,TblApplications[Action],"À décommissionner",TblApplications[Mois lib (calc)],"&lt;="&amp;$E1404)))))</f>
        <v/>
      </c>
      <c r="Z1404" s="19" t="str">
        <f t="shared" si="366"/>
        <v/>
      </c>
      <c r="AA1404" s="73" t="str">
        <f t="shared" si="367"/>
        <v/>
      </c>
      <c r="AB1404" s="19" t="str">
        <f t="shared" si="368"/>
        <v/>
      </c>
      <c r="AC1404" s="73" t="str">
        <f t="shared" si="369"/>
        <v/>
      </c>
      <c r="AD1404" s="19" t="str">
        <f t="shared" si="370"/>
        <v/>
      </c>
      <c r="AE1404" s="19" t="str">
        <f t="shared" si="371"/>
        <v/>
      </c>
      <c r="AF1404" s="19" t="str">
        <f>IF($D1404&lt;&gt;1,"",IF(INDEX(TblClusters[Environnement],$B1404)="","(vide)",INDEX(TblClusters[Environnement],$B1404)))</f>
        <v/>
      </c>
      <c r="AG1404" s="19" t="str">
        <f t="shared" si="372"/>
        <v/>
      </c>
      <c r="AH1404" s="19" t="str">
        <f t="shared" si="373"/>
        <v/>
      </c>
      <c r="AI1404" s="19" t="str">
        <f>IF($D1404&lt;&gt;1,"",IF(AND($G1404="IKS",ISNUMBER(INDEX(TblClusters[Fermeture retenue],$B1404))),IF($E1404&gt;=INDEX(TblClusters[Fermeture retenue],$B1404),1,0),0))</f>
        <v/>
      </c>
    </row>
    <row r="1405" spans="1:35" x14ac:dyDescent="0.2">
      <c r="A1405" s="19">
        <v>1400</v>
      </c>
      <c r="B1405" s="19">
        <f t="shared" si="357"/>
        <v>39</v>
      </c>
      <c r="C1405" s="19">
        <f t="shared" si="358"/>
        <v>32</v>
      </c>
      <c r="D1405" s="19">
        <f>IF($C1405&gt;p_horizon,0,IFERROR(IF(AND(INDEX(TblClusters[Cluster],$B1405)&lt;&gt;"",ISNUMBER(INDEX(TblClusters[CPU initial (vCPU)],$B1405)),ISNUMBER(INDEX(TblClusters[CPU min (vCPU)],$B1405)),OR(INDEX(TblClusters[Plateforme],$B1405)="IKS",INDEX(TblClusters[Plateforme],$B1405)="ROKS")),1,0),0))</f>
        <v>0</v>
      </c>
      <c r="E1405" s="72" t="str">
        <f t="shared" si="359"/>
        <v/>
      </c>
      <c r="F1405" s="19" t="str">
        <f>IF($D1405=1,INDEX(TblClusters[Cluster],$B1405),"")</f>
        <v/>
      </c>
      <c r="G1405" s="19" t="str">
        <f>IF($D1405=1,INDEX(TblClusters[Plateforme],$B1405),"")</f>
        <v/>
      </c>
      <c r="H1405" s="19" t="str">
        <f>IF($D1405=1,INDEX(TblClusters[vCPU par nœud],$B1405),"")</f>
        <v/>
      </c>
      <c r="I1405" s="19" t="str">
        <f>IF($D1405=1,INDEX(TblClusters[RAM par nœud (Go)],$B1405),"")</f>
        <v/>
      </c>
      <c r="J1405" s="19" t="str">
        <f>IF($D1405=1,INDEX(TblClusters[Workers min],$B1405),"")</f>
        <v/>
      </c>
      <c r="K1405" s="73" t="str">
        <f>IF($D1405=1,INDEX(TblClusters[Tarif par nœud],$B1405),"")</f>
        <v/>
      </c>
      <c r="L1405" s="19" t="str">
        <f>IF($D1405=1,INDEX(TblClusters[CPU initial (vCPU)],$B1405),"")</f>
        <v/>
      </c>
      <c r="M1405" s="19" t="str">
        <f>IF($D1405=1,INDEX(TblClusters[RAM initiale (Go)],$B1405),"")</f>
        <v/>
      </c>
      <c r="N1405" s="19" t="str">
        <f>IF($D1405=1,INDEX(TblClusters[CPU min (vCPU)],$B1405),"")</f>
        <v/>
      </c>
      <c r="O1405" s="19" t="str">
        <f>IF($D1405=1,INDEX(TblClusters[RAM min (Go)],$B1405),"")</f>
        <v/>
      </c>
      <c r="P1405" s="19" t="str">
        <f>IF($D1405&lt;&gt;1,"",IF($G1405="ROKS",SUMIFS(TblApplications[Besoin ROKS CPU (vCPU)],TblApplications[Cluster ROKS cible],$F1405,TblApplications[Action],"À migrer",TblApplications[Déjà incluse ROKS],"Non",TblApplications[Mois prov (calc)],"&lt;="&amp;$E1405),SUMIFS(TblApplications[CPU IKS libérable (vCPU)],TblApplications[Cluster IKS source],$F1405,TblApplications[Mois lib (calc)],"&lt;="&amp;$E1405)))</f>
        <v/>
      </c>
      <c r="Q1405" s="19" t="str">
        <f>IF($D1405&lt;&gt;1,"",IF($G1405="ROKS",SUMIFS(TblApplications[Besoin ROKS RAM (Go)],TblApplications[Cluster ROKS cible],$F1405,TblApplications[Action],"À migrer",TblApplications[Déjà incluse ROKS],"Non",TblApplications[Mois prov (calc)],"&lt;="&amp;$E1405),SUMIFS(TblApplications[RAM IKS libérable (Go)],TblApplications[Cluster IKS source],$F1405,TblApplications[Mois lib (calc)],"&lt;="&amp;$E1405)))</f>
        <v/>
      </c>
      <c r="R1405" s="19" t="str">
        <f t="shared" si="360"/>
        <v/>
      </c>
      <c r="S1405" s="19" t="str">
        <f t="shared" si="361"/>
        <v/>
      </c>
      <c r="T1405" s="19" t="str">
        <f t="shared" si="362"/>
        <v/>
      </c>
      <c r="U1405" s="19" t="str">
        <f t="shared" si="363"/>
        <v/>
      </c>
      <c r="V1405" s="19" t="str">
        <f t="shared" si="364"/>
        <v/>
      </c>
      <c r="W1405" s="73" t="str">
        <f t="shared" si="365"/>
        <v/>
      </c>
      <c r="X1405" s="19" t="str">
        <f>IF($D1405&lt;&gt;1,"",IF($G1405="ROKS",$R1405,IF($AI1405=1,0,MAX($N1405,$L1405-SUMIFS(TblApplications[CPU IKS libérable (vCPU)],TblApplications[Cluster IKS source],$F1405,TblApplications[Action],"À migrer",TblApplications[Mois prov (calc)],"&lt;="&amp;$E1405)-SUMIFS(TblApplications[CPU IKS libérable (vCPU)],TblApplications[Cluster IKS source],$F1405,TblApplications[Action],"À décommissionner",TblApplications[Mois lib (calc)],"&lt;="&amp;$E1405)))))</f>
        <v/>
      </c>
      <c r="Y1405" s="19" t="str">
        <f>IF($D1405&lt;&gt;1,"",IF($G1405="ROKS",$S1405,IF($AI1405=1,0,MAX($O1405,$M1405-SUMIFS(TblApplications[RAM IKS libérable (Go)],TblApplications[Cluster IKS source],$F1405,TblApplications[Action],"À migrer",TblApplications[Mois prov (calc)],"&lt;="&amp;$E1405)-SUMIFS(TblApplications[RAM IKS libérable (Go)],TblApplications[Cluster IKS source],$F1405,TblApplications[Action],"À décommissionner",TblApplications[Mois lib (calc)],"&lt;="&amp;$E1405)))))</f>
        <v/>
      </c>
      <c r="Z1405" s="19" t="str">
        <f t="shared" si="366"/>
        <v/>
      </c>
      <c r="AA1405" s="73" t="str">
        <f t="shared" si="367"/>
        <v/>
      </c>
      <c r="AB1405" s="19" t="str">
        <f t="shared" si="368"/>
        <v/>
      </c>
      <c r="AC1405" s="73" t="str">
        <f t="shared" si="369"/>
        <v/>
      </c>
      <c r="AD1405" s="19" t="str">
        <f t="shared" si="370"/>
        <v/>
      </c>
      <c r="AE1405" s="19" t="str">
        <f t="shared" si="371"/>
        <v/>
      </c>
      <c r="AF1405" s="19" t="str">
        <f>IF($D1405&lt;&gt;1,"",IF(INDEX(TblClusters[Environnement],$B1405)="","(vide)",INDEX(TblClusters[Environnement],$B1405)))</f>
        <v/>
      </c>
      <c r="AG1405" s="19" t="str">
        <f t="shared" si="372"/>
        <v/>
      </c>
      <c r="AH1405" s="19" t="str">
        <f t="shared" si="373"/>
        <v/>
      </c>
      <c r="AI1405" s="19" t="str">
        <f>IF($D1405&lt;&gt;1,"",IF(AND($G1405="IKS",ISNUMBER(INDEX(TblClusters[Fermeture retenue],$B1405))),IF($E1405&gt;=INDEX(TblClusters[Fermeture retenue],$B1405),1,0),0))</f>
        <v/>
      </c>
    </row>
    <row r="1406" spans="1:35" x14ac:dyDescent="0.2">
      <c r="A1406" s="19">
        <v>1401</v>
      </c>
      <c r="B1406" s="19">
        <f t="shared" si="357"/>
        <v>39</v>
      </c>
      <c r="C1406" s="19">
        <f t="shared" si="358"/>
        <v>33</v>
      </c>
      <c r="D1406" s="19">
        <f>IF($C1406&gt;p_horizon,0,IFERROR(IF(AND(INDEX(TblClusters[Cluster],$B1406)&lt;&gt;"",ISNUMBER(INDEX(TblClusters[CPU initial (vCPU)],$B1406)),ISNUMBER(INDEX(TblClusters[CPU min (vCPU)],$B1406)),OR(INDEX(TblClusters[Plateforme],$B1406)="IKS",INDEX(TblClusters[Plateforme],$B1406)="ROKS")),1,0),0))</f>
        <v>0</v>
      </c>
      <c r="E1406" s="72" t="str">
        <f t="shared" si="359"/>
        <v/>
      </c>
      <c r="F1406" s="19" t="str">
        <f>IF($D1406=1,INDEX(TblClusters[Cluster],$B1406),"")</f>
        <v/>
      </c>
      <c r="G1406" s="19" t="str">
        <f>IF($D1406=1,INDEX(TblClusters[Plateforme],$B1406),"")</f>
        <v/>
      </c>
      <c r="H1406" s="19" t="str">
        <f>IF($D1406=1,INDEX(TblClusters[vCPU par nœud],$B1406),"")</f>
        <v/>
      </c>
      <c r="I1406" s="19" t="str">
        <f>IF($D1406=1,INDEX(TblClusters[RAM par nœud (Go)],$B1406),"")</f>
        <v/>
      </c>
      <c r="J1406" s="19" t="str">
        <f>IF($D1406=1,INDEX(TblClusters[Workers min],$B1406),"")</f>
        <v/>
      </c>
      <c r="K1406" s="73" t="str">
        <f>IF($D1406=1,INDEX(TblClusters[Tarif par nœud],$B1406),"")</f>
        <v/>
      </c>
      <c r="L1406" s="19" t="str">
        <f>IF($D1406=1,INDEX(TblClusters[CPU initial (vCPU)],$B1406),"")</f>
        <v/>
      </c>
      <c r="M1406" s="19" t="str">
        <f>IF($D1406=1,INDEX(TblClusters[RAM initiale (Go)],$B1406),"")</f>
        <v/>
      </c>
      <c r="N1406" s="19" t="str">
        <f>IF($D1406=1,INDEX(TblClusters[CPU min (vCPU)],$B1406),"")</f>
        <v/>
      </c>
      <c r="O1406" s="19" t="str">
        <f>IF($D1406=1,INDEX(TblClusters[RAM min (Go)],$B1406),"")</f>
        <v/>
      </c>
      <c r="P1406" s="19" t="str">
        <f>IF($D1406&lt;&gt;1,"",IF($G1406="ROKS",SUMIFS(TblApplications[Besoin ROKS CPU (vCPU)],TblApplications[Cluster ROKS cible],$F1406,TblApplications[Action],"À migrer",TblApplications[Déjà incluse ROKS],"Non",TblApplications[Mois prov (calc)],"&lt;="&amp;$E1406),SUMIFS(TblApplications[CPU IKS libérable (vCPU)],TblApplications[Cluster IKS source],$F1406,TblApplications[Mois lib (calc)],"&lt;="&amp;$E1406)))</f>
        <v/>
      </c>
      <c r="Q1406" s="19" t="str">
        <f>IF($D1406&lt;&gt;1,"",IF($G1406="ROKS",SUMIFS(TblApplications[Besoin ROKS RAM (Go)],TblApplications[Cluster ROKS cible],$F1406,TblApplications[Action],"À migrer",TblApplications[Déjà incluse ROKS],"Non",TblApplications[Mois prov (calc)],"&lt;="&amp;$E1406),SUMIFS(TblApplications[RAM IKS libérable (Go)],TblApplications[Cluster IKS source],$F1406,TblApplications[Mois lib (calc)],"&lt;="&amp;$E1406)))</f>
        <v/>
      </c>
      <c r="R1406" s="19" t="str">
        <f t="shared" si="360"/>
        <v/>
      </c>
      <c r="S1406" s="19" t="str">
        <f t="shared" si="361"/>
        <v/>
      </c>
      <c r="T1406" s="19" t="str">
        <f t="shared" si="362"/>
        <v/>
      </c>
      <c r="U1406" s="19" t="str">
        <f t="shared" si="363"/>
        <v/>
      </c>
      <c r="V1406" s="19" t="str">
        <f t="shared" si="364"/>
        <v/>
      </c>
      <c r="W1406" s="73" t="str">
        <f t="shared" si="365"/>
        <v/>
      </c>
      <c r="X1406" s="19" t="str">
        <f>IF($D1406&lt;&gt;1,"",IF($G1406="ROKS",$R1406,IF($AI1406=1,0,MAX($N1406,$L1406-SUMIFS(TblApplications[CPU IKS libérable (vCPU)],TblApplications[Cluster IKS source],$F1406,TblApplications[Action],"À migrer",TblApplications[Mois prov (calc)],"&lt;="&amp;$E1406)-SUMIFS(TblApplications[CPU IKS libérable (vCPU)],TblApplications[Cluster IKS source],$F1406,TblApplications[Action],"À décommissionner",TblApplications[Mois lib (calc)],"&lt;="&amp;$E1406)))))</f>
        <v/>
      </c>
      <c r="Y1406" s="19" t="str">
        <f>IF($D1406&lt;&gt;1,"",IF($G1406="ROKS",$S1406,IF($AI1406=1,0,MAX($O1406,$M1406-SUMIFS(TblApplications[RAM IKS libérable (Go)],TblApplications[Cluster IKS source],$F1406,TblApplications[Action],"À migrer",TblApplications[Mois prov (calc)],"&lt;="&amp;$E1406)-SUMIFS(TblApplications[RAM IKS libérable (Go)],TblApplications[Cluster IKS source],$F1406,TblApplications[Action],"À décommissionner",TblApplications[Mois lib (calc)],"&lt;="&amp;$E1406)))))</f>
        <v/>
      </c>
      <c r="Z1406" s="19" t="str">
        <f t="shared" si="366"/>
        <v/>
      </c>
      <c r="AA1406" s="73" t="str">
        <f t="shared" si="367"/>
        <v/>
      </c>
      <c r="AB1406" s="19" t="str">
        <f t="shared" si="368"/>
        <v/>
      </c>
      <c r="AC1406" s="73" t="str">
        <f t="shared" si="369"/>
        <v/>
      </c>
      <c r="AD1406" s="19" t="str">
        <f t="shared" si="370"/>
        <v/>
      </c>
      <c r="AE1406" s="19" t="str">
        <f t="shared" si="371"/>
        <v/>
      </c>
      <c r="AF1406" s="19" t="str">
        <f>IF($D1406&lt;&gt;1,"",IF(INDEX(TblClusters[Environnement],$B1406)="","(vide)",INDEX(TblClusters[Environnement],$B1406)))</f>
        <v/>
      </c>
      <c r="AG1406" s="19" t="str">
        <f t="shared" si="372"/>
        <v/>
      </c>
      <c r="AH1406" s="19" t="str">
        <f t="shared" si="373"/>
        <v/>
      </c>
      <c r="AI1406" s="19" t="str">
        <f>IF($D1406&lt;&gt;1,"",IF(AND($G1406="IKS",ISNUMBER(INDEX(TblClusters[Fermeture retenue],$B1406))),IF($E1406&gt;=INDEX(TblClusters[Fermeture retenue],$B1406),1,0),0))</f>
        <v/>
      </c>
    </row>
    <row r="1407" spans="1:35" x14ac:dyDescent="0.2">
      <c r="A1407" s="19">
        <v>1402</v>
      </c>
      <c r="B1407" s="19">
        <f t="shared" si="357"/>
        <v>39</v>
      </c>
      <c r="C1407" s="19">
        <f t="shared" si="358"/>
        <v>34</v>
      </c>
      <c r="D1407" s="19">
        <f>IF($C1407&gt;p_horizon,0,IFERROR(IF(AND(INDEX(TblClusters[Cluster],$B1407)&lt;&gt;"",ISNUMBER(INDEX(TblClusters[CPU initial (vCPU)],$B1407)),ISNUMBER(INDEX(TblClusters[CPU min (vCPU)],$B1407)),OR(INDEX(TblClusters[Plateforme],$B1407)="IKS",INDEX(TblClusters[Plateforme],$B1407)="ROKS")),1,0),0))</f>
        <v>0</v>
      </c>
      <c r="E1407" s="72" t="str">
        <f t="shared" si="359"/>
        <v/>
      </c>
      <c r="F1407" s="19" t="str">
        <f>IF($D1407=1,INDEX(TblClusters[Cluster],$B1407),"")</f>
        <v/>
      </c>
      <c r="G1407" s="19" t="str">
        <f>IF($D1407=1,INDEX(TblClusters[Plateforme],$B1407),"")</f>
        <v/>
      </c>
      <c r="H1407" s="19" t="str">
        <f>IF($D1407=1,INDEX(TblClusters[vCPU par nœud],$B1407),"")</f>
        <v/>
      </c>
      <c r="I1407" s="19" t="str">
        <f>IF($D1407=1,INDEX(TblClusters[RAM par nœud (Go)],$B1407),"")</f>
        <v/>
      </c>
      <c r="J1407" s="19" t="str">
        <f>IF($D1407=1,INDEX(TblClusters[Workers min],$B1407),"")</f>
        <v/>
      </c>
      <c r="K1407" s="73" t="str">
        <f>IF($D1407=1,INDEX(TblClusters[Tarif par nœud],$B1407),"")</f>
        <v/>
      </c>
      <c r="L1407" s="19" t="str">
        <f>IF($D1407=1,INDEX(TblClusters[CPU initial (vCPU)],$B1407),"")</f>
        <v/>
      </c>
      <c r="M1407" s="19" t="str">
        <f>IF($D1407=1,INDEX(TblClusters[RAM initiale (Go)],$B1407),"")</f>
        <v/>
      </c>
      <c r="N1407" s="19" t="str">
        <f>IF($D1407=1,INDEX(TblClusters[CPU min (vCPU)],$B1407),"")</f>
        <v/>
      </c>
      <c r="O1407" s="19" t="str">
        <f>IF($D1407=1,INDEX(TblClusters[RAM min (Go)],$B1407),"")</f>
        <v/>
      </c>
      <c r="P1407" s="19" t="str">
        <f>IF($D1407&lt;&gt;1,"",IF($G1407="ROKS",SUMIFS(TblApplications[Besoin ROKS CPU (vCPU)],TblApplications[Cluster ROKS cible],$F1407,TblApplications[Action],"À migrer",TblApplications[Déjà incluse ROKS],"Non",TblApplications[Mois prov (calc)],"&lt;="&amp;$E1407),SUMIFS(TblApplications[CPU IKS libérable (vCPU)],TblApplications[Cluster IKS source],$F1407,TblApplications[Mois lib (calc)],"&lt;="&amp;$E1407)))</f>
        <v/>
      </c>
      <c r="Q1407" s="19" t="str">
        <f>IF($D1407&lt;&gt;1,"",IF($G1407="ROKS",SUMIFS(TblApplications[Besoin ROKS RAM (Go)],TblApplications[Cluster ROKS cible],$F1407,TblApplications[Action],"À migrer",TblApplications[Déjà incluse ROKS],"Non",TblApplications[Mois prov (calc)],"&lt;="&amp;$E1407),SUMIFS(TblApplications[RAM IKS libérable (Go)],TblApplications[Cluster IKS source],$F1407,TblApplications[Mois lib (calc)],"&lt;="&amp;$E1407)))</f>
        <v/>
      </c>
      <c r="R1407" s="19" t="str">
        <f t="shared" si="360"/>
        <v/>
      </c>
      <c r="S1407" s="19" t="str">
        <f t="shared" si="361"/>
        <v/>
      </c>
      <c r="T1407" s="19" t="str">
        <f t="shared" si="362"/>
        <v/>
      </c>
      <c r="U1407" s="19" t="str">
        <f t="shared" si="363"/>
        <v/>
      </c>
      <c r="V1407" s="19" t="str">
        <f t="shared" si="364"/>
        <v/>
      </c>
      <c r="W1407" s="73" t="str">
        <f t="shared" si="365"/>
        <v/>
      </c>
      <c r="X1407" s="19" t="str">
        <f>IF($D1407&lt;&gt;1,"",IF($G1407="ROKS",$R1407,IF($AI1407=1,0,MAX($N1407,$L1407-SUMIFS(TblApplications[CPU IKS libérable (vCPU)],TblApplications[Cluster IKS source],$F1407,TblApplications[Action],"À migrer",TblApplications[Mois prov (calc)],"&lt;="&amp;$E1407)-SUMIFS(TblApplications[CPU IKS libérable (vCPU)],TblApplications[Cluster IKS source],$F1407,TblApplications[Action],"À décommissionner",TblApplications[Mois lib (calc)],"&lt;="&amp;$E1407)))))</f>
        <v/>
      </c>
      <c r="Y1407" s="19" t="str">
        <f>IF($D1407&lt;&gt;1,"",IF($G1407="ROKS",$S1407,IF($AI1407=1,0,MAX($O1407,$M1407-SUMIFS(TblApplications[RAM IKS libérable (Go)],TblApplications[Cluster IKS source],$F1407,TblApplications[Action],"À migrer",TblApplications[Mois prov (calc)],"&lt;="&amp;$E1407)-SUMIFS(TblApplications[RAM IKS libérable (Go)],TblApplications[Cluster IKS source],$F1407,TblApplications[Action],"À décommissionner",TblApplications[Mois lib (calc)],"&lt;="&amp;$E1407)))))</f>
        <v/>
      </c>
      <c r="Z1407" s="19" t="str">
        <f t="shared" si="366"/>
        <v/>
      </c>
      <c r="AA1407" s="73" t="str">
        <f t="shared" si="367"/>
        <v/>
      </c>
      <c r="AB1407" s="19" t="str">
        <f t="shared" si="368"/>
        <v/>
      </c>
      <c r="AC1407" s="73" t="str">
        <f t="shared" si="369"/>
        <v/>
      </c>
      <c r="AD1407" s="19" t="str">
        <f t="shared" si="370"/>
        <v/>
      </c>
      <c r="AE1407" s="19" t="str">
        <f t="shared" si="371"/>
        <v/>
      </c>
      <c r="AF1407" s="19" t="str">
        <f>IF($D1407&lt;&gt;1,"",IF(INDEX(TblClusters[Environnement],$B1407)="","(vide)",INDEX(TblClusters[Environnement],$B1407)))</f>
        <v/>
      </c>
      <c r="AG1407" s="19" t="str">
        <f t="shared" si="372"/>
        <v/>
      </c>
      <c r="AH1407" s="19" t="str">
        <f t="shared" si="373"/>
        <v/>
      </c>
      <c r="AI1407" s="19" t="str">
        <f>IF($D1407&lt;&gt;1,"",IF(AND($G1407="IKS",ISNUMBER(INDEX(TblClusters[Fermeture retenue],$B1407))),IF($E1407&gt;=INDEX(TblClusters[Fermeture retenue],$B1407),1,0),0))</f>
        <v/>
      </c>
    </row>
    <row r="1408" spans="1:35" x14ac:dyDescent="0.2">
      <c r="A1408" s="19">
        <v>1403</v>
      </c>
      <c r="B1408" s="19">
        <f t="shared" si="357"/>
        <v>39</v>
      </c>
      <c r="C1408" s="19">
        <f t="shared" si="358"/>
        <v>35</v>
      </c>
      <c r="D1408" s="19">
        <f>IF($C1408&gt;p_horizon,0,IFERROR(IF(AND(INDEX(TblClusters[Cluster],$B1408)&lt;&gt;"",ISNUMBER(INDEX(TblClusters[CPU initial (vCPU)],$B1408)),ISNUMBER(INDEX(TblClusters[CPU min (vCPU)],$B1408)),OR(INDEX(TblClusters[Plateforme],$B1408)="IKS",INDEX(TblClusters[Plateforme],$B1408)="ROKS")),1,0),0))</f>
        <v>0</v>
      </c>
      <c r="E1408" s="72" t="str">
        <f t="shared" si="359"/>
        <v/>
      </c>
      <c r="F1408" s="19" t="str">
        <f>IF($D1408=1,INDEX(TblClusters[Cluster],$B1408),"")</f>
        <v/>
      </c>
      <c r="G1408" s="19" t="str">
        <f>IF($D1408=1,INDEX(TblClusters[Plateforme],$B1408),"")</f>
        <v/>
      </c>
      <c r="H1408" s="19" t="str">
        <f>IF($D1408=1,INDEX(TblClusters[vCPU par nœud],$B1408),"")</f>
        <v/>
      </c>
      <c r="I1408" s="19" t="str">
        <f>IF($D1408=1,INDEX(TblClusters[RAM par nœud (Go)],$B1408),"")</f>
        <v/>
      </c>
      <c r="J1408" s="19" t="str">
        <f>IF($D1408=1,INDEX(TblClusters[Workers min],$B1408),"")</f>
        <v/>
      </c>
      <c r="K1408" s="73" t="str">
        <f>IF($D1408=1,INDEX(TblClusters[Tarif par nœud],$B1408),"")</f>
        <v/>
      </c>
      <c r="L1408" s="19" t="str">
        <f>IF($D1408=1,INDEX(TblClusters[CPU initial (vCPU)],$B1408),"")</f>
        <v/>
      </c>
      <c r="M1408" s="19" t="str">
        <f>IF($D1408=1,INDEX(TblClusters[RAM initiale (Go)],$B1408),"")</f>
        <v/>
      </c>
      <c r="N1408" s="19" t="str">
        <f>IF($D1408=1,INDEX(TblClusters[CPU min (vCPU)],$B1408),"")</f>
        <v/>
      </c>
      <c r="O1408" s="19" t="str">
        <f>IF($D1408=1,INDEX(TblClusters[RAM min (Go)],$B1408),"")</f>
        <v/>
      </c>
      <c r="P1408" s="19" t="str">
        <f>IF($D1408&lt;&gt;1,"",IF($G1408="ROKS",SUMIFS(TblApplications[Besoin ROKS CPU (vCPU)],TblApplications[Cluster ROKS cible],$F1408,TblApplications[Action],"À migrer",TblApplications[Déjà incluse ROKS],"Non",TblApplications[Mois prov (calc)],"&lt;="&amp;$E1408),SUMIFS(TblApplications[CPU IKS libérable (vCPU)],TblApplications[Cluster IKS source],$F1408,TblApplications[Mois lib (calc)],"&lt;="&amp;$E1408)))</f>
        <v/>
      </c>
      <c r="Q1408" s="19" t="str">
        <f>IF($D1408&lt;&gt;1,"",IF($G1408="ROKS",SUMIFS(TblApplications[Besoin ROKS RAM (Go)],TblApplications[Cluster ROKS cible],$F1408,TblApplications[Action],"À migrer",TblApplications[Déjà incluse ROKS],"Non",TblApplications[Mois prov (calc)],"&lt;="&amp;$E1408),SUMIFS(TblApplications[RAM IKS libérable (Go)],TblApplications[Cluster IKS source],$F1408,TblApplications[Mois lib (calc)],"&lt;="&amp;$E1408)))</f>
        <v/>
      </c>
      <c r="R1408" s="19" t="str">
        <f t="shared" si="360"/>
        <v/>
      </c>
      <c r="S1408" s="19" t="str">
        <f t="shared" si="361"/>
        <v/>
      </c>
      <c r="T1408" s="19" t="str">
        <f t="shared" si="362"/>
        <v/>
      </c>
      <c r="U1408" s="19" t="str">
        <f t="shared" si="363"/>
        <v/>
      </c>
      <c r="V1408" s="19" t="str">
        <f t="shared" si="364"/>
        <v/>
      </c>
      <c r="W1408" s="73" t="str">
        <f t="shared" si="365"/>
        <v/>
      </c>
      <c r="X1408" s="19" t="str">
        <f>IF($D1408&lt;&gt;1,"",IF($G1408="ROKS",$R1408,IF($AI1408=1,0,MAX($N1408,$L1408-SUMIFS(TblApplications[CPU IKS libérable (vCPU)],TblApplications[Cluster IKS source],$F1408,TblApplications[Action],"À migrer",TblApplications[Mois prov (calc)],"&lt;="&amp;$E1408)-SUMIFS(TblApplications[CPU IKS libérable (vCPU)],TblApplications[Cluster IKS source],$F1408,TblApplications[Action],"À décommissionner",TblApplications[Mois lib (calc)],"&lt;="&amp;$E1408)))))</f>
        <v/>
      </c>
      <c r="Y1408" s="19" t="str">
        <f>IF($D1408&lt;&gt;1,"",IF($G1408="ROKS",$S1408,IF($AI1408=1,0,MAX($O1408,$M1408-SUMIFS(TblApplications[RAM IKS libérable (Go)],TblApplications[Cluster IKS source],$F1408,TblApplications[Action],"À migrer",TblApplications[Mois prov (calc)],"&lt;="&amp;$E1408)-SUMIFS(TblApplications[RAM IKS libérable (Go)],TblApplications[Cluster IKS source],$F1408,TblApplications[Action],"À décommissionner",TblApplications[Mois lib (calc)],"&lt;="&amp;$E1408)))))</f>
        <v/>
      </c>
      <c r="Z1408" s="19" t="str">
        <f t="shared" si="366"/>
        <v/>
      </c>
      <c r="AA1408" s="73" t="str">
        <f t="shared" si="367"/>
        <v/>
      </c>
      <c r="AB1408" s="19" t="str">
        <f t="shared" si="368"/>
        <v/>
      </c>
      <c r="AC1408" s="73" t="str">
        <f t="shared" si="369"/>
        <v/>
      </c>
      <c r="AD1408" s="19" t="str">
        <f t="shared" si="370"/>
        <v/>
      </c>
      <c r="AE1408" s="19" t="str">
        <f t="shared" si="371"/>
        <v/>
      </c>
      <c r="AF1408" s="19" t="str">
        <f>IF($D1408&lt;&gt;1,"",IF(INDEX(TblClusters[Environnement],$B1408)="","(vide)",INDEX(TblClusters[Environnement],$B1408)))</f>
        <v/>
      </c>
      <c r="AG1408" s="19" t="str">
        <f t="shared" si="372"/>
        <v/>
      </c>
      <c r="AH1408" s="19" t="str">
        <f t="shared" si="373"/>
        <v/>
      </c>
      <c r="AI1408" s="19" t="str">
        <f>IF($D1408&lt;&gt;1,"",IF(AND($G1408="IKS",ISNUMBER(INDEX(TblClusters[Fermeture retenue],$B1408))),IF($E1408&gt;=INDEX(TblClusters[Fermeture retenue],$B1408),1,0),0))</f>
        <v/>
      </c>
    </row>
    <row r="1409" spans="1:35" x14ac:dyDescent="0.2">
      <c r="A1409" s="19">
        <v>1404</v>
      </c>
      <c r="B1409" s="19">
        <f t="shared" si="357"/>
        <v>39</v>
      </c>
      <c r="C1409" s="19">
        <f t="shared" si="358"/>
        <v>36</v>
      </c>
      <c r="D1409" s="19">
        <f>IF($C1409&gt;p_horizon,0,IFERROR(IF(AND(INDEX(TblClusters[Cluster],$B1409)&lt;&gt;"",ISNUMBER(INDEX(TblClusters[CPU initial (vCPU)],$B1409)),ISNUMBER(INDEX(TblClusters[CPU min (vCPU)],$B1409)),OR(INDEX(TblClusters[Plateforme],$B1409)="IKS",INDEX(TblClusters[Plateforme],$B1409)="ROKS")),1,0),0))</f>
        <v>0</v>
      </c>
      <c r="E1409" s="72" t="str">
        <f t="shared" si="359"/>
        <v/>
      </c>
      <c r="F1409" s="19" t="str">
        <f>IF($D1409=1,INDEX(TblClusters[Cluster],$B1409),"")</f>
        <v/>
      </c>
      <c r="G1409" s="19" t="str">
        <f>IF($D1409=1,INDEX(TblClusters[Plateforme],$B1409),"")</f>
        <v/>
      </c>
      <c r="H1409" s="19" t="str">
        <f>IF($D1409=1,INDEX(TblClusters[vCPU par nœud],$B1409),"")</f>
        <v/>
      </c>
      <c r="I1409" s="19" t="str">
        <f>IF($D1409=1,INDEX(TblClusters[RAM par nœud (Go)],$B1409),"")</f>
        <v/>
      </c>
      <c r="J1409" s="19" t="str">
        <f>IF($D1409=1,INDEX(TblClusters[Workers min],$B1409),"")</f>
        <v/>
      </c>
      <c r="K1409" s="73" t="str">
        <f>IF($D1409=1,INDEX(TblClusters[Tarif par nœud],$B1409),"")</f>
        <v/>
      </c>
      <c r="L1409" s="19" t="str">
        <f>IF($D1409=1,INDEX(TblClusters[CPU initial (vCPU)],$B1409),"")</f>
        <v/>
      </c>
      <c r="M1409" s="19" t="str">
        <f>IF($D1409=1,INDEX(TblClusters[RAM initiale (Go)],$B1409),"")</f>
        <v/>
      </c>
      <c r="N1409" s="19" t="str">
        <f>IF($D1409=1,INDEX(TblClusters[CPU min (vCPU)],$B1409),"")</f>
        <v/>
      </c>
      <c r="O1409" s="19" t="str">
        <f>IF($D1409=1,INDEX(TblClusters[RAM min (Go)],$B1409),"")</f>
        <v/>
      </c>
      <c r="P1409" s="19" t="str">
        <f>IF($D1409&lt;&gt;1,"",IF($G1409="ROKS",SUMIFS(TblApplications[Besoin ROKS CPU (vCPU)],TblApplications[Cluster ROKS cible],$F1409,TblApplications[Action],"À migrer",TblApplications[Déjà incluse ROKS],"Non",TblApplications[Mois prov (calc)],"&lt;="&amp;$E1409),SUMIFS(TblApplications[CPU IKS libérable (vCPU)],TblApplications[Cluster IKS source],$F1409,TblApplications[Mois lib (calc)],"&lt;="&amp;$E1409)))</f>
        <v/>
      </c>
      <c r="Q1409" s="19" t="str">
        <f>IF($D1409&lt;&gt;1,"",IF($G1409="ROKS",SUMIFS(TblApplications[Besoin ROKS RAM (Go)],TblApplications[Cluster ROKS cible],$F1409,TblApplications[Action],"À migrer",TblApplications[Déjà incluse ROKS],"Non",TblApplications[Mois prov (calc)],"&lt;="&amp;$E1409),SUMIFS(TblApplications[RAM IKS libérable (Go)],TblApplications[Cluster IKS source],$F1409,TblApplications[Mois lib (calc)],"&lt;="&amp;$E1409)))</f>
        <v/>
      </c>
      <c r="R1409" s="19" t="str">
        <f t="shared" si="360"/>
        <v/>
      </c>
      <c r="S1409" s="19" t="str">
        <f t="shared" si="361"/>
        <v/>
      </c>
      <c r="T1409" s="19" t="str">
        <f t="shared" si="362"/>
        <v/>
      </c>
      <c r="U1409" s="19" t="str">
        <f t="shared" si="363"/>
        <v/>
      </c>
      <c r="V1409" s="19" t="str">
        <f t="shared" si="364"/>
        <v/>
      </c>
      <c r="W1409" s="73" t="str">
        <f t="shared" si="365"/>
        <v/>
      </c>
      <c r="X1409" s="19" t="str">
        <f>IF($D1409&lt;&gt;1,"",IF($G1409="ROKS",$R1409,IF($AI1409=1,0,MAX($N1409,$L1409-SUMIFS(TblApplications[CPU IKS libérable (vCPU)],TblApplications[Cluster IKS source],$F1409,TblApplications[Action],"À migrer",TblApplications[Mois prov (calc)],"&lt;="&amp;$E1409)-SUMIFS(TblApplications[CPU IKS libérable (vCPU)],TblApplications[Cluster IKS source],$F1409,TblApplications[Action],"À décommissionner",TblApplications[Mois lib (calc)],"&lt;="&amp;$E1409)))))</f>
        <v/>
      </c>
      <c r="Y1409" s="19" t="str">
        <f>IF($D1409&lt;&gt;1,"",IF($G1409="ROKS",$S1409,IF($AI1409=1,0,MAX($O1409,$M1409-SUMIFS(TblApplications[RAM IKS libérable (Go)],TblApplications[Cluster IKS source],$F1409,TblApplications[Action],"À migrer",TblApplications[Mois prov (calc)],"&lt;="&amp;$E1409)-SUMIFS(TblApplications[RAM IKS libérable (Go)],TblApplications[Cluster IKS source],$F1409,TblApplications[Action],"À décommissionner",TblApplications[Mois lib (calc)],"&lt;="&amp;$E1409)))))</f>
        <v/>
      </c>
      <c r="Z1409" s="19" t="str">
        <f t="shared" si="366"/>
        <v/>
      </c>
      <c r="AA1409" s="73" t="str">
        <f t="shared" si="367"/>
        <v/>
      </c>
      <c r="AB1409" s="19" t="str">
        <f t="shared" si="368"/>
        <v/>
      </c>
      <c r="AC1409" s="73" t="str">
        <f t="shared" si="369"/>
        <v/>
      </c>
      <c r="AD1409" s="19" t="str">
        <f t="shared" si="370"/>
        <v/>
      </c>
      <c r="AE1409" s="19" t="str">
        <f t="shared" si="371"/>
        <v/>
      </c>
      <c r="AF1409" s="19" t="str">
        <f>IF($D1409&lt;&gt;1,"",IF(INDEX(TblClusters[Environnement],$B1409)="","(vide)",INDEX(TblClusters[Environnement],$B1409)))</f>
        <v/>
      </c>
      <c r="AG1409" s="19" t="str">
        <f t="shared" si="372"/>
        <v/>
      </c>
      <c r="AH1409" s="19" t="str">
        <f t="shared" si="373"/>
        <v/>
      </c>
      <c r="AI1409" s="19" t="str">
        <f>IF($D1409&lt;&gt;1,"",IF(AND($G1409="IKS",ISNUMBER(INDEX(TblClusters[Fermeture retenue],$B1409))),IF($E1409&gt;=INDEX(TblClusters[Fermeture retenue],$B1409),1,0),0))</f>
        <v/>
      </c>
    </row>
    <row r="1410" spans="1:35" x14ac:dyDescent="0.2">
      <c r="A1410" s="19">
        <v>1405</v>
      </c>
      <c r="B1410" s="19">
        <f t="shared" si="357"/>
        <v>40</v>
      </c>
      <c r="C1410" s="19">
        <f t="shared" si="358"/>
        <v>1</v>
      </c>
      <c r="D1410" s="19">
        <f>IF($C1410&gt;p_horizon,0,IFERROR(IF(AND(INDEX(TblClusters[Cluster],$B1410)&lt;&gt;"",ISNUMBER(INDEX(TblClusters[CPU initial (vCPU)],$B1410)),ISNUMBER(INDEX(TblClusters[CPU min (vCPU)],$B1410)),OR(INDEX(TblClusters[Plateforme],$B1410)="IKS",INDEX(TblClusters[Plateforme],$B1410)="ROKS")),1,0),0))</f>
        <v>0</v>
      </c>
      <c r="E1410" s="72" t="str">
        <f t="shared" si="359"/>
        <v/>
      </c>
      <c r="F1410" s="19" t="str">
        <f>IF($D1410=1,INDEX(TblClusters[Cluster],$B1410),"")</f>
        <v/>
      </c>
      <c r="G1410" s="19" t="str">
        <f>IF($D1410=1,INDEX(TblClusters[Plateforme],$B1410),"")</f>
        <v/>
      </c>
      <c r="H1410" s="19" t="str">
        <f>IF($D1410=1,INDEX(TblClusters[vCPU par nœud],$B1410),"")</f>
        <v/>
      </c>
      <c r="I1410" s="19" t="str">
        <f>IF($D1410=1,INDEX(TblClusters[RAM par nœud (Go)],$B1410),"")</f>
        <v/>
      </c>
      <c r="J1410" s="19" t="str">
        <f>IF($D1410=1,INDEX(TblClusters[Workers min],$B1410),"")</f>
        <v/>
      </c>
      <c r="K1410" s="73" t="str">
        <f>IF($D1410=1,INDEX(TblClusters[Tarif par nœud],$B1410),"")</f>
        <v/>
      </c>
      <c r="L1410" s="19" t="str">
        <f>IF($D1410=1,INDEX(TblClusters[CPU initial (vCPU)],$B1410),"")</f>
        <v/>
      </c>
      <c r="M1410" s="19" t="str">
        <f>IF($D1410=1,INDEX(TblClusters[RAM initiale (Go)],$B1410),"")</f>
        <v/>
      </c>
      <c r="N1410" s="19" t="str">
        <f>IF($D1410=1,INDEX(TblClusters[CPU min (vCPU)],$B1410),"")</f>
        <v/>
      </c>
      <c r="O1410" s="19" t="str">
        <f>IF($D1410=1,INDEX(TblClusters[RAM min (Go)],$B1410),"")</f>
        <v/>
      </c>
      <c r="P1410" s="19" t="str">
        <f>IF($D1410&lt;&gt;1,"",IF($G1410="ROKS",SUMIFS(TblApplications[Besoin ROKS CPU (vCPU)],TblApplications[Cluster ROKS cible],$F1410,TblApplications[Action],"À migrer",TblApplications[Déjà incluse ROKS],"Non",TblApplications[Mois prov (calc)],"&lt;="&amp;$E1410),SUMIFS(TblApplications[CPU IKS libérable (vCPU)],TblApplications[Cluster IKS source],$F1410,TblApplications[Mois lib (calc)],"&lt;="&amp;$E1410)))</f>
        <v/>
      </c>
      <c r="Q1410" s="19" t="str">
        <f>IF($D1410&lt;&gt;1,"",IF($G1410="ROKS",SUMIFS(TblApplications[Besoin ROKS RAM (Go)],TblApplications[Cluster ROKS cible],$F1410,TblApplications[Action],"À migrer",TblApplications[Déjà incluse ROKS],"Non",TblApplications[Mois prov (calc)],"&lt;="&amp;$E1410),SUMIFS(TblApplications[RAM IKS libérable (Go)],TblApplications[Cluster IKS source],$F1410,TblApplications[Mois lib (calc)],"&lt;="&amp;$E1410)))</f>
        <v/>
      </c>
      <c r="R1410" s="19" t="str">
        <f t="shared" si="360"/>
        <v/>
      </c>
      <c r="S1410" s="19" t="str">
        <f t="shared" si="361"/>
        <v/>
      </c>
      <c r="T1410" s="19" t="str">
        <f t="shared" si="362"/>
        <v/>
      </c>
      <c r="U1410" s="19" t="str">
        <f t="shared" si="363"/>
        <v/>
      </c>
      <c r="V1410" s="19" t="str">
        <f t="shared" si="364"/>
        <v/>
      </c>
      <c r="W1410" s="73" t="str">
        <f t="shared" si="365"/>
        <v/>
      </c>
      <c r="X1410" s="19" t="str">
        <f>IF($D1410&lt;&gt;1,"",IF($G1410="ROKS",$R1410,IF($AI1410=1,0,MAX($N1410,$L1410-SUMIFS(TblApplications[CPU IKS libérable (vCPU)],TblApplications[Cluster IKS source],$F1410,TblApplications[Action],"À migrer",TblApplications[Mois prov (calc)],"&lt;="&amp;$E1410)-SUMIFS(TblApplications[CPU IKS libérable (vCPU)],TblApplications[Cluster IKS source],$F1410,TblApplications[Action],"À décommissionner",TblApplications[Mois lib (calc)],"&lt;="&amp;$E1410)))))</f>
        <v/>
      </c>
      <c r="Y1410" s="19" t="str">
        <f>IF($D1410&lt;&gt;1,"",IF($G1410="ROKS",$S1410,IF($AI1410=1,0,MAX($O1410,$M1410-SUMIFS(TblApplications[RAM IKS libérable (Go)],TblApplications[Cluster IKS source],$F1410,TblApplications[Action],"À migrer",TblApplications[Mois prov (calc)],"&lt;="&amp;$E1410)-SUMIFS(TblApplications[RAM IKS libérable (Go)],TblApplications[Cluster IKS source],$F1410,TblApplications[Action],"À décommissionner",TblApplications[Mois lib (calc)],"&lt;="&amp;$E1410)))))</f>
        <v/>
      </c>
      <c r="Z1410" s="19" t="str">
        <f t="shared" si="366"/>
        <v/>
      </c>
      <c r="AA1410" s="73" t="str">
        <f t="shared" si="367"/>
        <v/>
      </c>
      <c r="AB1410" s="19" t="str">
        <f t="shared" si="368"/>
        <v/>
      </c>
      <c r="AC1410" s="73" t="str">
        <f t="shared" si="369"/>
        <v/>
      </c>
      <c r="AD1410" s="19" t="str">
        <f t="shared" si="370"/>
        <v/>
      </c>
      <c r="AE1410" s="19" t="str">
        <f t="shared" si="371"/>
        <v/>
      </c>
      <c r="AF1410" s="19" t="str">
        <f>IF($D1410&lt;&gt;1,"",IF(INDEX(TblClusters[Environnement],$B1410)="","(vide)",INDEX(TblClusters[Environnement],$B1410)))</f>
        <v/>
      </c>
      <c r="AG1410" s="19" t="str">
        <f t="shared" si="372"/>
        <v/>
      </c>
      <c r="AH1410" s="19" t="str">
        <f t="shared" si="373"/>
        <v/>
      </c>
      <c r="AI1410" s="19" t="str">
        <f>IF($D1410&lt;&gt;1,"",IF(AND($G1410="IKS",ISNUMBER(INDEX(TblClusters[Fermeture retenue],$B1410))),IF($E1410&gt;=INDEX(TblClusters[Fermeture retenue],$B1410),1,0),0))</f>
        <v/>
      </c>
    </row>
    <row r="1411" spans="1:35" x14ac:dyDescent="0.2">
      <c r="A1411" s="19">
        <v>1406</v>
      </c>
      <c r="B1411" s="19">
        <f t="shared" si="357"/>
        <v>40</v>
      </c>
      <c r="C1411" s="19">
        <f t="shared" si="358"/>
        <v>2</v>
      </c>
      <c r="D1411" s="19">
        <f>IF($C1411&gt;p_horizon,0,IFERROR(IF(AND(INDEX(TblClusters[Cluster],$B1411)&lt;&gt;"",ISNUMBER(INDEX(TblClusters[CPU initial (vCPU)],$B1411)),ISNUMBER(INDEX(TblClusters[CPU min (vCPU)],$B1411)),OR(INDEX(TblClusters[Plateforme],$B1411)="IKS",INDEX(TblClusters[Plateforme],$B1411)="ROKS")),1,0),0))</f>
        <v>0</v>
      </c>
      <c r="E1411" s="72" t="str">
        <f t="shared" si="359"/>
        <v/>
      </c>
      <c r="F1411" s="19" t="str">
        <f>IF($D1411=1,INDEX(TblClusters[Cluster],$B1411),"")</f>
        <v/>
      </c>
      <c r="G1411" s="19" t="str">
        <f>IF($D1411=1,INDEX(TblClusters[Plateforme],$B1411),"")</f>
        <v/>
      </c>
      <c r="H1411" s="19" t="str">
        <f>IF($D1411=1,INDEX(TblClusters[vCPU par nœud],$B1411),"")</f>
        <v/>
      </c>
      <c r="I1411" s="19" t="str">
        <f>IF($D1411=1,INDEX(TblClusters[RAM par nœud (Go)],$B1411),"")</f>
        <v/>
      </c>
      <c r="J1411" s="19" t="str">
        <f>IF($D1411=1,INDEX(TblClusters[Workers min],$B1411),"")</f>
        <v/>
      </c>
      <c r="K1411" s="73" t="str">
        <f>IF($D1411=1,INDEX(TblClusters[Tarif par nœud],$B1411),"")</f>
        <v/>
      </c>
      <c r="L1411" s="19" t="str">
        <f>IF($D1411=1,INDEX(TblClusters[CPU initial (vCPU)],$B1411),"")</f>
        <v/>
      </c>
      <c r="M1411" s="19" t="str">
        <f>IF($D1411=1,INDEX(TblClusters[RAM initiale (Go)],$B1411),"")</f>
        <v/>
      </c>
      <c r="N1411" s="19" t="str">
        <f>IF($D1411=1,INDEX(TblClusters[CPU min (vCPU)],$B1411),"")</f>
        <v/>
      </c>
      <c r="O1411" s="19" t="str">
        <f>IF($D1411=1,INDEX(TblClusters[RAM min (Go)],$B1411),"")</f>
        <v/>
      </c>
      <c r="P1411" s="19" t="str">
        <f>IF($D1411&lt;&gt;1,"",IF($G1411="ROKS",SUMIFS(TblApplications[Besoin ROKS CPU (vCPU)],TblApplications[Cluster ROKS cible],$F1411,TblApplications[Action],"À migrer",TblApplications[Déjà incluse ROKS],"Non",TblApplications[Mois prov (calc)],"&lt;="&amp;$E1411),SUMIFS(TblApplications[CPU IKS libérable (vCPU)],TblApplications[Cluster IKS source],$F1411,TblApplications[Mois lib (calc)],"&lt;="&amp;$E1411)))</f>
        <v/>
      </c>
      <c r="Q1411" s="19" t="str">
        <f>IF($D1411&lt;&gt;1,"",IF($G1411="ROKS",SUMIFS(TblApplications[Besoin ROKS RAM (Go)],TblApplications[Cluster ROKS cible],$F1411,TblApplications[Action],"À migrer",TblApplications[Déjà incluse ROKS],"Non",TblApplications[Mois prov (calc)],"&lt;="&amp;$E1411),SUMIFS(TblApplications[RAM IKS libérable (Go)],TblApplications[Cluster IKS source],$F1411,TblApplications[Mois lib (calc)],"&lt;="&amp;$E1411)))</f>
        <v/>
      </c>
      <c r="R1411" s="19" t="str">
        <f t="shared" si="360"/>
        <v/>
      </c>
      <c r="S1411" s="19" t="str">
        <f t="shared" si="361"/>
        <v/>
      </c>
      <c r="T1411" s="19" t="str">
        <f t="shared" si="362"/>
        <v/>
      </c>
      <c r="U1411" s="19" t="str">
        <f t="shared" si="363"/>
        <v/>
      </c>
      <c r="V1411" s="19" t="str">
        <f t="shared" si="364"/>
        <v/>
      </c>
      <c r="W1411" s="73" t="str">
        <f t="shared" si="365"/>
        <v/>
      </c>
      <c r="X1411" s="19" t="str">
        <f>IF($D1411&lt;&gt;1,"",IF($G1411="ROKS",$R1411,IF($AI1411=1,0,MAX($N1411,$L1411-SUMIFS(TblApplications[CPU IKS libérable (vCPU)],TblApplications[Cluster IKS source],$F1411,TblApplications[Action],"À migrer",TblApplications[Mois prov (calc)],"&lt;="&amp;$E1411)-SUMIFS(TblApplications[CPU IKS libérable (vCPU)],TblApplications[Cluster IKS source],$F1411,TblApplications[Action],"À décommissionner",TblApplications[Mois lib (calc)],"&lt;="&amp;$E1411)))))</f>
        <v/>
      </c>
      <c r="Y1411" s="19" t="str">
        <f>IF($D1411&lt;&gt;1,"",IF($G1411="ROKS",$S1411,IF($AI1411=1,0,MAX($O1411,$M1411-SUMIFS(TblApplications[RAM IKS libérable (Go)],TblApplications[Cluster IKS source],$F1411,TblApplications[Action],"À migrer",TblApplications[Mois prov (calc)],"&lt;="&amp;$E1411)-SUMIFS(TblApplications[RAM IKS libérable (Go)],TblApplications[Cluster IKS source],$F1411,TblApplications[Action],"À décommissionner",TblApplications[Mois lib (calc)],"&lt;="&amp;$E1411)))))</f>
        <v/>
      </c>
      <c r="Z1411" s="19" t="str">
        <f t="shared" si="366"/>
        <v/>
      </c>
      <c r="AA1411" s="73" t="str">
        <f t="shared" si="367"/>
        <v/>
      </c>
      <c r="AB1411" s="19" t="str">
        <f t="shared" si="368"/>
        <v/>
      </c>
      <c r="AC1411" s="73" t="str">
        <f t="shared" si="369"/>
        <v/>
      </c>
      <c r="AD1411" s="19" t="str">
        <f t="shared" si="370"/>
        <v/>
      </c>
      <c r="AE1411" s="19" t="str">
        <f t="shared" si="371"/>
        <v/>
      </c>
      <c r="AF1411" s="19" t="str">
        <f>IF($D1411&lt;&gt;1,"",IF(INDEX(TblClusters[Environnement],$B1411)="","(vide)",INDEX(TblClusters[Environnement],$B1411)))</f>
        <v/>
      </c>
      <c r="AG1411" s="19" t="str">
        <f t="shared" si="372"/>
        <v/>
      </c>
      <c r="AH1411" s="19" t="str">
        <f t="shared" si="373"/>
        <v/>
      </c>
      <c r="AI1411" s="19" t="str">
        <f>IF($D1411&lt;&gt;1,"",IF(AND($G1411="IKS",ISNUMBER(INDEX(TblClusters[Fermeture retenue],$B1411))),IF($E1411&gt;=INDEX(TblClusters[Fermeture retenue],$B1411),1,0),0))</f>
        <v/>
      </c>
    </row>
    <row r="1412" spans="1:35" x14ac:dyDescent="0.2">
      <c r="A1412" s="19">
        <v>1407</v>
      </c>
      <c r="B1412" s="19">
        <f t="shared" si="357"/>
        <v>40</v>
      </c>
      <c r="C1412" s="19">
        <f t="shared" si="358"/>
        <v>3</v>
      </c>
      <c r="D1412" s="19">
        <f>IF($C1412&gt;p_horizon,0,IFERROR(IF(AND(INDEX(TblClusters[Cluster],$B1412)&lt;&gt;"",ISNUMBER(INDEX(TblClusters[CPU initial (vCPU)],$B1412)),ISNUMBER(INDEX(TblClusters[CPU min (vCPU)],$B1412)),OR(INDEX(TblClusters[Plateforme],$B1412)="IKS",INDEX(TblClusters[Plateforme],$B1412)="ROKS")),1,0),0))</f>
        <v>0</v>
      </c>
      <c r="E1412" s="72" t="str">
        <f t="shared" si="359"/>
        <v/>
      </c>
      <c r="F1412" s="19" t="str">
        <f>IF($D1412=1,INDEX(TblClusters[Cluster],$B1412),"")</f>
        <v/>
      </c>
      <c r="G1412" s="19" t="str">
        <f>IF($D1412=1,INDEX(TblClusters[Plateforme],$B1412),"")</f>
        <v/>
      </c>
      <c r="H1412" s="19" t="str">
        <f>IF($D1412=1,INDEX(TblClusters[vCPU par nœud],$B1412),"")</f>
        <v/>
      </c>
      <c r="I1412" s="19" t="str">
        <f>IF($D1412=1,INDEX(TblClusters[RAM par nœud (Go)],$B1412),"")</f>
        <v/>
      </c>
      <c r="J1412" s="19" t="str">
        <f>IF($D1412=1,INDEX(TblClusters[Workers min],$B1412),"")</f>
        <v/>
      </c>
      <c r="K1412" s="73" t="str">
        <f>IF($D1412=1,INDEX(TblClusters[Tarif par nœud],$B1412),"")</f>
        <v/>
      </c>
      <c r="L1412" s="19" t="str">
        <f>IF($D1412=1,INDEX(TblClusters[CPU initial (vCPU)],$B1412),"")</f>
        <v/>
      </c>
      <c r="M1412" s="19" t="str">
        <f>IF($D1412=1,INDEX(TblClusters[RAM initiale (Go)],$B1412),"")</f>
        <v/>
      </c>
      <c r="N1412" s="19" t="str">
        <f>IF($D1412=1,INDEX(TblClusters[CPU min (vCPU)],$B1412),"")</f>
        <v/>
      </c>
      <c r="O1412" s="19" t="str">
        <f>IF($D1412=1,INDEX(TblClusters[RAM min (Go)],$B1412),"")</f>
        <v/>
      </c>
      <c r="P1412" s="19" t="str">
        <f>IF($D1412&lt;&gt;1,"",IF($G1412="ROKS",SUMIFS(TblApplications[Besoin ROKS CPU (vCPU)],TblApplications[Cluster ROKS cible],$F1412,TblApplications[Action],"À migrer",TblApplications[Déjà incluse ROKS],"Non",TblApplications[Mois prov (calc)],"&lt;="&amp;$E1412),SUMIFS(TblApplications[CPU IKS libérable (vCPU)],TblApplications[Cluster IKS source],$F1412,TblApplications[Mois lib (calc)],"&lt;="&amp;$E1412)))</f>
        <v/>
      </c>
      <c r="Q1412" s="19" t="str">
        <f>IF($D1412&lt;&gt;1,"",IF($G1412="ROKS",SUMIFS(TblApplications[Besoin ROKS RAM (Go)],TblApplications[Cluster ROKS cible],$F1412,TblApplications[Action],"À migrer",TblApplications[Déjà incluse ROKS],"Non",TblApplications[Mois prov (calc)],"&lt;="&amp;$E1412),SUMIFS(TblApplications[RAM IKS libérable (Go)],TblApplications[Cluster IKS source],$F1412,TblApplications[Mois lib (calc)],"&lt;="&amp;$E1412)))</f>
        <v/>
      </c>
      <c r="R1412" s="19" t="str">
        <f t="shared" si="360"/>
        <v/>
      </c>
      <c r="S1412" s="19" t="str">
        <f t="shared" si="361"/>
        <v/>
      </c>
      <c r="T1412" s="19" t="str">
        <f t="shared" si="362"/>
        <v/>
      </c>
      <c r="U1412" s="19" t="str">
        <f t="shared" si="363"/>
        <v/>
      </c>
      <c r="V1412" s="19" t="str">
        <f t="shared" si="364"/>
        <v/>
      </c>
      <c r="W1412" s="73" t="str">
        <f t="shared" si="365"/>
        <v/>
      </c>
      <c r="X1412" s="19" t="str">
        <f>IF($D1412&lt;&gt;1,"",IF($G1412="ROKS",$R1412,IF($AI1412=1,0,MAX($N1412,$L1412-SUMIFS(TblApplications[CPU IKS libérable (vCPU)],TblApplications[Cluster IKS source],$F1412,TblApplications[Action],"À migrer",TblApplications[Mois prov (calc)],"&lt;="&amp;$E1412)-SUMIFS(TblApplications[CPU IKS libérable (vCPU)],TblApplications[Cluster IKS source],$F1412,TblApplications[Action],"À décommissionner",TblApplications[Mois lib (calc)],"&lt;="&amp;$E1412)))))</f>
        <v/>
      </c>
      <c r="Y1412" s="19" t="str">
        <f>IF($D1412&lt;&gt;1,"",IF($G1412="ROKS",$S1412,IF($AI1412=1,0,MAX($O1412,$M1412-SUMIFS(TblApplications[RAM IKS libérable (Go)],TblApplications[Cluster IKS source],$F1412,TblApplications[Action],"À migrer",TblApplications[Mois prov (calc)],"&lt;="&amp;$E1412)-SUMIFS(TblApplications[RAM IKS libérable (Go)],TblApplications[Cluster IKS source],$F1412,TblApplications[Action],"À décommissionner",TblApplications[Mois lib (calc)],"&lt;="&amp;$E1412)))))</f>
        <v/>
      </c>
      <c r="Z1412" s="19" t="str">
        <f t="shared" si="366"/>
        <v/>
      </c>
      <c r="AA1412" s="73" t="str">
        <f t="shared" si="367"/>
        <v/>
      </c>
      <c r="AB1412" s="19" t="str">
        <f t="shared" si="368"/>
        <v/>
      </c>
      <c r="AC1412" s="73" t="str">
        <f t="shared" si="369"/>
        <v/>
      </c>
      <c r="AD1412" s="19" t="str">
        <f t="shared" si="370"/>
        <v/>
      </c>
      <c r="AE1412" s="19" t="str">
        <f t="shared" si="371"/>
        <v/>
      </c>
      <c r="AF1412" s="19" t="str">
        <f>IF($D1412&lt;&gt;1,"",IF(INDEX(TblClusters[Environnement],$B1412)="","(vide)",INDEX(TblClusters[Environnement],$B1412)))</f>
        <v/>
      </c>
      <c r="AG1412" s="19" t="str">
        <f t="shared" si="372"/>
        <v/>
      </c>
      <c r="AH1412" s="19" t="str">
        <f t="shared" si="373"/>
        <v/>
      </c>
      <c r="AI1412" s="19" t="str">
        <f>IF($D1412&lt;&gt;1,"",IF(AND($G1412="IKS",ISNUMBER(INDEX(TblClusters[Fermeture retenue],$B1412))),IF($E1412&gt;=INDEX(TblClusters[Fermeture retenue],$B1412),1,0),0))</f>
        <v/>
      </c>
    </row>
    <row r="1413" spans="1:35" x14ac:dyDescent="0.2">
      <c r="A1413" s="19">
        <v>1408</v>
      </c>
      <c r="B1413" s="19">
        <f t="shared" si="357"/>
        <v>40</v>
      </c>
      <c r="C1413" s="19">
        <f t="shared" si="358"/>
        <v>4</v>
      </c>
      <c r="D1413" s="19">
        <f>IF($C1413&gt;p_horizon,0,IFERROR(IF(AND(INDEX(TblClusters[Cluster],$B1413)&lt;&gt;"",ISNUMBER(INDEX(TblClusters[CPU initial (vCPU)],$B1413)),ISNUMBER(INDEX(TblClusters[CPU min (vCPU)],$B1413)),OR(INDEX(TblClusters[Plateforme],$B1413)="IKS",INDEX(TblClusters[Plateforme],$B1413)="ROKS")),1,0),0))</f>
        <v>0</v>
      </c>
      <c r="E1413" s="72" t="str">
        <f t="shared" si="359"/>
        <v/>
      </c>
      <c r="F1413" s="19" t="str">
        <f>IF($D1413=1,INDEX(TblClusters[Cluster],$B1413),"")</f>
        <v/>
      </c>
      <c r="G1413" s="19" t="str">
        <f>IF($D1413=1,INDEX(TblClusters[Plateforme],$B1413),"")</f>
        <v/>
      </c>
      <c r="H1413" s="19" t="str">
        <f>IF($D1413=1,INDEX(TblClusters[vCPU par nœud],$B1413),"")</f>
        <v/>
      </c>
      <c r="I1413" s="19" t="str">
        <f>IF($D1413=1,INDEX(TblClusters[RAM par nœud (Go)],$B1413),"")</f>
        <v/>
      </c>
      <c r="J1413" s="19" t="str">
        <f>IF($D1413=1,INDEX(TblClusters[Workers min],$B1413),"")</f>
        <v/>
      </c>
      <c r="K1413" s="73" t="str">
        <f>IF($D1413=1,INDEX(TblClusters[Tarif par nœud],$B1413),"")</f>
        <v/>
      </c>
      <c r="L1413" s="19" t="str">
        <f>IF($D1413=1,INDEX(TblClusters[CPU initial (vCPU)],$B1413),"")</f>
        <v/>
      </c>
      <c r="M1413" s="19" t="str">
        <f>IF($D1413=1,INDEX(TblClusters[RAM initiale (Go)],$B1413),"")</f>
        <v/>
      </c>
      <c r="N1413" s="19" t="str">
        <f>IF($D1413=1,INDEX(TblClusters[CPU min (vCPU)],$B1413),"")</f>
        <v/>
      </c>
      <c r="O1413" s="19" t="str">
        <f>IF($D1413=1,INDEX(TblClusters[RAM min (Go)],$B1413),"")</f>
        <v/>
      </c>
      <c r="P1413" s="19" t="str">
        <f>IF($D1413&lt;&gt;1,"",IF($G1413="ROKS",SUMIFS(TblApplications[Besoin ROKS CPU (vCPU)],TblApplications[Cluster ROKS cible],$F1413,TblApplications[Action],"À migrer",TblApplications[Déjà incluse ROKS],"Non",TblApplications[Mois prov (calc)],"&lt;="&amp;$E1413),SUMIFS(TblApplications[CPU IKS libérable (vCPU)],TblApplications[Cluster IKS source],$F1413,TblApplications[Mois lib (calc)],"&lt;="&amp;$E1413)))</f>
        <v/>
      </c>
      <c r="Q1413" s="19" t="str">
        <f>IF($D1413&lt;&gt;1,"",IF($G1413="ROKS",SUMIFS(TblApplications[Besoin ROKS RAM (Go)],TblApplications[Cluster ROKS cible],$F1413,TblApplications[Action],"À migrer",TblApplications[Déjà incluse ROKS],"Non",TblApplications[Mois prov (calc)],"&lt;="&amp;$E1413),SUMIFS(TblApplications[RAM IKS libérable (Go)],TblApplications[Cluster IKS source],$F1413,TblApplications[Mois lib (calc)],"&lt;="&amp;$E1413)))</f>
        <v/>
      </c>
      <c r="R1413" s="19" t="str">
        <f t="shared" si="360"/>
        <v/>
      </c>
      <c r="S1413" s="19" t="str">
        <f t="shared" si="361"/>
        <v/>
      </c>
      <c r="T1413" s="19" t="str">
        <f t="shared" si="362"/>
        <v/>
      </c>
      <c r="U1413" s="19" t="str">
        <f t="shared" si="363"/>
        <v/>
      </c>
      <c r="V1413" s="19" t="str">
        <f t="shared" si="364"/>
        <v/>
      </c>
      <c r="W1413" s="73" t="str">
        <f t="shared" si="365"/>
        <v/>
      </c>
      <c r="X1413" s="19" t="str">
        <f>IF($D1413&lt;&gt;1,"",IF($G1413="ROKS",$R1413,IF($AI1413=1,0,MAX($N1413,$L1413-SUMIFS(TblApplications[CPU IKS libérable (vCPU)],TblApplications[Cluster IKS source],$F1413,TblApplications[Action],"À migrer",TblApplications[Mois prov (calc)],"&lt;="&amp;$E1413)-SUMIFS(TblApplications[CPU IKS libérable (vCPU)],TblApplications[Cluster IKS source],$F1413,TblApplications[Action],"À décommissionner",TblApplications[Mois lib (calc)],"&lt;="&amp;$E1413)))))</f>
        <v/>
      </c>
      <c r="Y1413" s="19" t="str">
        <f>IF($D1413&lt;&gt;1,"",IF($G1413="ROKS",$S1413,IF($AI1413=1,0,MAX($O1413,$M1413-SUMIFS(TblApplications[RAM IKS libérable (Go)],TblApplications[Cluster IKS source],$F1413,TblApplications[Action],"À migrer",TblApplications[Mois prov (calc)],"&lt;="&amp;$E1413)-SUMIFS(TblApplications[RAM IKS libérable (Go)],TblApplications[Cluster IKS source],$F1413,TblApplications[Action],"À décommissionner",TblApplications[Mois lib (calc)],"&lt;="&amp;$E1413)))))</f>
        <v/>
      </c>
      <c r="Z1413" s="19" t="str">
        <f t="shared" si="366"/>
        <v/>
      </c>
      <c r="AA1413" s="73" t="str">
        <f t="shared" si="367"/>
        <v/>
      </c>
      <c r="AB1413" s="19" t="str">
        <f t="shared" si="368"/>
        <v/>
      </c>
      <c r="AC1413" s="73" t="str">
        <f t="shared" si="369"/>
        <v/>
      </c>
      <c r="AD1413" s="19" t="str">
        <f t="shared" si="370"/>
        <v/>
      </c>
      <c r="AE1413" s="19" t="str">
        <f t="shared" si="371"/>
        <v/>
      </c>
      <c r="AF1413" s="19" t="str">
        <f>IF($D1413&lt;&gt;1,"",IF(INDEX(TblClusters[Environnement],$B1413)="","(vide)",INDEX(TblClusters[Environnement],$B1413)))</f>
        <v/>
      </c>
      <c r="AG1413" s="19" t="str">
        <f t="shared" si="372"/>
        <v/>
      </c>
      <c r="AH1413" s="19" t="str">
        <f t="shared" si="373"/>
        <v/>
      </c>
      <c r="AI1413" s="19" t="str">
        <f>IF($D1413&lt;&gt;1,"",IF(AND($G1413="IKS",ISNUMBER(INDEX(TblClusters[Fermeture retenue],$B1413))),IF($E1413&gt;=INDEX(TblClusters[Fermeture retenue],$B1413),1,0),0))</f>
        <v/>
      </c>
    </row>
    <row r="1414" spans="1:35" x14ac:dyDescent="0.2">
      <c r="A1414" s="19">
        <v>1409</v>
      </c>
      <c r="B1414" s="19">
        <f t="shared" ref="B1414:B1445" si="374">INT(($A1414-1)/36)+1</f>
        <v>40</v>
      </c>
      <c r="C1414" s="19">
        <f t="shared" ref="C1414:C1445" si="375">MOD($A1414-1,36)+1</f>
        <v>5</v>
      </c>
      <c r="D1414" s="19">
        <f>IF($C1414&gt;p_horizon,0,IFERROR(IF(AND(INDEX(TblClusters[Cluster],$B1414)&lt;&gt;"",ISNUMBER(INDEX(TblClusters[CPU initial (vCPU)],$B1414)),ISNUMBER(INDEX(TblClusters[CPU min (vCPU)],$B1414)),OR(INDEX(TblClusters[Plateforme],$B1414)="IKS",INDEX(TblClusters[Plateforme],$B1414)="ROKS")),1,0),0))</f>
        <v>0</v>
      </c>
      <c r="E1414" s="72" t="str">
        <f t="shared" ref="E1414:E1445" si="376">IF($D1414=1,EDATE(p_debut,$C1414-1),"")</f>
        <v/>
      </c>
      <c r="F1414" s="19" t="str">
        <f>IF($D1414=1,INDEX(TblClusters[Cluster],$B1414),"")</f>
        <v/>
      </c>
      <c r="G1414" s="19" t="str">
        <f>IF($D1414=1,INDEX(TblClusters[Plateforme],$B1414),"")</f>
        <v/>
      </c>
      <c r="H1414" s="19" t="str">
        <f>IF($D1414=1,INDEX(TblClusters[vCPU par nœud],$B1414),"")</f>
        <v/>
      </c>
      <c r="I1414" s="19" t="str">
        <f>IF($D1414=1,INDEX(TblClusters[RAM par nœud (Go)],$B1414),"")</f>
        <v/>
      </c>
      <c r="J1414" s="19" t="str">
        <f>IF($D1414=1,INDEX(TblClusters[Workers min],$B1414),"")</f>
        <v/>
      </c>
      <c r="K1414" s="73" t="str">
        <f>IF($D1414=1,INDEX(TblClusters[Tarif par nœud],$B1414),"")</f>
        <v/>
      </c>
      <c r="L1414" s="19" t="str">
        <f>IF($D1414=1,INDEX(TblClusters[CPU initial (vCPU)],$B1414),"")</f>
        <v/>
      </c>
      <c r="M1414" s="19" t="str">
        <f>IF($D1414=1,INDEX(TblClusters[RAM initiale (Go)],$B1414),"")</f>
        <v/>
      </c>
      <c r="N1414" s="19" t="str">
        <f>IF($D1414=1,INDEX(TblClusters[CPU min (vCPU)],$B1414),"")</f>
        <v/>
      </c>
      <c r="O1414" s="19" t="str">
        <f>IF($D1414=1,INDEX(TblClusters[RAM min (Go)],$B1414),"")</f>
        <v/>
      </c>
      <c r="P1414" s="19" t="str">
        <f>IF($D1414&lt;&gt;1,"",IF($G1414="ROKS",SUMIFS(TblApplications[Besoin ROKS CPU (vCPU)],TblApplications[Cluster ROKS cible],$F1414,TblApplications[Action],"À migrer",TblApplications[Déjà incluse ROKS],"Non",TblApplications[Mois prov (calc)],"&lt;="&amp;$E1414),SUMIFS(TblApplications[CPU IKS libérable (vCPU)],TblApplications[Cluster IKS source],$F1414,TblApplications[Mois lib (calc)],"&lt;="&amp;$E1414)))</f>
        <v/>
      </c>
      <c r="Q1414" s="19" t="str">
        <f>IF($D1414&lt;&gt;1,"",IF($G1414="ROKS",SUMIFS(TblApplications[Besoin ROKS RAM (Go)],TblApplications[Cluster ROKS cible],$F1414,TblApplications[Action],"À migrer",TblApplications[Déjà incluse ROKS],"Non",TblApplications[Mois prov (calc)],"&lt;="&amp;$E1414),SUMIFS(TblApplications[RAM IKS libérable (Go)],TblApplications[Cluster IKS source],$F1414,TblApplications[Mois lib (calc)],"&lt;="&amp;$E1414)))</f>
        <v/>
      </c>
      <c r="R1414" s="19" t="str">
        <f t="shared" ref="R1414:R1445" si="377">IF($D1414&lt;&gt;1,"",IF($G1414="ROKS",$L1414+$P1414,IF($AI1414=1,0,MAX($N1414,$L1414-$P1414))))</f>
        <v/>
      </c>
      <c r="S1414" s="19" t="str">
        <f t="shared" ref="S1414:S1445" si="378">IF($D1414&lt;&gt;1,"",IF($G1414="ROKS",$M1414+$Q1414,IF($AI1414=1,0,MAX($O1414,$M1414-$Q1414))))</f>
        <v/>
      </c>
      <c r="T1414" s="19" t="str">
        <f t="shared" ref="T1414:T1445" si="379">IF($D1414&lt;&gt;1,"",IF($AI1414=1,0,MAX($J1414,ROUNDUP(MAX($R1414/$H1414,$S1414/$I1414),0))))</f>
        <v/>
      </c>
      <c r="U1414" s="19" t="str">
        <f t="shared" ref="U1414:U1445" si="380">IF($D1414&lt;&gt;1,"",IF(p_mode="Nœud",$T1414*$H1414,$R1414))</f>
        <v/>
      </c>
      <c r="V1414" s="19" t="str">
        <f t="shared" ref="V1414:V1445" si="381">IF($D1414&lt;&gt;1,"",IF(p_mode="Nœud",$T1414*$I1414,$S1414))</f>
        <v/>
      </c>
      <c r="W1414" s="73" t="str">
        <f t="shared" ref="W1414:W1445" si="382">IF($D1414&lt;&gt;1,"",IF(p_mode="Nœud",$T1414*$K1414,$R1414*IF($G1414="IKS",p_iks_cpu,p_roks_cpu)+$S1414*IF($G1414="IKS",p_iks_ram,p_roks_ram))*p_facteur)</f>
        <v/>
      </c>
      <c r="X1414" s="19" t="str">
        <f>IF($D1414&lt;&gt;1,"",IF($G1414="ROKS",$R1414,IF($AI1414=1,0,MAX($N1414,$L1414-SUMIFS(TblApplications[CPU IKS libérable (vCPU)],TblApplications[Cluster IKS source],$F1414,TblApplications[Action],"À migrer",TblApplications[Mois prov (calc)],"&lt;="&amp;$E1414)-SUMIFS(TblApplications[CPU IKS libérable (vCPU)],TblApplications[Cluster IKS source],$F1414,TblApplications[Action],"À décommissionner",TblApplications[Mois lib (calc)],"&lt;="&amp;$E1414)))))</f>
        <v/>
      </c>
      <c r="Y1414" s="19" t="str">
        <f>IF($D1414&lt;&gt;1,"",IF($G1414="ROKS",$S1414,IF($AI1414=1,0,MAX($O1414,$M1414-SUMIFS(TblApplications[RAM IKS libérable (Go)],TblApplications[Cluster IKS source],$F1414,TblApplications[Action],"À migrer",TblApplications[Mois prov (calc)],"&lt;="&amp;$E1414)-SUMIFS(TblApplications[RAM IKS libérable (Go)],TblApplications[Cluster IKS source],$F1414,TblApplications[Action],"À décommissionner",TblApplications[Mois lib (calc)],"&lt;="&amp;$E1414)))))</f>
        <v/>
      </c>
      <c r="Z1414" s="19" t="str">
        <f t="shared" ref="Z1414:Z1445" si="383">IF($D1414&lt;&gt;1,"",IF($AI1414=1,0,MAX($J1414,ROUNDUP(MAX($X1414/$H1414,$Y1414/$I1414),0))))</f>
        <v/>
      </c>
      <c r="AA1414" s="73" t="str">
        <f t="shared" ref="AA1414:AA1445" si="384">IF($D1414&lt;&gt;1,"",IF(p_mode="Nœud",$Z1414*$K1414,$X1414*IF($G1414="IKS",p_iks_cpu,p_roks_cpu)+$Y1414*IF($G1414="IKS",p_iks_ram,p_roks_ram))*p_facteur)</f>
        <v/>
      </c>
      <c r="AB1414" s="19" t="str">
        <f t="shared" ref="AB1414:AB1445" si="385">IF($D1414&lt;&gt;1,"",MAX($J1414,ROUNDUP(MAX($L1414/$H1414,$M1414/$I1414),0)))</f>
        <v/>
      </c>
      <c r="AC1414" s="73" t="str">
        <f t="shared" ref="AC1414:AC1445" si="386">IF($D1414&lt;&gt;1,"",IF(p_mode="Nœud",$AB1414*$K1414,$L1414*IF($G1414="IKS",p_iks_cpu,p_roks_cpu)+$M1414*IF($G1414="IKS",p_iks_ram,p_roks_ram))*p_facteur)</f>
        <v/>
      </c>
      <c r="AD1414" s="19" t="str">
        <f t="shared" ref="AD1414:AD1445" si="387">IF($D1414&lt;&gt;1,"",IF(AND($G1414="IKS",$AI1414&lt;&gt;1,OR($L1414-$P1414&lt;$N1414,$M1414-$Q1414&lt;$O1414)),1,0))</f>
        <v/>
      </c>
      <c r="AE1414" s="19" t="str">
        <f t="shared" ref="AE1414:AE1445" si="388">IF($D1414&lt;&gt;1,"",IF(AND($G1414="ROKS",$T1414&gt;p_maxworkers),1,0))</f>
        <v/>
      </c>
      <c r="AF1414" s="19" t="str">
        <f>IF($D1414&lt;&gt;1,"",IF(INDEX(TblClusters[Environnement],$B1414)="","(vide)",INDEX(TblClusters[Environnement],$B1414)))</f>
        <v/>
      </c>
      <c r="AG1414" s="19" t="str">
        <f t="shared" ref="AG1414:AG1445" si="389">IF($D1414&lt;&gt;1,"",$R1414+p_poidsram*$S1414)</f>
        <v/>
      </c>
      <c r="AH1414" s="19" t="str">
        <f t="shared" ref="AH1414:AH1445" si="390">IF($D1414&lt;&gt;1,"",IFERROR($W1414/$AG1414,0))</f>
        <v/>
      </c>
      <c r="AI1414" s="19" t="str">
        <f>IF($D1414&lt;&gt;1,"",IF(AND($G1414="IKS",ISNUMBER(INDEX(TblClusters[Fermeture retenue],$B1414))),IF($E1414&gt;=INDEX(TblClusters[Fermeture retenue],$B1414),1,0),0))</f>
        <v/>
      </c>
    </row>
    <row r="1415" spans="1:35" x14ac:dyDescent="0.2">
      <c r="A1415" s="19">
        <v>1410</v>
      </c>
      <c r="B1415" s="19">
        <f t="shared" si="374"/>
        <v>40</v>
      </c>
      <c r="C1415" s="19">
        <f t="shared" si="375"/>
        <v>6</v>
      </c>
      <c r="D1415" s="19">
        <f>IF($C1415&gt;p_horizon,0,IFERROR(IF(AND(INDEX(TblClusters[Cluster],$B1415)&lt;&gt;"",ISNUMBER(INDEX(TblClusters[CPU initial (vCPU)],$B1415)),ISNUMBER(INDEX(TblClusters[CPU min (vCPU)],$B1415)),OR(INDEX(TblClusters[Plateforme],$B1415)="IKS",INDEX(TblClusters[Plateforme],$B1415)="ROKS")),1,0),0))</f>
        <v>0</v>
      </c>
      <c r="E1415" s="72" t="str">
        <f t="shared" si="376"/>
        <v/>
      </c>
      <c r="F1415" s="19" t="str">
        <f>IF($D1415=1,INDEX(TblClusters[Cluster],$B1415),"")</f>
        <v/>
      </c>
      <c r="G1415" s="19" t="str">
        <f>IF($D1415=1,INDEX(TblClusters[Plateforme],$B1415),"")</f>
        <v/>
      </c>
      <c r="H1415" s="19" t="str">
        <f>IF($D1415=1,INDEX(TblClusters[vCPU par nœud],$B1415),"")</f>
        <v/>
      </c>
      <c r="I1415" s="19" t="str">
        <f>IF($D1415=1,INDEX(TblClusters[RAM par nœud (Go)],$B1415),"")</f>
        <v/>
      </c>
      <c r="J1415" s="19" t="str">
        <f>IF($D1415=1,INDEX(TblClusters[Workers min],$B1415),"")</f>
        <v/>
      </c>
      <c r="K1415" s="73" t="str">
        <f>IF($D1415=1,INDEX(TblClusters[Tarif par nœud],$B1415),"")</f>
        <v/>
      </c>
      <c r="L1415" s="19" t="str">
        <f>IF($D1415=1,INDEX(TblClusters[CPU initial (vCPU)],$B1415),"")</f>
        <v/>
      </c>
      <c r="M1415" s="19" t="str">
        <f>IF($D1415=1,INDEX(TblClusters[RAM initiale (Go)],$B1415),"")</f>
        <v/>
      </c>
      <c r="N1415" s="19" t="str">
        <f>IF($D1415=1,INDEX(TblClusters[CPU min (vCPU)],$B1415),"")</f>
        <v/>
      </c>
      <c r="O1415" s="19" t="str">
        <f>IF($D1415=1,INDEX(TblClusters[RAM min (Go)],$B1415),"")</f>
        <v/>
      </c>
      <c r="P1415" s="19" t="str">
        <f>IF($D1415&lt;&gt;1,"",IF($G1415="ROKS",SUMIFS(TblApplications[Besoin ROKS CPU (vCPU)],TblApplications[Cluster ROKS cible],$F1415,TblApplications[Action],"À migrer",TblApplications[Déjà incluse ROKS],"Non",TblApplications[Mois prov (calc)],"&lt;="&amp;$E1415),SUMIFS(TblApplications[CPU IKS libérable (vCPU)],TblApplications[Cluster IKS source],$F1415,TblApplications[Mois lib (calc)],"&lt;="&amp;$E1415)))</f>
        <v/>
      </c>
      <c r="Q1415" s="19" t="str">
        <f>IF($D1415&lt;&gt;1,"",IF($G1415="ROKS",SUMIFS(TblApplications[Besoin ROKS RAM (Go)],TblApplications[Cluster ROKS cible],$F1415,TblApplications[Action],"À migrer",TblApplications[Déjà incluse ROKS],"Non",TblApplications[Mois prov (calc)],"&lt;="&amp;$E1415),SUMIFS(TblApplications[RAM IKS libérable (Go)],TblApplications[Cluster IKS source],$F1415,TblApplications[Mois lib (calc)],"&lt;="&amp;$E1415)))</f>
        <v/>
      </c>
      <c r="R1415" s="19" t="str">
        <f t="shared" si="377"/>
        <v/>
      </c>
      <c r="S1415" s="19" t="str">
        <f t="shared" si="378"/>
        <v/>
      </c>
      <c r="T1415" s="19" t="str">
        <f t="shared" si="379"/>
        <v/>
      </c>
      <c r="U1415" s="19" t="str">
        <f t="shared" si="380"/>
        <v/>
      </c>
      <c r="V1415" s="19" t="str">
        <f t="shared" si="381"/>
        <v/>
      </c>
      <c r="W1415" s="73" t="str">
        <f t="shared" si="382"/>
        <v/>
      </c>
      <c r="X1415" s="19" t="str">
        <f>IF($D1415&lt;&gt;1,"",IF($G1415="ROKS",$R1415,IF($AI1415=1,0,MAX($N1415,$L1415-SUMIFS(TblApplications[CPU IKS libérable (vCPU)],TblApplications[Cluster IKS source],$F1415,TblApplications[Action],"À migrer",TblApplications[Mois prov (calc)],"&lt;="&amp;$E1415)-SUMIFS(TblApplications[CPU IKS libérable (vCPU)],TblApplications[Cluster IKS source],$F1415,TblApplications[Action],"À décommissionner",TblApplications[Mois lib (calc)],"&lt;="&amp;$E1415)))))</f>
        <v/>
      </c>
      <c r="Y1415" s="19" t="str">
        <f>IF($D1415&lt;&gt;1,"",IF($G1415="ROKS",$S1415,IF($AI1415=1,0,MAX($O1415,$M1415-SUMIFS(TblApplications[RAM IKS libérable (Go)],TblApplications[Cluster IKS source],$F1415,TblApplications[Action],"À migrer",TblApplications[Mois prov (calc)],"&lt;="&amp;$E1415)-SUMIFS(TblApplications[RAM IKS libérable (Go)],TblApplications[Cluster IKS source],$F1415,TblApplications[Action],"À décommissionner",TblApplications[Mois lib (calc)],"&lt;="&amp;$E1415)))))</f>
        <v/>
      </c>
      <c r="Z1415" s="19" t="str">
        <f t="shared" si="383"/>
        <v/>
      </c>
      <c r="AA1415" s="73" t="str">
        <f t="shared" si="384"/>
        <v/>
      </c>
      <c r="AB1415" s="19" t="str">
        <f t="shared" si="385"/>
        <v/>
      </c>
      <c r="AC1415" s="73" t="str">
        <f t="shared" si="386"/>
        <v/>
      </c>
      <c r="AD1415" s="19" t="str">
        <f t="shared" si="387"/>
        <v/>
      </c>
      <c r="AE1415" s="19" t="str">
        <f t="shared" si="388"/>
        <v/>
      </c>
      <c r="AF1415" s="19" t="str">
        <f>IF($D1415&lt;&gt;1,"",IF(INDEX(TblClusters[Environnement],$B1415)="","(vide)",INDEX(TblClusters[Environnement],$B1415)))</f>
        <v/>
      </c>
      <c r="AG1415" s="19" t="str">
        <f t="shared" si="389"/>
        <v/>
      </c>
      <c r="AH1415" s="19" t="str">
        <f t="shared" si="390"/>
        <v/>
      </c>
      <c r="AI1415" s="19" t="str">
        <f>IF($D1415&lt;&gt;1,"",IF(AND($G1415="IKS",ISNUMBER(INDEX(TblClusters[Fermeture retenue],$B1415))),IF($E1415&gt;=INDEX(TblClusters[Fermeture retenue],$B1415),1,0),0))</f>
        <v/>
      </c>
    </row>
    <row r="1416" spans="1:35" x14ac:dyDescent="0.2">
      <c r="A1416" s="19">
        <v>1411</v>
      </c>
      <c r="B1416" s="19">
        <f t="shared" si="374"/>
        <v>40</v>
      </c>
      <c r="C1416" s="19">
        <f t="shared" si="375"/>
        <v>7</v>
      </c>
      <c r="D1416" s="19">
        <f>IF($C1416&gt;p_horizon,0,IFERROR(IF(AND(INDEX(TblClusters[Cluster],$B1416)&lt;&gt;"",ISNUMBER(INDEX(TblClusters[CPU initial (vCPU)],$B1416)),ISNUMBER(INDEX(TblClusters[CPU min (vCPU)],$B1416)),OR(INDEX(TblClusters[Plateforme],$B1416)="IKS",INDEX(TblClusters[Plateforme],$B1416)="ROKS")),1,0),0))</f>
        <v>0</v>
      </c>
      <c r="E1416" s="72" t="str">
        <f t="shared" si="376"/>
        <v/>
      </c>
      <c r="F1416" s="19" t="str">
        <f>IF($D1416=1,INDEX(TblClusters[Cluster],$B1416),"")</f>
        <v/>
      </c>
      <c r="G1416" s="19" t="str">
        <f>IF($D1416=1,INDEX(TblClusters[Plateforme],$B1416),"")</f>
        <v/>
      </c>
      <c r="H1416" s="19" t="str">
        <f>IF($D1416=1,INDEX(TblClusters[vCPU par nœud],$B1416),"")</f>
        <v/>
      </c>
      <c r="I1416" s="19" t="str">
        <f>IF($D1416=1,INDEX(TblClusters[RAM par nœud (Go)],$B1416),"")</f>
        <v/>
      </c>
      <c r="J1416" s="19" t="str">
        <f>IF($D1416=1,INDEX(TblClusters[Workers min],$B1416),"")</f>
        <v/>
      </c>
      <c r="K1416" s="73" t="str">
        <f>IF($D1416=1,INDEX(TblClusters[Tarif par nœud],$B1416),"")</f>
        <v/>
      </c>
      <c r="L1416" s="19" t="str">
        <f>IF($D1416=1,INDEX(TblClusters[CPU initial (vCPU)],$B1416),"")</f>
        <v/>
      </c>
      <c r="M1416" s="19" t="str">
        <f>IF($D1416=1,INDEX(TblClusters[RAM initiale (Go)],$B1416),"")</f>
        <v/>
      </c>
      <c r="N1416" s="19" t="str">
        <f>IF($D1416=1,INDEX(TblClusters[CPU min (vCPU)],$B1416),"")</f>
        <v/>
      </c>
      <c r="O1416" s="19" t="str">
        <f>IF($D1416=1,INDEX(TblClusters[RAM min (Go)],$B1416),"")</f>
        <v/>
      </c>
      <c r="P1416" s="19" t="str">
        <f>IF($D1416&lt;&gt;1,"",IF($G1416="ROKS",SUMIFS(TblApplications[Besoin ROKS CPU (vCPU)],TblApplications[Cluster ROKS cible],$F1416,TblApplications[Action],"À migrer",TblApplications[Déjà incluse ROKS],"Non",TblApplications[Mois prov (calc)],"&lt;="&amp;$E1416),SUMIFS(TblApplications[CPU IKS libérable (vCPU)],TblApplications[Cluster IKS source],$F1416,TblApplications[Mois lib (calc)],"&lt;="&amp;$E1416)))</f>
        <v/>
      </c>
      <c r="Q1416" s="19" t="str">
        <f>IF($D1416&lt;&gt;1,"",IF($G1416="ROKS",SUMIFS(TblApplications[Besoin ROKS RAM (Go)],TblApplications[Cluster ROKS cible],$F1416,TblApplications[Action],"À migrer",TblApplications[Déjà incluse ROKS],"Non",TblApplications[Mois prov (calc)],"&lt;="&amp;$E1416),SUMIFS(TblApplications[RAM IKS libérable (Go)],TblApplications[Cluster IKS source],$F1416,TblApplications[Mois lib (calc)],"&lt;="&amp;$E1416)))</f>
        <v/>
      </c>
      <c r="R1416" s="19" t="str">
        <f t="shared" si="377"/>
        <v/>
      </c>
      <c r="S1416" s="19" t="str">
        <f t="shared" si="378"/>
        <v/>
      </c>
      <c r="T1416" s="19" t="str">
        <f t="shared" si="379"/>
        <v/>
      </c>
      <c r="U1416" s="19" t="str">
        <f t="shared" si="380"/>
        <v/>
      </c>
      <c r="V1416" s="19" t="str">
        <f t="shared" si="381"/>
        <v/>
      </c>
      <c r="W1416" s="73" t="str">
        <f t="shared" si="382"/>
        <v/>
      </c>
      <c r="X1416" s="19" t="str">
        <f>IF($D1416&lt;&gt;1,"",IF($G1416="ROKS",$R1416,IF($AI1416=1,0,MAX($N1416,$L1416-SUMIFS(TblApplications[CPU IKS libérable (vCPU)],TblApplications[Cluster IKS source],$F1416,TblApplications[Action],"À migrer",TblApplications[Mois prov (calc)],"&lt;="&amp;$E1416)-SUMIFS(TblApplications[CPU IKS libérable (vCPU)],TblApplications[Cluster IKS source],$F1416,TblApplications[Action],"À décommissionner",TblApplications[Mois lib (calc)],"&lt;="&amp;$E1416)))))</f>
        <v/>
      </c>
      <c r="Y1416" s="19" t="str">
        <f>IF($D1416&lt;&gt;1,"",IF($G1416="ROKS",$S1416,IF($AI1416=1,0,MAX($O1416,$M1416-SUMIFS(TblApplications[RAM IKS libérable (Go)],TblApplications[Cluster IKS source],$F1416,TblApplications[Action],"À migrer",TblApplications[Mois prov (calc)],"&lt;="&amp;$E1416)-SUMIFS(TblApplications[RAM IKS libérable (Go)],TblApplications[Cluster IKS source],$F1416,TblApplications[Action],"À décommissionner",TblApplications[Mois lib (calc)],"&lt;="&amp;$E1416)))))</f>
        <v/>
      </c>
      <c r="Z1416" s="19" t="str">
        <f t="shared" si="383"/>
        <v/>
      </c>
      <c r="AA1416" s="73" t="str">
        <f t="shared" si="384"/>
        <v/>
      </c>
      <c r="AB1416" s="19" t="str">
        <f t="shared" si="385"/>
        <v/>
      </c>
      <c r="AC1416" s="73" t="str">
        <f t="shared" si="386"/>
        <v/>
      </c>
      <c r="AD1416" s="19" t="str">
        <f t="shared" si="387"/>
        <v/>
      </c>
      <c r="AE1416" s="19" t="str">
        <f t="shared" si="388"/>
        <v/>
      </c>
      <c r="AF1416" s="19" t="str">
        <f>IF($D1416&lt;&gt;1,"",IF(INDEX(TblClusters[Environnement],$B1416)="","(vide)",INDEX(TblClusters[Environnement],$B1416)))</f>
        <v/>
      </c>
      <c r="AG1416" s="19" t="str">
        <f t="shared" si="389"/>
        <v/>
      </c>
      <c r="AH1416" s="19" t="str">
        <f t="shared" si="390"/>
        <v/>
      </c>
      <c r="AI1416" s="19" t="str">
        <f>IF($D1416&lt;&gt;1,"",IF(AND($G1416="IKS",ISNUMBER(INDEX(TblClusters[Fermeture retenue],$B1416))),IF($E1416&gt;=INDEX(TblClusters[Fermeture retenue],$B1416),1,0),0))</f>
        <v/>
      </c>
    </row>
    <row r="1417" spans="1:35" x14ac:dyDescent="0.2">
      <c r="A1417" s="19">
        <v>1412</v>
      </c>
      <c r="B1417" s="19">
        <f t="shared" si="374"/>
        <v>40</v>
      </c>
      <c r="C1417" s="19">
        <f t="shared" si="375"/>
        <v>8</v>
      </c>
      <c r="D1417" s="19">
        <f>IF($C1417&gt;p_horizon,0,IFERROR(IF(AND(INDEX(TblClusters[Cluster],$B1417)&lt;&gt;"",ISNUMBER(INDEX(TblClusters[CPU initial (vCPU)],$B1417)),ISNUMBER(INDEX(TblClusters[CPU min (vCPU)],$B1417)),OR(INDEX(TblClusters[Plateforme],$B1417)="IKS",INDEX(TblClusters[Plateforme],$B1417)="ROKS")),1,0),0))</f>
        <v>0</v>
      </c>
      <c r="E1417" s="72" t="str">
        <f t="shared" si="376"/>
        <v/>
      </c>
      <c r="F1417" s="19" t="str">
        <f>IF($D1417=1,INDEX(TblClusters[Cluster],$B1417),"")</f>
        <v/>
      </c>
      <c r="G1417" s="19" t="str">
        <f>IF($D1417=1,INDEX(TblClusters[Plateforme],$B1417),"")</f>
        <v/>
      </c>
      <c r="H1417" s="19" t="str">
        <f>IF($D1417=1,INDEX(TblClusters[vCPU par nœud],$B1417),"")</f>
        <v/>
      </c>
      <c r="I1417" s="19" t="str">
        <f>IF($D1417=1,INDEX(TblClusters[RAM par nœud (Go)],$B1417),"")</f>
        <v/>
      </c>
      <c r="J1417" s="19" t="str">
        <f>IF($D1417=1,INDEX(TblClusters[Workers min],$B1417),"")</f>
        <v/>
      </c>
      <c r="K1417" s="73" t="str">
        <f>IF($D1417=1,INDEX(TblClusters[Tarif par nœud],$B1417),"")</f>
        <v/>
      </c>
      <c r="L1417" s="19" t="str">
        <f>IF($D1417=1,INDEX(TblClusters[CPU initial (vCPU)],$B1417),"")</f>
        <v/>
      </c>
      <c r="M1417" s="19" t="str">
        <f>IF($D1417=1,INDEX(TblClusters[RAM initiale (Go)],$B1417),"")</f>
        <v/>
      </c>
      <c r="N1417" s="19" t="str">
        <f>IF($D1417=1,INDEX(TblClusters[CPU min (vCPU)],$B1417),"")</f>
        <v/>
      </c>
      <c r="O1417" s="19" t="str">
        <f>IF($D1417=1,INDEX(TblClusters[RAM min (Go)],$B1417),"")</f>
        <v/>
      </c>
      <c r="P1417" s="19" t="str">
        <f>IF($D1417&lt;&gt;1,"",IF($G1417="ROKS",SUMIFS(TblApplications[Besoin ROKS CPU (vCPU)],TblApplications[Cluster ROKS cible],$F1417,TblApplications[Action],"À migrer",TblApplications[Déjà incluse ROKS],"Non",TblApplications[Mois prov (calc)],"&lt;="&amp;$E1417),SUMIFS(TblApplications[CPU IKS libérable (vCPU)],TblApplications[Cluster IKS source],$F1417,TblApplications[Mois lib (calc)],"&lt;="&amp;$E1417)))</f>
        <v/>
      </c>
      <c r="Q1417" s="19" t="str">
        <f>IF($D1417&lt;&gt;1,"",IF($G1417="ROKS",SUMIFS(TblApplications[Besoin ROKS RAM (Go)],TblApplications[Cluster ROKS cible],$F1417,TblApplications[Action],"À migrer",TblApplications[Déjà incluse ROKS],"Non",TblApplications[Mois prov (calc)],"&lt;="&amp;$E1417),SUMIFS(TblApplications[RAM IKS libérable (Go)],TblApplications[Cluster IKS source],$F1417,TblApplications[Mois lib (calc)],"&lt;="&amp;$E1417)))</f>
        <v/>
      </c>
      <c r="R1417" s="19" t="str">
        <f t="shared" si="377"/>
        <v/>
      </c>
      <c r="S1417" s="19" t="str">
        <f t="shared" si="378"/>
        <v/>
      </c>
      <c r="T1417" s="19" t="str">
        <f t="shared" si="379"/>
        <v/>
      </c>
      <c r="U1417" s="19" t="str">
        <f t="shared" si="380"/>
        <v/>
      </c>
      <c r="V1417" s="19" t="str">
        <f t="shared" si="381"/>
        <v/>
      </c>
      <c r="W1417" s="73" t="str">
        <f t="shared" si="382"/>
        <v/>
      </c>
      <c r="X1417" s="19" t="str">
        <f>IF($D1417&lt;&gt;1,"",IF($G1417="ROKS",$R1417,IF($AI1417=1,0,MAX($N1417,$L1417-SUMIFS(TblApplications[CPU IKS libérable (vCPU)],TblApplications[Cluster IKS source],$F1417,TblApplications[Action],"À migrer",TblApplications[Mois prov (calc)],"&lt;="&amp;$E1417)-SUMIFS(TblApplications[CPU IKS libérable (vCPU)],TblApplications[Cluster IKS source],$F1417,TblApplications[Action],"À décommissionner",TblApplications[Mois lib (calc)],"&lt;="&amp;$E1417)))))</f>
        <v/>
      </c>
      <c r="Y1417" s="19" t="str">
        <f>IF($D1417&lt;&gt;1,"",IF($G1417="ROKS",$S1417,IF($AI1417=1,0,MAX($O1417,$M1417-SUMIFS(TblApplications[RAM IKS libérable (Go)],TblApplications[Cluster IKS source],$F1417,TblApplications[Action],"À migrer",TblApplications[Mois prov (calc)],"&lt;="&amp;$E1417)-SUMIFS(TblApplications[RAM IKS libérable (Go)],TblApplications[Cluster IKS source],$F1417,TblApplications[Action],"À décommissionner",TblApplications[Mois lib (calc)],"&lt;="&amp;$E1417)))))</f>
        <v/>
      </c>
      <c r="Z1417" s="19" t="str">
        <f t="shared" si="383"/>
        <v/>
      </c>
      <c r="AA1417" s="73" t="str">
        <f t="shared" si="384"/>
        <v/>
      </c>
      <c r="AB1417" s="19" t="str">
        <f t="shared" si="385"/>
        <v/>
      </c>
      <c r="AC1417" s="73" t="str">
        <f t="shared" si="386"/>
        <v/>
      </c>
      <c r="AD1417" s="19" t="str">
        <f t="shared" si="387"/>
        <v/>
      </c>
      <c r="AE1417" s="19" t="str">
        <f t="shared" si="388"/>
        <v/>
      </c>
      <c r="AF1417" s="19" t="str">
        <f>IF($D1417&lt;&gt;1,"",IF(INDEX(TblClusters[Environnement],$B1417)="","(vide)",INDEX(TblClusters[Environnement],$B1417)))</f>
        <v/>
      </c>
      <c r="AG1417" s="19" t="str">
        <f t="shared" si="389"/>
        <v/>
      </c>
      <c r="AH1417" s="19" t="str">
        <f t="shared" si="390"/>
        <v/>
      </c>
      <c r="AI1417" s="19" t="str">
        <f>IF($D1417&lt;&gt;1,"",IF(AND($G1417="IKS",ISNUMBER(INDEX(TblClusters[Fermeture retenue],$B1417))),IF($E1417&gt;=INDEX(TblClusters[Fermeture retenue],$B1417),1,0),0))</f>
        <v/>
      </c>
    </row>
    <row r="1418" spans="1:35" x14ac:dyDescent="0.2">
      <c r="A1418" s="19">
        <v>1413</v>
      </c>
      <c r="B1418" s="19">
        <f t="shared" si="374"/>
        <v>40</v>
      </c>
      <c r="C1418" s="19">
        <f t="shared" si="375"/>
        <v>9</v>
      </c>
      <c r="D1418" s="19">
        <f>IF($C1418&gt;p_horizon,0,IFERROR(IF(AND(INDEX(TblClusters[Cluster],$B1418)&lt;&gt;"",ISNUMBER(INDEX(TblClusters[CPU initial (vCPU)],$B1418)),ISNUMBER(INDEX(TblClusters[CPU min (vCPU)],$B1418)),OR(INDEX(TblClusters[Plateforme],$B1418)="IKS",INDEX(TblClusters[Plateforme],$B1418)="ROKS")),1,0),0))</f>
        <v>0</v>
      </c>
      <c r="E1418" s="72" t="str">
        <f t="shared" si="376"/>
        <v/>
      </c>
      <c r="F1418" s="19" t="str">
        <f>IF($D1418=1,INDEX(TblClusters[Cluster],$B1418),"")</f>
        <v/>
      </c>
      <c r="G1418" s="19" t="str">
        <f>IF($D1418=1,INDEX(TblClusters[Plateforme],$B1418),"")</f>
        <v/>
      </c>
      <c r="H1418" s="19" t="str">
        <f>IF($D1418=1,INDEX(TblClusters[vCPU par nœud],$B1418),"")</f>
        <v/>
      </c>
      <c r="I1418" s="19" t="str">
        <f>IF($D1418=1,INDEX(TblClusters[RAM par nœud (Go)],$B1418),"")</f>
        <v/>
      </c>
      <c r="J1418" s="19" t="str">
        <f>IF($D1418=1,INDEX(TblClusters[Workers min],$B1418),"")</f>
        <v/>
      </c>
      <c r="K1418" s="73" t="str">
        <f>IF($D1418=1,INDEX(TblClusters[Tarif par nœud],$B1418),"")</f>
        <v/>
      </c>
      <c r="L1418" s="19" t="str">
        <f>IF($D1418=1,INDEX(TblClusters[CPU initial (vCPU)],$B1418),"")</f>
        <v/>
      </c>
      <c r="M1418" s="19" t="str">
        <f>IF($D1418=1,INDEX(TblClusters[RAM initiale (Go)],$B1418),"")</f>
        <v/>
      </c>
      <c r="N1418" s="19" t="str">
        <f>IF($D1418=1,INDEX(TblClusters[CPU min (vCPU)],$B1418),"")</f>
        <v/>
      </c>
      <c r="O1418" s="19" t="str">
        <f>IF($D1418=1,INDEX(TblClusters[RAM min (Go)],$B1418),"")</f>
        <v/>
      </c>
      <c r="P1418" s="19" t="str">
        <f>IF($D1418&lt;&gt;1,"",IF($G1418="ROKS",SUMIFS(TblApplications[Besoin ROKS CPU (vCPU)],TblApplications[Cluster ROKS cible],$F1418,TblApplications[Action],"À migrer",TblApplications[Déjà incluse ROKS],"Non",TblApplications[Mois prov (calc)],"&lt;="&amp;$E1418),SUMIFS(TblApplications[CPU IKS libérable (vCPU)],TblApplications[Cluster IKS source],$F1418,TblApplications[Mois lib (calc)],"&lt;="&amp;$E1418)))</f>
        <v/>
      </c>
      <c r="Q1418" s="19" t="str">
        <f>IF($D1418&lt;&gt;1,"",IF($G1418="ROKS",SUMIFS(TblApplications[Besoin ROKS RAM (Go)],TblApplications[Cluster ROKS cible],$F1418,TblApplications[Action],"À migrer",TblApplications[Déjà incluse ROKS],"Non",TblApplications[Mois prov (calc)],"&lt;="&amp;$E1418),SUMIFS(TblApplications[RAM IKS libérable (Go)],TblApplications[Cluster IKS source],$F1418,TblApplications[Mois lib (calc)],"&lt;="&amp;$E1418)))</f>
        <v/>
      </c>
      <c r="R1418" s="19" t="str">
        <f t="shared" si="377"/>
        <v/>
      </c>
      <c r="S1418" s="19" t="str">
        <f t="shared" si="378"/>
        <v/>
      </c>
      <c r="T1418" s="19" t="str">
        <f t="shared" si="379"/>
        <v/>
      </c>
      <c r="U1418" s="19" t="str">
        <f t="shared" si="380"/>
        <v/>
      </c>
      <c r="V1418" s="19" t="str">
        <f t="shared" si="381"/>
        <v/>
      </c>
      <c r="W1418" s="73" t="str">
        <f t="shared" si="382"/>
        <v/>
      </c>
      <c r="X1418" s="19" t="str">
        <f>IF($D1418&lt;&gt;1,"",IF($G1418="ROKS",$R1418,IF($AI1418=1,0,MAX($N1418,$L1418-SUMIFS(TblApplications[CPU IKS libérable (vCPU)],TblApplications[Cluster IKS source],$F1418,TblApplications[Action],"À migrer",TblApplications[Mois prov (calc)],"&lt;="&amp;$E1418)-SUMIFS(TblApplications[CPU IKS libérable (vCPU)],TblApplications[Cluster IKS source],$F1418,TblApplications[Action],"À décommissionner",TblApplications[Mois lib (calc)],"&lt;="&amp;$E1418)))))</f>
        <v/>
      </c>
      <c r="Y1418" s="19" t="str">
        <f>IF($D1418&lt;&gt;1,"",IF($G1418="ROKS",$S1418,IF($AI1418=1,0,MAX($O1418,$M1418-SUMIFS(TblApplications[RAM IKS libérable (Go)],TblApplications[Cluster IKS source],$F1418,TblApplications[Action],"À migrer",TblApplications[Mois prov (calc)],"&lt;="&amp;$E1418)-SUMIFS(TblApplications[RAM IKS libérable (Go)],TblApplications[Cluster IKS source],$F1418,TblApplications[Action],"À décommissionner",TblApplications[Mois lib (calc)],"&lt;="&amp;$E1418)))))</f>
        <v/>
      </c>
      <c r="Z1418" s="19" t="str">
        <f t="shared" si="383"/>
        <v/>
      </c>
      <c r="AA1418" s="73" t="str">
        <f t="shared" si="384"/>
        <v/>
      </c>
      <c r="AB1418" s="19" t="str">
        <f t="shared" si="385"/>
        <v/>
      </c>
      <c r="AC1418" s="73" t="str">
        <f t="shared" si="386"/>
        <v/>
      </c>
      <c r="AD1418" s="19" t="str">
        <f t="shared" si="387"/>
        <v/>
      </c>
      <c r="AE1418" s="19" t="str">
        <f t="shared" si="388"/>
        <v/>
      </c>
      <c r="AF1418" s="19" t="str">
        <f>IF($D1418&lt;&gt;1,"",IF(INDEX(TblClusters[Environnement],$B1418)="","(vide)",INDEX(TblClusters[Environnement],$B1418)))</f>
        <v/>
      </c>
      <c r="AG1418" s="19" t="str">
        <f t="shared" si="389"/>
        <v/>
      </c>
      <c r="AH1418" s="19" t="str">
        <f t="shared" si="390"/>
        <v/>
      </c>
      <c r="AI1418" s="19" t="str">
        <f>IF($D1418&lt;&gt;1,"",IF(AND($G1418="IKS",ISNUMBER(INDEX(TblClusters[Fermeture retenue],$B1418))),IF($E1418&gt;=INDEX(TblClusters[Fermeture retenue],$B1418),1,0),0))</f>
        <v/>
      </c>
    </row>
    <row r="1419" spans="1:35" x14ac:dyDescent="0.2">
      <c r="A1419" s="19">
        <v>1414</v>
      </c>
      <c r="B1419" s="19">
        <f t="shared" si="374"/>
        <v>40</v>
      </c>
      <c r="C1419" s="19">
        <f t="shared" si="375"/>
        <v>10</v>
      </c>
      <c r="D1419" s="19">
        <f>IF($C1419&gt;p_horizon,0,IFERROR(IF(AND(INDEX(TblClusters[Cluster],$B1419)&lt;&gt;"",ISNUMBER(INDEX(TblClusters[CPU initial (vCPU)],$B1419)),ISNUMBER(INDEX(TblClusters[CPU min (vCPU)],$B1419)),OR(INDEX(TblClusters[Plateforme],$B1419)="IKS",INDEX(TblClusters[Plateforme],$B1419)="ROKS")),1,0),0))</f>
        <v>0</v>
      </c>
      <c r="E1419" s="72" t="str">
        <f t="shared" si="376"/>
        <v/>
      </c>
      <c r="F1419" s="19" t="str">
        <f>IF($D1419=1,INDEX(TblClusters[Cluster],$B1419),"")</f>
        <v/>
      </c>
      <c r="G1419" s="19" t="str">
        <f>IF($D1419=1,INDEX(TblClusters[Plateforme],$B1419),"")</f>
        <v/>
      </c>
      <c r="H1419" s="19" t="str">
        <f>IF($D1419=1,INDEX(TblClusters[vCPU par nœud],$B1419),"")</f>
        <v/>
      </c>
      <c r="I1419" s="19" t="str">
        <f>IF($D1419=1,INDEX(TblClusters[RAM par nœud (Go)],$B1419),"")</f>
        <v/>
      </c>
      <c r="J1419" s="19" t="str">
        <f>IF($D1419=1,INDEX(TblClusters[Workers min],$B1419),"")</f>
        <v/>
      </c>
      <c r="K1419" s="73" t="str">
        <f>IF($D1419=1,INDEX(TblClusters[Tarif par nœud],$B1419),"")</f>
        <v/>
      </c>
      <c r="L1419" s="19" t="str">
        <f>IF($D1419=1,INDEX(TblClusters[CPU initial (vCPU)],$B1419),"")</f>
        <v/>
      </c>
      <c r="M1419" s="19" t="str">
        <f>IF($D1419=1,INDEX(TblClusters[RAM initiale (Go)],$B1419),"")</f>
        <v/>
      </c>
      <c r="N1419" s="19" t="str">
        <f>IF($D1419=1,INDEX(TblClusters[CPU min (vCPU)],$B1419),"")</f>
        <v/>
      </c>
      <c r="O1419" s="19" t="str">
        <f>IF($D1419=1,INDEX(TblClusters[RAM min (Go)],$B1419),"")</f>
        <v/>
      </c>
      <c r="P1419" s="19" t="str">
        <f>IF($D1419&lt;&gt;1,"",IF($G1419="ROKS",SUMIFS(TblApplications[Besoin ROKS CPU (vCPU)],TblApplications[Cluster ROKS cible],$F1419,TblApplications[Action],"À migrer",TblApplications[Déjà incluse ROKS],"Non",TblApplications[Mois prov (calc)],"&lt;="&amp;$E1419),SUMIFS(TblApplications[CPU IKS libérable (vCPU)],TblApplications[Cluster IKS source],$F1419,TblApplications[Mois lib (calc)],"&lt;="&amp;$E1419)))</f>
        <v/>
      </c>
      <c r="Q1419" s="19" t="str">
        <f>IF($D1419&lt;&gt;1,"",IF($G1419="ROKS",SUMIFS(TblApplications[Besoin ROKS RAM (Go)],TblApplications[Cluster ROKS cible],$F1419,TblApplications[Action],"À migrer",TblApplications[Déjà incluse ROKS],"Non",TblApplications[Mois prov (calc)],"&lt;="&amp;$E1419),SUMIFS(TblApplications[RAM IKS libérable (Go)],TblApplications[Cluster IKS source],$F1419,TblApplications[Mois lib (calc)],"&lt;="&amp;$E1419)))</f>
        <v/>
      </c>
      <c r="R1419" s="19" t="str">
        <f t="shared" si="377"/>
        <v/>
      </c>
      <c r="S1419" s="19" t="str">
        <f t="shared" si="378"/>
        <v/>
      </c>
      <c r="T1419" s="19" t="str">
        <f t="shared" si="379"/>
        <v/>
      </c>
      <c r="U1419" s="19" t="str">
        <f t="shared" si="380"/>
        <v/>
      </c>
      <c r="V1419" s="19" t="str">
        <f t="shared" si="381"/>
        <v/>
      </c>
      <c r="W1419" s="73" t="str">
        <f t="shared" si="382"/>
        <v/>
      </c>
      <c r="X1419" s="19" t="str">
        <f>IF($D1419&lt;&gt;1,"",IF($G1419="ROKS",$R1419,IF($AI1419=1,0,MAX($N1419,$L1419-SUMIFS(TblApplications[CPU IKS libérable (vCPU)],TblApplications[Cluster IKS source],$F1419,TblApplications[Action],"À migrer",TblApplications[Mois prov (calc)],"&lt;="&amp;$E1419)-SUMIFS(TblApplications[CPU IKS libérable (vCPU)],TblApplications[Cluster IKS source],$F1419,TblApplications[Action],"À décommissionner",TblApplications[Mois lib (calc)],"&lt;="&amp;$E1419)))))</f>
        <v/>
      </c>
      <c r="Y1419" s="19" t="str">
        <f>IF($D1419&lt;&gt;1,"",IF($G1419="ROKS",$S1419,IF($AI1419=1,0,MAX($O1419,$M1419-SUMIFS(TblApplications[RAM IKS libérable (Go)],TblApplications[Cluster IKS source],$F1419,TblApplications[Action],"À migrer",TblApplications[Mois prov (calc)],"&lt;="&amp;$E1419)-SUMIFS(TblApplications[RAM IKS libérable (Go)],TblApplications[Cluster IKS source],$F1419,TblApplications[Action],"À décommissionner",TblApplications[Mois lib (calc)],"&lt;="&amp;$E1419)))))</f>
        <v/>
      </c>
      <c r="Z1419" s="19" t="str">
        <f t="shared" si="383"/>
        <v/>
      </c>
      <c r="AA1419" s="73" t="str">
        <f t="shared" si="384"/>
        <v/>
      </c>
      <c r="AB1419" s="19" t="str">
        <f t="shared" si="385"/>
        <v/>
      </c>
      <c r="AC1419" s="73" t="str">
        <f t="shared" si="386"/>
        <v/>
      </c>
      <c r="AD1419" s="19" t="str">
        <f t="shared" si="387"/>
        <v/>
      </c>
      <c r="AE1419" s="19" t="str">
        <f t="shared" si="388"/>
        <v/>
      </c>
      <c r="AF1419" s="19" t="str">
        <f>IF($D1419&lt;&gt;1,"",IF(INDEX(TblClusters[Environnement],$B1419)="","(vide)",INDEX(TblClusters[Environnement],$B1419)))</f>
        <v/>
      </c>
      <c r="AG1419" s="19" t="str">
        <f t="shared" si="389"/>
        <v/>
      </c>
      <c r="AH1419" s="19" t="str">
        <f t="shared" si="390"/>
        <v/>
      </c>
      <c r="AI1419" s="19" t="str">
        <f>IF($D1419&lt;&gt;1,"",IF(AND($G1419="IKS",ISNUMBER(INDEX(TblClusters[Fermeture retenue],$B1419))),IF($E1419&gt;=INDEX(TblClusters[Fermeture retenue],$B1419),1,0),0))</f>
        <v/>
      </c>
    </row>
    <row r="1420" spans="1:35" x14ac:dyDescent="0.2">
      <c r="A1420" s="19">
        <v>1415</v>
      </c>
      <c r="B1420" s="19">
        <f t="shared" si="374"/>
        <v>40</v>
      </c>
      <c r="C1420" s="19">
        <f t="shared" si="375"/>
        <v>11</v>
      </c>
      <c r="D1420" s="19">
        <f>IF($C1420&gt;p_horizon,0,IFERROR(IF(AND(INDEX(TblClusters[Cluster],$B1420)&lt;&gt;"",ISNUMBER(INDEX(TblClusters[CPU initial (vCPU)],$B1420)),ISNUMBER(INDEX(TblClusters[CPU min (vCPU)],$B1420)),OR(INDEX(TblClusters[Plateforme],$B1420)="IKS",INDEX(TblClusters[Plateforme],$B1420)="ROKS")),1,0),0))</f>
        <v>0</v>
      </c>
      <c r="E1420" s="72" t="str">
        <f t="shared" si="376"/>
        <v/>
      </c>
      <c r="F1420" s="19" t="str">
        <f>IF($D1420=1,INDEX(TblClusters[Cluster],$B1420),"")</f>
        <v/>
      </c>
      <c r="G1420" s="19" t="str">
        <f>IF($D1420=1,INDEX(TblClusters[Plateforme],$B1420),"")</f>
        <v/>
      </c>
      <c r="H1420" s="19" t="str">
        <f>IF($D1420=1,INDEX(TblClusters[vCPU par nœud],$B1420),"")</f>
        <v/>
      </c>
      <c r="I1420" s="19" t="str">
        <f>IF($D1420=1,INDEX(TblClusters[RAM par nœud (Go)],$B1420),"")</f>
        <v/>
      </c>
      <c r="J1420" s="19" t="str">
        <f>IF($D1420=1,INDEX(TblClusters[Workers min],$B1420),"")</f>
        <v/>
      </c>
      <c r="K1420" s="73" t="str">
        <f>IF($D1420=1,INDEX(TblClusters[Tarif par nœud],$B1420),"")</f>
        <v/>
      </c>
      <c r="L1420" s="19" t="str">
        <f>IF($D1420=1,INDEX(TblClusters[CPU initial (vCPU)],$B1420),"")</f>
        <v/>
      </c>
      <c r="M1420" s="19" t="str">
        <f>IF($D1420=1,INDEX(TblClusters[RAM initiale (Go)],$B1420),"")</f>
        <v/>
      </c>
      <c r="N1420" s="19" t="str">
        <f>IF($D1420=1,INDEX(TblClusters[CPU min (vCPU)],$B1420),"")</f>
        <v/>
      </c>
      <c r="O1420" s="19" t="str">
        <f>IF($D1420=1,INDEX(TblClusters[RAM min (Go)],$B1420),"")</f>
        <v/>
      </c>
      <c r="P1420" s="19" t="str">
        <f>IF($D1420&lt;&gt;1,"",IF($G1420="ROKS",SUMIFS(TblApplications[Besoin ROKS CPU (vCPU)],TblApplications[Cluster ROKS cible],$F1420,TblApplications[Action],"À migrer",TblApplications[Déjà incluse ROKS],"Non",TblApplications[Mois prov (calc)],"&lt;="&amp;$E1420),SUMIFS(TblApplications[CPU IKS libérable (vCPU)],TblApplications[Cluster IKS source],$F1420,TblApplications[Mois lib (calc)],"&lt;="&amp;$E1420)))</f>
        <v/>
      </c>
      <c r="Q1420" s="19" t="str">
        <f>IF($D1420&lt;&gt;1,"",IF($G1420="ROKS",SUMIFS(TblApplications[Besoin ROKS RAM (Go)],TblApplications[Cluster ROKS cible],$F1420,TblApplications[Action],"À migrer",TblApplications[Déjà incluse ROKS],"Non",TblApplications[Mois prov (calc)],"&lt;="&amp;$E1420),SUMIFS(TblApplications[RAM IKS libérable (Go)],TblApplications[Cluster IKS source],$F1420,TblApplications[Mois lib (calc)],"&lt;="&amp;$E1420)))</f>
        <v/>
      </c>
      <c r="R1420" s="19" t="str">
        <f t="shared" si="377"/>
        <v/>
      </c>
      <c r="S1420" s="19" t="str">
        <f t="shared" si="378"/>
        <v/>
      </c>
      <c r="T1420" s="19" t="str">
        <f t="shared" si="379"/>
        <v/>
      </c>
      <c r="U1420" s="19" t="str">
        <f t="shared" si="380"/>
        <v/>
      </c>
      <c r="V1420" s="19" t="str">
        <f t="shared" si="381"/>
        <v/>
      </c>
      <c r="W1420" s="73" t="str">
        <f t="shared" si="382"/>
        <v/>
      </c>
      <c r="X1420" s="19" t="str">
        <f>IF($D1420&lt;&gt;1,"",IF($G1420="ROKS",$R1420,IF($AI1420=1,0,MAX($N1420,$L1420-SUMIFS(TblApplications[CPU IKS libérable (vCPU)],TblApplications[Cluster IKS source],$F1420,TblApplications[Action],"À migrer",TblApplications[Mois prov (calc)],"&lt;="&amp;$E1420)-SUMIFS(TblApplications[CPU IKS libérable (vCPU)],TblApplications[Cluster IKS source],$F1420,TblApplications[Action],"À décommissionner",TblApplications[Mois lib (calc)],"&lt;="&amp;$E1420)))))</f>
        <v/>
      </c>
      <c r="Y1420" s="19" t="str">
        <f>IF($D1420&lt;&gt;1,"",IF($G1420="ROKS",$S1420,IF($AI1420=1,0,MAX($O1420,$M1420-SUMIFS(TblApplications[RAM IKS libérable (Go)],TblApplications[Cluster IKS source],$F1420,TblApplications[Action],"À migrer",TblApplications[Mois prov (calc)],"&lt;="&amp;$E1420)-SUMIFS(TblApplications[RAM IKS libérable (Go)],TblApplications[Cluster IKS source],$F1420,TblApplications[Action],"À décommissionner",TblApplications[Mois lib (calc)],"&lt;="&amp;$E1420)))))</f>
        <v/>
      </c>
      <c r="Z1420" s="19" t="str">
        <f t="shared" si="383"/>
        <v/>
      </c>
      <c r="AA1420" s="73" t="str">
        <f t="shared" si="384"/>
        <v/>
      </c>
      <c r="AB1420" s="19" t="str">
        <f t="shared" si="385"/>
        <v/>
      </c>
      <c r="AC1420" s="73" t="str">
        <f t="shared" si="386"/>
        <v/>
      </c>
      <c r="AD1420" s="19" t="str">
        <f t="shared" si="387"/>
        <v/>
      </c>
      <c r="AE1420" s="19" t="str">
        <f t="shared" si="388"/>
        <v/>
      </c>
      <c r="AF1420" s="19" t="str">
        <f>IF($D1420&lt;&gt;1,"",IF(INDEX(TblClusters[Environnement],$B1420)="","(vide)",INDEX(TblClusters[Environnement],$B1420)))</f>
        <v/>
      </c>
      <c r="AG1420" s="19" t="str">
        <f t="shared" si="389"/>
        <v/>
      </c>
      <c r="AH1420" s="19" t="str">
        <f t="shared" si="390"/>
        <v/>
      </c>
      <c r="AI1420" s="19" t="str">
        <f>IF($D1420&lt;&gt;1,"",IF(AND($G1420="IKS",ISNUMBER(INDEX(TblClusters[Fermeture retenue],$B1420))),IF($E1420&gt;=INDEX(TblClusters[Fermeture retenue],$B1420),1,0),0))</f>
        <v/>
      </c>
    </row>
    <row r="1421" spans="1:35" x14ac:dyDescent="0.2">
      <c r="A1421" s="19">
        <v>1416</v>
      </c>
      <c r="B1421" s="19">
        <f t="shared" si="374"/>
        <v>40</v>
      </c>
      <c r="C1421" s="19">
        <f t="shared" si="375"/>
        <v>12</v>
      </c>
      <c r="D1421" s="19">
        <f>IF($C1421&gt;p_horizon,0,IFERROR(IF(AND(INDEX(TblClusters[Cluster],$B1421)&lt;&gt;"",ISNUMBER(INDEX(TblClusters[CPU initial (vCPU)],$B1421)),ISNUMBER(INDEX(TblClusters[CPU min (vCPU)],$B1421)),OR(INDEX(TblClusters[Plateforme],$B1421)="IKS",INDEX(TblClusters[Plateforme],$B1421)="ROKS")),1,0),0))</f>
        <v>0</v>
      </c>
      <c r="E1421" s="72" t="str">
        <f t="shared" si="376"/>
        <v/>
      </c>
      <c r="F1421" s="19" t="str">
        <f>IF($D1421=1,INDEX(TblClusters[Cluster],$B1421),"")</f>
        <v/>
      </c>
      <c r="G1421" s="19" t="str">
        <f>IF($D1421=1,INDEX(TblClusters[Plateforme],$B1421),"")</f>
        <v/>
      </c>
      <c r="H1421" s="19" t="str">
        <f>IF($D1421=1,INDEX(TblClusters[vCPU par nœud],$B1421),"")</f>
        <v/>
      </c>
      <c r="I1421" s="19" t="str">
        <f>IF($D1421=1,INDEX(TblClusters[RAM par nœud (Go)],$B1421),"")</f>
        <v/>
      </c>
      <c r="J1421" s="19" t="str">
        <f>IF($D1421=1,INDEX(TblClusters[Workers min],$B1421),"")</f>
        <v/>
      </c>
      <c r="K1421" s="73" t="str">
        <f>IF($D1421=1,INDEX(TblClusters[Tarif par nœud],$B1421),"")</f>
        <v/>
      </c>
      <c r="L1421" s="19" t="str">
        <f>IF($D1421=1,INDEX(TblClusters[CPU initial (vCPU)],$B1421),"")</f>
        <v/>
      </c>
      <c r="M1421" s="19" t="str">
        <f>IF($D1421=1,INDEX(TblClusters[RAM initiale (Go)],$B1421),"")</f>
        <v/>
      </c>
      <c r="N1421" s="19" t="str">
        <f>IF($D1421=1,INDEX(TblClusters[CPU min (vCPU)],$B1421),"")</f>
        <v/>
      </c>
      <c r="O1421" s="19" t="str">
        <f>IF($D1421=1,INDEX(TblClusters[RAM min (Go)],$B1421),"")</f>
        <v/>
      </c>
      <c r="P1421" s="19" t="str">
        <f>IF($D1421&lt;&gt;1,"",IF($G1421="ROKS",SUMIFS(TblApplications[Besoin ROKS CPU (vCPU)],TblApplications[Cluster ROKS cible],$F1421,TblApplications[Action],"À migrer",TblApplications[Déjà incluse ROKS],"Non",TblApplications[Mois prov (calc)],"&lt;="&amp;$E1421),SUMIFS(TblApplications[CPU IKS libérable (vCPU)],TblApplications[Cluster IKS source],$F1421,TblApplications[Mois lib (calc)],"&lt;="&amp;$E1421)))</f>
        <v/>
      </c>
      <c r="Q1421" s="19" t="str">
        <f>IF($D1421&lt;&gt;1,"",IF($G1421="ROKS",SUMIFS(TblApplications[Besoin ROKS RAM (Go)],TblApplications[Cluster ROKS cible],$F1421,TblApplications[Action],"À migrer",TblApplications[Déjà incluse ROKS],"Non",TblApplications[Mois prov (calc)],"&lt;="&amp;$E1421),SUMIFS(TblApplications[RAM IKS libérable (Go)],TblApplications[Cluster IKS source],$F1421,TblApplications[Mois lib (calc)],"&lt;="&amp;$E1421)))</f>
        <v/>
      </c>
      <c r="R1421" s="19" t="str">
        <f t="shared" si="377"/>
        <v/>
      </c>
      <c r="S1421" s="19" t="str">
        <f t="shared" si="378"/>
        <v/>
      </c>
      <c r="T1421" s="19" t="str">
        <f t="shared" si="379"/>
        <v/>
      </c>
      <c r="U1421" s="19" t="str">
        <f t="shared" si="380"/>
        <v/>
      </c>
      <c r="V1421" s="19" t="str">
        <f t="shared" si="381"/>
        <v/>
      </c>
      <c r="W1421" s="73" t="str">
        <f t="shared" si="382"/>
        <v/>
      </c>
      <c r="X1421" s="19" t="str">
        <f>IF($D1421&lt;&gt;1,"",IF($G1421="ROKS",$R1421,IF($AI1421=1,0,MAX($N1421,$L1421-SUMIFS(TblApplications[CPU IKS libérable (vCPU)],TblApplications[Cluster IKS source],$F1421,TblApplications[Action],"À migrer",TblApplications[Mois prov (calc)],"&lt;="&amp;$E1421)-SUMIFS(TblApplications[CPU IKS libérable (vCPU)],TblApplications[Cluster IKS source],$F1421,TblApplications[Action],"À décommissionner",TblApplications[Mois lib (calc)],"&lt;="&amp;$E1421)))))</f>
        <v/>
      </c>
      <c r="Y1421" s="19" t="str">
        <f>IF($D1421&lt;&gt;1,"",IF($G1421="ROKS",$S1421,IF($AI1421=1,0,MAX($O1421,$M1421-SUMIFS(TblApplications[RAM IKS libérable (Go)],TblApplications[Cluster IKS source],$F1421,TblApplications[Action],"À migrer",TblApplications[Mois prov (calc)],"&lt;="&amp;$E1421)-SUMIFS(TblApplications[RAM IKS libérable (Go)],TblApplications[Cluster IKS source],$F1421,TblApplications[Action],"À décommissionner",TblApplications[Mois lib (calc)],"&lt;="&amp;$E1421)))))</f>
        <v/>
      </c>
      <c r="Z1421" s="19" t="str">
        <f t="shared" si="383"/>
        <v/>
      </c>
      <c r="AA1421" s="73" t="str">
        <f t="shared" si="384"/>
        <v/>
      </c>
      <c r="AB1421" s="19" t="str">
        <f t="shared" si="385"/>
        <v/>
      </c>
      <c r="AC1421" s="73" t="str">
        <f t="shared" si="386"/>
        <v/>
      </c>
      <c r="AD1421" s="19" t="str">
        <f t="shared" si="387"/>
        <v/>
      </c>
      <c r="AE1421" s="19" t="str">
        <f t="shared" si="388"/>
        <v/>
      </c>
      <c r="AF1421" s="19" t="str">
        <f>IF($D1421&lt;&gt;1,"",IF(INDEX(TblClusters[Environnement],$B1421)="","(vide)",INDEX(TblClusters[Environnement],$B1421)))</f>
        <v/>
      </c>
      <c r="AG1421" s="19" t="str">
        <f t="shared" si="389"/>
        <v/>
      </c>
      <c r="AH1421" s="19" t="str">
        <f t="shared" si="390"/>
        <v/>
      </c>
      <c r="AI1421" s="19" t="str">
        <f>IF($D1421&lt;&gt;1,"",IF(AND($G1421="IKS",ISNUMBER(INDEX(TblClusters[Fermeture retenue],$B1421))),IF($E1421&gt;=INDEX(TblClusters[Fermeture retenue],$B1421),1,0),0))</f>
        <v/>
      </c>
    </row>
    <row r="1422" spans="1:35" x14ac:dyDescent="0.2">
      <c r="A1422" s="19">
        <v>1417</v>
      </c>
      <c r="B1422" s="19">
        <f t="shared" si="374"/>
        <v>40</v>
      </c>
      <c r="C1422" s="19">
        <f t="shared" si="375"/>
        <v>13</v>
      </c>
      <c r="D1422" s="19">
        <f>IF($C1422&gt;p_horizon,0,IFERROR(IF(AND(INDEX(TblClusters[Cluster],$B1422)&lt;&gt;"",ISNUMBER(INDEX(TblClusters[CPU initial (vCPU)],$B1422)),ISNUMBER(INDEX(TblClusters[CPU min (vCPU)],$B1422)),OR(INDEX(TblClusters[Plateforme],$B1422)="IKS",INDEX(TblClusters[Plateforme],$B1422)="ROKS")),1,0),0))</f>
        <v>0</v>
      </c>
      <c r="E1422" s="72" t="str">
        <f t="shared" si="376"/>
        <v/>
      </c>
      <c r="F1422" s="19" t="str">
        <f>IF($D1422=1,INDEX(TblClusters[Cluster],$B1422),"")</f>
        <v/>
      </c>
      <c r="G1422" s="19" t="str">
        <f>IF($D1422=1,INDEX(TblClusters[Plateforme],$B1422),"")</f>
        <v/>
      </c>
      <c r="H1422" s="19" t="str">
        <f>IF($D1422=1,INDEX(TblClusters[vCPU par nœud],$B1422),"")</f>
        <v/>
      </c>
      <c r="I1422" s="19" t="str">
        <f>IF($D1422=1,INDEX(TblClusters[RAM par nœud (Go)],$B1422),"")</f>
        <v/>
      </c>
      <c r="J1422" s="19" t="str">
        <f>IF($D1422=1,INDEX(TblClusters[Workers min],$B1422),"")</f>
        <v/>
      </c>
      <c r="K1422" s="73" t="str">
        <f>IF($D1422=1,INDEX(TblClusters[Tarif par nœud],$B1422),"")</f>
        <v/>
      </c>
      <c r="L1422" s="19" t="str">
        <f>IF($D1422=1,INDEX(TblClusters[CPU initial (vCPU)],$B1422),"")</f>
        <v/>
      </c>
      <c r="M1422" s="19" t="str">
        <f>IF($D1422=1,INDEX(TblClusters[RAM initiale (Go)],$B1422),"")</f>
        <v/>
      </c>
      <c r="N1422" s="19" t="str">
        <f>IF($D1422=1,INDEX(TblClusters[CPU min (vCPU)],$B1422),"")</f>
        <v/>
      </c>
      <c r="O1422" s="19" t="str">
        <f>IF($D1422=1,INDEX(TblClusters[RAM min (Go)],$B1422),"")</f>
        <v/>
      </c>
      <c r="P1422" s="19" t="str">
        <f>IF($D1422&lt;&gt;1,"",IF($G1422="ROKS",SUMIFS(TblApplications[Besoin ROKS CPU (vCPU)],TblApplications[Cluster ROKS cible],$F1422,TblApplications[Action],"À migrer",TblApplications[Déjà incluse ROKS],"Non",TblApplications[Mois prov (calc)],"&lt;="&amp;$E1422),SUMIFS(TblApplications[CPU IKS libérable (vCPU)],TblApplications[Cluster IKS source],$F1422,TblApplications[Mois lib (calc)],"&lt;="&amp;$E1422)))</f>
        <v/>
      </c>
      <c r="Q1422" s="19" t="str">
        <f>IF($D1422&lt;&gt;1,"",IF($G1422="ROKS",SUMIFS(TblApplications[Besoin ROKS RAM (Go)],TblApplications[Cluster ROKS cible],$F1422,TblApplications[Action],"À migrer",TblApplications[Déjà incluse ROKS],"Non",TblApplications[Mois prov (calc)],"&lt;="&amp;$E1422),SUMIFS(TblApplications[RAM IKS libérable (Go)],TblApplications[Cluster IKS source],$F1422,TblApplications[Mois lib (calc)],"&lt;="&amp;$E1422)))</f>
        <v/>
      </c>
      <c r="R1422" s="19" t="str">
        <f t="shared" si="377"/>
        <v/>
      </c>
      <c r="S1422" s="19" t="str">
        <f t="shared" si="378"/>
        <v/>
      </c>
      <c r="T1422" s="19" t="str">
        <f t="shared" si="379"/>
        <v/>
      </c>
      <c r="U1422" s="19" t="str">
        <f t="shared" si="380"/>
        <v/>
      </c>
      <c r="V1422" s="19" t="str">
        <f t="shared" si="381"/>
        <v/>
      </c>
      <c r="W1422" s="73" t="str">
        <f t="shared" si="382"/>
        <v/>
      </c>
      <c r="X1422" s="19" t="str">
        <f>IF($D1422&lt;&gt;1,"",IF($G1422="ROKS",$R1422,IF($AI1422=1,0,MAX($N1422,$L1422-SUMIFS(TblApplications[CPU IKS libérable (vCPU)],TblApplications[Cluster IKS source],$F1422,TblApplications[Action],"À migrer",TblApplications[Mois prov (calc)],"&lt;="&amp;$E1422)-SUMIFS(TblApplications[CPU IKS libérable (vCPU)],TblApplications[Cluster IKS source],$F1422,TblApplications[Action],"À décommissionner",TblApplications[Mois lib (calc)],"&lt;="&amp;$E1422)))))</f>
        <v/>
      </c>
      <c r="Y1422" s="19" t="str">
        <f>IF($D1422&lt;&gt;1,"",IF($G1422="ROKS",$S1422,IF($AI1422=1,0,MAX($O1422,$M1422-SUMIFS(TblApplications[RAM IKS libérable (Go)],TblApplications[Cluster IKS source],$F1422,TblApplications[Action],"À migrer",TblApplications[Mois prov (calc)],"&lt;="&amp;$E1422)-SUMIFS(TblApplications[RAM IKS libérable (Go)],TblApplications[Cluster IKS source],$F1422,TblApplications[Action],"À décommissionner",TblApplications[Mois lib (calc)],"&lt;="&amp;$E1422)))))</f>
        <v/>
      </c>
      <c r="Z1422" s="19" t="str">
        <f t="shared" si="383"/>
        <v/>
      </c>
      <c r="AA1422" s="73" t="str">
        <f t="shared" si="384"/>
        <v/>
      </c>
      <c r="AB1422" s="19" t="str">
        <f t="shared" si="385"/>
        <v/>
      </c>
      <c r="AC1422" s="73" t="str">
        <f t="shared" si="386"/>
        <v/>
      </c>
      <c r="AD1422" s="19" t="str">
        <f t="shared" si="387"/>
        <v/>
      </c>
      <c r="AE1422" s="19" t="str">
        <f t="shared" si="388"/>
        <v/>
      </c>
      <c r="AF1422" s="19" t="str">
        <f>IF($D1422&lt;&gt;1,"",IF(INDEX(TblClusters[Environnement],$B1422)="","(vide)",INDEX(TblClusters[Environnement],$B1422)))</f>
        <v/>
      </c>
      <c r="AG1422" s="19" t="str">
        <f t="shared" si="389"/>
        <v/>
      </c>
      <c r="AH1422" s="19" t="str">
        <f t="shared" si="390"/>
        <v/>
      </c>
      <c r="AI1422" s="19" t="str">
        <f>IF($D1422&lt;&gt;1,"",IF(AND($G1422="IKS",ISNUMBER(INDEX(TblClusters[Fermeture retenue],$B1422))),IF($E1422&gt;=INDEX(TblClusters[Fermeture retenue],$B1422),1,0),0))</f>
        <v/>
      </c>
    </row>
    <row r="1423" spans="1:35" x14ac:dyDescent="0.2">
      <c r="A1423" s="19">
        <v>1418</v>
      </c>
      <c r="B1423" s="19">
        <f t="shared" si="374"/>
        <v>40</v>
      </c>
      <c r="C1423" s="19">
        <f t="shared" si="375"/>
        <v>14</v>
      </c>
      <c r="D1423" s="19">
        <f>IF($C1423&gt;p_horizon,0,IFERROR(IF(AND(INDEX(TblClusters[Cluster],$B1423)&lt;&gt;"",ISNUMBER(INDEX(TblClusters[CPU initial (vCPU)],$B1423)),ISNUMBER(INDEX(TblClusters[CPU min (vCPU)],$B1423)),OR(INDEX(TblClusters[Plateforme],$B1423)="IKS",INDEX(TblClusters[Plateforme],$B1423)="ROKS")),1,0),0))</f>
        <v>0</v>
      </c>
      <c r="E1423" s="72" t="str">
        <f t="shared" si="376"/>
        <v/>
      </c>
      <c r="F1423" s="19" t="str">
        <f>IF($D1423=1,INDEX(TblClusters[Cluster],$B1423),"")</f>
        <v/>
      </c>
      <c r="G1423" s="19" t="str">
        <f>IF($D1423=1,INDEX(TblClusters[Plateforme],$B1423),"")</f>
        <v/>
      </c>
      <c r="H1423" s="19" t="str">
        <f>IF($D1423=1,INDEX(TblClusters[vCPU par nœud],$B1423),"")</f>
        <v/>
      </c>
      <c r="I1423" s="19" t="str">
        <f>IF($D1423=1,INDEX(TblClusters[RAM par nœud (Go)],$B1423),"")</f>
        <v/>
      </c>
      <c r="J1423" s="19" t="str">
        <f>IF($D1423=1,INDEX(TblClusters[Workers min],$B1423),"")</f>
        <v/>
      </c>
      <c r="K1423" s="73" t="str">
        <f>IF($D1423=1,INDEX(TblClusters[Tarif par nœud],$B1423),"")</f>
        <v/>
      </c>
      <c r="L1423" s="19" t="str">
        <f>IF($D1423=1,INDEX(TblClusters[CPU initial (vCPU)],$B1423),"")</f>
        <v/>
      </c>
      <c r="M1423" s="19" t="str">
        <f>IF($D1423=1,INDEX(TblClusters[RAM initiale (Go)],$B1423),"")</f>
        <v/>
      </c>
      <c r="N1423" s="19" t="str">
        <f>IF($D1423=1,INDEX(TblClusters[CPU min (vCPU)],$B1423),"")</f>
        <v/>
      </c>
      <c r="O1423" s="19" t="str">
        <f>IF($D1423=1,INDEX(TblClusters[RAM min (Go)],$B1423),"")</f>
        <v/>
      </c>
      <c r="P1423" s="19" t="str">
        <f>IF($D1423&lt;&gt;1,"",IF($G1423="ROKS",SUMIFS(TblApplications[Besoin ROKS CPU (vCPU)],TblApplications[Cluster ROKS cible],$F1423,TblApplications[Action],"À migrer",TblApplications[Déjà incluse ROKS],"Non",TblApplications[Mois prov (calc)],"&lt;="&amp;$E1423),SUMIFS(TblApplications[CPU IKS libérable (vCPU)],TblApplications[Cluster IKS source],$F1423,TblApplications[Mois lib (calc)],"&lt;="&amp;$E1423)))</f>
        <v/>
      </c>
      <c r="Q1423" s="19" t="str">
        <f>IF($D1423&lt;&gt;1,"",IF($G1423="ROKS",SUMIFS(TblApplications[Besoin ROKS RAM (Go)],TblApplications[Cluster ROKS cible],$F1423,TblApplications[Action],"À migrer",TblApplications[Déjà incluse ROKS],"Non",TblApplications[Mois prov (calc)],"&lt;="&amp;$E1423),SUMIFS(TblApplications[RAM IKS libérable (Go)],TblApplications[Cluster IKS source],$F1423,TblApplications[Mois lib (calc)],"&lt;="&amp;$E1423)))</f>
        <v/>
      </c>
      <c r="R1423" s="19" t="str">
        <f t="shared" si="377"/>
        <v/>
      </c>
      <c r="S1423" s="19" t="str">
        <f t="shared" si="378"/>
        <v/>
      </c>
      <c r="T1423" s="19" t="str">
        <f t="shared" si="379"/>
        <v/>
      </c>
      <c r="U1423" s="19" t="str">
        <f t="shared" si="380"/>
        <v/>
      </c>
      <c r="V1423" s="19" t="str">
        <f t="shared" si="381"/>
        <v/>
      </c>
      <c r="W1423" s="73" t="str">
        <f t="shared" si="382"/>
        <v/>
      </c>
      <c r="X1423" s="19" t="str">
        <f>IF($D1423&lt;&gt;1,"",IF($G1423="ROKS",$R1423,IF($AI1423=1,0,MAX($N1423,$L1423-SUMIFS(TblApplications[CPU IKS libérable (vCPU)],TblApplications[Cluster IKS source],$F1423,TblApplications[Action],"À migrer",TblApplications[Mois prov (calc)],"&lt;="&amp;$E1423)-SUMIFS(TblApplications[CPU IKS libérable (vCPU)],TblApplications[Cluster IKS source],$F1423,TblApplications[Action],"À décommissionner",TblApplications[Mois lib (calc)],"&lt;="&amp;$E1423)))))</f>
        <v/>
      </c>
      <c r="Y1423" s="19" t="str">
        <f>IF($D1423&lt;&gt;1,"",IF($G1423="ROKS",$S1423,IF($AI1423=1,0,MAX($O1423,$M1423-SUMIFS(TblApplications[RAM IKS libérable (Go)],TblApplications[Cluster IKS source],$F1423,TblApplications[Action],"À migrer",TblApplications[Mois prov (calc)],"&lt;="&amp;$E1423)-SUMIFS(TblApplications[RAM IKS libérable (Go)],TblApplications[Cluster IKS source],$F1423,TblApplications[Action],"À décommissionner",TblApplications[Mois lib (calc)],"&lt;="&amp;$E1423)))))</f>
        <v/>
      </c>
      <c r="Z1423" s="19" t="str">
        <f t="shared" si="383"/>
        <v/>
      </c>
      <c r="AA1423" s="73" t="str">
        <f t="shared" si="384"/>
        <v/>
      </c>
      <c r="AB1423" s="19" t="str">
        <f t="shared" si="385"/>
        <v/>
      </c>
      <c r="AC1423" s="73" t="str">
        <f t="shared" si="386"/>
        <v/>
      </c>
      <c r="AD1423" s="19" t="str">
        <f t="shared" si="387"/>
        <v/>
      </c>
      <c r="AE1423" s="19" t="str">
        <f t="shared" si="388"/>
        <v/>
      </c>
      <c r="AF1423" s="19" t="str">
        <f>IF($D1423&lt;&gt;1,"",IF(INDEX(TblClusters[Environnement],$B1423)="","(vide)",INDEX(TblClusters[Environnement],$B1423)))</f>
        <v/>
      </c>
      <c r="AG1423" s="19" t="str">
        <f t="shared" si="389"/>
        <v/>
      </c>
      <c r="AH1423" s="19" t="str">
        <f t="shared" si="390"/>
        <v/>
      </c>
      <c r="AI1423" s="19" t="str">
        <f>IF($D1423&lt;&gt;1,"",IF(AND($G1423="IKS",ISNUMBER(INDEX(TblClusters[Fermeture retenue],$B1423))),IF($E1423&gt;=INDEX(TblClusters[Fermeture retenue],$B1423),1,0),0))</f>
        <v/>
      </c>
    </row>
    <row r="1424" spans="1:35" x14ac:dyDescent="0.2">
      <c r="A1424" s="19">
        <v>1419</v>
      </c>
      <c r="B1424" s="19">
        <f t="shared" si="374"/>
        <v>40</v>
      </c>
      <c r="C1424" s="19">
        <f t="shared" si="375"/>
        <v>15</v>
      </c>
      <c r="D1424" s="19">
        <f>IF($C1424&gt;p_horizon,0,IFERROR(IF(AND(INDEX(TblClusters[Cluster],$B1424)&lt;&gt;"",ISNUMBER(INDEX(TblClusters[CPU initial (vCPU)],$B1424)),ISNUMBER(INDEX(TblClusters[CPU min (vCPU)],$B1424)),OR(INDEX(TblClusters[Plateforme],$B1424)="IKS",INDEX(TblClusters[Plateforme],$B1424)="ROKS")),1,0),0))</f>
        <v>0</v>
      </c>
      <c r="E1424" s="72" t="str">
        <f t="shared" si="376"/>
        <v/>
      </c>
      <c r="F1424" s="19" t="str">
        <f>IF($D1424=1,INDEX(TblClusters[Cluster],$B1424),"")</f>
        <v/>
      </c>
      <c r="G1424" s="19" t="str">
        <f>IF($D1424=1,INDEX(TblClusters[Plateforme],$B1424),"")</f>
        <v/>
      </c>
      <c r="H1424" s="19" t="str">
        <f>IF($D1424=1,INDEX(TblClusters[vCPU par nœud],$B1424),"")</f>
        <v/>
      </c>
      <c r="I1424" s="19" t="str">
        <f>IF($D1424=1,INDEX(TblClusters[RAM par nœud (Go)],$B1424),"")</f>
        <v/>
      </c>
      <c r="J1424" s="19" t="str">
        <f>IF($D1424=1,INDEX(TblClusters[Workers min],$B1424),"")</f>
        <v/>
      </c>
      <c r="K1424" s="73" t="str">
        <f>IF($D1424=1,INDEX(TblClusters[Tarif par nœud],$B1424),"")</f>
        <v/>
      </c>
      <c r="L1424" s="19" t="str">
        <f>IF($D1424=1,INDEX(TblClusters[CPU initial (vCPU)],$B1424),"")</f>
        <v/>
      </c>
      <c r="M1424" s="19" t="str">
        <f>IF($D1424=1,INDEX(TblClusters[RAM initiale (Go)],$B1424),"")</f>
        <v/>
      </c>
      <c r="N1424" s="19" t="str">
        <f>IF($D1424=1,INDEX(TblClusters[CPU min (vCPU)],$B1424),"")</f>
        <v/>
      </c>
      <c r="O1424" s="19" t="str">
        <f>IF($D1424=1,INDEX(TblClusters[RAM min (Go)],$B1424),"")</f>
        <v/>
      </c>
      <c r="P1424" s="19" t="str">
        <f>IF($D1424&lt;&gt;1,"",IF($G1424="ROKS",SUMIFS(TblApplications[Besoin ROKS CPU (vCPU)],TblApplications[Cluster ROKS cible],$F1424,TblApplications[Action],"À migrer",TblApplications[Déjà incluse ROKS],"Non",TblApplications[Mois prov (calc)],"&lt;="&amp;$E1424),SUMIFS(TblApplications[CPU IKS libérable (vCPU)],TblApplications[Cluster IKS source],$F1424,TblApplications[Mois lib (calc)],"&lt;="&amp;$E1424)))</f>
        <v/>
      </c>
      <c r="Q1424" s="19" t="str">
        <f>IF($D1424&lt;&gt;1,"",IF($G1424="ROKS",SUMIFS(TblApplications[Besoin ROKS RAM (Go)],TblApplications[Cluster ROKS cible],$F1424,TblApplications[Action],"À migrer",TblApplications[Déjà incluse ROKS],"Non",TblApplications[Mois prov (calc)],"&lt;="&amp;$E1424),SUMIFS(TblApplications[RAM IKS libérable (Go)],TblApplications[Cluster IKS source],$F1424,TblApplications[Mois lib (calc)],"&lt;="&amp;$E1424)))</f>
        <v/>
      </c>
      <c r="R1424" s="19" t="str">
        <f t="shared" si="377"/>
        <v/>
      </c>
      <c r="S1424" s="19" t="str">
        <f t="shared" si="378"/>
        <v/>
      </c>
      <c r="T1424" s="19" t="str">
        <f t="shared" si="379"/>
        <v/>
      </c>
      <c r="U1424" s="19" t="str">
        <f t="shared" si="380"/>
        <v/>
      </c>
      <c r="V1424" s="19" t="str">
        <f t="shared" si="381"/>
        <v/>
      </c>
      <c r="W1424" s="73" t="str">
        <f t="shared" si="382"/>
        <v/>
      </c>
      <c r="X1424" s="19" t="str">
        <f>IF($D1424&lt;&gt;1,"",IF($G1424="ROKS",$R1424,IF($AI1424=1,0,MAX($N1424,$L1424-SUMIFS(TblApplications[CPU IKS libérable (vCPU)],TblApplications[Cluster IKS source],$F1424,TblApplications[Action],"À migrer",TblApplications[Mois prov (calc)],"&lt;="&amp;$E1424)-SUMIFS(TblApplications[CPU IKS libérable (vCPU)],TblApplications[Cluster IKS source],$F1424,TblApplications[Action],"À décommissionner",TblApplications[Mois lib (calc)],"&lt;="&amp;$E1424)))))</f>
        <v/>
      </c>
      <c r="Y1424" s="19" t="str">
        <f>IF($D1424&lt;&gt;1,"",IF($G1424="ROKS",$S1424,IF($AI1424=1,0,MAX($O1424,$M1424-SUMIFS(TblApplications[RAM IKS libérable (Go)],TblApplications[Cluster IKS source],$F1424,TblApplications[Action],"À migrer",TblApplications[Mois prov (calc)],"&lt;="&amp;$E1424)-SUMIFS(TblApplications[RAM IKS libérable (Go)],TblApplications[Cluster IKS source],$F1424,TblApplications[Action],"À décommissionner",TblApplications[Mois lib (calc)],"&lt;="&amp;$E1424)))))</f>
        <v/>
      </c>
      <c r="Z1424" s="19" t="str">
        <f t="shared" si="383"/>
        <v/>
      </c>
      <c r="AA1424" s="73" t="str">
        <f t="shared" si="384"/>
        <v/>
      </c>
      <c r="AB1424" s="19" t="str">
        <f t="shared" si="385"/>
        <v/>
      </c>
      <c r="AC1424" s="73" t="str">
        <f t="shared" si="386"/>
        <v/>
      </c>
      <c r="AD1424" s="19" t="str">
        <f t="shared" si="387"/>
        <v/>
      </c>
      <c r="AE1424" s="19" t="str">
        <f t="shared" si="388"/>
        <v/>
      </c>
      <c r="AF1424" s="19" t="str">
        <f>IF($D1424&lt;&gt;1,"",IF(INDEX(TblClusters[Environnement],$B1424)="","(vide)",INDEX(TblClusters[Environnement],$B1424)))</f>
        <v/>
      </c>
      <c r="AG1424" s="19" t="str">
        <f t="shared" si="389"/>
        <v/>
      </c>
      <c r="AH1424" s="19" t="str">
        <f t="shared" si="390"/>
        <v/>
      </c>
      <c r="AI1424" s="19" t="str">
        <f>IF($D1424&lt;&gt;1,"",IF(AND($G1424="IKS",ISNUMBER(INDEX(TblClusters[Fermeture retenue],$B1424))),IF($E1424&gt;=INDEX(TblClusters[Fermeture retenue],$B1424),1,0),0))</f>
        <v/>
      </c>
    </row>
    <row r="1425" spans="1:35" x14ac:dyDescent="0.2">
      <c r="A1425" s="19">
        <v>1420</v>
      </c>
      <c r="B1425" s="19">
        <f t="shared" si="374"/>
        <v>40</v>
      </c>
      <c r="C1425" s="19">
        <f t="shared" si="375"/>
        <v>16</v>
      </c>
      <c r="D1425" s="19">
        <f>IF($C1425&gt;p_horizon,0,IFERROR(IF(AND(INDEX(TblClusters[Cluster],$B1425)&lt;&gt;"",ISNUMBER(INDEX(TblClusters[CPU initial (vCPU)],$B1425)),ISNUMBER(INDEX(TblClusters[CPU min (vCPU)],$B1425)),OR(INDEX(TblClusters[Plateforme],$B1425)="IKS",INDEX(TblClusters[Plateforme],$B1425)="ROKS")),1,0),0))</f>
        <v>0</v>
      </c>
      <c r="E1425" s="72" t="str">
        <f t="shared" si="376"/>
        <v/>
      </c>
      <c r="F1425" s="19" t="str">
        <f>IF($D1425=1,INDEX(TblClusters[Cluster],$B1425),"")</f>
        <v/>
      </c>
      <c r="G1425" s="19" t="str">
        <f>IF($D1425=1,INDEX(TblClusters[Plateforme],$B1425),"")</f>
        <v/>
      </c>
      <c r="H1425" s="19" t="str">
        <f>IF($D1425=1,INDEX(TblClusters[vCPU par nœud],$B1425),"")</f>
        <v/>
      </c>
      <c r="I1425" s="19" t="str">
        <f>IF($D1425=1,INDEX(TblClusters[RAM par nœud (Go)],$B1425),"")</f>
        <v/>
      </c>
      <c r="J1425" s="19" t="str">
        <f>IF($D1425=1,INDEX(TblClusters[Workers min],$B1425),"")</f>
        <v/>
      </c>
      <c r="K1425" s="73" t="str">
        <f>IF($D1425=1,INDEX(TblClusters[Tarif par nœud],$B1425),"")</f>
        <v/>
      </c>
      <c r="L1425" s="19" t="str">
        <f>IF($D1425=1,INDEX(TblClusters[CPU initial (vCPU)],$B1425),"")</f>
        <v/>
      </c>
      <c r="M1425" s="19" t="str">
        <f>IF($D1425=1,INDEX(TblClusters[RAM initiale (Go)],$B1425),"")</f>
        <v/>
      </c>
      <c r="N1425" s="19" t="str">
        <f>IF($D1425=1,INDEX(TblClusters[CPU min (vCPU)],$B1425),"")</f>
        <v/>
      </c>
      <c r="O1425" s="19" t="str">
        <f>IF($D1425=1,INDEX(TblClusters[RAM min (Go)],$B1425),"")</f>
        <v/>
      </c>
      <c r="P1425" s="19" t="str">
        <f>IF($D1425&lt;&gt;1,"",IF($G1425="ROKS",SUMIFS(TblApplications[Besoin ROKS CPU (vCPU)],TblApplications[Cluster ROKS cible],$F1425,TblApplications[Action],"À migrer",TblApplications[Déjà incluse ROKS],"Non",TblApplications[Mois prov (calc)],"&lt;="&amp;$E1425),SUMIFS(TblApplications[CPU IKS libérable (vCPU)],TblApplications[Cluster IKS source],$F1425,TblApplications[Mois lib (calc)],"&lt;="&amp;$E1425)))</f>
        <v/>
      </c>
      <c r="Q1425" s="19" t="str">
        <f>IF($D1425&lt;&gt;1,"",IF($G1425="ROKS",SUMIFS(TblApplications[Besoin ROKS RAM (Go)],TblApplications[Cluster ROKS cible],$F1425,TblApplications[Action],"À migrer",TblApplications[Déjà incluse ROKS],"Non",TblApplications[Mois prov (calc)],"&lt;="&amp;$E1425),SUMIFS(TblApplications[RAM IKS libérable (Go)],TblApplications[Cluster IKS source],$F1425,TblApplications[Mois lib (calc)],"&lt;="&amp;$E1425)))</f>
        <v/>
      </c>
      <c r="R1425" s="19" t="str">
        <f t="shared" si="377"/>
        <v/>
      </c>
      <c r="S1425" s="19" t="str">
        <f t="shared" si="378"/>
        <v/>
      </c>
      <c r="T1425" s="19" t="str">
        <f t="shared" si="379"/>
        <v/>
      </c>
      <c r="U1425" s="19" t="str">
        <f t="shared" si="380"/>
        <v/>
      </c>
      <c r="V1425" s="19" t="str">
        <f t="shared" si="381"/>
        <v/>
      </c>
      <c r="W1425" s="73" t="str">
        <f t="shared" si="382"/>
        <v/>
      </c>
      <c r="X1425" s="19" t="str">
        <f>IF($D1425&lt;&gt;1,"",IF($G1425="ROKS",$R1425,IF($AI1425=1,0,MAX($N1425,$L1425-SUMIFS(TblApplications[CPU IKS libérable (vCPU)],TblApplications[Cluster IKS source],$F1425,TblApplications[Action],"À migrer",TblApplications[Mois prov (calc)],"&lt;="&amp;$E1425)-SUMIFS(TblApplications[CPU IKS libérable (vCPU)],TblApplications[Cluster IKS source],$F1425,TblApplications[Action],"À décommissionner",TblApplications[Mois lib (calc)],"&lt;="&amp;$E1425)))))</f>
        <v/>
      </c>
      <c r="Y1425" s="19" t="str">
        <f>IF($D1425&lt;&gt;1,"",IF($G1425="ROKS",$S1425,IF($AI1425=1,0,MAX($O1425,$M1425-SUMIFS(TblApplications[RAM IKS libérable (Go)],TblApplications[Cluster IKS source],$F1425,TblApplications[Action],"À migrer",TblApplications[Mois prov (calc)],"&lt;="&amp;$E1425)-SUMIFS(TblApplications[RAM IKS libérable (Go)],TblApplications[Cluster IKS source],$F1425,TblApplications[Action],"À décommissionner",TblApplications[Mois lib (calc)],"&lt;="&amp;$E1425)))))</f>
        <v/>
      </c>
      <c r="Z1425" s="19" t="str">
        <f t="shared" si="383"/>
        <v/>
      </c>
      <c r="AA1425" s="73" t="str">
        <f t="shared" si="384"/>
        <v/>
      </c>
      <c r="AB1425" s="19" t="str">
        <f t="shared" si="385"/>
        <v/>
      </c>
      <c r="AC1425" s="73" t="str">
        <f t="shared" si="386"/>
        <v/>
      </c>
      <c r="AD1425" s="19" t="str">
        <f t="shared" si="387"/>
        <v/>
      </c>
      <c r="AE1425" s="19" t="str">
        <f t="shared" si="388"/>
        <v/>
      </c>
      <c r="AF1425" s="19" t="str">
        <f>IF($D1425&lt;&gt;1,"",IF(INDEX(TblClusters[Environnement],$B1425)="","(vide)",INDEX(TblClusters[Environnement],$B1425)))</f>
        <v/>
      </c>
      <c r="AG1425" s="19" t="str">
        <f t="shared" si="389"/>
        <v/>
      </c>
      <c r="AH1425" s="19" t="str">
        <f t="shared" si="390"/>
        <v/>
      </c>
      <c r="AI1425" s="19" t="str">
        <f>IF($D1425&lt;&gt;1,"",IF(AND($G1425="IKS",ISNUMBER(INDEX(TblClusters[Fermeture retenue],$B1425))),IF($E1425&gt;=INDEX(TblClusters[Fermeture retenue],$B1425),1,0),0))</f>
        <v/>
      </c>
    </row>
    <row r="1426" spans="1:35" x14ac:dyDescent="0.2">
      <c r="A1426" s="19">
        <v>1421</v>
      </c>
      <c r="B1426" s="19">
        <f t="shared" si="374"/>
        <v>40</v>
      </c>
      <c r="C1426" s="19">
        <f t="shared" si="375"/>
        <v>17</v>
      </c>
      <c r="D1426" s="19">
        <f>IF($C1426&gt;p_horizon,0,IFERROR(IF(AND(INDEX(TblClusters[Cluster],$B1426)&lt;&gt;"",ISNUMBER(INDEX(TblClusters[CPU initial (vCPU)],$B1426)),ISNUMBER(INDEX(TblClusters[CPU min (vCPU)],$B1426)),OR(INDEX(TblClusters[Plateforme],$B1426)="IKS",INDEX(TblClusters[Plateforme],$B1426)="ROKS")),1,0),0))</f>
        <v>0</v>
      </c>
      <c r="E1426" s="72" t="str">
        <f t="shared" si="376"/>
        <v/>
      </c>
      <c r="F1426" s="19" t="str">
        <f>IF($D1426=1,INDEX(TblClusters[Cluster],$B1426),"")</f>
        <v/>
      </c>
      <c r="G1426" s="19" t="str">
        <f>IF($D1426=1,INDEX(TblClusters[Plateforme],$B1426),"")</f>
        <v/>
      </c>
      <c r="H1426" s="19" t="str">
        <f>IF($D1426=1,INDEX(TblClusters[vCPU par nœud],$B1426),"")</f>
        <v/>
      </c>
      <c r="I1426" s="19" t="str">
        <f>IF($D1426=1,INDEX(TblClusters[RAM par nœud (Go)],$B1426),"")</f>
        <v/>
      </c>
      <c r="J1426" s="19" t="str">
        <f>IF($D1426=1,INDEX(TblClusters[Workers min],$B1426),"")</f>
        <v/>
      </c>
      <c r="K1426" s="73" t="str">
        <f>IF($D1426=1,INDEX(TblClusters[Tarif par nœud],$B1426),"")</f>
        <v/>
      </c>
      <c r="L1426" s="19" t="str">
        <f>IF($D1426=1,INDEX(TblClusters[CPU initial (vCPU)],$B1426),"")</f>
        <v/>
      </c>
      <c r="M1426" s="19" t="str">
        <f>IF($D1426=1,INDEX(TblClusters[RAM initiale (Go)],$B1426),"")</f>
        <v/>
      </c>
      <c r="N1426" s="19" t="str">
        <f>IF($D1426=1,INDEX(TblClusters[CPU min (vCPU)],$B1426),"")</f>
        <v/>
      </c>
      <c r="O1426" s="19" t="str">
        <f>IF($D1426=1,INDEX(TblClusters[RAM min (Go)],$B1426),"")</f>
        <v/>
      </c>
      <c r="P1426" s="19" t="str">
        <f>IF($D1426&lt;&gt;1,"",IF($G1426="ROKS",SUMIFS(TblApplications[Besoin ROKS CPU (vCPU)],TblApplications[Cluster ROKS cible],$F1426,TblApplications[Action],"À migrer",TblApplications[Déjà incluse ROKS],"Non",TblApplications[Mois prov (calc)],"&lt;="&amp;$E1426),SUMIFS(TblApplications[CPU IKS libérable (vCPU)],TblApplications[Cluster IKS source],$F1426,TblApplications[Mois lib (calc)],"&lt;="&amp;$E1426)))</f>
        <v/>
      </c>
      <c r="Q1426" s="19" t="str">
        <f>IF($D1426&lt;&gt;1,"",IF($G1426="ROKS",SUMIFS(TblApplications[Besoin ROKS RAM (Go)],TblApplications[Cluster ROKS cible],$F1426,TblApplications[Action],"À migrer",TblApplications[Déjà incluse ROKS],"Non",TblApplications[Mois prov (calc)],"&lt;="&amp;$E1426),SUMIFS(TblApplications[RAM IKS libérable (Go)],TblApplications[Cluster IKS source],$F1426,TblApplications[Mois lib (calc)],"&lt;="&amp;$E1426)))</f>
        <v/>
      </c>
      <c r="R1426" s="19" t="str">
        <f t="shared" si="377"/>
        <v/>
      </c>
      <c r="S1426" s="19" t="str">
        <f t="shared" si="378"/>
        <v/>
      </c>
      <c r="T1426" s="19" t="str">
        <f t="shared" si="379"/>
        <v/>
      </c>
      <c r="U1426" s="19" t="str">
        <f t="shared" si="380"/>
        <v/>
      </c>
      <c r="V1426" s="19" t="str">
        <f t="shared" si="381"/>
        <v/>
      </c>
      <c r="W1426" s="73" t="str">
        <f t="shared" si="382"/>
        <v/>
      </c>
      <c r="X1426" s="19" t="str">
        <f>IF($D1426&lt;&gt;1,"",IF($G1426="ROKS",$R1426,IF($AI1426=1,0,MAX($N1426,$L1426-SUMIFS(TblApplications[CPU IKS libérable (vCPU)],TblApplications[Cluster IKS source],$F1426,TblApplications[Action],"À migrer",TblApplications[Mois prov (calc)],"&lt;="&amp;$E1426)-SUMIFS(TblApplications[CPU IKS libérable (vCPU)],TblApplications[Cluster IKS source],$F1426,TblApplications[Action],"À décommissionner",TblApplications[Mois lib (calc)],"&lt;="&amp;$E1426)))))</f>
        <v/>
      </c>
      <c r="Y1426" s="19" t="str">
        <f>IF($D1426&lt;&gt;1,"",IF($G1426="ROKS",$S1426,IF($AI1426=1,0,MAX($O1426,$M1426-SUMIFS(TblApplications[RAM IKS libérable (Go)],TblApplications[Cluster IKS source],$F1426,TblApplications[Action],"À migrer",TblApplications[Mois prov (calc)],"&lt;="&amp;$E1426)-SUMIFS(TblApplications[RAM IKS libérable (Go)],TblApplications[Cluster IKS source],$F1426,TblApplications[Action],"À décommissionner",TblApplications[Mois lib (calc)],"&lt;="&amp;$E1426)))))</f>
        <v/>
      </c>
      <c r="Z1426" s="19" t="str">
        <f t="shared" si="383"/>
        <v/>
      </c>
      <c r="AA1426" s="73" t="str">
        <f t="shared" si="384"/>
        <v/>
      </c>
      <c r="AB1426" s="19" t="str">
        <f t="shared" si="385"/>
        <v/>
      </c>
      <c r="AC1426" s="73" t="str">
        <f t="shared" si="386"/>
        <v/>
      </c>
      <c r="AD1426" s="19" t="str">
        <f t="shared" si="387"/>
        <v/>
      </c>
      <c r="AE1426" s="19" t="str">
        <f t="shared" si="388"/>
        <v/>
      </c>
      <c r="AF1426" s="19" t="str">
        <f>IF($D1426&lt;&gt;1,"",IF(INDEX(TblClusters[Environnement],$B1426)="","(vide)",INDEX(TblClusters[Environnement],$B1426)))</f>
        <v/>
      </c>
      <c r="AG1426" s="19" t="str">
        <f t="shared" si="389"/>
        <v/>
      </c>
      <c r="AH1426" s="19" t="str">
        <f t="shared" si="390"/>
        <v/>
      </c>
      <c r="AI1426" s="19" t="str">
        <f>IF($D1426&lt;&gt;1,"",IF(AND($G1426="IKS",ISNUMBER(INDEX(TblClusters[Fermeture retenue],$B1426))),IF($E1426&gt;=INDEX(TblClusters[Fermeture retenue],$B1426),1,0),0))</f>
        <v/>
      </c>
    </row>
    <row r="1427" spans="1:35" x14ac:dyDescent="0.2">
      <c r="A1427" s="19">
        <v>1422</v>
      </c>
      <c r="B1427" s="19">
        <f t="shared" si="374"/>
        <v>40</v>
      </c>
      <c r="C1427" s="19">
        <f t="shared" si="375"/>
        <v>18</v>
      </c>
      <c r="D1427" s="19">
        <f>IF($C1427&gt;p_horizon,0,IFERROR(IF(AND(INDEX(TblClusters[Cluster],$B1427)&lt;&gt;"",ISNUMBER(INDEX(TblClusters[CPU initial (vCPU)],$B1427)),ISNUMBER(INDEX(TblClusters[CPU min (vCPU)],$B1427)),OR(INDEX(TblClusters[Plateforme],$B1427)="IKS",INDEX(TblClusters[Plateforme],$B1427)="ROKS")),1,0),0))</f>
        <v>0</v>
      </c>
      <c r="E1427" s="72" t="str">
        <f t="shared" si="376"/>
        <v/>
      </c>
      <c r="F1427" s="19" t="str">
        <f>IF($D1427=1,INDEX(TblClusters[Cluster],$B1427),"")</f>
        <v/>
      </c>
      <c r="G1427" s="19" t="str">
        <f>IF($D1427=1,INDEX(TblClusters[Plateforme],$B1427),"")</f>
        <v/>
      </c>
      <c r="H1427" s="19" t="str">
        <f>IF($D1427=1,INDEX(TblClusters[vCPU par nœud],$B1427),"")</f>
        <v/>
      </c>
      <c r="I1427" s="19" t="str">
        <f>IF($D1427=1,INDEX(TblClusters[RAM par nœud (Go)],$B1427),"")</f>
        <v/>
      </c>
      <c r="J1427" s="19" t="str">
        <f>IF($D1427=1,INDEX(TblClusters[Workers min],$B1427),"")</f>
        <v/>
      </c>
      <c r="K1427" s="73" t="str">
        <f>IF($D1427=1,INDEX(TblClusters[Tarif par nœud],$B1427),"")</f>
        <v/>
      </c>
      <c r="L1427" s="19" t="str">
        <f>IF($D1427=1,INDEX(TblClusters[CPU initial (vCPU)],$B1427),"")</f>
        <v/>
      </c>
      <c r="M1427" s="19" t="str">
        <f>IF($D1427=1,INDEX(TblClusters[RAM initiale (Go)],$B1427),"")</f>
        <v/>
      </c>
      <c r="N1427" s="19" t="str">
        <f>IF($D1427=1,INDEX(TblClusters[CPU min (vCPU)],$B1427),"")</f>
        <v/>
      </c>
      <c r="O1427" s="19" t="str">
        <f>IF($D1427=1,INDEX(TblClusters[RAM min (Go)],$B1427),"")</f>
        <v/>
      </c>
      <c r="P1427" s="19" t="str">
        <f>IF($D1427&lt;&gt;1,"",IF($G1427="ROKS",SUMIFS(TblApplications[Besoin ROKS CPU (vCPU)],TblApplications[Cluster ROKS cible],$F1427,TblApplications[Action],"À migrer",TblApplications[Déjà incluse ROKS],"Non",TblApplications[Mois prov (calc)],"&lt;="&amp;$E1427),SUMIFS(TblApplications[CPU IKS libérable (vCPU)],TblApplications[Cluster IKS source],$F1427,TblApplications[Mois lib (calc)],"&lt;="&amp;$E1427)))</f>
        <v/>
      </c>
      <c r="Q1427" s="19" t="str">
        <f>IF($D1427&lt;&gt;1,"",IF($G1427="ROKS",SUMIFS(TblApplications[Besoin ROKS RAM (Go)],TblApplications[Cluster ROKS cible],$F1427,TblApplications[Action],"À migrer",TblApplications[Déjà incluse ROKS],"Non",TblApplications[Mois prov (calc)],"&lt;="&amp;$E1427),SUMIFS(TblApplications[RAM IKS libérable (Go)],TblApplications[Cluster IKS source],$F1427,TblApplications[Mois lib (calc)],"&lt;="&amp;$E1427)))</f>
        <v/>
      </c>
      <c r="R1427" s="19" t="str">
        <f t="shared" si="377"/>
        <v/>
      </c>
      <c r="S1427" s="19" t="str">
        <f t="shared" si="378"/>
        <v/>
      </c>
      <c r="T1427" s="19" t="str">
        <f t="shared" si="379"/>
        <v/>
      </c>
      <c r="U1427" s="19" t="str">
        <f t="shared" si="380"/>
        <v/>
      </c>
      <c r="V1427" s="19" t="str">
        <f t="shared" si="381"/>
        <v/>
      </c>
      <c r="W1427" s="73" t="str">
        <f t="shared" si="382"/>
        <v/>
      </c>
      <c r="X1427" s="19" t="str">
        <f>IF($D1427&lt;&gt;1,"",IF($G1427="ROKS",$R1427,IF($AI1427=1,0,MAX($N1427,$L1427-SUMIFS(TblApplications[CPU IKS libérable (vCPU)],TblApplications[Cluster IKS source],$F1427,TblApplications[Action],"À migrer",TblApplications[Mois prov (calc)],"&lt;="&amp;$E1427)-SUMIFS(TblApplications[CPU IKS libérable (vCPU)],TblApplications[Cluster IKS source],$F1427,TblApplications[Action],"À décommissionner",TblApplications[Mois lib (calc)],"&lt;="&amp;$E1427)))))</f>
        <v/>
      </c>
      <c r="Y1427" s="19" t="str">
        <f>IF($D1427&lt;&gt;1,"",IF($G1427="ROKS",$S1427,IF($AI1427=1,0,MAX($O1427,$M1427-SUMIFS(TblApplications[RAM IKS libérable (Go)],TblApplications[Cluster IKS source],$F1427,TblApplications[Action],"À migrer",TblApplications[Mois prov (calc)],"&lt;="&amp;$E1427)-SUMIFS(TblApplications[RAM IKS libérable (Go)],TblApplications[Cluster IKS source],$F1427,TblApplications[Action],"À décommissionner",TblApplications[Mois lib (calc)],"&lt;="&amp;$E1427)))))</f>
        <v/>
      </c>
      <c r="Z1427" s="19" t="str">
        <f t="shared" si="383"/>
        <v/>
      </c>
      <c r="AA1427" s="73" t="str">
        <f t="shared" si="384"/>
        <v/>
      </c>
      <c r="AB1427" s="19" t="str">
        <f t="shared" si="385"/>
        <v/>
      </c>
      <c r="AC1427" s="73" t="str">
        <f t="shared" si="386"/>
        <v/>
      </c>
      <c r="AD1427" s="19" t="str">
        <f t="shared" si="387"/>
        <v/>
      </c>
      <c r="AE1427" s="19" t="str">
        <f t="shared" si="388"/>
        <v/>
      </c>
      <c r="AF1427" s="19" t="str">
        <f>IF($D1427&lt;&gt;1,"",IF(INDEX(TblClusters[Environnement],$B1427)="","(vide)",INDEX(TblClusters[Environnement],$B1427)))</f>
        <v/>
      </c>
      <c r="AG1427" s="19" t="str">
        <f t="shared" si="389"/>
        <v/>
      </c>
      <c r="AH1427" s="19" t="str">
        <f t="shared" si="390"/>
        <v/>
      </c>
      <c r="AI1427" s="19" t="str">
        <f>IF($D1427&lt;&gt;1,"",IF(AND($G1427="IKS",ISNUMBER(INDEX(TblClusters[Fermeture retenue],$B1427))),IF($E1427&gt;=INDEX(TblClusters[Fermeture retenue],$B1427),1,0),0))</f>
        <v/>
      </c>
    </row>
    <row r="1428" spans="1:35" x14ac:dyDescent="0.2">
      <c r="A1428" s="19">
        <v>1423</v>
      </c>
      <c r="B1428" s="19">
        <f t="shared" si="374"/>
        <v>40</v>
      </c>
      <c r="C1428" s="19">
        <f t="shared" si="375"/>
        <v>19</v>
      </c>
      <c r="D1428" s="19">
        <f>IF($C1428&gt;p_horizon,0,IFERROR(IF(AND(INDEX(TblClusters[Cluster],$B1428)&lt;&gt;"",ISNUMBER(INDEX(TblClusters[CPU initial (vCPU)],$B1428)),ISNUMBER(INDEX(TblClusters[CPU min (vCPU)],$B1428)),OR(INDEX(TblClusters[Plateforme],$B1428)="IKS",INDEX(TblClusters[Plateforme],$B1428)="ROKS")),1,0),0))</f>
        <v>0</v>
      </c>
      <c r="E1428" s="72" t="str">
        <f t="shared" si="376"/>
        <v/>
      </c>
      <c r="F1428" s="19" t="str">
        <f>IF($D1428=1,INDEX(TblClusters[Cluster],$B1428),"")</f>
        <v/>
      </c>
      <c r="G1428" s="19" t="str">
        <f>IF($D1428=1,INDEX(TblClusters[Plateforme],$B1428),"")</f>
        <v/>
      </c>
      <c r="H1428" s="19" t="str">
        <f>IF($D1428=1,INDEX(TblClusters[vCPU par nœud],$B1428),"")</f>
        <v/>
      </c>
      <c r="I1428" s="19" t="str">
        <f>IF($D1428=1,INDEX(TblClusters[RAM par nœud (Go)],$B1428),"")</f>
        <v/>
      </c>
      <c r="J1428" s="19" t="str">
        <f>IF($D1428=1,INDEX(TblClusters[Workers min],$B1428),"")</f>
        <v/>
      </c>
      <c r="K1428" s="73" t="str">
        <f>IF($D1428=1,INDEX(TblClusters[Tarif par nœud],$B1428),"")</f>
        <v/>
      </c>
      <c r="L1428" s="19" t="str">
        <f>IF($D1428=1,INDEX(TblClusters[CPU initial (vCPU)],$B1428),"")</f>
        <v/>
      </c>
      <c r="M1428" s="19" t="str">
        <f>IF($D1428=1,INDEX(TblClusters[RAM initiale (Go)],$B1428),"")</f>
        <v/>
      </c>
      <c r="N1428" s="19" t="str">
        <f>IF($D1428=1,INDEX(TblClusters[CPU min (vCPU)],$B1428),"")</f>
        <v/>
      </c>
      <c r="O1428" s="19" t="str">
        <f>IF($D1428=1,INDEX(TblClusters[RAM min (Go)],$B1428),"")</f>
        <v/>
      </c>
      <c r="P1428" s="19" t="str">
        <f>IF($D1428&lt;&gt;1,"",IF($G1428="ROKS",SUMIFS(TblApplications[Besoin ROKS CPU (vCPU)],TblApplications[Cluster ROKS cible],$F1428,TblApplications[Action],"À migrer",TblApplications[Déjà incluse ROKS],"Non",TblApplications[Mois prov (calc)],"&lt;="&amp;$E1428),SUMIFS(TblApplications[CPU IKS libérable (vCPU)],TblApplications[Cluster IKS source],$F1428,TblApplications[Mois lib (calc)],"&lt;="&amp;$E1428)))</f>
        <v/>
      </c>
      <c r="Q1428" s="19" t="str">
        <f>IF($D1428&lt;&gt;1,"",IF($G1428="ROKS",SUMIFS(TblApplications[Besoin ROKS RAM (Go)],TblApplications[Cluster ROKS cible],$F1428,TblApplications[Action],"À migrer",TblApplications[Déjà incluse ROKS],"Non",TblApplications[Mois prov (calc)],"&lt;="&amp;$E1428),SUMIFS(TblApplications[RAM IKS libérable (Go)],TblApplications[Cluster IKS source],$F1428,TblApplications[Mois lib (calc)],"&lt;="&amp;$E1428)))</f>
        <v/>
      </c>
      <c r="R1428" s="19" t="str">
        <f t="shared" si="377"/>
        <v/>
      </c>
      <c r="S1428" s="19" t="str">
        <f t="shared" si="378"/>
        <v/>
      </c>
      <c r="T1428" s="19" t="str">
        <f t="shared" si="379"/>
        <v/>
      </c>
      <c r="U1428" s="19" t="str">
        <f t="shared" si="380"/>
        <v/>
      </c>
      <c r="V1428" s="19" t="str">
        <f t="shared" si="381"/>
        <v/>
      </c>
      <c r="W1428" s="73" t="str">
        <f t="shared" si="382"/>
        <v/>
      </c>
      <c r="X1428" s="19" t="str">
        <f>IF($D1428&lt;&gt;1,"",IF($G1428="ROKS",$R1428,IF($AI1428=1,0,MAX($N1428,$L1428-SUMIFS(TblApplications[CPU IKS libérable (vCPU)],TblApplications[Cluster IKS source],$F1428,TblApplications[Action],"À migrer",TblApplications[Mois prov (calc)],"&lt;="&amp;$E1428)-SUMIFS(TblApplications[CPU IKS libérable (vCPU)],TblApplications[Cluster IKS source],$F1428,TblApplications[Action],"À décommissionner",TblApplications[Mois lib (calc)],"&lt;="&amp;$E1428)))))</f>
        <v/>
      </c>
      <c r="Y1428" s="19" t="str">
        <f>IF($D1428&lt;&gt;1,"",IF($G1428="ROKS",$S1428,IF($AI1428=1,0,MAX($O1428,$M1428-SUMIFS(TblApplications[RAM IKS libérable (Go)],TblApplications[Cluster IKS source],$F1428,TblApplications[Action],"À migrer",TblApplications[Mois prov (calc)],"&lt;="&amp;$E1428)-SUMIFS(TblApplications[RAM IKS libérable (Go)],TblApplications[Cluster IKS source],$F1428,TblApplications[Action],"À décommissionner",TblApplications[Mois lib (calc)],"&lt;="&amp;$E1428)))))</f>
        <v/>
      </c>
      <c r="Z1428" s="19" t="str">
        <f t="shared" si="383"/>
        <v/>
      </c>
      <c r="AA1428" s="73" t="str">
        <f t="shared" si="384"/>
        <v/>
      </c>
      <c r="AB1428" s="19" t="str">
        <f t="shared" si="385"/>
        <v/>
      </c>
      <c r="AC1428" s="73" t="str">
        <f t="shared" si="386"/>
        <v/>
      </c>
      <c r="AD1428" s="19" t="str">
        <f t="shared" si="387"/>
        <v/>
      </c>
      <c r="AE1428" s="19" t="str">
        <f t="shared" si="388"/>
        <v/>
      </c>
      <c r="AF1428" s="19" t="str">
        <f>IF($D1428&lt;&gt;1,"",IF(INDEX(TblClusters[Environnement],$B1428)="","(vide)",INDEX(TblClusters[Environnement],$B1428)))</f>
        <v/>
      </c>
      <c r="AG1428" s="19" t="str">
        <f t="shared" si="389"/>
        <v/>
      </c>
      <c r="AH1428" s="19" t="str">
        <f t="shared" si="390"/>
        <v/>
      </c>
      <c r="AI1428" s="19" t="str">
        <f>IF($D1428&lt;&gt;1,"",IF(AND($G1428="IKS",ISNUMBER(INDEX(TblClusters[Fermeture retenue],$B1428))),IF($E1428&gt;=INDEX(TblClusters[Fermeture retenue],$B1428),1,0),0))</f>
        <v/>
      </c>
    </row>
    <row r="1429" spans="1:35" x14ac:dyDescent="0.2">
      <c r="A1429" s="19">
        <v>1424</v>
      </c>
      <c r="B1429" s="19">
        <f t="shared" si="374"/>
        <v>40</v>
      </c>
      <c r="C1429" s="19">
        <f t="shared" si="375"/>
        <v>20</v>
      </c>
      <c r="D1429" s="19">
        <f>IF($C1429&gt;p_horizon,0,IFERROR(IF(AND(INDEX(TblClusters[Cluster],$B1429)&lt;&gt;"",ISNUMBER(INDEX(TblClusters[CPU initial (vCPU)],$B1429)),ISNUMBER(INDEX(TblClusters[CPU min (vCPU)],$B1429)),OR(INDEX(TblClusters[Plateforme],$B1429)="IKS",INDEX(TblClusters[Plateforme],$B1429)="ROKS")),1,0),0))</f>
        <v>0</v>
      </c>
      <c r="E1429" s="72" t="str">
        <f t="shared" si="376"/>
        <v/>
      </c>
      <c r="F1429" s="19" t="str">
        <f>IF($D1429=1,INDEX(TblClusters[Cluster],$B1429),"")</f>
        <v/>
      </c>
      <c r="G1429" s="19" t="str">
        <f>IF($D1429=1,INDEX(TblClusters[Plateforme],$B1429),"")</f>
        <v/>
      </c>
      <c r="H1429" s="19" t="str">
        <f>IF($D1429=1,INDEX(TblClusters[vCPU par nœud],$B1429),"")</f>
        <v/>
      </c>
      <c r="I1429" s="19" t="str">
        <f>IF($D1429=1,INDEX(TblClusters[RAM par nœud (Go)],$B1429),"")</f>
        <v/>
      </c>
      <c r="J1429" s="19" t="str">
        <f>IF($D1429=1,INDEX(TblClusters[Workers min],$B1429),"")</f>
        <v/>
      </c>
      <c r="K1429" s="73" t="str">
        <f>IF($D1429=1,INDEX(TblClusters[Tarif par nœud],$B1429),"")</f>
        <v/>
      </c>
      <c r="L1429" s="19" t="str">
        <f>IF($D1429=1,INDEX(TblClusters[CPU initial (vCPU)],$B1429),"")</f>
        <v/>
      </c>
      <c r="M1429" s="19" t="str">
        <f>IF($D1429=1,INDEX(TblClusters[RAM initiale (Go)],$B1429),"")</f>
        <v/>
      </c>
      <c r="N1429" s="19" t="str">
        <f>IF($D1429=1,INDEX(TblClusters[CPU min (vCPU)],$B1429),"")</f>
        <v/>
      </c>
      <c r="O1429" s="19" t="str">
        <f>IF($D1429=1,INDEX(TblClusters[RAM min (Go)],$B1429),"")</f>
        <v/>
      </c>
      <c r="P1429" s="19" t="str">
        <f>IF($D1429&lt;&gt;1,"",IF($G1429="ROKS",SUMIFS(TblApplications[Besoin ROKS CPU (vCPU)],TblApplications[Cluster ROKS cible],$F1429,TblApplications[Action],"À migrer",TblApplications[Déjà incluse ROKS],"Non",TblApplications[Mois prov (calc)],"&lt;="&amp;$E1429),SUMIFS(TblApplications[CPU IKS libérable (vCPU)],TblApplications[Cluster IKS source],$F1429,TblApplications[Mois lib (calc)],"&lt;="&amp;$E1429)))</f>
        <v/>
      </c>
      <c r="Q1429" s="19" t="str">
        <f>IF($D1429&lt;&gt;1,"",IF($G1429="ROKS",SUMIFS(TblApplications[Besoin ROKS RAM (Go)],TblApplications[Cluster ROKS cible],$F1429,TblApplications[Action],"À migrer",TblApplications[Déjà incluse ROKS],"Non",TblApplications[Mois prov (calc)],"&lt;="&amp;$E1429),SUMIFS(TblApplications[RAM IKS libérable (Go)],TblApplications[Cluster IKS source],$F1429,TblApplications[Mois lib (calc)],"&lt;="&amp;$E1429)))</f>
        <v/>
      </c>
      <c r="R1429" s="19" t="str">
        <f t="shared" si="377"/>
        <v/>
      </c>
      <c r="S1429" s="19" t="str">
        <f t="shared" si="378"/>
        <v/>
      </c>
      <c r="T1429" s="19" t="str">
        <f t="shared" si="379"/>
        <v/>
      </c>
      <c r="U1429" s="19" t="str">
        <f t="shared" si="380"/>
        <v/>
      </c>
      <c r="V1429" s="19" t="str">
        <f t="shared" si="381"/>
        <v/>
      </c>
      <c r="W1429" s="73" t="str">
        <f t="shared" si="382"/>
        <v/>
      </c>
      <c r="X1429" s="19" t="str">
        <f>IF($D1429&lt;&gt;1,"",IF($G1429="ROKS",$R1429,IF($AI1429=1,0,MAX($N1429,$L1429-SUMIFS(TblApplications[CPU IKS libérable (vCPU)],TblApplications[Cluster IKS source],$F1429,TblApplications[Action],"À migrer",TblApplications[Mois prov (calc)],"&lt;="&amp;$E1429)-SUMIFS(TblApplications[CPU IKS libérable (vCPU)],TblApplications[Cluster IKS source],$F1429,TblApplications[Action],"À décommissionner",TblApplications[Mois lib (calc)],"&lt;="&amp;$E1429)))))</f>
        <v/>
      </c>
      <c r="Y1429" s="19" t="str">
        <f>IF($D1429&lt;&gt;1,"",IF($G1429="ROKS",$S1429,IF($AI1429=1,0,MAX($O1429,$M1429-SUMIFS(TblApplications[RAM IKS libérable (Go)],TblApplications[Cluster IKS source],$F1429,TblApplications[Action],"À migrer",TblApplications[Mois prov (calc)],"&lt;="&amp;$E1429)-SUMIFS(TblApplications[RAM IKS libérable (Go)],TblApplications[Cluster IKS source],$F1429,TblApplications[Action],"À décommissionner",TblApplications[Mois lib (calc)],"&lt;="&amp;$E1429)))))</f>
        <v/>
      </c>
      <c r="Z1429" s="19" t="str">
        <f t="shared" si="383"/>
        <v/>
      </c>
      <c r="AA1429" s="73" t="str">
        <f t="shared" si="384"/>
        <v/>
      </c>
      <c r="AB1429" s="19" t="str">
        <f t="shared" si="385"/>
        <v/>
      </c>
      <c r="AC1429" s="73" t="str">
        <f t="shared" si="386"/>
        <v/>
      </c>
      <c r="AD1429" s="19" t="str">
        <f t="shared" si="387"/>
        <v/>
      </c>
      <c r="AE1429" s="19" t="str">
        <f t="shared" si="388"/>
        <v/>
      </c>
      <c r="AF1429" s="19" t="str">
        <f>IF($D1429&lt;&gt;1,"",IF(INDEX(TblClusters[Environnement],$B1429)="","(vide)",INDEX(TblClusters[Environnement],$B1429)))</f>
        <v/>
      </c>
      <c r="AG1429" s="19" t="str">
        <f t="shared" si="389"/>
        <v/>
      </c>
      <c r="AH1429" s="19" t="str">
        <f t="shared" si="390"/>
        <v/>
      </c>
      <c r="AI1429" s="19" t="str">
        <f>IF($D1429&lt;&gt;1,"",IF(AND($G1429="IKS",ISNUMBER(INDEX(TblClusters[Fermeture retenue],$B1429))),IF($E1429&gt;=INDEX(TblClusters[Fermeture retenue],$B1429),1,0),0))</f>
        <v/>
      </c>
    </row>
    <row r="1430" spans="1:35" x14ac:dyDescent="0.2">
      <c r="A1430" s="19">
        <v>1425</v>
      </c>
      <c r="B1430" s="19">
        <f t="shared" si="374"/>
        <v>40</v>
      </c>
      <c r="C1430" s="19">
        <f t="shared" si="375"/>
        <v>21</v>
      </c>
      <c r="D1430" s="19">
        <f>IF($C1430&gt;p_horizon,0,IFERROR(IF(AND(INDEX(TblClusters[Cluster],$B1430)&lt;&gt;"",ISNUMBER(INDEX(TblClusters[CPU initial (vCPU)],$B1430)),ISNUMBER(INDEX(TblClusters[CPU min (vCPU)],$B1430)),OR(INDEX(TblClusters[Plateforme],$B1430)="IKS",INDEX(TblClusters[Plateforme],$B1430)="ROKS")),1,0),0))</f>
        <v>0</v>
      </c>
      <c r="E1430" s="72" t="str">
        <f t="shared" si="376"/>
        <v/>
      </c>
      <c r="F1430" s="19" t="str">
        <f>IF($D1430=1,INDEX(TblClusters[Cluster],$B1430),"")</f>
        <v/>
      </c>
      <c r="G1430" s="19" t="str">
        <f>IF($D1430=1,INDEX(TblClusters[Plateforme],$B1430),"")</f>
        <v/>
      </c>
      <c r="H1430" s="19" t="str">
        <f>IF($D1430=1,INDEX(TblClusters[vCPU par nœud],$B1430),"")</f>
        <v/>
      </c>
      <c r="I1430" s="19" t="str">
        <f>IF($D1430=1,INDEX(TblClusters[RAM par nœud (Go)],$B1430),"")</f>
        <v/>
      </c>
      <c r="J1430" s="19" t="str">
        <f>IF($D1430=1,INDEX(TblClusters[Workers min],$B1430),"")</f>
        <v/>
      </c>
      <c r="K1430" s="73" t="str">
        <f>IF($D1430=1,INDEX(TblClusters[Tarif par nœud],$B1430),"")</f>
        <v/>
      </c>
      <c r="L1430" s="19" t="str">
        <f>IF($D1430=1,INDEX(TblClusters[CPU initial (vCPU)],$B1430),"")</f>
        <v/>
      </c>
      <c r="M1430" s="19" t="str">
        <f>IF($D1430=1,INDEX(TblClusters[RAM initiale (Go)],$B1430),"")</f>
        <v/>
      </c>
      <c r="N1430" s="19" t="str">
        <f>IF($D1430=1,INDEX(TblClusters[CPU min (vCPU)],$B1430),"")</f>
        <v/>
      </c>
      <c r="O1430" s="19" t="str">
        <f>IF($D1430=1,INDEX(TblClusters[RAM min (Go)],$B1430),"")</f>
        <v/>
      </c>
      <c r="P1430" s="19" t="str">
        <f>IF($D1430&lt;&gt;1,"",IF($G1430="ROKS",SUMIFS(TblApplications[Besoin ROKS CPU (vCPU)],TblApplications[Cluster ROKS cible],$F1430,TblApplications[Action],"À migrer",TblApplications[Déjà incluse ROKS],"Non",TblApplications[Mois prov (calc)],"&lt;="&amp;$E1430),SUMIFS(TblApplications[CPU IKS libérable (vCPU)],TblApplications[Cluster IKS source],$F1430,TblApplications[Mois lib (calc)],"&lt;="&amp;$E1430)))</f>
        <v/>
      </c>
      <c r="Q1430" s="19" t="str">
        <f>IF($D1430&lt;&gt;1,"",IF($G1430="ROKS",SUMIFS(TblApplications[Besoin ROKS RAM (Go)],TblApplications[Cluster ROKS cible],$F1430,TblApplications[Action],"À migrer",TblApplications[Déjà incluse ROKS],"Non",TblApplications[Mois prov (calc)],"&lt;="&amp;$E1430),SUMIFS(TblApplications[RAM IKS libérable (Go)],TblApplications[Cluster IKS source],$F1430,TblApplications[Mois lib (calc)],"&lt;="&amp;$E1430)))</f>
        <v/>
      </c>
      <c r="R1430" s="19" t="str">
        <f t="shared" si="377"/>
        <v/>
      </c>
      <c r="S1430" s="19" t="str">
        <f t="shared" si="378"/>
        <v/>
      </c>
      <c r="T1430" s="19" t="str">
        <f t="shared" si="379"/>
        <v/>
      </c>
      <c r="U1430" s="19" t="str">
        <f t="shared" si="380"/>
        <v/>
      </c>
      <c r="V1430" s="19" t="str">
        <f t="shared" si="381"/>
        <v/>
      </c>
      <c r="W1430" s="73" t="str">
        <f t="shared" si="382"/>
        <v/>
      </c>
      <c r="X1430" s="19" t="str">
        <f>IF($D1430&lt;&gt;1,"",IF($G1430="ROKS",$R1430,IF($AI1430=1,0,MAX($N1430,$L1430-SUMIFS(TblApplications[CPU IKS libérable (vCPU)],TblApplications[Cluster IKS source],$F1430,TblApplications[Action],"À migrer",TblApplications[Mois prov (calc)],"&lt;="&amp;$E1430)-SUMIFS(TblApplications[CPU IKS libérable (vCPU)],TblApplications[Cluster IKS source],$F1430,TblApplications[Action],"À décommissionner",TblApplications[Mois lib (calc)],"&lt;="&amp;$E1430)))))</f>
        <v/>
      </c>
      <c r="Y1430" s="19" t="str">
        <f>IF($D1430&lt;&gt;1,"",IF($G1430="ROKS",$S1430,IF($AI1430=1,0,MAX($O1430,$M1430-SUMIFS(TblApplications[RAM IKS libérable (Go)],TblApplications[Cluster IKS source],$F1430,TblApplications[Action],"À migrer",TblApplications[Mois prov (calc)],"&lt;="&amp;$E1430)-SUMIFS(TblApplications[RAM IKS libérable (Go)],TblApplications[Cluster IKS source],$F1430,TblApplications[Action],"À décommissionner",TblApplications[Mois lib (calc)],"&lt;="&amp;$E1430)))))</f>
        <v/>
      </c>
      <c r="Z1430" s="19" t="str">
        <f t="shared" si="383"/>
        <v/>
      </c>
      <c r="AA1430" s="73" t="str">
        <f t="shared" si="384"/>
        <v/>
      </c>
      <c r="AB1430" s="19" t="str">
        <f t="shared" si="385"/>
        <v/>
      </c>
      <c r="AC1430" s="73" t="str">
        <f t="shared" si="386"/>
        <v/>
      </c>
      <c r="AD1430" s="19" t="str">
        <f t="shared" si="387"/>
        <v/>
      </c>
      <c r="AE1430" s="19" t="str">
        <f t="shared" si="388"/>
        <v/>
      </c>
      <c r="AF1430" s="19" t="str">
        <f>IF($D1430&lt;&gt;1,"",IF(INDEX(TblClusters[Environnement],$B1430)="","(vide)",INDEX(TblClusters[Environnement],$B1430)))</f>
        <v/>
      </c>
      <c r="AG1430" s="19" t="str">
        <f t="shared" si="389"/>
        <v/>
      </c>
      <c r="AH1430" s="19" t="str">
        <f t="shared" si="390"/>
        <v/>
      </c>
      <c r="AI1430" s="19" t="str">
        <f>IF($D1430&lt;&gt;1,"",IF(AND($G1430="IKS",ISNUMBER(INDEX(TblClusters[Fermeture retenue],$B1430))),IF($E1430&gt;=INDEX(TblClusters[Fermeture retenue],$B1430),1,0),0))</f>
        <v/>
      </c>
    </row>
    <row r="1431" spans="1:35" x14ac:dyDescent="0.2">
      <c r="A1431" s="19">
        <v>1426</v>
      </c>
      <c r="B1431" s="19">
        <f t="shared" si="374"/>
        <v>40</v>
      </c>
      <c r="C1431" s="19">
        <f t="shared" si="375"/>
        <v>22</v>
      </c>
      <c r="D1431" s="19">
        <f>IF($C1431&gt;p_horizon,0,IFERROR(IF(AND(INDEX(TblClusters[Cluster],$B1431)&lt;&gt;"",ISNUMBER(INDEX(TblClusters[CPU initial (vCPU)],$B1431)),ISNUMBER(INDEX(TblClusters[CPU min (vCPU)],$B1431)),OR(INDEX(TblClusters[Plateforme],$B1431)="IKS",INDEX(TblClusters[Plateforme],$B1431)="ROKS")),1,0),0))</f>
        <v>0</v>
      </c>
      <c r="E1431" s="72" t="str">
        <f t="shared" si="376"/>
        <v/>
      </c>
      <c r="F1431" s="19" t="str">
        <f>IF($D1431=1,INDEX(TblClusters[Cluster],$B1431),"")</f>
        <v/>
      </c>
      <c r="G1431" s="19" t="str">
        <f>IF($D1431=1,INDEX(TblClusters[Plateforme],$B1431),"")</f>
        <v/>
      </c>
      <c r="H1431" s="19" t="str">
        <f>IF($D1431=1,INDEX(TblClusters[vCPU par nœud],$B1431),"")</f>
        <v/>
      </c>
      <c r="I1431" s="19" t="str">
        <f>IF($D1431=1,INDEX(TblClusters[RAM par nœud (Go)],$B1431),"")</f>
        <v/>
      </c>
      <c r="J1431" s="19" t="str">
        <f>IF($D1431=1,INDEX(TblClusters[Workers min],$B1431),"")</f>
        <v/>
      </c>
      <c r="K1431" s="73" t="str">
        <f>IF($D1431=1,INDEX(TblClusters[Tarif par nœud],$B1431),"")</f>
        <v/>
      </c>
      <c r="L1431" s="19" t="str">
        <f>IF($D1431=1,INDEX(TblClusters[CPU initial (vCPU)],$B1431),"")</f>
        <v/>
      </c>
      <c r="M1431" s="19" t="str">
        <f>IF($D1431=1,INDEX(TblClusters[RAM initiale (Go)],$B1431),"")</f>
        <v/>
      </c>
      <c r="N1431" s="19" t="str">
        <f>IF($D1431=1,INDEX(TblClusters[CPU min (vCPU)],$B1431),"")</f>
        <v/>
      </c>
      <c r="O1431" s="19" t="str">
        <f>IF($D1431=1,INDEX(TblClusters[RAM min (Go)],$B1431),"")</f>
        <v/>
      </c>
      <c r="P1431" s="19" t="str">
        <f>IF($D1431&lt;&gt;1,"",IF($G1431="ROKS",SUMIFS(TblApplications[Besoin ROKS CPU (vCPU)],TblApplications[Cluster ROKS cible],$F1431,TblApplications[Action],"À migrer",TblApplications[Déjà incluse ROKS],"Non",TblApplications[Mois prov (calc)],"&lt;="&amp;$E1431),SUMIFS(TblApplications[CPU IKS libérable (vCPU)],TblApplications[Cluster IKS source],$F1431,TblApplications[Mois lib (calc)],"&lt;="&amp;$E1431)))</f>
        <v/>
      </c>
      <c r="Q1431" s="19" t="str">
        <f>IF($D1431&lt;&gt;1,"",IF($G1431="ROKS",SUMIFS(TblApplications[Besoin ROKS RAM (Go)],TblApplications[Cluster ROKS cible],$F1431,TblApplications[Action],"À migrer",TblApplications[Déjà incluse ROKS],"Non",TblApplications[Mois prov (calc)],"&lt;="&amp;$E1431),SUMIFS(TblApplications[RAM IKS libérable (Go)],TblApplications[Cluster IKS source],$F1431,TblApplications[Mois lib (calc)],"&lt;="&amp;$E1431)))</f>
        <v/>
      </c>
      <c r="R1431" s="19" t="str">
        <f t="shared" si="377"/>
        <v/>
      </c>
      <c r="S1431" s="19" t="str">
        <f t="shared" si="378"/>
        <v/>
      </c>
      <c r="T1431" s="19" t="str">
        <f t="shared" si="379"/>
        <v/>
      </c>
      <c r="U1431" s="19" t="str">
        <f t="shared" si="380"/>
        <v/>
      </c>
      <c r="V1431" s="19" t="str">
        <f t="shared" si="381"/>
        <v/>
      </c>
      <c r="W1431" s="73" t="str">
        <f t="shared" si="382"/>
        <v/>
      </c>
      <c r="X1431" s="19" t="str">
        <f>IF($D1431&lt;&gt;1,"",IF($G1431="ROKS",$R1431,IF($AI1431=1,0,MAX($N1431,$L1431-SUMIFS(TblApplications[CPU IKS libérable (vCPU)],TblApplications[Cluster IKS source],$F1431,TblApplications[Action],"À migrer",TblApplications[Mois prov (calc)],"&lt;="&amp;$E1431)-SUMIFS(TblApplications[CPU IKS libérable (vCPU)],TblApplications[Cluster IKS source],$F1431,TblApplications[Action],"À décommissionner",TblApplications[Mois lib (calc)],"&lt;="&amp;$E1431)))))</f>
        <v/>
      </c>
      <c r="Y1431" s="19" t="str">
        <f>IF($D1431&lt;&gt;1,"",IF($G1431="ROKS",$S1431,IF($AI1431=1,0,MAX($O1431,$M1431-SUMIFS(TblApplications[RAM IKS libérable (Go)],TblApplications[Cluster IKS source],$F1431,TblApplications[Action],"À migrer",TblApplications[Mois prov (calc)],"&lt;="&amp;$E1431)-SUMIFS(TblApplications[RAM IKS libérable (Go)],TblApplications[Cluster IKS source],$F1431,TblApplications[Action],"À décommissionner",TblApplications[Mois lib (calc)],"&lt;="&amp;$E1431)))))</f>
        <v/>
      </c>
      <c r="Z1431" s="19" t="str">
        <f t="shared" si="383"/>
        <v/>
      </c>
      <c r="AA1431" s="73" t="str">
        <f t="shared" si="384"/>
        <v/>
      </c>
      <c r="AB1431" s="19" t="str">
        <f t="shared" si="385"/>
        <v/>
      </c>
      <c r="AC1431" s="73" t="str">
        <f t="shared" si="386"/>
        <v/>
      </c>
      <c r="AD1431" s="19" t="str">
        <f t="shared" si="387"/>
        <v/>
      </c>
      <c r="AE1431" s="19" t="str">
        <f t="shared" si="388"/>
        <v/>
      </c>
      <c r="AF1431" s="19" t="str">
        <f>IF($D1431&lt;&gt;1,"",IF(INDEX(TblClusters[Environnement],$B1431)="","(vide)",INDEX(TblClusters[Environnement],$B1431)))</f>
        <v/>
      </c>
      <c r="AG1431" s="19" t="str">
        <f t="shared" si="389"/>
        <v/>
      </c>
      <c r="AH1431" s="19" t="str">
        <f t="shared" si="390"/>
        <v/>
      </c>
      <c r="AI1431" s="19" t="str">
        <f>IF($D1431&lt;&gt;1,"",IF(AND($G1431="IKS",ISNUMBER(INDEX(TblClusters[Fermeture retenue],$B1431))),IF($E1431&gt;=INDEX(TblClusters[Fermeture retenue],$B1431),1,0),0))</f>
        <v/>
      </c>
    </row>
    <row r="1432" spans="1:35" x14ac:dyDescent="0.2">
      <c r="A1432" s="19">
        <v>1427</v>
      </c>
      <c r="B1432" s="19">
        <f t="shared" si="374"/>
        <v>40</v>
      </c>
      <c r="C1432" s="19">
        <f t="shared" si="375"/>
        <v>23</v>
      </c>
      <c r="D1432" s="19">
        <f>IF($C1432&gt;p_horizon,0,IFERROR(IF(AND(INDEX(TblClusters[Cluster],$B1432)&lt;&gt;"",ISNUMBER(INDEX(TblClusters[CPU initial (vCPU)],$B1432)),ISNUMBER(INDEX(TblClusters[CPU min (vCPU)],$B1432)),OR(INDEX(TblClusters[Plateforme],$B1432)="IKS",INDEX(TblClusters[Plateforme],$B1432)="ROKS")),1,0),0))</f>
        <v>0</v>
      </c>
      <c r="E1432" s="72" t="str">
        <f t="shared" si="376"/>
        <v/>
      </c>
      <c r="F1432" s="19" t="str">
        <f>IF($D1432=1,INDEX(TblClusters[Cluster],$B1432),"")</f>
        <v/>
      </c>
      <c r="G1432" s="19" t="str">
        <f>IF($D1432=1,INDEX(TblClusters[Plateforme],$B1432),"")</f>
        <v/>
      </c>
      <c r="H1432" s="19" t="str">
        <f>IF($D1432=1,INDEX(TblClusters[vCPU par nœud],$B1432),"")</f>
        <v/>
      </c>
      <c r="I1432" s="19" t="str">
        <f>IF($D1432=1,INDEX(TblClusters[RAM par nœud (Go)],$B1432),"")</f>
        <v/>
      </c>
      <c r="J1432" s="19" t="str">
        <f>IF($D1432=1,INDEX(TblClusters[Workers min],$B1432),"")</f>
        <v/>
      </c>
      <c r="K1432" s="73" t="str">
        <f>IF($D1432=1,INDEX(TblClusters[Tarif par nœud],$B1432),"")</f>
        <v/>
      </c>
      <c r="L1432" s="19" t="str">
        <f>IF($D1432=1,INDEX(TblClusters[CPU initial (vCPU)],$B1432),"")</f>
        <v/>
      </c>
      <c r="M1432" s="19" t="str">
        <f>IF($D1432=1,INDEX(TblClusters[RAM initiale (Go)],$B1432),"")</f>
        <v/>
      </c>
      <c r="N1432" s="19" t="str">
        <f>IF($D1432=1,INDEX(TblClusters[CPU min (vCPU)],$B1432),"")</f>
        <v/>
      </c>
      <c r="O1432" s="19" t="str">
        <f>IF($D1432=1,INDEX(TblClusters[RAM min (Go)],$B1432),"")</f>
        <v/>
      </c>
      <c r="P1432" s="19" t="str">
        <f>IF($D1432&lt;&gt;1,"",IF($G1432="ROKS",SUMIFS(TblApplications[Besoin ROKS CPU (vCPU)],TblApplications[Cluster ROKS cible],$F1432,TblApplications[Action],"À migrer",TblApplications[Déjà incluse ROKS],"Non",TblApplications[Mois prov (calc)],"&lt;="&amp;$E1432),SUMIFS(TblApplications[CPU IKS libérable (vCPU)],TblApplications[Cluster IKS source],$F1432,TblApplications[Mois lib (calc)],"&lt;="&amp;$E1432)))</f>
        <v/>
      </c>
      <c r="Q1432" s="19" t="str">
        <f>IF($D1432&lt;&gt;1,"",IF($G1432="ROKS",SUMIFS(TblApplications[Besoin ROKS RAM (Go)],TblApplications[Cluster ROKS cible],$F1432,TblApplications[Action],"À migrer",TblApplications[Déjà incluse ROKS],"Non",TblApplications[Mois prov (calc)],"&lt;="&amp;$E1432),SUMIFS(TblApplications[RAM IKS libérable (Go)],TblApplications[Cluster IKS source],$F1432,TblApplications[Mois lib (calc)],"&lt;="&amp;$E1432)))</f>
        <v/>
      </c>
      <c r="R1432" s="19" t="str">
        <f t="shared" si="377"/>
        <v/>
      </c>
      <c r="S1432" s="19" t="str">
        <f t="shared" si="378"/>
        <v/>
      </c>
      <c r="T1432" s="19" t="str">
        <f t="shared" si="379"/>
        <v/>
      </c>
      <c r="U1432" s="19" t="str">
        <f t="shared" si="380"/>
        <v/>
      </c>
      <c r="V1432" s="19" t="str">
        <f t="shared" si="381"/>
        <v/>
      </c>
      <c r="W1432" s="73" t="str">
        <f t="shared" si="382"/>
        <v/>
      </c>
      <c r="X1432" s="19" t="str">
        <f>IF($D1432&lt;&gt;1,"",IF($G1432="ROKS",$R1432,IF($AI1432=1,0,MAX($N1432,$L1432-SUMIFS(TblApplications[CPU IKS libérable (vCPU)],TblApplications[Cluster IKS source],$F1432,TblApplications[Action],"À migrer",TblApplications[Mois prov (calc)],"&lt;="&amp;$E1432)-SUMIFS(TblApplications[CPU IKS libérable (vCPU)],TblApplications[Cluster IKS source],$F1432,TblApplications[Action],"À décommissionner",TblApplications[Mois lib (calc)],"&lt;="&amp;$E1432)))))</f>
        <v/>
      </c>
      <c r="Y1432" s="19" t="str">
        <f>IF($D1432&lt;&gt;1,"",IF($G1432="ROKS",$S1432,IF($AI1432=1,0,MAX($O1432,$M1432-SUMIFS(TblApplications[RAM IKS libérable (Go)],TblApplications[Cluster IKS source],$F1432,TblApplications[Action],"À migrer",TblApplications[Mois prov (calc)],"&lt;="&amp;$E1432)-SUMIFS(TblApplications[RAM IKS libérable (Go)],TblApplications[Cluster IKS source],$F1432,TblApplications[Action],"À décommissionner",TblApplications[Mois lib (calc)],"&lt;="&amp;$E1432)))))</f>
        <v/>
      </c>
      <c r="Z1432" s="19" t="str">
        <f t="shared" si="383"/>
        <v/>
      </c>
      <c r="AA1432" s="73" t="str">
        <f t="shared" si="384"/>
        <v/>
      </c>
      <c r="AB1432" s="19" t="str">
        <f t="shared" si="385"/>
        <v/>
      </c>
      <c r="AC1432" s="73" t="str">
        <f t="shared" si="386"/>
        <v/>
      </c>
      <c r="AD1432" s="19" t="str">
        <f t="shared" si="387"/>
        <v/>
      </c>
      <c r="AE1432" s="19" t="str">
        <f t="shared" si="388"/>
        <v/>
      </c>
      <c r="AF1432" s="19" t="str">
        <f>IF($D1432&lt;&gt;1,"",IF(INDEX(TblClusters[Environnement],$B1432)="","(vide)",INDEX(TblClusters[Environnement],$B1432)))</f>
        <v/>
      </c>
      <c r="AG1432" s="19" t="str">
        <f t="shared" si="389"/>
        <v/>
      </c>
      <c r="AH1432" s="19" t="str">
        <f t="shared" si="390"/>
        <v/>
      </c>
      <c r="AI1432" s="19" t="str">
        <f>IF($D1432&lt;&gt;1,"",IF(AND($G1432="IKS",ISNUMBER(INDEX(TblClusters[Fermeture retenue],$B1432))),IF($E1432&gt;=INDEX(TblClusters[Fermeture retenue],$B1432),1,0),0))</f>
        <v/>
      </c>
    </row>
    <row r="1433" spans="1:35" x14ac:dyDescent="0.2">
      <c r="A1433" s="19">
        <v>1428</v>
      </c>
      <c r="B1433" s="19">
        <f t="shared" si="374"/>
        <v>40</v>
      </c>
      <c r="C1433" s="19">
        <f t="shared" si="375"/>
        <v>24</v>
      </c>
      <c r="D1433" s="19">
        <f>IF($C1433&gt;p_horizon,0,IFERROR(IF(AND(INDEX(TblClusters[Cluster],$B1433)&lt;&gt;"",ISNUMBER(INDEX(TblClusters[CPU initial (vCPU)],$B1433)),ISNUMBER(INDEX(TblClusters[CPU min (vCPU)],$B1433)),OR(INDEX(TblClusters[Plateforme],$B1433)="IKS",INDEX(TblClusters[Plateforme],$B1433)="ROKS")),1,0),0))</f>
        <v>0</v>
      </c>
      <c r="E1433" s="72" t="str">
        <f t="shared" si="376"/>
        <v/>
      </c>
      <c r="F1433" s="19" t="str">
        <f>IF($D1433=1,INDEX(TblClusters[Cluster],$B1433),"")</f>
        <v/>
      </c>
      <c r="G1433" s="19" t="str">
        <f>IF($D1433=1,INDEX(TblClusters[Plateforme],$B1433),"")</f>
        <v/>
      </c>
      <c r="H1433" s="19" t="str">
        <f>IF($D1433=1,INDEX(TblClusters[vCPU par nœud],$B1433),"")</f>
        <v/>
      </c>
      <c r="I1433" s="19" t="str">
        <f>IF($D1433=1,INDEX(TblClusters[RAM par nœud (Go)],$B1433),"")</f>
        <v/>
      </c>
      <c r="J1433" s="19" t="str">
        <f>IF($D1433=1,INDEX(TblClusters[Workers min],$B1433),"")</f>
        <v/>
      </c>
      <c r="K1433" s="73" t="str">
        <f>IF($D1433=1,INDEX(TblClusters[Tarif par nœud],$B1433),"")</f>
        <v/>
      </c>
      <c r="L1433" s="19" t="str">
        <f>IF($D1433=1,INDEX(TblClusters[CPU initial (vCPU)],$B1433),"")</f>
        <v/>
      </c>
      <c r="M1433" s="19" t="str">
        <f>IF($D1433=1,INDEX(TblClusters[RAM initiale (Go)],$B1433),"")</f>
        <v/>
      </c>
      <c r="N1433" s="19" t="str">
        <f>IF($D1433=1,INDEX(TblClusters[CPU min (vCPU)],$B1433),"")</f>
        <v/>
      </c>
      <c r="O1433" s="19" t="str">
        <f>IF($D1433=1,INDEX(TblClusters[RAM min (Go)],$B1433),"")</f>
        <v/>
      </c>
      <c r="P1433" s="19" t="str">
        <f>IF($D1433&lt;&gt;1,"",IF($G1433="ROKS",SUMIFS(TblApplications[Besoin ROKS CPU (vCPU)],TblApplications[Cluster ROKS cible],$F1433,TblApplications[Action],"À migrer",TblApplications[Déjà incluse ROKS],"Non",TblApplications[Mois prov (calc)],"&lt;="&amp;$E1433),SUMIFS(TblApplications[CPU IKS libérable (vCPU)],TblApplications[Cluster IKS source],$F1433,TblApplications[Mois lib (calc)],"&lt;="&amp;$E1433)))</f>
        <v/>
      </c>
      <c r="Q1433" s="19" t="str">
        <f>IF($D1433&lt;&gt;1,"",IF($G1433="ROKS",SUMIFS(TblApplications[Besoin ROKS RAM (Go)],TblApplications[Cluster ROKS cible],$F1433,TblApplications[Action],"À migrer",TblApplications[Déjà incluse ROKS],"Non",TblApplications[Mois prov (calc)],"&lt;="&amp;$E1433),SUMIFS(TblApplications[RAM IKS libérable (Go)],TblApplications[Cluster IKS source],$F1433,TblApplications[Mois lib (calc)],"&lt;="&amp;$E1433)))</f>
        <v/>
      </c>
      <c r="R1433" s="19" t="str">
        <f t="shared" si="377"/>
        <v/>
      </c>
      <c r="S1433" s="19" t="str">
        <f t="shared" si="378"/>
        <v/>
      </c>
      <c r="T1433" s="19" t="str">
        <f t="shared" si="379"/>
        <v/>
      </c>
      <c r="U1433" s="19" t="str">
        <f t="shared" si="380"/>
        <v/>
      </c>
      <c r="V1433" s="19" t="str">
        <f t="shared" si="381"/>
        <v/>
      </c>
      <c r="W1433" s="73" t="str">
        <f t="shared" si="382"/>
        <v/>
      </c>
      <c r="X1433" s="19" t="str">
        <f>IF($D1433&lt;&gt;1,"",IF($G1433="ROKS",$R1433,IF($AI1433=1,0,MAX($N1433,$L1433-SUMIFS(TblApplications[CPU IKS libérable (vCPU)],TblApplications[Cluster IKS source],$F1433,TblApplications[Action],"À migrer",TblApplications[Mois prov (calc)],"&lt;="&amp;$E1433)-SUMIFS(TblApplications[CPU IKS libérable (vCPU)],TblApplications[Cluster IKS source],$F1433,TblApplications[Action],"À décommissionner",TblApplications[Mois lib (calc)],"&lt;="&amp;$E1433)))))</f>
        <v/>
      </c>
      <c r="Y1433" s="19" t="str">
        <f>IF($D1433&lt;&gt;1,"",IF($G1433="ROKS",$S1433,IF($AI1433=1,0,MAX($O1433,$M1433-SUMIFS(TblApplications[RAM IKS libérable (Go)],TblApplications[Cluster IKS source],$F1433,TblApplications[Action],"À migrer",TblApplications[Mois prov (calc)],"&lt;="&amp;$E1433)-SUMIFS(TblApplications[RAM IKS libérable (Go)],TblApplications[Cluster IKS source],$F1433,TblApplications[Action],"À décommissionner",TblApplications[Mois lib (calc)],"&lt;="&amp;$E1433)))))</f>
        <v/>
      </c>
      <c r="Z1433" s="19" t="str">
        <f t="shared" si="383"/>
        <v/>
      </c>
      <c r="AA1433" s="73" t="str">
        <f t="shared" si="384"/>
        <v/>
      </c>
      <c r="AB1433" s="19" t="str">
        <f t="shared" si="385"/>
        <v/>
      </c>
      <c r="AC1433" s="73" t="str">
        <f t="shared" si="386"/>
        <v/>
      </c>
      <c r="AD1433" s="19" t="str">
        <f t="shared" si="387"/>
        <v/>
      </c>
      <c r="AE1433" s="19" t="str">
        <f t="shared" si="388"/>
        <v/>
      </c>
      <c r="AF1433" s="19" t="str">
        <f>IF($D1433&lt;&gt;1,"",IF(INDEX(TblClusters[Environnement],$B1433)="","(vide)",INDEX(TblClusters[Environnement],$B1433)))</f>
        <v/>
      </c>
      <c r="AG1433" s="19" t="str">
        <f t="shared" si="389"/>
        <v/>
      </c>
      <c r="AH1433" s="19" t="str">
        <f t="shared" si="390"/>
        <v/>
      </c>
      <c r="AI1433" s="19" t="str">
        <f>IF($D1433&lt;&gt;1,"",IF(AND($G1433="IKS",ISNUMBER(INDEX(TblClusters[Fermeture retenue],$B1433))),IF($E1433&gt;=INDEX(TblClusters[Fermeture retenue],$B1433),1,0),0))</f>
        <v/>
      </c>
    </row>
    <row r="1434" spans="1:35" x14ac:dyDescent="0.2">
      <c r="A1434" s="19">
        <v>1429</v>
      </c>
      <c r="B1434" s="19">
        <f t="shared" si="374"/>
        <v>40</v>
      </c>
      <c r="C1434" s="19">
        <f t="shared" si="375"/>
        <v>25</v>
      </c>
      <c r="D1434" s="19">
        <f>IF($C1434&gt;p_horizon,0,IFERROR(IF(AND(INDEX(TblClusters[Cluster],$B1434)&lt;&gt;"",ISNUMBER(INDEX(TblClusters[CPU initial (vCPU)],$B1434)),ISNUMBER(INDEX(TblClusters[CPU min (vCPU)],$B1434)),OR(INDEX(TblClusters[Plateforme],$B1434)="IKS",INDEX(TblClusters[Plateforme],$B1434)="ROKS")),1,0),0))</f>
        <v>0</v>
      </c>
      <c r="E1434" s="72" t="str">
        <f t="shared" si="376"/>
        <v/>
      </c>
      <c r="F1434" s="19" t="str">
        <f>IF($D1434=1,INDEX(TblClusters[Cluster],$B1434),"")</f>
        <v/>
      </c>
      <c r="G1434" s="19" t="str">
        <f>IF($D1434=1,INDEX(TblClusters[Plateforme],$B1434),"")</f>
        <v/>
      </c>
      <c r="H1434" s="19" t="str">
        <f>IF($D1434=1,INDEX(TblClusters[vCPU par nœud],$B1434),"")</f>
        <v/>
      </c>
      <c r="I1434" s="19" t="str">
        <f>IF($D1434=1,INDEX(TblClusters[RAM par nœud (Go)],$B1434),"")</f>
        <v/>
      </c>
      <c r="J1434" s="19" t="str">
        <f>IF($D1434=1,INDEX(TblClusters[Workers min],$B1434),"")</f>
        <v/>
      </c>
      <c r="K1434" s="73" t="str">
        <f>IF($D1434=1,INDEX(TblClusters[Tarif par nœud],$B1434),"")</f>
        <v/>
      </c>
      <c r="L1434" s="19" t="str">
        <f>IF($D1434=1,INDEX(TblClusters[CPU initial (vCPU)],$B1434),"")</f>
        <v/>
      </c>
      <c r="M1434" s="19" t="str">
        <f>IF($D1434=1,INDEX(TblClusters[RAM initiale (Go)],$B1434),"")</f>
        <v/>
      </c>
      <c r="N1434" s="19" t="str">
        <f>IF($D1434=1,INDEX(TblClusters[CPU min (vCPU)],$B1434),"")</f>
        <v/>
      </c>
      <c r="O1434" s="19" t="str">
        <f>IF($D1434=1,INDEX(TblClusters[RAM min (Go)],$B1434),"")</f>
        <v/>
      </c>
      <c r="P1434" s="19" t="str">
        <f>IF($D1434&lt;&gt;1,"",IF($G1434="ROKS",SUMIFS(TblApplications[Besoin ROKS CPU (vCPU)],TblApplications[Cluster ROKS cible],$F1434,TblApplications[Action],"À migrer",TblApplications[Déjà incluse ROKS],"Non",TblApplications[Mois prov (calc)],"&lt;="&amp;$E1434),SUMIFS(TblApplications[CPU IKS libérable (vCPU)],TblApplications[Cluster IKS source],$F1434,TblApplications[Mois lib (calc)],"&lt;="&amp;$E1434)))</f>
        <v/>
      </c>
      <c r="Q1434" s="19" t="str">
        <f>IF($D1434&lt;&gt;1,"",IF($G1434="ROKS",SUMIFS(TblApplications[Besoin ROKS RAM (Go)],TblApplications[Cluster ROKS cible],$F1434,TblApplications[Action],"À migrer",TblApplications[Déjà incluse ROKS],"Non",TblApplications[Mois prov (calc)],"&lt;="&amp;$E1434),SUMIFS(TblApplications[RAM IKS libérable (Go)],TblApplications[Cluster IKS source],$F1434,TblApplications[Mois lib (calc)],"&lt;="&amp;$E1434)))</f>
        <v/>
      </c>
      <c r="R1434" s="19" t="str">
        <f t="shared" si="377"/>
        <v/>
      </c>
      <c r="S1434" s="19" t="str">
        <f t="shared" si="378"/>
        <v/>
      </c>
      <c r="T1434" s="19" t="str">
        <f t="shared" si="379"/>
        <v/>
      </c>
      <c r="U1434" s="19" t="str">
        <f t="shared" si="380"/>
        <v/>
      </c>
      <c r="V1434" s="19" t="str">
        <f t="shared" si="381"/>
        <v/>
      </c>
      <c r="W1434" s="73" t="str">
        <f t="shared" si="382"/>
        <v/>
      </c>
      <c r="X1434" s="19" t="str">
        <f>IF($D1434&lt;&gt;1,"",IF($G1434="ROKS",$R1434,IF($AI1434=1,0,MAX($N1434,$L1434-SUMIFS(TblApplications[CPU IKS libérable (vCPU)],TblApplications[Cluster IKS source],$F1434,TblApplications[Action],"À migrer",TblApplications[Mois prov (calc)],"&lt;="&amp;$E1434)-SUMIFS(TblApplications[CPU IKS libérable (vCPU)],TblApplications[Cluster IKS source],$F1434,TblApplications[Action],"À décommissionner",TblApplications[Mois lib (calc)],"&lt;="&amp;$E1434)))))</f>
        <v/>
      </c>
      <c r="Y1434" s="19" t="str">
        <f>IF($D1434&lt;&gt;1,"",IF($G1434="ROKS",$S1434,IF($AI1434=1,0,MAX($O1434,$M1434-SUMIFS(TblApplications[RAM IKS libérable (Go)],TblApplications[Cluster IKS source],$F1434,TblApplications[Action],"À migrer",TblApplications[Mois prov (calc)],"&lt;="&amp;$E1434)-SUMIFS(TblApplications[RAM IKS libérable (Go)],TblApplications[Cluster IKS source],$F1434,TblApplications[Action],"À décommissionner",TblApplications[Mois lib (calc)],"&lt;="&amp;$E1434)))))</f>
        <v/>
      </c>
      <c r="Z1434" s="19" t="str">
        <f t="shared" si="383"/>
        <v/>
      </c>
      <c r="AA1434" s="73" t="str">
        <f t="shared" si="384"/>
        <v/>
      </c>
      <c r="AB1434" s="19" t="str">
        <f t="shared" si="385"/>
        <v/>
      </c>
      <c r="AC1434" s="73" t="str">
        <f t="shared" si="386"/>
        <v/>
      </c>
      <c r="AD1434" s="19" t="str">
        <f t="shared" si="387"/>
        <v/>
      </c>
      <c r="AE1434" s="19" t="str">
        <f t="shared" si="388"/>
        <v/>
      </c>
      <c r="AF1434" s="19" t="str">
        <f>IF($D1434&lt;&gt;1,"",IF(INDEX(TblClusters[Environnement],$B1434)="","(vide)",INDEX(TblClusters[Environnement],$B1434)))</f>
        <v/>
      </c>
      <c r="AG1434" s="19" t="str">
        <f t="shared" si="389"/>
        <v/>
      </c>
      <c r="AH1434" s="19" t="str">
        <f t="shared" si="390"/>
        <v/>
      </c>
      <c r="AI1434" s="19" t="str">
        <f>IF($D1434&lt;&gt;1,"",IF(AND($G1434="IKS",ISNUMBER(INDEX(TblClusters[Fermeture retenue],$B1434))),IF($E1434&gt;=INDEX(TblClusters[Fermeture retenue],$B1434),1,0),0))</f>
        <v/>
      </c>
    </row>
    <row r="1435" spans="1:35" x14ac:dyDescent="0.2">
      <c r="A1435" s="19">
        <v>1430</v>
      </c>
      <c r="B1435" s="19">
        <f t="shared" si="374"/>
        <v>40</v>
      </c>
      <c r="C1435" s="19">
        <f t="shared" si="375"/>
        <v>26</v>
      </c>
      <c r="D1435" s="19">
        <f>IF($C1435&gt;p_horizon,0,IFERROR(IF(AND(INDEX(TblClusters[Cluster],$B1435)&lt;&gt;"",ISNUMBER(INDEX(TblClusters[CPU initial (vCPU)],$B1435)),ISNUMBER(INDEX(TblClusters[CPU min (vCPU)],$B1435)),OR(INDEX(TblClusters[Plateforme],$B1435)="IKS",INDEX(TblClusters[Plateforme],$B1435)="ROKS")),1,0),0))</f>
        <v>0</v>
      </c>
      <c r="E1435" s="72" t="str">
        <f t="shared" si="376"/>
        <v/>
      </c>
      <c r="F1435" s="19" t="str">
        <f>IF($D1435=1,INDEX(TblClusters[Cluster],$B1435),"")</f>
        <v/>
      </c>
      <c r="G1435" s="19" t="str">
        <f>IF($D1435=1,INDEX(TblClusters[Plateforme],$B1435),"")</f>
        <v/>
      </c>
      <c r="H1435" s="19" t="str">
        <f>IF($D1435=1,INDEX(TblClusters[vCPU par nœud],$B1435),"")</f>
        <v/>
      </c>
      <c r="I1435" s="19" t="str">
        <f>IF($D1435=1,INDEX(TblClusters[RAM par nœud (Go)],$B1435),"")</f>
        <v/>
      </c>
      <c r="J1435" s="19" t="str">
        <f>IF($D1435=1,INDEX(TblClusters[Workers min],$B1435),"")</f>
        <v/>
      </c>
      <c r="K1435" s="73" t="str">
        <f>IF($D1435=1,INDEX(TblClusters[Tarif par nœud],$B1435),"")</f>
        <v/>
      </c>
      <c r="L1435" s="19" t="str">
        <f>IF($D1435=1,INDEX(TblClusters[CPU initial (vCPU)],$B1435),"")</f>
        <v/>
      </c>
      <c r="M1435" s="19" t="str">
        <f>IF($D1435=1,INDEX(TblClusters[RAM initiale (Go)],$B1435),"")</f>
        <v/>
      </c>
      <c r="N1435" s="19" t="str">
        <f>IF($D1435=1,INDEX(TblClusters[CPU min (vCPU)],$B1435),"")</f>
        <v/>
      </c>
      <c r="O1435" s="19" t="str">
        <f>IF($D1435=1,INDEX(TblClusters[RAM min (Go)],$B1435),"")</f>
        <v/>
      </c>
      <c r="P1435" s="19" t="str">
        <f>IF($D1435&lt;&gt;1,"",IF($G1435="ROKS",SUMIFS(TblApplications[Besoin ROKS CPU (vCPU)],TblApplications[Cluster ROKS cible],$F1435,TblApplications[Action],"À migrer",TblApplications[Déjà incluse ROKS],"Non",TblApplications[Mois prov (calc)],"&lt;="&amp;$E1435),SUMIFS(TblApplications[CPU IKS libérable (vCPU)],TblApplications[Cluster IKS source],$F1435,TblApplications[Mois lib (calc)],"&lt;="&amp;$E1435)))</f>
        <v/>
      </c>
      <c r="Q1435" s="19" t="str">
        <f>IF($D1435&lt;&gt;1,"",IF($G1435="ROKS",SUMIFS(TblApplications[Besoin ROKS RAM (Go)],TblApplications[Cluster ROKS cible],$F1435,TblApplications[Action],"À migrer",TblApplications[Déjà incluse ROKS],"Non",TblApplications[Mois prov (calc)],"&lt;="&amp;$E1435),SUMIFS(TblApplications[RAM IKS libérable (Go)],TblApplications[Cluster IKS source],$F1435,TblApplications[Mois lib (calc)],"&lt;="&amp;$E1435)))</f>
        <v/>
      </c>
      <c r="R1435" s="19" t="str">
        <f t="shared" si="377"/>
        <v/>
      </c>
      <c r="S1435" s="19" t="str">
        <f t="shared" si="378"/>
        <v/>
      </c>
      <c r="T1435" s="19" t="str">
        <f t="shared" si="379"/>
        <v/>
      </c>
      <c r="U1435" s="19" t="str">
        <f t="shared" si="380"/>
        <v/>
      </c>
      <c r="V1435" s="19" t="str">
        <f t="shared" si="381"/>
        <v/>
      </c>
      <c r="W1435" s="73" t="str">
        <f t="shared" si="382"/>
        <v/>
      </c>
      <c r="X1435" s="19" t="str">
        <f>IF($D1435&lt;&gt;1,"",IF($G1435="ROKS",$R1435,IF($AI1435=1,0,MAX($N1435,$L1435-SUMIFS(TblApplications[CPU IKS libérable (vCPU)],TblApplications[Cluster IKS source],$F1435,TblApplications[Action],"À migrer",TblApplications[Mois prov (calc)],"&lt;="&amp;$E1435)-SUMIFS(TblApplications[CPU IKS libérable (vCPU)],TblApplications[Cluster IKS source],$F1435,TblApplications[Action],"À décommissionner",TblApplications[Mois lib (calc)],"&lt;="&amp;$E1435)))))</f>
        <v/>
      </c>
      <c r="Y1435" s="19" t="str">
        <f>IF($D1435&lt;&gt;1,"",IF($G1435="ROKS",$S1435,IF($AI1435=1,0,MAX($O1435,$M1435-SUMIFS(TblApplications[RAM IKS libérable (Go)],TblApplications[Cluster IKS source],$F1435,TblApplications[Action],"À migrer",TblApplications[Mois prov (calc)],"&lt;="&amp;$E1435)-SUMIFS(TblApplications[RAM IKS libérable (Go)],TblApplications[Cluster IKS source],$F1435,TblApplications[Action],"À décommissionner",TblApplications[Mois lib (calc)],"&lt;="&amp;$E1435)))))</f>
        <v/>
      </c>
      <c r="Z1435" s="19" t="str">
        <f t="shared" si="383"/>
        <v/>
      </c>
      <c r="AA1435" s="73" t="str">
        <f t="shared" si="384"/>
        <v/>
      </c>
      <c r="AB1435" s="19" t="str">
        <f t="shared" si="385"/>
        <v/>
      </c>
      <c r="AC1435" s="73" t="str">
        <f t="shared" si="386"/>
        <v/>
      </c>
      <c r="AD1435" s="19" t="str">
        <f t="shared" si="387"/>
        <v/>
      </c>
      <c r="AE1435" s="19" t="str">
        <f t="shared" si="388"/>
        <v/>
      </c>
      <c r="AF1435" s="19" t="str">
        <f>IF($D1435&lt;&gt;1,"",IF(INDEX(TblClusters[Environnement],$B1435)="","(vide)",INDEX(TblClusters[Environnement],$B1435)))</f>
        <v/>
      </c>
      <c r="AG1435" s="19" t="str">
        <f t="shared" si="389"/>
        <v/>
      </c>
      <c r="AH1435" s="19" t="str">
        <f t="shared" si="390"/>
        <v/>
      </c>
      <c r="AI1435" s="19" t="str">
        <f>IF($D1435&lt;&gt;1,"",IF(AND($G1435="IKS",ISNUMBER(INDEX(TblClusters[Fermeture retenue],$B1435))),IF($E1435&gt;=INDEX(TblClusters[Fermeture retenue],$B1435),1,0),0))</f>
        <v/>
      </c>
    </row>
    <row r="1436" spans="1:35" x14ac:dyDescent="0.2">
      <c r="A1436" s="19">
        <v>1431</v>
      </c>
      <c r="B1436" s="19">
        <f t="shared" si="374"/>
        <v>40</v>
      </c>
      <c r="C1436" s="19">
        <f t="shared" si="375"/>
        <v>27</v>
      </c>
      <c r="D1436" s="19">
        <f>IF($C1436&gt;p_horizon,0,IFERROR(IF(AND(INDEX(TblClusters[Cluster],$B1436)&lt;&gt;"",ISNUMBER(INDEX(TblClusters[CPU initial (vCPU)],$B1436)),ISNUMBER(INDEX(TblClusters[CPU min (vCPU)],$B1436)),OR(INDEX(TblClusters[Plateforme],$B1436)="IKS",INDEX(TblClusters[Plateforme],$B1436)="ROKS")),1,0),0))</f>
        <v>0</v>
      </c>
      <c r="E1436" s="72" t="str">
        <f t="shared" si="376"/>
        <v/>
      </c>
      <c r="F1436" s="19" t="str">
        <f>IF($D1436=1,INDEX(TblClusters[Cluster],$B1436),"")</f>
        <v/>
      </c>
      <c r="G1436" s="19" t="str">
        <f>IF($D1436=1,INDEX(TblClusters[Plateforme],$B1436),"")</f>
        <v/>
      </c>
      <c r="H1436" s="19" t="str">
        <f>IF($D1436=1,INDEX(TblClusters[vCPU par nœud],$B1436),"")</f>
        <v/>
      </c>
      <c r="I1436" s="19" t="str">
        <f>IF($D1436=1,INDEX(TblClusters[RAM par nœud (Go)],$B1436),"")</f>
        <v/>
      </c>
      <c r="J1436" s="19" t="str">
        <f>IF($D1436=1,INDEX(TblClusters[Workers min],$B1436),"")</f>
        <v/>
      </c>
      <c r="K1436" s="73" t="str">
        <f>IF($D1436=1,INDEX(TblClusters[Tarif par nœud],$B1436),"")</f>
        <v/>
      </c>
      <c r="L1436" s="19" t="str">
        <f>IF($D1436=1,INDEX(TblClusters[CPU initial (vCPU)],$B1436),"")</f>
        <v/>
      </c>
      <c r="M1436" s="19" t="str">
        <f>IF($D1436=1,INDEX(TblClusters[RAM initiale (Go)],$B1436),"")</f>
        <v/>
      </c>
      <c r="N1436" s="19" t="str">
        <f>IF($D1436=1,INDEX(TblClusters[CPU min (vCPU)],$B1436),"")</f>
        <v/>
      </c>
      <c r="O1436" s="19" t="str">
        <f>IF($D1436=1,INDEX(TblClusters[RAM min (Go)],$B1436),"")</f>
        <v/>
      </c>
      <c r="P1436" s="19" t="str">
        <f>IF($D1436&lt;&gt;1,"",IF($G1436="ROKS",SUMIFS(TblApplications[Besoin ROKS CPU (vCPU)],TblApplications[Cluster ROKS cible],$F1436,TblApplications[Action],"À migrer",TblApplications[Déjà incluse ROKS],"Non",TblApplications[Mois prov (calc)],"&lt;="&amp;$E1436),SUMIFS(TblApplications[CPU IKS libérable (vCPU)],TblApplications[Cluster IKS source],$F1436,TblApplications[Mois lib (calc)],"&lt;="&amp;$E1436)))</f>
        <v/>
      </c>
      <c r="Q1436" s="19" t="str">
        <f>IF($D1436&lt;&gt;1,"",IF($G1436="ROKS",SUMIFS(TblApplications[Besoin ROKS RAM (Go)],TblApplications[Cluster ROKS cible],$F1436,TblApplications[Action],"À migrer",TblApplications[Déjà incluse ROKS],"Non",TblApplications[Mois prov (calc)],"&lt;="&amp;$E1436),SUMIFS(TblApplications[RAM IKS libérable (Go)],TblApplications[Cluster IKS source],$F1436,TblApplications[Mois lib (calc)],"&lt;="&amp;$E1436)))</f>
        <v/>
      </c>
      <c r="R1436" s="19" t="str">
        <f t="shared" si="377"/>
        <v/>
      </c>
      <c r="S1436" s="19" t="str">
        <f t="shared" si="378"/>
        <v/>
      </c>
      <c r="T1436" s="19" t="str">
        <f t="shared" si="379"/>
        <v/>
      </c>
      <c r="U1436" s="19" t="str">
        <f t="shared" si="380"/>
        <v/>
      </c>
      <c r="V1436" s="19" t="str">
        <f t="shared" si="381"/>
        <v/>
      </c>
      <c r="W1436" s="73" t="str">
        <f t="shared" si="382"/>
        <v/>
      </c>
      <c r="X1436" s="19" t="str">
        <f>IF($D1436&lt;&gt;1,"",IF($G1436="ROKS",$R1436,IF($AI1436=1,0,MAX($N1436,$L1436-SUMIFS(TblApplications[CPU IKS libérable (vCPU)],TblApplications[Cluster IKS source],$F1436,TblApplications[Action],"À migrer",TblApplications[Mois prov (calc)],"&lt;="&amp;$E1436)-SUMIFS(TblApplications[CPU IKS libérable (vCPU)],TblApplications[Cluster IKS source],$F1436,TblApplications[Action],"À décommissionner",TblApplications[Mois lib (calc)],"&lt;="&amp;$E1436)))))</f>
        <v/>
      </c>
      <c r="Y1436" s="19" t="str">
        <f>IF($D1436&lt;&gt;1,"",IF($G1436="ROKS",$S1436,IF($AI1436=1,0,MAX($O1436,$M1436-SUMIFS(TblApplications[RAM IKS libérable (Go)],TblApplications[Cluster IKS source],$F1436,TblApplications[Action],"À migrer",TblApplications[Mois prov (calc)],"&lt;="&amp;$E1436)-SUMIFS(TblApplications[RAM IKS libérable (Go)],TblApplications[Cluster IKS source],$F1436,TblApplications[Action],"À décommissionner",TblApplications[Mois lib (calc)],"&lt;="&amp;$E1436)))))</f>
        <v/>
      </c>
      <c r="Z1436" s="19" t="str">
        <f t="shared" si="383"/>
        <v/>
      </c>
      <c r="AA1436" s="73" t="str">
        <f t="shared" si="384"/>
        <v/>
      </c>
      <c r="AB1436" s="19" t="str">
        <f t="shared" si="385"/>
        <v/>
      </c>
      <c r="AC1436" s="73" t="str">
        <f t="shared" si="386"/>
        <v/>
      </c>
      <c r="AD1436" s="19" t="str">
        <f t="shared" si="387"/>
        <v/>
      </c>
      <c r="AE1436" s="19" t="str">
        <f t="shared" si="388"/>
        <v/>
      </c>
      <c r="AF1436" s="19" t="str">
        <f>IF($D1436&lt;&gt;1,"",IF(INDEX(TblClusters[Environnement],$B1436)="","(vide)",INDEX(TblClusters[Environnement],$B1436)))</f>
        <v/>
      </c>
      <c r="AG1436" s="19" t="str">
        <f t="shared" si="389"/>
        <v/>
      </c>
      <c r="AH1436" s="19" t="str">
        <f t="shared" si="390"/>
        <v/>
      </c>
      <c r="AI1436" s="19" t="str">
        <f>IF($D1436&lt;&gt;1,"",IF(AND($G1436="IKS",ISNUMBER(INDEX(TblClusters[Fermeture retenue],$B1436))),IF($E1436&gt;=INDEX(TblClusters[Fermeture retenue],$B1436),1,0),0))</f>
        <v/>
      </c>
    </row>
    <row r="1437" spans="1:35" x14ac:dyDescent="0.2">
      <c r="A1437" s="19">
        <v>1432</v>
      </c>
      <c r="B1437" s="19">
        <f t="shared" si="374"/>
        <v>40</v>
      </c>
      <c r="C1437" s="19">
        <f t="shared" si="375"/>
        <v>28</v>
      </c>
      <c r="D1437" s="19">
        <f>IF($C1437&gt;p_horizon,0,IFERROR(IF(AND(INDEX(TblClusters[Cluster],$B1437)&lt;&gt;"",ISNUMBER(INDEX(TblClusters[CPU initial (vCPU)],$B1437)),ISNUMBER(INDEX(TblClusters[CPU min (vCPU)],$B1437)),OR(INDEX(TblClusters[Plateforme],$B1437)="IKS",INDEX(TblClusters[Plateforme],$B1437)="ROKS")),1,0),0))</f>
        <v>0</v>
      </c>
      <c r="E1437" s="72" t="str">
        <f t="shared" si="376"/>
        <v/>
      </c>
      <c r="F1437" s="19" t="str">
        <f>IF($D1437=1,INDEX(TblClusters[Cluster],$B1437),"")</f>
        <v/>
      </c>
      <c r="G1437" s="19" t="str">
        <f>IF($D1437=1,INDEX(TblClusters[Plateforme],$B1437),"")</f>
        <v/>
      </c>
      <c r="H1437" s="19" t="str">
        <f>IF($D1437=1,INDEX(TblClusters[vCPU par nœud],$B1437),"")</f>
        <v/>
      </c>
      <c r="I1437" s="19" t="str">
        <f>IF($D1437=1,INDEX(TblClusters[RAM par nœud (Go)],$B1437),"")</f>
        <v/>
      </c>
      <c r="J1437" s="19" t="str">
        <f>IF($D1437=1,INDEX(TblClusters[Workers min],$B1437),"")</f>
        <v/>
      </c>
      <c r="K1437" s="73" t="str">
        <f>IF($D1437=1,INDEX(TblClusters[Tarif par nœud],$B1437),"")</f>
        <v/>
      </c>
      <c r="L1437" s="19" t="str">
        <f>IF($D1437=1,INDEX(TblClusters[CPU initial (vCPU)],$B1437),"")</f>
        <v/>
      </c>
      <c r="M1437" s="19" t="str">
        <f>IF($D1437=1,INDEX(TblClusters[RAM initiale (Go)],$B1437),"")</f>
        <v/>
      </c>
      <c r="N1437" s="19" t="str">
        <f>IF($D1437=1,INDEX(TblClusters[CPU min (vCPU)],$B1437),"")</f>
        <v/>
      </c>
      <c r="O1437" s="19" t="str">
        <f>IF($D1437=1,INDEX(TblClusters[RAM min (Go)],$B1437),"")</f>
        <v/>
      </c>
      <c r="P1437" s="19" t="str">
        <f>IF($D1437&lt;&gt;1,"",IF($G1437="ROKS",SUMIFS(TblApplications[Besoin ROKS CPU (vCPU)],TblApplications[Cluster ROKS cible],$F1437,TblApplications[Action],"À migrer",TblApplications[Déjà incluse ROKS],"Non",TblApplications[Mois prov (calc)],"&lt;="&amp;$E1437),SUMIFS(TblApplications[CPU IKS libérable (vCPU)],TblApplications[Cluster IKS source],$F1437,TblApplications[Mois lib (calc)],"&lt;="&amp;$E1437)))</f>
        <v/>
      </c>
      <c r="Q1437" s="19" t="str">
        <f>IF($D1437&lt;&gt;1,"",IF($G1437="ROKS",SUMIFS(TblApplications[Besoin ROKS RAM (Go)],TblApplications[Cluster ROKS cible],$F1437,TblApplications[Action],"À migrer",TblApplications[Déjà incluse ROKS],"Non",TblApplications[Mois prov (calc)],"&lt;="&amp;$E1437),SUMIFS(TblApplications[RAM IKS libérable (Go)],TblApplications[Cluster IKS source],$F1437,TblApplications[Mois lib (calc)],"&lt;="&amp;$E1437)))</f>
        <v/>
      </c>
      <c r="R1437" s="19" t="str">
        <f t="shared" si="377"/>
        <v/>
      </c>
      <c r="S1437" s="19" t="str">
        <f t="shared" si="378"/>
        <v/>
      </c>
      <c r="T1437" s="19" t="str">
        <f t="shared" si="379"/>
        <v/>
      </c>
      <c r="U1437" s="19" t="str">
        <f t="shared" si="380"/>
        <v/>
      </c>
      <c r="V1437" s="19" t="str">
        <f t="shared" si="381"/>
        <v/>
      </c>
      <c r="W1437" s="73" t="str">
        <f t="shared" si="382"/>
        <v/>
      </c>
      <c r="X1437" s="19" t="str">
        <f>IF($D1437&lt;&gt;1,"",IF($G1437="ROKS",$R1437,IF($AI1437=1,0,MAX($N1437,$L1437-SUMIFS(TblApplications[CPU IKS libérable (vCPU)],TblApplications[Cluster IKS source],$F1437,TblApplications[Action],"À migrer",TblApplications[Mois prov (calc)],"&lt;="&amp;$E1437)-SUMIFS(TblApplications[CPU IKS libérable (vCPU)],TblApplications[Cluster IKS source],$F1437,TblApplications[Action],"À décommissionner",TblApplications[Mois lib (calc)],"&lt;="&amp;$E1437)))))</f>
        <v/>
      </c>
      <c r="Y1437" s="19" t="str">
        <f>IF($D1437&lt;&gt;1,"",IF($G1437="ROKS",$S1437,IF($AI1437=1,0,MAX($O1437,$M1437-SUMIFS(TblApplications[RAM IKS libérable (Go)],TblApplications[Cluster IKS source],$F1437,TblApplications[Action],"À migrer",TblApplications[Mois prov (calc)],"&lt;="&amp;$E1437)-SUMIFS(TblApplications[RAM IKS libérable (Go)],TblApplications[Cluster IKS source],$F1437,TblApplications[Action],"À décommissionner",TblApplications[Mois lib (calc)],"&lt;="&amp;$E1437)))))</f>
        <v/>
      </c>
      <c r="Z1437" s="19" t="str">
        <f t="shared" si="383"/>
        <v/>
      </c>
      <c r="AA1437" s="73" t="str">
        <f t="shared" si="384"/>
        <v/>
      </c>
      <c r="AB1437" s="19" t="str">
        <f t="shared" si="385"/>
        <v/>
      </c>
      <c r="AC1437" s="73" t="str">
        <f t="shared" si="386"/>
        <v/>
      </c>
      <c r="AD1437" s="19" t="str">
        <f t="shared" si="387"/>
        <v/>
      </c>
      <c r="AE1437" s="19" t="str">
        <f t="shared" si="388"/>
        <v/>
      </c>
      <c r="AF1437" s="19" t="str">
        <f>IF($D1437&lt;&gt;1,"",IF(INDEX(TblClusters[Environnement],$B1437)="","(vide)",INDEX(TblClusters[Environnement],$B1437)))</f>
        <v/>
      </c>
      <c r="AG1437" s="19" t="str">
        <f t="shared" si="389"/>
        <v/>
      </c>
      <c r="AH1437" s="19" t="str">
        <f t="shared" si="390"/>
        <v/>
      </c>
      <c r="AI1437" s="19" t="str">
        <f>IF($D1437&lt;&gt;1,"",IF(AND($G1437="IKS",ISNUMBER(INDEX(TblClusters[Fermeture retenue],$B1437))),IF($E1437&gt;=INDEX(TblClusters[Fermeture retenue],$B1437),1,0),0))</f>
        <v/>
      </c>
    </row>
    <row r="1438" spans="1:35" x14ac:dyDescent="0.2">
      <c r="A1438" s="19">
        <v>1433</v>
      </c>
      <c r="B1438" s="19">
        <f t="shared" si="374"/>
        <v>40</v>
      </c>
      <c r="C1438" s="19">
        <f t="shared" si="375"/>
        <v>29</v>
      </c>
      <c r="D1438" s="19">
        <f>IF($C1438&gt;p_horizon,0,IFERROR(IF(AND(INDEX(TblClusters[Cluster],$B1438)&lt;&gt;"",ISNUMBER(INDEX(TblClusters[CPU initial (vCPU)],$B1438)),ISNUMBER(INDEX(TblClusters[CPU min (vCPU)],$B1438)),OR(INDEX(TblClusters[Plateforme],$B1438)="IKS",INDEX(TblClusters[Plateforme],$B1438)="ROKS")),1,0),0))</f>
        <v>0</v>
      </c>
      <c r="E1438" s="72" t="str">
        <f t="shared" si="376"/>
        <v/>
      </c>
      <c r="F1438" s="19" t="str">
        <f>IF($D1438=1,INDEX(TblClusters[Cluster],$B1438),"")</f>
        <v/>
      </c>
      <c r="G1438" s="19" t="str">
        <f>IF($D1438=1,INDEX(TblClusters[Plateforme],$B1438),"")</f>
        <v/>
      </c>
      <c r="H1438" s="19" t="str">
        <f>IF($D1438=1,INDEX(TblClusters[vCPU par nœud],$B1438),"")</f>
        <v/>
      </c>
      <c r="I1438" s="19" t="str">
        <f>IF($D1438=1,INDEX(TblClusters[RAM par nœud (Go)],$B1438),"")</f>
        <v/>
      </c>
      <c r="J1438" s="19" t="str">
        <f>IF($D1438=1,INDEX(TblClusters[Workers min],$B1438),"")</f>
        <v/>
      </c>
      <c r="K1438" s="73" t="str">
        <f>IF($D1438=1,INDEX(TblClusters[Tarif par nœud],$B1438),"")</f>
        <v/>
      </c>
      <c r="L1438" s="19" t="str">
        <f>IF($D1438=1,INDEX(TblClusters[CPU initial (vCPU)],$B1438),"")</f>
        <v/>
      </c>
      <c r="M1438" s="19" t="str">
        <f>IF($D1438=1,INDEX(TblClusters[RAM initiale (Go)],$B1438),"")</f>
        <v/>
      </c>
      <c r="N1438" s="19" t="str">
        <f>IF($D1438=1,INDEX(TblClusters[CPU min (vCPU)],$B1438),"")</f>
        <v/>
      </c>
      <c r="O1438" s="19" t="str">
        <f>IF($D1438=1,INDEX(TblClusters[RAM min (Go)],$B1438),"")</f>
        <v/>
      </c>
      <c r="P1438" s="19" t="str">
        <f>IF($D1438&lt;&gt;1,"",IF($G1438="ROKS",SUMIFS(TblApplications[Besoin ROKS CPU (vCPU)],TblApplications[Cluster ROKS cible],$F1438,TblApplications[Action],"À migrer",TblApplications[Déjà incluse ROKS],"Non",TblApplications[Mois prov (calc)],"&lt;="&amp;$E1438),SUMIFS(TblApplications[CPU IKS libérable (vCPU)],TblApplications[Cluster IKS source],$F1438,TblApplications[Mois lib (calc)],"&lt;="&amp;$E1438)))</f>
        <v/>
      </c>
      <c r="Q1438" s="19" t="str">
        <f>IF($D1438&lt;&gt;1,"",IF($G1438="ROKS",SUMIFS(TblApplications[Besoin ROKS RAM (Go)],TblApplications[Cluster ROKS cible],$F1438,TblApplications[Action],"À migrer",TblApplications[Déjà incluse ROKS],"Non",TblApplications[Mois prov (calc)],"&lt;="&amp;$E1438),SUMIFS(TblApplications[RAM IKS libérable (Go)],TblApplications[Cluster IKS source],$F1438,TblApplications[Mois lib (calc)],"&lt;="&amp;$E1438)))</f>
        <v/>
      </c>
      <c r="R1438" s="19" t="str">
        <f t="shared" si="377"/>
        <v/>
      </c>
      <c r="S1438" s="19" t="str">
        <f t="shared" si="378"/>
        <v/>
      </c>
      <c r="T1438" s="19" t="str">
        <f t="shared" si="379"/>
        <v/>
      </c>
      <c r="U1438" s="19" t="str">
        <f t="shared" si="380"/>
        <v/>
      </c>
      <c r="V1438" s="19" t="str">
        <f t="shared" si="381"/>
        <v/>
      </c>
      <c r="W1438" s="73" t="str">
        <f t="shared" si="382"/>
        <v/>
      </c>
      <c r="X1438" s="19" t="str">
        <f>IF($D1438&lt;&gt;1,"",IF($G1438="ROKS",$R1438,IF($AI1438=1,0,MAX($N1438,$L1438-SUMIFS(TblApplications[CPU IKS libérable (vCPU)],TblApplications[Cluster IKS source],$F1438,TblApplications[Action],"À migrer",TblApplications[Mois prov (calc)],"&lt;="&amp;$E1438)-SUMIFS(TblApplications[CPU IKS libérable (vCPU)],TblApplications[Cluster IKS source],$F1438,TblApplications[Action],"À décommissionner",TblApplications[Mois lib (calc)],"&lt;="&amp;$E1438)))))</f>
        <v/>
      </c>
      <c r="Y1438" s="19" t="str">
        <f>IF($D1438&lt;&gt;1,"",IF($G1438="ROKS",$S1438,IF($AI1438=1,0,MAX($O1438,$M1438-SUMIFS(TblApplications[RAM IKS libérable (Go)],TblApplications[Cluster IKS source],$F1438,TblApplications[Action],"À migrer",TblApplications[Mois prov (calc)],"&lt;="&amp;$E1438)-SUMIFS(TblApplications[RAM IKS libérable (Go)],TblApplications[Cluster IKS source],$F1438,TblApplications[Action],"À décommissionner",TblApplications[Mois lib (calc)],"&lt;="&amp;$E1438)))))</f>
        <v/>
      </c>
      <c r="Z1438" s="19" t="str">
        <f t="shared" si="383"/>
        <v/>
      </c>
      <c r="AA1438" s="73" t="str">
        <f t="shared" si="384"/>
        <v/>
      </c>
      <c r="AB1438" s="19" t="str">
        <f t="shared" si="385"/>
        <v/>
      </c>
      <c r="AC1438" s="73" t="str">
        <f t="shared" si="386"/>
        <v/>
      </c>
      <c r="AD1438" s="19" t="str">
        <f t="shared" si="387"/>
        <v/>
      </c>
      <c r="AE1438" s="19" t="str">
        <f t="shared" si="388"/>
        <v/>
      </c>
      <c r="AF1438" s="19" t="str">
        <f>IF($D1438&lt;&gt;1,"",IF(INDEX(TblClusters[Environnement],$B1438)="","(vide)",INDEX(TblClusters[Environnement],$B1438)))</f>
        <v/>
      </c>
      <c r="AG1438" s="19" t="str">
        <f t="shared" si="389"/>
        <v/>
      </c>
      <c r="AH1438" s="19" t="str">
        <f t="shared" si="390"/>
        <v/>
      </c>
      <c r="AI1438" s="19" t="str">
        <f>IF($D1438&lt;&gt;1,"",IF(AND($G1438="IKS",ISNUMBER(INDEX(TblClusters[Fermeture retenue],$B1438))),IF($E1438&gt;=INDEX(TblClusters[Fermeture retenue],$B1438),1,0),0))</f>
        <v/>
      </c>
    </row>
    <row r="1439" spans="1:35" x14ac:dyDescent="0.2">
      <c r="A1439" s="19">
        <v>1434</v>
      </c>
      <c r="B1439" s="19">
        <f t="shared" si="374"/>
        <v>40</v>
      </c>
      <c r="C1439" s="19">
        <f t="shared" si="375"/>
        <v>30</v>
      </c>
      <c r="D1439" s="19">
        <f>IF($C1439&gt;p_horizon,0,IFERROR(IF(AND(INDEX(TblClusters[Cluster],$B1439)&lt;&gt;"",ISNUMBER(INDEX(TblClusters[CPU initial (vCPU)],$B1439)),ISNUMBER(INDEX(TblClusters[CPU min (vCPU)],$B1439)),OR(INDEX(TblClusters[Plateforme],$B1439)="IKS",INDEX(TblClusters[Plateforme],$B1439)="ROKS")),1,0),0))</f>
        <v>0</v>
      </c>
      <c r="E1439" s="72" t="str">
        <f t="shared" si="376"/>
        <v/>
      </c>
      <c r="F1439" s="19" t="str">
        <f>IF($D1439=1,INDEX(TblClusters[Cluster],$B1439),"")</f>
        <v/>
      </c>
      <c r="G1439" s="19" t="str">
        <f>IF($D1439=1,INDEX(TblClusters[Plateforme],$B1439),"")</f>
        <v/>
      </c>
      <c r="H1439" s="19" t="str">
        <f>IF($D1439=1,INDEX(TblClusters[vCPU par nœud],$B1439),"")</f>
        <v/>
      </c>
      <c r="I1439" s="19" t="str">
        <f>IF($D1439=1,INDEX(TblClusters[RAM par nœud (Go)],$B1439),"")</f>
        <v/>
      </c>
      <c r="J1439" s="19" t="str">
        <f>IF($D1439=1,INDEX(TblClusters[Workers min],$B1439),"")</f>
        <v/>
      </c>
      <c r="K1439" s="73" t="str">
        <f>IF($D1439=1,INDEX(TblClusters[Tarif par nœud],$B1439),"")</f>
        <v/>
      </c>
      <c r="L1439" s="19" t="str">
        <f>IF($D1439=1,INDEX(TblClusters[CPU initial (vCPU)],$B1439),"")</f>
        <v/>
      </c>
      <c r="M1439" s="19" t="str">
        <f>IF($D1439=1,INDEX(TblClusters[RAM initiale (Go)],$B1439),"")</f>
        <v/>
      </c>
      <c r="N1439" s="19" t="str">
        <f>IF($D1439=1,INDEX(TblClusters[CPU min (vCPU)],$B1439),"")</f>
        <v/>
      </c>
      <c r="O1439" s="19" t="str">
        <f>IF($D1439=1,INDEX(TblClusters[RAM min (Go)],$B1439),"")</f>
        <v/>
      </c>
      <c r="P1439" s="19" t="str">
        <f>IF($D1439&lt;&gt;1,"",IF($G1439="ROKS",SUMIFS(TblApplications[Besoin ROKS CPU (vCPU)],TblApplications[Cluster ROKS cible],$F1439,TblApplications[Action],"À migrer",TblApplications[Déjà incluse ROKS],"Non",TblApplications[Mois prov (calc)],"&lt;="&amp;$E1439),SUMIFS(TblApplications[CPU IKS libérable (vCPU)],TblApplications[Cluster IKS source],$F1439,TblApplications[Mois lib (calc)],"&lt;="&amp;$E1439)))</f>
        <v/>
      </c>
      <c r="Q1439" s="19" t="str">
        <f>IF($D1439&lt;&gt;1,"",IF($G1439="ROKS",SUMIFS(TblApplications[Besoin ROKS RAM (Go)],TblApplications[Cluster ROKS cible],$F1439,TblApplications[Action],"À migrer",TblApplications[Déjà incluse ROKS],"Non",TblApplications[Mois prov (calc)],"&lt;="&amp;$E1439),SUMIFS(TblApplications[RAM IKS libérable (Go)],TblApplications[Cluster IKS source],$F1439,TblApplications[Mois lib (calc)],"&lt;="&amp;$E1439)))</f>
        <v/>
      </c>
      <c r="R1439" s="19" t="str">
        <f t="shared" si="377"/>
        <v/>
      </c>
      <c r="S1439" s="19" t="str">
        <f t="shared" si="378"/>
        <v/>
      </c>
      <c r="T1439" s="19" t="str">
        <f t="shared" si="379"/>
        <v/>
      </c>
      <c r="U1439" s="19" t="str">
        <f t="shared" si="380"/>
        <v/>
      </c>
      <c r="V1439" s="19" t="str">
        <f t="shared" si="381"/>
        <v/>
      </c>
      <c r="W1439" s="73" t="str">
        <f t="shared" si="382"/>
        <v/>
      </c>
      <c r="X1439" s="19" t="str">
        <f>IF($D1439&lt;&gt;1,"",IF($G1439="ROKS",$R1439,IF($AI1439=1,0,MAX($N1439,$L1439-SUMIFS(TblApplications[CPU IKS libérable (vCPU)],TblApplications[Cluster IKS source],$F1439,TblApplications[Action],"À migrer",TblApplications[Mois prov (calc)],"&lt;="&amp;$E1439)-SUMIFS(TblApplications[CPU IKS libérable (vCPU)],TblApplications[Cluster IKS source],$F1439,TblApplications[Action],"À décommissionner",TblApplications[Mois lib (calc)],"&lt;="&amp;$E1439)))))</f>
        <v/>
      </c>
      <c r="Y1439" s="19" t="str">
        <f>IF($D1439&lt;&gt;1,"",IF($G1439="ROKS",$S1439,IF($AI1439=1,0,MAX($O1439,$M1439-SUMIFS(TblApplications[RAM IKS libérable (Go)],TblApplications[Cluster IKS source],$F1439,TblApplications[Action],"À migrer",TblApplications[Mois prov (calc)],"&lt;="&amp;$E1439)-SUMIFS(TblApplications[RAM IKS libérable (Go)],TblApplications[Cluster IKS source],$F1439,TblApplications[Action],"À décommissionner",TblApplications[Mois lib (calc)],"&lt;="&amp;$E1439)))))</f>
        <v/>
      </c>
      <c r="Z1439" s="19" t="str">
        <f t="shared" si="383"/>
        <v/>
      </c>
      <c r="AA1439" s="73" t="str">
        <f t="shared" si="384"/>
        <v/>
      </c>
      <c r="AB1439" s="19" t="str">
        <f t="shared" si="385"/>
        <v/>
      </c>
      <c r="AC1439" s="73" t="str">
        <f t="shared" si="386"/>
        <v/>
      </c>
      <c r="AD1439" s="19" t="str">
        <f t="shared" si="387"/>
        <v/>
      </c>
      <c r="AE1439" s="19" t="str">
        <f t="shared" si="388"/>
        <v/>
      </c>
      <c r="AF1439" s="19" t="str">
        <f>IF($D1439&lt;&gt;1,"",IF(INDEX(TblClusters[Environnement],$B1439)="","(vide)",INDEX(TblClusters[Environnement],$B1439)))</f>
        <v/>
      </c>
      <c r="AG1439" s="19" t="str">
        <f t="shared" si="389"/>
        <v/>
      </c>
      <c r="AH1439" s="19" t="str">
        <f t="shared" si="390"/>
        <v/>
      </c>
      <c r="AI1439" s="19" t="str">
        <f>IF($D1439&lt;&gt;1,"",IF(AND($G1439="IKS",ISNUMBER(INDEX(TblClusters[Fermeture retenue],$B1439))),IF($E1439&gt;=INDEX(TblClusters[Fermeture retenue],$B1439),1,0),0))</f>
        <v/>
      </c>
    </row>
    <row r="1440" spans="1:35" x14ac:dyDescent="0.2">
      <c r="A1440" s="19">
        <v>1435</v>
      </c>
      <c r="B1440" s="19">
        <f t="shared" si="374"/>
        <v>40</v>
      </c>
      <c r="C1440" s="19">
        <f t="shared" si="375"/>
        <v>31</v>
      </c>
      <c r="D1440" s="19">
        <f>IF($C1440&gt;p_horizon,0,IFERROR(IF(AND(INDEX(TblClusters[Cluster],$B1440)&lt;&gt;"",ISNUMBER(INDEX(TblClusters[CPU initial (vCPU)],$B1440)),ISNUMBER(INDEX(TblClusters[CPU min (vCPU)],$B1440)),OR(INDEX(TblClusters[Plateforme],$B1440)="IKS",INDEX(TblClusters[Plateforme],$B1440)="ROKS")),1,0),0))</f>
        <v>0</v>
      </c>
      <c r="E1440" s="72" t="str">
        <f t="shared" si="376"/>
        <v/>
      </c>
      <c r="F1440" s="19" t="str">
        <f>IF($D1440=1,INDEX(TblClusters[Cluster],$B1440),"")</f>
        <v/>
      </c>
      <c r="G1440" s="19" t="str">
        <f>IF($D1440=1,INDEX(TblClusters[Plateforme],$B1440),"")</f>
        <v/>
      </c>
      <c r="H1440" s="19" t="str">
        <f>IF($D1440=1,INDEX(TblClusters[vCPU par nœud],$B1440),"")</f>
        <v/>
      </c>
      <c r="I1440" s="19" t="str">
        <f>IF($D1440=1,INDEX(TblClusters[RAM par nœud (Go)],$B1440),"")</f>
        <v/>
      </c>
      <c r="J1440" s="19" t="str">
        <f>IF($D1440=1,INDEX(TblClusters[Workers min],$B1440),"")</f>
        <v/>
      </c>
      <c r="K1440" s="73" t="str">
        <f>IF($D1440=1,INDEX(TblClusters[Tarif par nœud],$B1440),"")</f>
        <v/>
      </c>
      <c r="L1440" s="19" t="str">
        <f>IF($D1440=1,INDEX(TblClusters[CPU initial (vCPU)],$B1440),"")</f>
        <v/>
      </c>
      <c r="M1440" s="19" t="str">
        <f>IF($D1440=1,INDEX(TblClusters[RAM initiale (Go)],$B1440),"")</f>
        <v/>
      </c>
      <c r="N1440" s="19" t="str">
        <f>IF($D1440=1,INDEX(TblClusters[CPU min (vCPU)],$B1440),"")</f>
        <v/>
      </c>
      <c r="O1440" s="19" t="str">
        <f>IF($D1440=1,INDEX(TblClusters[RAM min (Go)],$B1440),"")</f>
        <v/>
      </c>
      <c r="P1440" s="19" t="str">
        <f>IF($D1440&lt;&gt;1,"",IF($G1440="ROKS",SUMIFS(TblApplications[Besoin ROKS CPU (vCPU)],TblApplications[Cluster ROKS cible],$F1440,TblApplications[Action],"À migrer",TblApplications[Déjà incluse ROKS],"Non",TblApplications[Mois prov (calc)],"&lt;="&amp;$E1440),SUMIFS(TblApplications[CPU IKS libérable (vCPU)],TblApplications[Cluster IKS source],$F1440,TblApplications[Mois lib (calc)],"&lt;="&amp;$E1440)))</f>
        <v/>
      </c>
      <c r="Q1440" s="19" t="str">
        <f>IF($D1440&lt;&gt;1,"",IF($G1440="ROKS",SUMIFS(TblApplications[Besoin ROKS RAM (Go)],TblApplications[Cluster ROKS cible],$F1440,TblApplications[Action],"À migrer",TblApplications[Déjà incluse ROKS],"Non",TblApplications[Mois prov (calc)],"&lt;="&amp;$E1440),SUMIFS(TblApplications[RAM IKS libérable (Go)],TblApplications[Cluster IKS source],$F1440,TblApplications[Mois lib (calc)],"&lt;="&amp;$E1440)))</f>
        <v/>
      </c>
      <c r="R1440" s="19" t="str">
        <f t="shared" si="377"/>
        <v/>
      </c>
      <c r="S1440" s="19" t="str">
        <f t="shared" si="378"/>
        <v/>
      </c>
      <c r="T1440" s="19" t="str">
        <f t="shared" si="379"/>
        <v/>
      </c>
      <c r="U1440" s="19" t="str">
        <f t="shared" si="380"/>
        <v/>
      </c>
      <c r="V1440" s="19" t="str">
        <f t="shared" si="381"/>
        <v/>
      </c>
      <c r="W1440" s="73" t="str">
        <f t="shared" si="382"/>
        <v/>
      </c>
      <c r="X1440" s="19" t="str">
        <f>IF($D1440&lt;&gt;1,"",IF($G1440="ROKS",$R1440,IF($AI1440=1,0,MAX($N1440,$L1440-SUMIFS(TblApplications[CPU IKS libérable (vCPU)],TblApplications[Cluster IKS source],$F1440,TblApplications[Action],"À migrer",TblApplications[Mois prov (calc)],"&lt;="&amp;$E1440)-SUMIFS(TblApplications[CPU IKS libérable (vCPU)],TblApplications[Cluster IKS source],$F1440,TblApplications[Action],"À décommissionner",TblApplications[Mois lib (calc)],"&lt;="&amp;$E1440)))))</f>
        <v/>
      </c>
      <c r="Y1440" s="19" t="str">
        <f>IF($D1440&lt;&gt;1,"",IF($G1440="ROKS",$S1440,IF($AI1440=1,0,MAX($O1440,$M1440-SUMIFS(TblApplications[RAM IKS libérable (Go)],TblApplications[Cluster IKS source],$F1440,TblApplications[Action],"À migrer",TblApplications[Mois prov (calc)],"&lt;="&amp;$E1440)-SUMIFS(TblApplications[RAM IKS libérable (Go)],TblApplications[Cluster IKS source],$F1440,TblApplications[Action],"À décommissionner",TblApplications[Mois lib (calc)],"&lt;="&amp;$E1440)))))</f>
        <v/>
      </c>
      <c r="Z1440" s="19" t="str">
        <f t="shared" si="383"/>
        <v/>
      </c>
      <c r="AA1440" s="73" t="str">
        <f t="shared" si="384"/>
        <v/>
      </c>
      <c r="AB1440" s="19" t="str">
        <f t="shared" si="385"/>
        <v/>
      </c>
      <c r="AC1440" s="73" t="str">
        <f t="shared" si="386"/>
        <v/>
      </c>
      <c r="AD1440" s="19" t="str">
        <f t="shared" si="387"/>
        <v/>
      </c>
      <c r="AE1440" s="19" t="str">
        <f t="shared" si="388"/>
        <v/>
      </c>
      <c r="AF1440" s="19" t="str">
        <f>IF($D1440&lt;&gt;1,"",IF(INDEX(TblClusters[Environnement],$B1440)="","(vide)",INDEX(TblClusters[Environnement],$B1440)))</f>
        <v/>
      </c>
      <c r="AG1440" s="19" t="str">
        <f t="shared" si="389"/>
        <v/>
      </c>
      <c r="AH1440" s="19" t="str">
        <f t="shared" si="390"/>
        <v/>
      </c>
      <c r="AI1440" s="19" t="str">
        <f>IF($D1440&lt;&gt;1,"",IF(AND($G1440="IKS",ISNUMBER(INDEX(TblClusters[Fermeture retenue],$B1440))),IF($E1440&gt;=INDEX(TblClusters[Fermeture retenue],$B1440),1,0),0))</f>
        <v/>
      </c>
    </row>
    <row r="1441" spans="1:35" x14ac:dyDescent="0.2">
      <c r="A1441" s="19">
        <v>1436</v>
      </c>
      <c r="B1441" s="19">
        <f t="shared" si="374"/>
        <v>40</v>
      </c>
      <c r="C1441" s="19">
        <f t="shared" si="375"/>
        <v>32</v>
      </c>
      <c r="D1441" s="19">
        <f>IF($C1441&gt;p_horizon,0,IFERROR(IF(AND(INDEX(TblClusters[Cluster],$B1441)&lt;&gt;"",ISNUMBER(INDEX(TblClusters[CPU initial (vCPU)],$B1441)),ISNUMBER(INDEX(TblClusters[CPU min (vCPU)],$B1441)),OR(INDEX(TblClusters[Plateforme],$B1441)="IKS",INDEX(TblClusters[Plateforme],$B1441)="ROKS")),1,0),0))</f>
        <v>0</v>
      </c>
      <c r="E1441" s="72" t="str">
        <f t="shared" si="376"/>
        <v/>
      </c>
      <c r="F1441" s="19" t="str">
        <f>IF($D1441=1,INDEX(TblClusters[Cluster],$B1441),"")</f>
        <v/>
      </c>
      <c r="G1441" s="19" t="str">
        <f>IF($D1441=1,INDEX(TblClusters[Plateforme],$B1441),"")</f>
        <v/>
      </c>
      <c r="H1441" s="19" t="str">
        <f>IF($D1441=1,INDEX(TblClusters[vCPU par nœud],$B1441),"")</f>
        <v/>
      </c>
      <c r="I1441" s="19" t="str">
        <f>IF($D1441=1,INDEX(TblClusters[RAM par nœud (Go)],$B1441),"")</f>
        <v/>
      </c>
      <c r="J1441" s="19" t="str">
        <f>IF($D1441=1,INDEX(TblClusters[Workers min],$B1441),"")</f>
        <v/>
      </c>
      <c r="K1441" s="73" t="str">
        <f>IF($D1441=1,INDEX(TblClusters[Tarif par nœud],$B1441),"")</f>
        <v/>
      </c>
      <c r="L1441" s="19" t="str">
        <f>IF($D1441=1,INDEX(TblClusters[CPU initial (vCPU)],$B1441),"")</f>
        <v/>
      </c>
      <c r="M1441" s="19" t="str">
        <f>IF($D1441=1,INDEX(TblClusters[RAM initiale (Go)],$B1441),"")</f>
        <v/>
      </c>
      <c r="N1441" s="19" t="str">
        <f>IF($D1441=1,INDEX(TblClusters[CPU min (vCPU)],$B1441),"")</f>
        <v/>
      </c>
      <c r="O1441" s="19" t="str">
        <f>IF($D1441=1,INDEX(TblClusters[RAM min (Go)],$B1441),"")</f>
        <v/>
      </c>
      <c r="P1441" s="19" t="str">
        <f>IF($D1441&lt;&gt;1,"",IF($G1441="ROKS",SUMIFS(TblApplications[Besoin ROKS CPU (vCPU)],TblApplications[Cluster ROKS cible],$F1441,TblApplications[Action],"À migrer",TblApplications[Déjà incluse ROKS],"Non",TblApplications[Mois prov (calc)],"&lt;="&amp;$E1441),SUMIFS(TblApplications[CPU IKS libérable (vCPU)],TblApplications[Cluster IKS source],$F1441,TblApplications[Mois lib (calc)],"&lt;="&amp;$E1441)))</f>
        <v/>
      </c>
      <c r="Q1441" s="19" t="str">
        <f>IF($D1441&lt;&gt;1,"",IF($G1441="ROKS",SUMIFS(TblApplications[Besoin ROKS RAM (Go)],TblApplications[Cluster ROKS cible],$F1441,TblApplications[Action],"À migrer",TblApplications[Déjà incluse ROKS],"Non",TblApplications[Mois prov (calc)],"&lt;="&amp;$E1441),SUMIFS(TblApplications[RAM IKS libérable (Go)],TblApplications[Cluster IKS source],$F1441,TblApplications[Mois lib (calc)],"&lt;="&amp;$E1441)))</f>
        <v/>
      </c>
      <c r="R1441" s="19" t="str">
        <f t="shared" si="377"/>
        <v/>
      </c>
      <c r="S1441" s="19" t="str">
        <f t="shared" si="378"/>
        <v/>
      </c>
      <c r="T1441" s="19" t="str">
        <f t="shared" si="379"/>
        <v/>
      </c>
      <c r="U1441" s="19" t="str">
        <f t="shared" si="380"/>
        <v/>
      </c>
      <c r="V1441" s="19" t="str">
        <f t="shared" si="381"/>
        <v/>
      </c>
      <c r="W1441" s="73" t="str">
        <f t="shared" si="382"/>
        <v/>
      </c>
      <c r="X1441" s="19" t="str">
        <f>IF($D1441&lt;&gt;1,"",IF($G1441="ROKS",$R1441,IF($AI1441=1,0,MAX($N1441,$L1441-SUMIFS(TblApplications[CPU IKS libérable (vCPU)],TblApplications[Cluster IKS source],$F1441,TblApplications[Action],"À migrer",TblApplications[Mois prov (calc)],"&lt;="&amp;$E1441)-SUMIFS(TblApplications[CPU IKS libérable (vCPU)],TblApplications[Cluster IKS source],$F1441,TblApplications[Action],"À décommissionner",TblApplications[Mois lib (calc)],"&lt;="&amp;$E1441)))))</f>
        <v/>
      </c>
      <c r="Y1441" s="19" t="str">
        <f>IF($D1441&lt;&gt;1,"",IF($G1441="ROKS",$S1441,IF($AI1441=1,0,MAX($O1441,$M1441-SUMIFS(TblApplications[RAM IKS libérable (Go)],TblApplications[Cluster IKS source],$F1441,TblApplications[Action],"À migrer",TblApplications[Mois prov (calc)],"&lt;="&amp;$E1441)-SUMIFS(TblApplications[RAM IKS libérable (Go)],TblApplications[Cluster IKS source],$F1441,TblApplications[Action],"À décommissionner",TblApplications[Mois lib (calc)],"&lt;="&amp;$E1441)))))</f>
        <v/>
      </c>
      <c r="Z1441" s="19" t="str">
        <f t="shared" si="383"/>
        <v/>
      </c>
      <c r="AA1441" s="73" t="str">
        <f t="shared" si="384"/>
        <v/>
      </c>
      <c r="AB1441" s="19" t="str">
        <f t="shared" si="385"/>
        <v/>
      </c>
      <c r="AC1441" s="73" t="str">
        <f t="shared" si="386"/>
        <v/>
      </c>
      <c r="AD1441" s="19" t="str">
        <f t="shared" si="387"/>
        <v/>
      </c>
      <c r="AE1441" s="19" t="str">
        <f t="shared" si="388"/>
        <v/>
      </c>
      <c r="AF1441" s="19" t="str">
        <f>IF($D1441&lt;&gt;1,"",IF(INDEX(TblClusters[Environnement],$B1441)="","(vide)",INDEX(TblClusters[Environnement],$B1441)))</f>
        <v/>
      </c>
      <c r="AG1441" s="19" t="str">
        <f t="shared" si="389"/>
        <v/>
      </c>
      <c r="AH1441" s="19" t="str">
        <f t="shared" si="390"/>
        <v/>
      </c>
      <c r="AI1441" s="19" t="str">
        <f>IF($D1441&lt;&gt;1,"",IF(AND($G1441="IKS",ISNUMBER(INDEX(TblClusters[Fermeture retenue],$B1441))),IF($E1441&gt;=INDEX(TblClusters[Fermeture retenue],$B1441),1,0),0))</f>
        <v/>
      </c>
    </row>
    <row r="1442" spans="1:35" x14ac:dyDescent="0.2">
      <c r="A1442" s="19">
        <v>1437</v>
      </c>
      <c r="B1442" s="19">
        <f t="shared" si="374"/>
        <v>40</v>
      </c>
      <c r="C1442" s="19">
        <f t="shared" si="375"/>
        <v>33</v>
      </c>
      <c r="D1442" s="19">
        <f>IF($C1442&gt;p_horizon,0,IFERROR(IF(AND(INDEX(TblClusters[Cluster],$B1442)&lt;&gt;"",ISNUMBER(INDEX(TblClusters[CPU initial (vCPU)],$B1442)),ISNUMBER(INDEX(TblClusters[CPU min (vCPU)],$B1442)),OR(INDEX(TblClusters[Plateforme],$B1442)="IKS",INDEX(TblClusters[Plateforme],$B1442)="ROKS")),1,0),0))</f>
        <v>0</v>
      </c>
      <c r="E1442" s="72" t="str">
        <f t="shared" si="376"/>
        <v/>
      </c>
      <c r="F1442" s="19" t="str">
        <f>IF($D1442=1,INDEX(TblClusters[Cluster],$B1442),"")</f>
        <v/>
      </c>
      <c r="G1442" s="19" t="str">
        <f>IF($D1442=1,INDEX(TblClusters[Plateforme],$B1442),"")</f>
        <v/>
      </c>
      <c r="H1442" s="19" t="str">
        <f>IF($D1442=1,INDEX(TblClusters[vCPU par nœud],$B1442),"")</f>
        <v/>
      </c>
      <c r="I1442" s="19" t="str">
        <f>IF($D1442=1,INDEX(TblClusters[RAM par nœud (Go)],$B1442),"")</f>
        <v/>
      </c>
      <c r="J1442" s="19" t="str">
        <f>IF($D1442=1,INDEX(TblClusters[Workers min],$B1442),"")</f>
        <v/>
      </c>
      <c r="K1442" s="73" t="str">
        <f>IF($D1442=1,INDEX(TblClusters[Tarif par nœud],$B1442),"")</f>
        <v/>
      </c>
      <c r="L1442" s="19" t="str">
        <f>IF($D1442=1,INDEX(TblClusters[CPU initial (vCPU)],$B1442),"")</f>
        <v/>
      </c>
      <c r="M1442" s="19" t="str">
        <f>IF($D1442=1,INDEX(TblClusters[RAM initiale (Go)],$B1442),"")</f>
        <v/>
      </c>
      <c r="N1442" s="19" t="str">
        <f>IF($D1442=1,INDEX(TblClusters[CPU min (vCPU)],$B1442),"")</f>
        <v/>
      </c>
      <c r="O1442" s="19" t="str">
        <f>IF($D1442=1,INDEX(TblClusters[RAM min (Go)],$B1442),"")</f>
        <v/>
      </c>
      <c r="P1442" s="19" t="str">
        <f>IF($D1442&lt;&gt;1,"",IF($G1442="ROKS",SUMIFS(TblApplications[Besoin ROKS CPU (vCPU)],TblApplications[Cluster ROKS cible],$F1442,TblApplications[Action],"À migrer",TblApplications[Déjà incluse ROKS],"Non",TblApplications[Mois prov (calc)],"&lt;="&amp;$E1442),SUMIFS(TblApplications[CPU IKS libérable (vCPU)],TblApplications[Cluster IKS source],$F1442,TblApplications[Mois lib (calc)],"&lt;="&amp;$E1442)))</f>
        <v/>
      </c>
      <c r="Q1442" s="19" t="str">
        <f>IF($D1442&lt;&gt;1,"",IF($G1442="ROKS",SUMIFS(TblApplications[Besoin ROKS RAM (Go)],TblApplications[Cluster ROKS cible],$F1442,TblApplications[Action],"À migrer",TblApplications[Déjà incluse ROKS],"Non",TblApplications[Mois prov (calc)],"&lt;="&amp;$E1442),SUMIFS(TblApplications[RAM IKS libérable (Go)],TblApplications[Cluster IKS source],$F1442,TblApplications[Mois lib (calc)],"&lt;="&amp;$E1442)))</f>
        <v/>
      </c>
      <c r="R1442" s="19" t="str">
        <f t="shared" si="377"/>
        <v/>
      </c>
      <c r="S1442" s="19" t="str">
        <f t="shared" si="378"/>
        <v/>
      </c>
      <c r="T1442" s="19" t="str">
        <f t="shared" si="379"/>
        <v/>
      </c>
      <c r="U1442" s="19" t="str">
        <f t="shared" si="380"/>
        <v/>
      </c>
      <c r="V1442" s="19" t="str">
        <f t="shared" si="381"/>
        <v/>
      </c>
      <c r="W1442" s="73" t="str">
        <f t="shared" si="382"/>
        <v/>
      </c>
      <c r="X1442" s="19" t="str">
        <f>IF($D1442&lt;&gt;1,"",IF($G1442="ROKS",$R1442,IF($AI1442=1,0,MAX($N1442,$L1442-SUMIFS(TblApplications[CPU IKS libérable (vCPU)],TblApplications[Cluster IKS source],$F1442,TblApplications[Action],"À migrer",TblApplications[Mois prov (calc)],"&lt;="&amp;$E1442)-SUMIFS(TblApplications[CPU IKS libérable (vCPU)],TblApplications[Cluster IKS source],$F1442,TblApplications[Action],"À décommissionner",TblApplications[Mois lib (calc)],"&lt;="&amp;$E1442)))))</f>
        <v/>
      </c>
      <c r="Y1442" s="19" t="str">
        <f>IF($D1442&lt;&gt;1,"",IF($G1442="ROKS",$S1442,IF($AI1442=1,0,MAX($O1442,$M1442-SUMIFS(TblApplications[RAM IKS libérable (Go)],TblApplications[Cluster IKS source],$F1442,TblApplications[Action],"À migrer",TblApplications[Mois prov (calc)],"&lt;="&amp;$E1442)-SUMIFS(TblApplications[RAM IKS libérable (Go)],TblApplications[Cluster IKS source],$F1442,TblApplications[Action],"À décommissionner",TblApplications[Mois lib (calc)],"&lt;="&amp;$E1442)))))</f>
        <v/>
      </c>
      <c r="Z1442" s="19" t="str">
        <f t="shared" si="383"/>
        <v/>
      </c>
      <c r="AA1442" s="73" t="str">
        <f t="shared" si="384"/>
        <v/>
      </c>
      <c r="AB1442" s="19" t="str">
        <f t="shared" si="385"/>
        <v/>
      </c>
      <c r="AC1442" s="73" t="str">
        <f t="shared" si="386"/>
        <v/>
      </c>
      <c r="AD1442" s="19" t="str">
        <f t="shared" si="387"/>
        <v/>
      </c>
      <c r="AE1442" s="19" t="str">
        <f t="shared" si="388"/>
        <v/>
      </c>
      <c r="AF1442" s="19" t="str">
        <f>IF($D1442&lt;&gt;1,"",IF(INDEX(TblClusters[Environnement],$B1442)="","(vide)",INDEX(TblClusters[Environnement],$B1442)))</f>
        <v/>
      </c>
      <c r="AG1442" s="19" t="str">
        <f t="shared" si="389"/>
        <v/>
      </c>
      <c r="AH1442" s="19" t="str">
        <f t="shared" si="390"/>
        <v/>
      </c>
      <c r="AI1442" s="19" t="str">
        <f>IF($D1442&lt;&gt;1,"",IF(AND($G1442="IKS",ISNUMBER(INDEX(TblClusters[Fermeture retenue],$B1442))),IF($E1442&gt;=INDEX(TblClusters[Fermeture retenue],$B1442),1,0),0))</f>
        <v/>
      </c>
    </row>
    <row r="1443" spans="1:35" x14ac:dyDescent="0.2">
      <c r="A1443" s="19">
        <v>1438</v>
      </c>
      <c r="B1443" s="19">
        <f t="shared" si="374"/>
        <v>40</v>
      </c>
      <c r="C1443" s="19">
        <f t="shared" si="375"/>
        <v>34</v>
      </c>
      <c r="D1443" s="19">
        <f>IF($C1443&gt;p_horizon,0,IFERROR(IF(AND(INDEX(TblClusters[Cluster],$B1443)&lt;&gt;"",ISNUMBER(INDEX(TblClusters[CPU initial (vCPU)],$B1443)),ISNUMBER(INDEX(TblClusters[CPU min (vCPU)],$B1443)),OR(INDEX(TblClusters[Plateforme],$B1443)="IKS",INDEX(TblClusters[Plateforme],$B1443)="ROKS")),1,0),0))</f>
        <v>0</v>
      </c>
      <c r="E1443" s="72" t="str">
        <f t="shared" si="376"/>
        <v/>
      </c>
      <c r="F1443" s="19" t="str">
        <f>IF($D1443=1,INDEX(TblClusters[Cluster],$B1443),"")</f>
        <v/>
      </c>
      <c r="G1443" s="19" t="str">
        <f>IF($D1443=1,INDEX(TblClusters[Plateforme],$B1443),"")</f>
        <v/>
      </c>
      <c r="H1443" s="19" t="str">
        <f>IF($D1443=1,INDEX(TblClusters[vCPU par nœud],$B1443),"")</f>
        <v/>
      </c>
      <c r="I1443" s="19" t="str">
        <f>IF($D1443=1,INDEX(TblClusters[RAM par nœud (Go)],$B1443),"")</f>
        <v/>
      </c>
      <c r="J1443" s="19" t="str">
        <f>IF($D1443=1,INDEX(TblClusters[Workers min],$B1443),"")</f>
        <v/>
      </c>
      <c r="K1443" s="73" t="str">
        <f>IF($D1443=1,INDEX(TblClusters[Tarif par nœud],$B1443),"")</f>
        <v/>
      </c>
      <c r="L1443" s="19" t="str">
        <f>IF($D1443=1,INDEX(TblClusters[CPU initial (vCPU)],$B1443),"")</f>
        <v/>
      </c>
      <c r="M1443" s="19" t="str">
        <f>IF($D1443=1,INDEX(TblClusters[RAM initiale (Go)],$B1443),"")</f>
        <v/>
      </c>
      <c r="N1443" s="19" t="str">
        <f>IF($D1443=1,INDEX(TblClusters[CPU min (vCPU)],$B1443),"")</f>
        <v/>
      </c>
      <c r="O1443" s="19" t="str">
        <f>IF($D1443=1,INDEX(TblClusters[RAM min (Go)],$B1443),"")</f>
        <v/>
      </c>
      <c r="P1443" s="19" t="str">
        <f>IF($D1443&lt;&gt;1,"",IF($G1443="ROKS",SUMIFS(TblApplications[Besoin ROKS CPU (vCPU)],TblApplications[Cluster ROKS cible],$F1443,TblApplications[Action],"À migrer",TblApplications[Déjà incluse ROKS],"Non",TblApplications[Mois prov (calc)],"&lt;="&amp;$E1443),SUMIFS(TblApplications[CPU IKS libérable (vCPU)],TblApplications[Cluster IKS source],$F1443,TblApplications[Mois lib (calc)],"&lt;="&amp;$E1443)))</f>
        <v/>
      </c>
      <c r="Q1443" s="19" t="str">
        <f>IF($D1443&lt;&gt;1,"",IF($G1443="ROKS",SUMIFS(TblApplications[Besoin ROKS RAM (Go)],TblApplications[Cluster ROKS cible],$F1443,TblApplications[Action],"À migrer",TblApplications[Déjà incluse ROKS],"Non",TblApplications[Mois prov (calc)],"&lt;="&amp;$E1443),SUMIFS(TblApplications[RAM IKS libérable (Go)],TblApplications[Cluster IKS source],$F1443,TblApplications[Mois lib (calc)],"&lt;="&amp;$E1443)))</f>
        <v/>
      </c>
      <c r="R1443" s="19" t="str">
        <f t="shared" si="377"/>
        <v/>
      </c>
      <c r="S1443" s="19" t="str">
        <f t="shared" si="378"/>
        <v/>
      </c>
      <c r="T1443" s="19" t="str">
        <f t="shared" si="379"/>
        <v/>
      </c>
      <c r="U1443" s="19" t="str">
        <f t="shared" si="380"/>
        <v/>
      </c>
      <c r="V1443" s="19" t="str">
        <f t="shared" si="381"/>
        <v/>
      </c>
      <c r="W1443" s="73" t="str">
        <f t="shared" si="382"/>
        <v/>
      </c>
      <c r="X1443" s="19" t="str">
        <f>IF($D1443&lt;&gt;1,"",IF($G1443="ROKS",$R1443,IF($AI1443=1,0,MAX($N1443,$L1443-SUMIFS(TblApplications[CPU IKS libérable (vCPU)],TblApplications[Cluster IKS source],$F1443,TblApplications[Action],"À migrer",TblApplications[Mois prov (calc)],"&lt;="&amp;$E1443)-SUMIFS(TblApplications[CPU IKS libérable (vCPU)],TblApplications[Cluster IKS source],$F1443,TblApplications[Action],"À décommissionner",TblApplications[Mois lib (calc)],"&lt;="&amp;$E1443)))))</f>
        <v/>
      </c>
      <c r="Y1443" s="19" t="str">
        <f>IF($D1443&lt;&gt;1,"",IF($G1443="ROKS",$S1443,IF($AI1443=1,0,MAX($O1443,$M1443-SUMIFS(TblApplications[RAM IKS libérable (Go)],TblApplications[Cluster IKS source],$F1443,TblApplications[Action],"À migrer",TblApplications[Mois prov (calc)],"&lt;="&amp;$E1443)-SUMIFS(TblApplications[RAM IKS libérable (Go)],TblApplications[Cluster IKS source],$F1443,TblApplications[Action],"À décommissionner",TblApplications[Mois lib (calc)],"&lt;="&amp;$E1443)))))</f>
        <v/>
      </c>
      <c r="Z1443" s="19" t="str">
        <f t="shared" si="383"/>
        <v/>
      </c>
      <c r="AA1443" s="73" t="str">
        <f t="shared" si="384"/>
        <v/>
      </c>
      <c r="AB1443" s="19" t="str">
        <f t="shared" si="385"/>
        <v/>
      </c>
      <c r="AC1443" s="73" t="str">
        <f t="shared" si="386"/>
        <v/>
      </c>
      <c r="AD1443" s="19" t="str">
        <f t="shared" si="387"/>
        <v/>
      </c>
      <c r="AE1443" s="19" t="str">
        <f t="shared" si="388"/>
        <v/>
      </c>
      <c r="AF1443" s="19" t="str">
        <f>IF($D1443&lt;&gt;1,"",IF(INDEX(TblClusters[Environnement],$B1443)="","(vide)",INDEX(TblClusters[Environnement],$B1443)))</f>
        <v/>
      </c>
      <c r="AG1443" s="19" t="str">
        <f t="shared" si="389"/>
        <v/>
      </c>
      <c r="AH1443" s="19" t="str">
        <f t="shared" si="390"/>
        <v/>
      </c>
      <c r="AI1443" s="19" t="str">
        <f>IF($D1443&lt;&gt;1,"",IF(AND($G1443="IKS",ISNUMBER(INDEX(TblClusters[Fermeture retenue],$B1443))),IF($E1443&gt;=INDEX(TblClusters[Fermeture retenue],$B1443),1,0),0))</f>
        <v/>
      </c>
    </row>
    <row r="1444" spans="1:35" x14ac:dyDescent="0.2">
      <c r="A1444" s="19">
        <v>1439</v>
      </c>
      <c r="B1444" s="19">
        <f t="shared" si="374"/>
        <v>40</v>
      </c>
      <c r="C1444" s="19">
        <f t="shared" si="375"/>
        <v>35</v>
      </c>
      <c r="D1444" s="19">
        <f>IF($C1444&gt;p_horizon,0,IFERROR(IF(AND(INDEX(TblClusters[Cluster],$B1444)&lt;&gt;"",ISNUMBER(INDEX(TblClusters[CPU initial (vCPU)],$B1444)),ISNUMBER(INDEX(TblClusters[CPU min (vCPU)],$B1444)),OR(INDEX(TblClusters[Plateforme],$B1444)="IKS",INDEX(TblClusters[Plateforme],$B1444)="ROKS")),1,0),0))</f>
        <v>0</v>
      </c>
      <c r="E1444" s="72" t="str">
        <f t="shared" si="376"/>
        <v/>
      </c>
      <c r="F1444" s="19" t="str">
        <f>IF($D1444=1,INDEX(TblClusters[Cluster],$B1444),"")</f>
        <v/>
      </c>
      <c r="G1444" s="19" t="str">
        <f>IF($D1444=1,INDEX(TblClusters[Plateforme],$B1444),"")</f>
        <v/>
      </c>
      <c r="H1444" s="19" t="str">
        <f>IF($D1444=1,INDEX(TblClusters[vCPU par nœud],$B1444),"")</f>
        <v/>
      </c>
      <c r="I1444" s="19" t="str">
        <f>IF($D1444=1,INDEX(TblClusters[RAM par nœud (Go)],$B1444),"")</f>
        <v/>
      </c>
      <c r="J1444" s="19" t="str">
        <f>IF($D1444=1,INDEX(TblClusters[Workers min],$B1444),"")</f>
        <v/>
      </c>
      <c r="K1444" s="73" t="str">
        <f>IF($D1444=1,INDEX(TblClusters[Tarif par nœud],$B1444),"")</f>
        <v/>
      </c>
      <c r="L1444" s="19" t="str">
        <f>IF($D1444=1,INDEX(TblClusters[CPU initial (vCPU)],$B1444),"")</f>
        <v/>
      </c>
      <c r="M1444" s="19" t="str">
        <f>IF($D1444=1,INDEX(TblClusters[RAM initiale (Go)],$B1444),"")</f>
        <v/>
      </c>
      <c r="N1444" s="19" t="str">
        <f>IF($D1444=1,INDEX(TblClusters[CPU min (vCPU)],$B1444),"")</f>
        <v/>
      </c>
      <c r="O1444" s="19" t="str">
        <f>IF($D1444=1,INDEX(TblClusters[RAM min (Go)],$B1444),"")</f>
        <v/>
      </c>
      <c r="P1444" s="19" t="str">
        <f>IF($D1444&lt;&gt;1,"",IF($G1444="ROKS",SUMIFS(TblApplications[Besoin ROKS CPU (vCPU)],TblApplications[Cluster ROKS cible],$F1444,TblApplications[Action],"À migrer",TblApplications[Déjà incluse ROKS],"Non",TblApplications[Mois prov (calc)],"&lt;="&amp;$E1444),SUMIFS(TblApplications[CPU IKS libérable (vCPU)],TblApplications[Cluster IKS source],$F1444,TblApplications[Mois lib (calc)],"&lt;="&amp;$E1444)))</f>
        <v/>
      </c>
      <c r="Q1444" s="19" t="str">
        <f>IF($D1444&lt;&gt;1,"",IF($G1444="ROKS",SUMIFS(TblApplications[Besoin ROKS RAM (Go)],TblApplications[Cluster ROKS cible],$F1444,TblApplications[Action],"À migrer",TblApplications[Déjà incluse ROKS],"Non",TblApplications[Mois prov (calc)],"&lt;="&amp;$E1444),SUMIFS(TblApplications[RAM IKS libérable (Go)],TblApplications[Cluster IKS source],$F1444,TblApplications[Mois lib (calc)],"&lt;="&amp;$E1444)))</f>
        <v/>
      </c>
      <c r="R1444" s="19" t="str">
        <f t="shared" si="377"/>
        <v/>
      </c>
      <c r="S1444" s="19" t="str">
        <f t="shared" si="378"/>
        <v/>
      </c>
      <c r="T1444" s="19" t="str">
        <f t="shared" si="379"/>
        <v/>
      </c>
      <c r="U1444" s="19" t="str">
        <f t="shared" si="380"/>
        <v/>
      </c>
      <c r="V1444" s="19" t="str">
        <f t="shared" si="381"/>
        <v/>
      </c>
      <c r="W1444" s="73" t="str">
        <f t="shared" si="382"/>
        <v/>
      </c>
      <c r="X1444" s="19" t="str">
        <f>IF($D1444&lt;&gt;1,"",IF($G1444="ROKS",$R1444,IF($AI1444=1,0,MAX($N1444,$L1444-SUMIFS(TblApplications[CPU IKS libérable (vCPU)],TblApplications[Cluster IKS source],$F1444,TblApplications[Action],"À migrer",TblApplications[Mois prov (calc)],"&lt;="&amp;$E1444)-SUMIFS(TblApplications[CPU IKS libérable (vCPU)],TblApplications[Cluster IKS source],$F1444,TblApplications[Action],"À décommissionner",TblApplications[Mois lib (calc)],"&lt;="&amp;$E1444)))))</f>
        <v/>
      </c>
      <c r="Y1444" s="19" t="str">
        <f>IF($D1444&lt;&gt;1,"",IF($G1444="ROKS",$S1444,IF($AI1444=1,0,MAX($O1444,$M1444-SUMIFS(TblApplications[RAM IKS libérable (Go)],TblApplications[Cluster IKS source],$F1444,TblApplications[Action],"À migrer",TblApplications[Mois prov (calc)],"&lt;="&amp;$E1444)-SUMIFS(TblApplications[RAM IKS libérable (Go)],TblApplications[Cluster IKS source],$F1444,TblApplications[Action],"À décommissionner",TblApplications[Mois lib (calc)],"&lt;="&amp;$E1444)))))</f>
        <v/>
      </c>
      <c r="Z1444" s="19" t="str">
        <f t="shared" si="383"/>
        <v/>
      </c>
      <c r="AA1444" s="73" t="str">
        <f t="shared" si="384"/>
        <v/>
      </c>
      <c r="AB1444" s="19" t="str">
        <f t="shared" si="385"/>
        <v/>
      </c>
      <c r="AC1444" s="73" t="str">
        <f t="shared" si="386"/>
        <v/>
      </c>
      <c r="AD1444" s="19" t="str">
        <f t="shared" si="387"/>
        <v/>
      </c>
      <c r="AE1444" s="19" t="str">
        <f t="shared" si="388"/>
        <v/>
      </c>
      <c r="AF1444" s="19" t="str">
        <f>IF($D1444&lt;&gt;1,"",IF(INDEX(TblClusters[Environnement],$B1444)="","(vide)",INDEX(TblClusters[Environnement],$B1444)))</f>
        <v/>
      </c>
      <c r="AG1444" s="19" t="str">
        <f t="shared" si="389"/>
        <v/>
      </c>
      <c r="AH1444" s="19" t="str">
        <f t="shared" si="390"/>
        <v/>
      </c>
      <c r="AI1444" s="19" t="str">
        <f>IF($D1444&lt;&gt;1,"",IF(AND($G1444="IKS",ISNUMBER(INDEX(TblClusters[Fermeture retenue],$B1444))),IF($E1444&gt;=INDEX(TblClusters[Fermeture retenue],$B1444),1,0),0))</f>
        <v/>
      </c>
    </row>
    <row r="1445" spans="1:35" x14ac:dyDescent="0.2">
      <c r="A1445" s="19">
        <v>1440</v>
      </c>
      <c r="B1445" s="19">
        <f t="shared" si="374"/>
        <v>40</v>
      </c>
      <c r="C1445" s="19">
        <f t="shared" si="375"/>
        <v>36</v>
      </c>
      <c r="D1445" s="19">
        <f>IF($C1445&gt;p_horizon,0,IFERROR(IF(AND(INDEX(TblClusters[Cluster],$B1445)&lt;&gt;"",ISNUMBER(INDEX(TblClusters[CPU initial (vCPU)],$B1445)),ISNUMBER(INDEX(TblClusters[CPU min (vCPU)],$B1445)),OR(INDEX(TblClusters[Plateforme],$B1445)="IKS",INDEX(TblClusters[Plateforme],$B1445)="ROKS")),1,0),0))</f>
        <v>0</v>
      </c>
      <c r="E1445" s="72" t="str">
        <f t="shared" si="376"/>
        <v/>
      </c>
      <c r="F1445" s="19" t="str">
        <f>IF($D1445=1,INDEX(TblClusters[Cluster],$B1445),"")</f>
        <v/>
      </c>
      <c r="G1445" s="19" t="str">
        <f>IF($D1445=1,INDEX(TblClusters[Plateforme],$B1445),"")</f>
        <v/>
      </c>
      <c r="H1445" s="19" t="str">
        <f>IF($D1445=1,INDEX(TblClusters[vCPU par nœud],$B1445),"")</f>
        <v/>
      </c>
      <c r="I1445" s="19" t="str">
        <f>IF($D1445=1,INDEX(TblClusters[RAM par nœud (Go)],$B1445),"")</f>
        <v/>
      </c>
      <c r="J1445" s="19" t="str">
        <f>IF($D1445=1,INDEX(TblClusters[Workers min],$B1445),"")</f>
        <v/>
      </c>
      <c r="K1445" s="73" t="str">
        <f>IF($D1445=1,INDEX(TblClusters[Tarif par nœud],$B1445),"")</f>
        <v/>
      </c>
      <c r="L1445" s="19" t="str">
        <f>IF($D1445=1,INDEX(TblClusters[CPU initial (vCPU)],$B1445),"")</f>
        <v/>
      </c>
      <c r="M1445" s="19" t="str">
        <f>IF($D1445=1,INDEX(TblClusters[RAM initiale (Go)],$B1445),"")</f>
        <v/>
      </c>
      <c r="N1445" s="19" t="str">
        <f>IF($D1445=1,INDEX(TblClusters[CPU min (vCPU)],$B1445),"")</f>
        <v/>
      </c>
      <c r="O1445" s="19" t="str">
        <f>IF($D1445=1,INDEX(TblClusters[RAM min (Go)],$B1445),"")</f>
        <v/>
      </c>
      <c r="P1445" s="19" t="str">
        <f>IF($D1445&lt;&gt;1,"",IF($G1445="ROKS",SUMIFS(TblApplications[Besoin ROKS CPU (vCPU)],TblApplications[Cluster ROKS cible],$F1445,TblApplications[Action],"À migrer",TblApplications[Déjà incluse ROKS],"Non",TblApplications[Mois prov (calc)],"&lt;="&amp;$E1445),SUMIFS(TblApplications[CPU IKS libérable (vCPU)],TblApplications[Cluster IKS source],$F1445,TblApplications[Mois lib (calc)],"&lt;="&amp;$E1445)))</f>
        <v/>
      </c>
      <c r="Q1445" s="19" t="str">
        <f>IF($D1445&lt;&gt;1,"",IF($G1445="ROKS",SUMIFS(TblApplications[Besoin ROKS RAM (Go)],TblApplications[Cluster ROKS cible],$F1445,TblApplications[Action],"À migrer",TblApplications[Déjà incluse ROKS],"Non",TblApplications[Mois prov (calc)],"&lt;="&amp;$E1445),SUMIFS(TblApplications[RAM IKS libérable (Go)],TblApplications[Cluster IKS source],$F1445,TblApplications[Mois lib (calc)],"&lt;="&amp;$E1445)))</f>
        <v/>
      </c>
      <c r="R1445" s="19" t="str">
        <f t="shared" si="377"/>
        <v/>
      </c>
      <c r="S1445" s="19" t="str">
        <f t="shared" si="378"/>
        <v/>
      </c>
      <c r="T1445" s="19" t="str">
        <f t="shared" si="379"/>
        <v/>
      </c>
      <c r="U1445" s="19" t="str">
        <f t="shared" si="380"/>
        <v/>
      </c>
      <c r="V1445" s="19" t="str">
        <f t="shared" si="381"/>
        <v/>
      </c>
      <c r="W1445" s="73" t="str">
        <f t="shared" si="382"/>
        <v/>
      </c>
      <c r="X1445" s="19" t="str">
        <f>IF($D1445&lt;&gt;1,"",IF($G1445="ROKS",$R1445,IF($AI1445=1,0,MAX($N1445,$L1445-SUMIFS(TblApplications[CPU IKS libérable (vCPU)],TblApplications[Cluster IKS source],$F1445,TblApplications[Action],"À migrer",TblApplications[Mois prov (calc)],"&lt;="&amp;$E1445)-SUMIFS(TblApplications[CPU IKS libérable (vCPU)],TblApplications[Cluster IKS source],$F1445,TblApplications[Action],"À décommissionner",TblApplications[Mois lib (calc)],"&lt;="&amp;$E1445)))))</f>
        <v/>
      </c>
      <c r="Y1445" s="19" t="str">
        <f>IF($D1445&lt;&gt;1,"",IF($G1445="ROKS",$S1445,IF($AI1445=1,0,MAX($O1445,$M1445-SUMIFS(TblApplications[RAM IKS libérable (Go)],TblApplications[Cluster IKS source],$F1445,TblApplications[Action],"À migrer",TblApplications[Mois prov (calc)],"&lt;="&amp;$E1445)-SUMIFS(TblApplications[RAM IKS libérable (Go)],TblApplications[Cluster IKS source],$F1445,TblApplications[Action],"À décommissionner",TblApplications[Mois lib (calc)],"&lt;="&amp;$E1445)))))</f>
        <v/>
      </c>
      <c r="Z1445" s="19" t="str">
        <f t="shared" si="383"/>
        <v/>
      </c>
      <c r="AA1445" s="73" t="str">
        <f t="shared" si="384"/>
        <v/>
      </c>
      <c r="AB1445" s="19" t="str">
        <f t="shared" si="385"/>
        <v/>
      </c>
      <c r="AC1445" s="73" t="str">
        <f t="shared" si="386"/>
        <v/>
      </c>
      <c r="AD1445" s="19" t="str">
        <f t="shared" si="387"/>
        <v/>
      </c>
      <c r="AE1445" s="19" t="str">
        <f t="shared" si="388"/>
        <v/>
      </c>
      <c r="AF1445" s="19" t="str">
        <f>IF($D1445&lt;&gt;1,"",IF(INDEX(TblClusters[Environnement],$B1445)="","(vide)",INDEX(TblClusters[Environnement],$B1445)))</f>
        <v/>
      </c>
      <c r="AG1445" s="19" t="str">
        <f t="shared" si="389"/>
        <v/>
      </c>
      <c r="AH1445" s="19" t="str">
        <f t="shared" si="390"/>
        <v/>
      </c>
      <c r="AI1445" s="19" t="str">
        <f>IF($D1445&lt;&gt;1,"",IF(AND($G1445="IKS",ISNUMBER(INDEX(TblClusters[Fermeture retenue],$B1445))),IF($E1445&gt;=INDEX(TblClusters[Fermeture retenue],$B1445),1,0),0))</f>
        <v/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32</vt:i4>
      </vt:variant>
    </vt:vector>
  </HeadingPairs>
  <TitlesOfParts>
    <vt:vector size="43" baseType="lpstr">
      <vt:lpstr>Dashboard</vt:lpstr>
      <vt:lpstr>Avancement</vt:lpstr>
      <vt:lpstr>Capacités</vt:lpstr>
      <vt:lpstr>Extinction IKS</vt:lpstr>
      <vt:lpstr>Synthèse</vt:lpstr>
      <vt:lpstr>Mode d'emploi</vt:lpstr>
      <vt:lpstr>Applications</vt:lpstr>
      <vt:lpstr>Dynatrace</vt:lpstr>
      <vt:lpstr>Clusters</vt:lpstr>
      <vt:lpstr>Paramètres &amp; ABS</vt:lpstr>
      <vt:lpstr>Calculs</vt:lpstr>
      <vt:lpstr>av_domc</vt:lpstr>
      <vt:lpstr>av_env</vt:lpstr>
      <vt:lpstr>av_envc</vt:lpstr>
      <vt:lpstr>av_mois</vt:lpstr>
      <vt:lpstr>av_tric</vt:lpstr>
      <vt:lpstr>ca_envc</vt:lpstr>
      <vt:lpstr>ca_mesure</vt:lpstr>
      <vt:lpstr>ca_mois</vt:lpstr>
      <vt:lpstr>ex_domc</vt:lpstr>
      <vt:lpstr>ex_envc</vt:lpstr>
      <vt:lpstr>ex_mois</vt:lpstr>
      <vt:lpstr>ex_tric</vt:lpstr>
      <vt:lpstr>p_debut</vt:lpstr>
      <vt:lpstr>p_env</vt:lpstr>
      <vt:lpstr>p_envcrit</vt:lpstr>
      <vt:lpstr>p_facteur</vt:lpstr>
      <vt:lpstr>p_fermauto</vt:lpstr>
      <vt:lpstr>p_fin</vt:lpstr>
      <vt:lpstr>p_horizon</vt:lpstr>
      <vt:lpstr>p_iks_cpu</vt:lpstr>
      <vt:lpstr>p_iks_ram</vt:lpstr>
      <vt:lpstr>p_margeCPU</vt:lpstr>
      <vt:lpstr>p_margeRAM</vt:lpstr>
      <vt:lpstr>p_maxworkers</vt:lpstr>
      <vt:lpstr>p_mode</vt:lpstr>
      <vt:lpstr>p_periodicite</vt:lpstr>
      <vt:lpstr>p_poidsram</vt:lpstr>
      <vt:lpstr>p_roks_cpu</vt:lpstr>
      <vt:lpstr>p_roks_ram</vt:lpstr>
      <vt:lpstr>p_seuil_cpu_dedie</vt:lpstr>
      <vt:lpstr>p_seuil_ram_dedie</vt:lpstr>
      <vt:lpstr>TblClusters_Cluster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MANZAT .</cp:lastModifiedBy>
  <cp:revision>1</cp:revision>
  <dcterms:created xsi:type="dcterms:W3CDTF">2026-09-23T11:43:09Z</dcterms:created>
  <dcterms:modified xsi:type="dcterms:W3CDTF">2026-09-23T12:44:01Z</dcterms:modified>
  <dc:language>en-US</dc:language>
</cp:coreProperties>
</file>